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filterPrivacy="1" codeName="ThisWorkbook"/>
  <xr:revisionPtr revIDLastSave="0" documentId="8_{A0D81236-EB3E-4D1C-BDB7-AF6B74DDDF86}" xr6:coauthVersionLast="45" xr6:coauthVersionMax="45" xr10:uidLastSave="{00000000-0000-0000-0000-000000000000}"/>
  <bookViews>
    <workbookView xWindow="-110" yWindow="-110" windowWidth="19420" windowHeight="10420" tabRatio="640" activeTab="1" xr2:uid="{00000000-000D-0000-FFFF-FFFF00000000}"/>
  </bookViews>
  <sheets>
    <sheet name="Introduction" sheetId="1" r:id="rId1"/>
    <sheet name="Validation" sheetId="2" r:id="rId2"/>
    <sheet name="Section 1 -&gt;" sheetId="3" r:id="rId3"/>
    <sheet name="1A" sheetId="4" r:id="rId4"/>
    <sheet name="1B" sheetId="5" r:id="rId5"/>
    <sheet name="1C" sheetId="6" r:id="rId6"/>
    <sheet name="1D" sheetId="7" r:id="rId7"/>
    <sheet name="1E" sheetId="8" r:id="rId8"/>
    <sheet name="1F" sheetId="95" r:id="rId9"/>
    <sheet name="Section 2 -&gt;" sheetId="9" r:id="rId10"/>
    <sheet name="2A" sheetId="11" r:id="rId11"/>
    <sheet name="2B" sheetId="12" r:id="rId12"/>
    <sheet name="2C" sheetId="13" r:id="rId13"/>
    <sheet name="2D" sheetId="14" r:id="rId14"/>
    <sheet name="2E" sheetId="15" r:id="rId15"/>
    <sheet name="2F" sheetId="16" r:id="rId16"/>
    <sheet name="2G" sheetId="17" r:id="rId17"/>
    <sheet name="2H" sheetId="18" r:id="rId18"/>
    <sheet name="2I" sheetId="19" r:id="rId19"/>
    <sheet name="2J" sheetId="44" r:id="rId20"/>
    <sheet name="2K" sheetId="96" r:id="rId21"/>
    <sheet name="Section 3 -&gt;" sheetId="20" r:id="rId22"/>
    <sheet name="3A" sheetId="21" r:id="rId23"/>
    <sheet name="3B" sheetId="22" r:id="rId24"/>
    <sheet name="3C" sheetId="23" r:id="rId25"/>
    <sheet name="3D" sheetId="24" r:id="rId26"/>
    <sheet name="Section 4 -&gt;" sheetId="25" r:id="rId27"/>
    <sheet name="4A" sheetId="26" r:id="rId28"/>
    <sheet name="4B" sheetId="27" r:id="rId29"/>
    <sheet name="4C" sheetId="28" r:id="rId30"/>
    <sheet name="4D" sheetId="29" r:id="rId31"/>
    <sheet name="4E" sheetId="30" r:id="rId32"/>
    <sheet name="4F" sheetId="31" r:id="rId33"/>
    <sheet name="4G" sheetId="32" r:id="rId34"/>
    <sheet name="4H" sheetId="33" r:id="rId35"/>
    <sheet name="4I" sheetId="34" r:id="rId36"/>
    <sheet name="4J" sheetId="63" r:id="rId37"/>
    <sheet name="4K" sheetId="64" r:id="rId38"/>
    <sheet name="4L" sheetId="65" r:id="rId39"/>
    <sheet name="4M" sheetId="66" r:id="rId40"/>
    <sheet name="4N" sheetId="67" r:id="rId41"/>
    <sheet name="4O" sheetId="68" r:id="rId42"/>
    <sheet name="4P" sheetId="69" r:id="rId43"/>
    <sheet name="4Q" sheetId="70" r:id="rId44"/>
    <sheet name="4R" sheetId="71" r:id="rId45"/>
    <sheet name="4S" sheetId="72" r:id="rId46"/>
    <sheet name="4T" sheetId="73" r:id="rId47"/>
    <sheet name="4U" sheetId="74" r:id="rId48"/>
    <sheet name="4V" sheetId="75" r:id="rId49"/>
    <sheet name="4W" sheetId="76" r:id="rId50"/>
    <sheet name="Other -&gt;" sheetId="78" r:id="rId51"/>
    <sheet name="Bioresources" sheetId="87" r:id="rId52"/>
    <sheet name="F_Outputs" sheetId="97" r:id="rId53"/>
    <sheet name="F_Outputs (group)" sheetId="80" r:id="rId54"/>
    <sheet name="Lists" sheetId="35" state="hidden" r:id="rId55"/>
    <sheet name="PC LIST" sheetId="36" state="hidden" r:id="rId56"/>
    <sheet name="PC list edited" sheetId="37" state="hidden" r:id="rId57"/>
    <sheet name="SUB LIST" sheetId="38" state="hidden" r:id="rId58"/>
    <sheet name="SUB list edited" sheetId="39" state="hidden" r:id="rId59"/>
    <sheet name="Water" sheetId="40" state="hidden" r:id="rId60"/>
    <sheet name="Sewerage" sheetId="41" state="hidden" r:id="rId61"/>
    <sheet name="Water PR16" sheetId="89" state="hidden" r:id="rId62"/>
    <sheet name="Sewerage PR16" sheetId="90" state="hidden" r:id="rId63"/>
    <sheet name="LWTW" sheetId="84" state="hidden" r:id="rId64"/>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257</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22" hidden="1">'3A'!$A$4:$AI$60</definedName>
    <definedName name="_xlnm._FilterDatabase" localSheetId="55">'PC LIST'!$A$2:$CB$529</definedName>
    <definedName name="_xlnm._FilterDatabase" localSheetId="56">'PC list edited'!$A$1:$B$529</definedName>
    <definedName name="_xlnm._FilterDatabase" localSheetId="60">Sewerage!$A$1:$G$30</definedName>
    <definedName name="_xlnm._FilterDatabase" localSheetId="57">'SUB LIST'!$A$2:$AT$207</definedName>
    <definedName name="_xlnm._FilterDatabase" localSheetId="59">Water!$A$1:$R$25</definedName>
    <definedName name="_Order1" hidden="1">255</definedName>
    <definedName name="_Order2" hidden="1">255</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3">'1A'!$B$1:$M$40</definedName>
    <definedName name="_xlnm.Print_Area" localSheetId="4">'1B'!$B$1:$M$15</definedName>
    <definedName name="_xlnm.Print_Area" localSheetId="5">'1C'!$B$1:$M$56</definedName>
    <definedName name="_xlnm.Print_Area" localSheetId="6">'1D'!$B$1:$M$42</definedName>
    <definedName name="_xlnm.Print_Area" localSheetId="7">'1E'!$B$1:$M$29</definedName>
    <definedName name="_xlnm.Print_Area" localSheetId="8">'1F'!$B$1:$T$48</definedName>
    <definedName name="_xlnm.Print_Area" localSheetId="10">'2A'!$B$1:$S$26</definedName>
    <definedName name="_xlnm.Print_Area" localSheetId="11">'2B'!$B$1:$O$45</definedName>
    <definedName name="_xlnm.Print_Area" localSheetId="12">'2C'!$A$1:$K$27</definedName>
    <definedName name="_xlnm.Print_Area" localSheetId="13">'2D'!$B$1:$Q$33</definedName>
    <definedName name="_xlnm.Print_Area" localSheetId="14">'2E'!$B$1:$L$55</definedName>
    <definedName name="_xlnm.Print_Area" localSheetId="15">'2F'!$B$1:$K$17</definedName>
    <definedName name="_xlnm.Print_Area" localSheetId="16">'2G'!$B$1:$L$40</definedName>
    <definedName name="_xlnm.Print_Area" localSheetId="17">'2H'!$B$1:$L$43</definedName>
    <definedName name="_xlnm.Print_Area" localSheetId="18">'2I'!$B$1:$L$59</definedName>
    <definedName name="_xlnm.Print_Area" localSheetId="19">'2J'!$B$1:$K$22</definedName>
    <definedName name="_xlnm.Print_Area" localSheetId="20">'2K'!$B$1:$K$20</definedName>
    <definedName name="_xlnm.Print_Area" localSheetId="22">'3A'!$B$1:$S$66</definedName>
    <definedName name="_xlnm.Print_Area" localSheetId="23">'3B'!$B$1:$M$50</definedName>
    <definedName name="_xlnm.Print_Area" localSheetId="24">'3C'!$B$1:$L$36</definedName>
    <definedName name="_xlnm.Print_Area" localSheetId="25">'3D'!$B$1:$I$20</definedName>
    <definedName name="_xlnm.Print_Area" localSheetId="27">'4A'!$B$1:$J$23</definedName>
    <definedName name="_xlnm.Print_Area" localSheetId="28">'4B'!$B$1:$N$29</definedName>
    <definedName name="_xlnm.Print_Area" localSheetId="29">'4C'!$B$1:$K$17</definedName>
    <definedName name="_xlnm.Print_Area" localSheetId="30">'4D'!$B$1:$P$56</definedName>
    <definedName name="_xlnm.Print_Area" localSheetId="31">'4E'!$B$1:$R$58</definedName>
    <definedName name="_xlnm.Print_Area" localSheetId="32">'4F'!$B$1:$R$37</definedName>
    <definedName name="_xlnm.Print_Area" localSheetId="33">'4G'!$B$1:$M$24</definedName>
    <definedName name="_xlnm.Print_Area" localSheetId="34">'4H'!$B$1:$K$53</definedName>
    <definedName name="_xlnm.Print_Area" localSheetId="35">'4I'!$B$1:$R$50</definedName>
    <definedName name="_xlnm.Print_Area" localSheetId="36">'4J'!$B$1:$P$58</definedName>
    <definedName name="_xlnm.Print_Area" localSheetId="37">'4K'!$B$1:$R$58</definedName>
    <definedName name="_xlnm.Print_Area" localSheetId="38">'4L'!$B$1:$W$51</definedName>
    <definedName name="_xlnm.Print_Area" localSheetId="39">'4M'!$B$1:$AA$58</definedName>
    <definedName name="_xlnm.Print_Area" localSheetId="40">'4N'!$B$1:$J$27</definedName>
    <definedName name="_xlnm.Print_Area" localSheetId="41">'4O'!$B$1:$CI$29</definedName>
    <definedName name="_xlnm.Print_Area" localSheetId="42">'4P'!$B$1:$J$129</definedName>
    <definedName name="_xlnm.Print_Area" localSheetId="43">'4Q'!$B$1:$J$43</definedName>
    <definedName name="_xlnm.Print_Area" localSheetId="44">'4R'!$B$1:$J$61</definedName>
    <definedName name="_xlnm.Print_Area" localSheetId="45">'4S'!$B$1:$AI$44</definedName>
    <definedName name="_xlnm.Print_Area" localSheetId="46">'4T'!$B$1:$K$28</definedName>
    <definedName name="_xlnm.Print_Area" localSheetId="47">'4U'!$B$1:$J$37</definedName>
    <definedName name="_xlnm.Print_Area" localSheetId="48">'4V'!$B$1:$Q$42</definedName>
    <definedName name="_xlnm.Print_Area" localSheetId="49">'4W'!$B$1:$R$74</definedName>
    <definedName name="_xlnm.Print_Area" localSheetId="51">Bioresources!$B$1:$I$47</definedName>
    <definedName name="_xlnm.Print_Area" localSheetId="0">Introduction!$A$1:$C$35</definedName>
    <definedName name="_xlnm.Print_Area" localSheetId="1">Validation!$A$1:$E$45</definedName>
    <definedName name="_xlnm.Print_Titles" localSheetId="41">'4O'!$A:$F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wpapers." hidden="1">{"bal",#N/A,FALSE,"working papers";"income",#N/A,FALSE,"working papers"}</definedName>
    <definedName name="Z_0D666283_CADB_464A_974F_FFED8E45FEBD_.wvu.Cols" localSheetId="13">'2D'!$AJ:$XFD</definedName>
    <definedName name="Z_0D666283_CADB_464A_974F_FFED8E45FEBD_.wvu.Cols" localSheetId="27">'4A'!$Q:$XFD</definedName>
    <definedName name="Z_0D666283_CADB_464A_974F_FFED8E45FEBD_.wvu.Cols" localSheetId="50">'Other -&gt;'!$1:$1048576</definedName>
    <definedName name="Z_0D666283_CADB_464A_974F_FFED8E45FEBD_.wvu.Cols" localSheetId="2">'Section 1 -&gt;'!$1:$1048576</definedName>
    <definedName name="Z_0D666283_CADB_464A_974F_FFED8E45FEBD_.wvu.Cols" localSheetId="9">'Section 2 -&gt;'!$1:$1048576</definedName>
    <definedName name="Z_0D666283_CADB_464A_974F_FFED8E45FEBD_.wvu.Cols" localSheetId="21">'Section 3 -&gt;'!$1:$1048576</definedName>
    <definedName name="Z_0D666283_CADB_464A_974F_FFED8E45FEBD_.wvu.Cols" localSheetId="26">'Section 4 -&gt;'!$1:$1048576</definedName>
    <definedName name="Z_0D666283_CADB_464A_974F_FFED8E45FEBD_.wvu.FilterData" localSheetId="56">'PC list edited'!$A$1:$B$529</definedName>
    <definedName name="Z_0D666283_CADB_464A_974F_FFED8E45FEBD_.wvu.FilterData" localSheetId="60">Sewerage!$A$1:$G$30</definedName>
    <definedName name="Z_0D666283_CADB_464A_974F_FFED8E45FEBD_.wvu.FilterData" localSheetId="59">Water!$A$1:$R$25</definedName>
    <definedName name="Z_0D666283_CADB_464A_974F_FFED8E45FEBD_.wvu.Rows" localSheetId="50">'Other -&gt;'!$36:$1048576,'Other -&gt;'!$1:$35</definedName>
    <definedName name="Z_0D666283_CADB_464A_974F_FFED8E45FEBD_.wvu.Rows" localSheetId="2">'Section 1 -&gt;'!$36:$1048576,'Section 1 -&gt;'!$1:$35</definedName>
    <definedName name="Z_0D666283_CADB_464A_974F_FFED8E45FEBD_.wvu.Rows" localSheetId="9">'Section 2 -&gt;'!$36:$1048576,'Section 2 -&gt;'!$1:$35</definedName>
    <definedName name="Z_0D666283_CADB_464A_974F_FFED8E45FEBD_.wvu.Rows" localSheetId="21">'Section 3 -&gt;'!$36:$1048576,'Section 3 -&gt;'!$1:$35</definedName>
    <definedName name="Z_0D666283_CADB_464A_974F_FFED8E45FEBD_.wvu.Rows" localSheetId="26">'Section 4 -&gt;'!$36:$1048576,'Section 4 -&gt;'!$1:$35</definedName>
    <definedName name="Z_3BF63FB9_9E69_4F23_B37F_22932F355A10_.wvu.Cols" localSheetId="13">'2D'!$AJ:$XFD</definedName>
    <definedName name="Z_3BF63FB9_9E69_4F23_B37F_22932F355A10_.wvu.Cols" localSheetId="27">'4A'!$Q:$XFD</definedName>
    <definedName name="Z_3BF63FB9_9E69_4F23_B37F_22932F355A10_.wvu.Cols" localSheetId="50">'Other -&gt;'!$1:$1048576</definedName>
    <definedName name="Z_3BF63FB9_9E69_4F23_B37F_22932F355A10_.wvu.Cols" localSheetId="2">'Section 1 -&gt;'!$1:$1048576</definedName>
    <definedName name="Z_3BF63FB9_9E69_4F23_B37F_22932F355A10_.wvu.Cols" localSheetId="9">'Section 2 -&gt;'!$1:$1048576</definedName>
    <definedName name="Z_3BF63FB9_9E69_4F23_B37F_22932F355A10_.wvu.Cols" localSheetId="21">'Section 3 -&gt;'!$1:$1048576</definedName>
    <definedName name="Z_3BF63FB9_9E69_4F23_B37F_22932F355A10_.wvu.Cols" localSheetId="26">'Section 4 -&gt;'!$1:$1048576</definedName>
    <definedName name="Z_3BF63FB9_9E69_4F23_B37F_22932F355A10_.wvu.FilterData" localSheetId="56">'PC list edited'!$A$1:$B$529</definedName>
    <definedName name="Z_3BF63FB9_9E69_4F23_B37F_22932F355A10_.wvu.FilterData" localSheetId="60">Sewerage!$A$1:$G$30</definedName>
    <definedName name="Z_3BF63FB9_9E69_4F23_B37F_22932F355A10_.wvu.FilterData" localSheetId="59">Water!$A$1:$R$25</definedName>
    <definedName name="Z_3BF63FB9_9E69_4F23_B37F_22932F355A10_.wvu.Rows" localSheetId="50">'Other -&gt;'!$36:$1048576,'Other -&gt;'!$1:$35</definedName>
    <definedName name="Z_3BF63FB9_9E69_4F23_B37F_22932F355A10_.wvu.Rows" localSheetId="2">'Section 1 -&gt;'!$36:$1048576,'Section 1 -&gt;'!$1:$35</definedName>
    <definedName name="Z_3BF63FB9_9E69_4F23_B37F_22932F355A10_.wvu.Rows" localSheetId="9">'Section 2 -&gt;'!$36:$1048576,'Section 2 -&gt;'!$1:$35</definedName>
    <definedName name="Z_3BF63FB9_9E69_4F23_B37F_22932F355A10_.wvu.Rows" localSheetId="21">'Section 3 -&gt;'!$36:$1048576,'Section 3 -&gt;'!$1:$35</definedName>
    <definedName name="Z_3BF63FB9_9E69_4F23_B37F_22932F355A10_.wvu.Rows" localSheetId="26">'Section 4 -&gt;'!$36:$1048576,'Section 4 -&gt;'!$1:$35</definedName>
    <definedName name="Z_A683DE68_74F1_44FC_875D_47ACE58076E1_.wvu.Cols" localSheetId="13">'2D'!$AJ:$XFD</definedName>
    <definedName name="Z_A683DE68_74F1_44FC_875D_47ACE58076E1_.wvu.Cols" localSheetId="27">'4A'!$Q:$XFD</definedName>
    <definedName name="Z_A683DE68_74F1_44FC_875D_47ACE58076E1_.wvu.Cols" localSheetId="50">'Other -&gt;'!$1:$1048576</definedName>
    <definedName name="Z_A683DE68_74F1_44FC_875D_47ACE58076E1_.wvu.Cols" localSheetId="2">'Section 1 -&gt;'!$1:$1048576</definedName>
    <definedName name="Z_A683DE68_74F1_44FC_875D_47ACE58076E1_.wvu.Cols" localSheetId="9">'Section 2 -&gt;'!$1:$1048576</definedName>
    <definedName name="Z_A683DE68_74F1_44FC_875D_47ACE58076E1_.wvu.Cols" localSheetId="21">'Section 3 -&gt;'!$1:$1048576</definedName>
    <definedName name="Z_A683DE68_74F1_44FC_875D_47ACE58076E1_.wvu.Cols" localSheetId="26">'Section 4 -&gt;'!$1:$1048576</definedName>
    <definedName name="Z_A683DE68_74F1_44FC_875D_47ACE58076E1_.wvu.FilterData" localSheetId="56">'PC list edited'!$A$1:$B$529</definedName>
    <definedName name="Z_A683DE68_74F1_44FC_875D_47ACE58076E1_.wvu.FilterData" localSheetId="60">Sewerage!$A$1:$G$30</definedName>
    <definedName name="Z_A683DE68_74F1_44FC_875D_47ACE58076E1_.wvu.FilterData" localSheetId="59">Water!$A$1:$R$25</definedName>
    <definedName name="Z_A683DE68_74F1_44FC_875D_47ACE58076E1_.wvu.Rows" localSheetId="50">'Other -&gt;'!$36:$1048576,'Other -&gt;'!$1:$35</definedName>
    <definedName name="Z_A683DE68_74F1_44FC_875D_47ACE58076E1_.wvu.Rows" localSheetId="2">'Section 1 -&gt;'!$36:$1048576,'Section 1 -&gt;'!$1:$35</definedName>
    <definedName name="Z_A683DE68_74F1_44FC_875D_47ACE58076E1_.wvu.Rows" localSheetId="9">'Section 2 -&gt;'!$36:$1048576,'Section 2 -&gt;'!$1:$35</definedName>
    <definedName name="Z_A683DE68_74F1_44FC_875D_47ACE58076E1_.wvu.Rows" localSheetId="21">'Section 3 -&gt;'!$36:$1048576,'Section 3 -&gt;'!$1:$35</definedName>
    <definedName name="Z_A683DE68_74F1_44FC_875D_47ACE58076E1_.wvu.Rows" localSheetId="26">'Section 4 -&gt;'!$36:$1048576,'Section 4 -&gt;'!$1:$35</definedName>
    <definedName name="Z_B6110306_7EDB_4112_9F29_7D9801D46B38_.wvu.Cols" localSheetId="13">'2D'!$AJ:$XFD</definedName>
    <definedName name="Z_B6110306_7EDB_4112_9F29_7D9801D46B38_.wvu.Cols" localSheetId="27">'4A'!$Q:$XFD</definedName>
    <definedName name="Z_B6110306_7EDB_4112_9F29_7D9801D46B38_.wvu.Cols" localSheetId="50">'Other -&gt;'!$1:$1048576</definedName>
    <definedName name="Z_B6110306_7EDB_4112_9F29_7D9801D46B38_.wvu.Cols" localSheetId="2">'Section 1 -&gt;'!$1:$1048576</definedName>
    <definedName name="Z_B6110306_7EDB_4112_9F29_7D9801D46B38_.wvu.Cols" localSheetId="9">'Section 2 -&gt;'!$1:$1048576</definedName>
    <definedName name="Z_B6110306_7EDB_4112_9F29_7D9801D46B38_.wvu.Cols" localSheetId="21">'Section 3 -&gt;'!$1:$1048576</definedName>
    <definedName name="Z_B6110306_7EDB_4112_9F29_7D9801D46B38_.wvu.Cols" localSheetId="26">'Section 4 -&gt;'!$1:$1048576</definedName>
    <definedName name="Z_B6110306_7EDB_4112_9F29_7D9801D46B38_.wvu.FilterData" localSheetId="56">'PC list edited'!$A$1:$B$529</definedName>
    <definedName name="Z_B6110306_7EDB_4112_9F29_7D9801D46B38_.wvu.FilterData" localSheetId="60">Sewerage!$A$1:$G$30</definedName>
    <definedName name="Z_B6110306_7EDB_4112_9F29_7D9801D46B38_.wvu.FilterData" localSheetId="59">Water!$A$1:$R$25</definedName>
    <definedName name="Z_B6110306_7EDB_4112_9F29_7D9801D46B38_.wvu.Rows" localSheetId="50">'Other -&gt;'!$2:$1048576,'Other -&gt;'!$1:$1</definedName>
    <definedName name="Z_B6110306_7EDB_4112_9F29_7D9801D46B38_.wvu.Rows" localSheetId="2">'Section 1 -&gt;'!$2:$1048576,'Section 1 -&gt;'!$1:$1</definedName>
    <definedName name="Z_B6110306_7EDB_4112_9F29_7D9801D46B38_.wvu.Rows" localSheetId="9">'Section 2 -&gt;'!$2:$1048576,'Section 2 -&gt;'!$1:$1</definedName>
    <definedName name="Z_B6110306_7EDB_4112_9F29_7D9801D46B38_.wvu.Rows" localSheetId="21">'Section 3 -&gt;'!$2:$1048576,'Section 3 -&gt;'!$1:$1</definedName>
    <definedName name="Z_B6110306_7EDB_4112_9F29_7D9801D46B38_.wvu.Rows" localSheetId="26">'Section 4 -&gt;'!$2:$1048576,'Section 4 -&gt;'!$1:$1</definedName>
    <definedName name="Z_C2AA8589_53C1_4273_B7EE_5FA5323CA1F5_.wvu.FilterData" localSheetId="56">'PC list edited'!$A$1:$B$529</definedName>
    <definedName name="Z_C2AA8589_53C1_4273_B7EE_5FA5323CA1F5_.wvu.FilterData" localSheetId="60">Sewerage!$A$1:$G$30</definedName>
    <definedName name="Z_C2AA8589_53C1_4273_B7EE_5FA5323CA1F5_.wvu.FilterData" localSheetId="59">Water!$A$1:$R$25</definedName>
    <definedName name="Z_C652482F_DA5C_42AD_B6EE_268877F72B6E_.wvu.Cols" localSheetId="13">'2D'!$AJ:$XFD</definedName>
    <definedName name="Z_C652482F_DA5C_42AD_B6EE_268877F72B6E_.wvu.Cols" localSheetId="27">'4A'!$Q:$XFD</definedName>
    <definedName name="Z_C652482F_DA5C_42AD_B6EE_268877F72B6E_.wvu.Cols" localSheetId="50">'Other -&gt;'!$1:$1048576</definedName>
    <definedName name="Z_C652482F_DA5C_42AD_B6EE_268877F72B6E_.wvu.Cols" localSheetId="2">'Section 1 -&gt;'!$1:$1048576</definedName>
    <definedName name="Z_C652482F_DA5C_42AD_B6EE_268877F72B6E_.wvu.Cols" localSheetId="9">'Section 2 -&gt;'!$1:$1048576</definedName>
    <definedName name="Z_C652482F_DA5C_42AD_B6EE_268877F72B6E_.wvu.Cols" localSheetId="21">'Section 3 -&gt;'!$1:$1048576</definedName>
    <definedName name="Z_C652482F_DA5C_42AD_B6EE_268877F72B6E_.wvu.Cols" localSheetId="26">'Section 4 -&gt;'!$1:$1048576</definedName>
    <definedName name="Z_C652482F_DA5C_42AD_B6EE_268877F72B6E_.wvu.FilterData" localSheetId="56">'PC list edited'!$A$1:$B$529</definedName>
    <definedName name="Z_C652482F_DA5C_42AD_B6EE_268877F72B6E_.wvu.FilterData" localSheetId="60">Sewerage!$A$1:$G$30</definedName>
    <definedName name="Z_C652482F_DA5C_42AD_B6EE_268877F72B6E_.wvu.FilterData" localSheetId="59">Water!$A$1:$R$25</definedName>
    <definedName name="Z_C652482F_DA5C_42AD_B6EE_268877F72B6E_.wvu.Rows" localSheetId="50">'Other -&gt;'!$36:$1048576,'Other -&gt;'!$1:$35</definedName>
    <definedName name="Z_C652482F_DA5C_42AD_B6EE_268877F72B6E_.wvu.Rows" localSheetId="2">'Section 1 -&gt;'!$36:$1048576,'Section 1 -&gt;'!$1:$35</definedName>
    <definedName name="Z_C652482F_DA5C_42AD_B6EE_268877F72B6E_.wvu.Rows" localSheetId="9">'Section 2 -&gt;'!$36:$1048576,'Section 2 -&gt;'!$1:$35</definedName>
    <definedName name="Z_C652482F_DA5C_42AD_B6EE_268877F72B6E_.wvu.Rows" localSheetId="21">'Section 3 -&gt;'!$36:$1048576,'Section 3 -&gt;'!$1:$35</definedName>
    <definedName name="Z_C652482F_DA5C_42AD_B6EE_268877F72B6E_.wvu.Rows" localSheetId="26">'Section 4 -&gt;'!$36:$1048576,'Section 4 -&gt;'!$1:$35</definedName>
    <definedName name="Z_FCCFC11C_78D7_49AB_93F6_D160FB23647D_.wvu.FilterData" localSheetId="56">'PC list edited'!$A$1:$B$529</definedName>
    <definedName name="Z_FCCFC11C_78D7_49AB_93F6_D160FB23647D_.wvu.FilterData" localSheetId="60">Sewerage!$A$1:$G$30</definedName>
    <definedName name="Z_FCCFC11C_78D7_49AB_93F6_D160FB23647D_.wvu.FilterData" localSheetId="59">Water!$A$1:$R$25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4" i="96" l="1"/>
  <c r="F13" i="24" l="1"/>
  <c r="P6" i="18" l="1"/>
  <c r="Q6" i="18"/>
  <c r="O6" i="18"/>
  <c r="E33" i="2"/>
  <c r="B132" i="69" l="1"/>
  <c r="B46" i="70" s="1"/>
  <c r="B64" i="71" s="1"/>
  <c r="B47" i="72" s="1"/>
  <c r="B31" i="73" s="1"/>
  <c r="B40" i="74" s="1"/>
  <c r="B20" i="28"/>
  <c r="B59" i="29" s="1"/>
  <c r="B61" i="30" s="1"/>
  <c r="B40" i="31" s="1"/>
  <c r="B28" i="32" s="1"/>
  <c r="B56" i="33" s="1"/>
  <c r="B53" i="34" s="1"/>
  <c r="B61" i="63" s="1"/>
  <c r="B61" i="64" s="1"/>
  <c r="B54" i="65" s="1"/>
  <c r="B61" i="66" s="1"/>
  <c r="B30" i="67" s="1"/>
  <c r="B48" i="12"/>
  <c r="B30" i="13" s="1"/>
  <c r="B36" i="14" s="1"/>
  <c r="B59" i="15" s="1"/>
  <c r="B20" i="16" s="1"/>
  <c r="B43" i="17" s="1"/>
  <c r="B46" i="18" s="1"/>
  <c r="B62" i="19" s="1"/>
  <c r="B25" i="44" s="1"/>
  <c r="B24" i="96" s="1"/>
  <c r="B19" i="5"/>
  <c r="B59" i="6" s="1"/>
  <c r="B45" i="7" s="1"/>
  <c r="B32" i="8" s="1"/>
  <c r="B52" i="95" s="1"/>
  <c r="D1" i="80"/>
  <c r="B2" i="27"/>
  <c r="B2" i="28" s="1"/>
  <c r="B2" i="29" s="1"/>
  <c r="B2" i="30" s="1"/>
  <c r="B2" i="31" s="1"/>
  <c r="B2" i="32" s="1"/>
  <c r="B2" i="33" s="1"/>
  <c r="B2" i="34" s="1"/>
  <c r="B2" i="63" s="1"/>
  <c r="B2" i="64" s="1"/>
  <c r="B2" i="65" s="1"/>
  <c r="B2" i="66" s="1"/>
  <c r="B2" i="67" s="1"/>
  <c r="B2" i="68" s="1"/>
  <c r="B2" i="69" s="1"/>
  <c r="B2" i="70" s="1"/>
  <c r="B2" i="71" s="1"/>
  <c r="B2" i="72" s="1"/>
  <c r="B2" i="73" s="1"/>
  <c r="B2" i="74" s="1"/>
  <c r="B2" i="75" s="1"/>
  <c r="AK2" i="76" s="1"/>
  <c r="B2" i="5"/>
  <c r="B2" i="6" s="1"/>
  <c r="B2" i="7" s="1"/>
  <c r="B2" i="8" s="1"/>
  <c r="B2" i="95" s="1"/>
  <c r="B2" i="11" s="1"/>
  <c r="B2" i="12" s="1"/>
  <c r="B2" i="13" s="1"/>
  <c r="B2" i="14" s="1"/>
  <c r="B2" i="15" s="1"/>
  <c r="B2" i="16" s="1"/>
  <c r="B2" i="17" s="1"/>
  <c r="B2" i="18" s="1"/>
  <c r="B2" i="19" s="1"/>
  <c r="B2" i="44" s="1"/>
  <c r="B2" i="96" s="1"/>
  <c r="CL42" i="39" l="1"/>
  <c r="CL41" i="39"/>
  <c r="CL40" i="39"/>
  <c r="CL39" i="39"/>
  <c r="CL38" i="39"/>
  <c r="CL37" i="39"/>
  <c r="CL36" i="39"/>
  <c r="CL35" i="39"/>
  <c r="CL34" i="39"/>
  <c r="CL33" i="39"/>
  <c r="CL32" i="39"/>
  <c r="CL31" i="39"/>
  <c r="CL30" i="39"/>
  <c r="CL29" i="39"/>
  <c r="CL28" i="39"/>
  <c r="CL27" i="39"/>
  <c r="DD26" i="39"/>
  <c r="CL26" i="39"/>
  <c r="CF26" i="39"/>
  <c r="BZ26" i="39"/>
  <c r="DD25" i="39"/>
  <c r="CL25" i="39"/>
  <c r="CF25" i="39"/>
  <c r="BZ25" i="39"/>
  <c r="DD24" i="39"/>
  <c r="CR24" i="39"/>
  <c r="CL24" i="39"/>
  <c r="CF24" i="39"/>
  <c r="BZ24" i="39"/>
  <c r="DD23" i="39"/>
  <c r="CR23" i="39"/>
  <c r="CL23" i="39"/>
  <c r="CF23" i="39"/>
  <c r="BZ23" i="39"/>
  <c r="DD22" i="39"/>
  <c r="CR22" i="39"/>
  <c r="CL22" i="39"/>
  <c r="CF22" i="39"/>
  <c r="BZ22" i="39"/>
  <c r="DD21" i="39"/>
  <c r="CR21" i="39"/>
  <c r="CL21" i="39"/>
  <c r="CF21" i="39"/>
  <c r="BZ21" i="39"/>
  <c r="DD20" i="39"/>
  <c r="CR20" i="39"/>
  <c r="CL20" i="39"/>
  <c r="CF20" i="39"/>
  <c r="BZ20" i="39"/>
  <c r="DD19" i="39"/>
  <c r="CR19" i="39"/>
  <c r="CL19" i="39"/>
  <c r="CF19" i="39"/>
  <c r="BZ19" i="39"/>
  <c r="L19" i="39"/>
  <c r="DD18" i="39"/>
  <c r="CR18" i="39"/>
  <c r="CL18" i="39"/>
  <c r="CF18" i="39"/>
  <c r="BZ18" i="39"/>
  <c r="L18" i="39"/>
  <c r="DD17" i="39"/>
  <c r="CR17" i="39"/>
  <c r="CL17" i="39"/>
  <c r="CF17" i="39"/>
  <c r="BZ17" i="39"/>
  <c r="L17" i="39"/>
  <c r="DD16" i="39"/>
  <c r="CR16" i="39"/>
  <c r="CL16" i="39"/>
  <c r="CF16" i="39"/>
  <c r="BZ16" i="39"/>
  <c r="L16" i="39"/>
  <c r="DD15" i="39"/>
  <c r="CR15" i="39"/>
  <c r="CL15" i="39"/>
  <c r="CF15" i="39"/>
  <c r="BZ15" i="39"/>
  <c r="L15" i="39"/>
  <c r="DD14" i="39"/>
  <c r="CR14" i="39"/>
  <c r="CL14" i="39"/>
  <c r="CF14" i="39"/>
  <c r="BZ14" i="39"/>
  <c r="BN14" i="39"/>
  <c r="L14" i="39"/>
  <c r="DD13" i="39"/>
  <c r="CR13" i="39"/>
  <c r="CL13" i="39"/>
  <c r="CF13" i="39"/>
  <c r="BZ13" i="39"/>
  <c r="BN13" i="39"/>
  <c r="AP13" i="39"/>
  <c r="L13" i="39"/>
  <c r="DP12" i="39"/>
  <c r="DD12" i="39"/>
  <c r="CR12" i="39"/>
  <c r="CL12" i="39"/>
  <c r="CF12" i="39"/>
  <c r="BZ12" i="39"/>
  <c r="BT12" i="39"/>
  <c r="BN12" i="39"/>
  <c r="BH12" i="39"/>
  <c r="AP12" i="39"/>
  <c r="L12" i="39"/>
  <c r="DP11" i="39"/>
  <c r="DD11" i="39"/>
  <c r="CR11" i="39"/>
  <c r="CL11" i="39"/>
  <c r="CF11" i="39"/>
  <c r="BZ11" i="39"/>
  <c r="BT11" i="39"/>
  <c r="BN11" i="39"/>
  <c r="BH11" i="39"/>
  <c r="AP11" i="39"/>
  <c r="L11" i="39"/>
  <c r="DP10" i="39"/>
  <c r="DD10" i="39"/>
  <c r="CR10" i="39"/>
  <c r="CL10" i="39"/>
  <c r="CF10" i="39"/>
  <c r="BZ10" i="39"/>
  <c r="BT10" i="39"/>
  <c r="BN10" i="39"/>
  <c r="BH10" i="39"/>
  <c r="AP10" i="39"/>
  <c r="L10" i="39"/>
  <c r="DP9" i="39"/>
  <c r="DD9" i="39"/>
  <c r="CR9" i="39"/>
  <c r="CL9" i="39"/>
  <c r="CF9" i="39"/>
  <c r="BZ9" i="39"/>
  <c r="BT9" i="39"/>
  <c r="BN9" i="39"/>
  <c r="BH9" i="39"/>
  <c r="AP9" i="39"/>
  <c r="L9" i="39"/>
  <c r="DP8" i="39"/>
  <c r="DD8" i="39"/>
  <c r="CR8" i="39"/>
  <c r="CL8" i="39"/>
  <c r="CF8" i="39"/>
  <c r="BZ8" i="39"/>
  <c r="BT8" i="39"/>
  <c r="BN8" i="39"/>
  <c r="BH8" i="39"/>
  <c r="AP8" i="39"/>
  <c r="R8" i="39"/>
  <c r="L8" i="39"/>
  <c r="DP7" i="39"/>
  <c r="DJ7" i="39"/>
  <c r="DD7" i="39"/>
  <c r="CR7" i="39"/>
  <c r="CL7" i="39"/>
  <c r="CF7" i="39"/>
  <c r="BZ7" i="39"/>
  <c r="BT7" i="39"/>
  <c r="BN7" i="39"/>
  <c r="BH7" i="39"/>
  <c r="BB7" i="39"/>
  <c r="AP7" i="39"/>
  <c r="R7" i="39"/>
  <c r="L7" i="39"/>
  <c r="DP6" i="39"/>
  <c r="DJ6" i="39"/>
  <c r="DD6" i="39"/>
  <c r="CR6" i="39"/>
  <c r="CL6" i="39"/>
  <c r="CF6" i="39"/>
  <c r="BZ6" i="39"/>
  <c r="BT6" i="39"/>
  <c r="BN6" i="39"/>
  <c r="BH6" i="39"/>
  <c r="BB6" i="39"/>
  <c r="AP6" i="39"/>
  <c r="R6" i="39"/>
  <c r="L6" i="39"/>
  <c r="DP5" i="39"/>
  <c r="DJ5" i="39"/>
  <c r="DD5" i="39"/>
  <c r="CR5" i="39"/>
  <c r="CL5" i="39"/>
  <c r="CF5" i="39"/>
  <c r="BZ5" i="39"/>
  <c r="BT5" i="39"/>
  <c r="BN5" i="39"/>
  <c r="BH5" i="39"/>
  <c r="BB5" i="39"/>
  <c r="AP5" i="39"/>
  <c r="R5" i="39"/>
  <c r="L5" i="39"/>
  <c r="DP4" i="39"/>
  <c r="DJ4" i="39"/>
  <c r="DD4" i="39"/>
  <c r="CR4" i="39"/>
  <c r="CL4" i="39"/>
  <c r="CF4" i="39"/>
  <c r="BZ4" i="39"/>
  <c r="BT4" i="39"/>
  <c r="BN4" i="39"/>
  <c r="BH4" i="39"/>
  <c r="BB4" i="39"/>
  <c r="AP4" i="39"/>
  <c r="R4" i="39"/>
  <c r="L4" i="39"/>
  <c r="DP3" i="39"/>
  <c r="DJ3" i="39"/>
  <c r="DD3" i="39"/>
  <c r="CR3" i="39"/>
  <c r="CL3" i="39"/>
  <c r="CF3" i="39"/>
  <c r="BZ3" i="39"/>
  <c r="BT3" i="39"/>
  <c r="BN3" i="39"/>
  <c r="BH3" i="39"/>
  <c r="BB3" i="39"/>
  <c r="AP3" i="39"/>
  <c r="R3" i="39"/>
  <c r="L3" i="39"/>
  <c r="DP2" i="39"/>
  <c r="DJ2" i="39"/>
  <c r="DD2" i="39"/>
  <c r="CR2" i="39"/>
  <c r="CL2" i="39"/>
  <c r="CF2" i="39"/>
  <c r="BZ2" i="39"/>
  <c r="BT2" i="39"/>
  <c r="BN2" i="39"/>
  <c r="BH2" i="39"/>
  <c r="BB2" i="39"/>
  <c r="AV2" i="39"/>
  <c r="AP2" i="39"/>
  <c r="AJ2" i="39"/>
  <c r="AD2" i="39"/>
  <c r="X2" i="39"/>
  <c r="R2" i="39"/>
  <c r="L2" i="39"/>
  <c r="F2" i="39"/>
  <c r="EJ58" i="37" l="1"/>
  <c r="EJ57" i="37"/>
  <c r="CT57" i="37"/>
  <c r="EJ56" i="37"/>
  <c r="CT56" i="37"/>
  <c r="EJ55" i="37"/>
  <c r="CT55" i="37"/>
  <c r="EJ54" i="37"/>
  <c r="CT54" i="37"/>
  <c r="EJ53" i="37"/>
  <c r="CT53" i="37"/>
  <c r="EJ52" i="37"/>
  <c r="CT52" i="37"/>
  <c r="EJ51" i="37"/>
  <c r="CT51" i="37"/>
  <c r="EJ50" i="37"/>
  <c r="CT50" i="37"/>
  <c r="EJ49" i="37"/>
  <c r="CT49" i="37"/>
  <c r="EJ48" i="37"/>
  <c r="EC48" i="37"/>
  <c r="CT48" i="37"/>
  <c r="EJ47" i="37"/>
  <c r="EC47" i="37"/>
  <c r="CT47" i="37"/>
  <c r="CF47" i="37"/>
  <c r="EJ46" i="37"/>
  <c r="EC46" i="37"/>
  <c r="CT46" i="37"/>
  <c r="CF46" i="37"/>
  <c r="AI46" i="37"/>
  <c r="EJ45" i="37"/>
  <c r="EC45" i="37"/>
  <c r="CT45" i="37"/>
  <c r="CF45" i="37"/>
  <c r="AI45" i="37"/>
  <c r="EJ44" i="37"/>
  <c r="EC44" i="37"/>
  <c r="CT44" i="37"/>
  <c r="CM44" i="37"/>
  <c r="CF44" i="37"/>
  <c r="AI44" i="37"/>
  <c r="EJ43" i="37"/>
  <c r="EC43" i="37"/>
  <c r="CT43" i="37"/>
  <c r="CM43" i="37"/>
  <c r="CF43" i="37"/>
  <c r="AI43" i="37"/>
  <c r="EJ42" i="37"/>
  <c r="EC42" i="37"/>
  <c r="CT42" i="37"/>
  <c r="CM42" i="37"/>
  <c r="CF42" i="37"/>
  <c r="AI42" i="37"/>
  <c r="EJ41" i="37"/>
  <c r="EC41" i="37"/>
  <c r="CT41" i="37"/>
  <c r="CM41" i="37"/>
  <c r="CF41" i="37"/>
  <c r="AI41" i="37"/>
  <c r="N41" i="37"/>
  <c r="EJ40" i="37"/>
  <c r="EC40" i="37"/>
  <c r="CT40" i="37"/>
  <c r="CM40" i="37"/>
  <c r="CF40" i="37"/>
  <c r="AI40" i="37"/>
  <c r="N40" i="37"/>
  <c r="EJ39" i="37"/>
  <c r="EC39" i="37"/>
  <c r="CT39" i="37"/>
  <c r="CM39" i="37"/>
  <c r="CF39" i="37"/>
  <c r="AI39" i="37"/>
  <c r="N39" i="37"/>
  <c r="EJ38" i="37"/>
  <c r="EC38" i="37"/>
  <c r="CT38" i="37"/>
  <c r="CM38" i="37"/>
  <c r="CF38" i="37"/>
  <c r="AI38" i="37"/>
  <c r="N38" i="37"/>
  <c r="EJ37" i="37"/>
  <c r="EC37" i="37"/>
  <c r="CT37" i="37"/>
  <c r="CM37" i="37"/>
  <c r="CF37" i="37"/>
  <c r="AI37" i="37"/>
  <c r="N37" i="37"/>
  <c r="EJ36" i="37"/>
  <c r="EC36" i="37"/>
  <c r="DV36" i="37"/>
  <c r="CT36" i="37"/>
  <c r="CM36" i="37"/>
  <c r="CF36" i="37"/>
  <c r="BK36" i="37"/>
  <c r="AI36" i="37"/>
  <c r="N36" i="37"/>
  <c r="EJ35" i="37"/>
  <c r="EC35" i="37"/>
  <c r="DV35" i="37"/>
  <c r="CT35" i="37"/>
  <c r="CM35" i="37"/>
  <c r="CF35" i="37"/>
  <c r="BR35" i="37"/>
  <c r="BK35" i="37"/>
  <c r="AI35" i="37"/>
  <c r="N35" i="37"/>
  <c r="EJ34" i="37"/>
  <c r="EC34" i="37"/>
  <c r="DV34" i="37"/>
  <c r="DO34" i="37"/>
  <c r="CT34" i="37"/>
  <c r="CM34" i="37"/>
  <c r="CF34" i="37"/>
  <c r="BR34" i="37"/>
  <c r="BK34" i="37"/>
  <c r="AI34" i="37"/>
  <c r="N34" i="37"/>
  <c r="EJ33" i="37"/>
  <c r="EC33" i="37"/>
  <c r="DV33" i="37"/>
  <c r="DO33" i="37"/>
  <c r="DH33" i="37"/>
  <c r="CT33" i="37"/>
  <c r="CM33" i="37"/>
  <c r="CF33" i="37"/>
  <c r="BR33" i="37"/>
  <c r="BK33" i="37"/>
  <c r="AI33" i="37"/>
  <c r="N33" i="37"/>
  <c r="EJ32" i="37"/>
  <c r="EC32" i="37"/>
  <c r="DV32" i="37"/>
  <c r="DO32" i="37"/>
  <c r="DH32" i="37"/>
  <c r="CT32" i="37"/>
  <c r="CM32" i="37"/>
  <c r="CF32" i="37"/>
  <c r="BR32" i="37"/>
  <c r="BK32" i="37"/>
  <c r="AI32" i="37"/>
  <c r="N32" i="37"/>
  <c r="EJ31" i="37"/>
  <c r="EC31" i="37"/>
  <c r="DV31" i="37"/>
  <c r="DO31" i="37"/>
  <c r="DH31" i="37"/>
  <c r="CT31" i="37"/>
  <c r="CM31" i="37"/>
  <c r="CF31" i="37"/>
  <c r="BR31" i="37"/>
  <c r="BK31" i="37"/>
  <c r="AI31" i="37"/>
  <c r="N31" i="37"/>
  <c r="EJ30" i="37"/>
  <c r="EC30" i="37"/>
  <c r="DV30" i="37"/>
  <c r="DO30" i="37"/>
  <c r="DH30" i="37"/>
  <c r="CT30" i="37"/>
  <c r="CM30" i="37"/>
  <c r="CF30" i="37"/>
  <c r="BR30" i="37"/>
  <c r="BK30" i="37"/>
  <c r="AI30" i="37"/>
  <c r="N30" i="37"/>
  <c r="EJ29" i="37"/>
  <c r="EC29" i="37"/>
  <c r="DV29" i="37"/>
  <c r="DO29" i="37"/>
  <c r="DH29" i="37"/>
  <c r="DA29" i="37"/>
  <c r="CT29" i="37"/>
  <c r="CM29" i="37"/>
  <c r="CF29" i="37"/>
  <c r="BR29" i="37"/>
  <c r="BK29" i="37"/>
  <c r="AI29" i="37"/>
  <c r="N29" i="37"/>
  <c r="EJ28" i="37"/>
  <c r="EC28" i="37"/>
  <c r="DV28" i="37"/>
  <c r="DO28" i="37"/>
  <c r="DH28" i="37"/>
  <c r="DA28" i="37"/>
  <c r="CT28" i="37"/>
  <c r="CM28" i="37"/>
  <c r="CF28" i="37"/>
  <c r="BR28" i="37"/>
  <c r="BK28" i="37"/>
  <c r="AI28" i="37"/>
  <c r="N28" i="37"/>
  <c r="EJ27" i="37"/>
  <c r="EC27" i="37"/>
  <c r="DV27" i="37"/>
  <c r="DO27" i="37"/>
  <c r="DH27" i="37"/>
  <c r="DA27" i="37"/>
  <c r="CT27" i="37"/>
  <c r="CM27" i="37"/>
  <c r="CF27" i="37"/>
  <c r="BR27" i="37"/>
  <c r="BK27" i="37"/>
  <c r="AI27" i="37"/>
  <c r="N27" i="37"/>
  <c r="EJ26" i="37"/>
  <c r="EC26" i="37"/>
  <c r="DV26" i="37"/>
  <c r="DO26" i="37"/>
  <c r="DH26" i="37"/>
  <c r="DA26" i="37"/>
  <c r="CT26" i="37"/>
  <c r="CM26" i="37"/>
  <c r="CF26" i="37"/>
  <c r="BR26" i="37"/>
  <c r="BK26" i="37"/>
  <c r="AI26" i="37"/>
  <c r="N26" i="37"/>
  <c r="EJ25" i="37"/>
  <c r="EC25" i="37"/>
  <c r="DV25" i="37"/>
  <c r="DO25" i="37"/>
  <c r="DH25" i="37"/>
  <c r="DA25" i="37"/>
  <c r="CT25" i="37"/>
  <c r="CM25" i="37"/>
  <c r="CF25" i="37"/>
  <c r="BR25" i="37"/>
  <c r="BK25" i="37"/>
  <c r="AI25" i="37"/>
  <c r="N25" i="37"/>
  <c r="EJ24" i="37"/>
  <c r="EC24" i="37"/>
  <c r="DV24" i="37"/>
  <c r="DO24" i="37"/>
  <c r="DH24" i="37"/>
  <c r="DA24" i="37"/>
  <c r="CT24" i="37"/>
  <c r="CM24" i="37"/>
  <c r="CF24" i="37"/>
  <c r="BR24" i="37"/>
  <c r="BK24" i="37"/>
  <c r="AI24" i="37"/>
  <c r="N24" i="37"/>
  <c r="EJ23" i="37"/>
  <c r="EC23" i="37"/>
  <c r="DV23" i="37"/>
  <c r="DO23" i="37"/>
  <c r="DH23" i="37"/>
  <c r="DA23" i="37"/>
  <c r="CT23" i="37"/>
  <c r="CM23" i="37"/>
  <c r="CF23" i="37"/>
  <c r="BR23" i="37"/>
  <c r="BK23" i="37"/>
  <c r="BD23" i="37"/>
  <c r="AI23" i="37"/>
  <c r="U23" i="37"/>
  <c r="N23" i="37"/>
  <c r="EJ22" i="37"/>
  <c r="EC22" i="37"/>
  <c r="DV22" i="37"/>
  <c r="DO22" i="37"/>
  <c r="DH22" i="37"/>
  <c r="DA22" i="37"/>
  <c r="CT22" i="37"/>
  <c r="CM22" i="37"/>
  <c r="CF22" i="37"/>
  <c r="BR22" i="37"/>
  <c r="BK22" i="37"/>
  <c r="BD22" i="37"/>
  <c r="AI22" i="37"/>
  <c r="U22" i="37"/>
  <c r="N22" i="37"/>
  <c r="EJ21" i="37"/>
  <c r="EC21" i="37"/>
  <c r="DV21" i="37"/>
  <c r="DO21" i="37"/>
  <c r="DH21" i="37"/>
  <c r="DA21" i="37"/>
  <c r="CT21" i="37"/>
  <c r="CM21" i="37"/>
  <c r="CF21" i="37"/>
  <c r="BR21" i="37"/>
  <c r="BK21" i="37"/>
  <c r="BD21" i="37"/>
  <c r="AI21" i="37"/>
  <c r="U21" i="37"/>
  <c r="N21" i="37"/>
  <c r="EJ20" i="37"/>
  <c r="EC20" i="37"/>
  <c r="DV20" i="37"/>
  <c r="DO20" i="37"/>
  <c r="DH20" i="37"/>
  <c r="DA20" i="37"/>
  <c r="CT20" i="37"/>
  <c r="CM20" i="37"/>
  <c r="CF20" i="37"/>
  <c r="BR20" i="37"/>
  <c r="BK20" i="37"/>
  <c r="BD20" i="37"/>
  <c r="AI20" i="37"/>
  <c r="U20" i="37"/>
  <c r="N20" i="37"/>
  <c r="EJ19" i="37"/>
  <c r="EC19" i="37"/>
  <c r="DV19" i="37"/>
  <c r="DO19" i="37"/>
  <c r="DH19" i="37"/>
  <c r="DA19" i="37"/>
  <c r="CT19" i="37"/>
  <c r="CM19" i="37"/>
  <c r="CF19" i="37"/>
  <c r="BR19" i="37"/>
  <c r="BK19" i="37"/>
  <c r="BD19" i="37"/>
  <c r="AI19" i="37"/>
  <c r="U19" i="37"/>
  <c r="N19" i="37"/>
  <c r="EJ18" i="37"/>
  <c r="EC18" i="37"/>
  <c r="DV18" i="37"/>
  <c r="DO18" i="37"/>
  <c r="DH18" i="37"/>
  <c r="DA18" i="37"/>
  <c r="CT18" i="37"/>
  <c r="CM18" i="37"/>
  <c r="CF18" i="37"/>
  <c r="BR18" i="37"/>
  <c r="BK18" i="37"/>
  <c r="BD18" i="37"/>
  <c r="AI18" i="37"/>
  <c r="U18" i="37"/>
  <c r="N18" i="37"/>
  <c r="EJ17" i="37"/>
  <c r="EC17" i="37"/>
  <c r="DV17" i="37"/>
  <c r="DO17" i="37"/>
  <c r="DH17" i="37"/>
  <c r="DA17" i="37"/>
  <c r="CT17" i="37"/>
  <c r="CM17" i="37"/>
  <c r="CF17" i="37"/>
  <c r="BY17" i="37"/>
  <c r="BR17" i="37"/>
  <c r="BK17" i="37"/>
  <c r="BD17" i="37"/>
  <c r="AW17" i="37"/>
  <c r="AI17" i="37"/>
  <c r="U17" i="37"/>
  <c r="N17" i="37"/>
  <c r="EJ16" i="37"/>
  <c r="EC16" i="37"/>
  <c r="DV16" i="37"/>
  <c r="DO16" i="37"/>
  <c r="DH16" i="37"/>
  <c r="DA16" i="37"/>
  <c r="CT16" i="37"/>
  <c r="CM16" i="37"/>
  <c r="CF16" i="37"/>
  <c r="BY16" i="37"/>
  <c r="BR16" i="37"/>
  <c r="BK16" i="37"/>
  <c r="BD16" i="37"/>
  <c r="AW16" i="37"/>
  <c r="AI16" i="37"/>
  <c r="U16" i="37"/>
  <c r="N16" i="37"/>
  <c r="EJ15" i="37"/>
  <c r="EC15" i="37"/>
  <c r="DV15" i="37"/>
  <c r="DO15" i="37"/>
  <c r="DH15" i="37"/>
  <c r="DA15" i="37"/>
  <c r="CT15" i="37"/>
  <c r="CM15" i="37"/>
  <c r="CF15" i="37"/>
  <c r="BY15" i="37"/>
  <c r="BR15" i="37"/>
  <c r="BK15" i="37"/>
  <c r="BD15" i="37"/>
  <c r="AW15" i="37"/>
  <c r="AP15" i="37"/>
  <c r="AI15" i="37"/>
  <c r="AB15" i="37"/>
  <c r="U15" i="37"/>
  <c r="N15" i="37"/>
  <c r="G15" i="37"/>
  <c r="EJ14" i="37"/>
  <c r="EC14" i="37"/>
  <c r="DV14" i="37"/>
  <c r="DO14" i="37"/>
  <c r="DH14" i="37"/>
  <c r="DA14" i="37"/>
  <c r="CT14" i="37"/>
  <c r="CM14" i="37"/>
  <c r="CF14" i="37"/>
  <c r="BY14" i="37"/>
  <c r="BR14" i="37"/>
  <c r="BK14" i="37"/>
  <c r="BD14" i="37"/>
  <c r="AW14" i="37"/>
  <c r="AP14" i="37"/>
  <c r="AI14" i="37"/>
  <c r="AB14" i="37"/>
  <c r="U14" i="37"/>
  <c r="N14" i="37"/>
  <c r="G14" i="37"/>
  <c r="EJ13" i="37"/>
  <c r="EC13" i="37"/>
  <c r="DV13" i="37"/>
  <c r="DO13" i="37"/>
  <c r="DH13" i="37"/>
  <c r="DA13" i="37"/>
  <c r="CT13" i="37"/>
  <c r="CM13" i="37"/>
  <c r="CF13" i="37"/>
  <c r="BY13" i="37"/>
  <c r="BR13" i="37"/>
  <c r="BK13" i="37"/>
  <c r="BD13" i="37"/>
  <c r="AW13" i="37"/>
  <c r="AP13" i="37"/>
  <c r="AI13" i="37"/>
  <c r="AB13" i="37"/>
  <c r="U13" i="37"/>
  <c r="N13" i="37"/>
  <c r="G13" i="37"/>
  <c r="EJ12" i="37"/>
  <c r="EC12" i="37"/>
  <c r="DV12" i="37"/>
  <c r="DO12" i="37"/>
  <c r="DH12" i="37"/>
  <c r="DA12" i="37"/>
  <c r="CT12" i="37"/>
  <c r="CM12" i="37"/>
  <c r="CF12" i="37"/>
  <c r="BY12" i="37"/>
  <c r="BR12" i="37"/>
  <c r="BK12" i="37"/>
  <c r="BD12" i="37"/>
  <c r="AW12" i="37"/>
  <c r="AP12" i="37"/>
  <c r="AI12" i="37"/>
  <c r="AB12" i="37"/>
  <c r="U12" i="37"/>
  <c r="N12" i="37"/>
  <c r="G12" i="37"/>
  <c r="EJ11" i="37"/>
  <c r="EC11" i="37"/>
  <c r="DV11" i="37"/>
  <c r="DO11" i="37"/>
  <c r="DH11" i="37"/>
  <c r="DA11" i="37"/>
  <c r="CT11" i="37"/>
  <c r="CM11" i="37"/>
  <c r="CF11" i="37"/>
  <c r="BY11" i="37"/>
  <c r="BR11" i="37"/>
  <c r="BK11" i="37"/>
  <c r="BD11" i="37"/>
  <c r="AW11" i="37"/>
  <c r="AP11" i="37"/>
  <c r="AI11" i="37"/>
  <c r="AB11" i="37"/>
  <c r="U11" i="37"/>
  <c r="N11" i="37"/>
  <c r="G11" i="37"/>
  <c r="EJ10" i="37"/>
  <c r="EC10" i="37"/>
  <c r="DV10" i="37"/>
  <c r="DO10" i="37"/>
  <c r="DH10" i="37"/>
  <c r="DA10" i="37"/>
  <c r="CT10" i="37"/>
  <c r="CM10" i="37"/>
  <c r="CF10" i="37"/>
  <c r="BY10" i="37"/>
  <c r="BR10" i="37"/>
  <c r="BK10" i="37"/>
  <c r="BD10" i="37"/>
  <c r="AW10" i="37"/>
  <c r="AP10" i="37"/>
  <c r="AI10" i="37"/>
  <c r="AB10" i="37"/>
  <c r="U10" i="37"/>
  <c r="N10" i="37"/>
  <c r="G10" i="37"/>
  <c r="EJ9" i="37"/>
  <c r="EC9" i="37"/>
  <c r="DV9" i="37"/>
  <c r="DO9" i="37"/>
  <c r="DH9" i="37"/>
  <c r="DA9" i="37"/>
  <c r="CT9" i="37"/>
  <c r="CM9" i="37"/>
  <c r="CF9" i="37"/>
  <c r="BY9" i="37"/>
  <c r="BR9" i="37"/>
  <c r="BK9" i="37"/>
  <c r="BD9" i="37"/>
  <c r="AW9" i="37"/>
  <c r="AP9" i="37"/>
  <c r="AI9" i="37"/>
  <c r="AB9" i="37"/>
  <c r="U9" i="37"/>
  <c r="N9" i="37"/>
  <c r="G9" i="37"/>
  <c r="EJ8" i="37"/>
  <c r="EC8" i="37"/>
  <c r="DV8" i="37"/>
  <c r="DO8" i="37"/>
  <c r="DH8" i="37"/>
  <c r="DA8" i="37"/>
  <c r="CT8" i="37"/>
  <c r="CM8" i="37"/>
  <c r="CF8" i="37"/>
  <c r="BY8" i="37"/>
  <c r="BR8" i="37"/>
  <c r="BK8" i="37"/>
  <c r="BD8" i="37"/>
  <c r="AW8" i="37"/>
  <c r="AP8" i="37"/>
  <c r="AI8" i="37"/>
  <c r="AB8" i="37"/>
  <c r="U8" i="37"/>
  <c r="N8" i="37"/>
  <c r="G8" i="37"/>
  <c r="EJ7" i="37"/>
  <c r="EC7" i="37"/>
  <c r="DV7" i="37"/>
  <c r="DO7" i="37"/>
  <c r="DH7" i="37"/>
  <c r="DA7" i="37"/>
  <c r="CT7" i="37"/>
  <c r="CM7" i="37"/>
  <c r="CF7" i="37"/>
  <c r="BY7" i="37"/>
  <c r="BR7" i="37"/>
  <c r="BK7" i="37"/>
  <c r="BD7" i="37"/>
  <c r="AW7" i="37"/>
  <c r="AP7" i="37"/>
  <c r="AB7" i="37"/>
  <c r="U7" i="37"/>
  <c r="N7" i="37"/>
  <c r="G7" i="37"/>
  <c r="EJ6" i="37"/>
  <c r="EC6" i="37"/>
  <c r="DV6" i="37"/>
  <c r="DO6" i="37"/>
  <c r="DH6" i="37"/>
  <c r="CT6" i="37"/>
  <c r="CM6" i="37"/>
  <c r="CF6" i="37"/>
  <c r="BY6" i="37"/>
  <c r="BR6" i="37"/>
  <c r="BK6" i="37"/>
  <c r="BD6" i="37"/>
  <c r="AW6" i="37"/>
  <c r="AP6" i="37"/>
  <c r="AI6" i="37"/>
  <c r="AB6" i="37"/>
  <c r="U6" i="37"/>
  <c r="N6" i="37"/>
  <c r="G6" i="37"/>
  <c r="EJ5" i="37"/>
  <c r="EC5" i="37"/>
  <c r="DV5" i="37"/>
  <c r="DO5" i="37"/>
  <c r="DH5" i="37"/>
  <c r="DA5" i="37"/>
  <c r="CT5" i="37"/>
  <c r="CM5" i="37"/>
  <c r="CF5" i="37"/>
  <c r="BY5" i="37"/>
  <c r="BR5" i="37"/>
  <c r="BK5" i="37"/>
  <c r="BD5" i="37"/>
  <c r="AW5" i="37"/>
  <c r="AP5" i="37"/>
  <c r="AI5" i="37"/>
  <c r="AB5" i="37"/>
  <c r="U5" i="37"/>
  <c r="N5" i="37"/>
  <c r="G5" i="37"/>
  <c r="EJ4" i="37"/>
  <c r="EC4" i="37"/>
  <c r="DV4" i="37"/>
  <c r="DO4" i="37"/>
  <c r="DH4" i="37"/>
  <c r="DA4" i="37"/>
  <c r="CT4" i="37"/>
  <c r="CM4" i="37"/>
  <c r="CF4" i="37"/>
  <c r="BY4" i="37"/>
  <c r="BR4" i="37"/>
  <c r="BK4" i="37"/>
  <c r="BD4" i="37"/>
  <c r="AW4" i="37"/>
  <c r="AP4" i="37"/>
  <c r="AI4" i="37"/>
  <c r="AB4" i="37"/>
  <c r="U4" i="37"/>
  <c r="N4" i="37"/>
  <c r="G4" i="37"/>
  <c r="EJ3" i="37"/>
  <c r="EC3" i="37"/>
  <c r="DV3" i="37"/>
  <c r="DO3" i="37"/>
  <c r="DH3" i="37"/>
  <c r="DA3" i="37"/>
  <c r="CT3" i="37"/>
  <c r="CM3" i="37"/>
  <c r="CF3" i="37"/>
  <c r="BY3" i="37"/>
  <c r="BR3" i="37"/>
  <c r="BK3" i="37"/>
  <c r="BD3" i="37"/>
  <c r="AW3" i="37"/>
  <c r="AP3" i="37"/>
  <c r="AI3" i="37"/>
  <c r="AB3" i="37"/>
  <c r="U3" i="37"/>
  <c r="N3" i="37"/>
  <c r="G3" i="37"/>
  <c r="EJ2" i="37"/>
  <c r="EC2" i="37"/>
  <c r="DV2" i="37"/>
  <c r="DO2" i="37"/>
  <c r="DH2" i="37"/>
  <c r="DA2" i="37"/>
  <c r="CT2" i="37"/>
  <c r="CM2" i="37"/>
  <c r="CF2" i="37"/>
  <c r="BY2" i="37"/>
  <c r="BR2" i="37"/>
  <c r="BK2" i="37"/>
  <c r="BD2" i="37"/>
  <c r="AW2" i="37"/>
  <c r="AP2" i="37"/>
  <c r="AI2" i="37"/>
  <c r="AB2" i="37"/>
  <c r="U2" i="37"/>
  <c r="N2" i="37"/>
  <c r="G2" i="37"/>
  <c r="AA18" i="95" l="1"/>
  <c r="AA17" i="95"/>
  <c r="AZ17" i="95" l="1"/>
  <c r="AZ18" i="95"/>
  <c r="AM6" i="11" l="1"/>
  <c r="Q14" i="95" l="1"/>
  <c r="K14" i="95"/>
  <c r="AG18" i="95"/>
  <c r="G5090" i="97" l="1"/>
  <c r="G5089" i="97"/>
  <c r="G5088" i="97"/>
  <c r="G5068" i="97"/>
  <c r="G5067" i="97"/>
  <c r="G5066" i="97"/>
  <c r="G5046" i="97"/>
  <c r="G5045" i="97"/>
  <c r="G5044" i="97"/>
  <c r="W34" i="75"/>
  <c r="W33" i="75"/>
  <c r="W32" i="75"/>
  <c r="V34" i="75"/>
  <c r="U34" i="75"/>
  <c r="V33" i="75"/>
  <c r="U33" i="75"/>
  <c r="V32" i="75"/>
  <c r="U32" i="75"/>
  <c r="AQ34" i="75"/>
  <c r="B5090" i="97" s="1"/>
  <c r="AP34" i="75"/>
  <c r="B5068" i="97" s="1"/>
  <c r="AO34" i="75"/>
  <c r="B5046" i="97" s="1"/>
  <c r="AQ33" i="75"/>
  <c r="B5089" i="97" s="1"/>
  <c r="AP33" i="75"/>
  <c r="B5067" i="97" s="1"/>
  <c r="AO33" i="75"/>
  <c r="B5045" i="97" s="1"/>
  <c r="AQ32" i="75"/>
  <c r="B5088" i="97" s="1"/>
  <c r="AP32" i="75"/>
  <c r="B5066" i="97" s="1"/>
  <c r="AO32" i="75"/>
  <c r="B5044" i="97" s="1"/>
  <c r="B2259" i="97" l="1"/>
  <c r="G2259" i="97" l="1"/>
  <c r="G5461" i="97"/>
  <c r="G5460" i="97"/>
  <c r="G5459" i="97"/>
  <c r="G5458" i="97"/>
  <c r="G5457" i="97"/>
  <c r="G5456" i="97"/>
  <c r="G5455" i="97"/>
  <c r="G5454" i="97"/>
  <c r="G5453" i="97"/>
  <c r="G5452" i="97"/>
  <c r="G5451" i="97"/>
  <c r="G5450" i="97"/>
  <c r="G5449" i="97"/>
  <c r="G5448" i="97"/>
  <c r="G5447" i="97"/>
  <c r="G5446" i="97"/>
  <c r="G5445" i="97"/>
  <c r="G5444" i="97"/>
  <c r="G5443" i="97"/>
  <c r="G5442" i="97"/>
  <c r="G5441" i="97"/>
  <c r="G5440" i="97"/>
  <c r="G5439" i="97"/>
  <c r="G5438" i="97"/>
  <c r="G5437" i="97"/>
  <c r="G5436" i="97"/>
  <c r="G5421" i="97"/>
  <c r="G5419" i="97"/>
  <c r="G5417" i="97"/>
  <c r="G5416" i="97"/>
  <c r="G5415" i="97"/>
  <c r="G5414" i="97"/>
  <c r="G5413" i="97"/>
  <c r="G5412" i="97"/>
  <c r="G5411" i="97"/>
  <c r="G5410" i="97"/>
  <c r="G5408" i="97"/>
  <c r="G5406" i="97"/>
  <c r="G5404" i="97"/>
  <c r="G5403" i="97"/>
  <c r="G5402" i="97"/>
  <c r="G5401" i="97"/>
  <c r="G5400" i="97"/>
  <c r="G5399" i="97"/>
  <c r="G5398" i="97"/>
  <c r="G5397" i="97"/>
  <c r="G5382" i="97"/>
  <c r="G5380" i="97"/>
  <c r="G5378" i="97"/>
  <c r="G5377" i="97"/>
  <c r="G5376" i="97"/>
  <c r="G5375" i="97"/>
  <c r="G5374" i="97"/>
  <c r="G5373" i="97"/>
  <c r="G5372" i="97"/>
  <c r="G5371" i="97"/>
  <c r="G5369" i="97"/>
  <c r="G5367" i="97"/>
  <c r="G5365" i="97"/>
  <c r="G5364" i="97"/>
  <c r="G5363" i="97"/>
  <c r="G5362" i="97"/>
  <c r="G5361" i="97"/>
  <c r="G5360" i="97"/>
  <c r="G5359" i="97"/>
  <c r="G5358" i="97"/>
  <c r="G5356" i="97"/>
  <c r="G5354" i="97"/>
  <c r="G5352" i="97"/>
  <c r="G5351" i="97"/>
  <c r="G5350" i="97"/>
  <c r="G5349" i="97"/>
  <c r="G5348" i="97"/>
  <c r="G5347" i="97"/>
  <c r="G5346" i="97"/>
  <c r="G5345" i="97"/>
  <c r="G5334" i="97"/>
  <c r="G5332" i="97"/>
  <c r="G5330" i="97"/>
  <c r="G5329" i="97"/>
  <c r="G5328" i="97"/>
  <c r="G5327" i="97"/>
  <c r="G5326" i="97"/>
  <c r="G5325" i="97"/>
  <c r="G5324" i="97"/>
  <c r="G5323" i="97"/>
  <c r="G5321" i="97"/>
  <c r="G5319" i="97"/>
  <c r="G5317" i="97"/>
  <c r="G5316" i="97"/>
  <c r="G5315" i="97"/>
  <c r="G5314" i="97"/>
  <c r="G5313" i="97"/>
  <c r="G5312" i="97"/>
  <c r="G5311" i="97"/>
  <c r="G5310" i="97"/>
  <c r="G5296" i="97"/>
  <c r="G5295" i="97"/>
  <c r="G5294" i="97"/>
  <c r="G5293" i="97"/>
  <c r="G5292" i="97"/>
  <c r="G5291" i="97"/>
  <c r="G5290" i="97"/>
  <c r="G5289" i="97"/>
  <c r="G5288" i="97"/>
  <c r="G5286" i="97"/>
  <c r="G5284" i="97"/>
  <c r="G5282" i="97"/>
  <c r="G5281" i="97"/>
  <c r="G5280" i="97"/>
  <c r="G5279" i="97"/>
  <c r="G5278" i="97"/>
  <c r="G5277" i="97"/>
  <c r="G5276" i="97"/>
  <c r="G5275" i="97"/>
  <c r="G5273" i="97"/>
  <c r="G5271" i="97"/>
  <c r="G5269" i="97"/>
  <c r="G5268" i="97"/>
  <c r="G5267" i="97"/>
  <c r="G5266" i="97"/>
  <c r="G5265" i="97"/>
  <c r="G5264" i="97"/>
  <c r="G5263" i="97"/>
  <c r="G5262" i="97"/>
  <c r="G5260" i="97"/>
  <c r="G5258" i="97"/>
  <c r="G5256" i="97"/>
  <c r="G5255" i="97"/>
  <c r="G5254" i="97"/>
  <c r="G5253" i="97"/>
  <c r="G5252" i="97"/>
  <c r="G5251" i="97"/>
  <c r="G5250" i="97"/>
  <c r="G5249" i="97"/>
  <c r="G5248" i="97"/>
  <c r="G5247" i="97"/>
  <c r="G5246" i="97"/>
  <c r="G5245" i="97"/>
  <c r="G5244" i="97"/>
  <c r="G5243" i="97"/>
  <c r="G5242" i="97"/>
  <c r="G5241" i="97"/>
  <c r="G5240" i="97"/>
  <c r="G5238" i="97"/>
  <c r="G5236" i="97"/>
  <c r="G5234" i="97"/>
  <c r="G5233" i="97"/>
  <c r="G5232" i="97"/>
  <c r="G5231" i="97"/>
  <c r="G5230" i="97"/>
  <c r="G5229" i="97"/>
  <c r="G5228" i="97"/>
  <c r="G5227" i="97"/>
  <c r="G5225" i="97"/>
  <c r="G5223" i="97"/>
  <c r="G5221" i="97"/>
  <c r="G5220" i="97"/>
  <c r="G5219" i="97"/>
  <c r="G5218" i="97"/>
  <c r="G5217" i="97"/>
  <c r="G5216" i="97"/>
  <c r="G5215" i="97"/>
  <c r="G5214" i="97"/>
  <c r="G5212" i="97"/>
  <c r="G5210" i="97"/>
  <c r="G5208" i="97"/>
  <c r="G5207" i="97"/>
  <c r="G5206" i="97"/>
  <c r="G5205" i="97"/>
  <c r="G5204" i="97"/>
  <c r="G5203" i="97"/>
  <c r="G5202" i="97"/>
  <c r="G5201" i="97"/>
  <c r="G5200" i="97"/>
  <c r="G5199" i="97"/>
  <c r="G5198" i="97"/>
  <c r="G5197" i="97"/>
  <c r="G5196" i="97"/>
  <c r="G5195" i="97"/>
  <c r="G5194" i="97"/>
  <c r="G5193" i="97"/>
  <c r="G5192" i="97"/>
  <c r="G5190" i="97"/>
  <c r="G5188" i="97"/>
  <c r="G5186" i="97"/>
  <c r="G5185" i="97"/>
  <c r="G5184" i="97"/>
  <c r="G5183" i="97"/>
  <c r="G5182" i="97"/>
  <c r="G5181" i="97"/>
  <c r="G5180" i="97"/>
  <c r="G5179" i="97"/>
  <c r="G5177" i="97"/>
  <c r="G5175" i="97"/>
  <c r="G5173" i="97"/>
  <c r="G5172" i="97"/>
  <c r="G5171" i="97"/>
  <c r="G5170" i="97"/>
  <c r="G5169" i="97"/>
  <c r="G5168" i="97"/>
  <c r="G5167" i="97"/>
  <c r="G5166" i="97"/>
  <c r="G5164" i="97"/>
  <c r="G5162" i="97"/>
  <c r="G5160" i="97"/>
  <c r="G5159" i="97"/>
  <c r="G5158" i="97"/>
  <c r="G5157" i="97"/>
  <c r="G5156" i="97"/>
  <c r="G5155" i="97"/>
  <c r="G5154" i="97"/>
  <c r="G5153" i="97"/>
  <c r="G5138" i="97"/>
  <c r="G5136" i="97"/>
  <c r="G5134" i="97"/>
  <c r="G5133" i="97"/>
  <c r="G5132" i="97"/>
  <c r="G5131" i="97"/>
  <c r="G5130" i="97"/>
  <c r="G5129" i="97"/>
  <c r="G5128" i="97"/>
  <c r="G5127" i="97"/>
  <c r="G5125" i="97"/>
  <c r="G5123" i="97"/>
  <c r="G5121" i="97"/>
  <c r="G5120" i="97"/>
  <c r="G5119" i="97"/>
  <c r="G5118" i="97"/>
  <c r="G5117" i="97"/>
  <c r="G5116" i="97"/>
  <c r="G5115" i="97"/>
  <c r="G5114" i="97"/>
  <c r="G5103" i="97"/>
  <c r="G5101" i="97"/>
  <c r="G5099" i="97"/>
  <c r="G5098" i="97"/>
  <c r="G5097" i="97"/>
  <c r="G5096" i="97"/>
  <c r="G5095" i="97"/>
  <c r="G5094" i="97"/>
  <c r="G5093" i="97"/>
  <c r="G5092" i="97"/>
  <c r="G5091" i="97"/>
  <c r="G5087" i="97"/>
  <c r="G5086" i="97"/>
  <c r="G5085" i="97"/>
  <c r="G5084" i="97"/>
  <c r="G5083" i="97"/>
  <c r="G5081" i="97"/>
  <c r="G5079" i="97"/>
  <c r="G5077" i="97"/>
  <c r="G5076" i="97"/>
  <c r="G5075" i="97"/>
  <c r="G5074" i="97"/>
  <c r="G5073" i="97"/>
  <c r="G5072" i="97"/>
  <c r="G5071" i="97"/>
  <c r="G5070" i="97"/>
  <c r="G5069" i="97"/>
  <c r="G5065" i="97"/>
  <c r="G5064" i="97"/>
  <c r="G5063" i="97"/>
  <c r="G5062" i="97"/>
  <c r="G5061" i="97"/>
  <c r="G5059" i="97"/>
  <c r="G5057" i="97"/>
  <c r="G5055" i="97"/>
  <c r="G5054" i="97"/>
  <c r="G5053" i="97"/>
  <c r="G5052" i="97"/>
  <c r="G5051" i="97"/>
  <c r="G5050" i="97"/>
  <c r="G5049" i="97"/>
  <c r="G5048" i="97"/>
  <c r="G5047" i="97"/>
  <c r="G5043" i="97"/>
  <c r="G5042" i="97"/>
  <c r="G5041" i="97"/>
  <c r="G5040" i="97"/>
  <c r="G5039" i="97"/>
  <c r="G5037" i="97"/>
  <c r="G5035" i="97"/>
  <c r="G5033" i="97"/>
  <c r="G5032" i="97"/>
  <c r="G5031" i="97"/>
  <c r="G5030" i="97"/>
  <c r="G5029" i="97"/>
  <c r="G5028" i="97"/>
  <c r="G5027" i="97"/>
  <c r="G5026" i="97"/>
  <c r="G5025" i="97"/>
  <c r="G5024" i="97"/>
  <c r="G5023" i="97"/>
  <c r="G5022" i="97"/>
  <c r="G5021" i="97"/>
  <c r="G5020" i="97"/>
  <c r="G5019" i="97"/>
  <c r="G5018" i="97"/>
  <c r="G5017" i="97"/>
  <c r="G5015" i="97"/>
  <c r="G5013" i="97"/>
  <c r="G5011" i="97"/>
  <c r="G5010" i="97"/>
  <c r="G5009" i="97"/>
  <c r="G5008" i="97"/>
  <c r="G5007" i="97"/>
  <c r="G5006" i="97"/>
  <c r="G5005" i="97"/>
  <c r="G5004" i="97"/>
  <c r="G5003" i="97"/>
  <c r="G5002" i="97"/>
  <c r="G5001" i="97"/>
  <c r="G5000" i="97"/>
  <c r="G4999" i="97"/>
  <c r="G4998" i="97"/>
  <c r="G4997" i="97"/>
  <c r="G4996" i="97"/>
  <c r="G4994" i="97"/>
  <c r="G4993" i="97"/>
  <c r="G4992" i="97"/>
  <c r="G4991" i="97"/>
  <c r="G4989" i="97"/>
  <c r="G4987" i="97"/>
  <c r="G4986" i="97"/>
  <c r="G4984" i="97"/>
  <c r="G4983" i="97"/>
  <c r="G4982" i="97"/>
  <c r="G4981" i="97"/>
  <c r="G4979" i="97"/>
  <c r="G4978" i="97"/>
  <c r="G4977" i="97"/>
  <c r="G4976" i="97"/>
  <c r="G4975" i="97"/>
  <c r="G4973" i="97"/>
  <c r="G4972" i="97"/>
  <c r="G4971" i="97"/>
  <c r="G4970" i="97"/>
  <c r="G4969" i="97"/>
  <c r="G4968" i="97"/>
  <c r="G4967" i="97"/>
  <c r="G4966" i="97"/>
  <c r="G4964" i="97"/>
  <c r="G4963" i="97"/>
  <c r="G4962" i="97"/>
  <c r="G4961" i="97"/>
  <c r="G4960" i="97"/>
  <c r="G4958" i="97"/>
  <c r="G4957" i="97"/>
  <c r="G4956" i="97"/>
  <c r="G4955" i="97"/>
  <c r="G4954" i="97"/>
  <c r="G4953" i="97"/>
  <c r="G4952" i="97"/>
  <c r="G4951" i="97"/>
  <c r="G4950" i="97"/>
  <c r="G4949" i="97"/>
  <c r="G4948" i="97"/>
  <c r="G4947" i="97"/>
  <c r="G4946" i="97"/>
  <c r="G4945" i="97"/>
  <c r="G4944" i="97"/>
  <c r="G4943" i="97"/>
  <c r="G4942" i="97"/>
  <c r="G4941" i="97"/>
  <c r="G4925" i="97"/>
  <c r="G4924" i="97"/>
  <c r="G4923" i="97"/>
  <c r="G4922" i="97"/>
  <c r="G4921" i="97"/>
  <c r="G4920" i="97"/>
  <c r="G4918" i="97"/>
  <c r="G4917" i="97"/>
  <c r="G4916" i="97"/>
  <c r="G4915" i="97"/>
  <c r="G4914" i="97"/>
  <c r="G4913" i="97"/>
  <c r="G4911" i="97"/>
  <c r="G4910" i="97"/>
  <c r="G4909" i="97"/>
  <c r="G4908" i="97"/>
  <c r="G4907" i="97"/>
  <c r="G4906" i="97"/>
  <c r="G4904" i="97"/>
  <c r="G4903" i="97"/>
  <c r="G4902" i="97"/>
  <c r="G4901" i="97"/>
  <c r="G4900" i="97"/>
  <c r="G4899" i="97"/>
  <c r="G4897" i="97"/>
  <c r="G4896" i="97"/>
  <c r="G4895" i="97"/>
  <c r="G4894" i="97"/>
  <c r="G4893" i="97"/>
  <c r="G4892" i="97"/>
  <c r="G4890" i="97"/>
  <c r="G4889" i="97"/>
  <c r="G4888" i="97"/>
  <c r="G4887" i="97"/>
  <c r="G4886" i="97"/>
  <c r="G4885" i="97"/>
  <c r="G4883" i="97"/>
  <c r="G4882" i="97"/>
  <c r="G4881" i="97"/>
  <c r="G4880" i="97"/>
  <c r="G4879" i="97"/>
  <c r="G4878" i="97"/>
  <c r="G4876" i="97"/>
  <c r="G4875" i="97"/>
  <c r="G4874" i="97"/>
  <c r="G4873" i="97"/>
  <c r="G4872" i="97"/>
  <c r="G4871" i="97"/>
  <c r="G4869" i="97"/>
  <c r="G4868" i="97"/>
  <c r="G4867" i="97"/>
  <c r="G4866" i="97"/>
  <c r="G4865" i="97"/>
  <c r="G4864" i="97"/>
  <c r="G4862" i="97"/>
  <c r="G4861" i="97"/>
  <c r="G4860" i="97"/>
  <c r="G4859" i="97"/>
  <c r="G4858" i="97"/>
  <c r="G4857" i="97"/>
  <c r="G4841" i="97"/>
  <c r="G4840" i="97"/>
  <c r="G4839" i="97"/>
  <c r="G4838" i="97"/>
  <c r="G4837" i="97"/>
  <c r="G4836" i="97"/>
  <c r="G4834" i="97"/>
  <c r="G4833" i="97"/>
  <c r="G4832" i="97"/>
  <c r="G4831" i="97"/>
  <c r="G4830" i="97"/>
  <c r="G4829" i="97"/>
  <c r="G4827" i="97"/>
  <c r="G4826" i="97"/>
  <c r="G4825" i="97"/>
  <c r="G4824" i="97"/>
  <c r="G4823" i="97"/>
  <c r="G4822" i="97"/>
  <c r="G4820" i="97"/>
  <c r="G4819" i="97"/>
  <c r="G4818" i="97"/>
  <c r="G4817" i="97"/>
  <c r="G4816" i="97"/>
  <c r="G4815" i="97"/>
  <c r="G4813" i="97"/>
  <c r="G4812" i="97"/>
  <c r="G4811" i="97"/>
  <c r="G4810" i="97"/>
  <c r="G4809" i="97"/>
  <c r="G4808" i="97"/>
  <c r="G4806" i="97"/>
  <c r="G4805" i="97"/>
  <c r="G4804" i="97"/>
  <c r="G4803" i="97"/>
  <c r="G4802" i="97"/>
  <c r="G4801" i="97"/>
  <c r="G4799" i="97"/>
  <c r="G4798" i="97"/>
  <c r="G4797" i="97"/>
  <c r="G4796" i="97"/>
  <c r="G4795" i="97"/>
  <c r="G4794" i="97"/>
  <c r="G4792" i="97"/>
  <c r="G4791" i="97"/>
  <c r="G4790" i="97"/>
  <c r="G4789" i="97"/>
  <c r="G4788" i="97"/>
  <c r="G4787" i="97"/>
  <c r="G4785" i="97"/>
  <c r="G4784" i="97"/>
  <c r="G4783" i="97"/>
  <c r="G4782" i="97"/>
  <c r="G4781" i="97"/>
  <c r="G4780" i="97"/>
  <c r="G4778" i="97"/>
  <c r="G4777" i="97"/>
  <c r="G4776" i="97"/>
  <c r="G4775" i="97"/>
  <c r="G4774" i="97"/>
  <c r="G4773" i="97"/>
  <c r="G4757" i="97"/>
  <c r="G4756" i="97"/>
  <c r="G4755" i="97"/>
  <c r="G4754" i="97"/>
  <c r="G4753" i="97"/>
  <c r="G4752" i="97"/>
  <c r="G4750" i="97"/>
  <c r="G4749" i="97"/>
  <c r="G4748" i="97"/>
  <c r="G4747" i="97"/>
  <c r="G4746" i="97"/>
  <c r="G4745" i="97"/>
  <c r="G4743" i="97"/>
  <c r="G4742" i="97"/>
  <c r="G4741" i="97"/>
  <c r="G4740" i="97"/>
  <c r="G4739" i="97"/>
  <c r="G4738" i="97"/>
  <c r="G4736" i="97"/>
  <c r="G4735" i="97"/>
  <c r="G4734" i="97"/>
  <c r="G4733" i="97"/>
  <c r="G4732" i="97"/>
  <c r="G4731" i="97"/>
  <c r="G4729" i="97"/>
  <c r="G4728" i="97"/>
  <c r="G4727" i="97"/>
  <c r="G4726" i="97"/>
  <c r="G4725" i="97"/>
  <c r="G4724" i="97"/>
  <c r="G4722" i="97"/>
  <c r="G4721" i="97"/>
  <c r="G4720" i="97"/>
  <c r="G4719" i="97"/>
  <c r="G4718" i="97"/>
  <c r="G4717" i="97"/>
  <c r="G4715" i="97"/>
  <c r="G4714" i="97"/>
  <c r="G4713" i="97"/>
  <c r="G4712" i="97"/>
  <c r="G4711" i="97"/>
  <c r="G4710" i="97"/>
  <c r="G4708" i="97"/>
  <c r="G4707" i="97"/>
  <c r="G4706" i="97"/>
  <c r="G4705" i="97"/>
  <c r="G4704" i="97"/>
  <c r="G4703" i="97"/>
  <c r="G4695" i="97"/>
  <c r="G4686" i="97"/>
  <c r="G4685" i="97"/>
  <c r="G4684" i="97"/>
  <c r="G4683" i="97"/>
  <c r="G4682" i="97"/>
  <c r="G4681" i="97"/>
  <c r="G4679" i="97"/>
  <c r="G4678" i="97"/>
  <c r="G4677" i="97"/>
  <c r="G4676" i="97"/>
  <c r="G4675" i="97"/>
  <c r="G4674" i="97"/>
  <c r="G4672" i="97"/>
  <c r="G4671" i="97"/>
  <c r="G4670" i="97"/>
  <c r="G4669" i="97"/>
  <c r="G4668" i="97"/>
  <c r="G4667" i="97"/>
  <c r="G4665" i="97"/>
  <c r="G4664" i="97"/>
  <c r="G4663" i="97"/>
  <c r="G4662" i="97"/>
  <c r="G4661" i="97"/>
  <c r="G4660" i="97"/>
  <c r="G4658" i="97"/>
  <c r="G4657" i="97"/>
  <c r="G4656" i="97"/>
  <c r="G4655" i="97"/>
  <c r="G4654" i="97"/>
  <c r="G4653" i="97"/>
  <c r="G4651" i="97"/>
  <c r="G4650" i="97"/>
  <c r="G4649" i="97"/>
  <c r="G4648" i="97"/>
  <c r="G4647" i="97"/>
  <c r="G4646" i="97"/>
  <c r="G4644" i="97"/>
  <c r="G4643" i="97"/>
  <c r="G4642" i="97"/>
  <c r="G4641" i="97"/>
  <c r="G4640" i="97"/>
  <c r="G4639" i="97"/>
  <c r="G4637" i="97"/>
  <c r="G4636" i="97"/>
  <c r="G4635" i="97"/>
  <c r="G4634" i="97"/>
  <c r="G4633" i="97"/>
  <c r="G4632" i="97"/>
  <c r="G4630" i="97"/>
  <c r="G4629" i="97"/>
  <c r="G4628" i="97"/>
  <c r="G4627" i="97"/>
  <c r="G4626" i="97"/>
  <c r="G4625" i="97"/>
  <c r="G4623" i="97"/>
  <c r="G4622" i="97"/>
  <c r="G4621" i="97"/>
  <c r="G4620" i="97"/>
  <c r="G4619" i="97"/>
  <c r="G4618" i="97"/>
  <c r="G4616" i="97"/>
  <c r="G4615" i="97"/>
  <c r="G4614" i="97"/>
  <c r="G4613" i="97"/>
  <c r="G4612" i="97"/>
  <c r="G4611" i="97"/>
  <c r="G4609" i="97"/>
  <c r="G4608" i="97"/>
  <c r="G4607" i="97"/>
  <c r="G4606" i="97"/>
  <c r="G4605" i="97"/>
  <c r="G4604" i="97"/>
  <c r="G4602" i="97"/>
  <c r="G4601" i="97"/>
  <c r="G4600" i="97"/>
  <c r="G4599" i="97"/>
  <c r="G4598" i="97"/>
  <c r="G4597" i="97"/>
  <c r="G4595" i="97"/>
  <c r="G4594" i="97"/>
  <c r="G4593" i="97"/>
  <c r="G4592" i="97"/>
  <c r="G4591" i="97"/>
  <c r="G4590" i="97"/>
  <c r="G4589" i="97"/>
  <c r="G4588" i="97"/>
  <c r="G4586" i="97"/>
  <c r="G4585" i="97"/>
  <c r="G4584" i="97"/>
  <c r="G4583" i="97"/>
  <c r="G4581" i="97"/>
  <c r="G4580" i="97"/>
  <c r="G4579" i="97"/>
  <c r="G4577" i="97"/>
  <c r="G4576" i="97"/>
  <c r="G4575" i="97"/>
  <c r="G4574" i="97"/>
  <c r="G4572" i="97"/>
  <c r="G4571" i="97"/>
  <c r="G4570" i="97"/>
  <c r="G4568" i="97"/>
  <c r="G4567" i="97"/>
  <c r="G4566" i="97"/>
  <c r="G4565" i="97"/>
  <c r="G4564" i="97"/>
  <c r="G4563" i="97"/>
  <c r="G4562" i="97"/>
  <c r="G4561" i="97"/>
  <c r="G4560" i="97"/>
  <c r="G4559" i="97"/>
  <c r="G4558" i="97"/>
  <c r="G4557" i="97"/>
  <c r="G4556" i="97"/>
  <c r="G4555" i="97"/>
  <c r="G4554" i="97"/>
  <c r="G4553" i="97"/>
  <c r="G4552" i="97"/>
  <c r="G4551" i="97"/>
  <c r="G4550" i="97"/>
  <c r="G4549" i="97"/>
  <c r="G4548" i="97"/>
  <c r="G4547" i="97"/>
  <c r="G4546" i="97"/>
  <c r="G4545" i="97"/>
  <c r="G4543" i="97"/>
  <c r="G4542" i="97"/>
  <c r="G4541" i="97"/>
  <c r="G4540" i="97"/>
  <c r="G4539" i="97"/>
  <c r="G4538" i="97"/>
  <c r="G4537" i="97"/>
  <c r="G4536" i="97"/>
  <c r="G4535" i="97"/>
  <c r="G4534" i="97"/>
  <c r="G4533" i="97"/>
  <c r="G4532" i="97"/>
  <c r="G4531" i="97"/>
  <c r="G4530" i="97"/>
  <c r="G4529" i="97"/>
  <c r="G4528" i="97"/>
  <c r="G4527" i="97"/>
  <c r="G4526" i="97"/>
  <c r="G4525" i="97"/>
  <c r="G4524" i="97"/>
  <c r="G4523" i="97"/>
  <c r="G4522" i="97"/>
  <c r="G4521" i="97"/>
  <c r="G4520" i="97"/>
  <c r="G4519" i="97"/>
  <c r="G4518" i="97"/>
  <c r="G4517" i="97"/>
  <c r="G4516" i="97"/>
  <c r="G4515" i="97"/>
  <c r="G4514" i="97"/>
  <c r="G4513" i="97"/>
  <c r="G4512" i="97"/>
  <c r="G4511" i="97"/>
  <c r="G4510" i="97"/>
  <c r="G4509" i="97"/>
  <c r="G4508" i="97"/>
  <c r="G4507" i="97"/>
  <c r="G4506" i="97"/>
  <c r="G4505" i="97"/>
  <c r="G4504" i="97"/>
  <c r="G4503" i="97"/>
  <c r="G4502" i="97"/>
  <c r="G4501" i="97"/>
  <c r="G4500" i="97"/>
  <c r="G4499" i="97"/>
  <c r="G4498" i="97"/>
  <c r="G4497" i="97"/>
  <c r="G4496" i="97"/>
  <c r="G4495" i="97"/>
  <c r="G4494" i="97"/>
  <c r="G4493" i="97"/>
  <c r="G4492" i="97"/>
  <c r="G4491" i="97"/>
  <c r="G4490" i="97"/>
  <c r="G4489" i="97"/>
  <c r="G4488" i="97"/>
  <c r="G4487" i="97"/>
  <c r="G4486" i="97"/>
  <c r="G4485" i="97"/>
  <c r="G4484" i="97"/>
  <c r="G4483" i="97"/>
  <c r="G4482" i="97"/>
  <c r="G4481" i="97"/>
  <c r="G4480" i="97"/>
  <c r="G4479" i="97"/>
  <c r="G4478" i="97"/>
  <c r="G4477" i="97"/>
  <c r="G4476" i="97"/>
  <c r="G4475" i="97"/>
  <c r="G4474" i="97"/>
  <c r="G4473" i="97"/>
  <c r="G4472" i="97"/>
  <c r="G4471" i="97"/>
  <c r="G4470" i="97"/>
  <c r="G4469" i="97"/>
  <c r="G4468" i="97"/>
  <c r="G4467" i="97"/>
  <c r="G4466" i="97"/>
  <c r="G4465" i="97"/>
  <c r="G4464" i="97"/>
  <c r="G4463" i="97"/>
  <c r="G4462" i="97"/>
  <c r="G4461" i="97"/>
  <c r="G4460" i="97"/>
  <c r="G4459" i="97"/>
  <c r="G4458" i="97"/>
  <c r="G4457" i="97"/>
  <c r="G4456" i="97"/>
  <c r="G4455" i="97"/>
  <c r="G4454" i="97"/>
  <c r="G4453" i="97"/>
  <c r="G4452" i="97"/>
  <c r="G4451" i="97"/>
  <c r="G4450" i="97"/>
  <c r="G4449" i="97"/>
  <c r="G4448" i="97"/>
  <c r="G4447" i="97"/>
  <c r="G4446" i="97"/>
  <c r="G4445" i="97"/>
  <c r="G4444" i="97"/>
  <c r="G4443" i="97"/>
  <c r="G4442" i="97"/>
  <c r="G4441" i="97"/>
  <c r="G4440" i="97"/>
  <c r="G4439" i="97"/>
  <c r="G4438" i="97"/>
  <c r="G4437" i="97"/>
  <c r="G4436" i="97"/>
  <c r="G4435" i="97"/>
  <c r="G4434" i="97"/>
  <c r="G4433" i="97"/>
  <c r="G4432" i="97"/>
  <c r="G4431" i="97"/>
  <c r="G4430" i="97"/>
  <c r="G4429" i="97"/>
  <c r="G4428" i="97"/>
  <c r="G4427" i="97"/>
  <c r="G4426" i="97"/>
  <c r="G4425" i="97"/>
  <c r="G4424" i="97"/>
  <c r="G4423" i="97"/>
  <c r="G4422" i="97"/>
  <c r="G4421" i="97"/>
  <c r="G4420" i="97"/>
  <c r="G4419" i="97"/>
  <c r="G4418" i="97"/>
  <c r="G4417" i="97"/>
  <c r="G4416" i="97"/>
  <c r="G4415" i="97"/>
  <c r="G4414" i="97"/>
  <c r="G4413" i="97"/>
  <c r="G4412" i="97"/>
  <c r="G4411" i="97"/>
  <c r="G4410" i="97"/>
  <c r="G4401" i="97"/>
  <c r="G4400" i="97"/>
  <c r="G4399" i="97"/>
  <c r="G4398" i="97"/>
  <c r="G4397" i="97"/>
  <c r="G4396" i="97"/>
  <c r="G4349" i="97"/>
  <c r="G4348" i="97"/>
  <c r="G4347" i="97"/>
  <c r="G4346" i="97"/>
  <c r="G4345" i="97"/>
  <c r="G4344" i="97"/>
  <c r="G4343" i="97"/>
  <c r="G4342" i="97"/>
  <c r="G4341" i="97"/>
  <c r="G4340" i="97"/>
  <c r="G4339" i="97"/>
  <c r="G4338" i="97"/>
  <c r="G4337" i="97"/>
  <c r="G4336" i="97"/>
  <c r="G4335" i="97"/>
  <c r="G4334" i="97"/>
  <c r="G4333" i="97"/>
  <c r="G4332" i="97"/>
  <c r="G4331" i="97"/>
  <c r="G4330" i="97"/>
  <c r="G4329" i="97"/>
  <c r="G4328" i="97"/>
  <c r="G4327" i="97"/>
  <c r="G4326" i="97"/>
  <c r="G4325" i="97"/>
  <c r="G4324" i="97"/>
  <c r="G4323" i="97"/>
  <c r="G4322" i="97"/>
  <c r="G4321" i="97"/>
  <c r="G4320" i="97"/>
  <c r="G4319" i="97"/>
  <c r="G4318" i="97"/>
  <c r="G4317" i="97"/>
  <c r="G4316" i="97"/>
  <c r="G4315" i="97"/>
  <c r="G4314" i="97"/>
  <c r="G4313" i="97"/>
  <c r="G4312" i="97"/>
  <c r="G4311" i="97"/>
  <c r="G4310" i="97"/>
  <c r="G4309" i="97"/>
  <c r="G4308" i="97"/>
  <c r="G4307" i="97"/>
  <c r="G4306" i="97"/>
  <c r="G4304" i="97"/>
  <c r="G4303" i="97"/>
  <c r="G4302" i="97"/>
  <c r="G4301" i="97"/>
  <c r="G4300" i="97"/>
  <c r="G4299" i="97"/>
  <c r="G4298" i="97"/>
  <c r="G4297" i="97"/>
  <c r="G4296" i="97"/>
  <c r="G4295" i="97"/>
  <c r="G4294" i="97"/>
  <c r="G4293" i="97"/>
  <c r="G4292" i="97"/>
  <c r="G4291" i="97"/>
  <c r="G4290" i="97"/>
  <c r="G4289" i="97"/>
  <c r="G4288" i="97"/>
  <c r="G4287" i="97"/>
  <c r="G4286" i="97"/>
  <c r="G4285" i="97"/>
  <c r="G4284" i="97"/>
  <c r="G4283" i="97"/>
  <c r="G4282" i="97"/>
  <c r="G4281" i="97"/>
  <c r="G4280" i="97"/>
  <c r="G4279" i="97"/>
  <c r="G4278" i="97"/>
  <c r="G4277" i="97"/>
  <c r="G4276" i="97"/>
  <c r="G4275" i="97"/>
  <c r="G4274" i="97"/>
  <c r="G4273" i="97"/>
  <c r="G4272" i="97"/>
  <c r="G4271" i="97"/>
  <c r="G4270" i="97"/>
  <c r="G4269" i="97"/>
  <c r="G4268" i="97"/>
  <c r="G4267" i="97"/>
  <c r="G4266" i="97"/>
  <c r="G4265" i="97"/>
  <c r="G4264" i="97"/>
  <c r="G4263" i="97"/>
  <c r="G4262" i="97"/>
  <c r="G4261" i="97"/>
  <c r="G4259" i="97"/>
  <c r="G4258" i="97"/>
  <c r="G4257" i="97"/>
  <c r="G4256" i="97"/>
  <c r="G4255" i="97"/>
  <c r="G4254" i="97"/>
  <c r="G4253" i="97"/>
  <c r="G4252" i="97"/>
  <c r="G4251" i="97"/>
  <c r="G4250" i="97"/>
  <c r="G4249" i="97"/>
  <c r="G4248" i="97"/>
  <c r="G4247" i="97"/>
  <c r="G4246" i="97"/>
  <c r="G4245" i="97"/>
  <c r="G4244" i="97"/>
  <c r="G4243" i="97"/>
  <c r="G4242" i="97"/>
  <c r="G4241" i="97"/>
  <c r="G4240" i="97"/>
  <c r="G4239" i="97"/>
  <c r="G4238" i="97"/>
  <c r="G4237" i="97"/>
  <c r="G4236" i="97"/>
  <c r="G4235" i="97"/>
  <c r="G4234" i="97"/>
  <c r="G4233" i="97"/>
  <c r="G4232" i="97"/>
  <c r="G4231" i="97"/>
  <c r="G4230" i="97"/>
  <c r="G4229" i="97"/>
  <c r="G4228" i="97"/>
  <c r="G4227" i="97"/>
  <c r="G4226" i="97"/>
  <c r="G4225" i="97"/>
  <c r="G4224" i="97"/>
  <c r="G4223" i="97"/>
  <c r="G4222" i="97"/>
  <c r="G4221" i="97"/>
  <c r="G4220" i="97"/>
  <c r="G4219" i="97"/>
  <c r="G4218" i="97"/>
  <c r="G4217" i="97"/>
  <c r="G4216" i="97"/>
  <c r="G4214" i="97"/>
  <c r="G4213" i="97"/>
  <c r="G4212" i="97"/>
  <c r="G4211" i="97"/>
  <c r="G4210" i="97"/>
  <c r="G4209" i="97"/>
  <c r="G4208" i="97"/>
  <c r="G4207" i="97"/>
  <c r="G4206" i="97"/>
  <c r="G4205" i="97"/>
  <c r="G4204" i="97"/>
  <c r="G4203" i="97"/>
  <c r="G4202" i="97"/>
  <c r="G4201" i="97"/>
  <c r="G4200" i="97"/>
  <c r="G4199" i="97"/>
  <c r="G4198" i="97"/>
  <c r="G4197" i="97"/>
  <c r="G4196" i="97"/>
  <c r="G4195" i="97"/>
  <c r="G4194" i="97"/>
  <c r="G4193" i="97"/>
  <c r="G4192" i="97"/>
  <c r="G4191" i="97"/>
  <c r="G4190" i="97"/>
  <c r="G4189" i="97"/>
  <c r="G4188" i="97"/>
  <c r="G4187" i="97"/>
  <c r="G4186" i="97"/>
  <c r="G4185" i="97"/>
  <c r="G4184" i="97"/>
  <c r="G4183" i="97"/>
  <c r="G4182" i="97"/>
  <c r="G4181" i="97"/>
  <c r="G4180" i="97"/>
  <c r="G4179" i="97"/>
  <c r="G4178" i="97"/>
  <c r="G4177" i="97"/>
  <c r="G4176" i="97"/>
  <c r="G4175" i="97"/>
  <c r="G4174" i="97"/>
  <c r="G4173" i="97"/>
  <c r="G4172" i="97"/>
  <c r="G4171" i="97"/>
  <c r="G4169" i="97"/>
  <c r="G4168" i="97"/>
  <c r="G4167" i="97"/>
  <c r="G4166" i="97"/>
  <c r="G4165" i="97"/>
  <c r="G4164" i="97"/>
  <c r="G4163" i="97"/>
  <c r="G4162" i="97"/>
  <c r="G4161" i="97"/>
  <c r="G4160" i="97"/>
  <c r="G4159" i="97"/>
  <c r="G4158" i="97"/>
  <c r="G4157" i="97"/>
  <c r="G4156" i="97"/>
  <c r="G4155" i="97"/>
  <c r="G4154" i="97"/>
  <c r="G4153" i="97"/>
  <c r="G4152" i="97"/>
  <c r="G4151" i="97"/>
  <c r="G4150" i="97"/>
  <c r="G4149" i="97"/>
  <c r="G4148" i="97"/>
  <c r="G4147" i="97"/>
  <c r="G4146" i="97"/>
  <c r="G4145" i="97"/>
  <c r="G4144" i="97"/>
  <c r="G4143" i="97"/>
  <c r="G4142" i="97"/>
  <c r="G4141" i="97"/>
  <c r="G4140" i="97"/>
  <c r="G4139" i="97"/>
  <c r="G4138" i="97"/>
  <c r="G4137" i="97"/>
  <c r="G4136" i="97"/>
  <c r="G4135" i="97"/>
  <c r="G4134" i="97"/>
  <c r="G4133" i="97"/>
  <c r="G4132" i="97"/>
  <c r="G4131" i="97"/>
  <c r="G4130" i="97"/>
  <c r="G4129" i="97"/>
  <c r="G4128" i="97"/>
  <c r="G4127" i="97"/>
  <c r="G4126" i="97"/>
  <c r="G4124" i="97"/>
  <c r="G4123" i="97"/>
  <c r="G4122" i="97"/>
  <c r="G4121" i="97"/>
  <c r="G4120" i="97"/>
  <c r="G4119" i="97"/>
  <c r="G4118" i="97"/>
  <c r="G4117" i="97"/>
  <c r="G4116" i="97"/>
  <c r="G4115" i="97"/>
  <c r="G4114" i="97"/>
  <c r="G4113" i="97"/>
  <c r="G4112" i="97"/>
  <c r="G4111" i="97"/>
  <c r="G4110" i="97"/>
  <c r="G4109" i="97"/>
  <c r="G4108" i="97"/>
  <c r="G4107" i="97"/>
  <c r="G4106" i="97"/>
  <c r="G4105" i="97"/>
  <c r="G4104" i="97"/>
  <c r="G4103" i="97"/>
  <c r="G4102" i="97"/>
  <c r="G4101" i="97"/>
  <c r="G4100" i="97"/>
  <c r="G4099" i="97"/>
  <c r="G4098" i="97"/>
  <c r="G4097" i="97"/>
  <c r="G4096" i="97"/>
  <c r="G4095" i="97"/>
  <c r="G4094" i="97"/>
  <c r="G4093" i="97"/>
  <c r="G4092" i="97"/>
  <c r="G4091" i="97"/>
  <c r="G4090" i="97"/>
  <c r="G4089" i="97"/>
  <c r="G4088" i="97"/>
  <c r="G4087" i="97"/>
  <c r="G4086" i="97"/>
  <c r="G4085" i="97"/>
  <c r="G4084" i="97"/>
  <c r="G4083" i="97"/>
  <c r="G4082" i="97"/>
  <c r="G4081" i="97"/>
  <c r="G4079" i="97"/>
  <c r="G4078" i="97"/>
  <c r="G4077" i="97"/>
  <c r="G4076" i="97"/>
  <c r="G4075" i="97"/>
  <c r="G4074" i="97"/>
  <c r="G4073" i="97"/>
  <c r="G4072" i="97"/>
  <c r="G4071" i="97"/>
  <c r="G4070" i="97"/>
  <c r="G4069" i="97"/>
  <c r="G4068" i="97"/>
  <c r="G4067" i="97"/>
  <c r="G4066" i="97"/>
  <c r="G4065" i="97"/>
  <c r="G4064" i="97"/>
  <c r="G4063" i="97"/>
  <c r="G4062" i="97"/>
  <c r="G4061" i="97"/>
  <c r="G4060" i="97"/>
  <c r="G4059" i="97"/>
  <c r="G4058" i="97"/>
  <c r="G4057" i="97"/>
  <c r="G4056" i="97"/>
  <c r="G4055" i="97"/>
  <c r="G4054" i="97"/>
  <c r="G4053" i="97"/>
  <c r="G4052" i="97"/>
  <c r="G4051" i="97"/>
  <c r="G4050" i="97"/>
  <c r="G4049" i="97"/>
  <c r="G4048" i="97"/>
  <c r="G4047" i="97"/>
  <c r="G4046" i="97"/>
  <c r="G4045" i="97"/>
  <c r="G4044" i="97"/>
  <c r="G4043" i="97"/>
  <c r="G4042" i="97"/>
  <c r="G4041" i="97"/>
  <c r="G4040" i="97"/>
  <c r="G4039" i="97"/>
  <c r="G4038" i="97"/>
  <c r="G4037" i="97"/>
  <c r="G4036" i="97"/>
  <c r="G4034" i="97"/>
  <c r="G4033" i="97"/>
  <c r="G4032" i="97"/>
  <c r="G4031" i="97"/>
  <c r="G4030" i="97"/>
  <c r="G4029" i="97"/>
  <c r="G4028" i="97"/>
  <c r="G4027" i="97"/>
  <c r="G4026" i="97"/>
  <c r="G4025" i="97"/>
  <c r="G4024" i="97"/>
  <c r="G4023" i="97"/>
  <c r="G4022" i="97"/>
  <c r="G4021" i="97"/>
  <c r="G4020" i="97"/>
  <c r="G4019" i="97"/>
  <c r="G4018" i="97"/>
  <c r="G4017" i="97"/>
  <c r="G4016" i="97"/>
  <c r="G4015" i="97"/>
  <c r="G4014" i="97"/>
  <c r="G4013" i="97"/>
  <c r="G4012" i="97"/>
  <c r="G4011" i="97"/>
  <c r="G4010" i="97"/>
  <c r="G4009" i="97"/>
  <c r="G4008" i="97"/>
  <c r="G4007" i="97"/>
  <c r="G4006" i="97"/>
  <c r="G4005" i="97"/>
  <c r="G4004" i="97"/>
  <c r="G4003" i="97"/>
  <c r="G4002" i="97"/>
  <c r="G4001" i="97"/>
  <c r="G4000" i="97"/>
  <c r="G3999" i="97"/>
  <c r="G3998" i="97"/>
  <c r="G3997" i="97"/>
  <c r="G3996" i="97"/>
  <c r="G3995" i="97"/>
  <c r="G3994" i="97"/>
  <c r="G3993" i="97"/>
  <c r="G3992" i="97"/>
  <c r="G3991" i="97"/>
  <c r="G3944" i="97"/>
  <c r="G3943" i="97"/>
  <c r="G3942" i="97"/>
  <c r="G3941" i="97"/>
  <c r="G3940" i="97"/>
  <c r="G3939" i="97"/>
  <c r="G3938" i="97"/>
  <c r="G3937" i="97"/>
  <c r="G3936" i="97"/>
  <c r="G3935" i="97"/>
  <c r="G3934" i="97"/>
  <c r="G3933" i="97"/>
  <c r="G3932" i="97"/>
  <c r="G3931" i="97"/>
  <c r="G3930" i="97"/>
  <c r="G3929" i="97"/>
  <c r="G3928" i="97"/>
  <c r="G3927" i="97"/>
  <c r="G3926" i="97"/>
  <c r="G3925" i="97"/>
  <c r="G3924" i="97"/>
  <c r="G3923" i="97"/>
  <c r="G3922" i="97"/>
  <c r="G3921" i="97"/>
  <c r="G3920" i="97"/>
  <c r="G3919" i="97"/>
  <c r="G3918" i="97"/>
  <c r="G3917" i="97"/>
  <c r="G3916" i="97"/>
  <c r="G3915" i="97"/>
  <c r="G3914" i="97"/>
  <c r="G3913" i="97"/>
  <c r="G3912" i="97"/>
  <c r="G3911" i="97"/>
  <c r="G3910" i="97"/>
  <c r="G3909" i="97"/>
  <c r="G3908" i="97"/>
  <c r="G3907" i="97"/>
  <c r="G3906" i="97"/>
  <c r="G3905" i="97"/>
  <c r="G3904" i="97"/>
  <c r="G3903" i="97"/>
  <c r="G3902" i="97"/>
  <c r="G3901" i="97"/>
  <c r="G3899" i="97"/>
  <c r="G3898" i="97"/>
  <c r="G3897" i="97"/>
  <c r="G3896" i="97"/>
  <c r="G3895" i="97"/>
  <c r="G3894" i="97"/>
  <c r="G3893" i="97"/>
  <c r="G3892" i="97"/>
  <c r="G3891" i="97"/>
  <c r="G3890" i="97"/>
  <c r="G3889" i="97"/>
  <c r="G3888" i="97"/>
  <c r="G3887" i="97"/>
  <c r="G3886" i="97"/>
  <c r="G3885" i="97"/>
  <c r="G3884" i="97"/>
  <c r="G3883" i="97"/>
  <c r="G3882" i="97"/>
  <c r="G3881" i="97"/>
  <c r="G3880" i="97"/>
  <c r="G3879" i="97"/>
  <c r="G3878" i="97"/>
  <c r="G3877" i="97"/>
  <c r="G3876" i="97"/>
  <c r="G3875" i="97"/>
  <c r="G3874" i="97"/>
  <c r="G3873" i="97"/>
  <c r="G3872" i="97"/>
  <c r="G3871" i="97"/>
  <c r="G3870" i="97"/>
  <c r="G3869" i="97"/>
  <c r="G3868" i="97"/>
  <c r="G3867" i="97"/>
  <c r="G3866" i="97"/>
  <c r="G3865" i="97"/>
  <c r="G3864" i="97"/>
  <c r="G3863" i="97"/>
  <c r="G3862" i="97"/>
  <c r="G3861" i="97"/>
  <c r="G3860" i="97"/>
  <c r="G3859" i="97"/>
  <c r="G3858" i="97"/>
  <c r="G3857" i="97"/>
  <c r="G3856" i="97"/>
  <c r="G3854" i="97"/>
  <c r="G3853" i="97"/>
  <c r="G3852" i="97"/>
  <c r="G3851" i="97"/>
  <c r="G3850" i="97"/>
  <c r="G3849" i="97"/>
  <c r="G3848" i="97"/>
  <c r="G3847" i="97"/>
  <c r="G3846" i="97"/>
  <c r="G3845" i="97"/>
  <c r="G3844" i="97"/>
  <c r="G3843" i="97"/>
  <c r="G3842" i="97"/>
  <c r="G3841" i="97"/>
  <c r="G3840" i="97"/>
  <c r="G3839" i="97"/>
  <c r="G3838" i="97"/>
  <c r="G3837" i="97"/>
  <c r="G3836" i="97"/>
  <c r="G3835" i="97"/>
  <c r="G3834" i="97"/>
  <c r="G3833" i="97"/>
  <c r="G3832" i="97"/>
  <c r="G3831" i="97"/>
  <c r="G3830" i="97"/>
  <c r="G3829" i="97"/>
  <c r="G3828" i="97"/>
  <c r="G3827" i="97"/>
  <c r="G3826" i="97"/>
  <c r="G3825" i="97"/>
  <c r="G3824" i="97"/>
  <c r="G3823" i="97"/>
  <c r="G3822" i="97"/>
  <c r="G3821" i="97"/>
  <c r="G3820" i="97"/>
  <c r="G3819" i="97"/>
  <c r="G3818" i="97"/>
  <c r="G3817" i="97"/>
  <c r="G3816" i="97"/>
  <c r="G3815" i="97"/>
  <c r="G3814" i="97"/>
  <c r="G3813" i="97"/>
  <c r="G3812" i="97"/>
  <c r="G3811" i="97"/>
  <c r="G3809" i="97"/>
  <c r="G3808" i="97"/>
  <c r="G3807" i="97"/>
  <c r="G3806" i="97"/>
  <c r="G3805" i="97"/>
  <c r="G3804" i="97"/>
  <c r="G3803" i="97"/>
  <c r="G3802" i="97"/>
  <c r="G3801" i="97"/>
  <c r="G3800" i="97"/>
  <c r="G3799" i="97"/>
  <c r="G3798" i="97"/>
  <c r="G3797" i="97"/>
  <c r="G3796" i="97"/>
  <c r="G3795" i="97"/>
  <c r="G3794" i="97"/>
  <c r="G3793" i="97"/>
  <c r="G3792" i="97"/>
  <c r="G3791" i="97"/>
  <c r="G3790" i="97"/>
  <c r="G3789" i="97"/>
  <c r="G3788" i="97"/>
  <c r="G3787" i="97"/>
  <c r="G3786" i="97"/>
  <c r="G3785" i="97"/>
  <c r="G3784" i="97"/>
  <c r="G3783" i="97"/>
  <c r="G3782" i="97"/>
  <c r="G3781" i="97"/>
  <c r="G3780" i="97"/>
  <c r="G3779" i="97"/>
  <c r="G3778" i="97"/>
  <c r="G3777" i="97"/>
  <c r="G3776" i="97"/>
  <c r="G3775" i="97"/>
  <c r="G3774" i="97"/>
  <c r="G3773" i="97"/>
  <c r="G3772" i="97"/>
  <c r="G3771" i="97"/>
  <c r="G3770" i="97"/>
  <c r="G3769" i="97"/>
  <c r="G3768" i="97"/>
  <c r="G3767" i="97"/>
  <c r="G3766" i="97"/>
  <c r="G3764" i="97"/>
  <c r="G3763" i="97"/>
  <c r="G3762" i="97"/>
  <c r="G3761" i="97"/>
  <c r="G3760" i="97"/>
  <c r="G3759" i="97"/>
  <c r="G3758" i="97"/>
  <c r="G3757" i="97"/>
  <c r="G3756" i="97"/>
  <c r="G3755" i="97"/>
  <c r="G3754" i="97"/>
  <c r="G3753" i="97"/>
  <c r="G3752" i="97"/>
  <c r="G3751" i="97"/>
  <c r="G3750" i="97"/>
  <c r="G3749" i="97"/>
  <c r="G3748" i="97"/>
  <c r="G3747" i="97"/>
  <c r="G3746" i="97"/>
  <c r="G3745" i="97"/>
  <c r="G3744" i="97"/>
  <c r="G3743" i="97"/>
  <c r="G3742" i="97"/>
  <c r="G3741" i="97"/>
  <c r="G3740" i="97"/>
  <c r="G3739" i="97"/>
  <c r="G3738" i="97"/>
  <c r="G3737" i="97"/>
  <c r="G3736" i="97"/>
  <c r="G3735" i="97"/>
  <c r="G3734" i="97"/>
  <c r="G3733" i="97"/>
  <c r="G3732" i="97"/>
  <c r="G3731" i="97"/>
  <c r="G3730" i="97"/>
  <c r="G3729" i="97"/>
  <c r="G3728" i="97"/>
  <c r="G3727" i="97"/>
  <c r="G3726" i="97"/>
  <c r="G3725" i="97"/>
  <c r="G3724" i="97"/>
  <c r="G3723" i="97"/>
  <c r="G3722" i="97"/>
  <c r="G3721" i="97"/>
  <c r="G3719" i="97"/>
  <c r="G3718" i="97"/>
  <c r="G3717" i="97"/>
  <c r="G3716" i="97"/>
  <c r="G3715" i="97"/>
  <c r="G3714" i="97"/>
  <c r="G3713" i="97"/>
  <c r="G3712" i="97"/>
  <c r="G3711" i="97"/>
  <c r="G3710" i="97"/>
  <c r="G3709" i="97"/>
  <c r="G3708" i="97"/>
  <c r="G3707" i="97"/>
  <c r="G3706" i="97"/>
  <c r="G3705" i="97"/>
  <c r="G3704" i="97"/>
  <c r="G3703" i="97"/>
  <c r="G3702" i="97"/>
  <c r="G3701" i="97"/>
  <c r="G3700" i="97"/>
  <c r="G3699" i="97"/>
  <c r="G3698" i="97"/>
  <c r="G3697" i="97"/>
  <c r="G3696" i="97"/>
  <c r="G3695" i="97"/>
  <c r="G3694" i="97"/>
  <c r="G3693" i="97"/>
  <c r="G3692" i="97"/>
  <c r="G3691" i="97"/>
  <c r="G3690" i="97"/>
  <c r="G3689" i="97"/>
  <c r="G3688" i="97"/>
  <c r="G3687" i="97"/>
  <c r="G3686" i="97"/>
  <c r="G3685" i="97"/>
  <c r="G3684" i="97"/>
  <c r="G3683" i="97"/>
  <c r="G3682" i="97"/>
  <c r="G3681" i="97"/>
  <c r="G3680" i="97"/>
  <c r="G3679" i="97"/>
  <c r="G3678" i="97"/>
  <c r="G3677" i="97"/>
  <c r="G3676" i="97"/>
  <c r="G3674" i="97"/>
  <c r="G3673" i="97"/>
  <c r="G3672" i="97"/>
  <c r="G3671" i="97"/>
  <c r="G3670" i="97"/>
  <c r="G3669" i="97"/>
  <c r="G3668" i="97"/>
  <c r="G3667" i="97"/>
  <c r="G3666" i="97"/>
  <c r="G3665" i="97"/>
  <c r="G3664" i="97"/>
  <c r="G3663" i="97"/>
  <c r="G3662" i="97"/>
  <c r="G3661" i="97"/>
  <c r="G3660" i="97"/>
  <c r="G3659" i="97"/>
  <c r="G3658" i="97"/>
  <c r="G3657" i="97"/>
  <c r="G3656" i="97"/>
  <c r="G3655" i="97"/>
  <c r="G3654" i="97"/>
  <c r="G3653" i="97"/>
  <c r="G3652" i="97"/>
  <c r="G3651" i="97"/>
  <c r="G3650" i="97"/>
  <c r="G3649" i="97"/>
  <c r="G3648" i="97"/>
  <c r="G3647" i="97"/>
  <c r="G3646" i="97"/>
  <c r="G3645" i="97"/>
  <c r="G3644" i="97"/>
  <c r="G3643" i="97"/>
  <c r="G3642" i="97"/>
  <c r="G3641" i="97"/>
  <c r="G3640" i="97"/>
  <c r="G3639" i="97"/>
  <c r="G3638" i="97"/>
  <c r="G3637" i="97"/>
  <c r="G3636" i="97"/>
  <c r="G3635" i="97"/>
  <c r="G3634" i="97"/>
  <c r="G3633" i="97"/>
  <c r="G3632" i="97"/>
  <c r="G3631" i="97"/>
  <c r="G3629" i="97"/>
  <c r="G3628" i="97"/>
  <c r="G3627" i="97"/>
  <c r="G3626" i="97"/>
  <c r="G3625" i="97"/>
  <c r="G3624" i="97"/>
  <c r="G3623" i="97"/>
  <c r="G3622" i="97"/>
  <c r="G3621" i="97"/>
  <c r="G3620" i="97"/>
  <c r="G3619" i="97"/>
  <c r="G3618" i="97"/>
  <c r="G3617" i="97"/>
  <c r="G3616" i="97"/>
  <c r="G3615" i="97"/>
  <c r="G3614" i="97"/>
  <c r="G3613" i="97"/>
  <c r="G3612" i="97"/>
  <c r="G3611" i="97"/>
  <c r="G3610" i="97"/>
  <c r="G3609" i="97"/>
  <c r="G3608" i="97"/>
  <c r="G3607" i="97"/>
  <c r="G3606" i="97"/>
  <c r="G3605" i="97"/>
  <c r="G3604" i="97"/>
  <c r="G3603" i="97"/>
  <c r="G3602" i="97"/>
  <c r="G3601" i="97"/>
  <c r="G3600" i="97"/>
  <c r="G3599" i="97"/>
  <c r="G3598" i="97"/>
  <c r="G3597" i="97"/>
  <c r="G3596" i="97"/>
  <c r="G3595" i="97"/>
  <c r="G3594" i="97"/>
  <c r="G3593" i="97"/>
  <c r="G3592" i="97"/>
  <c r="G3591" i="97"/>
  <c r="G3590" i="97"/>
  <c r="G3589" i="97"/>
  <c r="G3588" i="97"/>
  <c r="G3587" i="97"/>
  <c r="G3586" i="97"/>
  <c r="G3546" i="97"/>
  <c r="G3545" i="97"/>
  <c r="G3544" i="97"/>
  <c r="G3543" i="97"/>
  <c r="G3542" i="97"/>
  <c r="G3541" i="97"/>
  <c r="G3540" i="97"/>
  <c r="G3539" i="97"/>
  <c r="G3538" i="97"/>
  <c r="G3537" i="97"/>
  <c r="G3536" i="97"/>
  <c r="G3535" i="97"/>
  <c r="G3534" i="97"/>
  <c r="G3533" i="97"/>
  <c r="G3532" i="97"/>
  <c r="G3531" i="97"/>
  <c r="G3530" i="97"/>
  <c r="G3529" i="97"/>
  <c r="G3528" i="97"/>
  <c r="G3527" i="97"/>
  <c r="G3526" i="97"/>
  <c r="G3525" i="97"/>
  <c r="G3524" i="97"/>
  <c r="G3523" i="97"/>
  <c r="G3522" i="97"/>
  <c r="G3521" i="97"/>
  <c r="G3520" i="97"/>
  <c r="G3519" i="97"/>
  <c r="G3518" i="97"/>
  <c r="G3517" i="97"/>
  <c r="G3516" i="97"/>
  <c r="G3515" i="97"/>
  <c r="G3514" i="97"/>
  <c r="G3513" i="97"/>
  <c r="G3512" i="97"/>
  <c r="G3511" i="97"/>
  <c r="G3510" i="97"/>
  <c r="G3508" i="97"/>
  <c r="G3507" i="97"/>
  <c r="G3506" i="97"/>
  <c r="G3505" i="97"/>
  <c r="G3504" i="97"/>
  <c r="G3503" i="97"/>
  <c r="G3502" i="97"/>
  <c r="G3501" i="97"/>
  <c r="G3500" i="97"/>
  <c r="G3499" i="97"/>
  <c r="G3498" i="97"/>
  <c r="G3497" i="97"/>
  <c r="G3496" i="97"/>
  <c r="G3495" i="97"/>
  <c r="G3494" i="97"/>
  <c r="G3493" i="97"/>
  <c r="G3492" i="97"/>
  <c r="G3491" i="97"/>
  <c r="G3490" i="97"/>
  <c r="G3489" i="97"/>
  <c r="G3488" i="97"/>
  <c r="G3487" i="97"/>
  <c r="G3486" i="97"/>
  <c r="G3485" i="97"/>
  <c r="G3484" i="97"/>
  <c r="G3483" i="97"/>
  <c r="G3482" i="97"/>
  <c r="G3481" i="97"/>
  <c r="G3480" i="97"/>
  <c r="G3479" i="97"/>
  <c r="G3478" i="97"/>
  <c r="G3477" i="97"/>
  <c r="G3476" i="97"/>
  <c r="G3475" i="97"/>
  <c r="G3474" i="97"/>
  <c r="G3473" i="97"/>
  <c r="G3472" i="97"/>
  <c r="G3470" i="97"/>
  <c r="G3469" i="97"/>
  <c r="G3468" i="97"/>
  <c r="G3467" i="97"/>
  <c r="G3466" i="97"/>
  <c r="G3465" i="97"/>
  <c r="G3464" i="97"/>
  <c r="G3463" i="97"/>
  <c r="G3462" i="97"/>
  <c r="G3461" i="97"/>
  <c r="G3460" i="97"/>
  <c r="G3459" i="97"/>
  <c r="G3458" i="97"/>
  <c r="G3457" i="97"/>
  <c r="G3456" i="97"/>
  <c r="G3455" i="97"/>
  <c r="G3454" i="97"/>
  <c r="G3453" i="97"/>
  <c r="G3452" i="97"/>
  <c r="G3451" i="97"/>
  <c r="G3450" i="97"/>
  <c r="G3449" i="97"/>
  <c r="G3448" i="97"/>
  <c r="G3447" i="97"/>
  <c r="G3446" i="97"/>
  <c r="G3445" i="97"/>
  <c r="G3444" i="97"/>
  <c r="G3443" i="97"/>
  <c r="G3442" i="97"/>
  <c r="G3441" i="97"/>
  <c r="G3440" i="97"/>
  <c r="G3439" i="97"/>
  <c r="G3438" i="97"/>
  <c r="G3437" i="97"/>
  <c r="G3436" i="97"/>
  <c r="G3435" i="97"/>
  <c r="G3434" i="97"/>
  <c r="G3432" i="97"/>
  <c r="G3431" i="97"/>
  <c r="G3430" i="97"/>
  <c r="G3429" i="97"/>
  <c r="G3428" i="97"/>
  <c r="G3427" i="97"/>
  <c r="G3426" i="97"/>
  <c r="G3425" i="97"/>
  <c r="G3424" i="97"/>
  <c r="G3423" i="97"/>
  <c r="G3422" i="97"/>
  <c r="G3421" i="97"/>
  <c r="G3420" i="97"/>
  <c r="G3419" i="97"/>
  <c r="G3418" i="97"/>
  <c r="G3417" i="97"/>
  <c r="G3416" i="97"/>
  <c r="G3415" i="97"/>
  <c r="G3414" i="97"/>
  <c r="G3413" i="97"/>
  <c r="G3412" i="97"/>
  <c r="G3411" i="97"/>
  <c r="G3410" i="97"/>
  <c r="G3409" i="97"/>
  <c r="G3408" i="97"/>
  <c r="G3407" i="97"/>
  <c r="G3406" i="97"/>
  <c r="G3405" i="97"/>
  <c r="G3404" i="97"/>
  <c r="G3403" i="97"/>
  <c r="G3402" i="97"/>
  <c r="G3401" i="97"/>
  <c r="G3400" i="97"/>
  <c r="G3399" i="97"/>
  <c r="G3398" i="97"/>
  <c r="G3397" i="97"/>
  <c r="G3396" i="97"/>
  <c r="G3394" i="97"/>
  <c r="G3393" i="97"/>
  <c r="G3392" i="97"/>
  <c r="G3391" i="97"/>
  <c r="G3390" i="97"/>
  <c r="G3389" i="97"/>
  <c r="G3388" i="97"/>
  <c r="G3387" i="97"/>
  <c r="G3386" i="97"/>
  <c r="G3385" i="97"/>
  <c r="G3384" i="97"/>
  <c r="G3383" i="97"/>
  <c r="G3382" i="97"/>
  <c r="G3381" i="97"/>
  <c r="G3380" i="97"/>
  <c r="G3379" i="97"/>
  <c r="G3378" i="97"/>
  <c r="G3377" i="97"/>
  <c r="G3376" i="97"/>
  <c r="G3375" i="97"/>
  <c r="G3374" i="97"/>
  <c r="G3373" i="97"/>
  <c r="G3372" i="97"/>
  <c r="G3371" i="97"/>
  <c r="G3370" i="97"/>
  <c r="G3369" i="97"/>
  <c r="G3368" i="97"/>
  <c r="G3367" i="97"/>
  <c r="G3366" i="97"/>
  <c r="G3365" i="97"/>
  <c r="G3364" i="97"/>
  <c r="G3363" i="97"/>
  <c r="G3362" i="97"/>
  <c r="G3361" i="97"/>
  <c r="G3360" i="97"/>
  <c r="G3359" i="97"/>
  <c r="G3358" i="97"/>
  <c r="G3356" i="97"/>
  <c r="G3355" i="97"/>
  <c r="G3354" i="97"/>
  <c r="G3353" i="97"/>
  <c r="G3352" i="97"/>
  <c r="G3351" i="97"/>
  <c r="G3350" i="97"/>
  <c r="G3349" i="97"/>
  <c r="G3348" i="97"/>
  <c r="G3347" i="97"/>
  <c r="G3346" i="97"/>
  <c r="G3345" i="97"/>
  <c r="G3344" i="97"/>
  <c r="G3343" i="97"/>
  <c r="G3342" i="97"/>
  <c r="G3341" i="97"/>
  <c r="G3340" i="97"/>
  <c r="G3339" i="97"/>
  <c r="G3338" i="97"/>
  <c r="G3337" i="97"/>
  <c r="G3336" i="97"/>
  <c r="G3335" i="97"/>
  <c r="G3334" i="97"/>
  <c r="G3333" i="97"/>
  <c r="G3332" i="97"/>
  <c r="G3331" i="97"/>
  <c r="G3330" i="97"/>
  <c r="G3329" i="97"/>
  <c r="G3328" i="97"/>
  <c r="G3327" i="97"/>
  <c r="G3326" i="97"/>
  <c r="G3325" i="97"/>
  <c r="G3324" i="97"/>
  <c r="G3323" i="97"/>
  <c r="G3322" i="97"/>
  <c r="G3321" i="97"/>
  <c r="G3320" i="97"/>
  <c r="G3280" i="97"/>
  <c r="G3279" i="97"/>
  <c r="G3278" i="97"/>
  <c r="G3277" i="97"/>
  <c r="G3276" i="97"/>
  <c r="G3275" i="97"/>
  <c r="G3274" i="97"/>
  <c r="G3273" i="97"/>
  <c r="G3272" i="97"/>
  <c r="G3271" i="97"/>
  <c r="G3270" i="97"/>
  <c r="G3269" i="97"/>
  <c r="G3268" i="97"/>
  <c r="G3267" i="97"/>
  <c r="G3266" i="97"/>
  <c r="G3265" i="97"/>
  <c r="G3264" i="97"/>
  <c r="G3263" i="97"/>
  <c r="G3262" i="97"/>
  <c r="G3261" i="97"/>
  <c r="G3260" i="97"/>
  <c r="G3259" i="97"/>
  <c r="G3258" i="97"/>
  <c r="G3257" i="97"/>
  <c r="G3256" i="97"/>
  <c r="G3255" i="97"/>
  <c r="G3254" i="97"/>
  <c r="G3253" i="97"/>
  <c r="G3252" i="97"/>
  <c r="G3251" i="97"/>
  <c r="G3250" i="97"/>
  <c r="G3249" i="97"/>
  <c r="G3248" i="97"/>
  <c r="G3247" i="97"/>
  <c r="G3246" i="97"/>
  <c r="G3245" i="97"/>
  <c r="G3244" i="97"/>
  <c r="G3242" i="97"/>
  <c r="G3241" i="97"/>
  <c r="G3240" i="97"/>
  <c r="G3239" i="97"/>
  <c r="G3238" i="97"/>
  <c r="G3237" i="97"/>
  <c r="G3236" i="97"/>
  <c r="G3235" i="97"/>
  <c r="G3234" i="97"/>
  <c r="G3233" i="97"/>
  <c r="G3232" i="97"/>
  <c r="G3231" i="97"/>
  <c r="G3230" i="97"/>
  <c r="G3229" i="97"/>
  <c r="G3228" i="97"/>
  <c r="G3227" i="97"/>
  <c r="G3226" i="97"/>
  <c r="G3225" i="97"/>
  <c r="G3224" i="97"/>
  <c r="G3223" i="97"/>
  <c r="G3222" i="97"/>
  <c r="G3221" i="97"/>
  <c r="G3220" i="97"/>
  <c r="G3219" i="97"/>
  <c r="G3218" i="97"/>
  <c r="G3217" i="97"/>
  <c r="G3216" i="97"/>
  <c r="G3215" i="97"/>
  <c r="G3214" i="97"/>
  <c r="G3213" i="97"/>
  <c r="G3212" i="97"/>
  <c r="G3211" i="97"/>
  <c r="G3210" i="97"/>
  <c r="G3209" i="97"/>
  <c r="G3208" i="97"/>
  <c r="G3207" i="97"/>
  <c r="G3206" i="97"/>
  <c r="G3204" i="97"/>
  <c r="G3203" i="97"/>
  <c r="G3202" i="97"/>
  <c r="G3201" i="97"/>
  <c r="G3200" i="97"/>
  <c r="G3199" i="97"/>
  <c r="G3198" i="97"/>
  <c r="G3197" i="97"/>
  <c r="G3196" i="97"/>
  <c r="G3195" i="97"/>
  <c r="G3194" i="97"/>
  <c r="G3193" i="97"/>
  <c r="G3192" i="97"/>
  <c r="G3191" i="97"/>
  <c r="G3190" i="97"/>
  <c r="G3189" i="97"/>
  <c r="G3188" i="97"/>
  <c r="G3187" i="97"/>
  <c r="G3186" i="97"/>
  <c r="G3185" i="97"/>
  <c r="G3184" i="97"/>
  <c r="G3183" i="97"/>
  <c r="G3182" i="97"/>
  <c r="G3181" i="97"/>
  <c r="G3180" i="97"/>
  <c r="G3179" i="97"/>
  <c r="G3178" i="97"/>
  <c r="G3177" i="97"/>
  <c r="G3176" i="97"/>
  <c r="G3175" i="97"/>
  <c r="G3174" i="97"/>
  <c r="G3173" i="97"/>
  <c r="G3172" i="97"/>
  <c r="G3171" i="97"/>
  <c r="G3170" i="97"/>
  <c r="G3169" i="97"/>
  <c r="G3168" i="97"/>
  <c r="G3166" i="97"/>
  <c r="G3165" i="97"/>
  <c r="G3164" i="97"/>
  <c r="G3163" i="97"/>
  <c r="G3162" i="97"/>
  <c r="G3161" i="97"/>
  <c r="G3160" i="97"/>
  <c r="G3159" i="97"/>
  <c r="G3158" i="97"/>
  <c r="G3157" i="97"/>
  <c r="G3156" i="97"/>
  <c r="G3155" i="97"/>
  <c r="G3154" i="97"/>
  <c r="G3153" i="97"/>
  <c r="G3152" i="97"/>
  <c r="G3151" i="97"/>
  <c r="G3150" i="97"/>
  <c r="G3149" i="97"/>
  <c r="G3148" i="97"/>
  <c r="G3147" i="97"/>
  <c r="G3146" i="97"/>
  <c r="G3145" i="97"/>
  <c r="G3144" i="97"/>
  <c r="G3143" i="97"/>
  <c r="G3142" i="97"/>
  <c r="G3141" i="97"/>
  <c r="G3140" i="97"/>
  <c r="G3139" i="97"/>
  <c r="G3138" i="97"/>
  <c r="G3137" i="97"/>
  <c r="G3136" i="97"/>
  <c r="G3135" i="97"/>
  <c r="G3134" i="97"/>
  <c r="G3133" i="97"/>
  <c r="G3132" i="97"/>
  <c r="G3131" i="97"/>
  <c r="G3130" i="97"/>
  <c r="G3128" i="97"/>
  <c r="G3127" i="97"/>
  <c r="G3126" i="97"/>
  <c r="G3125" i="97"/>
  <c r="G3124" i="97"/>
  <c r="G3123" i="97"/>
  <c r="G3122" i="97"/>
  <c r="G3121" i="97"/>
  <c r="G3120" i="97"/>
  <c r="G3119" i="97"/>
  <c r="G3118" i="97"/>
  <c r="G3117" i="97"/>
  <c r="G3116" i="97"/>
  <c r="G3115" i="97"/>
  <c r="G3114" i="97"/>
  <c r="G3113" i="97"/>
  <c r="G3112" i="97"/>
  <c r="G3111" i="97"/>
  <c r="G3110" i="97"/>
  <c r="G3109" i="97"/>
  <c r="G3108" i="97"/>
  <c r="G3107" i="97"/>
  <c r="G3106" i="97"/>
  <c r="G3105" i="97"/>
  <c r="G3104" i="97"/>
  <c r="G3103" i="97"/>
  <c r="G3102" i="97"/>
  <c r="G3101" i="97"/>
  <c r="G3100" i="97"/>
  <c r="G3099" i="97"/>
  <c r="G3098" i="97"/>
  <c r="G3097" i="97"/>
  <c r="G3096" i="97"/>
  <c r="G3095" i="97"/>
  <c r="G3094" i="97"/>
  <c r="G3093" i="97"/>
  <c r="G3092" i="97"/>
  <c r="G3090" i="97"/>
  <c r="G3089" i="97"/>
  <c r="G3088" i="97"/>
  <c r="G3087" i="97"/>
  <c r="G3086" i="97"/>
  <c r="G3085" i="97"/>
  <c r="G3084" i="97"/>
  <c r="G3083" i="97"/>
  <c r="G3082" i="97"/>
  <c r="G3081" i="97"/>
  <c r="G3080" i="97"/>
  <c r="G3079" i="97"/>
  <c r="G3078" i="97"/>
  <c r="G3077" i="97"/>
  <c r="G3076" i="97"/>
  <c r="G3075" i="97"/>
  <c r="G3074" i="97"/>
  <c r="G3073" i="97"/>
  <c r="G3072" i="97"/>
  <c r="G3071" i="97"/>
  <c r="G3070" i="97"/>
  <c r="G3069" i="97"/>
  <c r="G3068" i="97"/>
  <c r="G3067" i="97"/>
  <c r="G3066" i="97"/>
  <c r="G3065" i="97"/>
  <c r="G3064" i="97"/>
  <c r="G3063" i="97"/>
  <c r="G3062" i="97"/>
  <c r="G3061" i="97"/>
  <c r="G3060" i="97"/>
  <c r="G3059" i="97"/>
  <c r="G3058" i="97"/>
  <c r="G3057" i="97"/>
  <c r="G3056" i="97"/>
  <c r="G3055" i="97"/>
  <c r="G3054" i="97"/>
  <c r="G3015" i="97"/>
  <c r="G3014" i="97"/>
  <c r="G3013" i="97"/>
  <c r="G3012" i="97"/>
  <c r="G3011" i="97"/>
  <c r="G3010" i="97"/>
  <c r="G3009" i="97"/>
  <c r="G3008" i="97"/>
  <c r="G3007" i="97"/>
  <c r="G3006" i="97"/>
  <c r="G3004" i="97"/>
  <c r="G3003" i="97"/>
  <c r="G3001" i="97"/>
  <c r="G2999" i="97"/>
  <c r="G2997" i="97"/>
  <c r="G2996" i="97"/>
  <c r="G2995" i="97"/>
  <c r="G2994" i="97"/>
  <c r="G2993" i="97"/>
  <c r="G2991" i="97"/>
  <c r="G2989" i="97"/>
  <c r="G2988" i="97"/>
  <c r="G2987" i="97"/>
  <c r="G2986" i="97"/>
  <c r="G2985" i="97"/>
  <c r="G2984" i="97"/>
  <c r="G2983" i="97"/>
  <c r="G2982" i="97"/>
  <c r="G2979" i="97"/>
  <c r="G2978" i="97"/>
  <c r="G2977" i="97"/>
  <c r="G2976" i="97"/>
  <c r="G2975" i="97"/>
  <c r="G2974" i="97"/>
  <c r="G2973" i="97"/>
  <c r="G2972" i="97"/>
  <c r="G2971" i="97"/>
  <c r="G2970" i="97"/>
  <c r="G2968" i="97"/>
  <c r="G2967" i="97"/>
  <c r="G2965" i="97"/>
  <c r="G2963" i="97"/>
  <c r="G2961" i="97"/>
  <c r="G2960" i="97"/>
  <c r="G2959" i="97"/>
  <c r="G2958" i="97"/>
  <c r="G2957" i="97"/>
  <c r="G2955" i="97"/>
  <c r="G2953" i="97"/>
  <c r="G2952" i="97"/>
  <c r="G2951" i="97"/>
  <c r="G2950" i="97"/>
  <c r="G2949" i="97"/>
  <c r="G2948" i="97"/>
  <c r="G2947" i="97"/>
  <c r="G2946" i="97"/>
  <c r="G2943" i="97"/>
  <c r="G2942" i="97"/>
  <c r="G2941" i="97"/>
  <c r="G2940" i="97"/>
  <c r="G2939" i="97"/>
  <c r="G2938" i="97"/>
  <c r="G2937" i="97"/>
  <c r="G2936" i="97"/>
  <c r="G2935" i="97"/>
  <c r="G2934" i="97"/>
  <c r="G2932" i="97"/>
  <c r="G2931" i="97"/>
  <c r="G2929" i="97"/>
  <c r="G2927" i="97"/>
  <c r="G2925" i="97"/>
  <c r="G2924" i="97"/>
  <c r="G2923" i="97"/>
  <c r="G2922" i="97"/>
  <c r="G2921" i="97"/>
  <c r="G2919" i="97"/>
  <c r="G2917" i="97"/>
  <c r="G2916" i="97"/>
  <c r="G2915" i="97"/>
  <c r="G2914" i="97"/>
  <c r="G2913" i="97"/>
  <c r="G2912" i="97"/>
  <c r="G2911" i="97"/>
  <c r="G2910" i="97"/>
  <c r="G2907" i="97"/>
  <c r="G2906" i="97"/>
  <c r="G2905" i="97"/>
  <c r="G2904" i="97"/>
  <c r="G2903" i="97"/>
  <c r="G2902" i="97"/>
  <c r="G2901" i="97"/>
  <c r="G2900" i="97"/>
  <c r="G2899" i="97"/>
  <c r="G2898" i="97"/>
  <c r="G2896" i="97"/>
  <c r="G2895" i="97"/>
  <c r="G2893" i="97"/>
  <c r="G2891" i="97"/>
  <c r="G2889" i="97"/>
  <c r="G2888" i="97"/>
  <c r="G2887" i="97"/>
  <c r="G2886" i="97"/>
  <c r="G2885" i="97"/>
  <c r="G2883" i="97"/>
  <c r="G2881" i="97"/>
  <c r="G2880" i="97"/>
  <c r="G2879" i="97"/>
  <c r="G2878" i="97"/>
  <c r="G2877" i="97"/>
  <c r="G2876" i="97"/>
  <c r="G2875" i="97"/>
  <c r="G2874" i="97"/>
  <c r="G2871" i="97"/>
  <c r="G2870" i="97"/>
  <c r="G2869" i="97"/>
  <c r="G2868" i="97"/>
  <c r="G2867" i="97"/>
  <c r="G2866" i="97"/>
  <c r="G2865" i="97"/>
  <c r="G2864" i="97"/>
  <c r="G2863" i="97"/>
  <c r="G2862" i="97"/>
  <c r="G2860" i="97"/>
  <c r="G2859" i="97"/>
  <c r="G2857" i="97"/>
  <c r="G2855" i="97"/>
  <c r="G2853" i="97"/>
  <c r="G2852" i="97"/>
  <c r="G2851" i="97"/>
  <c r="G2850" i="97"/>
  <c r="G2849" i="97"/>
  <c r="G2847" i="97"/>
  <c r="G2845" i="97"/>
  <c r="G2844" i="97"/>
  <c r="G2843" i="97"/>
  <c r="G2842" i="97"/>
  <c r="G2841" i="97"/>
  <c r="G2840" i="97"/>
  <c r="G2839" i="97"/>
  <c r="G2838" i="97"/>
  <c r="G2835" i="97"/>
  <c r="G2834" i="97"/>
  <c r="G2833" i="97"/>
  <c r="G2832" i="97"/>
  <c r="G2831" i="97"/>
  <c r="G2830" i="97"/>
  <c r="G2829" i="97"/>
  <c r="G2828" i="97"/>
  <c r="G2827" i="97"/>
  <c r="G2826" i="97"/>
  <c r="G2824" i="97"/>
  <c r="G2823" i="97"/>
  <c r="G2821" i="97"/>
  <c r="G2819" i="97"/>
  <c r="G2817" i="97"/>
  <c r="G2816" i="97"/>
  <c r="G2815" i="97"/>
  <c r="G2814" i="97"/>
  <c r="G2813" i="97"/>
  <c r="G2811" i="97"/>
  <c r="G2809" i="97"/>
  <c r="G2808" i="97"/>
  <c r="G2807" i="97"/>
  <c r="G2806" i="97"/>
  <c r="G2805" i="97"/>
  <c r="G2804" i="97"/>
  <c r="G2803" i="97"/>
  <c r="G2802" i="97"/>
  <c r="G2799" i="97"/>
  <c r="G2798" i="97"/>
  <c r="G2797" i="97"/>
  <c r="G2796" i="97"/>
  <c r="G2795" i="97"/>
  <c r="G2794" i="97"/>
  <c r="G2793" i="97"/>
  <c r="G2792" i="97"/>
  <c r="G2791" i="97"/>
  <c r="G2790" i="97"/>
  <c r="G2788" i="97"/>
  <c r="G2787" i="97"/>
  <c r="G2785" i="97"/>
  <c r="G2783" i="97"/>
  <c r="G2781" i="97"/>
  <c r="G2780" i="97"/>
  <c r="G2779" i="97"/>
  <c r="G2778" i="97"/>
  <c r="G2777" i="97"/>
  <c r="G2775" i="97"/>
  <c r="G2773" i="97"/>
  <c r="G2772" i="97"/>
  <c r="G2771" i="97"/>
  <c r="G2770" i="97"/>
  <c r="G2769" i="97"/>
  <c r="G2768" i="97"/>
  <c r="G2767" i="97"/>
  <c r="G2766" i="97"/>
  <c r="G2763" i="97"/>
  <c r="G2762" i="97"/>
  <c r="G2761" i="97"/>
  <c r="G2760" i="97"/>
  <c r="G2759" i="97"/>
  <c r="G2758" i="97"/>
  <c r="G2757" i="97"/>
  <c r="G2756" i="97"/>
  <c r="G2755" i="97"/>
  <c r="G2754" i="97"/>
  <c r="G2752" i="97"/>
  <c r="G2751" i="97"/>
  <c r="G2749" i="97"/>
  <c r="G2747" i="97"/>
  <c r="G2745" i="97"/>
  <c r="G2744" i="97"/>
  <c r="G2743" i="97"/>
  <c r="G2742" i="97"/>
  <c r="G2741" i="97"/>
  <c r="G2739" i="97"/>
  <c r="G2737" i="97"/>
  <c r="G2736" i="97"/>
  <c r="G2735" i="97"/>
  <c r="G2734" i="97"/>
  <c r="G2733" i="97"/>
  <c r="G2732" i="97"/>
  <c r="G2731" i="97"/>
  <c r="G2730" i="97"/>
  <c r="G2691" i="97"/>
  <c r="G2690" i="97"/>
  <c r="G2689" i="97"/>
  <c r="G2688" i="97"/>
  <c r="G2687" i="97"/>
  <c r="G2686" i="97"/>
  <c r="G2685" i="97"/>
  <c r="G2684" i="97"/>
  <c r="G2683" i="97"/>
  <c r="G2682" i="97"/>
  <c r="G2680" i="97"/>
  <c r="G2679" i="97"/>
  <c r="G2677" i="97"/>
  <c r="G2675" i="97"/>
  <c r="G2673" i="97"/>
  <c r="G2672" i="97"/>
  <c r="G2671" i="97"/>
  <c r="G2670" i="97"/>
  <c r="G2669" i="97"/>
  <c r="G2667" i="97"/>
  <c r="G2665" i="97"/>
  <c r="G2664" i="97"/>
  <c r="G2663" i="97"/>
  <c r="G2662" i="97"/>
  <c r="G2661" i="97"/>
  <c r="G2660" i="97"/>
  <c r="G2659" i="97"/>
  <c r="G2658" i="97"/>
  <c r="G2655" i="97"/>
  <c r="G2654" i="97"/>
  <c r="G2653" i="97"/>
  <c r="G2652" i="97"/>
  <c r="G2651" i="97"/>
  <c r="G2650" i="97"/>
  <c r="G2649" i="97"/>
  <c r="G2648" i="97"/>
  <c r="G2647" i="97"/>
  <c r="G2646" i="97"/>
  <c r="G2644" i="97"/>
  <c r="G2643" i="97"/>
  <c r="G2641" i="97"/>
  <c r="G2639" i="97"/>
  <c r="G2637" i="97"/>
  <c r="G2636" i="97"/>
  <c r="G2635" i="97"/>
  <c r="G2634" i="97"/>
  <c r="G2633" i="97"/>
  <c r="G2631" i="97"/>
  <c r="G2629" i="97"/>
  <c r="G2628" i="97"/>
  <c r="G2627" i="97"/>
  <c r="G2626" i="97"/>
  <c r="G2625" i="97"/>
  <c r="G2624" i="97"/>
  <c r="G2623" i="97"/>
  <c r="G2622" i="97"/>
  <c r="G2619" i="97"/>
  <c r="G2618" i="97"/>
  <c r="G2617" i="97"/>
  <c r="G2616" i="97"/>
  <c r="G2615" i="97"/>
  <c r="G2614" i="97"/>
  <c r="G2613" i="97"/>
  <c r="G2612" i="97"/>
  <c r="G2611" i="97"/>
  <c r="G2610" i="97"/>
  <c r="G2608" i="97"/>
  <c r="G2607" i="97"/>
  <c r="G2605" i="97"/>
  <c r="G2603" i="97"/>
  <c r="G2601" i="97"/>
  <c r="G2600" i="97"/>
  <c r="G2599" i="97"/>
  <c r="G2598" i="97"/>
  <c r="G2597" i="97"/>
  <c r="G2595" i="97"/>
  <c r="G2593" i="97"/>
  <c r="G2592" i="97"/>
  <c r="G2591" i="97"/>
  <c r="G2590" i="97"/>
  <c r="G2589" i="97"/>
  <c r="G2588" i="97"/>
  <c r="G2587" i="97"/>
  <c r="G2586" i="97"/>
  <c r="G2583" i="97"/>
  <c r="G2582" i="97"/>
  <c r="G2581" i="97"/>
  <c r="G2580" i="97"/>
  <c r="G2579" i="97"/>
  <c r="G2578" i="97"/>
  <c r="G2577" i="97"/>
  <c r="G2576" i="97"/>
  <c r="G2575" i="97"/>
  <c r="G2574" i="97"/>
  <c r="G2572" i="97"/>
  <c r="G2571" i="97"/>
  <c r="G2569" i="97"/>
  <c r="G2567" i="97"/>
  <c r="G2565" i="97"/>
  <c r="G2564" i="97"/>
  <c r="G2563" i="97"/>
  <c r="G2562" i="97"/>
  <c r="G2561" i="97"/>
  <c r="G2559" i="97"/>
  <c r="G2557" i="97"/>
  <c r="G2556" i="97"/>
  <c r="G2555" i="97"/>
  <c r="G2554" i="97"/>
  <c r="G2553" i="97"/>
  <c r="G2552" i="97"/>
  <c r="G2551" i="97"/>
  <c r="G2550" i="97"/>
  <c r="G2547" i="97"/>
  <c r="G2546" i="97"/>
  <c r="G2545" i="97"/>
  <c r="G2544" i="97"/>
  <c r="G2543" i="97"/>
  <c r="G2542" i="97"/>
  <c r="G2541" i="97"/>
  <c r="G2540" i="97"/>
  <c r="G2539" i="97"/>
  <c r="G2538" i="97"/>
  <c r="G2536" i="97"/>
  <c r="G2535" i="97"/>
  <c r="G2533" i="97"/>
  <c r="G2531" i="97"/>
  <c r="G2529" i="97"/>
  <c r="G2528" i="97"/>
  <c r="G2527" i="97"/>
  <c r="G2526" i="97"/>
  <c r="G2525" i="97"/>
  <c r="G2523" i="97"/>
  <c r="G2521" i="97"/>
  <c r="G2520" i="97"/>
  <c r="G2519" i="97"/>
  <c r="G2518" i="97"/>
  <c r="G2517" i="97"/>
  <c r="G2516" i="97"/>
  <c r="G2515" i="97"/>
  <c r="G2514" i="97"/>
  <c r="G2511" i="97"/>
  <c r="G2510" i="97"/>
  <c r="G2509" i="97"/>
  <c r="G2508" i="97"/>
  <c r="G2507" i="97"/>
  <c r="G2506" i="97"/>
  <c r="G2505" i="97"/>
  <c r="G2504" i="97"/>
  <c r="G2503" i="97"/>
  <c r="G2502" i="97"/>
  <c r="G2500" i="97"/>
  <c r="G2499" i="97"/>
  <c r="G2497" i="97"/>
  <c r="G2495" i="97"/>
  <c r="G2493" i="97"/>
  <c r="G2492" i="97"/>
  <c r="G2491" i="97"/>
  <c r="G2490" i="97"/>
  <c r="G2489" i="97"/>
  <c r="G2487" i="97"/>
  <c r="G2485" i="97"/>
  <c r="G2484" i="97"/>
  <c r="G2483" i="97"/>
  <c r="G2482" i="97"/>
  <c r="G2481" i="97"/>
  <c r="G2480" i="97"/>
  <c r="G2479" i="97"/>
  <c r="G2478" i="97"/>
  <c r="G2477" i="97"/>
  <c r="G2476" i="97"/>
  <c r="G2475" i="97"/>
  <c r="G2474" i="97"/>
  <c r="G2473" i="97"/>
  <c r="G2472" i="97"/>
  <c r="G2471" i="97"/>
  <c r="G2470" i="97"/>
  <c r="G2469" i="97"/>
  <c r="G2468" i="97"/>
  <c r="G2467" i="97"/>
  <c r="G2466" i="97"/>
  <c r="G2465" i="97"/>
  <c r="G2464" i="97"/>
  <c r="G2463" i="97"/>
  <c r="G2462" i="97"/>
  <c r="G2461" i="97"/>
  <c r="G2460" i="97"/>
  <c r="G2459" i="97"/>
  <c r="G2458" i="97"/>
  <c r="G2457" i="97"/>
  <c r="G2456" i="97"/>
  <c r="G2455" i="97"/>
  <c r="G2454" i="97"/>
  <c r="G2453" i="97"/>
  <c r="G2452" i="97"/>
  <c r="G2451" i="97"/>
  <c r="G2450" i="97"/>
  <c r="G2449" i="97"/>
  <c r="G2448" i="97"/>
  <c r="G2447" i="97"/>
  <c r="G2446" i="97"/>
  <c r="G2445" i="97"/>
  <c r="G2444" i="97"/>
  <c r="G2443" i="97"/>
  <c r="G2442" i="97"/>
  <c r="G2441" i="97"/>
  <c r="G2440" i="97"/>
  <c r="G2438" i="97"/>
  <c r="G2436" i="97"/>
  <c r="G2435" i="97"/>
  <c r="G2434" i="97"/>
  <c r="G2433" i="97"/>
  <c r="G2431" i="97"/>
  <c r="G2430" i="97"/>
  <c r="G2429" i="97"/>
  <c r="G2428" i="97"/>
  <c r="G2426" i="97"/>
  <c r="G2425" i="97"/>
  <c r="G2424" i="97"/>
  <c r="G2423" i="97"/>
  <c r="G2421" i="97"/>
  <c r="G2420" i="97"/>
  <c r="G2419" i="97"/>
  <c r="G2418" i="97"/>
  <c r="G2417" i="97"/>
  <c r="G2416" i="97"/>
  <c r="G2414" i="97"/>
  <c r="G2412" i="97"/>
  <c r="G2411" i="97"/>
  <c r="G2410" i="97"/>
  <c r="G2409" i="97"/>
  <c r="G2407" i="97"/>
  <c r="G2406" i="97"/>
  <c r="G2405" i="97"/>
  <c r="G2404" i="97"/>
  <c r="G2402" i="97"/>
  <c r="G2401" i="97"/>
  <c r="G2400" i="97"/>
  <c r="G2399" i="97"/>
  <c r="G2397" i="97"/>
  <c r="G2396" i="97"/>
  <c r="G2395" i="97"/>
  <c r="G2394" i="97"/>
  <c r="G2393" i="97"/>
  <c r="G2392" i="97"/>
  <c r="G2366" i="97"/>
  <c r="G2364" i="97"/>
  <c r="G2363" i="97"/>
  <c r="G2362" i="97"/>
  <c r="G2361" i="97"/>
  <c r="G2359" i="97"/>
  <c r="G2358" i="97"/>
  <c r="G2357" i="97"/>
  <c r="G2356" i="97"/>
  <c r="G2354" i="97"/>
  <c r="G2353" i="97"/>
  <c r="G2352" i="97"/>
  <c r="G2351" i="97"/>
  <c r="G2349" i="97"/>
  <c r="G2348" i="97"/>
  <c r="G2347" i="97"/>
  <c r="G2346" i="97"/>
  <c r="G2345" i="97"/>
  <c r="G2344" i="97"/>
  <c r="G2342" i="97"/>
  <c r="G2340" i="97"/>
  <c r="G2339" i="97"/>
  <c r="G2338" i="97"/>
  <c r="G2337" i="97"/>
  <c r="G2335" i="97"/>
  <c r="G2334" i="97"/>
  <c r="G2333" i="97"/>
  <c r="G2332" i="97"/>
  <c r="G2330" i="97"/>
  <c r="G2329" i="97"/>
  <c r="G2328" i="97"/>
  <c r="G2327" i="97"/>
  <c r="G2325" i="97"/>
  <c r="G2324" i="97"/>
  <c r="G2323" i="97"/>
  <c r="G2322" i="97"/>
  <c r="G2321" i="97"/>
  <c r="G2320" i="97"/>
  <c r="G2318" i="97"/>
  <c r="G2316" i="97"/>
  <c r="G2315" i="97"/>
  <c r="G2314" i="97"/>
  <c r="G2313" i="97"/>
  <c r="G2311" i="97"/>
  <c r="G2310" i="97"/>
  <c r="G2309" i="97"/>
  <c r="G2308" i="97"/>
  <c r="G2306" i="97"/>
  <c r="G2305" i="97"/>
  <c r="G2304" i="97"/>
  <c r="G2303" i="97"/>
  <c r="G2301" i="97"/>
  <c r="G2300" i="97"/>
  <c r="G2299" i="97"/>
  <c r="G2298" i="97"/>
  <c r="G2297" i="97"/>
  <c r="G2296" i="97"/>
  <c r="G2294" i="97"/>
  <c r="G2293" i="97"/>
  <c r="G2292" i="97"/>
  <c r="G2291" i="97"/>
  <c r="G2290" i="97"/>
  <c r="G2289" i="97"/>
  <c r="G2288" i="97"/>
  <c r="G2287" i="97"/>
  <c r="G2286" i="97"/>
  <c r="G2285" i="97"/>
  <c r="G2284" i="97"/>
  <c r="G2279" i="97"/>
  <c r="G2278" i="97"/>
  <c r="G2277" i="97"/>
  <c r="G2276" i="97"/>
  <c r="G2275" i="97"/>
  <c r="G2274" i="97"/>
  <c r="G2270" i="97"/>
  <c r="G2268" i="97"/>
  <c r="G2267" i="97"/>
  <c r="G2265" i="97"/>
  <c r="G2264" i="97"/>
  <c r="G2263" i="97"/>
  <c r="G2260" i="97"/>
  <c r="G2258" i="97"/>
  <c r="G2257" i="97"/>
  <c r="G2242" i="97"/>
  <c r="G2240" i="97"/>
  <c r="G2239" i="97"/>
  <c r="G2238" i="97"/>
  <c r="G2237" i="97"/>
  <c r="G2235" i="97"/>
  <c r="G2231" i="97"/>
  <c r="G2229" i="97"/>
  <c r="G2228" i="97"/>
  <c r="G2227" i="97"/>
  <c r="G2226" i="97"/>
  <c r="G2224" i="97"/>
  <c r="G2220" i="97"/>
  <c r="G2218" i="97"/>
  <c r="G2217" i="97"/>
  <c r="G2216" i="97"/>
  <c r="G2215" i="97"/>
  <c r="G2213" i="97"/>
  <c r="G2209" i="97"/>
  <c r="G2208" i="97"/>
  <c r="G2206" i="97"/>
  <c r="G2205" i="97"/>
  <c r="G2178" i="97"/>
  <c r="G2176" i="97"/>
  <c r="G2175" i="97"/>
  <c r="G2174" i="97"/>
  <c r="G2173" i="97"/>
  <c r="G2171" i="97"/>
  <c r="G2169" i="97"/>
  <c r="G2168" i="97"/>
  <c r="G2167" i="97"/>
  <c r="G2166" i="97"/>
  <c r="G2165" i="97"/>
  <c r="G2163" i="97"/>
  <c r="G2162" i="97"/>
  <c r="G2161" i="97"/>
  <c r="G2160" i="97"/>
  <c r="G2158" i="97"/>
  <c r="G2156" i="97"/>
  <c r="G2155" i="97"/>
  <c r="G2154" i="97"/>
  <c r="G2153" i="97"/>
  <c r="G2152" i="97"/>
  <c r="G2150" i="97"/>
  <c r="G2149" i="97"/>
  <c r="G2148" i="97"/>
  <c r="G2147" i="97"/>
  <c r="G2145" i="97"/>
  <c r="G2143" i="97"/>
  <c r="G2142" i="97"/>
  <c r="G2141" i="97"/>
  <c r="G2140" i="97"/>
  <c r="G2126" i="97"/>
  <c r="G2124" i="97"/>
  <c r="G2123" i="97"/>
  <c r="G2122" i="97"/>
  <c r="G2121" i="97"/>
  <c r="G2119" i="97"/>
  <c r="G2117" i="97"/>
  <c r="G2116" i="97"/>
  <c r="G2115" i="97"/>
  <c r="G2114" i="97"/>
  <c r="G2113" i="97"/>
  <c r="G2111" i="97"/>
  <c r="G2110" i="97"/>
  <c r="G2109" i="97"/>
  <c r="G2108" i="97"/>
  <c r="G2106" i="97"/>
  <c r="G2104" i="97"/>
  <c r="G2103" i="97"/>
  <c r="G2102" i="97"/>
  <c r="G2101" i="97"/>
  <c r="G2100" i="97"/>
  <c r="G2098" i="97"/>
  <c r="G2097" i="97"/>
  <c r="G2096" i="97"/>
  <c r="G2095" i="97"/>
  <c r="G2093" i="97"/>
  <c r="G2091" i="97"/>
  <c r="G2090" i="97"/>
  <c r="G2089" i="97"/>
  <c r="G2088" i="97"/>
  <c r="G2062" i="97"/>
  <c r="G2060" i="97"/>
  <c r="G2058" i="97"/>
  <c r="G2057" i="97"/>
  <c r="G2055" i="97"/>
  <c r="G2053" i="97"/>
  <c r="G2051" i="97"/>
  <c r="G2050" i="97"/>
  <c r="G2049" i="97"/>
  <c r="G2048" i="97"/>
  <c r="G2047" i="97"/>
  <c r="G2045" i="97"/>
  <c r="G2043" i="97"/>
  <c r="G2042" i="97"/>
  <c r="G2041" i="97"/>
  <c r="G2040" i="97"/>
  <c r="G2039" i="97"/>
  <c r="G2038" i="97"/>
  <c r="G2037" i="97"/>
  <c r="G2036" i="97"/>
  <c r="G2034" i="97"/>
  <c r="G2032" i="97"/>
  <c r="G2030" i="97"/>
  <c r="G2029" i="97"/>
  <c r="G2027" i="97"/>
  <c r="G2025" i="97"/>
  <c r="G2023" i="97"/>
  <c r="G2022" i="97"/>
  <c r="G2021" i="97"/>
  <c r="G2020" i="97"/>
  <c r="G2019" i="97"/>
  <c r="G2017" i="97"/>
  <c r="G2015" i="97"/>
  <c r="G2014" i="97"/>
  <c r="G2013" i="97"/>
  <c r="G2012" i="97"/>
  <c r="G2011" i="97"/>
  <c r="G2010" i="97"/>
  <c r="G2009" i="97"/>
  <c r="G2008" i="97"/>
  <c r="G2006" i="97"/>
  <c r="G2004" i="97"/>
  <c r="G2002" i="97"/>
  <c r="G2001" i="97"/>
  <c r="G1999" i="97"/>
  <c r="G1997" i="97"/>
  <c r="G1995" i="97"/>
  <c r="G1994" i="97"/>
  <c r="G1993" i="97"/>
  <c r="G1992" i="97"/>
  <c r="G1991" i="97"/>
  <c r="G1989" i="97"/>
  <c r="G1987" i="97"/>
  <c r="G1986" i="97"/>
  <c r="G1985" i="97"/>
  <c r="G1984" i="97"/>
  <c r="G1983" i="97"/>
  <c r="G1982" i="97"/>
  <c r="G1981" i="97"/>
  <c r="G1980" i="97"/>
  <c r="G1978" i="97"/>
  <c r="G1976" i="97"/>
  <c r="G1974" i="97"/>
  <c r="G1973" i="97"/>
  <c r="G1971" i="97"/>
  <c r="G1969" i="97"/>
  <c r="G1967" i="97"/>
  <c r="G1966" i="97"/>
  <c r="G1965" i="97"/>
  <c r="G1964" i="97"/>
  <c r="G1963" i="97"/>
  <c r="G1961" i="97"/>
  <c r="G1959" i="97"/>
  <c r="G1958" i="97"/>
  <c r="G1957" i="97"/>
  <c r="G1956" i="97"/>
  <c r="G1955" i="97"/>
  <c r="G1954" i="97"/>
  <c r="G1953" i="97"/>
  <c r="G1952" i="97"/>
  <c r="G1950" i="97"/>
  <c r="G1948" i="97"/>
  <c r="G1946" i="97"/>
  <c r="G1945" i="97"/>
  <c r="G1943" i="97"/>
  <c r="G1941" i="97"/>
  <c r="G1939" i="97"/>
  <c r="G1938" i="97"/>
  <c r="G1937" i="97"/>
  <c r="G1936" i="97"/>
  <c r="G1935" i="97"/>
  <c r="G1933" i="97"/>
  <c r="G1931" i="97"/>
  <c r="G1930" i="97"/>
  <c r="G1929" i="97"/>
  <c r="G1928" i="97"/>
  <c r="G1927" i="97"/>
  <c r="G1926" i="97"/>
  <c r="G1925" i="97"/>
  <c r="G1924" i="97"/>
  <c r="G1922" i="97"/>
  <c r="G1920" i="97"/>
  <c r="G1918" i="97"/>
  <c r="G1917" i="97"/>
  <c r="G1915" i="97"/>
  <c r="G1913" i="97"/>
  <c r="G1911" i="97"/>
  <c r="G1910" i="97"/>
  <c r="G1909" i="97"/>
  <c r="G1908" i="97"/>
  <c r="G1907" i="97"/>
  <c r="G1905" i="97"/>
  <c r="G1903" i="97"/>
  <c r="G1902" i="97"/>
  <c r="G1901" i="97"/>
  <c r="G1900" i="97"/>
  <c r="G1899" i="97"/>
  <c r="G1898" i="97"/>
  <c r="G1897" i="97"/>
  <c r="G1896" i="97"/>
  <c r="G1894" i="97"/>
  <c r="G1892" i="97"/>
  <c r="G1890" i="97"/>
  <c r="G1889" i="97"/>
  <c r="G1887" i="97"/>
  <c r="G1885" i="97"/>
  <c r="G1883" i="97"/>
  <c r="G1882" i="97"/>
  <c r="G1881" i="97"/>
  <c r="G1880" i="97"/>
  <c r="G1879" i="97"/>
  <c r="G1877" i="97"/>
  <c r="G1875" i="97"/>
  <c r="G1874" i="97"/>
  <c r="G1873" i="97"/>
  <c r="G1872" i="97"/>
  <c r="G1871" i="97"/>
  <c r="G1870" i="97"/>
  <c r="G1869" i="97"/>
  <c r="G1868" i="97"/>
  <c r="G1866" i="97"/>
  <c r="G1864" i="97"/>
  <c r="G1862" i="97"/>
  <c r="G1861" i="97"/>
  <c r="G1859" i="97"/>
  <c r="G1857" i="97"/>
  <c r="G1855" i="97"/>
  <c r="G1854" i="97"/>
  <c r="G1853" i="97"/>
  <c r="G1852" i="97"/>
  <c r="G1851" i="97"/>
  <c r="G1849" i="97"/>
  <c r="G1847" i="97"/>
  <c r="G1846" i="97"/>
  <c r="G1845" i="97"/>
  <c r="G1844" i="97"/>
  <c r="G1843" i="97"/>
  <c r="G1842" i="97"/>
  <c r="G1841" i="97"/>
  <c r="G1840" i="97"/>
  <c r="G1814" i="97"/>
  <c r="G1812" i="97"/>
  <c r="G1810" i="97"/>
  <c r="G1809" i="97"/>
  <c r="G1807" i="97"/>
  <c r="G1805" i="97"/>
  <c r="G1803" i="97"/>
  <c r="G1802" i="97"/>
  <c r="G1801" i="97"/>
  <c r="G1800" i="97"/>
  <c r="G1799" i="97"/>
  <c r="G1797" i="97"/>
  <c r="G1795" i="97"/>
  <c r="G1794" i="97"/>
  <c r="G1793" i="97"/>
  <c r="G1792" i="97"/>
  <c r="G1791" i="97"/>
  <c r="G1790" i="97"/>
  <c r="G1789" i="97"/>
  <c r="G1788" i="97"/>
  <c r="G1786" i="97"/>
  <c r="G1784" i="97"/>
  <c r="G1782" i="97"/>
  <c r="G1781" i="97"/>
  <c r="G1779" i="97"/>
  <c r="G1777" i="97"/>
  <c r="G1775" i="97"/>
  <c r="G1774" i="97"/>
  <c r="G1773" i="97"/>
  <c r="G1772" i="97"/>
  <c r="G1771" i="97"/>
  <c r="G1769" i="97"/>
  <c r="G1767" i="97"/>
  <c r="G1766" i="97"/>
  <c r="G1765" i="97"/>
  <c r="G1764" i="97"/>
  <c r="G1763" i="97"/>
  <c r="G1762" i="97"/>
  <c r="G1761" i="97"/>
  <c r="G1760" i="97"/>
  <c r="G1758" i="97"/>
  <c r="G1756" i="97"/>
  <c r="G1754" i="97"/>
  <c r="G1753" i="97"/>
  <c r="G1751" i="97"/>
  <c r="G1749" i="97"/>
  <c r="G1747" i="97"/>
  <c r="G1746" i="97"/>
  <c r="G1745" i="97"/>
  <c r="G1744" i="97"/>
  <c r="G1743" i="97"/>
  <c r="G1741" i="97"/>
  <c r="G1739" i="97"/>
  <c r="G1738" i="97"/>
  <c r="G1737" i="97"/>
  <c r="G1736" i="97"/>
  <c r="G1735" i="97"/>
  <c r="G1734" i="97"/>
  <c r="G1733" i="97"/>
  <c r="G1732" i="97"/>
  <c r="G1730" i="97"/>
  <c r="G1728" i="97"/>
  <c r="G1726" i="97"/>
  <c r="G1725" i="97"/>
  <c r="G1723" i="97"/>
  <c r="G1721" i="97"/>
  <c r="G1719" i="97"/>
  <c r="G1718" i="97"/>
  <c r="G1717" i="97"/>
  <c r="G1716" i="97"/>
  <c r="G1715" i="97"/>
  <c r="G1713" i="97"/>
  <c r="G1711" i="97"/>
  <c r="G1710" i="97"/>
  <c r="G1709" i="97"/>
  <c r="G1708" i="97"/>
  <c r="G1707" i="97"/>
  <c r="G1706" i="97"/>
  <c r="G1705" i="97"/>
  <c r="G1704" i="97"/>
  <c r="G1702" i="97"/>
  <c r="G1700" i="97"/>
  <c r="G1698" i="97"/>
  <c r="G1697" i="97"/>
  <c r="G1695" i="97"/>
  <c r="G1693" i="97"/>
  <c r="G1691" i="97"/>
  <c r="G1690" i="97"/>
  <c r="G1689" i="97"/>
  <c r="G1688" i="97"/>
  <c r="G1687" i="97"/>
  <c r="G1685" i="97"/>
  <c r="G1683" i="97"/>
  <c r="G1682" i="97"/>
  <c r="G1681" i="97"/>
  <c r="G1680" i="97"/>
  <c r="G1679" i="97"/>
  <c r="G1678" i="97"/>
  <c r="G1677" i="97"/>
  <c r="G1676" i="97"/>
  <c r="G1674" i="97"/>
  <c r="G1672" i="97"/>
  <c r="G1670" i="97"/>
  <c r="G1669" i="97"/>
  <c r="G1667" i="97"/>
  <c r="G1665" i="97"/>
  <c r="G1663" i="97"/>
  <c r="G1662" i="97"/>
  <c r="G1661" i="97"/>
  <c r="G1660" i="97"/>
  <c r="G1659" i="97"/>
  <c r="G1657" i="97"/>
  <c r="G1655" i="97"/>
  <c r="G1654" i="97"/>
  <c r="G1653" i="97"/>
  <c r="G1652" i="97"/>
  <c r="G1651" i="97"/>
  <c r="G1650" i="97"/>
  <c r="G1649" i="97"/>
  <c r="G1648" i="97"/>
  <c r="G1646" i="97"/>
  <c r="G1645" i="97"/>
  <c r="G1644" i="97"/>
  <c r="G1643" i="97"/>
  <c r="G1642" i="97"/>
  <c r="G1640" i="97"/>
  <c r="G1639" i="97"/>
  <c r="G1638" i="97"/>
  <c r="G1637" i="97"/>
  <c r="G1636" i="97"/>
  <c r="G1634" i="97"/>
  <c r="G1633" i="97"/>
  <c r="G1632" i="97"/>
  <c r="G1631" i="97"/>
  <c r="G1630" i="97"/>
  <c r="G1629" i="97"/>
  <c r="G1628" i="97"/>
  <c r="G1626" i="97"/>
  <c r="G1624" i="97"/>
  <c r="G1623" i="97"/>
  <c r="G1622" i="97"/>
  <c r="G1621" i="97"/>
  <c r="G1620" i="97"/>
  <c r="G1619" i="97"/>
  <c r="G1617" i="97"/>
  <c r="G1615" i="97"/>
  <c r="G1614" i="97"/>
  <c r="G1613" i="97"/>
  <c r="G1612" i="97"/>
  <c r="G1611" i="97"/>
  <c r="G1610" i="97"/>
  <c r="G1608" i="97"/>
  <c r="G1606" i="97"/>
  <c r="G1605" i="97"/>
  <c r="G1604" i="97"/>
  <c r="G1603" i="97"/>
  <c r="G1602" i="97"/>
  <c r="G1601" i="97"/>
  <c r="G1599" i="97"/>
  <c r="G1597" i="97"/>
  <c r="G1596" i="97"/>
  <c r="G1595" i="97"/>
  <c r="G1594" i="97"/>
  <c r="G1593" i="97"/>
  <c r="G1591" i="97"/>
  <c r="G1589" i="97"/>
  <c r="G1588" i="97"/>
  <c r="G1587" i="97"/>
  <c r="G1585" i="97"/>
  <c r="G1584" i="97"/>
  <c r="G1582" i="97"/>
  <c r="G1580" i="97"/>
  <c r="G1579" i="97"/>
  <c r="G1578" i="97"/>
  <c r="G1576" i="97"/>
  <c r="G1575" i="97"/>
  <c r="G1574" i="97"/>
  <c r="G1573" i="97"/>
  <c r="G1572" i="97"/>
  <c r="G1571" i="97"/>
  <c r="G1570" i="97"/>
  <c r="G1569" i="97"/>
  <c r="G1568" i="97"/>
  <c r="G1565" i="97"/>
  <c r="G1564" i="97"/>
  <c r="G1563" i="97"/>
  <c r="G1562" i="97"/>
  <c r="G1561" i="97"/>
  <c r="G1560" i="97"/>
  <c r="G1557" i="97"/>
  <c r="G1551" i="97"/>
  <c r="G1548" i="97"/>
  <c r="G1546" i="97"/>
  <c r="G1545" i="97"/>
  <c r="G1544" i="97"/>
  <c r="G1543" i="97"/>
  <c r="G1541" i="97"/>
  <c r="G1540" i="97"/>
  <c r="G1539" i="97"/>
  <c r="G1537" i="97"/>
  <c r="G1536" i="97"/>
  <c r="G1535" i="97"/>
  <c r="G1534" i="97"/>
  <c r="G1532" i="97"/>
  <c r="G1531" i="97"/>
  <c r="G1530" i="97"/>
  <c r="G1519" i="97"/>
  <c r="G1518" i="97"/>
  <c r="G1517" i="97"/>
  <c r="G1515" i="97"/>
  <c r="G1512" i="97"/>
  <c r="G1511" i="97"/>
  <c r="G1510" i="97"/>
  <c r="G1509" i="97"/>
  <c r="G1489" i="97"/>
  <c r="G1488" i="97"/>
  <c r="G1487" i="97"/>
  <c r="G1485" i="97"/>
  <c r="G1482" i="97"/>
  <c r="G1481" i="97"/>
  <c r="G1480" i="97"/>
  <c r="G1477" i="97"/>
  <c r="G1476" i="97"/>
  <c r="G1475" i="97"/>
  <c r="G1473" i="97"/>
  <c r="G1472" i="97"/>
  <c r="G1471" i="97"/>
  <c r="G1469" i="97"/>
  <c r="G1468" i="97"/>
  <c r="G1467" i="97"/>
  <c r="G1464" i="97"/>
  <c r="G1463" i="97"/>
  <c r="G1462" i="97"/>
  <c r="G1460" i="97"/>
  <c r="G1457" i="97"/>
  <c r="G1456" i="97"/>
  <c r="G1455" i="97"/>
  <c r="G1452" i="97"/>
  <c r="G1451" i="97"/>
  <c r="G1450" i="97"/>
  <c r="G1448" i="97"/>
  <c r="G1447" i="97"/>
  <c r="G1446" i="97"/>
  <c r="G1444" i="97"/>
  <c r="G1443" i="97"/>
  <c r="G1442" i="97"/>
  <c r="G1415" i="97"/>
  <c r="G1412" i="97"/>
  <c r="G1411" i="97"/>
  <c r="G1410" i="97"/>
  <c r="G1409" i="97"/>
  <c r="G1408" i="97"/>
  <c r="G1407" i="97"/>
  <c r="G1406" i="97"/>
  <c r="G1405" i="97"/>
  <c r="G1404" i="97"/>
  <c r="G1403" i="97"/>
  <c r="G1402" i="97"/>
  <c r="G1401" i="97"/>
  <c r="G1400" i="97"/>
  <c r="G1399" i="97"/>
  <c r="G1398" i="97"/>
  <c r="G1397" i="97"/>
  <c r="G1396" i="97"/>
  <c r="G1395" i="97"/>
  <c r="G1394" i="97"/>
  <c r="G1393" i="97"/>
  <c r="G1392" i="97"/>
  <c r="G1391" i="97"/>
  <c r="G1390" i="97"/>
  <c r="G1362" i="97"/>
  <c r="G1361" i="97"/>
  <c r="G1360" i="97"/>
  <c r="G1359" i="97"/>
  <c r="G1358" i="97"/>
  <c r="G1357" i="97"/>
  <c r="G1356" i="97"/>
  <c r="G1355" i="97"/>
  <c r="G1354" i="97"/>
  <c r="G1353" i="97"/>
  <c r="G1352" i="97"/>
  <c r="G1351" i="97"/>
  <c r="G1350" i="97"/>
  <c r="G1349" i="97"/>
  <c r="G1348" i="97"/>
  <c r="G1347" i="97"/>
  <c r="G1346" i="97"/>
  <c r="G1345" i="97"/>
  <c r="G1344" i="97"/>
  <c r="G1343" i="97"/>
  <c r="G1342" i="97"/>
  <c r="G1341" i="97"/>
  <c r="G1340" i="97"/>
  <c r="G1337" i="97"/>
  <c r="G1336" i="97"/>
  <c r="G1335" i="97"/>
  <c r="G1334" i="97"/>
  <c r="G1333" i="97"/>
  <c r="G1332" i="97"/>
  <c r="G1331" i="97"/>
  <c r="G1330" i="97"/>
  <c r="G1329" i="97"/>
  <c r="G1328" i="97"/>
  <c r="G1327" i="97"/>
  <c r="G1326" i="97"/>
  <c r="G1325" i="97"/>
  <c r="G1324" i="97"/>
  <c r="G1323" i="97"/>
  <c r="G1322" i="97"/>
  <c r="G1321" i="97"/>
  <c r="G1320" i="97"/>
  <c r="G1319" i="97"/>
  <c r="G1318" i="97"/>
  <c r="G1317" i="97"/>
  <c r="G1316" i="97"/>
  <c r="G1315" i="97"/>
  <c r="G1291" i="97"/>
  <c r="G1288" i="97"/>
  <c r="G1287" i="97"/>
  <c r="G1286" i="97"/>
  <c r="G1285" i="97"/>
  <c r="G1284" i="97"/>
  <c r="G1283" i="97"/>
  <c r="G1282" i="97"/>
  <c r="G1281" i="97"/>
  <c r="G1280" i="97"/>
  <c r="G1279" i="97"/>
  <c r="G1278" i="97"/>
  <c r="G1277" i="97"/>
  <c r="G1276" i="97"/>
  <c r="G1275" i="97"/>
  <c r="G1274" i="97"/>
  <c r="G1273" i="97"/>
  <c r="G1272" i="97"/>
  <c r="G1271" i="97"/>
  <c r="G1270" i="97"/>
  <c r="G1269" i="97"/>
  <c r="G1244" i="97"/>
  <c r="G1243" i="97"/>
  <c r="G1242" i="97"/>
  <c r="G1241" i="97"/>
  <c r="G1240" i="97"/>
  <c r="G1239" i="97"/>
  <c r="G1238" i="97"/>
  <c r="G1237" i="97"/>
  <c r="G1236" i="97"/>
  <c r="G1235" i="97"/>
  <c r="G1234" i="97"/>
  <c r="G1233" i="97"/>
  <c r="G1232" i="97"/>
  <c r="G1231" i="97"/>
  <c r="G1230" i="97"/>
  <c r="G1229" i="97"/>
  <c r="G1228" i="97"/>
  <c r="G1227" i="97"/>
  <c r="G1226" i="97"/>
  <c r="G1225" i="97"/>
  <c r="G1222" i="97"/>
  <c r="G1221" i="97"/>
  <c r="G1220" i="97"/>
  <c r="G1219" i="97"/>
  <c r="G1218" i="97"/>
  <c r="G1217" i="97"/>
  <c r="G1216" i="97"/>
  <c r="G1215" i="97"/>
  <c r="G1214" i="97"/>
  <c r="G1213" i="97"/>
  <c r="G1212" i="97"/>
  <c r="G1211" i="97"/>
  <c r="G1210" i="97"/>
  <c r="G1209" i="97"/>
  <c r="G1208" i="97"/>
  <c r="G1207" i="97"/>
  <c r="G1206" i="97"/>
  <c r="G1205" i="97"/>
  <c r="G1204" i="97"/>
  <c r="G1203" i="97"/>
  <c r="G1194" i="97"/>
  <c r="G1193" i="97"/>
  <c r="G1192" i="97"/>
  <c r="G1191" i="97"/>
  <c r="G1190" i="97"/>
  <c r="G1189" i="97"/>
  <c r="G1180" i="97"/>
  <c r="G1179" i="97"/>
  <c r="G1178" i="97"/>
  <c r="G1177" i="97"/>
  <c r="G1176" i="97"/>
  <c r="G1175" i="97"/>
  <c r="G1173" i="97"/>
  <c r="G1172" i="97"/>
  <c r="G1171" i="97"/>
  <c r="G1170" i="97"/>
  <c r="G1169" i="97"/>
  <c r="G1168" i="97"/>
  <c r="G1140" i="97"/>
  <c r="G1138" i="97"/>
  <c r="G1137" i="97"/>
  <c r="G1135" i="97"/>
  <c r="G1134" i="97"/>
  <c r="G1133" i="97"/>
  <c r="G1132" i="97"/>
  <c r="G1131" i="97"/>
  <c r="G1129" i="97"/>
  <c r="G1128" i="97"/>
  <c r="G1127" i="97"/>
  <c r="G1126" i="97"/>
  <c r="G1125" i="97"/>
  <c r="G1123" i="97"/>
  <c r="G1122" i="97"/>
  <c r="G1121" i="97"/>
  <c r="G1120" i="97"/>
  <c r="G1119" i="97"/>
  <c r="G1118" i="97"/>
  <c r="G1117" i="97"/>
  <c r="G1115" i="97"/>
  <c r="G1114" i="97"/>
  <c r="G1113" i="97"/>
  <c r="G1111" i="97"/>
  <c r="G1110" i="97"/>
  <c r="G1109" i="97"/>
  <c r="G1108" i="97"/>
  <c r="G1107" i="97"/>
  <c r="G1106" i="97"/>
  <c r="G1104" i="97"/>
  <c r="G1103" i="97"/>
  <c r="G1102" i="97"/>
  <c r="G1101" i="97"/>
  <c r="G1100" i="97"/>
  <c r="G1099" i="97"/>
  <c r="G1097" i="97"/>
  <c r="G1096" i="97"/>
  <c r="G1095" i="97"/>
  <c r="G1094" i="97"/>
  <c r="G1093" i="97"/>
  <c r="G1092" i="97"/>
  <c r="G1091" i="97"/>
  <c r="G1089" i="97"/>
  <c r="G1088" i="97"/>
  <c r="G1087" i="97"/>
  <c r="G1085" i="97"/>
  <c r="G1084" i="97"/>
  <c r="G1083" i="97"/>
  <c r="G1082" i="97"/>
  <c r="G1081" i="97"/>
  <c r="G1080" i="97"/>
  <c r="G1078" i="97"/>
  <c r="G1077" i="97"/>
  <c r="G1076" i="97"/>
  <c r="G1075" i="97"/>
  <c r="G1074" i="97"/>
  <c r="G1073" i="97"/>
  <c r="G1071" i="97"/>
  <c r="G1070" i="97"/>
  <c r="G1069" i="97"/>
  <c r="G1068" i="97"/>
  <c r="G1067" i="97"/>
  <c r="G1066" i="97"/>
  <c r="G1048" i="97"/>
  <c r="G1047" i="97"/>
  <c r="G1043" i="97"/>
  <c r="G1042" i="97"/>
  <c r="G1041" i="97"/>
  <c r="G1040" i="97"/>
  <c r="G1038" i="97"/>
  <c r="G1037" i="97"/>
  <c r="G1036" i="97"/>
  <c r="G1035" i="97"/>
  <c r="G1034" i="97"/>
  <c r="G1032" i="97"/>
  <c r="G1031" i="97"/>
  <c r="G1027" i="97"/>
  <c r="G1026" i="97"/>
  <c r="G1025" i="97"/>
  <c r="G1024" i="97"/>
  <c r="G1022" i="97"/>
  <c r="G1021" i="97"/>
  <c r="G1020" i="97"/>
  <c r="G1019" i="97"/>
  <c r="G1018" i="97"/>
  <c r="G1016" i="97"/>
  <c r="G1015" i="97"/>
  <c r="G1011" i="97"/>
  <c r="G1010" i="97"/>
  <c r="G1009" i="97"/>
  <c r="G1008" i="97"/>
  <c r="G1006" i="97"/>
  <c r="G1005" i="97"/>
  <c r="G1004" i="97"/>
  <c r="G1003" i="97"/>
  <c r="G1002" i="97"/>
  <c r="G1000" i="97"/>
  <c r="G999" i="97"/>
  <c r="G995" i="97"/>
  <c r="G994" i="97"/>
  <c r="G993" i="97"/>
  <c r="G992" i="97"/>
  <c r="G990" i="97"/>
  <c r="G989" i="97"/>
  <c r="G988" i="97"/>
  <c r="G987" i="97"/>
  <c r="G986" i="97"/>
  <c r="G984" i="97"/>
  <c r="G983" i="97"/>
  <c r="G979" i="97"/>
  <c r="G978" i="97"/>
  <c r="G977" i="97"/>
  <c r="G976" i="97"/>
  <c r="G974" i="97"/>
  <c r="G973" i="97"/>
  <c r="G972" i="97"/>
  <c r="G971" i="97"/>
  <c r="G970" i="97"/>
  <c r="G968" i="97"/>
  <c r="G967" i="97"/>
  <c r="G963" i="97"/>
  <c r="G962" i="97"/>
  <c r="G961" i="97"/>
  <c r="G960" i="97"/>
  <c r="G958" i="97"/>
  <c r="G957" i="97"/>
  <c r="G956" i="97"/>
  <c r="G955" i="97"/>
  <c r="G954" i="97"/>
  <c r="G952" i="97"/>
  <c r="G951" i="97"/>
  <c r="G947" i="97"/>
  <c r="G946" i="97"/>
  <c r="G945" i="97"/>
  <c r="G944" i="97"/>
  <c r="G942" i="97"/>
  <c r="G941" i="97"/>
  <c r="G940" i="97"/>
  <c r="G939" i="97"/>
  <c r="G938" i="97"/>
  <c r="G924" i="97"/>
  <c r="G922" i="97"/>
  <c r="G921" i="97"/>
  <c r="G919" i="97"/>
  <c r="G917" i="97"/>
  <c r="G916" i="97"/>
  <c r="G915" i="97"/>
  <c r="G914" i="97"/>
  <c r="G913" i="97"/>
  <c r="G912" i="97"/>
  <c r="G911" i="97"/>
  <c r="G882" i="97"/>
  <c r="G881" i="97"/>
  <c r="G879" i="97"/>
  <c r="G877" i="97"/>
  <c r="G875" i="97"/>
  <c r="G874" i="97"/>
  <c r="G873" i="97"/>
  <c r="G872" i="97"/>
  <c r="G871" i="97"/>
  <c r="G869" i="97"/>
  <c r="G867" i="97"/>
  <c r="G866" i="97"/>
  <c r="G865" i="97"/>
  <c r="G864" i="97"/>
  <c r="G863" i="97"/>
  <c r="G862" i="97"/>
  <c r="G861" i="97"/>
  <c r="G860" i="97"/>
  <c r="G763" i="97"/>
  <c r="M427" i="97"/>
  <c r="M425" i="97"/>
  <c r="M424" i="97"/>
  <c r="G751" i="97" l="1"/>
  <c r="G750" i="97"/>
  <c r="G748" i="97"/>
  <c r="G747" i="97"/>
  <c r="G745" i="97"/>
  <c r="G744" i="97"/>
  <c r="G733" i="97"/>
  <c r="G732" i="97"/>
  <c r="G731" i="97"/>
  <c r="G730" i="97"/>
  <c r="G728" i="97"/>
  <c r="G727" i="97"/>
  <c r="G726" i="97"/>
  <c r="G725" i="97"/>
  <c r="G723" i="97"/>
  <c r="G722" i="97"/>
  <c r="G711" i="97"/>
  <c r="G710" i="97"/>
  <c r="G709" i="97"/>
  <c r="G708" i="97"/>
  <c r="G706" i="97"/>
  <c r="G705" i="97"/>
  <c r="G704" i="97"/>
  <c r="G703" i="97"/>
  <c r="G702" i="97"/>
  <c r="G701" i="97"/>
  <c r="G698" i="97"/>
  <c r="G697" i="97"/>
  <c r="G695" i="97"/>
  <c r="G694" i="97"/>
  <c r="G692" i="97"/>
  <c r="G691" i="97"/>
  <c r="G689" i="97"/>
  <c r="G688" i="97"/>
  <c r="G686" i="97"/>
  <c r="G685" i="97"/>
  <c r="G683" i="97"/>
  <c r="G682" i="97"/>
  <c r="G681" i="97"/>
  <c r="G680" i="97"/>
  <c r="G673" i="97"/>
  <c r="G672" i="97"/>
  <c r="G671" i="97"/>
  <c r="G670" i="97"/>
  <c r="G668" i="97"/>
  <c r="G667" i="97"/>
  <c r="G666" i="97"/>
  <c r="G665" i="97"/>
  <c r="G664" i="97"/>
  <c r="G647" i="97"/>
  <c r="G646" i="97"/>
  <c r="G643" i="97"/>
  <c r="G639" i="97"/>
  <c r="G631" i="97"/>
  <c r="G630" i="97"/>
  <c r="G629" i="97"/>
  <c r="G628" i="97"/>
  <c r="G626" i="97"/>
  <c r="G625" i="97"/>
  <c r="G624" i="97"/>
  <c r="G623" i="97"/>
  <c r="G622" i="97"/>
  <c r="G600" i="97"/>
  <c r="G574" i="97"/>
  <c r="G573" i="97"/>
  <c r="G569" i="97"/>
  <c r="G566" i="97"/>
  <c r="G565" i="97"/>
  <c r="G564" i="97"/>
  <c r="G563" i="97"/>
  <c r="G561" i="97"/>
  <c r="G560" i="97"/>
  <c r="G559" i="97"/>
  <c r="G558" i="97"/>
  <c r="G557" i="97"/>
  <c r="G556" i="97"/>
  <c r="G554" i="97"/>
  <c r="G553" i="97"/>
  <c r="G552" i="97"/>
  <c r="G551" i="97"/>
  <c r="G544" i="97"/>
  <c r="G543" i="97"/>
  <c r="G542" i="97"/>
  <c r="G541" i="97"/>
  <c r="G539" i="97"/>
  <c r="G538" i="97"/>
  <c r="G537" i="97"/>
  <c r="G536" i="97"/>
  <c r="G535" i="97"/>
  <c r="G517" i="97"/>
  <c r="G514" i="97"/>
  <c r="G510" i="97"/>
  <c r="G502" i="97"/>
  <c r="G501" i="97"/>
  <c r="G500" i="97"/>
  <c r="G499" i="97"/>
  <c r="G497" i="97"/>
  <c r="G496" i="97"/>
  <c r="G495" i="97"/>
  <c r="G494" i="97"/>
  <c r="G493" i="97"/>
  <c r="G471" i="97"/>
  <c r="G445" i="97"/>
  <c r="G444" i="97"/>
  <c r="G440" i="97"/>
  <c r="G437" i="97"/>
  <c r="G436" i="97"/>
  <c r="G435" i="97"/>
  <c r="G434" i="97"/>
  <c r="G432" i="97"/>
  <c r="G431" i="97"/>
  <c r="G430" i="97"/>
  <c r="G429" i="97"/>
  <c r="G428" i="97"/>
  <c r="G427" i="97"/>
  <c r="G425" i="97"/>
  <c r="G424" i="97"/>
  <c r="G423" i="97"/>
  <c r="G422" i="97"/>
  <c r="G421" i="97"/>
  <c r="G418" i="97"/>
  <c r="G415" i="97"/>
  <c r="G414" i="97"/>
  <c r="G410" i="97"/>
  <c r="G409" i="97"/>
  <c r="G408" i="97"/>
  <c r="G407" i="97"/>
  <c r="G406" i="97"/>
  <c r="G405" i="97"/>
  <c r="G404" i="97"/>
  <c r="G403" i="97"/>
  <c r="G402" i="97"/>
  <c r="G401" i="97"/>
  <c r="G400" i="97"/>
  <c r="G399" i="97"/>
  <c r="G398" i="97"/>
  <c r="G397" i="97"/>
  <c r="G396" i="97"/>
  <c r="G395" i="97"/>
  <c r="G394" i="97"/>
  <c r="G393" i="97"/>
  <c r="G346" i="97"/>
  <c r="G345" i="97"/>
  <c r="G344" i="97"/>
  <c r="G341" i="97"/>
  <c r="G340" i="97"/>
  <c r="G339" i="97"/>
  <c r="G338" i="97"/>
  <c r="G336" i="97"/>
  <c r="G335" i="97"/>
  <c r="G333" i="97"/>
  <c r="G332" i="97"/>
  <c r="G331" i="97"/>
  <c r="G330" i="97"/>
  <c r="G329" i="97"/>
  <c r="G328" i="97"/>
  <c r="G327" i="97"/>
  <c r="G324" i="97"/>
  <c r="G323" i="97"/>
  <c r="G322" i="97"/>
  <c r="G319" i="97"/>
  <c r="G318" i="97"/>
  <c r="G317" i="97"/>
  <c r="G316" i="97"/>
  <c r="G314" i="97"/>
  <c r="G313" i="97"/>
  <c r="G311" i="97"/>
  <c r="G310" i="97"/>
  <c r="G309" i="97"/>
  <c r="G308" i="97"/>
  <c r="G307" i="97"/>
  <c r="G306" i="97"/>
  <c r="G305" i="97"/>
  <c r="G302" i="97"/>
  <c r="G301" i="97"/>
  <c r="G300" i="97"/>
  <c r="G297" i="97"/>
  <c r="G296" i="97"/>
  <c r="G295" i="97"/>
  <c r="G294" i="97"/>
  <c r="G292" i="97"/>
  <c r="G291" i="97"/>
  <c r="G289" i="97"/>
  <c r="G288" i="97"/>
  <c r="G287" i="97"/>
  <c r="G286" i="97"/>
  <c r="G285" i="97"/>
  <c r="G284" i="97"/>
  <c r="G283" i="97"/>
  <c r="G213" i="97"/>
  <c r="G212" i="97"/>
  <c r="G209" i="97"/>
  <c r="G208" i="97"/>
  <c r="G207" i="97"/>
  <c r="G206" i="97"/>
  <c r="G205" i="97"/>
  <c r="G204" i="97"/>
  <c r="G203" i="97"/>
  <c r="G202" i="97"/>
  <c r="G201" i="97"/>
  <c r="G198" i="97"/>
  <c r="G197" i="97"/>
  <c r="G196" i="97"/>
  <c r="G195" i="97"/>
  <c r="G194" i="97"/>
  <c r="G193" i="97"/>
  <c r="G191" i="97"/>
  <c r="G190" i="97"/>
  <c r="G189" i="97"/>
  <c r="G188" i="97"/>
  <c r="G186" i="97"/>
  <c r="G185" i="97"/>
  <c r="G184" i="97"/>
  <c r="G183" i="97"/>
  <c r="G182" i="97"/>
  <c r="G181" i="97"/>
  <c r="G179" i="97"/>
  <c r="G178" i="97"/>
  <c r="G175" i="97"/>
  <c r="G174" i="97"/>
  <c r="G173" i="97"/>
  <c r="G172" i="97"/>
  <c r="G171" i="97"/>
  <c r="G170" i="97"/>
  <c r="G169" i="97"/>
  <c r="G168" i="97"/>
  <c r="G167" i="97"/>
  <c r="G164" i="97"/>
  <c r="G163" i="97"/>
  <c r="G162" i="97"/>
  <c r="G161" i="97"/>
  <c r="G160" i="97"/>
  <c r="G159" i="97"/>
  <c r="G157" i="97"/>
  <c r="G156" i="97"/>
  <c r="G155" i="97"/>
  <c r="G154" i="97"/>
  <c r="G152" i="97"/>
  <c r="G151" i="97"/>
  <c r="G150" i="97"/>
  <c r="G149" i="97"/>
  <c r="G148" i="97"/>
  <c r="G147" i="97"/>
  <c r="G145" i="97"/>
  <c r="G144" i="97"/>
  <c r="G141" i="97"/>
  <c r="G140" i="97"/>
  <c r="G139" i="97"/>
  <c r="G138" i="97"/>
  <c r="G137" i="97"/>
  <c r="G136" i="97"/>
  <c r="G135" i="97"/>
  <c r="G134" i="97"/>
  <c r="G133" i="97"/>
  <c r="G130" i="97"/>
  <c r="G129" i="97"/>
  <c r="G128" i="97"/>
  <c r="G127" i="97"/>
  <c r="G126" i="97"/>
  <c r="G125" i="97"/>
  <c r="G123" i="97"/>
  <c r="G122" i="97"/>
  <c r="G121" i="97"/>
  <c r="G120" i="97"/>
  <c r="G118" i="97"/>
  <c r="G117" i="97"/>
  <c r="G116" i="97"/>
  <c r="G115" i="97"/>
  <c r="G114" i="97"/>
  <c r="G113" i="97"/>
  <c r="G105" i="97"/>
  <c r="G104" i="97"/>
  <c r="G102" i="97"/>
  <c r="G101" i="97"/>
  <c r="G99" i="97"/>
  <c r="G98" i="97"/>
  <c r="G60" i="97"/>
  <c r="G59" i="97"/>
  <c r="G58" i="97"/>
  <c r="G56" i="97"/>
  <c r="G53" i="97"/>
  <c r="G51" i="97"/>
  <c r="G50" i="97"/>
  <c r="G49" i="97"/>
  <c r="G48" i="97"/>
  <c r="G46" i="97"/>
  <c r="G45" i="97"/>
  <c r="G44" i="97"/>
  <c r="G42" i="97"/>
  <c r="G41" i="97"/>
  <c r="G40" i="97"/>
  <c r="G38" i="97"/>
  <c r="G35" i="97"/>
  <c r="G33" i="97"/>
  <c r="G32" i="97"/>
  <c r="G31" i="97"/>
  <c r="G30" i="97"/>
  <c r="G28" i="97"/>
  <c r="G27" i="97"/>
  <c r="G26" i="97"/>
  <c r="G24" i="97"/>
  <c r="G23" i="97"/>
  <c r="G22" i="97"/>
  <c r="G20" i="97"/>
  <c r="G19" i="97"/>
  <c r="G18" i="97"/>
  <c r="G16" i="97"/>
  <c r="G13" i="97"/>
  <c r="G11" i="97"/>
  <c r="G10" i="97"/>
  <c r="G9" i="97"/>
  <c r="G8" i="97"/>
  <c r="G6" i="97"/>
  <c r="G5" i="97"/>
  <c r="G4" i="97"/>
  <c r="J8" i="95" l="1"/>
  <c r="G490" i="97" s="1"/>
  <c r="P8" i="95" l="1"/>
  <c r="G619" i="97" s="1"/>
  <c r="AA2" i="4" l="1"/>
  <c r="BG2" i="11"/>
  <c r="BA2" i="12"/>
  <c r="AA2" i="13"/>
  <c r="BA2" i="14"/>
  <c r="AA2" i="15"/>
  <c r="AB2" i="16"/>
  <c r="AA2" i="17"/>
  <c r="AA2" i="18"/>
  <c r="BD2" i="19"/>
  <c r="AA2" i="44"/>
  <c r="U2" i="96"/>
  <c r="AC2" i="23"/>
  <c r="AA2" i="24"/>
  <c r="AI2" i="75"/>
  <c r="X2" i="73"/>
  <c r="BN2" i="72"/>
  <c r="P2" i="67"/>
  <c r="BD2" i="66"/>
  <c r="AW2" i="65"/>
  <c r="AL2" i="64"/>
  <c r="AL2" i="63"/>
  <c r="BA2" i="34"/>
  <c r="AC2" i="33"/>
  <c r="AC2" i="32"/>
  <c r="BA2" i="31"/>
  <c r="BA2" i="30"/>
  <c r="BA2" i="29"/>
  <c r="AC2" i="28"/>
  <c r="AE2" i="27"/>
  <c r="K47" i="76" l="1"/>
  <c r="G5366" i="97" s="1"/>
  <c r="J47" i="76"/>
  <c r="G5331" i="97" s="1"/>
  <c r="I47" i="76"/>
  <c r="G5283" i="97" s="1"/>
  <c r="H47" i="76"/>
  <c r="G5235" i="97" s="1"/>
  <c r="N31" i="76"/>
  <c r="G5418" i="97" s="1"/>
  <c r="M31" i="76"/>
  <c r="G5405" i="97" s="1"/>
  <c r="L31" i="76"/>
  <c r="G5379" i="97" s="1"/>
  <c r="K31" i="76"/>
  <c r="G5353" i="97" s="1"/>
  <c r="J31" i="76"/>
  <c r="G5318" i="97" s="1"/>
  <c r="J18" i="76"/>
  <c r="G5308" i="97" s="1"/>
  <c r="J16" i="76"/>
  <c r="G5306" i="97" s="1"/>
  <c r="J14" i="76"/>
  <c r="G5304" i="97" s="1"/>
  <c r="J13" i="76"/>
  <c r="G5303" i="97" s="1"/>
  <c r="J12" i="76"/>
  <c r="G5302" i="97" s="1"/>
  <c r="J11" i="76"/>
  <c r="G5301" i="97" s="1"/>
  <c r="J9" i="76"/>
  <c r="G5300" i="97" s="1"/>
  <c r="J8" i="76"/>
  <c r="G5299" i="97" s="1"/>
  <c r="J7" i="76"/>
  <c r="G5298" i="97" s="1"/>
  <c r="J6" i="76"/>
  <c r="G5297" i="97" s="1"/>
  <c r="O41" i="95" l="1"/>
  <c r="G618" i="97" s="1"/>
  <c r="O40" i="95"/>
  <c r="G617" i="97" s="1"/>
  <c r="O26" i="95"/>
  <c r="G610" i="97" s="1"/>
  <c r="O25" i="95"/>
  <c r="G609" i="97" s="1"/>
  <c r="O24" i="95"/>
  <c r="G608" i="97" s="1"/>
  <c r="O23" i="95"/>
  <c r="G607" i="97" s="1"/>
  <c r="O18" i="95"/>
  <c r="G605" i="97" s="1"/>
  <c r="O17" i="95"/>
  <c r="G604" i="97" s="1"/>
  <c r="O16" i="95"/>
  <c r="G603" i="97" s="1"/>
  <c r="O15" i="95"/>
  <c r="G602" i="97" s="1"/>
  <c r="O14" i="95"/>
  <c r="I41" i="95"/>
  <c r="G489" i="97" s="1"/>
  <c r="I40" i="95"/>
  <c r="G488" i="97" s="1"/>
  <c r="I26" i="95"/>
  <c r="G481" i="97" s="1"/>
  <c r="I25" i="95"/>
  <c r="G480" i="97" s="1"/>
  <c r="I24" i="95"/>
  <c r="G479" i="97" s="1"/>
  <c r="I23" i="95"/>
  <c r="G478" i="97" s="1"/>
  <c r="I18" i="95"/>
  <c r="G476" i="97" s="1"/>
  <c r="I17" i="95"/>
  <c r="G475" i="97" s="1"/>
  <c r="I16" i="95"/>
  <c r="G474" i="97" s="1"/>
  <c r="I15" i="95"/>
  <c r="G473" i="97" s="1"/>
  <c r="I14" i="95"/>
  <c r="G472" i="97" l="1"/>
  <c r="H14" i="95"/>
  <c r="G601" i="97"/>
  <c r="N14" i="95"/>
  <c r="G19" i="67"/>
  <c r="G4407" i="97" s="1"/>
  <c r="G17" i="67"/>
  <c r="G4405" i="97" s="1"/>
  <c r="G16" i="67"/>
  <c r="G4404" i="97" s="1"/>
  <c r="BO36" i="34"/>
  <c r="BN36" i="34"/>
  <c r="BO35" i="34"/>
  <c r="BN35" i="34"/>
  <c r="BO34" i="34"/>
  <c r="BN34" i="34"/>
  <c r="BK36" i="34"/>
  <c r="BJ36" i="34"/>
  <c r="BI36" i="34"/>
  <c r="BH36" i="34"/>
  <c r="BG36" i="34"/>
  <c r="BK35" i="34"/>
  <c r="BJ35" i="34"/>
  <c r="BI35" i="34"/>
  <c r="BH35" i="34"/>
  <c r="BG35" i="34"/>
  <c r="BK34" i="34"/>
  <c r="BJ34" i="34"/>
  <c r="BI34" i="34"/>
  <c r="BH34" i="34"/>
  <c r="BG34" i="34"/>
  <c r="BF36" i="34"/>
  <c r="BF35" i="34"/>
  <c r="BF34" i="34"/>
  <c r="AA36" i="34" l="1"/>
  <c r="Z36" i="34"/>
  <c r="Y36" i="34"/>
  <c r="X36" i="34"/>
  <c r="W36" i="34"/>
  <c r="V36" i="34"/>
  <c r="U36" i="34"/>
  <c r="J36" i="34"/>
  <c r="AA35" i="34"/>
  <c r="Z35" i="34"/>
  <c r="Y35" i="34"/>
  <c r="X35" i="34"/>
  <c r="W35" i="34"/>
  <c r="V35" i="34"/>
  <c r="U35" i="34"/>
  <c r="J35" i="34"/>
  <c r="AA34" i="34"/>
  <c r="Z34" i="34"/>
  <c r="Y34" i="34"/>
  <c r="X34" i="34"/>
  <c r="W34" i="34"/>
  <c r="V34" i="34"/>
  <c r="U34" i="34"/>
  <c r="J34" i="34"/>
  <c r="AC47" i="33"/>
  <c r="AC46" i="33"/>
  <c r="AC45" i="33"/>
  <c r="AC44" i="33"/>
  <c r="AC43" i="33"/>
  <c r="AC42" i="33"/>
  <c r="AC41" i="33"/>
  <c r="AC40" i="33"/>
  <c r="AC37" i="33"/>
  <c r="AC36" i="33"/>
  <c r="AC35" i="33"/>
  <c r="AC34" i="33"/>
  <c r="AC33" i="33"/>
  <c r="AC32" i="33"/>
  <c r="AC31" i="33"/>
  <c r="AC28" i="33"/>
  <c r="AC27" i="33"/>
  <c r="AC24" i="33"/>
  <c r="AC23" i="33"/>
  <c r="AC22" i="33"/>
  <c r="AC21" i="33"/>
  <c r="AC20" i="33"/>
  <c r="AC19" i="33"/>
  <c r="AC18" i="33"/>
  <c r="AC17" i="33"/>
  <c r="AC16" i="33"/>
  <c r="AC15" i="33"/>
  <c r="AC14" i="33"/>
  <c r="AC13" i="33"/>
  <c r="AC12" i="33"/>
  <c r="AC11" i="33"/>
  <c r="AC10" i="33"/>
  <c r="AC9" i="33"/>
  <c r="AC8" i="33"/>
  <c r="AC7" i="33"/>
  <c r="O11" i="33"/>
  <c r="B2294" i="97"/>
  <c r="B2279" i="97"/>
  <c r="O36" i="33"/>
  <c r="N36" i="33"/>
  <c r="H37" i="33"/>
  <c r="G2295" i="97" s="1"/>
  <c r="G37" i="33"/>
  <c r="G2280" i="97" s="1"/>
  <c r="O11" i="96"/>
  <c r="R36" i="34" l="1"/>
  <c r="R34" i="34"/>
  <c r="R35" i="34"/>
  <c r="K36" i="33"/>
  <c r="J16" i="67"/>
  <c r="P31" i="95" l="1"/>
  <c r="G634" i="97" s="1"/>
  <c r="J31" i="95" l="1"/>
  <c r="G505" i="97" s="1"/>
  <c r="AH41" i="95" l="1"/>
  <c r="AH40" i="95"/>
  <c r="AC31" i="95"/>
  <c r="AH26" i="95"/>
  <c r="AH25" i="95"/>
  <c r="AH24" i="95"/>
  <c r="AH23" i="95"/>
  <c r="AH18" i="95"/>
  <c r="AH17" i="95"/>
  <c r="AG17" i="95"/>
  <c r="AH16" i="95"/>
  <c r="AH15" i="95"/>
  <c r="AH14" i="95"/>
  <c r="AE11" i="95"/>
  <c r="AC11" i="95"/>
  <c r="AC9" i="95"/>
  <c r="AC8" i="95"/>
  <c r="AB41" i="95"/>
  <c r="AB40" i="95"/>
  <c r="AB26" i="95"/>
  <c r="AB25" i="95"/>
  <c r="AB24" i="95"/>
  <c r="AB23" i="95"/>
  <c r="AB18" i="95"/>
  <c r="AB17" i="95"/>
  <c r="AB16" i="95"/>
  <c r="AB15" i="95"/>
  <c r="AB14" i="95"/>
  <c r="W31" i="95"/>
  <c r="W11" i="95"/>
  <c r="W9" i="95"/>
  <c r="W8" i="95"/>
  <c r="R27" i="95" l="1"/>
  <c r="G674" i="97" s="1"/>
  <c r="P27" i="95"/>
  <c r="G632" i="97" s="1"/>
  <c r="M27" i="95"/>
  <c r="G567" i="97" s="1"/>
  <c r="L27" i="95"/>
  <c r="G545" i="97" s="1"/>
  <c r="J27" i="95"/>
  <c r="G503" i="97" s="1"/>
  <c r="Q26" i="95" l="1"/>
  <c r="Q25" i="95"/>
  <c r="Q24" i="95"/>
  <c r="Q23" i="95"/>
  <c r="P9" i="95"/>
  <c r="G620" i="97" s="1"/>
  <c r="K26" i="95"/>
  <c r="K25" i="95"/>
  <c r="K24" i="95"/>
  <c r="K23" i="95"/>
  <c r="J9" i="95"/>
  <c r="G491" i="97" s="1"/>
  <c r="G520" i="97" l="1"/>
  <c r="G521" i="97"/>
  <c r="G522" i="97"/>
  <c r="G523" i="97"/>
  <c r="G649" i="97"/>
  <c r="G650" i="97"/>
  <c r="G651" i="97"/>
  <c r="G652" i="97"/>
  <c r="O27" i="95"/>
  <c r="G611" i="97" s="1"/>
  <c r="Q27" i="95"/>
  <c r="G653" i="97" s="1"/>
  <c r="K27" i="95"/>
  <c r="G524" i="97" s="1"/>
  <c r="R42" i="95"/>
  <c r="R35" i="95" s="1"/>
  <c r="G678" i="97" s="1"/>
  <c r="M42" i="95"/>
  <c r="M35" i="95" s="1"/>
  <c r="Q41" i="95"/>
  <c r="O42" i="95"/>
  <c r="O35" i="95" s="1"/>
  <c r="G615" i="97" s="1"/>
  <c r="Q40" i="95"/>
  <c r="N31" i="95"/>
  <c r="Q16" i="95"/>
  <c r="Q15" i="95"/>
  <c r="N11" i="95"/>
  <c r="M10" i="95"/>
  <c r="O9" i="95"/>
  <c r="O8" i="95"/>
  <c r="K41" i="95"/>
  <c r="K40" i="95"/>
  <c r="K16" i="95"/>
  <c r="K15" i="95"/>
  <c r="H31" i="95"/>
  <c r="G27" i="95"/>
  <c r="G438" i="97" s="1"/>
  <c r="H11" i="95"/>
  <c r="G10" i="95"/>
  <c r="G426" i="97" s="1"/>
  <c r="I9" i="95"/>
  <c r="G469" i="97" s="1"/>
  <c r="I8" i="95"/>
  <c r="G468" i="97" l="1"/>
  <c r="L8" i="95"/>
  <c r="G532" i="97" s="1"/>
  <c r="G450" i="97"/>
  <c r="G449" i="97"/>
  <c r="H17" i="95"/>
  <c r="G453" i="97" s="1"/>
  <c r="H23" i="95"/>
  <c r="G456" i="97" s="1"/>
  <c r="H24" i="95"/>
  <c r="G457" i="97" s="1"/>
  <c r="H25" i="95"/>
  <c r="G458" i="97" s="1"/>
  <c r="H26" i="95"/>
  <c r="G459" i="97" s="1"/>
  <c r="I31" i="95"/>
  <c r="G484" i="97" s="1"/>
  <c r="G462" i="97"/>
  <c r="G530" i="97"/>
  <c r="H40" i="95"/>
  <c r="G466" i="97" s="1"/>
  <c r="G531" i="97"/>
  <c r="H41" i="95"/>
  <c r="G467" i="97" s="1"/>
  <c r="G597" i="97"/>
  <c r="R8" i="95"/>
  <c r="G661" i="97" s="1"/>
  <c r="R9" i="95"/>
  <c r="G598" i="97"/>
  <c r="M20" i="95"/>
  <c r="G555" i="97"/>
  <c r="G579" i="97"/>
  <c r="G578" i="97"/>
  <c r="N18" i="95"/>
  <c r="G583" i="97" s="1"/>
  <c r="N17" i="95"/>
  <c r="G582" i="97" s="1"/>
  <c r="N23" i="95"/>
  <c r="G585" i="97" s="1"/>
  <c r="N24" i="95"/>
  <c r="G586" i="97" s="1"/>
  <c r="N25" i="95"/>
  <c r="G587" i="97" s="1"/>
  <c r="N26" i="95"/>
  <c r="G588" i="97" s="1"/>
  <c r="O31" i="95"/>
  <c r="G591" i="97"/>
  <c r="P40" i="95"/>
  <c r="G571" i="97"/>
  <c r="G659" i="97"/>
  <c r="N40" i="95"/>
  <c r="G595" i="97" s="1"/>
  <c r="G660" i="97"/>
  <c r="N41" i="95"/>
  <c r="G596" i="97" s="1"/>
  <c r="G644" i="97"/>
  <c r="N15" i="95"/>
  <c r="G580" i="97" s="1"/>
  <c r="G645" i="97"/>
  <c r="N16" i="95"/>
  <c r="G581" i="97" s="1"/>
  <c r="G515" i="97"/>
  <c r="H15" i="95"/>
  <c r="G451" i="97" s="1"/>
  <c r="G516" i="97"/>
  <c r="H16" i="95"/>
  <c r="G452" i="97" s="1"/>
  <c r="G518" i="97"/>
  <c r="H18" i="95"/>
  <c r="G454" i="97" s="1"/>
  <c r="Q31" i="95"/>
  <c r="G655" i="97" s="1"/>
  <c r="I10" i="95"/>
  <c r="G470" i="97" s="1"/>
  <c r="K31" i="95"/>
  <c r="G526" i="97" s="1"/>
  <c r="O10" i="95"/>
  <c r="G599" i="97" s="1"/>
  <c r="P10" i="95"/>
  <c r="G20" i="95"/>
  <c r="G433" i="97" s="1"/>
  <c r="Q42" i="95"/>
  <c r="Q35" i="95" s="1"/>
  <c r="G657" i="97" s="1"/>
  <c r="Q8" i="95"/>
  <c r="N42" i="95" l="1"/>
  <c r="N35" i="95" s="1"/>
  <c r="G593" i="97" s="1"/>
  <c r="N8" i="95"/>
  <c r="G575" i="97" s="1"/>
  <c r="G640" i="97"/>
  <c r="P20" i="95"/>
  <c r="G627" i="97" s="1"/>
  <c r="G621" i="97"/>
  <c r="P42" i="95"/>
  <c r="P35" i="95" s="1"/>
  <c r="G636" i="97" s="1"/>
  <c r="G638" i="97"/>
  <c r="R31" i="95"/>
  <c r="G676" i="97" s="1"/>
  <c r="G613" i="97"/>
  <c r="M29" i="95"/>
  <c r="G562" i="97"/>
  <c r="Q9" i="95"/>
  <c r="Q10" i="95" s="1"/>
  <c r="G662" i="97"/>
  <c r="N27" i="95"/>
  <c r="G589" i="97" s="1"/>
  <c r="H27" i="95"/>
  <c r="G460" i="97" s="1"/>
  <c r="R10" i="95"/>
  <c r="AR42" i="95"/>
  <c r="AQ42" i="95"/>
  <c r="AR41" i="95"/>
  <c r="AQ41" i="95"/>
  <c r="AR40" i="95"/>
  <c r="AQ40" i="95"/>
  <c r="AR39" i="95"/>
  <c r="AQ39" i="95"/>
  <c r="AR37" i="95"/>
  <c r="AQ37" i="95"/>
  <c r="AR35" i="95"/>
  <c r="AQ35" i="95"/>
  <c r="AR33" i="95"/>
  <c r="AQ33" i="95"/>
  <c r="AR31" i="95"/>
  <c r="AQ31" i="95"/>
  <c r="AR29" i="95"/>
  <c r="AQ29" i="95"/>
  <c r="AR27" i="95"/>
  <c r="AQ27" i="95"/>
  <c r="AR26" i="95"/>
  <c r="AQ26" i="95"/>
  <c r="AR25" i="95"/>
  <c r="AQ25" i="95"/>
  <c r="AR24" i="95"/>
  <c r="AQ24" i="95"/>
  <c r="AR23" i="95"/>
  <c r="AQ23" i="95"/>
  <c r="AR22" i="95"/>
  <c r="AQ22" i="95"/>
  <c r="AR7" i="95"/>
  <c r="AQ7" i="95"/>
  <c r="AR13" i="95"/>
  <c r="AQ13" i="95"/>
  <c r="AR20" i="95"/>
  <c r="AQ20" i="95"/>
  <c r="AR18" i="95"/>
  <c r="AQ18" i="95"/>
  <c r="AR17" i="95"/>
  <c r="AQ17" i="95"/>
  <c r="AR16" i="95"/>
  <c r="AQ16" i="95"/>
  <c r="AR15" i="95"/>
  <c r="AQ15" i="95"/>
  <c r="AR14" i="95"/>
  <c r="AQ14" i="95"/>
  <c r="AR11" i="95"/>
  <c r="AQ11" i="95"/>
  <c r="AR10" i="95"/>
  <c r="AQ10" i="95"/>
  <c r="AR9" i="95"/>
  <c r="AQ9" i="95"/>
  <c r="AR8" i="95"/>
  <c r="AQ8" i="95"/>
  <c r="AV26" i="95"/>
  <c r="B437" i="97" s="1"/>
  <c r="AW26" i="95"/>
  <c r="B459" i="97" s="1"/>
  <c r="AX26" i="95"/>
  <c r="B481" i="97" s="1"/>
  <c r="AY26" i="95"/>
  <c r="B502" i="97" s="1"/>
  <c r="AZ26" i="95"/>
  <c r="B523" i="97" s="1"/>
  <c r="BA26" i="95"/>
  <c r="B544" i="97" s="1"/>
  <c r="BB26" i="95"/>
  <c r="B566" i="97" s="1"/>
  <c r="BC26" i="95"/>
  <c r="B588" i="97" s="1"/>
  <c r="BD26" i="95"/>
  <c r="B610" i="97" s="1"/>
  <c r="BE26" i="95"/>
  <c r="B631" i="97" s="1"/>
  <c r="BF26" i="95"/>
  <c r="B652" i="97" s="1"/>
  <c r="BG26" i="95"/>
  <c r="B673" i="97" s="1"/>
  <c r="P29" i="95" l="1"/>
  <c r="P33" i="95" s="1"/>
  <c r="Q20" i="95"/>
  <c r="Q29" i="95" s="1"/>
  <c r="G642" i="97"/>
  <c r="R20" i="95"/>
  <c r="R29" i="95" s="1"/>
  <c r="G663" i="97"/>
  <c r="G641" i="97"/>
  <c r="N9" i="95"/>
  <c r="G568" i="97"/>
  <c r="M33" i="95"/>
  <c r="G633" i="97" l="1"/>
  <c r="G669" i="97"/>
  <c r="G648" i="97"/>
  <c r="M37" i="95"/>
  <c r="G572" i="97" s="1"/>
  <c r="G570" i="97"/>
  <c r="G576" i="97"/>
  <c r="N10" i="95"/>
  <c r="P37" i="95"/>
  <c r="G637" i="97" s="1"/>
  <c r="G635" i="97"/>
  <c r="R33" i="95"/>
  <c r="G675" i="97"/>
  <c r="Q33" i="95"/>
  <c r="G654" i="97"/>
  <c r="T26" i="95"/>
  <c r="N20" i="95" l="1"/>
  <c r="G577" i="97"/>
  <c r="R37" i="95"/>
  <c r="G679" i="97" s="1"/>
  <c r="G677" i="97"/>
  <c r="Q37" i="95"/>
  <c r="G658" i="97" s="1"/>
  <c r="G656" i="97"/>
  <c r="N12" i="33"/>
  <c r="J37" i="15"/>
  <c r="G1162" i="97" s="1"/>
  <c r="J26" i="15"/>
  <c r="G1155" i="97" s="1"/>
  <c r="J15" i="15"/>
  <c r="G1148" i="97" s="1"/>
  <c r="O37" i="15"/>
  <c r="O26" i="15"/>
  <c r="O15" i="15"/>
  <c r="G584" i="97" l="1"/>
  <c r="N29" i="95"/>
  <c r="B1087" i="97"/>
  <c r="B1079" i="97"/>
  <c r="B1080" i="97"/>
  <c r="B1073" i="97"/>
  <c r="N33" i="95" l="1"/>
  <c r="G590" i="97"/>
  <c r="N37" i="95" l="1"/>
  <c r="G594" i="97" s="1"/>
  <c r="G592" i="97"/>
  <c r="AG58" i="21"/>
  <c r="AF58" i="21"/>
  <c r="AC58" i="21"/>
  <c r="AA58" i="21"/>
  <c r="Y58" i="21"/>
  <c r="DK8" i="39" l="1"/>
  <c r="DL8" i="39"/>
  <c r="DK9" i="39"/>
  <c r="DL9" i="39"/>
  <c r="DK10" i="39"/>
  <c r="DL10" i="39"/>
  <c r="DK11" i="39"/>
  <c r="DL11" i="39"/>
  <c r="DK12" i="39"/>
  <c r="DL12" i="39"/>
  <c r="DE4" i="39" l="1"/>
  <c r="DF4" i="39"/>
  <c r="DG4" i="39"/>
  <c r="DH4" i="39"/>
  <c r="DI4" i="39"/>
  <c r="DK4" i="39"/>
  <c r="DL4" i="39"/>
  <c r="DM4" i="39"/>
  <c r="DN4" i="39"/>
  <c r="DO4" i="39"/>
  <c r="DE5" i="39"/>
  <c r="DF5" i="39"/>
  <c r="DG5" i="39"/>
  <c r="DH5" i="39"/>
  <c r="DI5" i="39"/>
  <c r="DK5" i="39"/>
  <c r="DL5" i="39"/>
  <c r="DM5" i="39"/>
  <c r="DN5" i="39"/>
  <c r="DO5" i="39"/>
  <c r="DE6" i="39"/>
  <c r="DF6" i="39"/>
  <c r="DG6" i="39"/>
  <c r="DH6" i="39"/>
  <c r="DI6" i="39"/>
  <c r="DK6" i="39"/>
  <c r="DL6" i="39"/>
  <c r="DM6" i="39"/>
  <c r="DN6" i="39"/>
  <c r="DO6" i="39"/>
  <c r="DE7" i="39"/>
  <c r="DF7" i="39"/>
  <c r="DG7" i="39"/>
  <c r="DH7" i="39"/>
  <c r="DI7" i="39"/>
  <c r="DK7" i="39"/>
  <c r="DL7" i="39"/>
  <c r="DM7" i="39"/>
  <c r="DN7" i="39"/>
  <c r="DO7" i="39"/>
  <c r="DM8" i="39"/>
  <c r="DN8" i="39"/>
  <c r="DO8" i="39"/>
  <c r="DM9" i="39"/>
  <c r="DN9" i="39"/>
  <c r="DO9" i="39"/>
  <c r="DM10" i="39"/>
  <c r="DN10" i="39"/>
  <c r="DO10" i="39"/>
  <c r="DM11" i="39"/>
  <c r="DN11" i="39"/>
  <c r="DO11" i="39"/>
  <c r="DM12" i="39"/>
  <c r="DN12" i="39"/>
  <c r="DO12" i="39"/>
  <c r="DO3" i="39"/>
  <c r="DN3" i="39"/>
  <c r="DM3" i="39"/>
  <c r="DL3" i="39"/>
  <c r="DK3" i="39"/>
  <c r="DI3" i="39"/>
  <c r="DH3" i="39"/>
  <c r="DG3" i="39"/>
  <c r="DF3" i="39"/>
  <c r="DE3" i="39"/>
  <c r="DN2" i="39"/>
  <c r="DM2" i="39"/>
  <c r="DH2" i="39"/>
  <c r="DG2" i="39"/>
  <c r="ED4" i="37" l="1"/>
  <c r="EE4" i="37"/>
  <c r="EF4" i="37"/>
  <c r="EG4" i="37"/>
  <c r="EH4" i="37"/>
  <c r="EI4" i="37"/>
  <c r="ED5" i="37"/>
  <c r="EE5" i="37"/>
  <c r="EF5" i="37"/>
  <c r="EG5" i="37"/>
  <c r="EH5" i="37"/>
  <c r="EI5" i="37"/>
  <c r="ED6" i="37"/>
  <c r="EE6" i="37"/>
  <c r="EF6" i="37"/>
  <c r="EG6" i="37"/>
  <c r="EH6" i="37"/>
  <c r="EI6" i="37"/>
  <c r="ED7" i="37"/>
  <c r="EE7" i="37"/>
  <c r="EF7" i="37"/>
  <c r="EG7" i="37"/>
  <c r="EH7" i="37"/>
  <c r="EI7" i="37"/>
  <c r="ED8" i="37"/>
  <c r="EE8" i="37"/>
  <c r="EF8" i="37"/>
  <c r="EG8" i="37"/>
  <c r="EH8" i="37"/>
  <c r="EI8" i="37"/>
  <c r="ED9" i="37"/>
  <c r="EE9" i="37"/>
  <c r="EF9" i="37"/>
  <c r="EG9" i="37"/>
  <c r="EH9" i="37"/>
  <c r="EI9" i="37"/>
  <c r="ED10" i="37"/>
  <c r="EE10" i="37"/>
  <c r="EF10" i="37"/>
  <c r="EG10" i="37"/>
  <c r="EH10" i="37"/>
  <c r="EI10" i="37"/>
  <c r="ED11" i="37"/>
  <c r="EE11" i="37"/>
  <c r="EF11" i="37"/>
  <c r="EG11" i="37"/>
  <c r="EH11" i="37"/>
  <c r="EI11" i="37"/>
  <c r="ED12" i="37"/>
  <c r="EE12" i="37"/>
  <c r="EF12" i="37"/>
  <c r="EG12" i="37"/>
  <c r="EH12" i="37"/>
  <c r="EI12" i="37"/>
  <c r="ED13" i="37"/>
  <c r="EE13" i="37"/>
  <c r="EF13" i="37"/>
  <c r="EG13" i="37"/>
  <c r="EH13" i="37"/>
  <c r="EI13" i="37"/>
  <c r="ED14" i="37"/>
  <c r="EE14" i="37"/>
  <c r="EF14" i="37"/>
  <c r="EG14" i="37"/>
  <c r="EH14" i="37"/>
  <c r="EI14" i="37"/>
  <c r="ED15" i="37"/>
  <c r="EE15" i="37"/>
  <c r="EF15" i="37"/>
  <c r="EG15" i="37"/>
  <c r="EH15" i="37"/>
  <c r="EI15" i="37"/>
  <c r="ED16" i="37"/>
  <c r="EE16" i="37"/>
  <c r="EF16" i="37"/>
  <c r="EG16" i="37"/>
  <c r="EH16" i="37"/>
  <c r="EI16" i="37"/>
  <c r="ED17" i="37"/>
  <c r="EE17" i="37"/>
  <c r="EF17" i="37"/>
  <c r="EG17" i="37"/>
  <c r="EH17" i="37"/>
  <c r="EI17" i="37"/>
  <c r="ED18" i="37"/>
  <c r="EE18" i="37"/>
  <c r="EF18" i="37"/>
  <c r="EG18" i="37"/>
  <c r="EH18" i="37"/>
  <c r="EI18" i="37"/>
  <c r="ED19" i="37"/>
  <c r="EE19" i="37"/>
  <c r="EF19" i="37"/>
  <c r="EG19" i="37"/>
  <c r="EH19" i="37"/>
  <c r="EI19" i="37"/>
  <c r="ED20" i="37"/>
  <c r="EE20" i="37"/>
  <c r="EF20" i="37"/>
  <c r="EG20" i="37"/>
  <c r="EH20" i="37"/>
  <c r="EI20" i="37"/>
  <c r="ED21" i="37"/>
  <c r="EE21" i="37"/>
  <c r="EF21" i="37"/>
  <c r="EG21" i="37"/>
  <c r="EH21" i="37"/>
  <c r="EI21" i="37"/>
  <c r="ED22" i="37"/>
  <c r="EE22" i="37"/>
  <c r="EF22" i="37"/>
  <c r="EG22" i="37"/>
  <c r="EH22" i="37"/>
  <c r="EI22" i="37"/>
  <c r="ED23" i="37"/>
  <c r="EE23" i="37"/>
  <c r="EF23" i="37"/>
  <c r="EG23" i="37"/>
  <c r="EH23" i="37"/>
  <c r="EI23" i="37"/>
  <c r="ED24" i="37"/>
  <c r="EE24" i="37"/>
  <c r="EF24" i="37"/>
  <c r="EG24" i="37"/>
  <c r="EH24" i="37"/>
  <c r="EI24" i="37"/>
  <c r="ED25" i="37"/>
  <c r="EE25" i="37"/>
  <c r="EF25" i="37"/>
  <c r="EG25" i="37"/>
  <c r="EH25" i="37"/>
  <c r="EI25" i="37"/>
  <c r="ED26" i="37"/>
  <c r="EE26" i="37"/>
  <c r="EF26" i="37"/>
  <c r="EG26" i="37"/>
  <c r="EH26" i="37"/>
  <c r="EI26" i="37"/>
  <c r="ED27" i="37"/>
  <c r="EE27" i="37"/>
  <c r="EF27" i="37"/>
  <c r="EG27" i="37"/>
  <c r="EH27" i="37"/>
  <c r="EI27" i="37"/>
  <c r="ED28" i="37"/>
  <c r="EE28" i="37"/>
  <c r="EF28" i="37"/>
  <c r="EG28" i="37"/>
  <c r="EH28" i="37"/>
  <c r="EI28" i="37"/>
  <c r="ED29" i="37"/>
  <c r="EE29" i="37"/>
  <c r="EF29" i="37"/>
  <c r="EG29" i="37"/>
  <c r="EH29" i="37"/>
  <c r="EI29" i="37"/>
  <c r="ED30" i="37"/>
  <c r="EE30" i="37"/>
  <c r="EF30" i="37"/>
  <c r="EG30" i="37"/>
  <c r="EH30" i="37"/>
  <c r="EI30" i="37"/>
  <c r="ED31" i="37"/>
  <c r="EE31" i="37"/>
  <c r="EF31" i="37"/>
  <c r="EG31" i="37"/>
  <c r="EH31" i="37"/>
  <c r="EI31" i="37"/>
  <c r="ED32" i="37"/>
  <c r="EE32" i="37"/>
  <c r="EF32" i="37"/>
  <c r="EG32" i="37"/>
  <c r="EH32" i="37"/>
  <c r="EI32" i="37"/>
  <c r="ED33" i="37"/>
  <c r="EE33" i="37"/>
  <c r="EF33" i="37"/>
  <c r="EG33" i="37"/>
  <c r="EH33" i="37"/>
  <c r="EI33" i="37"/>
  <c r="ED34" i="37"/>
  <c r="EE34" i="37"/>
  <c r="EF34" i="37"/>
  <c r="EG34" i="37"/>
  <c r="EH34" i="37"/>
  <c r="EI34" i="37"/>
  <c r="ED35" i="37"/>
  <c r="EE35" i="37"/>
  <c r="EF35" i="37"/>
  <c r="EG35" i="37"/>
  <c r="EH35" i="37"/>
  <c r="EI35" i="37"/>
  <c r="ED36" i="37"/>
  <c r="EE36" i="37"/>
  <c r="EF36" i="37"/>
  <c r="EG36" i="37"/>
  <c r="EH36" i="37"/>
  <c r="EI36" i="37"/>
  <c r="ED37" i="37"/>
  <c r="EE37" i="37"/>
  <c r="EF37" i="37"/>
  <c r="EG37" i="37"/>
  <c r="EH37" i="37"/>
  <c r="EI37" i="37"/>
  <c r="ED38" i="37"/>
  <c r="EE38" i="37"/>
  <c r="EF38" i="37"/>
  <c r="EG38" i="37"/>
  <c r="EH38" i="37"/>
  <c r="EI38" i="37"/>
  <c r="ED39" i="37"/>
  <c r="EE39" i="37"/>
  <c r="EF39" i="37"/>
  <c r="EG39" i="37"/>
  <c r="EH39" i="37"/>
  <c r="EI39" i="37"/>
  <c r="ED40" i="37"/>
  <c r="EE40" i="37"/>
  <c r="EF40" i="37"/>
  <c r="EG40" i="37"/>
  <c r="EH40" i="37"/>
  <c r="EI40" i="37"/>
  <c r="ED41" i="37"/>
  <c r="EE41" i="37"/>
  <c r="EF41" i="37"/>
  <c r="EG41" i="37"/>
  <c r="EH41" i="37"/>
  <c r="EI41" i="37"/>
  <c r="ED42" i="37"/>
  <c r="EE42" i="37"/>
  <c r="EF42" i="37"/>
  <c r="EG42" i="37"/>
  <c r="EH42" i="37"/>
  <c r="EI42" i="37"/>
  <c r="ED43" i="37"/>
  <c r="EE43" i="37"/>
  <c r="EF43" i="37"/>
  <c r="EG43" i="37"/>
  <c r="EH43" i="37"/>
  <c r="EI43" i="37"/>
  <c r="ED44" i="37"/>
  <c r="EE44" i="37"/>
  <c r="EF44" i="37"/>
  <c r="EG44" i="37"/>
  <c r="EH44" i="37"/>
  <c r="EI44" i="37"/>
  <c r="ED45" i="37"/>
  <c r="EE45" i="37"/>
  <c r="EF45" i="37"/>
  <c r="EG45" i="37"/>
  <c r="EH45" i="37"/>
  <c r="EI45" i="37"/>
  <c r="ED46" i="37"/>
  <c r="EE46" i="37"/>
  <c r="EF46" i="37"/>
  <c r="EG46" i="37"/>
  <c r="EH46" i="37"/>
  <c r="EI46" i="37"/>
  <c r="ED47" i="37"/>
  <c r="EE47" i="37"/>
  <c r="EF47" i="37"/>
  <c r="EG47" i="37"/>
  <c r="EH47" i="37"/>
  <c r="EI47" i="37"/>
  <c r="ED48" i="37"/>
  <c r="EE48" i="37"/>
  <c r="EF48" i="37"/>
  <c r="EG48" i="37"/>
  <c r="EH48" i="37"/>
  <c r="EI48" i="37"/>
  <c r="ED49" i="37"/>
  <c r="EE49" i="37"/>
  <c r="EF49" i="37"/>
  <c r="EG49" i="37"/>
  <c r="EH49" i="37"/>
  <c r="EI49" i="37"/>
  <c r="ED50" i="37"/>
  <c r="EE50" i="37"/>
  <c r="EF50" i="37"/>
  <c r="EG50" i="37"/>
  <c r="EH50" i="37"/>
  <c r="EI50" i="37"/>
  <c r="ED51" i="37"/>
  <c r="EE51" i="37"/>
  <c r="EF51" i="37"/>
  <c r="EG51" i="37"/>
  <c r="EH51" i="37"/>
  <c r="EI51" i="37"/>
  <c r="ED52" i="37"/>
  <c r="EE52" i="37"/>
  <c r="EF52" i="37"/>
  <c r="EG52" i="37"/>
  <c r="EH52" i="37"/>
  <c r="EI52" i="37"/>
  <c r="ED53" i="37"/>
  <c r="EE53" i="37"/>
  <c r="EF53" i="37"/>
  <c r="EG53" i="37"/>
  <c r="EH53" i="37"/>
  <c r="EI53" i="37"/>
  <c r="ED54" i="37"/>
  <c r="EE54" i="37"/>
  <c r="EF54" i="37"/>
  <c r="EG54" i="37"/>
  <c r="EH54" i="37"/>
  <c r="EI54" i="37"/>
  <c r="ED55" i="37"/>
  <c r="EE55" i="37"/>
  <c r="EF55" i="37"/>
  <c r="EG55" i="37"/>
  <c r="EH55" i="37"/>
  <c r="EI55" i="37"/>
  <c r="ED56" i="37"/>
  <c r="EE56" i="37"/>
  <c r="EF56" i="37"/>
  <c r="EG56" i="37"/>
  <c r="EH56" i="37"/>
  <c r="EI56" i="37"/>
  <c r="ED57" i="37"/>
  <c r="EE57" i="37"/>
  <c r="EF57" i="37"/>
  <c r="EG57" i="37"/>
  <c r="EH57" i="37"/>
  <c r="EI57" i="37"/>
  <c r="ED58" i="37"/>
  <c r="EE58" i="37"/>
  <c r="EF58" i="37"/>
  <c r="EG58" i="37"/>
  <c r="EH58" i="37"/>
  <c r="EI58" i="37"/>
  <c r="EI3" i="37"/>
  <c r="EH3" i="37"/>
  <c r="EG3" i="37"/>
  <c r="EF3" i="37"/>
  <c r="EE3" i="37"/>
  <c r="ED3" i="37"/>
  <c r="DW4" i="37"/>
  <c r="DX4" i="37"/>
  <c r="DY4" i="37"/>
  <c r="DZ4" i="37"/>
  <c r="EA4" i="37"/>
  <c r="EB4" i="37"/>
  <c r="DW5" i="37"/>
  <c r="DX5" i="37"/>
  <c r="DY5" i="37"/>
  <c r="DZ5" i="37"/>
  <c r="EA5" i="37"/>
  <c r="EB5" i="37"/>
  <c r="DW6" i="37"/>
  <c r="DX6" i="37"/>
  <c r="DY6" i="37"/>
  <c r="DZ6" i="37"/>
  <c r="EA6" i="37"/>
  <c r="EB6" i="37"/>
  <c r="DW7" i="37"/>
  <c r="DX7" i="37"/>
  <c r="DY7" i="37"/>
  <c r="DZ7" i="37"/>
  <c r="EA7" i="37"/>
  <c r="EB7" i="37"/>
  <c r="DW8" i="37"/>
  <c r="DX8" i="37"/>
  <c r="DY8" i="37"/>
  <c r="DZ8" i="37"/>
  <c r="EA8" i="37"/>
  <c r="EB8" i="37"/>
  <c r="DW9" i="37"/>
  <c r="DX9" i="37"/>
  <c r="DY9" i="37"/>
  <c r="DZ9" i="37"/>
  <c r="EA9" i="37"/>
  <c r="EB9" i="37"/>
  <c r="DW10" i="37"/>
  <c r="DX10" i="37"/>
  <c r="DY10" i="37"/>
  <c r="DZ10" i="37"/>
  <c r="EA10" i="37"/>
  <c r="EB10" i="37"/>
  <c r="DW11" i="37"/>
  <c r="DX11" i="37"/>
  <c r="DY11" i="37"/>
  <c r="DZ11" i="37"/>
  <c r="EA11" i="37"/>
  <c r="EB11" i="37"/>
  <c r="DW12" i="37"/>
  <c r="DX12" i="37"/>
  <c r="DY12" i="37"/>
  <c r="DZ12" i="37"/>
  <c r="EA12" i="37"/>
  <c r="EB12" i="37"/>
  <c r="DW13" i="37"/>
  <c r="DX13" i="37"/>
  <c r="DY13" i="37"/>
  <c r="DZ13" i="37"/>
  <c r="EA13" i="37"/>
  <c r="EB13" i="37"/>
  <c r="DW14" i="37"/>
  <c r="DX14" i="37"/>
  <c r="DY14" i="37"/>
  <c r="DZ14" i="37"/>
  <c r="EA14" i="37"/>
  <c r="EB14" i="37"/>
  <c r="DW15" i="37"/>
  <c r="DX15" i="37"/>
  <c r="DY15" i="37"/>
  <c r="DZ15" i="37"/>
  <c r="EA15" i="37"/>
  <c r="EB15" i="37"/>
  <c r="DW16" i="37"/>
  <c r="DX16" i="37"/>
  <c r="DY16" i="37"/>
  <c r="DZ16" i="37"/>
  <c r="EA16" i="37"/>
  <c r="EB16" i="37"/>
  <c r="DW17" i="37"/>
  <c r="DX17" i="37"/>
  <c r="DY17" i="37"/>
  <c r="DZ17" i="37"/>
  <c r="EA17" i="37"/>
  <c r="EB17" i="37"/>
  <c r="DW18" i="37"/>
  <c r="DX18" i="37"/>
  <c r="DY18" i="37"/>
  <c r="DZ18" i="37"/>
  <c r="EA18" i="37"/>
  <c r="EB18" i="37"/>
  <c r="DW19" i="37"/>
  <c r="DX19" i="37"/>
  <c r="DY19" i="37"/>
  <c r="DZ19" i="37"/>
  <c r="EA19" i="37"/>
  <c r="EB19" i="37"/>
  <c r="DW20" i="37"/>
  <c r="DX20" i="37"/>
  <c r="DY20" i="37"/>
  <c r="DZ20" i="37"/>
  <c r="EA20" i="37"/>
  <c r="EB20" i="37"/>
  <c r="DW21" i="37"/>
  <c r="DX21" i="37"/>
  <c r="DY21" i="37"/>
  <c r="DZ21" i="37"/>
  <c r="EA21" i="37"/>
  <c r="EB21" i="37"/>
  <c r="DW22" i="37"/>
  <c r="DX22" i="37"/>
  <c r="DY22" i="37"/>
  <c r="DZ22" i="37"/>
  <c r="EA22" i="37"/>
  <c r="EB22" i="37"/>
  <c r="DW23" i="37"/>
  <c r="DX23" i="37"/>
  <c r="DY23" i="37"/>
  <c r="DZ23" i="37"/>
  <c r="EA23" i="37"/>
  <c r="EB23" i="37"/>
  <c r="DW24" i="37"/>
  <c r="DX24" i="37"/>
  <c r="DY24" i="37"/>
  <c r="DZ24" i="37"/>
  <c r="EA24" i="37"/>
  <c r="EB24" i="37"/>
  <c r="DW25" i="37"/>
  <c r="DX25" i="37"/>
  <c r="DY25" i="37"/>
  <c r="DZ25" i="37"/>
  <c r="EA25" i="37"/>
  <c r="EB25" i="37"/>
  <c r="DW26" i="37"/>
  <c r="DX26" i="37"/>
  <c r="DY26" i="37"/>
  <c r="DZ26" i="37"/>
  <c r="EA26" i="37"/>
  <c r="EB26" i="37"/>
  <c r="DW27" i="37"/>
  <c r="DX27" i="37"/>
  <c r="DY27" i="37"/>
  <c r="DZ27" i="37"/>
  <c r="EA27" i="37"/>
  <c r="EB27" i="37"/>
  <c r="DW28" i="37"/>
  <c r="DX28" i="37"/>
  <c r="DY28" i="37"/>
  <c r="DZ28" i="37"/>
  <c r="EA28" i="37"/>
  <c r="EB28" i="37"/>
  <c r="DW29" i="37"/>
  <c r="DX29" i="37"/>
  <c r="DY29" i="37"/>
  <c r="DZ29" i="37"/>
  <c r="EA29" i="37"/>
  <c r="EB29" i="37"/>
  <c r="DW30" i="37"/>
  <c r="DX30" i="37"/>
  <c r="DY30" i="37"/>
  <c r="DZ30" i="37"/>
  <c r="EA30" i="37"/>
  <c r="EB30" i="37"/>
  <c r="DW31" i="37"/>
  <c r="DX31" i="37"/>
  <c r="DY31" i="37"/>
  <c r="DZ31" i="37"/>
  <c r="EA31" i="37"/>
  <c r="EB31" i="37"/>
  <c r="DW32" i="37"/>
  <c r="DX32" i="37"/>
  <c r="DY32" i="37"/>
  <c r="DZ32" i="37"/>
  <c r="EA32" i="37"/>
  <c r="EB32" i="37"/>
  <c r="DW33" i="37"/>
  <c r="DX33" i="37"/>
  <c r="DY33" i="37"/>
  <c r="DZ33" i="37"/>
  <c r="EA33" i="37"/>
  <c r="EB33" i="37"/>
  <c r="DW34" i="37"/>
  <c r="DX34" i="37"/>
  <c r="DY34" i="37"/>
  <c r="DZ34" i="37"/>
  <c r="EA34" i="37"/>
  <c r="EB34" i="37"/>
  <c r="DW35" i="37"/>
  <c r="DX35" i="37"/>
  <c r="DY35" i="37"/>
  <c r="DZ35" i="37"/>
  <c r="EA35" i="37"/>
  <c r="EB35" i="37"/>
  <c r="DW36" i="37"/>
  <c r="DX36" i="37"/>
  <c r="DY36" i="37"/>
  <c r="DZ36" i="37"/>
  <c r="EA36" i="37"/>
  <c r="EB36" i="37"/>
  <c r="DW37" i="37"/>
  <c r="DX37" i="37"/>
  <c r="DY37" i="37"/>
  <c r="DZ37" i="37"/>
  <c r="EA37" i="37"/>
  <c r="EB37" i="37"/>
  <c r="DW38" i="37"/>
  <c r="DX38" i="37"/>
  <c r="DY38" i="37"/>
  <c r="DZ38" i="37"/>
  <c r="EA38" i="37"/>
  <c r="EB38" i="37"/>
  <c r="DW39" i="37"/>
  <c r="DX39" i="37"/>
  <c r="DY39" i="37"/>
  <c r="DZ39" i="37"/>
  <c r="EA39" i="37"/>
  <c r="EB39" i="37"/>
  <c r="DW40" i="37"/>
  <c r="DX40" i="37"/>
  <c r="DY40" i="37"/>
  <c r="DZ40" i="37"/>
  <c r="EA40" i="37"/>
  <c r="EB40" i="37"/>
  <c r="DW41" i="37"/>
  <c r="DX41" i="37"/>
  <c r="DY41" i="37"/>
  <c r="DZ41" i="37"/>
  <c r="EA41" i="37"/>
  <c r="EB41" i="37"/>
  <c r="DW42" i="37"/>
  <c r="DX42" i="37"/>
  <c r="DY42" i="37"/>
  <c r="DZ42" i="37"/>
  <c r="EA42" i="37"/>
  <c r="EB42" i="37"/>
  <c r="DW43" i="37"/>
  <c r="DX43" i="37"/>
  <c r="DY43" i="37"/>
  <c r="DZ43" i="37"/>
  <c r="EA43" i="37"/>
  <c r="EB43" i="37"/>
  <c r="DW44" i="37"/>
  <c r="DX44" i="37"/>
  <c r="DY44" i="37"/>
  <c r="DZ44" i="37"/>
  <c r="EA44" i="37"/>
  <c r="EB44" i="37"/>
  <c r="DW45" i="37"/>
  <c r="DX45" i="37"/>
  <c r="DY45" i="37"/>
  <c r="DZ45" i="37"/>
  <c r="EA45" i="37"/>
  <c r="EB45" i="37"/>
  <c r="DW46" i="37"/>
  <c r="DX46" i="37"/>
  <c r="DY46" i="37"/>
  <c r="DZ46" i="37"/>
  <c r="EA46" i="37"/>
  <c r="EB46" i="37"/>
  <c r="DW47" i="37"/>
  <c r="DX47" i="37"/>
  <c r="DY47" i="37"/>
  <c r="DZ47" i="37"/>
  <c r="EA47" i="37"/>
  <c r="EB47" i="37"/>
  <c r="DW48" i="37"/>
  <c r="DX48" i="37"/>
  <c r="DY48" i="37"/>
  <c r="DZ48" i="37"/>
  <c r="EA48" i="37"/>
  <c r="EB48" i="37"/>
  <c r="EB3" i="37"/>
  <c r="EA3" i="37"/>
  <c r="DZ3" i="37"/>
  <c r="DY3" i="37"/>
  <c r="DX3" i="37"/>
  <c r="DW3" i="37"/>
  <c r="EI2" i="37"/>
  <c r="EG2" i="37"/>
  <c r="EF2" i="37"/>
  <c r="EE2" i="37"/>
  <c r="EB2" i="37"/>
  <c r="DZ2" i="37"/>
  <c r="DY2" i="37"/>
  <c r="DX2" i="37"/>
  <c r="E26" i="2" l="1"/>
  <c r="B26" i="2"/>
  <c r="E13" i="2"/>
  <c r="B13" i="2"/>
  <c r="F2727" i="97" l="1"/>
  <c r="F2726" i="97"/>
  <c r="F2725" i="97"/>
  <c r="F2724" i="97"/>
  <c r="F2723" i="97"/>
  <c r="F2722" i="97"/>
  <c r="F2721" i="97"/>
  <c r="F2720" i="97"/>
  <c r="F2719" i="97"/>
  <c r="F2718" i="97"/>
  <c r="F2691" i="97"/>
  <c r="F2690" i="97"/>
  <c r="F2689" i="97"/>
  <c r="F2688" i="97"/>
  <c r="F2687" i="97"/>
  <c r="F2686" i="97"/>
  <c r="F2685" i="97"/>
  <c r="F2684" i="97"/>
  <c r="F2683" i="97"/>
  <c r="F2682" i="97"/>
  <c r="F2655" i="97"/>
  <c r="F2654" i="97"/>
  <c r="F2653" i="97"/>
  <c r="F2652" i="97"/>
  <c r="F2651" i="97"/>
  <c r="F2650" i="97"/>
  <c r="F2649" i="97"/>
  <c r="F2648" i="97"/>
  <c r="F2647" i="97"/>
  <c r="F2646" i="97"/>
  <c r="F2619" i="97"/>
  <c r="F2618" i="97"/>
  <c r="F2617" i="97"/>
  <c r="F2616" i="97"/>
  <c r="F2615" i="97"/>
  <c r="F2614" i="97"/>
  <c r="F2613" i="97"/>
  <c r="F2612" i="97"/>
  <c r="F2611" i="97"/>
  <c r="F2610" i="97"/>
  <c r="F2583" i="97"/>
  <c r="F2582" i="97"/>
  <c r="F2581" i="97"/>
  <c r="F2580" i="97"/>
  <c r="F2579" i="97"/>
  <c r="F2578" i="97"/>
  <c r="F2577" i="97"/>
  <c r="F2576" i="97"/>
  <c r="F2575" i="97"/>
  <c r="F2574" i="97"/>
  <c r="F2547" i="97"/>
  <c r="F2546" i="97"/>
  <c r="F2545" i="97"/>
  <c r="F2544" i="97"/>
  <c r="F2543" i="97"/>
  <c r="F2542" i="97"/>
  <c r="F2541" i="97"/>
  <c r="F2540" i="97"/>
  <c r="F2539" i="97"/>
  <c r="F2538" i="97"/>
  <c r="F2511" i="97"/>
  <c r="F2510" i="97"/>
  <c r="F2509" i="97"/>
  <c r="F2508" i="97"/>
  <c r="F2507" i="97"/>
  <c r="F2506" i="97"/>
  <c r="F2505" i="97"/>
  <c r="F2504" i="97"/>
  <c r="F2503" i="97"/>
  <c r="F2502" i="97"/>
  <c r="F3051" i="97"/>
  <c r="F3050" i="97"/>
  <c r="F3049" i="97"/>
  <c r="F3048" i="97"/>
  <c r="F3047" i="97"/>
  <c r="F3046" i="97"/>
  <c r="F3045" i="97"/>
  <c r="F3044" i="97"/>
  <c r="F3043" i="97"/>
  <c r="F3042" i="97"/>
  <c r="F3015" i="97"/>
  <c r="F3014" i="97"/>
  <c r="F3013" i="97"/>
  <c r="F3012" i="97"/>
  <c r="F3011" i="97"/>
  <c r="F3010" i="97"/>
  <c r="F3009" i="97"/>
  <c r="F3008" i="97"/>
  <c r="F3007" i="97"/>
  <c r="F3006" i="97"/>
  <c r="F2979" i="97"/>
  <c r="F2978" i="97"/>
  <c r="F2977" i="97"/>
  <c r="F2976" i="97"/>
  <c r="F2975" i="97"/>
  <c r="F2974" i="97"/>
  <c r="F2973" i="97"/>
  <c r="F2972" i="97"/>
  <c r="F2971" i="97"/>
  <c r="F2970" i="97"/>
  <c r="F2943" i="97"/>
  <c r="F2942" i="97"/>
  <c r="F2941" i="97"/>
  <c r="F2940" i="97"/>
  <c r="F2939" i="97"/>
  <c r="F2938" i="97"/>
  <c r="F2937" i="97"/>
  <c r="F2936" i="97"/>
  <c r="F2935" i="97"/>
  <c r="F2934" i="97"/>
  <c r="F2907" i="97"/>
  <c r="F2906" i="97"/>
  <c r="F2905" i="97"/>
  <c r="F2904" i="97"/>
  <c r="F2903" i="97"/>
  <c r="F2902" i="97"/>
  <c r="F2901" i="97"/>
  <c r="F2900" i="97"/>
  <c r="F2899" i="97"/>
  <c r="F2898" i="97"/>
  <c r="F2871" i="97"/>
  <c r="F2870" i="97"/>
  <c r="F2869" i="97"/>
  <c r="F2868" i="97"/>
  <c r="F2867" i="97"/>
  <c r="F2866" i="97"/>
  <c r="F2865" i="97"/>
  <c r="F2864" i="97"/>
  <c r="F2863" i="97"/>
  <c r="F2862" i="97"/>
  <c r="F2835" i="97"/>
  <c r="F2834" i="97"/>
  <c r="F2833" i="97"/>
  <c r="F2832" i="97"/>
  <c r="F2831" i="97"/>
  <c r="F2830" i="97"/>
  <c r="F2829" i="97"/>
  <c r="F2828" i="97"/>
  <c r="F2827" i="97"/>
  <c r="F2826" i="97"/>
  <c r="F2799" i="97"/>
  <c r="F2798" i="97"/>
  <c r="F2797" i="97"/>
  <c r="F2796" i="97"/>
  <c r="F2795" i="97"/>
  <c r="F2794" i="97"/>
  <c r="F2793" i="97"/>
  <c r="F2792" i="97"/>
  <c r="F2791" i="97"/>
  <c r="F2790" i="97"/>
  <c r="F2763" i="97"/>
  <c r="F2762" i="97"/>
  <c r="F2761" i="97"/>
  <c r="F2760" i="97"/>
  <c r="F2759" i="97"/>
  <c r="F2758" i="97"/>
  <c r="F2757" i="97"/>
  <c r="F2756" i="97"/>
  <c r="F2755" i="97"/>
  <c r="F2754" i="97"/>
  <c r="F3584" i="97"/>
  <c r="F3583" i="97"/>
  <c r="F3582" i="97"/>
  <c r="F3581" i="97"/>
  <c r="F3580" i="97"/>
  <c r="F3579" i="97"/>
  <c r="F3578" i="97"/>
  <c r="F3577" i="97"/>
  <c r="F3576" i="97"/>
  <c r="F3575" i="97"/>
  <c r="F3574" i="97"/>
  <c r="F3573" i="97"/>
  <c r="F3572" i="97"/>
  <c r="F3571" i="97"/>
  <c r="F3570" i="97"/>
  <c r="F3546" i="97"/>
  <c r="F3545" i="97"/>
  <c r="F3544" i="97"/>
  <c r="F3543" i="97"/>
  <c r="F3542" i="97"/>
  <c r="F3541" i="97"/>
  <c r="F3540" i="97"/>
  <c r="F3539" i="97"/>
  <c r="F3538" i="97"/>
  <c r="F3537" i="97"/>
  <c r="F3536" i="97"/>
  <c r="F3535" i="97"/>
  <c r="F3534" i="97"/>
  <c r="F3533" i="97"/>
  <c r="F3532" i="97"/>
  <c r="F3508" i="97"/>
  <c r="F3507" i="97"/>
  <c r="F3506" i="97"/>
  <c r="F3505" i="97"/>
  <c r="F3504" i="97"/>
  <c r="F3503" i="97"/>
  <c r="F3502" i="97"/>
  <c r="F3501" i="97"/>
  <c r="F3500" i="97"/>
  <c r="F3499" i="97"/>
  <c r="F3498" i="97"/>
  <c r="F3497" i="97"/>
  <c r="F3496" i="97"/>
  <c r="F3495" i="97"/>
  <c r="F3494" i="97"/>
  <c r="F3470" i="97"/>
  <c r="F3469" i="97"/>
  <c r="F3468" i="97"/>
  <c r="F3467" i="97"/>
  <c r="F3466" i="97"/>
  <c r="F3465" i="97"/>
  <c r="F3464" i="97"/>
  <c r="F3463" i="97"/>
  <c r="F3462" i="97"/>
  <c r="F3461" i="97"/>
  <c r="F3460" i="97"/>
  <c r="F3459" i="97"/>
  <c r="F3458" i="97"/>
  <c r="F3457" i="97"/>
  <c r="F3456" i="97"/>
  <c r="F3432" i="97"/>
  <c r="F3431" i="97"/>
  <c r="F3430" i="97"/>
  <c r="F3429" i="97"/>
  <c r="F3428" i="97"/>
  <c r="F3427" i="97"/>
  <c r="F3426" i="97"/>
  <c r="F3425" i="97"/>
  <c r="F3424" i="97"/>
  <c r="F3423" i="97"/>
  <c r="F3422" i="97"/>
  <c r="F3421" i="97"/>
  <c r="F3420" i="97"/>
  <c r="F3419" i="97"/>
  <c r="F3418" i="97"/>
  <c r="F3394" i="97"/>
  <c r="F3393" i="97"/>
  <c r="F3392" i="97"/>
  <c r="F3391" i="97"/>
  <c r="F3390" i="97"/>
  <c r="F3389" i="97"/>
  <c r="F3388" i="97"/>
  <c r="F3387" i="97"/>
  <c r="F3386" i="97"/>
  <c r="F3385" i="97"/>
  <c r="F3384" i="97"/>
  <c r="F3383" i="97"/>
  <c r="F3382" i="97"/>
  <c r="F3381" i="97"/>
  <c r="F3380" i="97"/>
  <c r="F3356" i="97"/>
  <c r="F3355" i="97"/>
  <c r="F3354" i="97"/>
  <c r="F3353" i="97"/>
  <c r="F3352" i="97"/>
  <c r="F3351" i="97"/>
  <c r="F3350" i="97"/>
  <c r="F3349" i="97"/>
  <c r="F3348" i="97"/>
  <c r="F3347" i="97"/>
  <c r="F3346" i="97"/>
  <c r="F3345" i="97"/>
  <c r="F3344" i="97"/>
  <c r="F3343" i="97"/>
  <c r="F3342" i="97"/>
  <c r="F3318" i="97"/>
  <c r="F3317" i="97"/>
  <c r="F3316" i="97"/>
  <c r="F3315" i="97"/>
  <c r="F3314" i="97"/>
  <c r="F3313" i="97"/>
  <c r="F3312" i="97"/>
  <c r="F3311" i="97"/>
  <c r="F3310" i="97"/>
  <c r="F3309" i="97"/>
  <c r="F3308" i="97"/>
  <c r="F3307" i="97"/>
  <c r="F3306" i="97"/>
  <c r="F3305" i="97"/>
  <c r="F3304" i="97"/>
  <c r="F3280" i="97"/>
  <c r="F3279" i="97"/>
  <c r="F3278" i="97"/>
  <c r="F3277" i="97"/>
  <c r="F3276" i="97"/>
  <c r="F3275" i="97"/>
  <c r="F3274" i="97"/>
  <c r="F3273" i="97"/>
  <c r="F3272" i="97"/>
  <c r="F3271" i="97"/>
  <c r="F3270" i="97"/>
  <c r="F3269" i="97"/>
  <c r="F3268" i="97"/>
  <c r="F3267" i="97"/>
  <c r="F3266" i="97"/>
  <c r="F3242" i="97"/>
  <c r="F3241" i="97"/>
  <c r="F3240" i="97"/>
  <c r="F3239" i="97"/>
  <c r="F3238" i="97"/>
  <c r="F3237" i="97"/>
  <c r="F3236" i="97"/>
  <c r="F3235" i="97"/>
  <c r="F3234" i="97"/>
  <c r="F3233" i="97"/>
  <c r="F3232" i="97"/>
  <c r="F3231" i="97"/>
  <c r="F3230" i="97"/>
  <c r="F3229" i="97"/>
  <c r="F3228" i="97"/>
  <c r="F3204" i="97"/>
  <c r="F3203" i="97"/>
  <c r="F3202" i="97"/>
  <c r="F3201" i="97"/>
  <c r="F3200" i="97"/>
  <c r="F3199" i="97"/>
  <c r="F3198" i="97"/>
  <c r="F3197" i="97"/>
  <c r="F3196" i="97"/>
  <c r="F3195" i="97"/>
  <c r="F3194" i="97"/>
  <c r="F3193" i="97"/>
  <c r="F3192" i="97"/>
  <c r="F3191" i="97"/>
  <c r="F3190" i="97"/>
  <c r="F3166" i="97"/>
  <c r="F3165" i="97"/>
  <c r="F3164" i="97"/>
  <c r="F3163" i="97"/>
  <c r="F3162" i="97"/>
  <c r="F3161" i="97"/>
  <c r="F3160" i="97"/>
  <c r="F3159" i="97"/>
  <c r="F3158" i="97"/>
  <c r="F3157" i="97"/>
  <c r="F3156" i="97"/>
  <c r="F3155" i="97"/>
  <c r="F3154" i="97"/>
  <c r="F3153" i="97"/>
  <c r="F3152" i="97"/>
  <c r="F3128" i="97"/>
  <c r="F3127" i="97"/>
  <c r="F3126" i="97"/>
  <c r="F3125" i="97"/>
  <c r="F3124" i="97"/>
  <c r="F3123" i="97"/>
  <c r="F3122" i="97"/>
  <c r="F3121" i="97"/>
  <c r="F3120" i="97"/>
  <c r="F3119" i="97"/>
  <c r="F3118" i="97"/>
  <c r="F3117" i="97"/>
  <c r="F3116" i="97"/>
  <c r="F3115" i="97"/>
  <c r="F3114" i="97"/>
  <c r="F3082" i="97"/>
  <c r="F3081" i="97"/>
  <c r="F3080" i="97"/>
  <c r="F3079" i="97"/>
  <c r="F3078" i="97"/>
  <c r="F3077" i="97"/>
  <c r="F3076" i="97"/>
  <c r="F3090" i="97"/>
  <c r="F3089" i="97"/>
  <c r="F3088" i="97"/>
  <c r="F3087" i="97"/>
  <c r="F3086" i="97"/>
  <c r="F3085" i="97"/>
  <c r="F3084" i="97"/>
  <c r="F3083" i="97"/>
  <c r="F4394" i="97"/>
  <c r="F4393" i="97"/>
  <c r="F4392" i="97"/>
  <c r="F4391" i="97"/>
  <c r="F4390" i="97"/>
  <c r="F4389" i="97"/>
  <c r="F4388" i="97"/>
  <c r="F4387" i="97"/>
  <c r="F4386" i="97"/>
  <c r="F4385" i="97"/>
  <c r="F4384" i="97"/>
  <c r="F4383" i="97"/>
  <c r="F4382" i="97"/>
  <c r="F4381" i="97"/>
  <c r="F4380" i="97"/>
  <c r="F4349" i="97"/>
  <c r="F4348" i="97"/>
  <c r="F4347" i="97"/>
  <c r="F4346" i="97"/>
  <c r="F4345" i="97"/>
  <c r="F4344" i="97"/>
  <c r="F4343" i="97"/>
  <c r="F4342" i="97"/>
  <c r="F4341" i="97"/>
  <c r="F4340" i="97"/>
  <c r="F4339" i="97"/>
  <c r="F4338" i="97"/>
  <c r="F4337" i="97"/>
  <c r="F4336" i="97"/>
  <c r="F4335" i="97"/>
  <c r="F4304" i="97"/>
  <c r="F4303" i="97"/>
  <c r="F4302" i="97"/>
  <c r="F4301" i="97"/>
  <c r="F4300" i="97"/>
  <c r="F4299" i="97"/>
  <c r="F4298" i="97"/>
  <c r="F4297" i="97"/>
  <c r="F4296" i="97"/>
  <c r="F4295" i="97"/>
  <c r="F4294" i="97"/>
  <c r="F4293" i="97"/>
  <c r="F4292" i="97"/>
  <c r="F4291" i="97"/>
  <c r="F4290" i="97"/>
  <c r="F4259" i="97"/>
  <c r="F4258" i="97"/>
  <c r="F4257" i="97"/>
  <c r="F4256" i="97"/>
  <c r="F4255" i="97"/>
  <c r="F4254" i="97"/>
  <c r="F4253" i="97"/>
  <c r="F4252" i="97"/>
  <c r="F4251" i="97"/>
  <c r="F4250" i="97"/>
  <c r="F4249" i="97"/>
  <c r="F4248" i="97"/>
  <c r="F4247" i="97"/>
  <c r="F4246" i="97"/>
  <c r="F4245" i="97"/>
  <c r="F4214" i="97"/>
  <c r="F4213" i="97"/>
  <c r="F4212" i="97"/>
  <c r="F4211" i="97"/>
  <c r="F4210" i="97"/>
  <c r="F4209" i="97"/>
  <c r="F4208" i="97"/>
  <c r="F4207" i="97"/>
  <c r="F4206" i="97"/>
  <c r="F4205" i="97"/>
  <c r="F4204" i="97"/>
  <c r="F4203" i="97"/>
  <c r="F4202" i="97"/>
  <c r="F4201" i="97"/>
  <c r="F4200" i="97"/>
  <c r="F4169" i="97"/>
  <c r="F4168" i="97"/>
  <c r="F4167" i="97"/>
  <c r="F4166" i="97"/>
  <c r="F4165" i="97"/>
  <c r="F4164" i="97"/>
  <c r="F4163" i="97"/>
  <c r="F4162" i="97"/>
  <c r="F4161" i="97"/>
  <c r="F4160" i="97"/>
  <c r="F4159" i="97"/>
  <c r="F4158" i="97"/>
  <c r="F4157" i="97"/>
  <c r="F4156" i="97"/>
  <c r="F4155" i="97"/>
  <c r="F4124" i="97"/>
  <c r="F4123" i="97"/>
  <c r="F4122" i="97"/>
  <c r="F4121" i="97"/>
  <c r="F4120" i="97"/>
  <c r="F4119" i="97"/>
  <c r="F4118" i="97"/>
  <c r="F4117" i="97"/>
  <c r="F4116" i="97"/>
  <c r="F4115" i="97"/>
  <c r="F4114" i="97"/>
  <c r="F4113" i="97"/>
  <c r="F4112" i="97"/>
  <c r="F4111" i="97"/>
  <c r="F4110" i="97"/>
  <c r="F4079" i="97"/>
  <c r="F4078" i="97"/>
  <c r="F4077" i="97"/>
  <c r="F4076" i="97"/>
  <c r="F4075" i="97"/>
  <c r="F4074" i="97"/>
  <c r="F4073" i="97"/>
  <c r="F4072" i="97"/>
  <c r="F4071" i="97"/>
  <c r="F4070" i="97"/>
  <c r="F4069" i="97"/>
  <c r="F4068" i="97"/>
  <c r="F4067" i="97"/>
  <c r="F4066" i="97"/>
  <c r="F4065" i="97"/>
  <c r="F4034" i="97"/>
  <c r="F4033" i="97"/>
  <c r="F4032" i="97"/>
  <c r="F4031" i="97"/>
  <c r="F4030" i="97"/>
  <c r="F4029" i="97"/>
  <c r="F4028" i="97"/>
  <c r="F4027" i="97"/>
  <c r="F4026" i="97"/>
  <c r="F4025" i="97"/>
  <c r="F4024" i="97"/>
  <c r="F4023" i="97"/>
  <c r="F4022" i="97"/>
  <c r="F4021" i="97"/>
  <c r="F4020" i="97"/>
  <c r="F3989" i="97"/>
  <c r="F3988" i="97"/>
  <c r="F3987" i="97"/>
  <c r="F3986" i="97"/>
  <c r="F3985" i="97"/>
  <c r="F3984" i="97"/>
  <c r="F3983" i="97"/>
  <c r="F3982" i="97"/>
  <c r="F3981" i="97"/>
  <c r="F3980" i="97"/>
  <c r="F3979" i="97"/>
  <c r="F3978" i="97"/>
  <c r="F3977" i="97"/>
  <c r="F3976" i="97"/>
  <c r="F3975" i="97"/>
  <c r="F3944" i="97"/>
  <c r="F3943" i="97"/>
  <c r="F3942" i="97"/>
  <c r="F3941" i="97"/>
  <c r="F3940" i="97"/>
  <c r="F3939" i="97"/>
  <c r="F3938" i="97"/>
  <c r="F3937" i="97"/>
  <c r="F3936" i="97"/>
  <c r="F3935" i="97"/>
  <c r="F3934" i="97"/>
  <c r="F3933" i="97"/>
  <c r="F3932" i="97"/>
  <c r="F3931" i="97"/>
  <c r="F3930" i="97"/>
  <c r="F3899" i="97"/>
  <c r="F3898" i="97"/>
  <c r="F3897" i="97"/>
  <c r="F3896" i="97"/>
  <c r="F3895" i="97"/>
  <c r="F3894" i="97"/>
  <c r="F3893" i="97"/>
  <c r="F3892" i="97"/>
  <c r="F3891" i="97"/>
  <c r="F3890" i="97"/>
  <c r="F3889" i="97"/>
  <c r="F3888" i="97"/>
  <c r="F3887" i="97"/>
  <c r="F3886" i="97"/>
  <c r="F3885" i="97"/>
  <c r="F3854" i="97"/>
  <c r="F3853" i="97"/>
  <c r="F3852" i="97"/>
  <c r="F3851" i="97"/>
  <c r="F3850" i="97"/>
  <c r="F3849" i="97"/>
  <c r="F3848" i="97"/>
  <c r="F3847" i="97"/>
  <c r="F3846" i="97"/>
  <c r="F3845" i="97"/>
  <c r="F3844" i="97"/>
  <c r="F3843" i="97"/>
  <c r="F3842" i="97"/>
  <c r="F3841" i="97"/>
  <c r="F3840" i="97"/>
  <c r="F3809" i="97"/>
  <c r="F3808" i="97"/>
  <c r="F3807" i="97"/>
  <c r="F3806" i="97"/>
  <c r="F3805" i="97"/>
  <c r="F3804" i="97"/>
  <c r="F3803" i="97"/>
  <c r="F3802" i="97"/>
  <c r="F3801" i="97"/>
  <c r="F3800" i="97"/>
  <c r="F3799" i="97"/>
  <c r="F3798" i="97"/>
  <c r="F3797" i="97"/>
  <c r="F3796" i="97"/>
  <c r="F3795" i="97"/>
  <c r="F3764" i="97"/>
  <c r="F3763" i="97"/>
  <c r="F3762" i="97"/>
  <c r="F3761" i="97"/>
  <c r="F3760" i="97"/>
  <c r="F3759" i="97"/>
  <c r="F3758" i="97"/>
  <c r="F3757" i="97"/>
  <c r="F3756" i="97"/>
  <c r="F3755" i="97"/>
  <c r="F3754" i="97"/>
  <c r="F3753" i="97"/>
  <c r="F3752" i="97"/>
  <c r="F3751" i="97"/>
  <c r="F3750" i="97"/>
  <c r="F3719" i="97"/>
  <c r="F3718" i="97"/>
  <c r="F3717" i="97"/>
  <c r="F3716" i="97"/>
  <c r="F3715" i="97"/>
  <c r="F3714" i="97"/>
  <c r="F3713" i="97"/>
  <c r="F3712" i="97"/>
  <c r="F3711" i="97"/>
  <c r="F3710" i="97"/>
  <c r="F3709" i="97"/>
  <c r="F3708" i="97"/>
  <c r="F3707" i="97"/>
  <c r="F3706" i="97"/>
  <c r="F3705" i="97"/>
  <c r="F3674" i="97"/>
  <c r="F3673" i="97"/>
  <c r="F3672" i="97"/>
  <c r="F3671" i="97"/>
  <c r="F3670" i="97"/>
  <c r="F3669" i="97"/>
  <c r="F3668" i="97"/>
  <c r="F3667" i="97"/>
  <c r="F3666" i="97"/>
  <c r="F3665" i="97"/>
  <c r="F3664" i="97"/>
  <c r="F3663" i="97"/>
  <c r="F3662" i="97"/>
  <c r="F3661" i="97"/>
  <c r="F3660" i="97"/>
  <c r="F3629" i="97"/>
  <c r="F3628" i="97"/>
  <c r="F3627" i="97"/>
  <c r="F3626" i="97"/>
  <c r="F3625" i="97"/>
  <c r="F3624" i="97"/>
  <c r="F3623" i="97"/>
  <c r="F3622" i="97"/>
  <c r="F3621" i="97"/>
  <c r="F3620" i="97"/>
  <c r="F3619" i="97"/>
  <c r="F3618" i="97"/>
  <c r="F3617" i="97"/>
  <c r="F3616" i="97"/>
  <c r="F3615" i="97"/>
  <c r="B5461" i="97" l="1"/>
  <c r="B5460" i="97"/>
  <c r="B5459" i="97"/>
  <c r="B5458" i="97"/>
  <c r="B5457" i="97"/>
  <c r="B5456" i="97"/>
  <c r="B5455" i="97"/>
  <c r="B5454" i="97"/>
  <c r="B5453" i="97"/>
  <c r="B5452" i="97"/>
  <c r="B5451" i="97"/>
  <c r="B5450" i="97"/>
  <c r="B5449" i="97"/>
  <c r="B5448" i="97"/>
  <c r="B5447" i="97"/>
  <c r="B5446" i="97"/>
  <c r="B5445" i="97"/>
  <c r="B5444" i="97"/>
  <c r="B5443" i="97"/>
  <c r="B5442" i="97"/>
  <c r="B5441" i="97"/>
  <c r="B5440" i="97"/>
  <c r="B5439" i="97"/>
  <c r="B5438" i="97"/>
  <c r="B5437" i="97"/>
  <c r="B5436" i="97"/>
  <c r="B5344" i="97"/>
  <c r="B5296" i="97"/>
  <c r="B5248" i="97"/>
  <c r="B5343" i="97"/>
  <c r="B5295" i="97"/>
  <c r="B5247" i="97"/>
  <c r="B5342" i="97"/>
  <c r="B5294" i="97"/>
  <c r="B5246" i="97"/>
  <c r="B5341" i="97"/>
  <c r="B5293" i="97"/>
  <c r="B5245" i="97"/>
  <c r="B5340" i="97"/>
  <c r="B5292" i="97"/>
  <c r="B5244" i="97"/>
  <c r="B5339" i="97"/>
  <c r="B5291" i="97"/>
  <c r="B5243" i="97"/>
  <c r="B5338" i="97"/>
  <c r="B5290" i="97"/>
  <c r="B5242" i="97"/>
  <c r="B5337" i="97"/>
  <c r="B5289" i="97"/>
  <c r="B5241" i="97"/>
  <c r="B5336" i="97"/>
  <c r="B5288" i="97"/>
  <c r="B5240" i="97"/>
  <c r="B5435" i="97"/>
  <c r="B5422" i="97"/>
  <c r="B5409" i="97"/>
  <c r="B5383" i="97"/>
  <c r="B5357" i="97"/>
  <c r="B5322" i="97"/>
  <c r="B5274" i="97"/>
  <c r="B5226" i="97"/>
  <c r="B5434" i="97"/>
  <c r="B5421" i="97"/>
  <c r="B5408" i="97"/>
  <c r="B5382" i="97"/>
  <c r="B5356" i="97"/>
  <c r="B5321" i="97"/>
  <c r="B5273" i="97"/>
  <c r="B5225" i="97"/>
  <c r="B5433" i="97"/>
  <c r="B5420" i="97"/>
  <c r="B5407" i="97"/>
  <c r="B5381" i="97"/>
  <c r="B5355" i="97"/>
  <c r="B5320" i="97"/>
  <c r="B5272" i="97"/>
  <c r="B5224" i="97"/>
  <c r="B5432" i="97"/>
  <c r="B5419" i="97"/>
  <c r="B5406" i="97"/>
  <c r="B5380" i="97"/>
  <c r="B5354" i="97"/>
  <c r="B5319" i="97"/>
  <c r="B5271" i="97"/>
  <c r="B5223" i="97"/>
  <c r="B5430" i="97"/>
  <c r="B5417" i="97"/>
  <c r="B5404" i="97"/>
  <c r="B5378" i="97"/>
  <c r="B5352" i="97"/>
  <c r="B5317" i="97"/>
  <c r="B5269" i="97"/>
  <c r="B5221" i="97"/>
  <c r="B5429" i="97"/>
  <c r="B5416" i="97"/>
  <c r="B5403" i="97"/>
  <c r="B5377" i="97"/>
  <c r="B5351" i="97"/>
  <c r="B5316" i="97"/>
  <c r="B5268" i="97"/>
  <c r="B5220" i="97"/>
  <c r="B5424" i="97"/>
  <c r="B5411" i="97"/>
  <c r="B5398" i="97"/>
  <c r="B5372" i="97"/>
  <c r="B5346" i="97"/>
  <c r="B5311" i="97"/>
  <c r="B5263" i="97"/>
  <c r="B5215" i="97"/>
  <c r="B5423" i="97"/>
  <c r="B5410" i="97"/>
  <c r="B5397" i="97"/>
  <c r="B5371" i="97"/>
  <c r="B5345" i="97"/>
  <c r="B5310" i="97"/>
  <c r="B5262" i="97"/>
  <c r="B5214" i="97"/>
  <c r="B5200" i="97"/>
  <c r="B5199" i="97"/>
  <c r="B5198" i="97"/>
  <c r="B5197" i="97"/>
  <c r="B5196" i="97"/>
  <c r="B5195" i="97"/>
  <c r="B5194" i="97"/>
  <c r="B5193" i="97"/>
  <c r="B5192" i="97"/>
  <c r="B5178" i="97"/>
  <c r="B5177" i="97"/>
  <c r="B5176" i="97"/>
  <c r="B5175" i="97"/>
  <c r="B5173" i="97"/>
  <c r="B5172" i="97"/>
  <c r="B5167" i="97"/>
  <c r="B5166" i="97"/>
  <c r="B5003" i="97"/>
  <c r="B5002" i="97"/>
  <c r="B5001" i="97"/>
  <c r="B5000" i="97"/>
  <c r="B4999" i="97"/>
  <c r="B4998" i="97"/>
  <c r="B4997" i="97"/>
  <c r="B4996" i="97"/>
  <c r="B4995" i="97"/>
  <c r="B4994" i="97"/>
  <c r="B4993" i="97"/>
  <c r="B4992" i="97"/>
  <c r="B4991" i="97"/>
  <c r="B4990" i="97"/>
  <c r="B4989" i="97"/>
  <c r="B4988" i="97"/>
  <c r="B4987" i="97"/>
  <c r="B4986" i="97"/>
  <c r="B4985" i="97"/>
  <c r="B4984" i="97"/>
  <c r="B4983" i="97"/>
  <c r="B4982" i="97"/>
  <c r="B4981" i="97"/>
  <c r="B4950" i="97"/>
  <c r="B4949" i="97"/>
  <c r="B4948" i="97"/>
  <c r="B4947" i="97"/>
  <c r="B4946" i="97"/>
  <c r="B4945" i="97"/>
  <c r="B4944" i="97"/>
  <c r="B4943" i="97"/>
  <c r="B4942" i="97"/>
  <c r="B4941" i="97"/>
  <c r="B4695" i="97"/>
  <c r="B4940" i="97"/>
  <c r="B4926" i="97"/>
  <c r="B4912" i="97"/>
  <c r="B4898" i="97"/>
  <c r="B4939" i="97"/>
  <c r="B4925" i="97"/>
  <c r="B4911" i="97"/>
  <c r="B4897" i="97"/>
  <c r="B4938" i="97"/>
  <c r="B4924" i="97"/>
  <c r="B4910" i="97"/>
  <c r="B4896" i="97"/>
  <c r="B4937" i="97"/>
  <c r="B4923" i="97"/>
  <c r="B4909" i="97"/>
  <c r="B4895" i="97"/>
  <c r="B4936" i="97"/>
  <c r="B4922" i="97"/>
  <c r="B4908" i="97"/>
  <c r="B4894" i="97"/>
  <c r="B4935" i="97"/>
  <c r="B4921" i="97"/>
  <c r="B4907" i="97"/>
  <c r="B4893" i="97"/>
  <c r="B4934" i="97"/>
  <c r="B4920" i="97"/>
  <c r="B4906" i="97"/>
  <c r="B4892" i="97"/>
  <c r="B4933" i="97"/>
  <c r="B4919" i="97"/>
  <c r="B4905" i="97"/>
  <c r="B4891" i="97"/>
  <c r="B4932" i="97"/>
  <c r="B4918" i="97"/>
  <c r="B4904" i="97"/>
  <c r="B4890" i="97"/>
  <c r="B4931" i="97"/>
  <c r="B4917" i="97"/>
  <c r="B4903" i="97"/>
  <c r="B4889" i="97"/>
  <c r="B4930" i="97"/>
  <c r="B4916" i="97"/>
  <c r="B4902" i="97"/>
  <c r="B4888" i="97"/>
  <c r="B4929" i="97"/>
  <c r="B4915" i="97"/>
  <c r="B4901" i="97"/>
  <c r="B4887" i="97"/>
  <c r="B4928" i="97"/>
  <c r="B4914" i="97"/>
  <c r="B4900" i="97"/>
  <c r="B4886" i="97"/>
  <c r="B4927" i="97"/>
  <c r="B4913" i="97"/>
  <c r="B4899" i="97"/>
  <c r="B4885" i="97"/>
  <c r="B4884" i="97"/>
  <c r="B4870" i="97"/>
  <c r="B4856" i="97"/>
  <c r="B4842" i="97"/>
  <c r="B4883" i="97"/>
  <c r="B4869" i="97"/>
  <c r="B4855" i="97"/>
  <c r="B4841" i="97"/>
  <c r="B4882" i="97"/>
  <c r="B4868" i="97"/>
  <c r="B4854" i="97"/>
  <c r="B4840" i="97"/>
  <c r="B4881" i="97"/>
  <c r="B4867" i="97"/>
  <c r="B4853" i="97"/>
  <c r="B4839" i="97"/>
  <c r="B4880" i="97"/>
  <c r="B4866" i="97"/>
  <c r="B4852" i="97"/>
  <c r="B4838" i="97"/>
  <c r="B4879" i="97"/>
  <c r="B4865" i="97"/>
  <c r="B4851" i="97"/>
  <c r="B4837" i="97"/>
  <c r="B4878" i="97"/>
  <c r="B4864" i="97"/>
  <c r="B4850" i="97"/>
  <c r="B4836" i="97"/>
  <c r="B4877" i="97"/>
  <c r="B4863" i="97"/>
  <c r="B4849" i="97"/>
  <c r="B4835" i="97"/>
  <c r="B4876" i="97"/>
  <c r="B4862" i="97"/>
  <c r="B4848" i="97"/>
  <c r="B4834" i="97"/>
  <c r="B4875" i="97"/>
  <c r="B4861" i="97"/>
  <c r="B4847" i="97"/>
  <c r="B4833" i="97"/>
  <c r="B4874" i="97"/>
  <c r="B4860" i="97"/>
  <c r="B4846" i="97"/>
  <c r="B4832" i="97"/>
  <c r="B4873" i="97"/>
  <c r="B4859" i="97"/>
  <c r="B4845" i="97"/>
  <c r="B4831" i="97"/>
  <c r="B4872" i="97"/>
  <c r="B4858" i="97"/>
  <c r="B4844" i="97"/>
  <c r="B4830" i="97"/>
  <c r="B4871" i="97"/>
  <c r="B4857" i="97"/>
  <c r="B4843" i="97"/>
  <c r="B4829" i="97"/>
  <c r="B4828" i="97"/>
  <c r="B4814" i="97"/>
  <c r="B4800" i="97"/>
  <c r="B4786" i="97"/>
  <c r="B4827" i="97"/>
  <c r="B4813" i="97"/>
  <c r="B4799" i="97"/>
  <c r="B4785" i="97"/>
  <c r="B4826" i="97"/>
  <c r="B4812" i="97"/>
  <c r="B4798" i="97"/>
  <c r="B4784" i="97"/>
  <c r="B4825" i="97"/>
  <c r="B4811" i="97"/>
  <c r="B4797" i="97"/>
  <c r="B4783" i="97"/>
  <c r="B4824" i="97"/>
  <c r="B4810" i="97"/>
  <c r="B4796" i="97"/>
  <c r="B4782" i="97"/>
  <c r="B4823" i="97"/>
  <c r="B4809" i="97"/>
  <c r="B4795" i="97"/>
  <c r="B4781" i="97"/>
  <c r="B4822" i="97"/>
  <c r="B4808" i="97"/>
  <c r="B4794" i="97"/>
  <c r="B4780" i="97"/>
  <c r="B4821" i="97"/>
  <c r="B4807" i="97"/>
  <c r="B4793" i="97"/>
  <c r="B4779" i="97"/>
  <c r="B4820" i="97"/>
  <c r="B4806" i="97"/>
  <c r="B4792" i="97"/>
  <c r="B4778" i="97"/>
  <c r="B4819" i="97"/>
  <c r="B4805" i="97"/>
  <c r="B4791" i="97"/>
  <c r="B4777" i="97"/>
  <c r="B4818" i="97"/>
  <c r="B4804" i="97"/>
  <c r="B4790" i="97"/>
  <c r="B4776" i="97"/>
  <c r="B4817" i="97"/>
  <c r="B4803" i="97"/>
  <c r="B4789" i="97"/>
  <c r="B4775" i="97"/>
  <c r="B4816" i="97"/>
  <c r="B4802" i="97"/>
  <c r="B4788" i="97"/>
  <c r="B4774" i="97"/>
  <c r="B4815" i="97"/>
  <c r="B4801" i="97"/>
  <c r="B4787" i="97"/>
  <c r="B4773" i="97"/>
  <c r="B4772" i="97"/>
  <c r="B4758" i="97"/>
  <c r="B4744" i="97"/>
  <c r="B4730" i="97"/>
  <c r="B4716" i="97"/>
  <c r="B4771" i="97"/>
  <c r="B4757" i="97"/>
  <c r="B4743" i="97"/>
  <c r="B4729" i="97"/>
  <c r="B4715" i="97"/>
  <c r="B4770" i="97"/>
  <c r="B4756" i="97"/>
  <c r="B4742" i="97"/>
  <c r="B4728" i="97"/>
  <c r="B4714" i="97"/>
  <c r="B4769" i="97"/>
  <c r="B4755" i="97"/>
  <c r="B4741" i="97"/>
  <c r="B4727" i="97"/>
  <c r="B4713" i="97"/>
  <c r="B4768" i="97"/>
  <c r="B4754" i="97"/>
  <c r="B4740" i="97"/>
  <c r="B4726" i="97"/>
  <c r="B4712" i="97"/>
  <c r="B4767" i="97"/>
  <c r="B4753" i="97"/>
  <c r="B4739" i="97"/>
  <c r="B4725" i="97"/>
  <c r="B4711" i="97"/>
  <c r="B4766" i="97"/>
  <c r="B4752" i="97"/>
  <c r="B4738" i="97"/>
  <c r="B4724" i="97"/>
  <c r="B4710" i="97"/>
  <c r="B4765" i="97"/>
  <c r="B4751" i="97"/>
  <c r="B4737" i="97"/>
  <c r="B4723" i="97"/>
  <c r="B4709" i="97"/>
  <c r="B4764" i="97"/>
  <c r="B4750" i="97"/>
  <c r="B4736" i="97"/>
  <c r="B4722" i="97"/>
  <c r="B4708" i="97"/>
  <c r="B4763" i="97"/>
  <c r="B4749" i="97"/>
  <c r="B4735" i="97"/>
  <c r="B4721" i="97"/>
  <c r="B4707" i="97"/>
  <c r="B4762" i="97"/>
  <c r="B4748" i="97"/>
  <c r="B4734" i="97"/>
  <c r="B4720" i="97"/>
  <c r="B4706" i="97"/>
  <c r="B4761" i="97"/>
  <c r="B4747" i="97"/>
  <c r="B4733" i="97"/>
  <c r="B4719" i="97"/>
  <c r="B4705" i="97"/>
  <c r="B4760" i="97"/>
  <c r="B4746" i="97"/>
  <c r="B4732" i="97"/>
  <c r="B4718" i="97"/>
  <c r="B4704" i="97"/>
  <c r="B4759" i="97"/>
  <c r="B4745" i="97"/>
  <c r="B4731" i="97"/>
  <c r="B4717" i="97"/>
  <c r="B4703" i="97"/>
  <c r="B4702" i="97"/>
  <c r="B4687" i="97"/>
  <c r="B4673" i="97"/>
  <c r="B4659" i="97"/>
  <c r="B4645" i="97"/>
  <c r="B4631" i="97"/>
  <c r="B4617" i="97"/>
  <c r="B4701" i="97"/>
  <c r="B4686" i="97"/>
  <c r="B4672" i="97"/>
  <c r="B4658" i="97"/>
  <c r="B4644" i="97"/>
  <c r="B4630" i="97"/>
  <c r="B4616" i="97"/>
  <c r="B4700" i="97"/>
  <c r="B4685" i="97"/>
  <c r="B4671" i="97"/>
  <c r="B4657" i="97"/>
  <c r="B4643" i="97"/>
  <c r="B4629" i="97"/>
  <c r="B4615" i="97"/>
  <c r="B4699" i="97"/>
  <c r="B4684" i="97"/>
  <c r="B4670" i="97"/>
  <c r="B4656" i="97"/>
  <c r="B4642" i="97"/>
  <c r="B4628" i="97"/>
  <c r="B4614" i="97"/>
  <c r="B4698" i="97"/>
  <c r="B4683" i="97"/>
  <c r="B4669" i="97"/>
  <c r="B4655" i="97"/>
  <c r="B4641" i="97"/>
  <c r="B4627" i="97"/>
  <c r="B4613" i="97"/>
  <c r="B4697" i="97"/>
  <c r="B4682" i="97"/>
  <c r="B4668" i="97"/>
  <c r="B4654" i="97"/>
  <c r="B4640" i="97"/>
  <c r="B4626" i="97"/>
  <c r="B4612" i="97"/>
  <c r="B4696" i="97"/>
  <c r="B4681" i="97"/>
  <c r="B4667" i="97"/>
  <c r="B4653" i="97"/>
  <c r="B4639" i="97"/>
  <c r="B4625" i="97"/>
  <c r="B4611" i="97"/>
  <c r="B4694" i="97"/>
  <c r="B4680" i="97"/>
  <c r="B4666" i="97"/>
  <c r="B4652" i="97"/>
  <c r="B4638" i="97"/>
  <c r="B4624" i="97"/>
  <c r="B4610" i="97"/>
  <c r="B4693" i="97"/>
  <c r="B4679" i="97"/>
  <c r="B4665" i="97"/>
  <c r="B4651" i="97"/>
  <c r="B4637" i="97"/>
  <c r="B4623" i="97"/>
  <c r="B4609" i="97"/>
  <c r="B4692" i="97"/>
  <c r="B4678" i="97"/>
  <c r="B4664" i="97"/>
  <c r="B4650" i="97"/>
  <c r="B4636" i="97"/>
  <c r="B4622" i="97"/>
  <c r="B4608" i="97"/>
  <c r="B4691" i="97"/>
  <c r="B4677" i="97"/>
  <c r="B4663" i="97"/>
  <c r="B4649" i="97"/>
  <c r="B4635" i="97"/>
  <c r="B4621" i="97"/>
  <c r="B4607" i="97"/>
  <c r="B4690" i="97"/>
  <c r="B4676" i="97"/>
  <c r="B4662" i="97"/>
  <c r="B4648" i="97"/>
  <c r="B4634" i="97"/>
  <c r="B4620" i="97"/>
  <c r="B4606" i="97"/>
  <c r="B4689" i="97"/>
  <c r="B4675" i="97"/>
  <c r="B4661" i="97"/>
  <c r="B4647" i="97"/>
  <c r="B4633" i="97"/>
  <c r="B4619" i="97"/>
  <c r="B4605" i="97"/>
  <c r="B4688" i="97"/>
  <c r="B4674" i="97"/>
  <c r="B4660" i="97"/>
  <c r="B4646" i="97"/>
  <c r="B4632" i="97"/>
  <c r="B4618" i="97"/>
  <c r="B4604" i="97"/>
  <c r="B4603" i="97"/>
  <c r="B4602" i="97"/>
  <c r="B4601" i="97"/>
  <c r="B4600" i="97"/>
  <c r="B4599" i="97"/>
  <c r="B4598" i="97"/>
  <c r="B4597" i="97"/>
  <c r="B4596" i="97"/>
  <c r="B4595" i="97"/>
  <c r="B4594" i="97"/>
  <c r="B4593" i="97"/>
  <c r="B4592" i="97"/>
  <c r="B4591" i="97"/>
  <c r="B4590" i="97"/>
  <c r="B4589" i="97" l="1"/>
  <c r="B4588" i="97"/>
  <c r="B4587" i="97"/>
  <c r="B4586" i="97"/>
  <c r="B4585" i="97"/>
  <c r="B4584" i="97"/>
  <c r="B4583" i="97"/>
  <c r="B4582" i="97"/>
  <c r="B4581" i="97"/>
  <c r="B4580" i="97"/>
  <c r="B4579" i="97"/>
  <c r="B4578" i="97"/>
  <c r="B4577" i="97"/>
  <c r="B4576" i="97"/>
  <c r="B4575" i="97"/>
  <c r="B4574" i="97"/>
  <c r="B4573" i="97"/>
  <c r="B4572" i="97"/>
  <c r="B4571" i="97"/>
  <c r="B4570" i="97"/>
  <c r="B4569" i="97"/>
  <c r="B4568" i="97"/>
  <c r="B4567" i="97"/>
  <c r="B4566" i="97"/>
  <c r="B4565" i="97"/>
  <c r="B4564" i="97"/>
  <c r="B4563" i="97"/>
  <c r="B4562" i="97"/>
  <c r="B4561" i="97"/>
  <c r="B4560" i="97"/>
  <c r="B4559" i="97"/>
  <c r="B4558" i="97"/>
  <c r="B4557" i="97"/>
  <c r="B4556" i="97"/>
  <c r="B4555" i="97"/>
  <c r="B4554" i="97"/>
  <c r="B4553" i="97"/>
  <c r="B4552" i="97"/>
  <c r="B4551" i="97"/>
  <c r="B4550" i="97"/>
  <c r="B4549" i="97"/>
  <c r="B4548" i="97"/>
  <c r="B4547" i="97"/>
  <c r="B4546" i="97"/>
  <c r="B4545" i="97"/>
  <c r="B4544" i="97"/>
  <c r="B4543" i="97"/>
  <c r="B4542" i="97"/>
  <c r="B4541" i="97"/>
  <c r="B4540" i="97"/>
  <c r="B4539" i="97"/>
  <c r="B4538" i="97"/>
  <c r="B4537" i="97"/>
  <c r="B4536" i="97"/>
  <c r="B4535" i="97"/>
  <c r="B4534" i="97"/>
  <c r="B4533" i="97"/>
  <c r="B4532" i="97"/>
  <c r="B4531" i="97"/>
  <c r="B4530" i="97"/>
  <c r="B4529" i="97"/>
  <c r="B4528" i="97"/>
  <c r="B4527" i="97"/>
  <c r="B4526" i="97"/>
  <c r="B4525" i="97"/>
  <c r="B4524" i="97"/>
  <c r="B4523" i="97"/>
  <c r="B4522" i="97"/>
  <c r="B4521" i="97"/>
  <c r="B4520" i="97"/>
  <c r="B4519" i="97"/>
  <c r="B4518" i="97" l="1"/>
  <c r="B4517" i="97"/>
  <c r="B4516" i="97"/>
  <c r="B4515" i="97"/>
  <c r="B4514" i="97"/>
  <c r="B4513" i="97"/>
  <c r="B4512" i="97"/>
  <c r="B4511" i="97"/>
  <c r="B4510" i="97"/>
  <c r="B4509" i="97"/>
  <c r="B4508" i="97"/>
  <c r="B4507" i="97"/>
  <c r="B4506" i="97"/>
  <c r="B4505" i="97"/>
  <c r="B4504" i="97"/>
  <c r="B4503" i="97"/>
  <c r="B4502" i="97"/>
  <c r="B4501" i="97"/>
  <c r="B4500" i="97"/>
  <c r="B4499" i="97"/>
  <c r="B4498" i="97"/>
  <c r="B4497" i="97"/>
  <c r="B4496" i="97"/>
  <c r="B4495" i="97"/>
  <c r="B4494" i="97"/>
  <c r="B4493" i="97"/>
  <c r="B4492" i="97"/>
  <c r="B4491" i="97"/>
  <c r="B4490" i="97"/>
  <c r="B4489" i="97"/>
  <c r="B4488" i="97"/>
  <c r="B4487" i="97"/>
  <c r="B4486" i="97"/>
  <c r="B4485" i="97"/>
  <c r="B4484" i="97"/>
  <c r="B4483" i="97"/>
  <c r="B4482" i="97"/>
  <c r="B4481" i="97"/>
  <c r="B4480" i="97"/>
  <c r="B4479" i="97"/>
  <c r="B4478" i="97"/>
  <c r="B4477" i="97"/>
  <c r="B4476" i="97"/>
  <c r="B4475" i="97"/>
  <c r="B4474" i="97"/>
  <c r="B4473" i="97"/>
  <c r="B4472" i="97"/>
  <c r="B4471" i="97"/>
  <c r="B4470" i="97"/>
  <c r="B4469" i="97"/>
  <c r="B4468" i="97"/>
  <c r="B4467" i="97"/>
  <c r="B4466" i="97"/>
  <c r="B4465" i="97"/>
  <c r="B4464" i="97"/>
  <c r="B4463" i="97"/>
  <c r="B4462" i="97"/>
  <c r="B4461" i="97"/>
  <c r="B4460" i="97"/>
  <c r="B4459" i="97"/>
  <c r="B4458" i="97"/>
  <c r="B4457" i="97"/>
  <c r="B4456" i="97"/>
  <c r="B4455" i="97"/>
  <c r="B4454" i="97"/>
  <c r="B4453" i="97"/>
  <c r="B4452" i="97"/>
  <c r="B4451" i="97"/>
  <c r="B4450" i="97"/>
  <c r="B4449" i="97"/>
  <c r="B4448" i="97"/>
  <c r="B4447" i="97"/>
  <c r="B4446" i="97"/>
  <c r="B4445" i="97"/>
  <c r="B4444" i="97"/>
  <c r="B4443" i="97"/>
  <c r="B4442" i="97"/>
  <c r="B4441" i="97"/>
  <c r="B4440" i="97"/>
  <c r="B4439" i="97"/>
  <c r="B4438" i="97"/>
  <c r="B4437" i="97"/>
  <c r="B4436" i="97"/>
  <c r="B4435" i="97"/>
  <c r="B4434" i="97"/>
  <c r="B4433" i="97"/>
  <c r="B4432" i="97"/>
  <c r="B4431" i="97"/>
  <c r="B4430" i="97"/>
  <c r="B4429" i="97"/>
  <c r="B4428" i="97"/>
  <c r="B4427" i="97"/>
  <c r="B4426" i="97"/>
  <c r="B4425" i="97"/>
  <c r="B4424" i="97"/>
  <c r="B4423" i="97"/>
  <c r="B4422" i="97"/>
  <c r="B4421" i="97"/>
  <c r="B4420" i="97"/>
  <c r="B4419" i="97"/>
  <c r="B4418" i="97"/>
  <c r="B4417" i="97"/>
  <c r="B4416" i="97"/>
  <c r="B4415" i="97"/>
  <c r="B4414" i="97"/>
  <c r="B4413" i="97"/>
  <c r="B4412" i="97"/>
  <c r="B4411" i="97"/>
  <c r="B4410" i="97"/>
  <c r="B4409" i="97"/>
  <c r="B4408" i="97"/>
  <c r="B4407" i="97"/>
  <c r="B4406" i="97"/>
  <c r="B4405" i="97"/>
  <c r="B4404" i="97"/>
  <c r="B4403" i="97"/>
  <c r="B4402" i="97"/>
  <c r="B4401" i="97"/>
  <c r="B4400" i="97"/>
  <c r="B4399" i="97"/>
  <c r="B4398" i="97"/>
  <c r="B4397" i="97"/>
  <c r="B4396" i="97"/>
  <c r="B4305" i="97"/>
  <c r="B4350" i="97"/>
  <c r="B4349" i="97"/>
  <c r="B4348" i="97"/>
  <c r="B4347" i="97"/>
  <c r="B4346" i="97"/>
  <c r="B4345" i="97"/>
  <c r="B4344" i="97"/>
  <c r="B4343" i="97"/>
  <c r="B4342" i="97"/>
  <c r="B4341" i="97"/>
  <c r="B4340" i="97"/>
  <c r="B4339" i="97"/>
  <c r="B4338" i="97"/>
  <c r="B4337" i="97"/>
  <c r="B4336" i="97"/>
  <c r="B4335" i="97"/>
  <c r="B4334" i="97"/>
  <c r="B4333" i="97"/>
  <c r="B4332" i="97"/>
  <c r="B4331" i="97"/>
  <c r="B4330" i="97"/>
  <c r="B4329" i="97"/>
  <c r="B4328" i="97"/>
  <c r="B4327" i="97"/>
  <c r="B4326" i="97"/>
  <c r="B4325" i="97"/>
  <c r="B4324" i="97"/>
  <c r="B4323" i="97"/>
  <c r="B4322" i="97"/>
  <c r="B4321" i="97"/>
  <c r="B4320" i="97"/>
  <c r="B4319" i="97"/>
  <c r="B4318" i="97"/>
  <c r="B4317" i="97"/>
  <c r="B4316" i="97"/>
  <c r="B4315" i="97"/>
  <c r="B4314" i="97"/>
  <c r="B4313" i="97"/>
  <c r="B4312" i="97"/>
  <c r="B4311" i="97"/>
  <c r="B4310" i="97"/>
  <c r="B4309" i="97"/>
  <c r="B4308" i="97"/>
  <c r="B4307" i="97"/>
  <c r="B4306" i="97"/>
  <c r="B3630" i="97" l="1"/>
  <c r="B3629" i="97"/>
  <c r="B3628" i="97"/>
  <c r="B3627" i="97"/>
  <c r="B3626" i="97"/>
  <c r="B3625" i="97"/>
  <c r="B3624" i="97"/>
  <c r="B3623" i="97"/>
  <c r="B3622" i="97"/>
  <c r="B3621" i="97"/>
  <c r="B3620" i="97"/>
  <c r="B3619" i="97"/>
  <c r="B3618" i="97"/>
  <c r="B3617" i="97"/>
  <c r="B3616" i="97"/>
  <c r="B3615" i="97"/>
  <c r="B3614" i="97"/>
  <c r="B3613" i="97"/>
  <c r="B3612" i="97"/>
  <c r="B3611" i="97"/>
  <c r="B3610" i="97"/>
  <c r="B3609" i="97"/>
  <c r="B3608" i="97"/>
  <c r="B3607" i="97"/>
  <c r="B3606" i="97"/>
  <c r="B3605" i="97"/>
  <c r="B3604" i="97"/>
  <c r="B3603" i="97"/>
  <c r="B3602" i="97"/>
  <c r="B3601" i="97"/>
  <c r="B3600" i="97"/>
  <c r="B3599" i="97"/>
  <c r="B3598" i="97"/>
  <c r="B3597" i="97"/>
  <c r="B3596" i="97"/>
  <c r="B3595" i="97"/>
  <c r="B3594" i="97"/>
  <c r="B3593" i="97"/>
  <c r="B3592" i="97"/>
  <c r="B3591" i="97"/>
  <c r="B3590" i="97"/>
  <c r="B3589" i="97"/>
  <c r="B3588" i="97"/>
  <c r="B3587" i="97"/>
  <c r="B3586" i="97"/>
  <c r="B4395" i="97"/>
  <c r="B4260" i="97"/>
  <c r="B4215" i="97"/>
  <c r="B4170" i="97"/>
  <c r="B4125" i="97"/>
  <c r="B4080" i="97"/>
  <c r="B4035" i="97"/>
  <c r="B3990" i="97"/>
  <c r="B3945" i="97"/>
  <c r="B3900" i="97"/>
  <c r="B3855" i="97"/>
  <c r="B3810" i="97"/>
  <c r="B3765" i="97"/>
  <c r="B3720" i="97"/>
  <c r="B3675" i="97"/>
  <c r="B4394" i="97"/>
  <c r="B4304" i="97"/>
  <c r="B4259" i="97"/>
  <c r="B4214" i="97"/>
  <c r="B4169" i="97"/>
  <c r="B4124" i="97"/>
  <c r="B4079" i="97"/>
  <c r="B4034" i="97"/>
  <c r="B3989" i="97"/>
  <c r="B3944" i="97"/>
  <c r="B3899" i="97"/>
  <c r="B3854" i="97"/>
  <c r="B3809" i="97"/>
  <c r="B3764" i="97"/>
  <c r="B3719" i="97"/>
  <c r="B3674" i="97"/>
  <c r="B4393" i="97"/>
  <c r="B4303" i="97"/>
  <c r="B4258" i="97"/>
  <c r="B4213" i="97"/>
  <c r="B4168" i="97"/>
  <c r="B4123" i="97"/>
  <c r="B4078" i="97"/>
  <c r="B4033" i="97"/>
  <c r="B3988" i="97"/>
  <c r="B3943" i="97"/>
  <c r="B3898" i="97"/>
  <c r="B3853" i="97"/>
  <c r="B3808" i="97"/>
  <c r="B3763" i="97"/>
  <c r="B3718" i="97"/>
  <c r="B3673" i="97"/>
  <c r="B4392" i="97"/>
  <c r="B4302" i="97"/>
  <c r="B4257" i="97"/>
  <c r="B4212" i="97"/>
  <c r="B4167" i="97"/>
  <c r="B4122" i="97"/>
  <c r="B4077" i="97"/>
  <c r="B4032" i="97"/>
  <c r="B3987" i="97"/>
  <c r="B3942" i="97"/>
  <c r="B3897" i="97"/>
  <c r="B3852" i="97"/>
  <c r="B3807" i="97"/>
  <c r="B3762" i="97"/>
  <c r="B3717" i="97"/>
  <c r="B3672" i="97"/>
  <c r="B4391" i="97"/>
  <c r="B4301" i="97"/>
  <c r="B4256" i="97"/>
  <c r="B4211" i="97"/>
  <c r="B4166" i="97"/>
  <c r="B4121" i="97"/>
  <c r="B4076" i="97"/>
  <c r="B4031" i="97"/>
  <c r="B3986" i="97"/>
  <c r="B3941" i="97"/>
  <c r="B3896" i="97"/>
  <c r="B3851" i="97"/>
  <c r="B3806" i="97"/>
  <c r="B3761" i="97"/>
  <c r="B3716" i="97"/>
  <c r="B3671" i="97"/>
  <c r="B4390" i="97"/>
  <c r="B4300" i="97"/>
  <c r="B4255" i="97"/>
  <c r="B4210" i="97"/>
  <c r="B4165" i="97"/>
  <c r="B4120" i="97"/>
  <c r="B4075" i="97"/>
  <c r="B4030" i="97"/>
  <c r="B3985" i="97"/>
  <c r="B3940" i="97"/>
  <c r="B3895" i="97"/>
  <c r="B3850" i="97"/>
  <c r="B3805" i="97"/>
  <c r="B3760" i="97"/>
  <c r="B3715" i="97"/>
  <c r="B3670" i="97"/>
  <c r="B4389" i="97"/>
  <c r="B4299" i="97"/>
  <c r="B4254" i="97"/>
  <c r="B4209" i="97"/>
  <c r="B4164" i="97"/>
  <c r="B4119" i="97"/>
  <c r="B4074" i="97"/>
  <c r="B4029" i="97"/>
  <c r="B3984" i="97"/>
  <c r="B3939" i="97"/>
  <c r="B3894" i="97"/>
  <c r="B3849" i="97"/>
  <c r="B3804" i="97"/>
  <c r="B3759" i="97"/>
  <c r="B3714" i="97"/>
  <c r="B3669" i="97"/>
  <c r="B4388" i="97"/>
  <c r="B4298" i="97"/>
  <c r="B4253" i="97"/>
  <c r="B4208" i="97"/>
  <c r="B4163" i="97"/>
  <c r="B4118" i="97"/>
  <c r="B4073" i="97"/>
  <c r="B4028" i="97"/>
  <c r="B3983" i="97"/>
  <c r="B3938" i="97"/>
  <c r="B3893" i="97"/>
  <c r="B3848" i="97"/>
  <c r="B3803" i="97"/>
  <c r="B3758" i="97"/>
  <c r="B3713" i="97"/>
  <c r="B3668" i="97"/>
  <c r="B4387" i="97"/>
  <c r="B4297" i="97"/>
  <c r="B4252" i="97"/>
  <c r="B4207" i="97"/>
  <c r="B4162" i="97"/>
  <c r="B4117" i="97"/>
  <c r="B4072" i="97"/>
  <c r="B4027" i="97"/>
  <c r="B3982" i="97"/>
  <c r="B3937" i="97"/>
  <c r="B3892" i="97"/>
  <c r="B3847" i="97"/>
  <c r="B3802" i="97"/>
  <c r="B3757" i="97"/>
  <c r="B3712" i="97"/>
  <c r="B3667" i="97"/>
  <c r="B4386" i="97"/>
  <c r="B4296" i="97"/>
  <c r="B4251" i="97"/>
  <c r="B4206" i="97"/>
  <c r="B4161" i="97"/>
  <c r="B4116" i="97"/>
  <c r="B4071" i="97"/>
  <c r="B4026" i="97"/>
  <c r="B3981" i="97"/>
  <c r="B3936" i="97"/>
  <c r="B3891" i="97"/>
  <c r="B3846" i="97"/>
  <c r="B3801" i="97"/>
  <c r="B3756" i="97"/>
  <c r="B3711" i="97"/>
  <c r="B3666" i="97"/>
  <c r="B4385" i="97"/>
  <c r="B4295" i="97"/>
  <c r="B4250" i="97"/>
  <c r="B4205" i="97"/>
  <c r="B4160" i="97"/>
  <c r="B4115" i="97"/>
  <c r="B4070" i="97"/>
  <c r="B4025" i="97"/>
  <c r="B3980" i="97"/>
  <c r="B3935" i="97"/>
  <c r="B3890" i="97"/>
  <c r="B3845" i="97"/>
  <c r="B3800" i="97"/>
  <c r="B3755" i="97"/>
  <c r="B3710" i="97"/>
  <c r="B3665" i="97"/>
  <c r="B4384" i="97"/>
  <c r="B4294" i="97"/>
  <c r="B4249" i="97"/>
  <c r="B4204" i="97"/>
  <c r="B4159" i="97"/>
  <c r="B4114" i="97"/>
  <c r="B4069" i="97"/>
  <c r="B4024" i="97"/>
  <c r="B3979" i="97"/>
  <c r="B3934" i="97"/>
  <c r="B3889" i="97"/>
  <c r="B3844" i="97"/>
  <c r="B3799" i="97"/>
  <c r="B3754" i="97"/>
  <c r="B3709" i="97"/>
  <c r="B3664" i="97"/>
  <c r="B4383" i="97"/>
  <c r="B4293" i="97"/>
  <c r="B4248" i="97"/>
  <c r="B4203" i="97"/>
  <c r="B4158" i="97"/>
  <c r="B4113" i="97"/>
  <c r="B4068" i="97"/>
  <c r="B4023" i="97"/>
  <c r="B3978" i="97"/>
  <c r="B3933" i="97"/>
  <c r="B3888" i="97"/>
  <c r="B3843" i="97"/>
  <c r="B3798" i="97"/>
  <c r="B3753" i="97"/>
  <c r="B3708" i="97"/>
  <c r="B3663" i="97"/>
  <c r="B4382" i="97"/>
  <c r="B4292" i="97"/>
  <c r="B4247" i="97"/>
  <c r="B4202" i="97"/>
  <c r="B4157" i="97"/>
  <c r="B4112" i="97"/>
  <c r="B4067" i="97"/>
  <c r="B4022" i="97"/>
  <c r="B3977" i="97"/>
  <c r="B3932" i="97"/>
  <c r="B3887" i="97"/>
  <c r="B3842" i="97"/>
  <c r="B3797" i="97"/>
  <c r="B3752" i="97"/>
  <c r="B3707" i="97"/>
  <c r="B3662" i="97"/>
  <c r="B4381" i="97"/>
  <c r="B4291" i="97"/>
  <c r="B4246" i="97"/>
  <c r="B4201" i="97"/>
  <c r="B4156" i="97"/>
  <c r="B4111" i="97"/>
  <c r="B4066" i="97"/>
  <c r="B4021" i="97"/>
  <c r="B3976" i="97"/>
  <c r="B3931" i="97"/>
  <c r="B3886" i="97"/>
  <c r="B3841" i="97"/>
  <c r="B3796" i="97"/>
  <c r="B3751" i="97"/>
  <c r="B3706" i="97"/>
  <c r="B3661" i="97"/>
  <c r="B4380" i="97"/>
  <c r="B4290" i="97"/>
  <c r="B4245" i="97"/>
  <c r="B4200" i="97"/>
  <c r="B4155" i="97"/>
  <c r="B4110" i="97"/>
  <c r="B4065" i="97"/>
  <c r="B4020" i="97"/>
  <c r="B3975" i="97"/>
  <c r="B3930" i="97"/>
  <c r="B3885" i="97"/>
  <c r="B3840" i="97"/>
  <c r="B3795" i="97"/>
  <c r="B3750" i="97"/>
  <c r="B3705" i="97"/>
  <c r="B3660" i="97"/>
  <c r="B4379" i="97"/>
  <c r="B4289" i="97"/>
  <c r="B4244" i="97"/>
  <c r="B4199" i="97"/>
  <c r="B4154" i="97"/>
  <c r="B4109" i="97"/>
  <c r="B4064" i="97"/>
  <c r="B4019" i="97"/>
  <c r="B3974" i="97"/>
  <c r="B3929" i="97"/>
  <c r="B3884" i="97"/>
  <c r="B3839" i="97"/>
  <c r="B3794" i="97"/>
  <c r="B3749" i="97"/>
  <c r="B3704" i="97"/>
  <c r="B3659" i="97"/>
  <c r="B4378" i="97"/>
  <c r="B4288" i="97"/>
  <c r="B4243" i="97"/>
  <c r="B4198" i="97"/>
  <c r="B4153" i="97"/>
  <c r="B4108" i="97"/>
  <c r="B4063" i="97"/>
  <c r="B4018" i="97"/>
  <c r="B3973" i="97"/>
  <c r="B3928" i="97"/>
  <c r="B3883" i="97"/>
  <c r="B3838" i="97"/>
  <c r="B3793" i="97"/>
  <c r="B3748" i="97"/>
  <c r="B3703" i="97"/>
  <c r="B3658" i="97"/>
  <c r="B4377" i="97"/>
  <c r="B4287" i="97"/>
  <c r="B4242" i="97"/>
  <c r="B4197" i="97"/>
  <c r="B4152" i="97"/>
  <c r="B4107" i="97"/>
  <c r="B4062" i="97"/>
  <c r="B4017" i="97"/>
  <c r="B3972" i="97"/>
  <c r="B3927" i="97"/>
  <c r="B3882" i="97"/>
  <c r="B3837" i="97"/>
  <c r="B3792" i="97"/>
  <c r="B3747" i="97"/>
  <c r="B3702" i="97"/>
  <c r="B3657" i="97"/>
  <c r="B4376" i="97"/>
  <c r="B4286" i="97"/>
  <c r="B4241" i="97"/>
  <c r="B4196" i="97"/>
  <c r="B4151" i="97"/>
  <c r="B4106" i="97"/>
  <c r="B4061" i="97"/>
  <c r="B4016" i="97"/>
  <c r="B3971" i="97"/>
  <c r="B3926" i="97"/>
  <c r="B3881" i="97"/>
  <c r="B3836" i="97"/>
  <c r="B3791" i="97"/>
  <c r="B3746" i="97"/>
  <c r="B3701" i="97"/>
  <c r="B3656" i="97"/>
  <c r="B4375" i="97"/>
  <c r="B4285" i="97"/>
  <c r="B4240" i="97"/>
  <c r="B4195" i="97"/>
  <c r="B4150" i="97"/>
  <c r="B4105" i="97"/>
  <c r="B4060" i="97"/>
  <c r="B4015" i="97"/>
  <c r="B3970" i="97"/>
  <c r="B3925" i="97"/>
  <c r="B3880" i="97"/>
  <c r="B3835" i="97"/>
  <c r="B3790" i="97"/>
  <c r="B3745" i="97"/>
  <c r="B3700" i="97"/>
  <c r="B3655" i="97"/>
  <c r="B4374" i="97"/>
  <c r="B4284" i="97"/>
  <c r="B4239" i="97"/>
  <c r="B4194" i="97"/>
  <c r="B4149" i="97"/>
  <c r="B4104" i="97"/>
  <c r="B4059" i="97"/>
  <c r="B4014" i="97"/>
  <c r="B3969" i="97"/>
  <c r="B3924" i="97"/>
  <c r="B3879" i="97"/>
  <c r="B3834" i="97"/>
  <c r="B3789" i="97"/>
  <c r="B3744" i="97"/>
  <c r="B3699" i="97"/>
  <c r="B3654" i="97"/>
  <c r="B4373" i="97"/>
  <c r="B4283" i="97"/>
  <c r="B4238" i="97"/>
  <c r="B4193" i="97"/>
  <c r="B4148" i="97"/>
  <c r="B4103" i="97"/>
  <c r="B4058" i="97"/>
  <c r="B4013" i="97"/>
  <c r="B3968" i="97"/>
  <c r="B3923" i="97"/>
  <c r="B3878" i="97"/>
  <c r="B3833" i="97"/>
  <c r="B3788" i="97"/>
  <c r="B3743" i="97"/>
  <c r="B3698" i="97"/>
  <c r="B3653" i="97"/>
  <c r="B4372" i="97"/>
  <c r="B4282" i="97"/>
  <c r="B4237" i="97"/>
  <c r="B4192" i="97"/>
  <c r="B4147" i="97"/>
  <c r="B4102" i="97"/>
  <c r="B4057" i="97"/>
  <c r="B4012" i="97"/>
  <c r="B3967" i="97"/>
  <c r="B3922" i="97"/>
  <c r="B3877" i="97"/>
  <c r="B3832" i="97"/>
  <c r="B3787" i="97"/>
  <c r="B3742" i="97"/>
  <c r="B3697" i="97"/>
  <c r="B3652" i="97"/>
  <c r="B4371" i="97"/>
  <c r="B4281" i="97"/>
  <c r="B4236" i="97"/>
  <c r="B4191" i="97"/>
  <c r="B4146" i="97"/>
  <c r="B4101" i="97"/>
  <c r="B4056" i="97"/>
  <c r="B4011" i="97"/>
  <c r="B3966" i="97"/>
  <c r="B3921" i="97"/>
  <c r="B3876" i="97"/>
  <c r="B3831" i="97"/>
  <c r="B3786" i="97"/>
  <c r="B3741" i="97"/>
  <c r="B3696" i="97"/>
  <c r="B3651" i="97"/>
  <c r="B4370" i="97"/>
  <c r="B4280" i="97"/>
  <c r="B4235" i="97"/>
  <c r="B4190" i="97"/>
  <c r="B4145" i="97"/>
  <c r="B4100" i="97"/>
  <c r="B4055" i="97"/>
  <c r="B4010" i="97"/>
  <c r="B3965" i="97"/>
  <c r="B3920" i="97"/>
  <c r="B3875" i="97"/>
  <c r="B3830" i="97"/>
  <c r="B3785" i="97"/>
  <c r="B3740" i="97"/>
  <c r="B3695" i="97"/>
  <c r="B3650" i="97"/>
  <c r="B4369" i="97"/>
  <c r="B4279" i="97"/>
  <c r="B4234" i="97"/>
  <c r="B4189" i="97"/>
  <c r="B4144" i="97"/>
  <c r="B4099" i="97"/>
  <c r="B4054" i="97"/>
  <c r="B4009" i="97"/>
  <c r="B3964" i="97"/>
  <c r="B3919" i="97"/>
  <c r="B3874" i="97"/>
  <c r="B3829" i="97"/>
  <c r="B3784" i="97"/>
  <c r="B3739" i="97"/>
  <c r="B3694" i="97"/>
  <c r="B3649" i="97"/>
  <c r="B4368" i="97"/>
  <c r="B4278" i="97"/>
  <c r="B4233" i="97"/>
  <c r="B4188" i="97"/>
  <c r="B4143" i="97"/>
  <c r="B4098" i="97"/>
  <c r="B4053" i="97"/>
  <c r="B4008" i="97"/>
  <c r="B3963" i="97"/>
  <c r="B3918" i="97"/>
  <c r="B3873" i="97"/>
  <c r="B3828" i="97"/>
  <c r="B3783" i="97"/>
  <c r="B3738" i="97"/>
  <c r="B3693" i="97"/>
  <c r="B3648" i="97"/>
  <c r="B4367" i="97"/>
  <c r="B4277" i="97"/>
  <c r="B4232" i="97"/>
  <c r="B4187" i="97"/>
  <c r="B4142" i="97"/>
  <c r="B4097" i="97"/>
  <c r="B4052" i="97"/>
  <c r="B4007" i="97"/>
  <c r="B3962" i="97"/>
  <c r="B3917" i="97"/>
  <c r="B3872" i="97"/>
  <c r="B3827" i="97"/>
  <c r="B3782" i="97"/>
  <c r="B3737" i="97"/>
  <c r="B3692" i="97"/>
  <c r="B3647" i="97"/>
  <c r="B4366" i="97"/>
  <c r="B4276" i="97"/>
  <c r="B4231" i="97"/>
  <c r="B4186" i="97"/>
  <c r="B4141" i="97"/>
  <c r="B4096" i="97"/>
  <c r="B4051" i="97"/>
  <c r="B4006" i="97"/>
  <c r="B3961" i="97"/>
  <c r="B3916" i="97"/>
  <c r="B3871" i="97"/>
  <c r="B3826" i="97"/>
  <c r="B3781" i="97"/>
  <c r="B3736" i="97"/>
  <c r="B3691" i="97"/>
  <c r="B3646" i="97"/>
  <c r="B4365" i="97"/>
  <c r="B4275" i="97"/>
  <c r="B4230" i="97"/>
  <c r="B4185" i="97"/>
  <c r="B4140" i="97"/>
  <c r="B4095" i="97"/>
  <c r="B4050" i="97"/>
  <c r="B4005" i="97"/>
  <c r="B3960" i="97"/>
  <c r="B3915" i="97"/>
  <c r="B3870" i="97"/>
  <c r="B3825" i="97"/>
  <c r="B3780" i="97"/>
  <c r="B3735" i="97"/>
  <c r="B3690" i="97"/>
  <c r="B3645" i="97"/>
  <c r="B4364" i="97"/>
  <c r="B4274" i="97"/>
  <c r="B4229" i="97"/>
  <c r="B4184" i="97"/>
  <c r="B4139" i="97"/>
  <c r="B4094" i="97"/>
  <c r="B4049" i="97"/>
  <c r="B4004" i="97"/>
  <c r="B3959" i="97"/>
  <c r="B3914" i="97"/>
  <c r="B3869" i="97"/>
  <c r="B3824" i="97"/>
  <c r="B3779" i="97"/>
  <c r="B3734" i="97"/>
  <c r="B3689" i="97"/>
  <c r="B3644" i="97"/>
  <c r="B4363" i="97"/>
  <c r="B4273" i="97"/>
  <c r="B4228" i="97"/>
  <c r="B4183" i="97"/>
  <c r="B4138" i="97"/>
  <c r="B4093" i="97"/>
  <c r="B4048" i="97"/>
  <c r="B4003" i="97"/>
  <c r="B3958" i="97"/>
  <c r="B3913" i="97"/>
  <c r="B3868" i="97"/>
  <c r="B3823" i="97"/>
  <c r="B3778" i="97"/>
  <c r="B3733" i="97"/>
  <c r="B3688" i="97"/>
  <c r="B3643" i="97"/>
  <c r="B4362" i="97"/>
  <c r="B4272" i="97"/>
  <c r="B4227" i="97"/>
  <c r="B4182" i="97"/>
  <c r="B4137" i="97"/>
  <c r="B4092" i="97"/>
  <c r="B4047" i="97"/>
  <c r="B4002" i="97"/>
  <c r="B3957" i="97"/>
  <c r="B3912" i="97"/>
  <c r="B3867" i="97"/>
  <c r="B3822" i="97"/>
  <c r="B3777" i="97"/>
  <c r="B3732" i="97"/>
  <c r="B3687" i="97"/>
  <c r="B3642" i="97"/>
  <c r="B4361" i="97"/>
  <c r="B4271" i="97"/>
  <c r="B4226" i="97"/>
  <c r="B4181" i="97"/>
  <c r="B4136" i="97"/>
  <c r="B4091" i="97"/>
  <c r="B4046" i="97"/>
  <c r="B4001" i="97"/>
  <c r="B3956" i="97"/>
  <c r="B3911" i="97"/>
  <c r="B3866" i="97"/>
  <c r="B3821" i="97"/>
  <c r="B3776" i="97"/>
  <c r="B3731" i="97"/>
  <c r="B3686" i="97"/>
  <c r="B3641" i="97"/>
  <c r="B4360" i="97"/>
  <c r="B4270" i="97"/>
  <c r="B4225" i="97"/>
  <c r="B4180" i="97"/>
  <c r="B4135" i="97"/>
  <c r="B4090" i="97"/>
  <c r="B4045" i="97"/>
  <c r="B4000" i="97"/>
  <c r="B3955" i="97"/>
  <c r="B3910" i="97"/>
  <c r="B3865" i="97"/>
  <c r="B3820" i="97"/>
  <c r="B3775" i="97"/>
  <c r="B3730" i="97"/>
  <c r="B3685" i="97"/>
  <c r="B3640" i="97"/>
  <c r="B4359" i="97"/>
  <c r="B4269" i="97"/>
  <c r="B4224" i="97"/>
  <c r="B4179" i="97"/>
  <c r="B4134" i="97"/>
  <c r="B4089" i="97"/>
  <c r="B4044" i="97"/>
  <c r="B3999" i="97"/>
  <c r="B3954" i="97"/>
  <c r="B3909" i="97"/>
  <c r="B3864" i="97"/>
  <c r="B3819" i="97"/>
  <c r="B3774" i="97"/>
  <c r="B3729" i="97"/>
  <c r="B3684" i="97"/>
  <c r="B3639" i="97"/>
  <c r="B4358" i="97"/>
  <c r="B4268" i="97"/>
  <c r="B4223" i="97"/>
  <c r="B4178" i="97"/>
  <c r="B4133" i="97"/>
  <c r="B4088" i="97"/>
  <c r="B4043" i="97"/>
  <c r="B3998" i="97"/>
  <c r="B3953" i="97"/>
  <c r="B3908" i="97"/>
  <c r="B3863" i="97"/>
  <c r="B3818" i="97"/>
  <c r="B3773" i="97"/>
  <c r="B3728" i="97"/>
  <c r="B3683" i="97"/>
  <c r="B3638" i="97"/>
  <c r="B4357" i="97"/>
  <c r="B4267" i="97"/>
  <c r="B4222" i="97"/>
  <c r="B4177" i="97"/>
  <c r="B4132" i="97"/>
  <c r="B4087" i="97"/>
  <c r="B4042" i="97"/>
  <c r="B3997" i="97"/>
  <c r="B3952" i="97"/>
  <c r="B3907" i="97"/>
  <c r="B3862" i="97"/>
  <c r="B3817" i="97"/>
  <c r="B3772" i="97"/>
  <c r="B3727" i="97"/>
  <c r="B3682" i="97"/>
  <c r="B3637" i="97"/>
  <c r="B4356" i="97"/>
  <c r="B4266" i="97"/>
  <c r="B4221" i="97"/>
  <c r="B4176" i="97"/>
  <c r="B4131" i="97"/>
  <c r="B4086" i="97"/>
  <c r="B4041" i="97"/>
  <c r="B3996" i="97"/>
  <c r="B3951" i="97"/>
  <c r="B3906" i="97"/>
  <c r="B3861" i="97"/>
  <c r="B3816" i="97"/>
  <c r="B3771" i="97"/>
  <c r="B3726" i="97"/>
  <c r="B3681" i="97"/>
  <c r="B3636" i="97"/>
  <c r="B4355" i="97"/>
  <c r="B4265" i="97"/>
  <c r="B4220" i="97"/>
  <c r="B4175" i="97"/>
  <c r="B4130" i="97"/>
  <c r="B4085" i="97"/>
  <c r="B4040" i="97"/>
  <c r="B3995" i="97"/>
  <c r="B3950" i="97"/>
  <c r="B3905" i="97"/>
  <c r="B3860" i="97"/>
  <c r="B3815" i="97"/>
  <c r="B3770" i="97"/>
  <c r="B3725" i="97"/>
  <c r="B3680" i="97"/>
  <c r="B3635" i="97"/>
  <c r="B4354" i="97"/>
  <c r="B4264" i="97"/>
  <c r="B4219" i="97"/>
  <c r="B4174" i="97"/>
  <c r="B4129" i="97"/>
  <c r="B4084" i="97"/>
  <c r="B4039" i="97"/>
  <c r="B3994" i="97"/>
  <c r="B3949" i="97"/>
  <c r="B3904" i="97"/>
  <c r="B3859" i="97"/>
  <c r="B3814" i="97"/>
  <c r="B3769" i="97"/>
  <c r="B3724" i="97"/>
  <c r="B3679" i="97"/>
  <c r="B3634" i="97"/>
  <c r="B4353" i="97"/>
  <c r="B4263" i="97"/>
  <c r="B4218" i="97"/>
  <c r="B4173" i="97"/>
  <c r="B4128" i="97"/>
  <c r="B4083" i="97"/>
  <c r="B4038" i="97"/>
  <c r="B3993" i="97"/>
  <c r="B3948" i="97"/>
  <c r="B3903" i="97"/>
  <c r="B3858" i="97"/>
  <c r="B3813" i="97"/>
  <c r="B3768" i="97"/>
  <c r="B3723" i="97"/>
  <c r="B3678" i="97"/>
  <c r="B3633" i="97"/>
  <c r="B4352" i="97"/>
  <c r="B4262" i="97"/>
  <c r="B4217" i="97"/>
  <c r="B4172" i="97"/>
  <c r="B4127" i="97"/>
  <c r="B4082" i="97"/>
  <c r="B4037" i="97"/>
  <c r="B3992" i="97"/>
  <c r="B3947" i="97"/>
  <c r="B3902" i="97"/>
  <c r="B3857" i="97"/>
  <c r="B3812" i="97"/>
  <c r="B3767" i="97"/>
  <c r="B3722" i="97"/>
  <c r="B3677" i="97"/>
  <c r="B3632" i="97"/>
  <c r="B4351" i="97"/>
  <c r="B4261" i="97"/>
  <c r="B4216" i="97"/>
  <c r="B4171" i="97"/>
  <c r="B4126" i="97"/>
  <c r="B4081" i="97"/>
  <c r="B4036" i="97"/>
  <c r="B3991" i="97"/>
  <c r="B3946" i="97"/>
  <c r="B3901" i="97"/>
  <c r="B3856" i="97"/>
  <c r="B3811" i="97"/>
  <c r="B3766" i="97"/>
  <c r="B3721" i="97"/>
  <c r="B3676" i="97"/>
  <c r="B3631" i="97"/>
  <c r="X36" i="66"/>
  <c r="G4379" i="97" s="1"/>
  <c r="T23" i="65"/>
  <c r="G3563" i="97" s="1"/>
  <c r="B3585" i="97"/>
  <c r="B3547" i="97"/>
  <c r="B3509" i="97"/>
  <c r="B3471" i="97"/>
  <c r="B3433" i="97"/>
  <c r="B3395" i="97"/>
  <c r="B3357" i="97"/>
  <c r="B3319" i="97"/>
  <c r="B3281" i="97"/>
  <c r="B3243" i="97"/>
  <c r="B3205" i="97"/>
  <c r="B3167" i="97"/>
  <c r="B3129" i="97"/>
  <c r="B3584" i="97"/>
  <c r="B3546" i="97"/>
  <c r="B3508" i="97"/>
  <c r="B3470" i="97"/>
  <c r="B3432" i="97"/>
  <c r="B3394" i="97"/>
  <c r="B3356" i="97"/>
  <c r="B3318" i="97"/>
  <c r="B3280" i="97"/>
  <c r="B3242" i="97"/>
  <c r="B3204" i="97"/>
  <c r="B3166" i="97"/>
  <c r="B3128" i="97"/>
  <c r="B3583" i="97"/>
  <c r="B3545" i="97"/>
  <c r="B3507" i="97"/>
  <c r="B3469" i="97"/>
  <c r="B3431" i="97"/>
  <c r="B3393" i="97"/>
  <c r="B3355" i="97"/>
  <c r="B3317" i="97"/>
  <c r="B3279" i="97"/>
  <c r="B3241" i="97"/>
  <c r="B3203" i="97"/>
  <c r="B3165" i="97"/>
  <c r="B3127" i="97"/>
  <c r="B3582" i="97"/>
  <c r="B3544" i="97"/>
  <c r="B3506" i="97"/>
  <c r="B3468" i="97"/>
  <c r="B3430" i="97"/>
  <c r="B3392" i="97"/>
  <c r="B3354" i="97"/>
  <c r="B3316" i="97"/>
  <c r="B3278" i="97"/>
  <c r="B3240" i="97"/>
  <c r="B3202" i="97"/>
  <c r="B3164" i="97"/>
  <c r="B3126" i="97"/>
  <c r="B3581" i="97"/>
  <c r="B3543" i="97"/>
  <c r="B3505" i="97"/>
  <c r="B3467" i="97"/>
  <c r="B3429" i="97"/>
  <c r="B3391" i="97"/>
  <c r="B3353" i="97"/>
  <c r="B3315" i="97"/>
  <c r="B3277" i="97"/>
  <c r="B3239" i="97"/>
  <c r="B3201" i="97"/>
  <c r="B3163" i="97"/>
  <c r="B3125" i="97"/>
  <c r="B3580" i="97"/>
  <c r="B3542" i="97"/>
  <c r="B3504" i="97"/>
  <c r="B3466" i="97"/>
  <c r="B3428" i="97"/>
  <c r="B3390" i="97"/>
  <c r="B3352" i="97"/>
  <c r="B3314" i="97"/>
  <c r="B3276" i="97"/>
  <c r="B3238" i="97"/>
  <c r="B3200" i="97"/>
  <c r="B3162" i="97"/>
  <c r="B3124" i="97"/>
  <c r="B3579" i="97"/>
  <c r="B3541" i="97"/>
  <c r="B3503" i="97"/>
  <c r="B3465" i="97"/>
  <c r="B3427" i="97"/>
  <c r="B3389" i="97"/>
  <c r="B3351" i="97"/>
  <c r="B3313" i="97"/>
  <c r="B3275" i="97"/>
  <c r="B3237" i="97"/>
  <c r="B3199" i="97"/>
  <c r="B3161" i="97"/>
  <c r="B3123" i="97"/>
  <c r="B3578" i="97"/>
  <c r="B3540" i="97"/>
  <c r="B3502" i="97"/>
  <c r="B3464" i="97"/>
  <c r="B3426" i="97"/>
  <c r="B3388" i="97"/>
  <c r="B3350" i="97"/>
  <c r="B3312" i="97"/>
  <c r="B3274" i="97"/>
  <c r="B3236" i="97"/>
  <c r="B3198" i="97"/>
  <c r="B3160" i="97"/>
  <c r="B3122" i="97"/>
  <c r="B3577" i="97"/>
  <c r="B3539" i="97"/>
  <c r="B3501" i="97"/>
  <c r="B3463" i="97"/>
  <c r="B3425" i="97"/>
  <c r="B3387" i="97"/>
  <c r="B3349" i="97"/>
  <c r="B3311" i="97"/>
  <c r="B3273" i="97"/>
  <c r="B3235" i="97"/>
  <c r="B3197" i="97"/>
  <c r="B3159" i="97"/>
  <c r="B3121" i="97"/>
  <c r="B3576" i="97"/>
  <c r="B3538" i="97"/>
  <c r="B3500" i="97"/>
  <c r="B3462" i="97"/>
  <c r="B3424" i="97"/>
  <c r="B3386" i="97"/>
  <c r="B3348" i="97"/>
  <c r="B3310" i="97"/>
  <c r="B3272" i="97"/>
  <c r="B3234" i="97"/>
  <c r="B3196" i="97"/>
  <c r="B3158" i="97"/>
  <c r="B3120" i="97"/>
  <c r="B3575" i="97"/>
  <c r="B3537" i="97"/>
  <c r="B3499" i="97"/>
  <c r="B3461" i="97"/>
  <c r="B3423" i="97"/>
  <c r="B3385" i="97"/>
  <c r="B3347" i="97"/>
  <c r="B3309" i="97"/>
  <c r="B3271" i="97"/>
  <c r="B3233" i="97"/>
  <c r="B3195" i="97"/>
  <c r="B3157" i="97"/>
  <c r="B3119" i="97"/>
  <c r="B3574" i="97"/>
  <c r="B3536" i="97"/>
  <c r="B3498" i="97"/>
  <c r="B3460" i="97"/>
  <c r="B3422" i="97"/>
  <c r="B3384" i="97"/>
  <c r="B3346" i="97"/>
  <c r="B3308" i="97"/>
  <c r="B3270" i="97"/>
  <c r="B3232" i="97"/>
  <c r="B3194" i="97"/>
  <c r="B3156" i="97"/>
  <c r="B3118" i="97"/>
  <c r="B3573" i="97"/>
  <c r="B3535" i="97"/>
  <c r="B3497" i="97"/>
  <c r="B3459" i="97"/>
  <c r="B3421" i="97"/>
  <c r="B3383" i="97"/>
  <c r="B3345" i="97"/>
  <c r="B3307" i="97"/>
  <c r="B3269" i="97"/>
  <c r="B3231" i="97"/>
  <c r="B3193" i="97"/>
  <c r="B3155" i="97"/>
  <c r="B3117" i="97"/>
  <c r="B3572" i="97"/>
  <c r="B3534" i="97"/>
  <c r="B3496" i="97"/>
  <c r="B3458" i="97"/>
  <c r="B3420" i="97"/>
  <c r="B3382" i="97"/>
  <c r="B3344" i="97"/>
  <c r="B3306" i="97"/>
  <c r="B3268" i="97"/>
  <c r="B3230" i="97"/>
  <c r="B3192" i="97"/>
  <c r="B3154" i="97"/>
  <c r="B3116" i="97"/>
  <c r="B3571" i="97"/>
  <c r="B3533" i="97"/>
  <c r="B3495" i="97"/>
  <c r="B3457" i="97"/>
  <c r="B3419" i="97"/>
  <c r="B3381" i="97"/>
  <c r="B3343" i="97"/>
  <c r="B3305" i="97"/>
  <c r="B3267" i="97"/>
  <c r="B3229" i="97"/>
  <c r="B3191" i="97"/>
  <c r="B3153" i="97"/>
  <c r="B3115" i="97"/>
  <c r="B3570" i="97"/>
  <c r="B3532" i="97"/>
  <c r="B3494" i="97"/>
  <c r="B3456" i="97"/>
  <c r="B3418" i="97"/>
  <c r="B3380" i="97"/>
  <c r="B3342" i="97"/>
  <c r="B3304" i="97"/>
  <c r="B3266" i="97"/>
  <c r="B3228" i="97"/>
  <c r="B3190" i="97"/>
  <c r="B3152" i="97"/>
  <c r="B3114" i="97"/>
  <c r="B3569" i="97"/>
  <c r="B3531" i="97"/>
  <c r="B3493" i="97"/>
  <c r="B3455" i="97"/>
  <c r="B3417" i="97"/>
  <c r="B3379" i="97"/>
  <c r="B3341" i="97"/>
  <c r="B3303" i="97"/>
  <c r="B3265" i="97"/>
  <c r="B3227" i="97"/>
  <c r="B3189" i="97"/>
  <c r="B3151" i="97"/>
  <c r="B3113" i="97"/>
  <c r="B3568" i="97"/>
  <c r="B3530" i="97"/>
  <c r="B3492" i="97"/>
  <c r="B3454" i="97"/>
  <c r="B3416" i="97"/>
  <c r="B3378" i="97"/>
  <c r="B3340" i="97"/>
  <c r="B3302" i="97"/>
  <c r="B3264" i="97"/>
  <c r="B3226" i="97"/>
  <c r="B3188" i="97"/>
  <c r="B3150" i="97"/>
  <c r="B3112" i="97"/>
  <c r="B3567" i="97"/>
  <c r="B3529" i="97"/>
  <c r="B3491" i="97"/>
  <c r="B3453" i="97"/>
  <c r="B3415" i="97"/>
  <c r="B3377" i="97"/>
  <c r="B3339" i="97"/>
  <c r="B3301" i="97"/>
  <c r="B3263" i="97"/>
  <c r="B3225" i="97"/>
  <c r="B3187" i="97"/>
  <c r="B3149" i="97"/>
  <c r="B3111" i="97"/>
  <c r="B3566" i="97"/>
  <c r="B3528" i="97"/>
  <c r="B3490" i="97"/>
  <c r="B3452" i="97"/>
  <c r="B3414" i="97"/>
  <c r="B3376" i="97"/>
  <c r="B3338" i="97"/>
  <c r="B3300" i="97"/>
  <c r="B3262" i="97"/>
  <c r="B3224" i="97"/>
  <c r="B3186" i="97"/>
  <c r="B3148" i="97"/>
  <c r="B3110" i="97"/>
  <c r="B3565" i="97"/>
  <c r="B3527" i="97"/>
  <c r="B3489" i="97"/>
  <c r="B3451" i="97"/>
  <c r="B3413" i="97"/>
  <c r="B3375" i="97"/>
  <c r="B3337" i="97"/>
  <c r="B3299" i="97"/>
  <c r="B3261" i="97"/>
  <c r="B3223" i="97"/>
  <c r="B3185" i="97"/>
  <c r="B3147" i="97"/>
  <c r="B3109" i="97"/>
  <c r="B3564" i="97"/>
  <c r="B3526" i="97"/>
  <c r="B3488" i="97"/>
  <c r="B3450" i="97"/>
  <c r="B3412" i="97"/>
  <c r="B3374" i="97"/>
  <c r="B3336" i="97"/>
  <c r="B3298" i="97"/>
  <c r="B3260" i="97"/>
  <c r="B3222" i="97"/>
  <c r="B3184" i="97"/>
  <c r="B3146" i="97"/>
  <c r="B3108" i="97"/>
  <c r="B3563" i="97"/>
  <c r="B3525" i="97"/>
  <c r="B3487" i="97"/>
  <c r="B3449" i="97"/>
  <c r="B3411" i="97"/>
  <c r="B3373" i="97"/>
  <c r="B3335" i="97"/>
  <c r="B3297" i="97"/>
  <c r="B3259" i="97"/>
  <c r="B3221" i="97"/>
  <c r="B3183" i="97"/>
  <c r="B3145" i="97"/>
  <c r="B3107" i="97"/>
  <c r="B3562" i="97"/>
  <c r="B3524" i="97"/>
  <c r="B3486" i="97"/>
  <c r="B3448" i="97"/>
  <c r="B3410" i="97"/>
  <c r="B3372" i="97"/>
  <c r="B3334" i="97"/>
  <c r="B3296" i="97"/>
  <c r="B3258" i="97"/>
  <c r="B3220" i="97"/>
  <c r="B3182" i="97"/>
  <c r="B3144" i="97"/>
  <c r="B3106" i="97"/>
  <c r="B3561" i="97"/>
  <c r="B3523" i="97"/>
  <c r="B3485" i="97"/>
  <c r="B3447" i="97"/>
  <c r="B3409" i="97"/>
  <c r="B3371" i="97"/>
  <c r="B3333" i="97"/>
  <c r="B3295" i="97"/>
  <c r="B3257" i="97"/>
  <c r="B3219" i="97"/>
  <c r="B3181" i="97"/>
  <c r="B3143" i="97"/>
  <c r="B3105" i="97"/>
  <c r="B3560" i="97"/>
  <c r="B3522" i="97"/>
  <c r="B3484" i="97"/>
  <c r="B3446" i="97"/>
  <c r="B3408" i="97"/>
  <c r="B3370" i="97"/>
  <c r="B3332" i="97"/>
  <c r="B3294" i="97"/>
  <c r="B3256" i="97"/>
  <c r="B3218" i="97"/>
  <c r="B3180" i="97"/>
  <c r="B3142" i="97"/>
  <c r="B3104" i="97"/>
  <c r="B3559" i="97"/>
  <c r="B3521" i="97"/>
  <c r="B3483" i="97"/>
  <c r="B3445" i="97"/>
  <c r="B3407" i="97"/>
  <c r="B3369" i="97"/>
  <c r="B3331" i="97"/>
  <c r="B3293" i="97"/>
  <c r="B3255" i="97"/>
  <c r="B3217" i="97"/>
  <c r="B3179" i="97"/>
  <c r="B3141" i="97"/>
  <c r="B3103" i="97"/>
  <c r="B3558" i="97"/>
  <c r="B3520" i="97"/>
  <c r="B3482" i="97"/>
  <c r="B3444" i="97"/>
  <c r="B3406" i="97"/>
  <c r="B3368" i="97"/>
  <c r="B3330" i="97"/>
  <c r="B3292" i="97"/>
  <c r="B3254" i="97"/>
  <c r="B3216" i="97"/>
  <c r="B3178" i="97"/>
  <c r="B3140" i="97"/>
  <c r="B3102" i="97"/>
  <c r="B3557" i="97"/>
  <c r="B3519" i="97"/>
  <c r="B3481" i="97"/>
  <c r="B3443" i="97"/>
  <c r="B3405" i="97"/>
  <c r="B3367" i="97"/>
  <c r="B3329" i="97"/>
  <c r="B3291" i="97"/>
  <c r="B3253" i="97"/>
  <c r="B3215" i="97"/>
  <c r="B3177" i="97"/>
  <c r="B3139" i="97"/>
  <c r="B3101" i="97"/>
  <c r="B3556" i="97"/>
  <c r="B3518" i="97"/>
  <c r="B3480" i="97"/>
  <c r="B3442" i="97"/>
  <c r="B3404" i="97"/>
  <c r="B3366" i="97"/>
  <c r="B3328" i="97"/>
  <c r="B3290" i="97"/>
  <c r="B3252" i="97"/>
  <c r="B3214" i="97"/>
  <c r="B3176" i="97"/>
  <c r="B3138" i="97"/>
  <c r="B3100" i="97"/>
  <c r="B3555" i="97"/>
  <c r="B3517" i="97"/>
  <c r="B3479" i="97"/>
  <c r="B3441" i="97"/>
  <c r="B3403" i="97"/>
  <c r="B3365" i="97"/>
  <c r="B3327" i="97"/>
  <c r="B3289" i="97"/>
  <c r="B3251" i="97"/>
  <c r="B3213" i="97"/>
  <c r="B3175" i="97"/>
  <c r="B3137" i="97"/>
  <c r="B3099" i="97"/>
  <c r="B3554" i="97"/>
  <c r="B3516" i="97"/>
  <c r="B3478" i="97"/>
  <c r="B3440" i="97"/>
  <c r="B3402" i="97"/>
  <c r="B3364" i="97"/>
  <c r="B3326" i="97"/>
  <c r="B3288" i="97"/>
  <c r="B3250" i="97"/>
  <c r="B3212" i="97"/>
  <c r="B3174" i="97"/>
  <c r="B3136" i="97"/>
  <c r="B3098" i="97"/>
  <c r="B3553" i="97"/>
  <c r="B3515" i="97"/>
  <c r="B3477" i="97"/>
  <c r="B3439" i="97"/>
  <c r="B3401" i="97"/>
  <c r="B3363" i="97"/>
  <c r="B3325" i="97"/>
  <c r="B3287" i="97"/>
  <c r="B3249" i="97"/>
  <c r="B3211" i="97"/>
  <c r="B3173" i="97"/>
  <c r="B3135" i="97"/>
  <c r="B3097" i="97"/>
  <c r="B3552" i="97"/>
  <c r="B3514" i="97"/>
  <c r="B3476" i="97"/>
  <c r="B3438" i="97"/>
  <c r="B3400" i="97"/>
  <c r="B3362" i="97"/>
  <c r="B3324" i="97"/>
  <c r="B3286" i="97"/>
  <c r="B3248" i="97"/>
  <c r="B3210" i="97"/>
  <c r="B3172" i="97"/>
  <c r="B3134" i="97"/>
  <c r="B3096" i="97"/>
  <c r="B3551" i="97"/>
  <c r="B3513" i="97"/>
  <c r="B3475" i="97"/>
  <c r="B3437" i="97"/>
  <c r="B3399" i="97"/>
  <c r="B3361" i="97"/>
  <c r="B3323" i="97"/>
  <c r="B3285" i="97"/>
  <c r="B3247" i="97"/>
  <c r="B3209" i="97"/>
  <c r="B3171" i="97"/>
  <c r="B3133" i="97"/>
  <c r="B3095" i="97"/>
  <c r="B3550" i="97"/>
  <c r="B3512" i="97"/>
  <c r="B3474" i="97"/>
  <c r="B3436" i="97"/>
  <c r="B3398" i="97"/>
  <c r="B3360" i="97"/>
  <c r="B3322" i="97"/>
  <c r="B3284" i="97"/>
  <c r="B3246" i="97"/>
  <c r="B3208" i="97"/>
  <c r="B3170" i="97"/>
  <c r="B3132" i="97"/>
  <c r="B3094" i="97"/>
  <c r="B3549" i="97"/>
  <c r="B3511" i="97"/>
  <c r="B3473" i="97"/>
  <c r="B3435" i="97"/>
  <c r="B3397" i="97"/>
  <c r="B3359" i="97"/>
  <c r="B3321" i="97"/>
  <c r="B3283" i="97"/>
  <c r="B3245" i="97"/>
  <c r="B3207" i="97"/>
  <c r="B3169" i="97"/>
  <c r="B3131" i="97"/>
  <c r="B3093" i="97"/>
  <c r="B3548" i="97"/>
  <c r="B3510" i="97"/>
  <c r="B3472" i="97"/>
  <c r="B3434" i="97"/>
  <c r="B3396" i="97"/>
  <c r="B3358" i="97"/>
  <c r="B3320" i="97"/>
  <c r="B3282" i="97"/>
  <c r="B3244" i="97"/>
  <c r="B3206" i="97"/>
  <c r="B3168" i="97"/>
  <c r="B3130" i="97"/>
  <c r="B3092" i="97"/>
  <c r="B3091" i="97"/>
  <c r="B3090" i="97"/>
  <c r="B3089" i="97"/>
  <c r="B3088" i="97"/>
  <c r="B3087" i="97"/>
  <c r="B3086" i="97"/>
  <c r="B3085" i="97"/>
  <c r="B3084" i="97"/>
  <c r="B3083" i="97"/>
  <c r="B3082" i="97"/>
  <c r="B3081" i="97"/>
  <c r="B3080" i="97"/>
  <c r="B3079" i="97"/>
  <c r="B3078" i="97"/>
  <c r="B3077" i="97"/>
  <c r="B3076" i="97"/>
  <c r="B3075" i="97"/>
  <c r="B3074" i="97"/>
  <c r="B3073" i="97"/>
  <c r="B3072" i="97"/>
  <c r="B3071" i="97"/>
  <c r="B3070" i="97"/>
  <c r="B3069" i="97"/>
  <c r="B3068" i="97"/>
  <c r="B3067" i="97"/>
  <c r="B3066" i="97"/>
  <c r="B3065" i="97"/>
  <c r="B3064" i="97"/>
  <c r="B3063" i="97"/>
  <c r="B3062" i="97"/>
  <c r="B3061" i="97"/>
  <c r="B3060" i="97"/>
  <c r="B3059" i="97"/>
  <c r="B3058" i="97"/>
  <c r="B3057" i="97"/>
  <c r="B3056" i="97"/>
  <c r="B3055" i="97"/>
  <c r="B3054" i="97"/>
  <c r="B3053" i="97"/>
  <c r="B3017" i="97"/>
  <c r="B3052" i="97"/>
  <c r="B3016" i="97"/>
  <c r="B3051" i="97"/>
  <c r="B3015" i="97"/>
  <c r="B3050" i="97"/>
  <c r="B3014" i="97"/>
  <c r="B3049" i="97"/>
  <c r="B3013" i="97"/>
  <c r="B3048" i="97"/>
  <c r="B3012" i="97"/>
  <c r="B3047" i="97"/>
  <c r="B3011" i="97"/>
  <c r="B3046" i="97"/>
  <c r="B3010" i="97"/>
  <c r="B3045" i="97"/>
  <c r="B3009" i="97"/>
  <c r="B3044" i="97"/>
  <c r="B3008" i="97"/>
  <c r="B3043" i="97"/>
  <c r="B3007" i="97"/>
  <c r="B3042" i="97"/>
  <c r="B3006" i="97"/>
  <c r="B3041" i="97"/>
  <c r="B3005" i="97"/>
  <c r="B3040" i="97"/>
  <c r="B3004" i="97"/>
  <c r="B3039" i="97"/>
  <c r="B3003" i="97"/>
  <c r="B3038" i="97"/>
  <c r="B3002" i="97"/>
  <c r="B3037" i="97"/>
  <c r="B3001" i="97"/>
  <c r="B3036" i="97"/>
  <c r="B3000" i="97"/>
  <c r="B3035" i="97"/>
  <c r="B2999" i="97"/>
  <c r="B3034" i="97"/>
  <c r="B2998" i="97"/>
  <c r="B3033" i="97"/>
  <c r="B2997" i="97"/>
  <c r="B3032" i="97"/>
  <c r="B2996" i="97"/>
  <c r="B3031" i="97"/>
  <c r="B2995" i="97"/>
  <c r="B3030" i="97"/>
  <c r="B2994" i="97"/>
  <c r="B3029" i="97"/>
  <c r="B2993" i="97"/>
  <c r="B3028" i="97"/>
  <c r="B2992" i="97"/>
  <c r="B3027" i="97"/>
  <c r="B2991" i="97"/>
  <c r="B3026" i="97"/>
  <c r="B2990" i="97"/>
  <c r="B3025" i="97"/>
  <c r="B2989" i="97"/>
  <c r="B3024" i="97"/>
  <c r="B2988" i="97"/>
  <c r="B3023" i="97"/>
  <c r="B2987" i="97"/>
  <c r="B3022" i="97"/>
  <c r="B2986" i="97"/>
  <c r="B3021" i="97"/>
  <c r="B2985" i="97"/>
  <c r="B3020" i="97"/>
  <c r="B2984" i="97"/>
  <c r="B3019" i="97"/>
  <c r="B2983" i="97"/>
  <c r="B3018" i="97"/>
  <c r="B2982" i="97"/>
  <c r="B2981" i="97"/>
  <c r="B2980" i="97"/>
  <c r="B2979" i="97"/>
  <c r="B2978" i="97"/>
  <c r="B2977" i="97"/>
  <c r="B2976" i="97"/>
  <c r="B2975" i="97"/>
  <c r="B2974" i="97"/>
  <c r="B2973" i="97"/>
  <c r="B2972" i="97"/>
  <c r="B2971" i="97"/>
  <c r="B2970" i="97"/>
  <c r="B2969" i="97"/>
  <c r="B2968" i="97"/>
  <c r="B2967" i="97"/>
  <c r="B2966" i="97"/>
  <c r="B2965" i="97"/>
  <c r="B2964" i="97"/>
  <c r="B2963" i="97"/>
  <c r="B2962" i="97"/>
  <c r="B2961" i="97"/>
  <c r="B2960" i="97"/>
  <c r="B2959" i="97"/>
  <c r="B2958" i="97"/>
  <c r="B2957" i="97"/>
  <c r="B2956" i="97"/>
  <c r="B2955" i="97"/>
  <c r="B2954" i="97"/>
  <c r="B2953" i="97"/>
  <c r="B2952" i="97"/>
  <c r="B2951" i="97"/>
  <c r="B2950" i="97"/>
  <c r="B2949" i="97"/>
  <c r="B2948" i="97"/>
  <c r="B2947" i="97"/>
  <c r="B2946" i="97"/>
  <c r="B2945" i="97"/>
  <c r="B2944" i="97"/>
  <c r="B2943" i="97"/>
  <c r="B2942" i="97"/>
  <c r="B2941" i="97"/>
  <c r="B2940" i="97"/>
  <c r="B2939" i="97"/>
  <c r="B2938" i="97"/>
  <c r="B2937" i="97"/>
  <c r="B2936" i="97"/>
  <c r="B2935" i="97"/>
  <c r="B2934" i="97"/>
  <c r="B2933" i="97"/>
  <c r="B2932" i="97"/>
  <c r="B2931" i="97"/>
  <c r="B2930" i="97"/>
  <c r="B2929" i="97"/>
  <c r="B2928" i="97"/>
  <c r="B2927" i="97"/>
  <c r="B2926" i="97"/>
  <c r="B2925" i="97"/>
  <c r="B2924" i="97"/>
  <c r="B2923" i="97"/>
  <c r="B2922" i="97"/>
  <c r="B2921" i="97"/>
  <c r="B2920" i="97"/>
  <c r="B2919" i="97"/>
  <c r="B2918" i="97"/>
  <c r="B2917" i="97"/>
  <c r="B2916" i="97"/>
  <c r="B2915" i="97"/>
  <c r="B2914" i="97"/>
  <c r="B2913" i="97"/>
  <c r="B2912" i="97"/>
  <c r="B2911" i="97"/>
  <c r="B2910" i="97"/>
  <c r="B2909" i="97"/>
  <c r="B2908" i="97"/>
  <c r="B2907" i="97"/>
  <c r="B2906" i="97"/>
  <c r="B2905" i="97"/>
  <c r="B2904" i="97"/>
  <c r="B2903" i="97"/>
  <c r="B2902" i="97"/>
  <c r="B2901" i="97"/>
  <c r="B2900" i="97"/>
  <c r="B2899" i="97"/>
  <c r="B2898" i="97"/>
  <c r="B2897" i="97"/>
  <c r="B2896" i="97"/>
  <c r="B2895" i="97"/>
  <c r="B2894" i="97"/>
  <c r="B2893" i="97"/>
  <c r="B2892" i="97"/>
  <c r="B2891" i="97"/>
  <c r="B2890" i="97"/>
  <c r="B2889" i="97"/>
  <c r="B2888" i="97"/>
  <c r="B2887" i="97"/>
  <c r="B2886" i="97"/>
  <c r="B2885" i="97"/>
  <c r="B2884" i="97"/>
  <c r="B2883" i="97"/>
  <c r="B2882" i="97"/>
  <c r="B2881" i="97"/>
  <c r="B2880" i="97"/>
  <c r="B2879" i="97"/>
  <c r="B2878" i="97"/>
  <c r="B2877" i="97"/>
  <c r="B2876" i="97"/>
  <c r="B2875" i="97"/>
  <c r="B2874" i="97"/>
  <c r="B2873" i="97"/>
  <c r="B2872" i="97"/>
  <c r="B2871" i="97"/>
  <c r="B2870" i="97"/>
  <c r="B2869" i="97"/>
  <c r="B2868" i="97"/>
  <c r="B2867" i="97"/>
  <c r="B2866" i="97"/>
  <c r="B2865" i="97"/>
  <c r="B2864" i="97"/>
  <c r="B2863" i="97"/>
  <c r="B2862" i="97"/>
  <c r="B2861" i="97"/>
  <c r="B2860" i="97"/>
  <c r="B2859" i="97"/>
  <c r="B2858" i="97"/>
  <c r="B2857" i="97"/>
  <c r="B2856" i="97"/>
  <c r="B2855" i="97"/>
  <c r="B2854" i="97"/>
  <c r="B2853" i="97"/>
  <c r="B2852" i="97"/>
  <c r="B2851" i="97"/>
  <c r="B2850" i="97"/>
  <c r="B2849" i="97"/>
  <c r="B2848" i="97"/>
  <c r="B2847" i="97"/>
  <c r="B2846" i="97"/>
  <c r="B2845" i="97"/>
  <c r="B2844" i="97"/>
  <c r="B2843" i="97"/>
  <c r="B2842" i="97"/>
  <c r="B2841" i="97"/>
  <c r="B2840" i="97"/>
  <c r="B2839" i="97"/>
  <c r="B2838" i="97"/>
  <c r="B2837" i="97"/>
  <c r="B2836" i="97"/>
  <c r="B2835" i="97"/>
  <c r="B2834" i="97"/>
  <c r="B2833" i="97"/>
  <c r="B2832" i="97"/>
  <c r="B2831" i="97"/>
  <c r="B2830" i="97"/>
  <c r="B2829" i="97"/>
  <c r="B2828" i="97"/>
  <c r="B2827" i="97"/>
  <c r="B2826" i="97"/>
  <c r="B2825" i="97"/>
  <c r="B2824" i="97"/>
  <c r="B2823" i="97"/>
  <c r="B2822" i="97"/>
  <c r="B2821" i="97"/>
  <c r="B2820" i="97"/>
  <c r="B2819" i="97"/>
  <c r="B2818" i="97"/>
  <c r="B2817" i="97"/>
  <c r="B2816" i="97"/>
  <c r="B2815" i="97"/>
  <c r="B2814" i="97"/>
  <c r="B2813" i="97"/>
  <c r="B2812" i="97"/>
  <c r="B2811" i="97"/>
  <c r="B2810" i="97"/>
  <c r="B2809" i="97"/>
  <c r="B2808" i="97"/>
  <c r="B2807" i="97"/>
  <c r="B2806" i="97"/>
  <c r="B2805" i="97"/>
  <c r="B2804" i="97"/>
  <c r="B2803" i="97"/>
  <c r="B2802" i="97"/>
  <c r="B2801" i="97"/>
  <c r="B2800" i="97"/>
  <c r="B2799" i="97"/>
  <c r="B2798" i="97"/>
  <c r="B2797" i="97"/>
  <c r="B2796" i="97"/>
  <c r="B2795" i="97"/>
  <c r="B2794" i="97"/>
  <c r="B2793" i="97"/>
  <c r="B2792" i="97"/>
  <c r="B2791" i="97"/>
  <c r="B2790" i="97"/>
  <c r="B2789" i="97"/>
  <c r="B2788" i="97"/>
  <c r="B2787" i="97"/>
  <c r="B2786" i="97"/>
  <c r="B2785" i="97"/>
  <c r="B2784" i="97"/>
  <c r="B2783" i="97"/>
  <c r="B2782" i="97"/>
  <c r="B2781" i="97"/>
  <c r="B2780" i="97"/>
  <c r="B2779" i="97"/>
  <c r="B2778" i="97"/>
  <c r="B2777" i="97"/>
  <c r="B2776" i="97"/>
  <c r="B2775" i="97"/>
  <c r="B2774" i="97"/>
  <c r="B2773" i="97"/>
  <c r="B2772" i="97"/>
  <c r="B2771" i="97"/>
  <c r="B2770" i="97"/>
  <c r="B2769" i="97"/>
  <c r="B2768" i="97"/>
  <c r="B2767" i="97"/>
  <c r="B2766" i="97"/>
  <c r="B2765" i="97"/>
  <c r="B2764" i="97"/>
  <c r="B2763" i="97"/>
  <c r="B2762" i="97"/>
  <c r="B2761" i="97"/>
  <c r="B2760" i="97"/>
  <c r="B2759" i="97"/>
  <c r="B2758" i="97"/>
  <c r="B2757" i="97"/>
  <c r="B2756" i="97"/>
  <c r="B2755" i="97"/>
  <c r="B2754" i="97"/>
  <c r="B2753" i="97"/>
  <c r="B2752" i="97"/>
  <c r="B2751" i="97"/>
  <c r="B2750" i="97"/>
  <c r="B2749" i="97"/>
  <c r="B2748" i="97"/>
  <c r="B2747" i="97"/>
  <c r="B2746" i="97"/>
  <c r="B2745" i="97"/>
  <c r="B2744" i="97"/>
  <c r="B2743" i="97"/>
  <c r="B2742" i="97"/>
  <c r="B2741" i="97"/>
  <c r="B2740" i="97"/>
  <c r="B2739" i="97"/>
  <c r="B2738" i="97"/>
  <c r="B2737" i="97"/>
  <c r="B2736" i="97"/>
  <c r="B2735" i="97"/>
  <c r="B2734" i="97"/>
  <c r="B2733" i="97"/>
  <c r="B2732" i="97"/>
  <c r="B2731" i="97"/>
  <c r="B2730" i="97"/>
  <c r="B2729" i="97"/>
  <c r="B2693" i="97"/>
  <c r="B2657" i="97"/>
  <c r="B2621" i="97"/>
  <c r="B2585" i="97"/>
  <c r="B2549" i="97"/>
  <c r="B2728" i="97"/>
  <c r="B2692" i="97"/>
  <c r="B2656" i="97"/>
  <c r="B2620" i="97"/>
  <c r="B2584" i="97"/>
  <c r="B2548" i="97"/>
  <c r="B2727" i="97"/>
  <c r="B2691" i="97"/>
  <c r="B2655" i="97"/>
  <c r="B2619" i="97"/>
  <c r="B2583" i="97"/>
  <c r="B2547" i="97"/>
  <c r="B2726" i="97"/>
  <c r="B2690" i="97"/>
  <c r="B2654" i="97"/>
  <c r="B2618" i="97"/>
  <c r="B2582" i="97"/>
  <c r="B2546" i="97"/>
  <c r="B2725" i="97"/>
  <c r="B2689" i="97"/>
  <c r="B2653" i="97"/>
  <c r="B2617" i="97"/>
  <c r="B2581" i="97"/>
  <c r="B2545" i="97"/>
  <c r="B2724" i="97"/>
  <c r="B2688" i="97"/>
  <c r="B2652" i="97"/>
  <c r="B2616" i="97"/>
  <c r="B2580" i="97"/>
  <c r="B2544" i="97"/>
  <c r="B2723" i="97"/>
  <c r="B2687" i="97"/>
  <c r="B2651" i="97"/>
  <c r="B2615" i="97"/>
  <c r="B2579" i="97"/>
  <c r="B2543" i="97"/>
  <c r="B2722" i="97"/>
  <c r="B2686" i="97"/>
  <c r="B2650" i="97"/>
  <c r="B2614" i="97"/>
  <c r="B2578" i="97"/>
  <c r="B2542" i="97"/>
  <c r="B2721" i="97"/>
  <c r="B2685" i="97"/>
  <c r="B2649" i="97"/>
  <c r="B2613" i="97"/>
  <c r="B2577" i="97"/>
  <c r="B2541" i="97"/>
  <c r="B2720" i="97"/>
  <c r="B2684" i="97"/>
  <c r="B2648" i="97"/>
  <c r="B2612" i="97"/>
  <c r="B2576" i="97"/>
  <c r="B2540" i="97"/>
  <c r="B2719" i="97"/>
  <c r="B2683" i="97"/>
  <c r="B2647" i="97"/>
  <c r="B2611" i="97"/>
  <c r="B2575" i="97"/>
  <c r="B2539" i="97"/>
  <c r="B2718" i="97"/>
  <c r="B2682" i="97"/>
  <c r="B2646" i="97"/>
  <c r="B2610" i="97"/>
  <c r="B2574" i="97"/>
  <c r="B2538" i="97"/>
  <c r="B2717" i="97"/>
  <c r="B2681" i="97"/>
  <c r="B2645" i="97"/>
  <c r="B2609" i="97"/>
  <c r="B2573" i="97"/>
  <c r="B2537" i="97"/>
  <c r="B2716" i="97"/>
  <c r="B2680" i="97"/>
  <c r="B2644" i="97"/>
  <c r="B2608" i="97"/>
  <c r="B2572" i="97"/>
  <c r="B2536" i="97"/>
  <c r="B2715" i="97"/>
  <c r="B2679" i="97"/>
  <c r="B2643" i="97"/>
  <c r="B2607" i="97"/>
  <c r="B2571" i="97"/>
  <c r="B2535" i="97"/>
  <c r="B2714" i="97"/>
  <c r="B2678" i="97"/>
  <c r="B2642" i="97"/>
  <c r="B2606" i="97"/>
  <c r="B2570" i="97"/>
  <c r="B2534" i="97"/>
  <c r="B2713" i="97"/>
  <c r="B2677" i="97"/>
  <c r="B2641" i="97"/>
  <c r="B2605" i="97"/>
  <c r="B2569" i="97"/>
  <c r="B2533" i="97"/>
  <c r="B2712" i="97"/>
  <c r="B2676" i="97"/>
  <c r="B2640" i="97"/>
  <c r="B2604" i="97"/>
  <c r="B2568" i="97"/>
  <c r="B2532" i="97"/>
  <c r="B2711" i="97"/>
  <c r="B2675" i="97"/>
  <c r="B2639" i="97"/>
  <c r="B2603" i="97"/>
  <c r="B2567" i="97"/>
  <c r="B2531" i="97"/>
  <c r="B2710" i="97"/>
  <c r="B2674" i="97"/>
  <c r="B2638" i="97"/>
  <c r="B2602" i="97"/>
  <c r="B2566" i="97"/>
  <c r="B2530" i="97"/>
  <c r="B2709" i="97"/>
  <c r="B2673" i="97"/>
  <c r="B2637" i="97"/>
  <c r="B2601" i="97"/>
  <c r="B2565" i="97"/>
  <c r="B2529" i="97"/>
  <c r="B2708" i="97"/>
  <c r="B2672" i="97"/>
  <c r="B2636" i="97"/>
  <c r="B2600" i="97"/>
  <c r="B2564" i="97"/>
  <c r="B2528" i="97"/>
  <c r="B2707" i="97"/>
  <c r="B2671" i="97"/>
  <c r="B2635" i="97"/>
  <c r="B2599" i="97"/>
  <c r="B2563" i="97"/>
  <c r="B2527" i="97"/>
  <c r="B2706" i="97"/>
  <c r="B2670" i="97"/>
  <c r="B2634" i="97"/>
  <c r="B2598" i="97"/>
  <c r="B2562" i="97"/>
  <c r="B2526" i="97"/>
  <c r="B2705" i="97"/>
  <c r="B2669" i="97"/>
  <c r="B2633" i="97"/>
  <c r="B2597" i="97"/>
  <c r="B2561" i="97"/>
  <c r="B2525" i="97"/>
  <c r="B2704" i="97"/>
  <c r="B2668" i="97"/>
  <c r="B2632" i="97"/>
  <c r="B2596" i="97"/>
  <c r="B2560" i="97"/>
  <c r="B2524" i="97"/>
  <c r="B2703" i="97"/>
  <c r="B2667" i="97"/>
  <c r="B2631" i="97"/>
  <c r="B2595" i="97"/>
  <c r="B2559" i="97"/>
  <c r="B2523" i="97"/>
  <c r="B2702" i="97"/>
  <c r="B2666" i="97"/>
  <c r="B2630" i="97"/>
  <c r="B2594" i="97"/>
  <c r="B2558" i="97"/>
  <c r="B2522" i="97"/>
  <c r="B2701" i="97"/>
  <c r="B2665" i="97"/>
  <c r="B2629" i="97"/>
  <c r="B2593" i="97"/>
  <c r="B2557" i="97"/>
  <c r="B2521" i="97"/>
  <c r="B2700" i="97"/>
  <c r="B2664" i="97"/>
  <c r="B2628" i="97"/>
  <c r="B2592" i="97"/>
  <c r="B2556" i="97"/>
  <c r="B2520" i="97"/>
  <c r="B2699" i="97"/>
  <c r="B2663" i="97"/>
  <c r="B2627" i="97"/>
  <c r="B2591" i="97"/>
  <c r="B2555" i="97"/>
  <c r="B2519" i="97"/>
  <c r="B2698" i="97"/>
  <c r="B2662" i="97"/>
  <c r="B2626" i="97"/>
  <c r="B2590" i="97"/>
  <c r="B2554" i="97"/>
  <c r="B2518" i="97"/>
  <c r="B2697" i="97"/>
  <c r="B2661" i="97"/>
  <c r="B2625" i="97"/>
  <c r="B2589" i="97"/>
  <c r="B2553" i="97"/>
  <c r="B2517" i="97"/>
  <c r="B2696" i="97"/>
  <c r="B2660" i="97"/>
  <c r="B2624" i="97"/>
  <c r="B2588" i="97"/>
  <c r="B2552" i="97"/>
  <c r="B2516" i="97"/>
  <c r="B2695" i="97"/>
  <c r="B2659" i="97"/>
  <c r="B2623" i="97"/>
  <c r="B2587" i="97"/>
  <c r="B2551" i="97"/>
  <c r="B2515" i="97"/>
  <c r="B2694" i="97"/>
  <c r="B2658" i="97"/>
  <c r="B2622" i="97"/>
  <c r="B2586" i="97"/>
  <c r="B2550" i="97"/>
  <c r="B2514" i="97"/>
  <c r="B2513" i="97"/>
  <c r="B2512" i="97"/>
  <c r="B2511" i="97"/>
  <c r="B2510" i="97"/>
  <c r="B2509" i="97"/>
  <c r="B2508" i="97"/>
  <c r="B2507" i="97"/>
  <c r="B2506" i="97"/>
  <c r="B2505" i="97"/>
  <c r="B2504" i="97"/>
  <c r="B2503" i="97"/>
  <c r="B2502" i="97"/>
  <c r="B2501" i="97"/>
  <c r="B2500" i="97"/>
  <c r="B2499" i="97"/>
  <c r="B2498" i="97"/>
  <c r="B2497" i="97"/>
  <c r="B2496" i="97"/>
  <c r="B2495" i="97"/>
  <c r="B2494" i="97"/>
  <c r="B2493" i="97"/>
  <c r="B2492" i="97"/>
  <c r="B2491" i="97"/>
  <c r="B2490" i="97"/>
  <c r="B2489" i="97"/>
  <c r="B2488" i="97"/>
  <c r="B2487" i="97"/>
  <c r="B2486" i="97"/>
  <c r="B2485" i="97"/>
  <c r="B2484" i="97"/>
  <c r="B2483" i="97"/>
  <c r="B2482" i="97"/>
  <c r="B2481" i="97"/>
  <c r="B2480" i="97"/>
  <c r="B2479" i="97"/>
  <c r="B2478" i="97"/>
  <c r="M10" i="65" l="1"/>
  <c r="G3284" i="97" s="1"/>
  <c r="T10" i="65"/>
  <c r="G3550" i="97" s="1"/>
  <c r="O36" i="66"/>
  <c r="G3974" i="97" s="1"/>
  <c r="M24" i="65"/>
  <c r="G3298" i="97" s="1"/>
  <c r="M23" i="65"/>
  <c r="G3297" i="97" s="1"/>
  <c r="B2439" i="97"/>
  <c r="B2415" i="97"/>
  <c r="B2391" i="97"/>
  <c r="B2367" i="97"/>
  <c r="B2343" i="97"/>
  <c r="B2477" i="97"/>
  <c r="B2458" i="97"/>
  <c r="B2438" i="97"/>
  <c r="B2414" i="97"/>
  <c r="B2390" i="97"/>
  <c r="B2366" i="97"/>
  <c r="B2342" i="97"/>
  <c r="B2437" i="97"/>
  <c r="B2413" i="97"/>
  <c r="B2389" i="97"/>
  <c r="B2365" i="97"/>
  <c r="B2341" i="97"/>
  <c r="B2476" i="97"/>
  <c r="B2457" i="97"/>
  <c r="B2436" i="97"/>
  <c r="B2412" i="97"/>
  <c r="B2388" i="97"/>
  <c r="B2364" i="97"/>
  <c r="B2340" i="97"/>
  <c r="B2475" i="97"/>
  <c r="B2456" i="97"/>
  <c r="B2435" i="97"/>
  <c r="B2411" i="97"/>
  <c r="B2387" i="97"/>
  <c r="B2363" i="97"/>
  <c r="B2339" i="97"/>
  <c r="B2474" i="97"/>
  <c r="B2455" i="97"/>
  <c r="B2434" i="97"/>
  <c r="B2410" i="97"/>
  <c r="B2386" i="97"/>
  <c r="B2362" i="97"/>
  <c r="B2338" i="97"/>
  <c r="B2473" i="97"/>
  <c r="B2454" i="97"/>
  <c r="B2433" i="97"/>
  <c r="B2409" i="97"/>
  <c r="B2385" i="97"/>
  <c r="B2361" i="97"/>
  <c r="B2337" i="97"/>
  <c r="B2432" i="97"/>
  <c r="B2408" i="97"/>
  <c r="B2384" i="97"/>
  <c r="B2360" i="97"/>
  <c r="B2336" i="97"/>
  <c r="B2472" i="97"/>
  <c r="B2453" i="97"/>
  <c r="B2431" i="97"/>
  <c r="B2407" i="97"/>
  <c r="B2383" i="97"/>
  <c r="B2359" i="97"/>
  <c r="B2335" i="97"/>
  <c r="B2471" i="97"/>
  <c r="B2452" i="97"/>
  <c r="B2430" i="97"/>
  <c r="B2406" i="97"/>
  <c r="B2382" i="97"/>
  <c r="B2358" i="97"/>
  <c r="B2334" i="97"/>
  <c r="B2470" i="97"/>
  <c r="B2451" i="97"/>
  <c r="B2429" i="97"/>
  <c r="B2405" i="97"/>
  <c r="B2381" i="97"/>
  <c r="B2357" i="97"/>
  <c r="B2333" i="97"/>
  <c r="B2469" i="97"/>
  <c r="B2450" i="97"/>
  <c r="B2428" i="97"/>
  <c r="B2404" i="97"/>
  <c r="B2380" i="97"/>
  <c r="B2356" i="97"/>
  <c r="B2332" i="97"/>
  <c r="B2427" i="97"/>
  <c r="B2403" i="97"/>
  <c r="B2379" i="97"/>
  <c r="B2355" i="97"/>
  <c r="B2331" i="97"/>
  <c r="B2468" i="97"/>
  <c r="B2449" i="97"/>
  <c r="B2426" i="97"/>
  <c r="B2402" i="97"/>
  <c r="B2378" i="97"/>
  <c r="B2354" i="97"/>
  <c r="B2330" i="97"/>
  <c r="B2467" i="97"/>
  <c r="B2448" i="97"/>
  <c r="B2425" i="97"/>
  <c r="B2401" i="97"/>
  <c r="B2377" i="97"/>
  <c r="B2353" i="97"/>
  <c r="B2329" i="97"/>
  <c r="B2466" i="97"/>
  <c r="B2447" i="97"/>
  <c r="B2424" i="97"/>
  <c r="B2400" i="97"/>
  <c r="B2376" i="97"/>
  <c r="B2352" i="97"/>
  <c r="B2328" i="97"/>
  <c r="B2465" i="97"/>
  <c r="B2446" i="97"/>
  <c r="B2423" i="97"/>
  <c r="B2399" i="97"/>
  <c r="B2375" i="97"/>
  <c r="B2351" i="97"/>
  <c r="B2327" i="97"/>
  <c r="B2422" i="97"/>
  <c r="B2398" i="97"/>
  <c r="B2374" i="97"/>
  <c r="B2350" i="97"/>
  <c r="B2326" i="97"/>
  <c r="B2464" i="97"/>
  <c r="B2445" i="97"/>
  <c r="B2421" i="97"/>
  <c r="B2397" i="97"/>
  <c r="B2373" i="97"/>
  <c r="B2349" i="97"/>
  <c r="B2325" i="97"/>
  <c r="B2463" i="97"/>
  <c r="B2444" i="97"/>
  <c r="B2420" i="97"/>
  <c r="B2396" i="97"/>
  <c r="B2372" i="97"/>
  <c r="B2348" i="97"/>
  <c r="B2324" i="97"/>
  <c r="B2462" i="97"/>
  <c r="B2443" i="97"/>
  <c r="B2419" i="97"/>
  <c r="B2395" i="97"/>
  <c r="B2371" i="97"/>
  <c r="B2347" i="97"/>
  <c r="B2323" i="97"/>
  <c r="B2461" i="97"/>
  <c r="B2442" i="97"/>
  <c r="B2418" i="97"/>
  <c r="B2394" i="97"/>
  <c r="B2370" i="97"/>
  <c r="B2346" i="97"/>
  <c r="B2322" i="97"/>
  <c r="B2460" i="97"/>
  <c r="B2441" i="97"/>
  <c r="B2417" i="97"/>
  <c r="B2393" i="97"/>
  <c r="B2369" i="97"/>
  <c r="B2345" i="97"/>
  <c r="B2321" i="97"/>
  <c r="B2459" i="97"/>
  <c r="B2440" i="97"/>
  <c r="B2416" i="97"/>
  <c r="B2392" i="97"/>
  <c r="B2368" i="97"/>
  <c r="B2344" i="97"/>
  <c r="B2320" i="97"/>
  <c r="B2319" i="97"/>
  <c r="B2318" i="97"/>
  <c r="B2317" i="97"/>
  <c r="B2316" i="97"/>
  <c r="B2315" i="97"/>
  <c r="B2314" i="97"/>
  <c r="B2313" i="97"/>
  <c r="B2312" i="97"/>
  <c r="B2311" i="97"/>
  <c r="B2310" i="97"/>
  <c r="B2309" i="97"/>
  <c r="B2308" i="97"/>
  <c r="B2307" i="97"/>
  <c r="B2306" i="97"/>
  <c r="B2305" i="97"/>
  <c r="B2304" i="97"/>
  <c r="B2303" i="97"/>
  <c r="B2302" i="97"/>
  <c r="B2301" i="97"/>
  <c r="B2300" i="97"/>
  <c r="B2299" i="97"/>
  <c r="B2298" i="97"/>
  <c r="B2297" i="97"/>
  <c r="B2296" i="97"/>
  <c r="B2295" i="97"/>
  <c r="B2293" i="97"/>
  <c r="B2292" i="97"/>
  <c r="B2291" i="97"/>
  <c r="B2290" i="97"/>
  <c r="B2289" i="97"/>
  <c r="B2288" i="97"/>
  <c r="B2287" i="97"/>
  <c r="B2286" i="97"/>
  <c r="B2285" i="97"/>
  <c r="B2284" i="97"/>
  <c r="B2283" i="97"/>
  <c r="B2282" i="97"/>
  <c r="B2281" i="97"/>
  <c r="B2280" i="97"/>
  <c r="B2278" i="97"/>
  <c r="B2277" i="97"/>
  <c r="B2276" i="97"/>
  <c r="B2275" i="97"/>
  <c r="B2274" i="97"/>
  <c r="B2273" i="97"/>
  <c r="B2272" i="97"/>
  <c r="B2271" i="97"/>
  <c r="B2270" i="97"/>
  <c r="B2269" i="97"/>
  <c r="B2268" i="97"/>
  <c r="B2267" i="97"/>
  <c r="B2266" i="97"/>
  <c r="B2265" i="97"/>
  <c r="B2264" i="97"/>
  <c r="B2263" i="97"/>
  <c r="B2262" i="97"/>
  <c r="B2261" i="97"/>
  <c r="B2260" i="97"/>
  <c r="B2258" i="97"/>
  <c r="B2257" i="97"/>
  <c r="B2256" i="97"/>
  <c r="T24" i="65" l="1"/>
  <c r="G3564" i="97" s="1"/>
  <c r="AI8" i="32"/>
  <c r="AJ8" i="32"/>
  <c r="B2255" i="97" l="1"/>
  <c r="B2243" i="97"/>
  <c r="B2232" i="97"/>
  <c r="B2254" i="97"/>
  <c r="B2242" i="97"/>
  <c r="B2231" i="97"/>
  <c r="B2253" i="97"/>
  <c r="B2241" i="97"/>
  <c r="B2230" i="97"/>
  <c r="B2252" i="97"/>
  <c r="B2240" i="97"/>
  <c r="B2229" i="97"/>
  <c r="B2251" i="97"/>
  <c r="B2239" i="97"/>
  <c r="B2228" i="97"/>
  <c r="B2250" i="97"/>
  <c r="B2238" i="97"/>
  <c r="B2227" i="97"/>
  <c r="B2249" i="97"/>
  <c r="B2237" i="97"/>
  <c r="B2226" i="97"/>
  <c r="B2248" i="97"/>
  <c r="B2236" i="97"/>
  <c r="B2225" i="97"/>
  <c r="B2247" i="97"/>
  <c r="B2246" i="97"/>
  <c r="B2235" i="97"/>
  <c r="B2224" i="97"/>
  <c r="B2245" i="97"/>
  <c r="B2234" i="97"/>
  <c r="B2223" i="97"/>
  <c r="B2244" i="97"/>
  <c r="B2233" i="97"/>
  <c r="B2222" i="97"/>
  <c r="B2221" i="97"/>
  <c r="B2220" i="97"/>
  <c r="B2219" i="97"/>
  <c r="B2218" i="97"/>
  <c r="B2217" i="97"/>
  <c r="B2216" i="97"/>
  <c r="B2215" i="97"/>
  <c r="B2214" i="97"/>
  <c r="B2213" i="97"/>
  <c r="B2212" i="97"/>
  <c r="B2211" i="97"/>
  <c r="I7" i="96"/>
  <c r="G1555" i="97" s="1"/>
  <c r="B2210" i="97"/>
  <c r="B2209" i="97"/>
  <c r="B2208" i="97"/>
  <c r="B2207" i="97"/>
  <c r="B2206" i="97"/>
  <c r="B2205" i="97"/>
  <c r="B2204" i="97" l="1"/>
  <c r="B2191" i="97"/>
  <c r="B2178" i="97"/>
  <c r="B2165" i="97"/>
  <c r="B2152" i="97"/>
  <c r="B2139" i="97"/>
  <c r="B2126" i="97"/>
  <c r="B2113" i="97"/>
  <c r="B2203" i="97"/>
  <c r="B2190" i="97"/>
  <c r="B2177" i="97"/>
  <c r="B2164" i="97"/>
  <c r="B2151" i="97"/>
  <c r="B2138" i="97"/>
  <c r="B2125" i="97"/>
  <c r="B2112" i="97"/>
  <c r="B2202" i="97"/>
  <c r="B2189" i="97"/>
  <c r="B2176" i="97"/>
  <c r="B2163" i="97"/>
  <c r="B2150" i="97"/>
  <c r="B2137" i="97"/>
  <c r="B2124" i="97"/>
  <c r="B2111" i="97"/>
  <c r="B2201" i="97"/>
  <c r="B2188" i="97"/>
  <c r="B2175" i="97"/>
  <c r="B2162" i="97"/>
  <c r="B2149" i="97"/>
  <c r="B2136" i="97"/>
  <c r="B2123" i="97"/>
  <c r="B2110" i="97"/>
  <c r="B2200" i="97"/>
  <c r="B2187" i="97"/>
  <c r="B2174" i="97"/>
  <c r="B2161" i="97"/>
  <c r="B2148" i="97"/>
  <c r="B2135" i="97"/>
  <c r="B2122" i="97"/>
  <c r="B2109" i="97"/>
  <c r="B2199" i="97"/>
  <c r="B2186" i="97"/>
  <c r="B2173" i="97"/>
  <c r="B2160" i="97"/>
  <c r="B2147" i="97"/>
  <c r="B2134" i="97"/>
  <c r="B2121" i="97"/>
  <c r="B2108" i="97"/>
  <c r="B2198" i="97"/>
  <c r="B2185" i="97"/>
  <c r="B2172" i="97"/>
  <c r="B2159" i="97"/>
  <c r="B2146" i="97"/>
  <c r="B2133" i="97"/>
  <c r="B2120" i="97"/>
  <c r="B2107" i="97"/>
  <c r="B2197" i="97"/>
  <c r="B2184" i="97"/>
  <c r="B2171" i="97"/>
  <c r="B2158" i="97"/>
  <c r="B2145" i="97"/>
  <c r="B2132" i="97"/>
  <c r="B2119" i="97"/>
  <c r="B2106" i="97"/>
  <c r="B2196" i="97"/>
  <c r="B2183" i="97"/>
  <c r="B2170" i="97"/>
  <c r="B2157" i="97"/>
  <c r="B2144" i="97"/>
  <c r="B2131" i="97"/>
  <c r="B2118" i="97"/>
  <c r="B2105" i="97"/>
  <c r="B2195" i="97"/>
  <c r="B2182" i="97"/>
  <c r="B2169" i="97"/>
  <c r="B2156" i="97"/>
  <c r="B2143" i="97"/>
  <c r="B2130" i="97"/>
  <c r="B2117" i="97"/>
  <c r="B2104" i="97"/>
  <c r="B2194" i="97"/>
  <c r="B2181" i="97"/>
  <c r="B2168" i="97"/>
  <c r="B2155" i="97"/>
  <c r="B2142" i="97"/>
  <c r="B2129" i="97"/>
  <c r="B2116" i="97"/>
  <c r="B2103" i="97"/>
  <c r="B2193" i="97"/>
  <c r="B2180" i="97"/>
  <c r="B2167" i="97"/>
  <c r="B2154" i="97"/>
  <c r="B2141" i="97"/>
  <c r="B2128" i="97"/>
  <c r="B2115" i="97"/>
  <c r="B2102" i="97"/>
  <c r="B2192" i="97"/>
  <c r="B2179" i="97"/>
  <c r="B2166" i="97"/>
  <c r="B2153" i="97"/>
  <c r="B2140" i="97"/>
  <c r="B2127" i="97"/>
  <c r="B2114" i="97"/>
  <c r="B2101" i="97"/>
  <c r="B2100" i="97"/>
  <c r="B2099" i="97"/>
  <c r="B2098" i="97"/>
  <c r="B2097" i="97"/>
  <c r="B2096" i="97"/>
  <c r="B2095" i="97"/>
  <c r="B2094" i="97"/>
  <c r="B2093" i="97"/>
  <c r="B2092" i="97"/>
  <c r="B2091" i="97"/>
  <c r="B2090" i="97"/>
  <c r="B2089" i="97"/>
  <c r="B2088" i="97"/>
  <c r="B2060" i="97"/>
  <c r="B2032" i="97"/>
  <c r="B2004" i="97"/>
  <c r="B1976" i="97"/>
  <c r="B1948" i="97"/>
  <c r="B1920" i="97"/>
  <c r="B1892" i="97"/>
  <c r="B2063" i="97"/>
  <c r="B2035" i="97"/>
  <c r="B2007" i="97"/>
  <c r="B1979" i="97"/>
  <c r="B1951" i="97"/>
  <c r="B1923" i="97"/>
  <c r="B1895" i="97"/>
  <c r="B2062" i="97"/>
  <c r="B2034" i="97"/>
  <c r="B2006" i="97"/>
  <c r="B1978" i="97"/>
  <c r="B1950" i="97"/>
  <c r="B1922" i="97"/>
  <c r="B1894" i="97"/>
  <c r="B2061" i="97"/>
  <c r="B2033" i="97"/>
  <c r="B2005" i="97"/>
  <c r="B1977" i="97"/>
  <c r="B1949" i="97"/>
  <c r="B1921" i="97"/>
  <c r="B1893" i="97"/>
  <c r="B2087" i="97"/>
  <c r="B2059" i="97"/>
  <c r="B2031" i="97"/>
  <c r="B2003" i="97"/>
  <c r="B1975" i="97"/>
  <c r="B1947" i="97"/>
  <c r="B1919" i="97"/>
  <c r="B1891" i="97"/>
  <c r="B2086" i="97"/>
  <c r="B2058" i="97"/>
  <c r="B2030" i="97"/>
  <c r="B2002" i="97"/>
  <c r="B1974" i="97"/>
  <c r="B1946" i="97"/>
  <c r="B1918" i="97"/>
  <c r="B1890" i="97"/>
  <c r="B2085" i="97"/>
  <c r="B2057" i="97"/>
  <c r="B2029" i="97"/>
  <c r="B2001" i="97"/>
  <c r="B1973" i="97"/>
  <c r="B1945" i="97"/>
  <c r="B1917" i="97"/>
  <c r="B1889" i="97"/>
  <c r="B2084" i="97"/>
  <c r="B2056" i="97"/>
  <c r="B2028" i="97"/>
  <c r="B2000" i="97"/>
  <c r="B1972" i="97"/>
  <c r="B1944" i="97"/>
  <c r="B1916" i="97"/>
  <c r="B1888" i="97"/>
  <c r="B2083" i="97"/>
  <c r="B2055" i="97"/>
  <c r="B2027" i="97"/>
  <c r="B1999" i="97"/>
  <c r="B1971" i="97"/>
  <c r="B1943" i="97"/>
  <c r="B1915" i="97"/>
  <c r="B1887" i="97"/>
  <c r="B2082" i="97"/>
  <c r="B2054" i="97"/>
  <c r="B2026" i="97"/>
  <c r="B1998" i="97"/>
  <c r="B1970" i="97"/>
  <c r="B1942" i="97"/>
  <c r="B1914" i="97"/>
  <c r="B1886" i="97"/>
  <c r="B2081" i="97"/>
  <c r="B2053" i="97"/>
  <c r="B2025" i="97"/>
  <c r="B1997" i="97"/>
  <c r="B1969" i="97"/>
  <c r="B1941" i="97"/>
  <c r="B1913" i="97"/>
  <c r="B1885" i="97"/>
  <c r="B2080" i="97"/>
  <c r="B2052" i="97"/>
  <c r="B2024" i="97"/>
  <c r="B1996" i="97"/>
  <c r="B1968" i="97"/>
  <c r="B1940" i="97"/>
  <c r="B1912" i="97"/>
  <c r="B1884" i="97"/>
  <c r="B2079" i="97"/>
  <c r="B2051" i="97"/>
  <c r="B2023" i="97"/>
  <c r="B1995" i="97"/>
  <c r="B1967" i="97"/>
  <c r="B1939" i="97"/>
  <c r="B1911" i="97"/>
  <c r="B1883" i="97"/>
  <c r="B2078" i="97"/>
  <c r="B2050" i="97"/>
  <c r="B2022" i="97"/>
  <c r="B1994" i="97"/>
  <c r="B1966" i="97"/>
  <c r="B1938" i="97"/>
  <c r="B1910" i="97"/>
  <c r="B1882" i="97"/>
  <c r="B2077" i="97"/>
  <c r="B2049" i="97"/>
  <c r="B2021" i="97"/>
  <c r="B1993" i="97"/>
  <c r="B1965" i="97"/>
  <c r="B1937" i="97"/>
  <c r="B1909" i="97"/>
  <c r="B1881" i="97"/>
  <c r="B2076" i="97"/>
  <c r="B2048" i="97"/>
  <c r="B2020" i="97"/>
  <c r="B1992" i="97"/>
  <c r="B1964" i="97"/>
  <c r="B1936" i="97"/>
  <c r="B1908" i="97"/>
  <c r="B1880" i="97"/>
  <c r="B2075" i="97"/>
  <c r="B2047" i="97"/>
  <c r="B2019" i="97"/>
  <c r="B1991" i="97"/>
  <c r="B1963" i="97"/>
  <c r="B1935" i="97"/>
  <c r="B1907" i="97"/>
  <c r="B1879" i="97"/>
  <c r="B2074" i="97"/>
  <c r="B2046" i="97"/>
  <c r="B2018" i="97"/>
  <c r="B1990" i="97"/>
  <c r="B1962" i="97"/>
  <c r="B1934" i="97"/>
  <c r="B1906" i="97"/>
  <c r="B1878" i="97"/>
  <c r="B2073" i="97"/>
  <c r="B2045" i="97"/>
  <c r="B2017" i="97"/>
  <c r="B1989" i="97"/>
  <c r="B1961" i="97"/>
  <c r="B1933" i="97"/>
  <c r="B1905" i="97"/>
  <c r="B1877" i="97"/>
  <c r="B2072" i="97"/>
  <c r="B2044" i="97"/>
  <c r="B2016" i="97"/>
  <c r="B1988" i="97"/>
  <c r="B1960" i="97"/>
  <c r="B1932" i="97"/>
  <c r="B1904" i="97"/>
  <c r="B1876" i="97"/>
  <c r="B2071" i="97"/>
  <c r="B2043" i="97"/>
  <c r="B2015" i="97"/>
  <c r="B1987" i="97"/>
  <c r="B1959" i="97"/>
  <c r="B1931" i="97"/>
  <c r="B1903" i="97"/>
  <c r="B1875" i="97"/>
  <c r="B2070" i="97"/>
  <c r="B2042" i="97"/>
  <c r="B2014" i="97"/>
  <c r="B1986" i="97"/>
  <c r="B1958" i="97"/>
  <c r="B1930" i="97"/>
  <c r="B1902" i="97"/>
  <c r="B1874" i="97"/>
  <c r="B2069" i="97"/>
  <c r="B2041" i="97"/>
  <c r="B2013" i="97"/>
  <c r="B1985" i="97"/>
  <c r="B1957" i="97"/>
  <c r="B1929" i="97"/>
  <c r="B1901" i="97"/>
  <c r="B1873" i="97"/>
  <c r="B2068" i="97"/>
  <c r="B2040" i="97"/>
  <c r="B2012" i="97"/>
  <c r="B1984" i="97"/>
  <c r="B1956" i="97"/>
  <c r="B1928" i="97"/>
  <c r="B1900" i="97"/>
  <c r="B1872" i="97"/>
  <c r="B2067" i="97"/>
  <c r="B2039" i="97"/>
  <c r="B2011" i="97"/>
  <c r="B1983" i="97"/>
  <c r="B1955" i="97"/>
  <c r="B1927" i="97"/>
  <c r="B1899" i="97"/>
  <c r="B1871" i="97"/>
  <c r="B2066" i="97"/>
  <c r="B2038" i="97"/>
  <c r="B2010" i="97"/>
  <c r="B1982" i="97"/>
  <c r="B1954" i="97"/>
  <c r="B1926" i="97"/>
  <c r="B1898" i="97"/>
  <c r="B1870" i="97"/>
  <c r="B2065" i="97"/>
  <c r="B2037" i="97"/>
  <c r="B2009" i="97"/>
  <c r="B1981" i="97"/>
  <c r="B1953" i="97"/>
  <c r="B1925" i="97"/>
  <c r="B1897" i="97"/>
  <c r="B1869" i="97"/>
  <c r="B2064" i="97"/>
  <c r="B2036" i="97"/>
  <c r="B2008" i="97"/>
  <c r="B1980" i="97"/>
  <c r="B1952" i="97"/>
  <c r="B1924" i="97"/>
  <c r="B1896" i="97"/>
  <c r="B1868" i="97"/>
  <c r="B1867" i="97"/>
  <c r="B1866" i="97"/>
  <c r="B1865" i="97"/>
  <c r="B1864" i="97"/>
  <c r="B1863" i="97"/>
  <c r="B1862" i="97"/>
  <c r="B1861" i="97"/>
  <c r="B1860" i="97"/>
  <c r="B1859" i="97"/>
  <c r="B1858" i="97"/>
  <c r="B1857" i="97"/>
  <c r="B1856" i="97"/>
  <c r="B1855" i="97"/>
  <c r="B1854" i="97"/>
  <c r="B1853" i="97"/>
  <c r="B1852" i="97"/>
  <c r="B1851" i="97"/>
  <c r="B1850" i="97"/>
  <c r="B1849" i="97"/>
  <c r="B1848" i="97"/>
  <c r="B1847" i="97"/>
  <c r="B1846" i="97"/>
  <c r="B1845" i="97"/>
  <c r="B1844" i="97"/>
  <c r="B1843" i="97"/>
  <c r="B1842" i="97"/>
  <c r="B1841" i="97"/>
  <c r="B1840" i="97"/>
  <c r="B1700" i="97"/>
  <c r="B1728" i="97"/>
  <c r="B1756" i="97"/>
  <c r="B1784" i="97"/>
  <c r="B1812" i="97"/>
  <c r="B1815" i="97"/>
  <c r="B1787" i="97"/>
  <c r="B1759" i="97"/>
  <c r="B1731" i="97"/>
  <c r="B1703" i="97"/>
  <c r="B1814" i="97"/>
  <c r="B1786" i="97"/>
  <c r="B1758" i="97"/>
  <c r="B1730" i="97"/>
  <c r="B1702" i="97"/>
  <c r="B1813" i="97"/>
  <c r="B1785" i="97"/>
  <c r="B1757" i="97"/>
  <c r="B1729" i="97"/>
  <c r="B1701" i="97"/>
  <c r="B1839" i="97"/>
  <c r="B1811" i="97"/>
  <c r="B1783" i="97"/>
  <c r="B1755" i="97"/>
  <c r="B1727" i="97"/>
  <c r="B1699" i="97"/>
  <c r="B1838" i="97"/>
  <c r="B1810" i="97"/>
  <c r="B1782" i="97"/>
  <c r="B1754" i="97"/>
  <c r="B1726" i="97"/>
  <c r="B1698" i="97"/>
  <c r="B1837" i="97"/>
  <c r="B1809" i="97"/>
  <c r="B1781" i="97"/>
  <c r="B1753" i="97"/>
  <c r="B1725" i="97"/>
  <c r="B1697" i="97"/>
  <c r="B1836" i="97"/>
  <c r="B1808" i="97"/>
  <c r="B1780" i="97"/>
  <c r="B1752" i="97"/>
  <c r="B1724" i="97"/>
  <c r="B1696" i="97"/>
  <c r="B1835" i="97"/>
  <c r="B1807" i="97"/>
  <c r="B1779" i="97"/>
  <c r="B1751" i="97"/>
  <c r="B1723" i="97"/>
  <c r="B1695" i="97"/>
  <c r="B1834" i="97"/>
  <c r="B1806" i="97"/>
  <c r="B1778" i="97"/>
  <c r="B1750" i="97"/>
  <c r="B1722" i="97"/>
  <c r="B1694" i="97"/>
  <c r="B1833" i="97"/>
  <c r="B1805" i="97"/>
  <c r="B1777" i="97"/>
  <c r="B1749" i="97"/>
  <c r="B1721" i="97"/>
  <c r="B1693" i="97"/>
  <c r="B1832" i="97"/>
  <c r="B1804" i="97"/>
  <c r="B1776" i="97"/>
  <c r="B1748" i="97"/>
  <c r="B1720" i="97"/>
  <c r="B1692" i="97"/>
  <c r="B1831" i="97"/>
  <c r="B1803" i="97"/>
  <c r="B1775" i="97"/>
  <c r="B1747" i="97"/>
  <c r="B1719" i="97"/>
  <c r="B1691" i="97"/>
  <c r="B1830" i="97"/>
  <c r="B1802" i="97"/>
  <c r="B1774" i="97"/>
  <c r="B1746" i="97"/>
  <c r="B1718" i="97"/>
  <c r="B1690" i="97"/>
  <c r="B1829" i="97"/>
  <c r="B1801" i="97"/>
  <c r="B1773" i="97"/>
  <c r="B1745" i="97"/>
  <c r="B1717" i="97"/>
  <c r="B1689" i="97"/>
  <c r="B1828" i="97"/>
  <c r="B1800" i="97"/>
  <c r="B1772" i="97"/>
  <c r="B1744" i="97"/>
  <c r="B1716" i="97"/>
  <c r="B1688" i="97"/>
  <c r="B1827" i="97"/>
  <c r="B1799" i="97"/>
  <c r="B1771" i="97"/>
  <c r="B1743" i="97"/>
  <c r="B1715" i="97"/>
  <c r="B1687" i="97"/>
  <c r="B1826" i="97"/>
  <c r="B1798" i="97"/>
  <c r="B1770" i="97"/>
  <c r="B1742" i="97"/>
  <c r="B1714" i="97"/>
  <c r="B1686" i="97"/>
  <c r="B1825" i="97"/>
  <c r="B1797" i="97"/>
  <c r="B1769" i="97"/>
  <c r="B1741" i="97"/>
  <c r="B1713" i="97"/>
  <c r="B1685" i="97"/>
  <c r="B1824" i="97"/>
  <c r="B1796" i="97"/>
  <c r="B1768" i="97"/>
  <c r="B1740" i="97"/>
  <c r="B1712" i="97"/>
  <c r="B1684" i="97"/>
  <c r="B1823" i="97"/>
  <c r="B1795" i="97"/>
  <c r="B1767" i="97"/>
  <c r="B1739" i="97"/>
  <c r="B1711" i="97"/>
  <c r="B1683" i="97"/>
  <c r="B1822" i="97"/>
  <c r="B1794" i="97"/>
  <c r="B1766" i="97"/>
  <c r="B1738" i="97"/>
  <c r="B1710" i="97"/>
  <c r="B1682" i="97"/>
  <c r="B1821" i="97"/>
  <c r="B1793" i="97"/>
  <c r="B1765" i="97"/>
  <c r="B1737" i="97"/>
  <c r="B1709" i="97"/>
  <c r="B1681" i="97"/>
  <c r="B1820" i="97"/>
  <c r="B1792" i="97"/>
  <c r="B1764" i="97"/>
  <c r="B1736" i="97"/>
  <c r="B1708" i="97"/>
  <c r="B1680" i="97"/>
  <c r="B1819" i="97"/>
  <c r="B1791" i="97"/>
  <c r="B1763" i="97"/>
  <c r="B1735" i="97"/>
  <c r="B1707" i="97"/>
  <c r="B1679" i="97"/>
  <c r="B1818" i="97"/>
  <c r="B1790" i="97"/>
  <c r="B1762" i="97"/>
  <c r="B1734" i="97"/>
  <c r="B1706" i="97"/>
  <c r="B1678" i="97"/>
  <c r="B1817" i="97"/>
  <c r="B1789" i="97"/>
  <c r="B1761" i="97"/>
  <c r="B1733" i="97"/>
  <c r="B1705" i="97"/>
  <c r="B1677" i="97"/>
  <c r="B1816" i="97"/>
  <c r="B1788" i="97"/>
  <c r="B1760" i="97"/>
  <c r="B1732" i="97"/>
  <c r="B1704" i="97"/>
  <c r="B1676" i="97"/>
  <c r="B1675" i="97"/>
  <c r="B1674" i="97"/>
  <c r="B1673" i="97"/>
  <c r="B1672" i="97"/>
  <c r="B1671" i="97"/>
  <c r="B1670" i="97"/>
  <c r="B1669" i="97"/>
  <c r="B1668" i="97"/>
  <c r="B1667" i="97"/>
  <c r="B1666" i="97"/>
  <c r="B1665" i="97"/>
  <c r="B1664" i="97"/>
  <c r="B1663" i="97"/>
  <c r="B1662" i="97"/>
  <c r="B1661" i="97"/>
  <c r="B1660" i="97"/>
  <c r="B1659" i="97"/>
  <c r="B1658" i="97"/>
  <c r="B1657" i="97"/>
  <c r="B1656" i="97"/>
  <c r="B1655" i="97"/>
  <c r="B1654" i="97"/>
  <c r="B1653" i="97"/>
  <c r="B1652" i="97"/>
  <c r="B1651" i="97"/>
  <c r="B1650" i="97"/>
  <c r="B1649" i="97"/>
  <c r="B1648" i="97"/>
  <c r="B1647" i="97"/>
  <c r="B1641" i="97"/>
  <c r="B1635" i="97"/>
  <c r="B1646" i="97"/>
  <c r="B1640" i="97"/>
  <c r="B1634" i="97"/>
  <c r="B1645" i="97"/>
  <c r="B1639" i="97"/>
  <c r="B1633" i="97"/>
  <c r="B1644" i="97"/>
  <c r="B1638" i="97"/>
  <c r="B1632" i="97"/>
  <c r="B1643" i="97"/>
  <c r="B1637" i="97"/>
  <c r="B1631" i="97"/>
  <c r="B1642" i="97"/>
  <c r="B1636" i="97"/>
  <c r="B1630" i="97"/>
  <c r="AL7" i="27"/>
  <c r="B1629" i="97"/>
  <c r="B1620" i="97"/>
  <c r="B1611" i="97"/>
  <c r="B1602" i="97"/>
  <c r="B1594" i="97"/>
  <c r="B1628" i="97"/>
  <c r="B1619" i="97"/>
  <c r="B1610" i="97"/>
  <c r="B1601" i="97"/>
  <c r="B1593" i="97"/>
  <c r="B1627" i="97"/>
  <c r="B1618" i="97"/>
  <c r="B1609" i="97"/>
  <c r="B1600" i="97"/>
  <c r="B1592" i="97"/>
  <c r="B1626" i="97"/>
  <c r="B1617" i="97"/>
  <c r="B1608" i="97"/>
  <c r="B1599" i="97"/>
  <c r="B1591" i="97"/>
  <c r="B1625" i="97"/>
  <c r="B1616" i="97"/>
  <c r="B1607" i="97"/>
  <c r="B1598" i="97"/>
  <c r="B1590" i="97"/>
  <c r="B1624" i="97"/>
  <c r="B1615" i="97"/>
  <c r="B1606" i="97"/>
  <c r="B1597" i="97"/>
  <c r="B1589" i="97"/>
  <c r="B1623" i="97"/>
  <c r="B1614" i="97"/>
  <c r="B1605" i="97"/>
  <c r="B1596" i="97"/>
  <c r="B1588" i="97"/>
  <c r="B1622" i="97"/>
  <c r="B1613" i="97"/>
  <c r="B1604" i="97"/>
  <c r="B1595" i="97"/>
  <c r="B1587" i="97"/>
  <c r="B1621" i="97"/>
  <c r="B1612" i="97"/>
  <c r="B1603" i="97"/>
  <c r="B1586" i="97"/>
  <c r="B1585" i="97"/>
  <c r="B1584" i="97"/>
  <c r="B1583" i="97"/>
  <c r="B1582" i="97"/>
  <c r="B1581" i="97"/>
  <c r="B1580" i="97"/>
  <c r="B1579" i="97"/>
  <c r="B1578" i="97"/>
  <c r="B1577" i="97"/>
  <c r="B1576" i="97"/>
  <c r="B1575" i="97"/>
  <c r="B1574" i="97"/>
  <c r="B1573" i="97"/>
  <c r="B1572" i="97"/>
  <c r="B1571" i="97"/>
  <c r="B1570" i="97"/>
  <c r="B1569" i="97"/>
  <c r="B1568" i="97"/>
  <c r="B1554" i="97"/>
  <c r="B1567" i="97"/>
  <c r="B1566" i="97"/>
  <c r="B1565" i="97"/>
  <c r="B1564" i="97"/>
  <c r="B1563" i="97"/>
  <c r="B1562" i="97"/>
  <c r="B1561" i="97"/>
  <c r="B1560" i="97"/>
  <c r="AB12" i="96"/>
  <c r="B1559" i="97"/>
  <c r="B1553" i="97"/>
  <c r="B1558" i="97"/>
  <c r="B1557" i="97"/>
  <c r="B1556" i="97"/>
  <c r="B1552" i="97"/>
  <c r="B1555" i="97"/>
  <c r="B1551" i="97"/>
  <c r="B1550" i="97"/>
  <c r="B1549" i="97"/>
  <c r="B1548" i="97"/>
  <c r="AG44" i="15" l="1"/>
  <c r="AF44" i="15"/>
  <c r="AH44" i="15"/>
  <c r="Z6" i="96"/>
  <c r="B1547" i="97"/>
  <c r="B1546" i="97"/>
  <c r="B1545" i="97"/>
  <c r="B1544" i="97"/>
  <c r="B1543" i="97"/>
  <c r="B1542" i="97"/>
  <c r="B1541" i="97"/>
  <c r="B1540" i="97"/>
  <c r="B1539" i="97"/>
  <c r="B1538" i="97"/>
  <c r="B1537" i="97"/>
  <c r="B1536" i="97"/>
  <c r="B1535" i="97"/>
  <c r="B1534" i="97"/>
  <c r="B1533" i="97"/>
  <c r="B1532" i="97"/>
  <c r="B1531" i="97"/>
  <c r="B1530" i="97"/>
  <c r="B1529" i="97"/>
  <c r="B1521" i="97"/>
  <c r="B1491" i="97"/>
  <c r="B1528" i="97"/>
  <c r="B1520" i="97"/>
  <c r="B1490" i="97"/>
  <c r="B1527" i="97"/>
  <c r="B1519" i="97"/>
  <c r="B1489" i="97"/>
  <c r="B1526" i="97"/>
  <c r="B1518" i="97"/>
  <c r="B1488" i="97"/>
  <c r="B1525" i="97"/>
  <c r="B1517" i="97"/>
  <c r="B1487" i="97"/>
  <c r="B1524" i="97"/>
  <c r="B1516" i="97"/>
  <c r="B1486" i="97"/>
  <c r="B1523" i="97"/>
  <c r="B1515" i="97"/>
  <c r="B1485" i="97"/>
  <c r="B1522" i="97"/>
  <c r="B1514" i="97"/>
  <c r="B1484" i="97"/>
  <c r="B1513" i="97"/>
  <c r="B1512" i="97"/>
  <c r="B1511" i="97"/>
  <c r="B1510" i="97"/>
  <c r="B1509" i="97"/>
  <c r="B1508" i="97"/>
  <c r="B1483" i="97"/>
  <c r="B1507" i="97"/>
  <c r="B1482" i="97"/>
  <c r="B1506" i="97"/>
  <c r="B1481" i="97"/>
  <c r="B1505" i="97"/>
  <c r="B1480" i="97"/>
  <c r="B1504" i="97"/>
  <c r="B1479" i="97"/>
  <c r="B1503" i="97"/>
  <c r="B1478" i="97"/>
  <c r="B1502" i="97"/>
  <c r="B1477" i="97"/>
  <c r="B1501" i="97"/>
  <c r="B1476" i="97"/>
  <c r="B1500" i="97"/>
  <c r="B1475" i="97"/>
  <c r="B1499" i="97"/>
  <c r="B1474" i="97"/>
  <c r="B1498" i="97"/>
  <c r="B1473" i="97"/>
  <c r="B1497" i="97"/>
  <c r="B1472" i="97"/>
  <c r="B1496" i="97"/>
  <c r="B1471" i="97"/>
  <c r="B1495" i="97"/>
  <c r="B1470" i="97"/>
  <c r="B1494" i="97"/>
  <c r="B1469" i="97"/>
  <c r="B1493" i="97"/>
  <c r="B1468" i="97"/>
  <c r="B1492" i="97"/>
  <c r="B1467" i="97"/>
  <c r="B1466" i="97"/>
  <c r="B1465" i="97"/>
  <c r="B1464" i="97"/>
  <c r="B1463" i="97"/>
  <c r="B1462" i="97"/>
  <c r="B1461" i="97"/>
  <c r="B1460" i="97"/>
  <c r="B1459" i="97"/>
  <c r="B1458" i="97"/>
  <c r="B1457" i="97"/>
  <c r="B1456" i="97"/>
  <c r="B1455" i="97"/>
  <c r="B1454" i="97"/>
  <c r="B1453" i="97"/>
  <c r="B1452" i="97"/>
  <c r="B1451" i="97"/>
  <c r="B1450" i="97"/>
  <c r="B1449" i="97"/>
  <c r="B1448" i="97"/>
  <c r="B1447" i="97"/>
  <c r="B1446" i="97"/>
  <c r="B1445" i="97"/>
  <c r="B1444" i="97"/>
  <c r="B1443" i="97"/>
  <c r="B1442" i="97"/>
  <c r="B1441" i="97"/>
  <c r="B1415" i="97"/>
  <c r="B1440" i="97"/>
  <c r="B1414" i="97"/>
  <c r="B1389" i="97"/>
  <c r="B1364" i="97"/>
  <c r="B1439" i="97"/>
  <c r="B1413" i="97"/>
  <c r="B1388" i="97"/>
  <c r="B1363" i="97"/>
  <c r="B1438" i="97"/>
  <c r="B1412" i="97"/>
  <c r="B1387" i="97"/>
  <c r="B1362" i="97"/>
  <c r="B1437" i="97"/>
  <c r="B1411" i="97"/>
  <c r="B1386" i="97"/>
  <c r="B1361" i="97"/>
  <c r="B1436" i="97"/>
  <c r="B1410" i="97"/>
  <c r="B1385" i="97"/>
  <c r="B1360" i="97"/>
  <c r="B1435" i="97"/>
  <c r="B1409" i="97"/>
  <c r="B1384" i="97"/>
  <c r="B1359" i="97"/>
  <c r="B1434" i="97"/>
  <c r="B1408" i="97"/>
  <c r="B1383" i="97"/>
  <c r="B1358" i="97"/>
  <c r="B1433" i="97"/>
  <c r="B1407" i="97"/>
  <c r="B1382" i="97"/>
  <c r="B1357" i="97"/>
  <c r="B1432" i="97"/>
  <c r="B1406" i="97"/>
  <c r="B1381" i="97"/>
  <c r="B1356" i="97"/>
  <c r="B1431" i="97"/>
  <c r="B1405" i="97"/>
  <c r="B1380" i="97"/>
  <c r="B1355" i="97"/>
  <c r="B1430" i="97"/>
  <c r="B1404" i="97"/>
  <c r="B1379" i="97"/>
  <c r="B1354" i="97"/>
  <c r="B1429" i="97"/>
  <c r="B1403" i="97"/>
  <c r="B1378" i="97"/>
  <c r="B1353" i="97"/>
  <c r="B1428" i="97"/>
  <c r="B1402" i="97"/>
  <c r="B1377" i="97"/>
  <c r="B1352" i="97"/>
  <c r="B1427" i="97"/>
  <c r="B1401" i="97"/>
  <c r="B1376" i="97"/>
  <c r="B1351" i="97"/>
  <c r="B1426" i="97"/>
  <c r="B1400" i="97"/>
  <c r="B1375" i="97"/>
  <c r="B1350" i="97"/>
  <c r="B1425" i="97"/>
  <c r="B1399" i="97"/>
  <c r="B1374" i="97"/>
  <c r="B1349" i="97"/>
  <c r="B1424" i="97"/>
  <c r="B1398" i="97"/>
  <c r="B1373" i="97"/>
  <c r="B1348" i="97"/>
  <c r="B1423" i="97"/>
  <c r="B1397" i="97"/>
  <c r="B1372" i="97"/>
  <c r="B1347" i="97"/>
  <c r="B1422" i="97"/>
  <c r="B1396" i="97"/>
  <c r="B1371" i="97"/>
  <c r="B1346" i="97"/>
  <c r="B1421" i="97"/>
  <c r="B1395" i="97"/>
  <c r="B1370" i="97"/>
  <c r="B1345" i="97"/>
  <c r="B1420" i="97"/>
  <c r="B1394" i="97"/>
  <c r="B1369" i="97"/>
  <c r="B1344" i="97"/>
  <c r="B1419" i="97"/>
  <c r="B1393" i="97"/>
  <c r="B1368" i="97"/>
  <c r="B1343" i="97"/>
  <c r="B1418" i="97"/>
  <c r="B1392" i="97"/>
  <c r="B1367" i="97"/>
  <c r="B1342" i="97"/>
  <c r="B1417" i="97"/>
  <c r="B1391" i="97"/>
  <c r="B1366" i="97"/>
  <c r="B1341" i="97"/>
  <c r="B1416" i="97"/>
  <c r="B1390" i="97"/>
  <c r="B1365" i="97"/>
  <c r="B1340" i="97"/>
  <c r="B1339" i="97"/>
  <c r="B1338" i="97"/>
  <c r="B1337" i="97"/>
  <c r="B1336" i="97"/>
  <c r="B1335" i="97"/>
  <c r="B1334" i="97"/>
  <c r="B1333" i="97"/>
  <c r="B1332" i="97"/>
  <c r="B1331" i="97"/>
  <c r="B1330" i="97"/>
  <c r="B1329" i="97"/>
  <c r="B1328" i="97"/>
  <c r="B1327" i="97"/>
  <c r="B1326" i="97"/>
  <c r="B1325" i="97"/>
  <c r="B1324" i="97"/>
  <c r="B1323" i="97"/>
  <c r="B1322" i="97"/>
  <c r="B1321" i="97"/>
  <c r="B1320" i="97"/>
  <c r="B1319" i="97"/>
  <c r="B1318" i="97"/>
  <c r="B1317" i="97"/>
  <c r="B1316" i="97"/>
  <c r="B1315" i="97"/>
  <c r="B1314" i="97"/>
  <c r="B1291" i="97"/>
  <c r="B1313" i="97"/>
  <c r="B1290" i="97"/>
  <c r="B1268" i="97"/>
  <c r="B1246" i="97"/>
  <c r="B1312" i="97"/>
  <c r="B1289" i="97"/>
  <c r="B1267" i="97"/>
  <c r="B1245" i="97"/>
  <c r="B1311" i="97"/>
  <c r="B1288" i="97"/>
  <c r="B1266" i="97"/>
  <c r="B1244" i="97"/>
  <c r="B1310" i="97"/>
  <c r="B1287" i="97"/>
  <c r="B1265" i="97"/>
  <c r="B1243" i="97"/>
  <c r="B1309" i="97"/>
  <c r="B1286" i="97"/>
  <c r="B1264" i="97"/>
  <c r="B1242" i="97"/>
  <c r="B1308" i="97"/>
  <c r="B1285" i="97"/>
  <c r="B1263" i="97"/>
  <c r="B1241" i="97"/>
  <c r="B1307" i="97"/>
  <c r="B1284" i="97"/>
  <c r="B1262" i="97"/>
  <c r="B1240" i="97"/>
  <c r="B1306" i="97"/>
  <c r="B1283" i="97"/>
  <c r="B1261" i="97"/>
  <c r="B1239" i="97"/>
  <c r="B1305" i="97"/>
  <c r="B1282" i="97"/>
  <c r="B1260" i="97"/>
  <c r="B1238" i="97"/>
  <c r="B1304" i="97"/>
  <c r="B1281" i="97"/>
  <c r="B1259" i="97"/>
  <c r="B1237" i="97"/>
  <c r="B1303" i="97"/>
  <c r="B1280" i="97"/>
  <c r="B1258" i="97"/>
  <c r="B1236" i="97"/>
  <c r="B1302" i="97"/>
  <c r="B1279" i="97"/>
  <c r="B1257" i="97"/>
  <c r="B1235" i="97"/>
  <c r="B1301" i="97"/>
  <c r="B1278" i="97"/>
  <c r="B1256" i="97"/>
  <c r="B1234" i="97"/>
  <c r="B1300" i="97"/>
  <c r="B1277" i="97"/>
  <c r="B1255" i="97"/>
  <c r="B1233" i="97"/>
  <c r="B1299" i="97"/>
  <c r="B1276" i="97"/>
  <c r="B1254" i="97"/>
  <c r="B1232" i="97"/>
  <c r="B1298" i="97"/>
  <c r="B1275" i="97"/>
  <c r="B1253" i="97"/>
  <c r="B1231" i="97"/>
  <c r="B1297" i="97"/>
  <c r="B1274" i="97"/>
  <c r="B1252" i="97"/>
  <c r="B1230" i="97"/>
  <c r="B1296" i="97"/>
  <c r="B1273" i="97"/>
  <c r="B1251" i="97"/>
  <c r="B1229" i="97"/>
  <c r="B1295" i="97"/>
  <c r="B1272" i="97"/>
  <c r="B1250" i="97"/>
  <c r="B1228" i="97"/>
  <c r="B1294" i="97"/>
  <c r="B1271" i="97"/>
  <c r="B1249" i="97"/>
  <c r="B1227" i="97"/>
  <c r="B1293" i="97"/>
  <c r="B1270" i="97"/>
  <c r="B1248" i="97"/>
  <c r="B1226" i="97"/>
  <c r="B1292" i="97"/>
  <c r="B1269" i="97"/>
  <c r="B1247" i="97"/>
  <c r="B1225" i="97"/>
  <c r="B1224" i="97"/>
  <c r="B1223" i="97"/>
  <c r="B1222" i="97"/>
  <c r="B1221" i="97"/>
  <c r="B1220" i="97"/>
  <c r="B1219" i="97"/>
  <c r="B1218" i="97"/>
  <c r="B1217" i="97"/>
  <c r="B1216" i="97"/>
  <c r="B1215" i="97"/>
  <c r="B1214" i="97"/>
  <c r="B1213" i="97"/>
  <c r="B1212" i="97"/>
  <c r="B1211" i="97"/>
  <c r="B1210" i="97"/>
  <c r="B1209" i="97"/>
  <c r="B1208" i="97"/>
  <c r="B1207" i="97"/>
  <c r="B1206" i="97"/>
  <c r="B1205" i="97"/>
  <c r="B1204" i="97"/>
  <c r="B1203" i="97"/>
  <c r="B1202" i="97"/>
  <c r="B1195" i="97"/>
  <c r="B1188" i="97"/>
  <c r="B1181" i="97"/>
  <c r="B1201" i="97"/>
  <c r="B1194" i="97"/>
  <c r="B1187" i="97"/>
  <c r="B1180" i="97"/>
  <c r="B1200" i="97"/>
  <c r="B1193" i="97"/>
  <c r="B1186" i="97"/>
  <c r="B1179" i="97"/>
  <c r="B1199" i="97"/>
  <c r="B1192" i="97"/>
  <c r="B1185" i="97"/>
  <c r="B1178" i="97"/>
  <c r="B1198" i="97"/>
  <c r="B1191" i="97"/>
  <c r="B1184" i="97"/>
  <c r="B1177" i="97"/>
  <c r="B1197" i="97"/>
  <c r="B1190" i="97"/>
  <c r="B1183" i="97"/>
  <c r="B1176" i="97"/>
  <c r="B1196" i="97"/>
  <c r="B1189" i="97"/>
  <c r="B1182" i="97"/>
  <c r="B1175" i="97"/>
  <c r="B1174" i="97"/>
  <c r="B1173" i="97"/>
  <c r="B1172" i="97"/>
  <c r="B1171" i="97"/>
  <c r="B1170" i="97"/>
  <c r="B1169" i="97"/>
  <c r="B1168" i="97"/>
  <c r="B1167" i="97"/>
  <c r="B1140" i="97"/>
  <c r="B1117" i="97"/>
  <c r="B1166" i="97"/>
  <c r="B1139" i="97"/>
  <c r="B1116" i="97"/>
  <c r="B1165" i="97"/>
  <c r="B1138" i="97"/>
  <c r="B1115" i="97"/>
  <c r="B1164" i="97"/>
  <c r="B1163" i="97"/>
  <c r="B1137" i="97"/>
  <c r="B1114" i="97"/>
  <c r="B1162" i="97"/>
  <c r="B1113" i="97"/>
  <c r="B1161" i="97"/>
  <c r="B1136" i="97"/>
  <c r="B1112" i="97"/>
  <c r="B1160" i="97"/>
  <c r="B1135" i="97"/>
  <c r="B1111" i="97"/>
  <c r="B1159" i="97"/>
  <c r="B1134" i="97"/>
  <c r="B1110" i="97"/>
  <c r="B1158" i="97"/>
  <c r="B1133" i="97"/>
  <c r="B1109" i="97"/>
  <c r="B1157" i="97"/>
  <c r="B1132" i="97"/>
  <c r="B1108" i="97"/>
  <c r="B1156" i="97"/>
  <c r="B1131" i="97"/>
  <c r="B1107" i="97"/>
  <c r="B1155" i="97"/>
  <c r="B1106" i="97"/>
  <c r="B1154" i="97"/>
  <c r="B1130" i="97"/>
  <c r="B1105" i="97"/>
  <c r="B1153" i="97"/>
  <c r="B1129" i="97"/>
  <c r="B1104" i="97"/>
  <c r="B1152" i="97"/>
  <c r="B1128" i="97"/>
  <c r="B1103" i="97"/>
  <c r="B1151" i="97"/>
  <c r="B1127" i="97"/>
  <c r="B1102" i="97"/>
  <c r="B1150" i="97"/>
  <c r="B1126" i="97"/>
  <c r="B1101" i="97"/>
  <c r="B1149" i="97"/>
  <c r="B1125" i="97"/>
  <c r="B1100" i="97"/>
  <c r="B1148" i="97"/>
  <c r="B1099" i="97"/>
  <c r="B1147" i="97"/>
  <c r="B1124" i="97"/>
  <c r="B1098" i="97"/>
  <c r="B1146" i="97"/>
  <c r="B1123" i="97"/>
  <c r="B1097" i="97"/>
  <c r="B1145" i="97"/>
  <c r="B1122" i="97"/>
  <c r="B1096" i="97"/>
  <c r="B1144" i="97"/>
  <c r="B1121" i="97"/>
  <c r="B1095" i="97"/>
  <c r="B1143" i="97"/>
  <c r="B1120" i="97"/>
  <c r="B1094" i="97"/>
  <c r="B1142" i="97"/>
  <c r="B1119" i="97"/>
  <c r="B1093" i="97"/>
  <c r="B1141" i="97"/>
  <c r="B1118" i="97"/>
  <c r="B1092" i="97"/>
  <c r="B1091" i="97"/>
  <c r="B1090" i="97"/>
  <c r="B1089" i="97"/>
  <c r="B1088" i="97"/>
  <c r="B1086" i="97"/>
  <c r="B1085" i="97"/>
  <c r="B1084" i="97"/>
  <c r="B1083" i="97"/>
  <c r="B1082" i="97"/>
  <c r="B1081" i="97"/>
  <c r="B1078" i="97"/>
  <c r="B1077" i="97"/>
  <c r="B1076" i="97"/>
  <c r="B1075" i="97"/>
  <c r="B1074" i="97"/>
  <c r="B1072" i="97"/>
  <c r="B1071" i="97"/>
  <c r="B1070" i="97"/>
  <c r="B1069" i="97"/>
  <c r="B1068" i="97"/>
  <c r="B1067" i="97"/>
  <c r="B1066" i="97"/>
  <c r="B1065" i="97"/>
  <c r="B1049" i="97"/>
  <c r="B1033" i="97"/>
  <c r="B1017" i="97"/>
  <c r="B1001" i="97"/>
  <c r="B985" i="97"/>
  <c r="B969" i="97"/>
  <c r="B1064" i="97"/>
  <c r="B1048" i="97"/>
  <c r="B1032" i="97"/>
  <c r="B1016" i="97"/>
  <c r="B1000" i="97"/>
  <c r="B984" i="97"/>
  <c r="B968" i="97"/>
  <c r="B1063" i="97"/>
  <c r="B1047" i="97"/>
  <c r="B1031" i="97"/>
  <c r="B1015" i="97"/>
  <c r="B999" i="97"/>
  <c r="B983" i="97"/>
  <c r="B967" i="97"/>
  <c r="B1062" i="97"/>
  <c r="B1046" i="97"/>
  <c r="B1030" i="97"/>
  <c r="B1014" i="97"/>
  <c r="B998" i="97"/>
  <c r="B982" i="97"/>
  <c r="B966" i="97"/>
  <c r="B1061" i="97"/>
  <c r="B1045" i="97"/>
  <c r="B1029" i="97"/>
  <c r="B1013" i="97"/>
  <c r="B997" i="97"/>
  <c r="B981" i="97"/>
  <c r="B965" i="97"/>
  <c r="B1060" i="97"/>
  <c r="B1044" i="97"/>
  <c r="B1028" i="97"/>
  <c r="B1012" i="97"/>
  <c r="B996" i="97"/>
  <c r="B980" i="97"/>
  <c r="B964" i="97"/>
  <c r="B1059" i="97"/>
  <c r="B1043" i="97"/>
  <c r="B1027" i="97"/>
  <c r="B1011" i="97"/>
  <c r="B995" i="97"/>
  <c r="B979" i="97"/>
  <c r="B963" i="97"/>
  <c r="B1058" i="97"/>
  <c r="B1042" i="97"/>
  <c r="B1026" i="97"/>
  <c r="B1010" i="97"/>
  <c r="B994" i="97"/>
  <c r="B978" i="97"/>
  <c r="B962" i="97"/>
  <c r="B1057" i="97"/>
  <c r="B1041" i="97"/>
  <c r="B1025" i="97"/>
  <c r="B1009" i="97"/>
  <c r="B993" i="97"/>
  <c r="B977" i="97"/>
  <c r="B961" i="97"/>
  <c r="B1056" i="97"/>
  <c r="B1040" i="97"/>
  <c r="B1024" i="97"/>
  <c r="B1008" i="97"/>
  <c r="B992" i="97"/>
  <c r="B976" i="97"/>
  <c r="B960" i="97"/>
  <c r="B1055" i="97"/>
  <c r="B1039" i="97"/>
  <c r="B1023" i="97"/>
  <c r="B1007" i="97"/>
  <c r="B991" i="97"/>
  <c r="B975" i="97"/>
  <c r="B959" i="97"/>
  <c r="B1054" i="97"/>
  <c r="B1038" i="97"/>
  <c r="B1022" i="97"/>
  <c r="B1006" i="97"/>
  <c r="B990" i="97"/>
  <c r="B974" i="97"/>
  <c r="B958" i="97"/>
  <c r="B1053" i="97"/>
  <c r="B1037" i="97"/>
  <c r="B1021" i="97"/>
  <c r="B1005" i="97"/>
  <c r="B989" i="97"/>
  <c r="B973" i="97"/>
  <c r="B957" i="97"/>
  <c r="B1052" i="97"/>
  <c r="B1036" i="97"/>
  <c r="B1020" i="97"/>
  <c r="B1004" i="97"/>
  <c r="B988" i="97"/>
  <c r="B972" i="97"/>
  <c r="B956" i="97"/>
  <c r="B1051" i="97"/>
  <c r="B1035" i="97"/>
  <c r="B1019" i="97"/>
  <c r="B1003" i="97"/>
  <c r="B987" i="97"/>
  <c r="B971" i="97"/>
  <c r="B955" i="97"/>
  <c r="B1050" i="97"/>
  <c r="B1034" i="97"/>
  <c r="B1018" i="97"/>
  <c r="B1002" i="97"/>
  <c r="B986" i="97"/>
  <c r="B970" i="97"/>
  <c r="B954" i="97"/>
  <c r="B953" i="97"/>
  <c r="B952" i="97"/>
  <c r="B951" i="97"/>
  <c r="B950" i="97"/>
  <c r="B949" i="97"/>
  <c r="B948" i="97"/>
  <c r="B947" i="97"/>
  <c r="B946" i="97"/>
  <c r="B945" i="97"/>
  <c r="B944" i="97"/>
  <c r="B943" i="97"/>
  <c r="B942" i="97"/>
  <c r="B941" i="97"/>
  <c r="B940" i="97"/>
  <c r="B939" i="97"/>
  <c r="B938" i="97"/>
  <c r="B937" i="97"/>
  <c r="B924" i="97"/>
  <c r="B936" i="97"/>
  <c r="B923" i="97"/>
  <c r="B935" i="97"/>
  <c r="B922" i="97"/>
  <c r="B934" i="97"/>
  <c r="B921" i="97"/>
  <c r="B933" i="97"/>
  <c r="B920" i="97"/>
  <c r="B932" i="97"/>
  <c r="B919" i="97"/>
  <c r="B931" i="97"/>
  <c r="B918" i="97"/>
  <c r="B930" i="97"/>
  <c r="B917" i="97"/>
  <c r="B929" i="97"/>
  <c r="B916" i="97"/>
  <c r="B928" i="97"/>
  <c r="B915" i="97"/>
  <c r="B927" i="97"/>
  <c r="B914" i="97"/>
  <c r="B926" i="97"/>
  <c r="B913" i="97"/>
  <c r="B925" i="97"/>
  <c r="B912" i="97"/>
  <c r="B911" i="97"/>
  <c r="B910" i="97"/>
  <c r="B909" i="97"/>
  <c r="B907" i="97"/>
  <c r="B883" i="97"/>
  <c r="B859" i="97"/>
  <c r="B835" i="97"/>
  <c r="B811" i="97"/>
  <c r="B906" i="97"/>
  <c r="B882" i="97"/>
  <c r="B858" i="97"/>
  <c r="B834" i="97"/>
  <c r="B810" i="97"/>
  <c r="B905" i="97"/>
  <c r="B881" i="97"/>
  <c r="B857" i="97"/>
  <c r="B833" i="97"/>
  <c r="B809" i="97"/>
  <c r="B904" i="97"/>
  <c r="B880" i="97"/>
  <c r="B856" i="97"/>
  <c r="B832" i="97"/>
  <c r="B808" i="97"/>
  <c r="B903" i="97"/>
  <c r="B879" i="97"/>
  <c r="B855" i="97"/>
  <c r="B831" i="97"/>
  <c r="B807" i="97"/>
  <c r="B902" i="97"/>
  <c r="B878" i="97"/>
  <c r="B854" i="97"/>
  <c r="B830" i="97"/>
  <c r="B806" i="97"/>
  <c r="B901" i="97"/>
  <c r="B877" i="97"/>
  <c r="B853" i="97"/>
  <c r="B829" i="97"/>
  <c r="B805" i="97"/>
  <c r="B900" i="97"/>
  <c r="B876" i="97"/>
  <c r="B852" i="97"/>
  <c r="B828" i="97"/>
  <c r="B804" i="97"/>
  <c r="B899" i="97"/>
  <c r="B875" i="97"/>
  <c r="B851" i="97"/>
  <c r="B827" i="97"/>
  <c r="B803" i="97"/>
  <c r="B898" i="97"/>
  <c r="B874" i="97"/>
  <c r="B850" i="97"/>
  <c r="B826" i="97"/>
  <c r="B802" i="97"/>
  <c r="B897" i="97"/>
  <c r="B873" i="97"/>
  <c r="B849" i="97"/>
  <c r="B825" i="97"/>
  <c r="B801" i="97"/>
  <c r="B896" i="97"/>
  <c r="B872" i="97"/>
  <c r="B848" i="97"/>
  <c r="B824" i="97"/>
  <c r="B800" i="97"/>
  <c r="B895" i="97"/>
  <c r="B871" i="97"/>
  <c r="B847" i="97"/>
  <c r="B823" i="97"/>
  <c r="B799" i="97"/>
  <c r="B894" i="97"/>
  <c r="B870" i="97"/>
  <c r="B846" i="97"/>
  <c r="B822" i="97"/>
  <c r="B798" i="97"/>
  <c r="B893" i="97"/>
  <c r="B869" i="97"/>
  <c r="B845" i="97"/>
  <c r="B821" i="97"/>
  <c r="B797" i="97"/>
  <c r="B892" i="97"/>
  <c r="B868" i="97"/>
  <c r="B844" i="97"/>
  <c r="B820" i="97"/>
  <c r="B796" i="97"/>
  <c r="B891" i="97"/>
  <c r="B867" i="97"/>
  <c r="B843" i="97"/>
  <c r="B819" i="97"/>
  <c r="B795" i="97"/>
  <c r="B890" i="97"/>
  <c r="B866" i="97"/>
  <c r="B842" i="97"/>
  <c r="B818" i="97"/>
  <c r="B794" i="97"/>
  <c r="B889" i="97"/>
  <c r="B865" i="97"/>
  <c r="B841" i="97"/>
  <c r="B817" i="97"/>
  <c r="B793" i="97"/>
  <c r="B888" i="97"/>
  <c r="B864" i="97"/>
  <c r="B840" i="97"/>
  <c r="B816" i="97"/>
  <c r="B792" i="97"/>
  <c r="B887" i="97"/>
  <c r="B863" i="97"/>
  <c r="B839" i="97"/>
  <c r="B815" i="97"/>
  <c r="B791" i="97"/>
  <c r="B886" i="97"/>
  <c r="B862" i="97"/>
  <c r="B838" i="97"/>
  <c r="B814" i="97"/>
  <c r="B790" i="97"/>
  <c r="B885" i="97"/>
  <c r="B861" i="97"/>
  <c r="B837" i="97"/>
  <c r="B813" i="97"/>
  <c r="B789" i="97"/>
  <c r="B884" i="97"/>
  <c r="B860" i="97"/>
  <c r="B836" i="97"/>
  <c r="B812" i="97"/>
  <c r="B788" i="97"/>
  <c r="B787" i="97"/>
  <c r="B786" i="97"/>
  <c r="B785" i="97"/>
  <c r="B784" i="97"/>
  <c r="B783" i="97"/>
  <c r="B782" i="97"/>
  <c r="B781" i="97"/>
  <c r="B780" i="97"/>
  <c r="B779" i="97"/>
  <c r="B778" i="97"/>
  <c r="B777" i="97"/>
  <c r="B776" i="97"/>
  <c r="B775" i="97"/>
  <c r="B774" i="97"/>
  <c r="B773" i="97"/>
  <c r="B772" i="97"/>
  <c r="B771" i="97"/>
  <c r="B770" i="97"/>
  <c r="B769" i="97"/>
  <c r="B768" i="97"/>
  <c r="B767" i="97"/>
  <c r="B766" i="97"/>
  <c r="B765" i="97"/>
  <c r="B764" i="97"/>
  <c r="B763" i="97" l="1"/>
  <c r="B762" i="97"/>
  <c r="B752" i="97"/>
  <c r="B743" i="97"/>
  <c r="B721" i="97"/>
  <c r="B699" i="97"/>
  <c r="B761" i="97"/>
  <c r="B751" i="97"/>
  <c r="B742" i="97"/>
  <c r="B733" i="97"/>
  <c r="B728" i="97"/>
  <c r="B720" i="97"/>
  <c r="B711" i="97"/>
  <c r="B704" i="97"/>
  <c r="B698" i="97"/>
  <c r="B760" i="97"/>
  <c r="B750" i="97"/>
  <c r="B741" i="97"/>
  <c r="B732" i="97"/>
  <c r="B727" i="97"/>
  <c r="B719" i="97"/>
  <c r="B710" i="97"/>
  <c r="B703" i="97"/>
  <c r="B697" i="97"/>
  <c r="B759" i="97"/>
  <c r="B749" i="97"/>
  <c r="B740" i="97"/>
  <c r="B718" i="97"/>
  <c r="B696" i="97"/>
  <c r="B758" i="97"/>
  <c r="B748" i="97"/>
  <c r="B739" i="97"/>
  <c r="B731" i="97"/>
  <c r="B726" i="97"/>
  <c r="B717" i="97"/>
  <c r="B709" i="97"/>
  <c r="B702" i="97"/>
  <c r="B695" i="97"/>
  <c r="B757" i="97"/>
  <c r="B747" i="97"/>
  <c r="B738" i="97"/>
  <c r="B730" i="97"/>
  <c r="B725" i="97"/>
  <c r="B716" i="97"/>
  <c r="B708" i="97"/>
  <c r="B701" i="97"/>
  <c r="B694" i="97"/>
  <c r="B756" i="97"/>
  <c r="B737" i="97"/>
  <c r="B715" i="97"/>
  <c r="B755" i="97"/>
  <c r="B746" i="97"/>
  <c r="B736" i="97"/>
  <c r="B729" i="97"/>
  <c r="B724" i="97"/>
  <c r="B714" i="97"/>
  <c r="B707" i="97"/>
  <c r="B700" i="97"/>
  <c r="B693" i="97"/>
  <c r="B754" i="97"/>
  <c r="B745" i="97"/>
  <c r="B735" i="97"/>
  <c r="B723" i="97"/>
  <c r="B713" i="97"/>
  <c r="B706" i="97"/>
  <c r="B692" i="97"/>
  <c r="B753" i="97"/>
  <c r="B744" i="97"/>
  <c r="B734" i="97"/>
  <c r="B722" i="97"/>
  <c r="B712" i="97"/>
  <c r="B705" i="97"/>
  <c r="B691" i="97"/>
  <c r="B690" i="97"/>
  <c r="B689" i="97"/>
  <c r="B688" i="97"/>
  <c r="B687" i="97"/>
  <c r="B686" i="97"/>
  <c r="B685" i="97"/>
  <c r="B684" i="97"/>
  <c r="B683" i="97"/>
  <c r="B682" i="97"/>
  <c r="B423" i="97"/>
  <c r="B422" i="97"/>
  <c r="B421" i="97"/>
  <c r="B420" i="97"/>
  <c r="B419" i="97"/>
  <c r="B418" i="97"/>
  <c r="B417" i="97"/>
  <c r="B416" i="97"/>
  <c r="B415" i="97"/>
  <c r="B414" i="97"/>
  <c r="B413" i="97"/>
  <c r="B412" i="97"/>
  <c r="B411" i="97"/>
  <c r="B410" i="97"/>
  <c r="B404" i="97"/>
  <c r="B409" i="97"/>
  <c r="B403" i="97"/>
  <c r="B408" i="97"/>
  <c r="B402" i="97"/>
  <c r="B407" i="97"/>
  <c r="B401" i="97"/>
  <c r="B406" i="97"/>
  <c r="B400" i="97"/>
  <c r="B405" i="97"/>
  <c r="B399" i="97"/>
  <c r="B398" i="97"/>
  <c r="B397" i="97"/>
  <c r="B396" i="97"/>
  <c r="B395" i="97"/>
  <c r="B394" i="97"/>
  <c r="B393" i="97"/>
  <c r="B392" i="97"/>
  <c r="B370" i="97"/>
  <c r="B348" i="97"/>
  <c r="B326" i="97"/>
  <c r="B391" i="97"/>
  <c r="B369" i="97"/>
  <c r="B347" i="97"/>
  <c r="B325" i="97"/>
  <c r="B390" i="97"/>
  <c r="B368" i="97"/>
  <c r="B346" i="97"/>
  <c r="B324" i="97"/>
  <c r="B389" i="97"/>
  <c r="B367" i="97"/>
  <c r="B345" i="97"/>
  <c r="B323" i="97"/>
  <c r="B388" i="97"/>
  <c r="B366" i="97"/>
  <c r="B344" i="97"/>
  <c r="B322" i="97"/>
  <c r="B387" i="97"/>
  <c r="B365" i="97"/>
  <c r="B343" i="97"/>
  <c r="B321" i="97"/>
  <c r="B386" i="97"/>
  <c r="B364" i="97"/>
  <c r="B342" i="97"/>
  <c r="B320" i="97"/>
  <c r="B385" i="97"/>
  <c r="B363" i="97"/>
  <c r="B341" i="97"/>
  <c r="B319" i="97"/>
  <c r="B384" i="97"/>
  <c r="B362" i="97"/>
  <c r="B340" i="97"/>
  <c r="B318" i="97"/>
  <c r="B383" i="97"/>
  <c r="B361" i="97"/>
  <c r="B339" i="97"/>
  <c r="B317" i="97"/>
  <c r="B382" i="97"/>
  <c r="B360" i="97"/>
  <c r="B338" i="97"/>
  <c r="B316" i="97"/>
  <c r="B381" i="97"/>
  <c r="B359" i="97"/>
  <c r="B337" i="97"/>
  <c r="B315" i="97"/>
  <c r="B380" i="97"/>
  <c r="B358" i="97"/>
  <c r="B336" i="97"/>
  <c r="B314" i="97"/>
  <c r="B379" i="97"/>
  <c r="B357" i="97"/>
  <c r="B335" i="97"/>
  <c r="B313" i="97"/>
  <c r="B378" i="97"/>
  <c r="B356" i="97"/>
  <c r="B334" i="97"/>
  <c r="B312" i="97"/>
  <c r="B377" i="97"/>
  <c r="B355" i="97"/>
  <c r="B333" i="97"/>
  <c r="B311" i="97"/>
  <c r="B376" i="97"/>
  <c r="B354" i="97"/>
  <c r="B332" i="97"/>
  <c r="B310" i="97"/>
  <c r="B375" i="97"/>
  <c r="B353" i="97"/>
  <c r="B331" i="97"/>
  <c r="B309" i="97"/>
  <c r="B374" i="97"/>
  <c r="B352" i="97"/>
  <c r="B330" i="97"/>
  <c r="B308" i="97"/>
  <c r="B373" i="97"/>
  <c r="B351" i="97"/>
  <c r="B329" i="97"/>
  <c r="B307" i="97"/>
  <c r="B372" i="97"/>
  <c r="B350" i="97"/>
  <c r="B328" i="97"/>
  <c r="B306" i="97"/>
  <c r="B371" i="97"/>
  <c r="B349" i="97"/>
  <c r="B327" i="97"/>
  <c r="B305" i="97"/>
  <c r="B304" i="97"/>
  <c r="B303" i="97"/>
  <c r="B302" i="97"/>
  <c r="B301" i="97"/>
  <c r="B300" i="97"/>
  <c r="B299" i="97"/>
  <c r="B298" i="97"/>
  <c r="B297" i="97"/>
  <c r="B296" i="97"/>
  <c r="B295" i="97"/>
  <c r="B294" i="97"/>
  <c r="B293" i="97"/>
  <c r="B292" i="97"/>
  <c r="B291" i="97"/>
  <c r="B290" i="97"/>
  <c r="B289" i="97"/>
  <c r="B288" i="97"/>
  <c r="B287" i="97"/>
  <c r="B286" i="97"/>
  <c r="B285" i="97"/>
  <c r="B284" i="97"/>
  <c r="B283" i="97"/>
  <c r="B282" i="97"/>
  <c r="B248" i="97"/>
  <c r="B214" i="97"/>
  <c r="B180" i="97"/>
  <c r="B281" i="97"/>
  <c r="B247" i="97"/>
  <c r="B213" i="97"/>
  <c r="B179" i="97"/>
  <c r="B280" i="97"/>
  <c r="B246" i="97"/>
  <c r="B212" i="97"/>
  <c r="B178" i="97"/>
  <c r="B279" i="97"/>
  <c r="B245" i="97"/>
  <c r="B211" i="97"/>
  <c r="B177" i="97"/>
  <c r="B278" i="97"/>
  <c r="B244" i="97"/>
  <c r="B210" i="97"/>
  <c r="B176" i="97"/>
  <c r="B277" i="97"/>
  <c r="B243" i="97"/>
  <c r="B209" i="97"/>
  <c r="B175" i="97"/>
  <c r="B276" i="97"/>
  <c r="B242" i="97"/>
  <c r="B208" i="97"/>
  <c r="B174" i="97"/>
  <c r="B275" i="97"/>
  <c r="B241" i="97"/>
  <c r="B207" i="97"/>
  <c r="B173" i="97"/>
  <c r="B274" i="97"/>
  <c r="B240" i="97"/>
  <c r="B206" i="97"/>
  <c r="B172" i="97"/>
  <c r="B273" i="97"/>
  <c r="B239" i="97"/>
  <c r="B205" i="97"/>
  <c r="B171" i="97"/>
  <c r="B272" i="97"/>
  <c r="B238" i="97"/>
  <c r="B204" i="97"/>
  <c r="B170" i="97"/>
  <c r="B271" i="97"/>
  <c r="B237" i="97"/>
  <c r="B203" i="97"/>
  <c r="B169" i="97"/>
  <c r="B270" i="97"/>
  <c r="B236" i="97"/>
  <c r="B202" i="97"/>
  <c r="B168" i="97"/>
  <c r="B269" i="97"/>
  <c r="B235" i="97"/>
  <c r="B201" i="97"/>
  <c r="B167" i="97"/>
  <c r="B268" i="97"/>
  <c r="B234" i="97"/>
  <c r="B200" i="97"/>
  <c r="B166" i="97"/>
  <c r="B267" i="97"/>
  <c r="B233" i="97"/>
  <c r="B199" i="97"/>
  <c r="B165" i="97"/>
  <c r="B266" i="97"/>
  <c r="B232" i="97"/>
  <c r="B198" i="97"/>
  <c r="B164" i="97"/>
  <c r="B265" i="97"/>
  <c r="B231" i="97"/>
  <c r="B197" i="97"/>
  <c r="B163" i="97"/>
  <c r="B264" i="97"/>
  <c r="B230" i="97"/>
  <c r="B196" i="97"/>
  <c r="B162" i="97"/>
  <c r="B263" i="97"/>
  <c r="B229" i="97"/>
  <c r="B195" i="97"/>
  <c r="B161" i="97"/>
  <c r="B262" i="97"/>
  <c r="B228" i="97"/>
  <c r="B194" i="97"/>
  <c r="B160" i="97"/>
  <c r="B261" i="97"/>
  <c r="B227" i="97"/>
  <c r="B193" i="97"/>
  <c r="B159" i="97"/>
  <c r="B260" i="97"/>
  <c r="B226" i="97"/>
  <c r="B192" i="97"/>
  <c r="B158" i="97"/>
  <c r="B259" i="97"/>
  <c r="B225" i="97"/>
  <c r="B191" i="97"/>
  <c r="B157" i="97"/>
  <c r="B258" i="97"/>
  <c r="B224" i="97"/>
  <c r="B190" i="97"/>
  <c r="B156" i="97"/>
  <c r="B257" i="97"/>
  <c r="B223" i="97"/>
  <c r="B189" i="97"/>
  <c r="B155" i="97"/>
  <c r="B256" i="97"/>
  <c r="B222" i="97"/>
  <c r="B188" i="97"/>
  <c r="B154" i="97"/>
  <c r="B255" i="97"/>
  <c r="B221" i="97"/>
  <c r="B187" i="97"/>
  <c r="B153" i="97"/>
  <c r="B254" i="97"/>
  <c r="B220" i="97"/>
  <c r="B186" i="97"/>
  <c r="B152" i="97"/>
  <c r="B253" i="97"/>
  <c r="B219" i="97"/>
  <c r="B185" i="97"/>
  <c r="B151" i="97"/>
  <c r="B252" i="97"/>
  <c r="B218" i="97"/>
  <c r="B184" i="97"/>
  <c r="B150" i="97"/>
  <c r="B251" i="97"/>
  <c r="B217" i="97"/>
  <c r="B183" i="97"/>
  <c r="B149" i="97"/>
  <c r="B250" i="97"/>
  <c r="B216" i="97"/>
  <c r="B182" i="97"/>
  <c r="B148" i="97"/>
  <c r="B249" i="97"/>
  <c r="B215" i="97"/>
  <c r="B181" i="97"/>
  <c r="B147" i="97"/>
  <c r="B146" i="97"/>
  <c r="B145" i="97"/>
  <c r="B144" i="97"/>
  <c r="B143" i="97"/>
  <c r="B142" i="97"/>
  <c r="B141" i="97"/>
  <c r="B140" i="97"/>
  <c r="B139" i="97"/>
  <c r="B138" i="97"/>
  <c r="B137" i="97"/>
  <c r="B136" i="97"/>
  <c r="B135" i="97"/>
  <c r="B134" i="97"/>
  <c r="B133" i="97"/>
  <c r="B132" i="97"/>
  <c r="B131" i="97"/>
  <c r="B130" i="97"/>
  <c r="B129" i="97"/>
  <c r="B128" i="97"/>
  <c r="B127" i="97"/>
  <c r="B126" i="97"/>
  <c r="B125" i="97"/>
  <c r="B124" i="97"/>
  <c r="B123" i="97"/>
  <c r="B122" i="97"/>
  <c r="B121" i="97"/>
  <c r="B120" i="97"/>
  <c r="B119" i="97"/>
  <c r="B118" i="97"/>
  <c r="B117" i="97"/>
  <c r="B116" i="97"/>
  <c r="B115" i="97"/>
  <c r="B114" i="97"/>
  <c r="B113" i="97"/>
  <c r="B112" i="97"/>
  <c r="B109" i="97"/>
  <c r="B106" i="97"/>
  <c r="B103" i="97"/>
  <c r="B111" i="97"/>
  <c r="B108" i="97"/>
  <c r="B105" i="97"/>
  <c r="B102" i="97"/>
  <c r="B110" i="97"/>
  <c r="B107" i="97"/>
  <c r="B104" i="97"/>
  <c r="B101" i="97"/>
  <c r="B100" i="97"/>
  <c r="B99" i="97"/>
  <c r="B98" i="97"/>
  <c r="B97" i="97"/>
  <c r="B79" i="97"/>
  <c r="B61" i="97"/>
  <c r="B43" i="97"/>
  <c r="B96" i="97"/>
  <c r="B78" i="97"/>
  <c r="B60" i="97"/>
  <c r="B42" i="97"/>
  <c r="B95" i="97"/>
  <c r="B77" i="97"/>
  <c r="B59" i="97"/>
  <c r="B41" i="97"/>
  <c r="B94" i="97"/>
  <c r="B76" i="97"/>
  <c r="B58" i="97"/>
  <c r="B40" i="97"/>
  <c r="B93" i="97"/>
  <c r="B75" i="97"/>
  <c r="B57" i="97"/>
  <c r="B39" i="97"/>
  <c r="B92" i="97"/>
  <c r="B74" i="97"/>
  <c r="B56" i="97"/>
  <c r="B38" i="97"/>
  <c r="B91" i="97"/>
  <c r="B73" i="97"/>
  <c r="B55" i="97"/>
  <c r="B37" i="97"/>
  <c r="B90" i="97"/>
  <c r="B72" i="97"/>
  <c r="B54" i="97"/>
  <c r="B36" i="97"/>
  <c r="B89" i="97"/>
  <c r="B71" i="97"/>
  <c r="B53" i="97"/>
  <c r="B35" i="97"/>
  <c r="B88" i="97"/>
  <c r="B70" i="97"/>
  <c r="B52" i="97"/>
  <c r="B34" i="97"/>
  <c r="B87" i="97"/>
  <c r="B69" i="97"/>
  <c r="B51" i="97"/>
  <c r="B33" i="97"/>
  <c r="B86" i="97"/>
  <c r="B68" i="97"/>
  <c r="B50" i="97"/>
  <c r="B32" i="97"/>
  <c r="B85" i="97"/>
  <c r="B67" i="97"/>
  <c r="B49" i="97"/>
  <c r="B31" i="97"/>
  <c r="B84" i="97"/>
  <c r="B66" i="97"/>
  <c r="B48" i="97"/>
  <c r="B30" i="97"/>
  <c r="B83" i="97"/>
  <c r="B65" i="97"/>
  <c r="B47" i="97"/>
  <c r="B29" i="97"/>
  <c r="B82" i="97"/>
  <c r="B64" i="97"/>
  <c r="B46" i="97"/>
  <c r="B28" i="97"/>
  <c r="B81" i="97"/>
  <c r="B63" i="97"/>
  <c r="B45" i="97"/>
  <c r="B27" i="97"/>
  <c r="B80" i="97"/>
  <c r="B62" i="97"/>
  <c r="B44" i="97"/>
  <c r="B26" i="97"/>
  <c r="B25" i="97"/>
  <c r="B24" i="97"/>
  <c r="B23" i="97"/>
  <c r="B22" i="97"/>
  <c r="B21" i="97"/>
  <c r="B20" i="97"/>
  <c r="B19" i="97"/>
  <c r="B18" i="97"/>
  <c r="B17" i="97"/>
  <c r="B16" i="97"/>
  <c r="B15" i="97"/>
  <c r="B14" i="97"/>
  <c r="B13" i="97"/>
  <c r="B12" i="97"/>
  <c r="B11" i="97"/>
  <c r="B10" i="97"/>
  <c r="B9" i="97"/>
  <c r="B8" i="97"/>
  <c r="B7" i="97"/>
  <c r="B6" i="97"/>
  <c r="B5" i="97"/>
  <c r="B4" i="97"/>
  <c r="AU51" i="76" l="1"/>
  <c r="B5396" i="97" s="1"/>
  <c r="AT51" i="76"/>
  <c r="B5370" i="97" s="1"/>
  <c r="AS51" i="76"/>
  <c r="B5335" i="97" s="1"/>
  <c r="AR51" i="76"/>
  <c r="B5287" i="97" s="1"/>
  <c r="AQ51" i="76"/>
  <c r="B5239" i="97" s="1"/>
  <c r="AP51" i="76"/>
  <c r="B5191" i="97" s="1"/>
  <c r="AU50" i="76"/>
  <c r="B5395" i="97" s="1"/>
  <c r="AT50" i="76"/>
  <c r="B5369" i="97" s="1"/>
  <c r="AS50" i="76"/>
  <c r="B5334" i="97" s="1"/>
  <c r="AR50" i="76"/>
  <c r="B5286" i="97" s="1"/>
  <c r="AQ50" i="76"/>
  <c r="B5238" i="97" s="1"/>
  <c r="AP50" i="76"/>
  <c r="B5190" i="97" s="1"/>
  <c r="AU49" i="76"/>
  <c r="B5394" i="97" s="1"/>
  <c r="AT49" i="76"/>
  <c r="B5368" i="97" s="1"/>
  <c r="AS49" i="76"/>
  <c r="B5333" i="97" s="1"/>
  <c r="AR49" i="76"/>
  <c r="B5285" i="97" s="1"/>
  <c r="AQ49" i="76"/>
  <c r="B5237" i="97" s="1"/>
  <c r="AP49" i="76"/>
  <c r="B5189" i="97" s="1"/>
  <c r="AU48" i="76"/>
  <c r="B5393" i="97" s="1"/>
  <c r="AT48" i="76"/>
  <c r="B5367" i="97" s="1"/>
  <c r="AS48" i="76"/>
  <c r="B5332" i="97" s="1"/>
  <c r="AR48" i="76"/>
  <c r="B5284" i="97" s="1"/>
  <c r="AQ48" i="76"/>
  <c r="B5236" i="97" s="1"/>
  <c r="AP48" i="76"/>
  <c r="B5188" i="97" s="1"/>
  <c r="AU47" i="76"/>
  <c r="B5392" i="97" s="1"/>
  <c r="AT47" i="76"/>
  <c r="B5366" i="97" s="1"/>
  <c r="AS47" i="76"/>
  <c r="B5331" i="97" s="1"/>
  <c r="AR47" i="76"/>
  <c r="B5283" i="97" s="1"/>
  <c r="AQ47" i="76"/>
  <c r="B5235" i="97" s="1"/>
  <c r="AP47" i="76"/>
  <c r="B5187" i="97" s="1"/>
  <c r="AU46" i="76"/>
  <c r="B5391" i="97" s="1"/>
  <c r="AT46" i="76"/>
  <c r="B5365" i="97" s="1"/>
  <c r="AS46" i="76"/>
  <c r="B5330" i="97" s="1"/>
  <c r="AR46" i="76"/>
  <c r="B5282" i="97" s="1"/>
  <c r="AQ46" i="76"/>
  <c r="B5234" i="97" s="1"/>
  <c r="AP46" i="76"/>
  <c r="B5186" i="97" s="1"/>
  <c r="AU45" i="76"/>
  <c r="B5390" i="97" s="1"/>
  <c r="AT45" i="76"/>
  <c r="B5364" i="97" s="1"/>
  <c r="AS45" i="76"/>
  <c r="B5329" i="97" s="1"/>
  <c r="AR45" i="76"/>
  <c r="B5281" i="97" s="1"/>
  <c r="AQ45" i="76"/>
  <c r="B5233" i="97" s="1"/>
  <c r="AP45" i="76"/>
  <c r="B5185" i="97" s="1"/>
  <c r="AU44" i="76"/>
  <c r="B5389" i="97" s="1"/>
  <c r="AT44" i="76"/>
  <c r="B5363" i="97" s="1"/>
  <c r="AS44" i="76"/>
  <c r="B5328" i="97" s="1"/>
  <c r="AR44" i="76"/>
  <c r="B5280" i="97" s="1"/>
  <c r="AQ44" i="76"/>
  <c r="B5232" i="97" s="1"/>
  <c r="AP44" i="76"/>
  <c r="B5184" i="97" s="1"/>
  <c r="AU43" i="76"/>
  <c r="B5388" i="97" s="1"/>
  <c r="AT43" i="76"/>
  <c r="B5362" i="97" s="1"/>
  <c r="AS43" i="76"/>
  <c r="B5327" i="97" s="1"/>
  <c r="AR43" i="76"/>
  <c r="B5279" i="97" s="1"/>
  <c r="AQ43" i="76"/>
  <c r="B5231" i="97" s="1"/>
  <c r="AP43" i="76"/>
  <c r="B5183" i="97" s="1"/>
  <c r="AU41" i="76"/>
  <c r="B5387" i="97" s="1"/>
  <c r="AT41" i="76"/>
  <c r="B5361" i="97" s="1"/>
  <c r="AS41" i="76"/>
  <c r="B5326" i="97" s="1"/>
  <c r="AR41" i="76"/>
  <c r="B5278" i="97" s="1"/>
  <c r="AQ41" i="76"/>
  <c r="B5230" i="97" s="1"/>
  <c r="AP41" i="76"/>
  <c r="B5182" i="97" s="1"/>
  <c r="AU40" i="76"/>
  <c r="B5386" i="97" s="1"/>
  <c r="AT40" i="76"/>
  <c r="B5360" i="97" s="1"/>
  <c r="AS40" i="76"/>
  <c r="B5325" i="97" s="1"/>
  <c r="AR40" i="76"/>
  <c r="B5277" i="97" s="1"/>
  <c r="AQ40" i="76"/>
  <c r="B5229" i="97" s="1"/>
  <c r="AP40" i="76"/>
  <c r="B5181" i="97" s="1"/>
  <c r="AU39" i="76"/>
  <c r="B5385" i="97" s="1"/>
  <c r="AT39" i="76"/>
  <c r="B5359" i="97" s="1"/>
  <c r="AS39" i="76"/>
  <c r="B5324" i="97" s="1"/>
  <c r="AR39" i="76"/>
  <c r="B5276" i="97" s="1"/>
  <c r="AQ39" i="76"/>
  <c r="B5228" i="97" s="1"/>
  <c r="AP39" i="76"/>
  <c r="B5180" i="97" s="1"/>
  <c r="AU38" i="76"/>
  <c r="B5384" i="97" s="1"/>
  <c r="AT38" i="76"/>
  <c r="B5358" i="97" s="1"/>
  <c r="AS38" i="76"/>
  <c r="B5323" i="97" s="1"/>
  <c r="AR38" i="76"/>
  <c r="B5275" i="97" s="1"/>
  <c r="AQ38" i="76"/>
  <c r="B5227" i="97" s="1"/>
  <c r="AP38" i="76"/>
  <c r="B5179" i="97" s="1"/>
  <c r="AX31" i="76"/>
  <c r="B5431" i="97" s="1"/>
  <c r="AW31" i="76"/>
  <c r="B5418" i="97" s="1"/>
  <c r="AV31" i="76"/>
  <c r="B5405" i="97" s="1"/>
  <c r="AU31" i="76"/>
  <c r="B5379" i="97" s="1"/>
  <c r="AT31" i="76"/>
  <c r="B5353" i="97" s="1"/>
  <c r="AS31" i="76"/>
  <c r="B5318" i="97" s="1"/>
  <c r="AR31" i="76"/>
  <c r="B5270" i="97" s="1"/>
  <c r="AQ31" i="76"/>
  <c r="B5222" i="97" s="1"/>
  <c r="AP31" i="76"/>
  <c r="B5174" i="97" s="1"/>
  <c r="AX28" i="76"/>
  <c r="B5428" i="97" s="1"/>
  <c r="AW28" i="76"/>
  <c r="B5415" i="97" s="1"/>
  <c r="AV28" i="76"/>
  <c r="B5402" i="97" s="1"/>
  <c r="AU28" i="76"/>
  <c r="B5376" i="97" s="1"/>
  <c r="AT28" i="76"/>
  <c r="B5350" i="97" s="1"/>
  <c r="AS28" i="76"/>
  <c r="B5315" i="97" s="1"/>
  <c r="AR28" i="76"/>
  <c r="B5267" i="97" s="1"/>
  <c r="AQ28" i="76"/>
  <c r="B5219" i="97" s="1"/>
  <c r="AP28" i="76"/>
  <c r="B5171" i="97" s="1"/>
  <c r="AX27" i="76"/>
  <c r="B5427" i="97" s="1"/>
  <c r="AW27" i="76"/>
  <c r="B5414" i="97" s="1"/>
  <c r="AV27" i="76"/>
  <c r="B5401" i="97" s="1"/>
  <c r="AU27" i="76"/>
  <c r="B5375" i="97" s="1"/>
  <c r="AT27" i="76"/>
  <c r="B5349" i="97" s="1"/>
  <c r="AS27" i="76"/>
  <c r="B5314" i="97" s="1"/>
  <c r="AR27" i="76"/>
  <c r="B5266" i="97" s="1"/>
  <c r="AQ27" i="76"/>
  <c r="B5218" i="97" s="1"/>
  <c r="AP27" i="76"/>
  <c r="B5170" i="97" s="1"/>
  <c r="AX25" i="76"/>
  <c r="B5426" i="97" s="1"/>
  <c r="AW25" i="76"/>
  <c r="B5413" i="97" s="1"/>
  <c r="AV25" i="76"/>
  <c r="B5400" i="97" s="1"/>
  <c r="AU25" i="76"/>
  <c r="B5374" i="97" s="1"/>
  <c r="AT25" i="76"/>
  <c r="B5348" i="97" s="1"/>
  <c r="AS25" i="76"/>
  <c r="B5313" i="97" s="1"/>
  <c r="AR25" i="76"/>
  <c r="B5265" i="97" s="1"/>
  <c r="AQ25" i="76"/>
  <c r="B5217" i="97" s="1"/>
  <c r="AP25" i="76"/>
  <c r="B5169" i="97" s="1"/>
  <c r="AX24" i="76"/>
  <c r="B5425" i="97" s="1"/>
  <c r="AW24" i="76"/>
  <c r="B5412" i="97" s="1"/>
  <c r="AV24" i="76"/>
  <c r="B5399" i="97" s="1"/>
  <c r="AU24" i="76"/>
  <c r="B5373" i="97" s="1"/>
  <c r="AT24" i="76"/>
  <c r="B5347" i="97" s="1"/>
  <c r="AS24" i="76"/>
  <c r="B5312" i="97" s="1"/>
  <c r="AR24" i="76"/>
  <c r="B5264" i="97" s="1"/>
  <c r="AQ24" i="76"/>
  <c r="B5216" i="97" s="1"/>
  <c r="AP24" i="76"/>
  <c r="B5168" i="97" s="1"/>
  <c r="AT20" i="75"/>
  <c r="B5139" i="97" s="1"/>
  <c r="AT19" i="75"/>
  <c r="B5138" i="97" s="1"/>
  <c r="AT18" i="75"/>
  <c r="B5137" i="97" s="1"/>
  <c r="AT17" i="75"/>
  <c r="B5136" i="97" s="1"/>
  <c r="AT16" i="75"/>
  <c r="B5135" i="97" s="1"/>
  <c r="AT15" i="75"/>
  <c r="B5134" i="97" s="1"/>
  <c r="AT14" i="75"/>
  <c r="B5133" i="97" s="1"/>
  <c r="AT13" i="75"/>
  <c r="B5132" i="97" s="1"/>
  <c r="AT12" i="75"/>
  <c r="B5131" i="97" s="1"/>
  <c r="AT10" i="75"/>
  <c r="B5130" i="97" s="1"/>
  <c r="AT9" i="75"/>
  <c r="B5129" i="97" s="1"/>
  <c r="AT8" i="75"/>
  <c r="B5128" i="97" s="1"/>
  <c r="AT7" i="75"/>
  <c r="B5127" i="97" s="1"/>
  <c r="AS7" i="76"/>
  <c r="B5298" i="97" s="1"/>
  <c r="AR7" i="76"/>
  <c r="B5250" i="97" s="1"/>
  <c r="AQ7" i="76"/>
  <c r="B5202" i="97" s="1"/>
  <c r="AP7" i="76"/>
  <c r="B5154" i="97" s="1"/>
  <c r="AS6" i="76"/>
  <c r="B5297" i="97" s="1"/>
  <c r="AR6" i="76"/>
  <c r="B5249" i="97" s="1"/>
  <c r="AQ6" i="76"/>
  <c r="B5201" i="97" s="1"/>
  <c r="AP6" i="76"/>
  <c r="B5153" i="97" s="1"/>
  <c r="AS9" i="76"/>
  <c r="B5300" i="97" s="1"/>
  <c r="AS8" i="76"/>
  <c r="B5299" i="97" s="1"/>
  <c r="AS19" i="76"/>
  <c r="B5309" i="97" s="1"/>
  <c r="AR19" i="76"/>
  <c r="B5261" i="97" s="1"/>
  <c r="AQ19" i="76"/>
  <c r="B5213" i="97" s="1"/>
  <c r="AP19" i="76"/>
  <c r="B5165" i="97" s="1"/>
  <c r="AS18" i="76"/>
  <c r="B5308" i="97" s="1"/>
  <c r="AR18" i="76"/>
  <c r="B5260" i="97" s="1"/>
  <c r="AQ18" i="76"/>
  <c r="B5212" i="97" s="1"/>
  <c r="AP18" i="76"/>
  <c r="B5164" i="97" s="1"/>
  <c r="AS17" i="76"/>
  <c r="B5307" i="97" s="1"/>
  <c r="AR17" i="76"/>
  <c r="B5259" i="97" s="1"/>
  <c r="AQ17" i="76"/>
  <c r="B5211" i="97" s="1"/>
  <c r="AP17" i="76"/>
  <c r="B5163" i="97" s="1"/>
  <c r="AS16" i="76"/>
  <c r="B5306" i="97" s="1"/>
  <c r="AR16" i="76"/>
  <c r="B5258" i="97" s="1"/>
  <c r="AQ16" i="76"/>
  <c r="B5210" i="97" s="1"/>
  <c r="AP16" i="76"/>
  <c r="B5162" i="97" s="1"/>
  <c r="AS15" i="76"/>
  <c r="B5305" i="97" s="1"/>
  <c r="AR15" i="76"/>
  <c r="B5257" i="97" s="1"/>
  <c r="AQ15" i="76"/>
  <c r="B5209" i="97" s="1"/>
  <c r="AP15" i="76"/>
  <c r="B5161" i="97" s="1"/>
  <c r="AS14" i="76"/>
  <c r="B5304" i="97" s="1"/>
  <c r="AR14" i="76"/>
  <c r="B5256" i="97" s="1"/>
  <c r="AQ14" i="76"/>
  <c r="B5208" i="97" s="1"/>
  <c r="AP14" i="76"/>
  <c r="B5160" i="97" s="1"/>
  <c r="AS13" i="76"/>
  <c r="B5303" i="97" s="1"/>
  <c r="AR13" i="76"/>
  <c r="B5255" i="97" s="1"/>
  <c r="AQ13" i="76"/>
  <c r="B5207" i="97" s="1"/>
  <c r="AP13" i="76"/>
  <c r="B5159" i="97" s="1"/>
  <c r="AS12" i="76"/>
  <c r="B5302" i="97" s="1"/>
  <c r="AR12" i="76"/>
  <c r="B5254" i="97" s="1"/>
  <c r="AQ12" i="76"/>
  <c r="B5206" i="97" s="1"/>
  <c r="AP12" i="76"/>
  <c r="B5158" i="97" s="1"/>
  <c r="AS11" i="76"/>
  <c r="B5301" i="97" s="1"/>
  <c r="AR11" i="76"/>
  <c r="B5253" i="97" s="1"/>
  <c r="AQ11" i="76"/>
  <c r="B5205" i="97" s="1"/>
  <c r="AP11" i="76"/>
  <c r="B5157" i="97" s="1"/>
  <c r="AR9" i="76"/>
  <c r="B5252" i="97" s="1"/>
  <c r="AQ9" i="76"/>
  <c r="B5204" i="97" s="1"/>
  <c r="AP9" i="76"/>
  <c r="B5156" i="97" s="1"/>
  <c r="AR8" i="76"/>
  <c r="B5251" i="97" s="1"/>
  <c r="AQ8" i="76"/>
  <c r="B5203" i="97" s="1"/>
  <c r="AP8" i="76"/>
  <c r="B5155" i="97" s="1"/>
  <c r="AU16" i="75"/>
  <c r="B5148" i="97" s="1"/>
  <c r="AS16" i="75"/>
  <c r="B5122" i="97" s="1"/>
  <c r="AR16" i="75"/>
  <c r="B5100" i="97" s="1"/>
  <c r="AQ16" i="75"/>
  <c r="B5078" i="97" s="1"/>
  <c r="AP16" i="75"/>
  <c r="B5056" i="97" s="1"/>
  <c r="AO16" i="75"/>
  <c r="B5034" i="97" s="1"/>
  <c r="AN16" i="75"/>
  <c r="B5012" i="97" s="1"/>
  <c r="AU15" i="75"/>
  <c r="B5147" i="97" s="1"/>
  <c r="AS15" i="75"/>
  <c r="B5121" i="97" s="1"/>
  <c r="AR15" i="75"/>
  <c r="B5099" i="97" s="1"/>
  <c r="AQ15" i="75"/>
  <c r="B5077" i="97" s="1"/>
  <c r="AP15" i="75"/>
  <c r="B5055" i="97" s="1"/>
  <c r="AO15" i="75"/>
  <c r="B5033" i="97" s="1"/>
  <c r="AN15" i="75"/>
  <c r="B5011" i="97" s="1"/>
  <c r="AU14" i="75"/>
  <c r="B5146" i="97" s="1"/>
  <c r="AS14" i="75"/>
  <c r="B5120" i="97" s="1"/>
  <c r="AR14" i="75"/>
  <c r="B5098" i="97" s="1"/>
  <c r="AQ14" i="75"/>
  <c r="B5076" i="97" s="1"/>
  <c r="AP14" i="75"/>
  <c r="B5054" i="97" s="1"/>
  <c r="AO14" i="75"/>
  <c r="B5032" i="97" s="1"/>
  <c r="AN14" i="75"/>
  <c r="B5010" i="97" s="1"/>
  <c r="AU13" i="75"/>
  <c r="B5145" i="97" s="1"/>
  <c r="AS13" i="75"/>
  <c r="B5119" i="97" s="1"/>
  <c r="AR13" i="75"/>
  <c r="B5097" i="97" s="1"/>
  <c r="AQ13" i="75"/>
  <c r="B5075" i="97" s="1"/>
  <c r="AP13" i="75"/>
  <c r="B5053" i="97" s="1"/>
  <c r="AO13" i="75"/>
  <c r="B5031" i="97" s="1"/>
  <c r="AN13" i="75"/>
  <c r="B5009" i="97" s="1"/>
  <c r="AU12" i="75"/>
  <c r="B5144" i="97" s="1"/>
  <c r="AS12" i="75"/>
  <c r="B5118" i="97" s="1"/>
  <c r="AR12" i="75"/>
  <c r="B5096" i="97" s="1"/>
  <c r="AQ12" i="75"/>
  <c r="B5074" i="97" s="1"/>
  <c r="AP12" i="75"/>
  <c r="B5052" i="97" s="1"/>
  <c r="AO12" i="75"/>
  <c r="B5030" i="97" s="1"/>
  <c r="AN12" i="75"/>
  <c r="B5008" i="97" s="1"/>
  <c r="AU10" i="75"/>
  <c r="B5143" i="97" s="1"/>
  <c r="AS10" i="75"/>
  <c r="B5117" i="97" s="1"/>
  <c r="AR10" i="75"/>
  <c r="B5095" i="97" s="1"/>
  <c r="AQ10" i="75"/>
  <c r="B5073" i="97" s="1"/>
  <c r="AP10" i="75"/>
  <c r="B5051" i="97" s="1"/>
  <c r="AO10" i="75"/>
  <c r="B5029" i="97" s="1"/>
  <c r="AN10" i="75"/>
  <c r="B5007" i="97" s="1"/>
  <c r="AU9" i="75"/>
  <c r="B5142" i="97" s="1"/>
  <c r="AS9" i="75"/>
  <c r="B5116" i="97" s="1"/>
  <c r="AR9" i="75"/>
  <c r="B5094" i="97" s="1"/>
  <c r="AQ9" i="75"/>
  <c r="B5072" i="97" s="1"/>
  <c r="AP9" i="75"/>
  <c r="B5050" i="97" s="1"/>
  <c r="AO9" i="75"/>
  <c r="B5028" i="97" s="1"/>
  <c r="AN9" i="75"/>
  <c r="B5006" i="97" s="1"/>
  <c r="AM24" i="65" l="1"/>
  <c r="AL24" i="65"/>
  <c r="AK24" i="65"/>
  <c r="AJ24" i="65"/>
  <c r="AI24" i="65"/>
  <c r="AH24" i="65"/>
  <c r="AF24" i="65"/>
  <c r="AE24" i="65"/>
  <c r="AD24" i="65"/>
  <c r="AC24" i="65"/>
  <c r="AB24" i="65"/>
  <c r="AA24" i="65"/>
  <c r="AM23" i="65"/>
  <c r="AL23" i="65"/>
  <c r="AK23" i="65"/>
  <c r="AJ23" i="65"/>
  <c r="AI23" i="65"/>
  <c r="AH23" i="65"/>
  <c r="AF23" i="65"/>
  <c r="AE23" i="65"/>
  <c r="AD23" i="65"/>
  <c r="AC23" i="65"/>
  <c r="AB23" i="65"/>
  <c r="AA23" i="65"/>
  <c r="AM10" i="65"/>
  <c r="AL10" i="65"/>
  <c r="AK10" i="65"/>
  <c r="AJ10" i="65"/>
  <c r="AI10" i="65"/>
  <c r="AH10" i="65"/>
  <c r="AF10" i="65"/>
  <c r="AE10" i="65"/>
  <c r="AD10" i="65"/>
  <c r="AC10" i="65"/>
  <c r="AB10" i="65"/>
  <c r="AA10" i="65"/>
  <c r="W23" i="65" l="1"/>
  <c r="W24" i="65"/>
  <c r="W10" i="65"/>
  <c r="AA12" i="96" l="1"/>
  <c r="Z12" i="96"/>
  <c r="AA6" i="96"/>
  <c r="BG42" i="95" l="1"/>
  <c r="BF42" i="95"/>
  <c r="BE42" i="95"/>
  <c r="BD42" i="95"/>
  <c r="BC42" i="95"/>
  <c r="BB42" i="95"/>
  <c r="BA42" i="95"/>
  <c r="AZ42" i="95"/>
  <c r="AY42" i="95"/>
  <c r="AX42" i="95"/>
  <c r="AW42" i="95"/>
  <c r="AV42" i="95"/>
  <c r="BG41" i="95"/>
  <c r="BF41" i="95"/>
  <c r="BE41" i="95"/>
  <c r="BD41" i="95"/>
  <c r="BC41" i="95"/>
  <c r="BB41" i="95"/>
  <c r="BA41" i="95"/>
  <c r="AZ41" i="95"/>
  <c r="AY41" i="95"/>
  <c r="AX41" i="95"/>
  <c r="AW41" i="95"/>
  <c r="AV41" i="95"/>
  <c r="BG40" i="95"/>
  <c r="BF40" i="95"/>
  <c r="BE40" i="95"/>
  <c r="BD40" i="95"/>
  <c r="BC40" i="95"/>
  <c r="BB40" i="95"/>
  <c r="BA40" i="95"/>
  <c r="AZ40" i="95"/>
  <c r="AY40" i="95"/>
  <c r="AX40" i="95"/>
  <c r="AW40" i="95"/>
  <c r="AV40" i="95"/>
  <c r="BG37" i="95"/>
  <c r="B679" i="97" s="1"/>
  <c r="BF37" i="95"/>
  <c r="B658" i="97" s="1"/>
  <c r="BE37" i="95"/>
  <c r="B637" i="97" s="1"/>
  <c r="BD37" i="95"/>
  <c r="B616" i="97" s="1"/>
  <c r="BC37" i="95"/>
  <c r="B594" i="97" s="1"/>
  <c r="BB37" i="95"/>
  <c r="B572" i="97" s="1"/>
  <c r="BA37" i="95"/>
  <c r="B550" i="97" s="1"/>
  <c r="AZ37" i="95"/>
  <c r="B529" i="97" s="1"/>
  <c r="AY37" i="95"/>
  <c r="B508" i="97" s="1"/>
  <c r="AX37" i="95"/>
  <c r="B487" i="97" s="1"/>
  <c r="AW37" i="95"/>
  <c r="B465" i="97" s="1"/>
  <c r="AV37" i="95"/>
  <c r="B443" i="97" s="1"/>
  <c r="BG33" i="95"/>
  <c r="B677" i="97" s="1"/>
  <c r="BF33" i="95"/>
  <c r="B656" i="97" s="1"/>
  <c r="BE33" i="95"/>
  <c r="B635" i="97" s="1"/>
  <c r="BD33" i="95"/>
  <c r="B614" i="97" s="1"/>
  <c r="BC33" i="95"/>
  <c r="B592" i="97" s="1"/>
  <c r="BB33" i="95"/>
  <c r="B570" i="97" s="1"/>
  <c r="BA33" i="95"/>
  <c r="B548" i="97" s="1"/>
  <c r="AZ33" i="95"/>
  <c r="B527" i="97" s="1"/>
  <c r="AY33" i="95"/>
  <c r="B506" i="97" s="1"/>
  <c r="AX33" i="95"/>
  <c r="B485" i="97" s="1"/>
  <c r="AW33" i="95"/>
  <c r="B463" i="97" s="1"/>
  <c r="AV33" i="95"/>
  <c r="B441" i="97" s="1"/>
  <c r="BG31" i="95"/>
  <c r="BF31" i="95"/>
  <c r="BE31" i="95"/>
  <c r="BD31" i="95"/>
  <c r="BC31" i="95"/>
  <c r="BB31" i="95"/>
  <c r="BA31" i="95"/>
  <c r="AZ31" i="95"/>
  <c r="AY31" i="95"/>
  <c r="AX31" i="95"/>
  <c r="AW31" i="95"/>
  <c r="AV31" i="95"/>
  <c r="BG29" i="95"/>
  <c r="B675" i="97" s="1"/>
  <c r="BF29" i="95"/>
  <c r="B654" i="97" s="1"/>
  <c r="BE29" i="95"/>
  <c r="B633" i="97" s="1"/>
  <c r="BD29" i="95"/>
  <c r="B612" i="97" s="1"/>
  <c r="BC29" i="95"/>
  <c r="B590" i="97" s="1"/>
  <c r="BB29" i="95"/>
  <c r="B568" i="97" s="1"/>
  <c r="BA29" i="95"/>
  <c r="B546" i="97" s="1"/>
  <c r="AZ29" i="95"/>
  <c r="B525" i="97" s="1"/>
  <c r="AY29" i="95"/>
  <c r="B504" i="97" s="1"/>
  <c r="AX29" i="95"/>
  <c r="B483" i="97" s="1"/>
  <c r="AW29" i="95"/>
  <c r="B461" i="97" s="1"/>
  <c r="AV29" i="95"/>
  <c r="B439" i="97" s="1"/>
  <c r="BG27" i="95"/>
  <c r="B674" i="97" s="1"/>
  <c r="BF27" i="95"/>
  <c r="B653" i="97" s="1"/>
  <c r="BE27" i="95"/>
  <c r="B632" i="97" s="1"/>
  <c r="BD27" i="95"/>
  <c r="B611" i="97" s="1"/>
  <c r="BC27" i="95"/>
  <c r="B589" i="97" s="1"/>
  <c r="BB27" i="95"/>
  <c r="B567" i="97" s="1"/>
  <c r="BA27" i="95"/>
  <c r="B545" i="97" s="1"/>
  <c r="AZ27" i="95"/>
  <c r="B524" i="97" s="1"/>
  <c r="AY27" i="95"/>
  <c r="B503" i="97" s="1"/>
  <c r="AX27" i="95"/>
  <c r="B482" i="97" s="1"/>
  <c r="AW27" i="95"/>
  <c r="B460" i="97" s="1"/>
  <c r="AV27" i="95"/>
  <c r="B438" i="97" s="1"/>
  <c r="BG25" i="95"/>
  <c r="BF25" i="95"/>
  <c r="BE25" i="95"/>
  <c r="BD25" i="95"/>
  <c r="BC25" i="95"/>
  <c r="BB25" i="95"/>
  <c r="BA25" i="95"/>
  <c r="AZ25" i="95"/>
  <c r="AY25" i="95"/>
  <c r="AX25" i="95"/>
  <c r="AW25" i="95"/>
  <c r="AV25" i="95"/>
  <c r="BG24" i="95"/>
  <c r="BF24" i="95"/>
  <c r="BE24" i="95"/>
  <c r="BD24" i="95"/>
  <c r="BC24" i="95"/>
  <c r="BB24" i="95"/>
  <c r="BA24" i="95"/>
  <c r="AZ24" i="95"/>
  <c r="AY24" i="95"/>
  <c r="AX24" i="95"/>
  <c r="AW24" i="95"/>
  <c r="AV24" i="95"/>
  <c r="BG23" i="95"/>
  <c r="BF23" i="95"/>
  <c r="BE23" i="95"/>
  <c r="BD23" i="95"/>
  <c r="BC23" i="95"/>
  <c r="BB23" i="95"/>
  <c r="BA23" i="95"/>
  <c r="AZ23" i="95"/>
  <c r="AY23" i="95"/>
  <c r="AX23" i="95"/>
  <c r="AW23" i="95"/>
  <c r="AV23" i="95"/>
  <c r="BG20" i="95"/>
  <c r="B669" i="97" s="1"/>
  <c r="BF20" i="95"/>
  <c r="B648" i="97" s="1"/>
  <c r="BE20" i="95"/>
  <c r="B627" i="97" s="1"/>
  <c r="BD20" i="95"/>
  <c r="B606" i="97" s="1"/>
  <c r="BC20" i="95"/>
  <c r="B584" i="97" s="1"/>
  <c r="BB20" i="95"/>
  <c r="B562" i="97" s="1"/>
  <c r="BA20" i="95"/>
  <c r="B540" i="97" s="1"/>
  <c r="AZ20" i="95"/>
  <c r="B519" i="97" s="1"/>
  <c r="AY20" i="95"/>
  <c r="B498" i="97" s="1"/>
  <c r="AX20" i="95"/>
  <c r="B477" i="97" s="1"/>
  <c r="AW20" i="95"/>
  <c r="B455" i="97" s="1"/>
  <c r="AV20" i="95"/>
  <c r="B433" i="97" s="1"/>
  <c r="BG18" i="95"/>
  <c r="BF18" i="95"/>
  <c r="BE18" i="95"/>
  <c r="BD18" i="95"/>
  <c r="BC18" i="95"/>
  <c r="BB18" i="95"/>
  <c r="BA18" i="95"/>
  <c r="AY18" i="95"/>
  <c r="AX18" i="95"/>
  <c r="AW18" i="95"/>
  <c r="AV18" i="95"/>
  <c r="BG17" i="95"/>
  <c r="BF17" i="95"/>
  <c r="BE17" i="95"/>
  <c r="BD17" i="95"/>
  <c r="BC17" i="95"/>
  <c r="BB17" i="95"/>
  <c r="BA17" i="95"/>
  <c r="AY17" i="95"/>
  <c r="AX17" i="95"/>
  <c r="AW17" i="95"/>
  <c r="AV17" i="95"/>
  <c r="BG16" i="95"/>
  <c r="BF16" i="95"/>
  <c r="BE16" i="95"/>
  <c r="BD16" i="95"/>
  <c r="BC16" i="95"/>
  <c r="BB16" i="95"/>
  <c r="BA16" i="95"/>
  <c r="AZ16" i="95"/>
  <c r="AY16" i="95"/>
  <c r="AX16" i="95"/>
  <c r="AW16" i="95"/>
  <c r="AV16" i="95"/>
  <c r="BG15" i="95"/>
  <c r="BF15" i="95"/>
  <c r="BE15" i="95"/>
  <c r="BD15" i="95"/>
  <c r="BC15" i="95"/>
  <c r="BB15" i="95"/>
  <c r="BA15" i="95"/>
  <c r="AZ15" i="95"/>
  <c r="AY15" i="95"/>
  <c r="AX15" i="95"/>
  <c r="AW15" i="95"/>
  <c r="AV15" i="95"/>
  <c r="BG14" i="95"/>
  <c r="BF14" i="95"/>
  <c r="BE14" i="95"/>
  <c r="BD14" i="95"/>
  <c r="BC14" i="95"/>
  <c r="BB14" i="95"/>
  <c r="BA14" i="95"/>
  <c r="AZ14" i="95"/>
  <c r="AY14" i="95"/>
  <c r="AX14" i="95"/>
  <c r="AW14" i="95"/>
  <c r="AV14" i="95"/>
  <c r="BD11" i="95"/>
  <c r="BC11" i="95"/>
  <c r="BB11" i="95"/>
  <c r="AX11" i="95"/>
  <c r="AW11" i="95"/>
  <c r="AV11" i="95"/>
  <c r="BG10" i="95"/>
  <c r="B663" i="97" s="1"/>
  <c r="BF10" i="95"/>
  <c r="B642" i="97" s="1"/>
  <c r="BE10" i="95"/>
  <c r="B621" i="97" s="1"/>
  <c r="BD10" i="95"/>
  <c r="B599" i="97" s="1"/>
  <c r="BC10" i="95"/>
  <c r="B577" i="97" s="1"/>
  <c r="BB10" i="95"/>
  <c r="B555" i="97" s="1"/>
  <c r="BA10" i="95"/>
  <c r="B534" i="97" s="1"/>
  <c r="AZ10" i="95"/>
  <c r="B513" i="97" s="1"/>
  <c r="AY10" i="95"/>
  <c r="B492" i="97" s="1"/>
  <c r="AX10" i="95"/>
  <c r="B470" i="97" s="1"/>
  <c r="AW10" i="95"/>
  <c r="B448" i="97" s="1"/>
  <c r="AV10" i="95"/>
  <c r="B426" i="97" s="1"/>
  <c r="BG9" i="95"/>
  <c r="BF9" i="95"/>
  <c r="BE9" i="95"/>
  <c r="BD9" i="95"/>
  <c r="BC9" i="95"/>
  <c r="BB9" i="95"/>
  <c r="BA9" i="95"/>
  <c r="AZ9" i="95"/>
  <c r="AY9" i="95"/>
  <c r="AX9" i="95"/>
  <c r="AW9" i="95"/>
  <c r="AV9" i="95"/>
  <c r="BG8" i="95"/>
  <c r="BF8" i="95"/>
  <c r="BE8" i="95"/>
  <c r="BD8" i="95"/>
  <c r="BC8" i="95"/>
  <c r="BB8" i="95"/>
  <c r="BA8" i="95"/>
  <c r="AZ8" i="95"/>
  <c r="AY8" i="95"/>
  <c r="AX8" i="95"/>
  <c r="AW8" i="95"/>
  <c r="AV8" i="95"/>
  <c r="B424" i="97" l="1"/>
  <c r="B597" i="97"/>
  <c r="B512" i="97"/>
  <c r="B600" i="97"/>
  <c r="B514" i="97"/>
  <c r="B515" i="97"/>
  <c r="B516" i="97"/>
  <c r="B431" i="97"/>
  <c r="B518" i="97"/>
  <c r="B434" i="97"/>
  <c r="B521" i="97"/>
  <c r="B522" i="97"/>
  <c r="B440" i="97"/>
  <c r="B613" i="97"/>
  <c r="B617" i="97"/>
  <c r="B531" i="97"/>
  <c r="B446" i="97"/>
  <c r="B532" i="97"/>
  <c r="B619" i="97"/>
  <c r="B447" i="97"/>
  <c r="B533" i="97"/>
  <c r="B620" i="97"/>
  <c r="B449" i="97"/>
  <c r="B450" i="97"/>
  <c r="B535" i="97"/>
  <c r="B622" i="97"/>
  <c r="B451" i="97"/>
  <c r="B536" i="97"/>
  <c r="B623" i="97"/>
  <c r="B452" i="97"/>
  <c r="B537" i="97"/>
  <c r="B624" i="97"/>
  <c r="B453" i="97"/>
  <c r="B538" i="97"/>
  <c r="B625" i="97"/>
  <c r="B454" i="97"/>
  <c r="B539" i="97"/>
  <c r="B626" i="97"/>
  <c r="B456" i="97"/>
  <c r="B541" i="97"/>
  <c r="B628" i="97"/>
  <c r="B457" i="97"/>
  <c r="B542" i="97"/>
  <c r="B629" i="97"/>
  <c r="B458" i="97"/>
  <c r="B543" i="97"/>
  <c r="B630" i="97"/>
  <c r="B462" i="97"/>
  <c r="B547" i="97"/>
  <c r="B634" i="97"/>
  <c r="B466" i="97"/>
  <c r="B551" i="97"/>
  <c r="B638" i="97"/>
  <c r="B467" i="97"/>
  <c r="B552" i="97"/>
  <c r="B639" i="97"/>
  <c r="B511" i="97"/>
  <c r="B601" i="97"/>
  <c r="B430" i="97"/>
  <c r="B517" i="97"/>
  <c r="B432" i="97"/>
  <c r="B607" i="97"/>
  <c r="B608" i="97"/>
  <c r="B530" i="97"/>
  <c r="B468" i="97"/>
  <c r="B640" i="97"/>
  <c r="B641" i="97"/>
  <c r="B471" i="97"/>
  <c r="B556" i="97"/>
  <c r="B472" i="97"/>
  <c r="B557" i="97"/>
  <c r="B643" i="97"/>
  <c r="B473" i="97"/>
  <c r="B558" i="97"/>
  <c r="B644" i="97"/>
  <c r="B474" i="97"/>
  <c r="B559" i="97"/>
  <c r="B645" i="97"/>
  <c r="B475" i="97"/>
  <c r="B560" i="97"/>
  <c r="B646" i="97"/>
  <c r="B476" i="97"/>
  <c r="B561" i="97"/>
  <c r="B647" i="97"/>
  <c r="B478" i="97"/>
  <c r="B563" i="97"/>
  <c r="B649" i="97"/>
  <c r="B479" i="97"/>
  <c r="B564" i="97"/>
  <c r="B650" i="97"/>
  <c r="B480" i="97"/>
  <c r="B565" i="97"/>
  <c r="B651" i="97"/>
  <c r="B484" i="97"/>
  <c r="B569" i="97"/>
  <c r="B655" i="97"/>
  <c r="B488" i="97"/>
  <c r="B573" i="97"/>
  <c r="B659" i="97"/>
  <c r="B489" i="97"/>
  <c r="B574" i="97"/>
  <c r="B660" i="97"/>
  <c r="B425" i="97"/>
  <c r="B598" i="97"/>
  <c r="B427" i="97"/>
  <c r="B428" i="97"/>
  <c r="B429" i="97"/>
  <c r="B602" i="97"/>
  <c r="B603" i="97"/>
  <c r="B604" i="97"/>
  <c r="B605" i="97"/>
  <c r="B520" i="97"/>
  <c r="B435" i="97"/>
  <c r="B436" i="97"/>
  <c r="B609" i="97"/>
  <c r="B526" i="97"/>
  <c r="B444" i="97"/>
  <c r="B445" i="97"/>
  <c r="B618" i="97"/>
  <c r="B553" i="97"/>
  <c r="B469" i="97"/>
  <c r="B554" i="97"/>
  <c r="B490" i="97"/>
  <c r="B575" i="97"/>
  <c r="B661" i="97"/>
  <c r="B491" i="97"/>
  <c r="B576" i="97"/>
  <c r="B662" i="97"/>
  <c r="B578" i="97"/>
  <c r="B493" i="97"/>
  <c r="B579" i="97"/>
  <c r="B664" i="97"/>
  <c r="B494" i="97"/>
  <c r="B580" i="97"/>
  <c r="B665" i="97"/>
  <c r="B495" i="97"/>
  <c r="B581" i="97"/>
  <c r="B666" i="97"/>
  <c r="B496" i="97"/>
  <c r="B582" i="97"/>
  <c r="B667" i="97"/>
  <c r="B497" i="97"/>
  <c r="B583" i="97"/>
  <c r="B668" i="97"/>
  <c r="B499" i="97"/>
  <c r="B585" i="97"/>
  <c r="B670" i="97"/>
  <c r="B500" i="97"/>
  <c r="B586" i="97"/>
  <c r="B671" i="97"/>
  <c r="B501" i="97"/>
  <c r="B587" i="97"/>
  <c r="B672" i="97"/>
  <c r="B505" i="97"/>
  <c r="B591" i="97"/>
  <c r="B676" i="97"/>
  <c r="B509" i="97"/>
  <c r="B595" i="97"/>
  <c r="B680" i="97"/>
  <c r="B510" i="97"/>
  <c r="B596" i="97"/>
  <c r="B681" i="97"/>
  <c r="AS35" i="95"/>
  <c r="BG35" i="95" l="1"/>
  <c r="B678" i="97" s="1"/>
  <c r="BC35" i="95"/>
  <c r="B593" i="97" s="1"/>
  <c r="AY35" i="95"/>
  <c r="B507" i="97" s="1"/>
  <c r="BE35" i="95"/>
  <c r="B636" i="97" s="1"/>
  <c r="AW35" i="95"/>
  <c r="B464" i="97" s="1"/>
  <c r="BF35" i="95"/>
  <c r="B657" i="97" s="1"/>
  <c r="BB35" i="95"/>
  <c r="B571" i="97" s="1"/>
  <c r="AX35" i="95"/>
  <c r="B486" i="97" s="1"/>
  <c r="BA35" i="95"/>
  <c r="B549" i="97" s="1"/>
  <c r="BD35" i="95"/>
  <c r="B615" i="97" s="1"/>
  <c r="AZ35" i="95"/>
  <c r="B528" i="97" s="1"/>
  <c r="AV35" i="95"/>
  <c r="B442" i="97" s="1"/>
  <c r="B66" i="95" l="1"/>
  <c r="Z19" i="75" l="1"/>
  <c r="Y19" i="75"/>
  <c r="Z17" i="75"/>
  <c r="Y17" i="75"/>
  <c r="Z15" i="75"/>
  <c r="Y15" i="75"/>
  <c r="Z14" i="75"/>
  <c r="Y14" i="75"/>
  <c r="Z13" i="75"/>
  <c r="Y13" i="75"/>
  <c r="Z12" i="75"/>
  <c r="Y12" i="75"/>
  <c r="Z10" i="75"/>
  <c r="Y10" i="75"/>
  <c r="Z9" i="75"/>
  <c r="Y9" i="75"/>
  <c r="Z8" i="75"/>
  <c r="Y8" i="75"/>
  <c r="Z7" i="75"/>
  <c r="Y7" i="75"/>
  <c r="X19" i="75"/>
  <c r="W19" i="75"/>
  <c r="V19" i="75"/>
  <c r="U19" i="75"/>
  <c r="T19" i="75"/>
  <c r="X17" i="75"/>
  <c r="W17" i="75"/>
  <c r="V17" i="75"/>
  <c r="U17" i="75"/>
  <c r="T17" i="75"/>
  <c r="X15" i="75"/>
  <c r="W15" i="75"/>
  <c r="V15" i="75"/>
  <c r="U15" i="75"/>
  <c r="T15" i="75"/>
  <c r="X14" i="75"/>
  <c r="W14" i="75"/>
  <c r="V14" i="75"/>
  <c r="U14" i="75"/>
  <c r="T14" i="75"/>
  <c r="X13" i="75"/>
  <c r="W13" i="75"/>
  <c r="V13" i="75"/>
  <c r="U13" i="75"/>
  <c r="T13" i="75"/>
  <c r="X12" i="75"/>
  <c r="W12" i="75"/>
  <c r="V12" i="75"/>
  <c r="U12" i="75"/>
  <c r="T12" i="75"/>
  <c r="X10" i="75"/>
  <c r="W10" i="75"/>
  <c r="V10" i="75"/>
  <c r="U10" i="75"/>
  <c r="T10" i="75"/>
  <c r="X9" i="75"/>
  <c r="W9" i="75"/>
  <c r="V9" i="75"/>
  <c r="U9" i="75"/>
  <c r="T9" i="75"/>
  <c r="B53" i="75"/>
  <c r="B54" i="75" s="1"/>
  <c r="B55" i="75" s="1"/>
  <c r="B56" i="75" s="1"/>
  <c r="B57" i="75" s="1"/>
  <c r="B58" i="75" s="1"/>
  <c r="Q19" i="75" l="1"/>
  <c r="Q13" i="75"/>
  <c r="Q12" i="75"/>
  <c r="Q15" i="75"/>
  <c r="Q10" i="75"/>
  <c r="Q9" i="75"/>
  <c r="Q14" i="75"/>
  <c r="Q17" i="75"/>
  <c r="M36" i="70" l="1"/>
  <c r="J36" i="70" s="1"/>
  <c r="M35" i="70"/>
  <c r="J35" i="70" s="1"/>
  <c r="M32" i="69"/>
  <c r="J32" i="69" s="1"/>
  <c r="M31" i="69"/>
  <c r="J31" i="69" s="1"/>
  <c r="M22" i="69"/>
  <c r="J22" i="69" s="1"/>
  <c r="M20" i="69"/>
  <c r="J20" i="69" s="1"/>
  <c r="M13" i="69"/>
  <c r="M12" i="69"/>
  <c r="J12" i="69" s="1"/>
  <c r="M11" i="69"/>
  <c r="J11" i="69" s="1"/>
  <c r="Q13" i="69"/>
  <c r="G14" i="34" l="1"/>
  <c r="G2302" i="97" s="1"/>
  <c r="G21" i="34"/>
  <c r="G2307" i="97" s="1"/>
  <c r="G28" i="34"/>
  <c r="G2312" i="97" s="1"/>
  <c r="G38" i="34"/>
  <c r="G2317" i="97" s="1"/>
  <c r="T37" i="33" l="1"/>
  <c r="O31" i="33"/>
  <c r="N31" i="33"/>
  <c r="K31" i="33" l="1"/>
  <c r="G12" i="14"/>
  <c r="G943" i="97" s="1"/>
  <c r="H12" i="14"/>
  <c r="G959" i="97" s="1"/>
  <c r="I12" i="14"/>
  <c r="G975" i="97" s="1"/>
  <c r="J12" i="14"/>
  <c r="G991" i="97" s="1"/>
  <c r="K12" i="14"/>
  <c r="G1007" i="97" s="1"/>
  <c r="L12" i="14"/>
  <c r="G1023" i="97" s="1"/>
  <c r="M12" i="14"/>
  <c r="G1039" i="97" s="1"/>
  <c r="G19" i="14"/>
  <c r="G948" i="97" s="1"/>
  <c r="H19" i="14"/>
  <c r="G964" i="97" s="1"/>
  <c r="I19" i="14"/>
  <c r="G980" i="97" s="1"/>
  <c r="J19" i="14"/>
  <c r="G996" i="97" s="1"/>
  <c r="K19" i="14"/>
  <c r="G1012" i="97" s="1"/>
  <c r="L19" i="14"/>
  <c r="G1028" i="97" s="1"/>
  <c r="M19" i="14"/>
  <c r="G1044" i="97" s="1"/>
  <c r="G22" i="14"/>
  <c r="G950" i="97" s="1"/>
  <c r="H22" i="14"/>
  <c r="G966" i="97" s="1"/>
  <c r="I22" i="14"/>
  <c r="G982" i="97" s="1"/>
  <c r="J22" i="14"/>
  <c r="G998" i="97" s="1"/>
  <c r="K22" i="14"/>
  <c r="G1014" i="97" s="1"/>
  <c r="L22" i="14"/>
  <c r="G1030" i="97" s="1"/>
  <c r="M22" i="14"/>
  <c r="G1046" i="97" s="1"/>
  <c r="H12" i="13"/>
  <c r="G918" i="97" s="1"/>
  <c r="G26" i="7"/>
  <c r="G298" i="97" s="1"/>
  <c r="H26" i="7"/>
  <c r="G320" i="97" s="1"/>
  <c r="I26" i="7"/>
  <c r="G342" i="97" s="1"/>
  <c r="G13" i="6"/>
  <c r="G119" i="97" s="1"/>
  <c r="H13" i="6"/>
  <c r="G153" i="97" s="1"/>
  <c r="I13" i="6"/>
  <c r="G187" i="97" s="1"/>
  <c r="G20" i="6"/>
  <c r="G124" i="97" s="1"/>
  <c r="H20" i="6"/>
  <c r="G158" i="97" s="1"/>
  <c r="I20" i="6"/>
  <c r="G192" i="97" s="1"/>
  <c r="G29" i="6"/>
  <c r="G131" i="97" s="1"/>
  <c r="H29" i="6"/>
  <c r="G165" i="97" s="1"/>
  <c r="I29" i="6"/>
  <c r="G199" i="97" s="1"/>
  <c r="G43" i="6"/>
  <c r="G142" i="97" s="1"/>
  <c r="H43" i="6"/>
  <c r="G176" i="97" s="1"/>
  <c r="I43" i="6"/>
  <c r="G210" i="97" s="1"/>
  <c r="G9" i="4"/>
  <c r="G7" i="97" s="1"/>
  <c r="H9" i="4"/>
  <c r="G29" i="97" s="1"/>
  <c r="I9" i="4"/>
  <c r="G47" i="97" s="1"/>
  <c r="G29" i="4"/>
  <c r="G21" i="97" s="1"/>
  <c r="H29" i="4"/>
  <c r="G43" i="97" s="1"/>
  <c r="I29" i="4"/>
  <c r="G36" i="4"/>
  <c r="G25" i="97" s="1"/>
  <c r="I31" i="6" l="1"/>
  <c r="G200" i="97" s="1"/>
  <c r="G61" i="97"/>
  <c r="I20" i="4"/>
  <c r="G55" i="97" s="1"/>
  <c r="L21" i="14"/>
  <c r="G1029" i="97" s="1"/>
  <c r="H21" i="14"/>
  <c r="G965" i="97" s="1"/>
  <c r="G21" i="14"/>
  <c r="G949" i="97" s="1"/>
  <c r="H14" i="13"/>
  <c r="G920" i="97" s="1"/>
  <c r="G31" i="6"/>
  <c r="G132" i="97" s="1"/>
  <c r="H31" i="6"/>
  <c r="G166" i="97" s="1"/>
  <c r="G20" i="4"/>
  <c r="G15" i="97" s="1"/>
  <c r="H20" i="4"/>
  <c r="G37" i="97" s="1"/>
  <c r="I15" i="4"/>
  <c r="G52" i="97" s="1"/>
  <c r="H15" i="4"/>
  <c r="G34" i="97" s="1"/>
  <c r="G15" i="4"/>
  <c r="G12" i="97" s="1"/>
  <c r="J21" i="14"/>
  <c r="G997" i="97" s="1"/>
  <c r="M21" i="14"/>
  <c r="G1045" i="97" s="1"/>
  <c r="I21" i="14"/>
  <c r="G981" i="97" s="1"/>
  <c r="K21" i="14"/>
  <c r="G1013" i="97" s="1"/>
  <c r="L48" i="76"/>
  <c r="G5393" i="97" s="1"/>
  <c r="L46" i="76"/>
  <c r="G5391" i="97" s="1"/>
  <c r="L45" i="76"/>
  <c r="G5390" i="97" s="1"/>
  <c r="L44" i="76"/>
  <c r="G5389" i="97" s="1"/>
  <c r="L43" i="76"/>
  <c r="G5388" i="97" s="1"/>
  <c r="L41" i="76"/>
  <c r="G5387" i="97" s="1"/>
  <c r="L40" i="76"/>
  <c r="G5386" i="97" s="1"/>
  <c r="G47" i="76"/>
  <c r="G5187" i="97" s="1"/>
  <c r="L50" i="76"/>
  <c r="G5395" i="97" s="1"/>
  <c r="L39" i="76"/>
  <c r="G5385" i="97" s="1"/>
  <c r="L38" i="76"/>
  <c r="G5384" i="97" s="1"/>
  <c r="O34" i="76"/>
  <c r="G5434" i="97" s="1"/>
  <c r="O32" i="76"/>
  <c r="G5432" i="97" s="1"/>
  <c r="O30" i="76"/>
  <c r="G5430" i="97" s="1"/>
  <c r="O29" i="76"/>
  <c r="G5429" i="97" s="1"/>
  <c r="O28" i="76"/>
  <c r="G5428" i="97" s="1"/>
  <c r="O27" i="76"/>
  <c r="G5427" i="97" s="1"/>
  <c r="O25" i="76"/>
  <c r="G5426" i="97" s="1"/>
  <c r="O24" i="76"/>
  <c r="G5425" i="97" s="1"/>
  <c r="O23" i="76"/>
  <c r="G5424" i="97" s="1"/>
  <c r="O22" i="76"/>
  <c r="G5423" i="97" s="1"/>
  <c r="I31" i="76"/>
  <c r="G5270" i="97" s="1"/>
  <c r="H31" i="76"/>
  <c r="G5222" i="97" s="1"/>
  <c r="G31" i="76"/>
  <c r="G5174" i="97" s="1"/>
  <c r="I45" i="6" l="1"/>
  <c r="G211" i="97" s="1"/>
  <c r="H19" i="13"/>
  <c r="G923" i="97" s="1"/>
  <c r="H45" i="6"/>
  <c r="G177" i="97" s="1"/>
  <c r="G45" i="6"/>
  <c r="G143" i="97" s="1"/>
  <c r="H18" i="4"/>
  <c r="G36" i="97" s="1"/>
  <c r="G18" i="4"/>
  <c r="G14" i="97" s="1"/>
  <c r="I18" i="4"/>
  <c r="G54" i="97" s="1"/>
  <c r="G49" i="76"/>
  <c r="G5189" i="97" s="1"/>
  <c r="H49" i="76"/>
  <c r="G5237" i="97" s="1"/>
  <c r="I49" i="76"/>
  <c r="G5285" i="97" s="1"/>
  <c r="H33" i="76"/>
  <c r="G5224" i="97" s="1"/>
  <c r="I33" i="76"/>
  <c r="G5272" i="97" s="1"/>
  <c r="G33" i="76"/>
  <c r="G5176" i="97" s="1"/>
  <c r="I15" i="76"/>
  <c r="G5257" i="97" s="1"/>
  <c r="H15" i="76"/>
  <c r="G5209" i="97" s="1"/>
  <c r="G15" i="76"/>
  <c r="M16" i="75"/>
  <c r="G5135" i="97" s="1"/>
  <c r="L16" i="75"/>
  <c r="G5122" i="97" s="1"/>
  <c r="K16" i="75"/>
  <c r="G5100" i="97" s="1"/>
  <c r="J16" i="75"/>
  <c r="G5078" i="97" s="1"/>
  <c r="I16" i="75"/>
  <c r="G5056" i="97" s="1"/>
  <c r="H16" i="75"/>
  <c r="G5034" i="97" s="1"/>
  <c r="G16" i="75"/>
  <c r="G5012" i="97" s="1"/>
  <c r="N15" i="75"/>
  <c r="G5147" i="97" s="1"/>
  <c r="N14" i="75"/>
  <c r="G5146" i="97" s="1"/>
  <c r="N13" i="75"/>
  <c r="G5145" i="97" s="1"/>
  <c r="N12" i="75"/>
  <c r="G5144" i="97" s="1"/>
  <c r="N10" i="75"/>
  <c r="G5143" i="97" s="1"/>
  <c r="N9" i="75"/>
  <c r="G5142" i="97" s="1"/>
  <c r="N8" i="75"/>
  <c r="G5141" i="97" s="1"/>
  <c r="N19" i="75"/>
  <c r="G5151" i="97" s="1"/>
  <c r="N17" i="75"/>
  <c r="G5149" i="97" s="1"/>
  <c r="N7" i="75"/>
  <c r="G5140" i="97" s="1"/>
  <c r="G5161" i="97" l="1"/>
  <c r="J15" i="76"/>
  <c r="G5305" i="97" s="1"/>
  <c r="G22" i="4"/>
  <c r="G17" i="97" s="1"/>
  <c r="I22" i="4"/>
  <c r="G57" i="97" s="1"/>
  <c r="H22" i="4"/>
  <c r="G39" i="97" s="1"/>
  <c r="J49" i="76"/>
  <c r="G5333" i="97" s="1"/>
  <c r="K49" i="76"/>
  <c r="G5368" i="97" s="1"/>
  <c r="H51" i="76"/>
  <c r="G5239" i="97" s="1"/>
  <c r="I51" i="76"/>
  <c r="G5287" i="97" s="1"/>
  <c r="G51" i="76"/>
  <c r="G5191" i="97" s="1"/>
  <c r="I35" i="76"/>
  <c r="G5274" i="97" s="1"/>
  <c r="J33" i="76"/>
  <c r="G5320" i="97" s="1"/>
  <c r="H35" i="76"/>
  <c r="G5226" i="97" s="1"/>
  <c r="H17" i="76"/>
  <c r="G5211" i="97" s="1"/>
  <c r="I17" i="76"/>
  <c r="G5259" i="97" s="1"/>
  <c r="G17" i="76"/>
  <c r="H18" i="75"/>
  <c r="G5036" i="97" s="1"/>
  <c r="I18" i="75"/>
  <c r="G5058" i="97" s="1"/>
  <c r="K18" i="75"/>
  <c r="G5102" i="97" s="1"/>
  <c r="L18" i="75"/>
  <c r="G5124" i="97" s="1"/>
  <c r="M18" i="75"/>
  <c r="G5137" i="97" s="1"/>
  <c r="J18" i="75"/>
  <c r="G5080" i="97" s="1"/>
  <c r="G18" i="75"/>
  <c r="G5014" i="97" s="1"/>
  <c r="L47" i="76"/>
  <c r="G5392" i="97" s="1"/>
  <c r="G35" i="76"/>
  <c r="G5178" i="97" s="1"/>
  <c r="N16" i="75"/>
  <c r="G5148" i="97" s="1"/>
  <c r="G5163" i="97" l="1"/>
  <c r="J17" i="76"/>
  <c r="G5307" i="97" s="1"/>
  <c r="AF17" i="76"/>
  <c r="K51" i="76"/>
  <c r="G5370" i="97" s="1"/>
  <c r="L49" i="76"/>
  <c r="G5394" i="97" s="1"/>
  <c r="J51" i="76"/>
  <c r="G5335" i="97" s="1"/>
  <c r="J35" i="76"/>
  <c r="G5322" i="97" s="1"/>
  <c r="K33" i="76"/>
  <c r="G5355" i="97" s="1"/>
  <c r="I19" i="76"/>
  <c r="G5261" i="97" s="1"/>
  <c r="H19" i="76"/>
  <c r="G5213" i="97" s="1"/>
  <c r="G19" i="76"/>
  <c r="L20" i="75"/>
  <c r="G5126" i="97" s="1"/>
  <c r="J20" i="75"/>
  <c r="G5082" i="97" s="1"/>
  <c r="I20" i="75"/>
  <c r="G5060" i="97" s="1"/>
  <c r="M20" i="75"/>
  <c r="G5139" i="97" s="1"/>
  <c r="K20" i="75"/>
  <c r="G5104" i="97" s="1"/>
  <c r="H20" i="75"/>
  <c r="G5038" i="97" s="1"/>
  <c r="G20" i="75"/>
  <c r="G5016" i="97" s="1"/>
  <c r="CH21" i="68"/>
  <c r="CG21" i="68"/>
  <c r="CF21" i="68"/>
  <c r="CE21" i="68"/>
  <c r="CD21" i="68"/>
  <c r="CC21" i="68"/>
  <c r="CB21" i="68"/>
  <c r="CA21" i="68"/>
  <c r="BZ21" i="68"/>
  <c r="BY21" i="68"/>
  <c r="BX21" i="68"/>
  <c r="BW21" i="68"/>
  <c r="BV21" i="68"/>
  <c r="BU21" i="68"/>
  <c r="BT21" i="68"/>
  <c r="BS21" i="68"/>
  <c r="BR21" i="68"/>
  <c r="BQ21" i="68"/>
  <c r="BP21" i="68"/>
  <c r="BO21" i="68"/>
  <c r="BN21" i="68"/>
  <c r="BM21" i="68"/>
  <c r="BL21" i="68"/>
  <c r="BK21" i="68"/>
  <c r="BJ21" i="68"/>
  <c r="BI21" i="68"/>
  <c r="BH21" i="68"/>
  <c r="BG21" i="68"/>
  <c r="BF21" i="68"/>
  <c r="BE21" i="68"/>
  <c r="BD21" i="68"/>
  <c r="BC21" i="68"/>
  <c r="BB21" i="68"/>
  <c r="BA21" i="68"/>
  <c r="AZ21" i="68"/>
  <c r="AY21" i="68"/>
  <c r="AX21" i="68"/>
  <c r="AW21" i="68"/>
  <c r="AV21" i="68"/>
  <c r="AU21" i="68"/>
  <c r="AT21" i="68"/>
  <c r="AS21" i="68"/>
  <c r="AR21" i="68"/>
  <c r="AQ21" i="68"/>
  <c r="AP21" i="68"/>
  <c r="AO21" i="68"/>
  <c r="AN21" i="68"/>
  <c r="AM21" i="68"/>
  <c r="AL21" i="68"/>
  <c r="AK21" i="68"/>
  <c r="AJ21" i="68"/>
  <c r="AI21" i="68"/>
  <c r="AH21" i="68"/>
  <c r="AG21" i="68"/>
  <c r="AF21" i="68"/>
  <c r="AE21" i="68"/>
  <c r="AD21" i="68"/>
  <c r="AC21" i="68"/>
  <c r="AB21" i="68"/>
  <c r="AA21" i="68"/>
  <c r="Z21" i="68"/>
  <c r="Y21" i="68"/>
  <c r="X21" i="68"/>
  <c r="W21" i="68"/>
  <c r="V21" i="68"/>
  <c r="U21" i="68"/>
  <c r="T21" i="68"/>
  <c r="S21" i="68"/>
  <c r="R21" i="68"/>
  <c r="Q21" i="68"/>
  <c r="P21" i="68"/>
  <c r="O21" i="68"/>
  <c r="N21" i="68"/>
  <c r="M21" i="68"/>
  <c r="L21" i="68"/>
  <c r="K21" i="68"/>
  <c r="J21" i="68"/>
  <c r="I21" i="68"/>
  <c r="H21" i="68"/>
  <c r="G21" i="68"/>
  <c r="G5165" i="97" l="1"/>
  <c r="J19" i="76"/>
  <c r="G5309" i="97" s="1"/>
  <c r="AF49" i="76"/>
  <c r="K35" i="76"/>
  <c r="G5357" i="97" s="1"/>
  <c r="L33" i="76"/>
  <c r="G5381" i="97" s="1"/>
  <c r="G12" i="67"/>
  <c r="G4402" i="97" s="1"/>
  <c r="M33" i="76" l="1"/>
  <c r="G5407" i="97" s="1"/>
  <c r="L35" i="76"/>
  <c r="G5383" i="97" s="1"/>
  <c r="O31" i="76"/>
  <c r="G5431" i="97" s="1"/>
  <c r="O32" i="33" l="1"/>
  <c r="N33" i="76"/>
  <c r="G5420" i="97" s="1"/>
  <c r="M35" i="76"/>
  <c r="G5409" i="97" s="1"/>
  <c r="N32" i="33"/>
  <c r="K32" i="33" l="1"/>
  <c r="N35" i="76"/>
  <c r="G5422" i="97" s="1"/>
  <c r="O33" i="76"/>
  <c r="G5433" i="97" s="1"/>
  <c r="N33" i="33"/>
  <c r="O33" i="33"/>
  <c r="AF33" i="76" l="1"/>
  <c r="N34" i="33"/>
  <c r="K33" i="33"/>
  <c r="O34" i="33"/>
  <c r="O7" i="96"/>
  <c r="B26" i="96"/>
  <c r="N7" i="96"/>
  <c r="I1" i="96"/>
  <c r="B74" i="95"/>
  <c r="B72" i="95"/>
  <c r="L42" i="95"/>
  <c r="L35" i="95" s="1"/>
  <c r="G549" i="97" s="1"/>
  <c r="K42" i="95"/>
  <c r="K35" i="95" s="1"/>
  <c r="G528" i="97" s="1"/>
  <c r="H42" i="95"/>
  <c r="G42" i="95"/>
  <c r="J10" i="95"/>
  <c r="G492" i="97" s="1"/>
  <c r="K34" i="33" l="1"/>
  <c r="Y11" i="95"/>
  <c r="L9" i="95"/>
  <c r="G533" i="97" s="1"/>
  <c r="I27" i="95"/>
  <c r="G482" i="97" s="1"/>
  <c r="L31" i="95"/>
  <c r="G547" i="97" s="1"/>
  <c r="J20" i="95"/>
  <c r="G498" i="97" s="1"/>
  <c r="O35" i="33"/>
  <c r="N35" i="33"/>
  <c r="S37" i="33"/>
  <c r="Q37" i="33" s="1"/>
  <c r="C33" i="2"/>
  <c r="K7" i="96"/>
  <c r="G29" i="95"/>
  <c r="G439" i="97" s="1"/>
  <c r="B78" i="95"/>
  <c r="B77" i="95"/>
  <c r="B76" i="95"/>
  <c r="B75" i="95"/>
  <c r="B73" i="95"/>
  <c r="B71" i="95"/>
  <c r="B70" i="95"/>
  <c r="B69" i="95"/>
  <c r="B68" i="95"/>
  <c r="B67" i="95"/>
  <c r="B65" i="95"/>
  <c r="B64" i="95"/>
  <c r="B63" i="95"/>
  <c r="B62" i="95"/>
  <c r="B61" i="95"/>
  <c r="B60" i="95"/>
  <c r="B59" i="95"/>
  <c r="B58" i="95"/>
  <c r="B57" i="95"/>
  <c r="B54" i="95"/>
  <c r="H35" i="95"/>
  <c r="G464" i="97" s="1"/>
  <c r="G35" i="95"/>
  <c r="G442" i="97" s="1"/>
  <c r="AQ2" i="95"/>
  <c r="R1" i="95"/>
  <c r="J29" i="95" l="1"/>
  <c r="G504" i="97" s="1"/>
  <c r="J40" i="95"/>
  <c r="G509" i="97" s="1"/>
  <c r="K9" i="95"/>
  <c r="L10" i="95"/>
  <c r="G534" i="97" s="1"/>
  <c r="K8" i="95"/>
  <c r="I42" i="95"/>
  <c r="I35" i="95" s="1"/>
  <c r="G486" i="97" s="1"/>
  <c r="I20" i="95"/>
  <c r="G477" i="97" s="1"/>
  <c r="O20" i="95"/>
  <c r="G606" i="97" s="1"/>
  <c r="G33" i="95"/>
  <c r="G441" i="97" s="1"/>
  <c r="J33" i="95"/>
  <c r="G506" i="97" s="1"/>
  <c r="T31" i="95"/>
  <c r="T23" i="95"/>
  <c r="T15" i="95"/>
  <c r="T18" i="95"/>
  <c r="T16" i="95"/>
  <c r="J37" i="33"/>
  <c r="K35" i="33"/>
  <c r="T41" i="95"/>
  <c r="T40" i="95"/>
  <c r="T25" i="95"/>
  <c r="T8" i="95"/>
  <c r="T24" i="95"/>
  <c r="T11" i="95"/>
  <c r="T27" i="95"/>
  <c r="T14" i="95"/>
  <c r="T17" i="95"/>
  <c r="T10" i="95"/>
  <c r="AA2" i="8"/>
  <c r="AA2" i="7"/>
  <c r="AA2" i="6"/>
  <c r="AA2" i="5"/>
  <c r="H8" i="95" l="1"/>
  <c r="G446" i="97" s="1"/>
  <c r="G511" i="97"/>
  <c r="G512" i="97"/>
  <c r="H9" i="95"/>
  <c r="G447" i="97" s="1"/>
  <c r="J42" i="95"/>
  <c r="J35" i="95" s="1"/>
  <c r="G507" i="97" s="1"/>
  <c r="I29" i="95"/>
  <c r="O29" i="95"/>
  <c r="L20" i="95"/>
  <c r="G540" i="97" s="1"/>
  <c r="K10" i="95"/>
  <c r="G513" i="97" s="1"/>
  <c r="G37" i="95"/>
  <c r="G443" i="97" s="1"/>
  <c r="C13" i="2"/>
  <c r="T9" i="95"/>
  <c r="J37" i="95"/>
  <c r="G508" i="97" s="1"/>
  <c r="I1" i="23"/>
  <c r="O33" i="95" l="1"/>
  <c r="G612" i="97"/>
  <c r="I33" i="95"/>
  <c r="G485" i="97" s="1"/>
  <c r="G483" i="97"/>
  <c r="K20" i="95"/>
  <c r="G519" i="97" s="1"/>
  <c r="L29" i="95"/>
  <c r="G546" i="97" s="1"/>
  <c r="H10" i="95"/>
  <c r="G448" i="97" s="1"/>
  <c r="I37" i="95"/>
  <c r="G487" i="97" s="1"/>
  <c r="G11" i="28"/>
  <c r="G1635" i="97" s="1"/>
  <c r="I11" i="28"/>
  <c r="G1647" i="97" s="1"/>
  <c r="G13" i="27"/>
  <c r="G1581" i="97" s="1"/>
  <c r="G51" i="19"/>
  <c r="G1465" i="97" s="1"/>
  <c r="J48" i="19"/>
  <c r="G1525" i="97" s="1"/>
  <c r="J45" i="19"/>
  <c r="G1523" i="97" s="1"/>
  <c r="J43" i="15"/>
  <c r="G1163" i="97" s="1"/>
  <c r="N7" i="14"/>
  <c r="G1050" i="97" s="1"/>
  <c r="J16" i="8"/>
  <c r="G419" i="97" s="1"/>
  <c r="O37" i="95" l="1"/>
  <c r="G616" i="97" s="1"/>
  <c r="G614" i="97"/>
  <c r="H20" i="95"/>
  <c r="G455" i="97" s="1"/>
  <c r="L33" i="95"/>
  <c r="G548" i="97" s="1"/>
  <c r="K29" i="95"/>
  <c r="G525" i="97" s="1"/>
  <c r="G9" i="19"/>
  <c r="G1445" i="97" s="1"/>
  <c r="J49" i="15"/>
  <c r="G1167" i="97" s="1"/>
  <c r="L37" i="95" l="1"/>
  <c r="G550" i="97" s="1"/>
  <c r="K33" i="95"/>
  <c r="G527" i="97" s="1"/>
  <c r="H29" i="95"/>
  <c r="G461" i="97" s="1"/>
  <c r="H14" i="73"/>
  <c r="G4974" i="97" s="1"/>
  <c r="G14" i="73"/>
  <c r="G4959" i="97" s="1"/>
  <c r="K37" i="95" l="1"/>
  <c r="G529" i="97" s="1"/>
  <c r="H33" i="95"/>
  <c r="G463" i="97" s="1"/>
  <c r="H37" i="95" l="1"/>
  <c r="G465" i="97" s="1"/>
  <c r="O45" i="19" l="1"/>
  <c r="AA45" i="19" l="1"/>
  <c r="J45" i="15"/>
  <c r="G1165" i="97" s="1"/>
  <c r="AY6" i="11" l="1"/>
  <c r="I30" i="18" l="1"/>
  <c r="G1438" i="97" s="1"/>
  <c r="G30" i="18"/>
  <c r="G1387" i="97" s="1"/>
  <c r="I29" i="18"/>
  <c r="G1437" i="97" s="1"/>
  <c r="G29" i="18"/>
  <c r="G1386" i="97" s="1"/>
  <c r="H28" i="17"/>
  <c r="G1289" i="97" s="1"/>
  <c r="F28" i="17"/>
  <c r="G1245" i="97" s="1"/>
  <c r="E28" i="17"/>
  <c r="G1223" i="97" s="1"/>
  <c r="Q28" i="17"/>
  <c r="P28" i="17"/>
  <c r="I27" i="17"/>
  <c r="G1311" i="97" s="1"/>
  <c r="G27" i="17"/>
  <c r="G1266" i="97" s="1"/>
  <c r="O28" i="17" l="1"/>
  <c r="I28" i="17"/>
  <c r="G1312" i="97" s="1"/>
  <c r="L28" i="17"/>
  <c r="AF40" i="15" l="1"/>
  <c r="T7" i="27" l="1"/>
  <c r="T23" i="27"/>
  <c r="T20" i="27"/>
  <c r="T16" i="27"/>
  <c r="T12" i="27"/>
  <c r="T11" i="27"/>
  <c r="T10" i="27"/>
  <c r="O49" i="15"/>
  <c r="O45" i="15"/>
  <c r="O43" i="15"/>
  <c r="J17" i="32"/>
  <c r="G2254" i="97" s="1"/>
  <c r="J14" i="32"/>
  <c r="G2252" i="97" s="1"/>
  <c r="J13" i="32"/>
  <c r="G2251" i="97" s="1"/>
  <c r="J12" i="32"/>
  <c r="G2250" i="97" s="1"/>
  <c r="J11" i="32"/>
  <c r="G2249" i="97" s="1"/>
  <c r="J7" i="32"/>
  <c r="G2246" i="97" s="1"/>
  <c r="I8" i="32" l="1"/>
  <c r="I5" i="32"/>
  <c r="G2233" i="97" s="1"/>
  <c r="H11" i="28"/>
  <c r="G1641" i="97" s="1"/>
  <c r="J13" i="27"/>
  <c r="G1607" i="97" s="1"/>
  <c r="I13" i="27"/>
  <c r="G1598" i="97" s="1"/>
  <c r="J50" i="19"/>
  <c r="G1527" i="97" s="1"/>
  <c r="J49" i="19"/>
  <c r="G1526" i="97" s="1"/>
  <c r="I51" i="19"/>
  <c r="G1520" i="97" s="1"/>
  <c r="J19" i="27" l="1"/>
  <c r="G1609" i="97" s="1"/>
  <c r="H21" i="19"/>
  <c r="G1478" i="97" s="1"/>
  <c r="G21" i="19"/>
  <c r="G1453" i="97" s="1"/>
  <c r="I20" i="19"/>
  <c r="G1502" i="97" s="1"/>
  <c r="I19" i="19"/>
  <c r="G1501" i="97" s="1"/>
  <c r="I18" i="19"/>
  <c r="G1500" i="97" s="1"/>
  <c r="G40" i="15"/>
  <c r="M9" i="11"/>
  <c r="O9" i="11"/>
  <c r="I35" i="15"/>
  <c r="G1136" i="97" s="1"/>
  <c r="H35" i="15"/>
  <c r="G1112" i="97" s="1"/>
  <c r="G35" i="15"/>
  <c r="G1086" i="97" s="1"/>
  <c r="J34" i="15"/>
  <c r="G1160" i="97" s="1"/>
  <c r="J33" i="15"/>
  <c r="G1159" i="97" s="1"/>
  <c r="J32" i="15"/>
  <c r="G1158" i="97" s="1"/>
  <c r="J31" i="15"/>
  <c r="G1157" i="97" s="1"/>
  <c r="J30" i="15"/>
  <c r="G1156" i="97" s="1"/>
  <c r="J27" i="14"/>
  <c r="G1001" i="97" s="1"/>
  <c r="K25" i="12"/>
  <c r="G876" i="97" s="1"/>
  <c r="K14" i="12"/>
  <c r="G868" i="97" s="1"/>
  <c r="I44" i="15" l="1"/>
  <c r="AE27" i="14"/>
  <c r="K27" i="12"/>
  <c r="G878" i="97" s="1"/>
  <c r="K17" i="12"/>
  <c r="G870" i="97" s="1"/>
  <c r="I21" i="19"/>
  <c r="G1503" i="97" s="1"/>
  <c r="AB45" i="19"/>
  <c r="U45" i="19" s="1"/>
  <c r="J35" i="15"/>
  <c r="G1161" i="97" s="1"/>
  <c r="I44" i="19" l="1"/>
  <c r="G1514" i="97" s="1"/>
  <c r="AB30" i="12"/>
  <c r="O8" i="11"/>
  <c r="G746" i="97" s="1"/>
  <c r="K32" i="12"/>
  <c r="G880" i="97" s="1"/>
  <c r="I6" i="32"/>
  <c r="G2234" i="97" s="1"/>
  <c r="AZ6" i="11"/>
  <c r="AK6" i="11" s="1"/>
  <c r="O12" i="11"/>
  <c r="G749" i="97" s="1"/>
  <c r="I9" i="32" l="1"/>
  <c r="I15" i="32"/>
  <c r="G2241" i="97" s="1"/>
  <c r="G2236" i="97"/>
  <c r="I46" i="19"/>
  <c r="G1516" i="97" s="1"/>
  <c r="K39" i="12"/>
  <c r="G883" i="97" s="1"/>
  <c r="O18" i="11"/>
  <c r="G752" i="97" s="1"/>
  <c r="O7" i="64"/>
  <c r="G3018" i="97" s="1"/>
  <c r="I18" i="32" l="1"/>
  <c r="G2243" i="97" s="1"/>
  <c r="I53" i="19"/>
  <c r="G1521" i="97" s="1"/>
  <c r="I7" i="27"/>
  <c r="B61" i="2"/>
  <c r="B49" i="87"/>
  <c r="E61" i="2" s="1"/>
  <c r="F1" i="87"/>
  <c r="B33" i="2" l="1"/>
  <c r="AR36" i="75" l="1"/>
  <c r="B5113" i="97" s="1"/>
  <c r="AR34" i="75"/>
  <c r="B5112" i="97" s="1"/>
  <c r="AR33" i="75"/>
  <c r="B5111" i="97" s="1"/>
  <c r="AR32" i="75"/>
  <c r="B5110" i="97" s="1"/>
  <c r="AR29" i="75"/>
  <c r="B5109" i="97" s="1"/>
  <c r="AR28" i="75"/>
  <c r="B5108" i="97" s="1"/>
  <c r="AR27" i="75"/>
  <c r="B5107" i="97" s="1"/>
  <c r="AR26" i="75"/>
  <c r="B5106" i="97" s="1"/>
  <c r="AR25" i="75"/>
  <c r="B5105" i="97" s="1"/>
  <c r="AH27" i="33" l="1"/>
  <c r="AH9" i="33"/>
  <c r="AH7" i="33"/>
  <c r="AH8" i="32"/>
  <c r="AF19" i="13"/>
  <c r="AF14" i="13"/>
  <c r="AF12" i="13"/>
  <c r="AF13" i="13"/>
  <c r="AF11" i="13"/>
  <c r="AF9" i="13"/>
  <c r="B908" i="97" s="1"/>
  <c r="AF8" i="13"/>
  <c r="AF7" i="13"/>
  <c r="AF6" i="13"/>
  <c r="BR9" i="11"/>
  <c r="BQ9" i="11"/>
  <c r="BO9" i="11"/>
  <c r="BN9" i="11"/>
  <c r="BM9" i="11"/>
  <c r="BL9" i="11"/>
  <c r="AH7" i="7"/>
  <c r="AG7" i="7"/>
  <c r="AF7" i="7"/>
  <c r="AH6" i="5"/>
  <c r="AG6" i="5"/>
  <c r="AF6" i="5"/>
  <c r="AD51" i="66" l="1"/>
  <c r="AD50" i="66"/>
  <c r="AD49" i="66"/>
  <c r="AD48" i="66"/>
  <c r="AD47" i="66"/>
  <c r="AD46" i="66"/>
  <c r="AD45" i="66"/>
  <c r="AD44" i="66"/>
  <c r="AD43" i="66"/>
  <c r="AD42" i="66"/>
  <c r="AD41" i="66"/>
  <c r="AD40" i="66"/>
  <c r="AD39" i="66"/>
  <c r="AD38" i="66"/>
  <c r="AD37" i="66"/>
  <c r="Z44" i="65"/>
  <c r="Z43" i="65"/>
  <c r="Z42" i="65"/>
  <c r="Z41" i="65"/>
  <c r="Z40" i="65"/>
  <c r="Z39" i="65"/>
  <c r="Z38" i="65"/>
  <c r="Z37" i="65"/>
  <c r="Z36" i="65"/>
  <c r="Z35" i="65"/>
  <c r="Z34" i="65"/>
  <c r="Z33" i="65"/>
  <c r="Z32" i="65"/>
  <c r="Z31" i="65"/>
  <c r="Z30" i="65"/>
  <c r="U48" i="64"/>
  <c r="U47" i="64"/>
  <c r="U46" i="64"/>
  <c r="U45" i="64"/>
  <c r="U44" i="64"/>
  <c r="U43" i="64"/>
  <c r="U42" i="64"/>
  <c r="U41" i="64"/>
  <c r="U40" i="64"/>
  <c r="R49" i="64"/>
  <c r="U39" i="64"/>
  <c r="S44" i="63" l="1"/>
  <c r="S42" i="63"/>
  <c r="S41" i="63"/>
  <c r="S48" i="63"/>
  <c r="S47" i="63"/>
  <c r="S46" i="63"/>
  <c r="S45" i="63"/>
  <c r="S43" i="63"/>
  <c r="S40" i="63"/>
  <c r="S39" i="63" l="1"/>
  <c r="Y23" i="63" l="1"/>
  <c r="AA8" i="65" l="1"/>
  <c r="AA29" i="65"/>
  <c r="AA28" i="65"/>
  <c r="AA27" i="65"/>
  <c r="AA26" i="65"/>
  <c r="AA25" i="65"/>
  <c r="AA22" i="65"/>
  <c r="AA21" i="65"/>
  <c r="AA20" i="65"/>
  <c r="AA19" i="65"/>
  <c r="AA18" i="65"/>
  <c r="AA17" i="65"/>
  <c r="AA16" i="65"/>
  <c r="AA15" i="65"/>
  <c r="AA14" i="65"/>
  <c r="AA13" i="65"/>
  <c r="AA12" i="65"/>
  <c r="AA11" i="65"/>
  <c r="AA9" i="65"/>
  <c r="AQ36" i="75" l="1"/>
  <c r="B5091" i="97" s="1"/>
  <c r="AP36" i="75"/>
  <c r="B5069" i="97" s="1"/>
  <c r="AO36" i="75"/>
  <c r="B5047" i="97" s="1"/>
  <c r="AN36" i="75"/>
  <c r="B5025" i="97" s="1"/>
  <c r="AN34" i="75"/>
  <c r="B5024" i="97" s="1"/>
  <c r="AN33" i="75"/>
  <c r="B5023" i="97" s="1"/>
  <c r="AN32" i="75"/>
  <c r="B5022" i="97" s="1"/>
  <c r="AQ29" i="75"/>
  <c r="B5087" i="97" s="1"/>
  <c r="AP29" i="75"/>
  <c r="B5065" i="97" s="1"/>
  <c r="AO29" i="75"/>
  <c r="B5043" i="97" s="1"/>
  <c r="AN29" i="75"/>
  <c r="B5021" i="97" s="1"/>
  <c r="AQ28" i="75"/>
  <c r="B5086" i="97" s="1"/>
  <c r="AP28" i="75"/>
  <c r="B5064" i="97" s="1"/>
  <c r="AO28" i="75"/>
  <c r="B5042" i="97" s="1"/>
  <c r="AN28" i="75"/>
  <c r="B5020" i="97" s="1"/>
  <c r="AQ27" i="75"/>
  <c r="B5085" i="97" s="1"/>
  <c r="AP27" i="75"/>
  <c r="B5063" i="97" s="1"/>
  <c r="AO27" i="75"/>
  <c r="B5041" i="97" s="1"/>
  <c r="AN27" i="75"/>
  <c r="B5019" i="97" s="1"/>
  <c r="AQ26" i="75"/>
  <c r="B5084" i="97" s="1"/>
  <c r="AP26" i="75"/>
  <c r="B5062" i="97" s="1"/>
  <c r="AO26" i="75"/>
  <c r="B5040" i="97" s="1"/>
  <c r="AN26" i="75"/>
  <c r="B5018" i="97" s="1"/>
  <c r="AQ25" i="75"/>
  <c r="B5083" i="97" s="1"/>
  <c r="AP25" i="75"/>
  <c r="B5061" i="97" s="1"/>
  <c r="AO25" i="75"/>
  <c r="B5039" i="97" s="1"/>
  <c r="AN25" i="75"/>
  <c r="B5017" i="97" s="1"/>
  <c r="AU20" i="75"/>
  <c r="B5152" i="97" s="1"/>
  <c r="AS20" i="75"/>
  <c r="B5126" i="97" s="1"/>
  <c r="AR20" i="75"/>
  <c r="B5104" i="97" s="1"/>
  <c r="AQ20" i="75"/>
  <c r="B5082" i="97" s="1"/>
  <c r="AP20" i="75"/>
  <c r="B5060" i="97" s="1"/>
  <c r="AO20" i="75"/>
  <c r="B5038" i="97" s="1"/>
  <c r="AN20" i="75"/>
  <c r="B5016" i="97" s="1"/>
  <c r="AU19" i="75"/>
  <c r="B5151" i="97" s="1"/>
  <c r="AS19" i="75"/>
  <c r="B5125" i="97" s="1"/>
  <c r="AR19" i="75"/>
  <c r="B5103" i="97" s="1"/>
  <c r="AQ19" i="75"/>
  <c r="B5081" i="97" s="1"/>
  <c r="AP19" i="75"/>
  <c r="B5059" i="97" s="1"/>
  <c r="AO19" i="75"/>
  <c r="B5037" i="97" s="1"/>
  <c r="AN19" i="75"/>
  <c r="B5015" i="97" s="1"/>
  <c r="AU18" i="75"/>
  <c r="B5150" i="97" s="1"/>
  <c r="AS18" i="75"/>
  <c r="B5124" i="97" s="1"/>
  <c r="AR18" i="75"/>
  <c r="B5102" i="97" s="1"/>
  <c r="AQ18" i="75"/>
  <c r="B5080" i="97" s="1"/>
  <c r="AP18" i="75"/>
  <c r="B5058" i="97" s="1"/>
  <c r="AO18" i="75"/>
  <c r="B5036" i="97" s="1"/>
  <c r="AN18" i="75"/>
  <c r="B5014" i="97" s="1"/>
  <c r="AU17" i="75"/>
  <c r="B5149" i="97" s="1"/>
  <c r="AS17" i="75"/>
  <c r="B5123" i="97" s="1"/>
  <c r="AR17" i="75"/>
  <c r="B5101" i="97" s="1"/>
  <c r="AQ17" i="75"/>
  <c r="B5079" i="97" s="1"/>
  <c r="AP17" i="75"/>
  <c r="B5057" i="97" s="1"/>
  <c r="AO17" i="75"/>
  <c r="B5035" i="97" s="1"/>
  <c r="AN17" i="75"/>
  <c r="B5013" i="97" s="1"/>
  <c r="AU8" i="75"/>
  <c r="B5141" i="97" s="1"/>
  <c r="AS8" i="75"/>
  <c r="B5115" i="97" s="1"/>
  <c r="AR8" i="75"/>
  <c r="B5093" i="97" s="1"/>
  <c r="AQ8" i="75"/>
  <c r="B5071" i="97" s="1"/>
  <c r="AP8" i="75"/>
  <c r="B5049" i="97" s="1"/>
  <c r="AO8" i="75"/>
  <c r="B5027" i="97" s="1"/>
  <c r="AN8" i="75"/>
  <c r="B5005" i="97" s="1"/>
  <c r="AU7" i="75"/>
  <c r="B5140" i="97" s="1"/>
  <c r="AS7" i="75"/>
  <c r="B5114" i="97" s="1"/>
  <c r="AR7" i="75"/>
  <c r="B5092" i="97" s="1"/>
  <c r="AQ7" i="75"/>
  <c r="B5070" i="97" s="1"/>
  <c r="AP7" i="75"/>
  <c r="B5048" i="97" s="1"/>
  <c r="AO7" i="75"/>
  <c r="B5026" i="97" s="1"/>
  <c r="AN7" i="75"/>
  <c r="B5004" i="97" s="1"/>
  <c r="AD22" i="73"/>
  <c r="B4980" i="97" s="1"/>
  <c r="AC22" i="73"/>
  <c r="B4965" i="97" s="1"/>
  <c r="AD21" i="73"/>
  <c r="B4979" i="97" s="1"/>
  <c r="AC21" i="73"/>
  <c r="B4964" i="97" s="1"/>
  <c r="AD20" i="73"/>
  <c r="B4978" i="97" s="1"/>
  <c r="AC20" i="73"/>
  <c r="B4963" i="97" s="1"/>
  <c r="AD19" i="73"/>
  <c r="B4977" i="97" s="1"/>
  <c r="AC19" i="73"/>
  <c r="B4962" i="97" s="1"/>
  <c r="AD18" i="73"/>
  <c r="B4976" i="97" s="1"/>
  <c r="AC18" i="73"/>
  <c r="B4961" i="97" s="1"/>
  <c r="AD17" i="73"/>
  <c r="B4975" i="97" s="1"/>
  <c r="AC17" i="73"/>
  <c r="B4960" i="97" s="1"/>
  <c r="AD14" i="73"/>
  <c r="B4974" i="97" s="1"/>
  <c r="AC14" i="73"/>
  <c r="B4959" i="97" s="1"/>
  <c r="AD13" i="73"/>
  <c r="B4973" i="97" s="1"/>
  <c r="AC13" i="73"/>
  <c r="B4958" i="97" s="1"/>
  <c r="AD12" i="73"/>
  <c r="B4972" i="97" s="1"/>
  <c r="AC12" i="73"/>
  <c r="B4957" i="97" s="1"/>
  <c r="AD11" i="73"/>
  <c r="B4971" i="97" s="1"/>
  <c r="AC11" i="73"/>
  <c r="B4956" i="97" s="1"/>
  <c r="AD10" i="73"/>
  <c r="B4970" i="97" s="1"/>
  <c r="AC10" i="73"/>
  <c r="B4955" i="97" s="1"/>
  <c r="AD9" i="73"/>
  <c r="B4969" i="97" s="1"/>
  <c r="AC9" i="73"/>
  <c r="B4954" i="97" s="1"/>
  <c r="AD8" i="73"/>
  <c r="B4968" i="97" s="1"/>
  <c r="AC8" i="73"/>
  <c r="B4953" i="97" s="1"/>
  <c r="AD7" i="73"/>
  <c r="B4967" i="97" s="1"/>
  <c r="AC7" i="73"/>
  <c r="B4952" i="97" s="1"/>
  <c r="AD6" i="73"/>
  <c r="B4966" i="97" s="1"/>
  <c r="AC6" i="73"/>
  <c r="B4951" i="97" s="1"/>
  <c r="L6" i="65" l="1"/>
  <c r="K6" i="65"/>
  <c r="J6" i="65"/>
  <c r="I6" i="65"/>
  <c r="H6" i="65"/>
  <c r="G6" i="65"/>
  <c r="G14" i="68" l="1"/>
  <c r="H14" i="68"/>
  <c r="I14" i="68"/>
  <c r="J14" i="68"/>
  <c r="K14" i="68"/>
  <c r="L14" i="68"/>
  <c r="M14" i="68"/>
  <c r="N14" i="68"/>
  <c r="O14" i="68"/>
  <c r="P14" i="68"/>
  <c r="Q14" i="68"/>
  <c r="R14" i="68"/>
  <c r="S14" i="68"/>
  <c r="T14" i="68"/>
  <c r="U14" i="68"/>
  <c r="V14" i="68"/>
  <c r="W14" i="68"/>
  <c r="X14" i="68"/>
  <c r="Y14" i="68"/>
  <c r="Z14" i="68"/>
  <c r="AA14" i="68"/>
  <c r="AB14" i="68"/>
  <c r="AC14" i="68"/>
  <c r="AD14" i="68"/>
  <c r="AE14" i="68"/>
  <c r="AF14" i="68"/>
  <c r="AG14" i="68"/>
  <c r="AH14" i="68"/>
  <c r="AI14" i="68"/>
  <c r="AJ14" i="68"/>
  <c r="AK14" i="68"/>
  <c r="AL14" i="68"/>
  <c r="AM14" i="68"/>
  <c r="AN14" i="68"/>
  <c r="AO14" i="68"/>
  <c r="AP14" i="68"/>
  <c r="AQ14" i="68"/>
  <c r="AR14" i="68"/>
  <c r="AS14" i="68"/>
  <c r="AT14" i="68"/>
  <c r="AU14" i="68"/>
  <c r="AV14" i="68"/>
  <c r="AW14" i="68"/>
  <c r="AX14" i="68"/>
  <c r="AY14" i="68"/>
  <c r="AZ14" i="68"/>
  <c r="BA14" i="68"/>
  <c r="BB14" i="68"/>
  <c r="BC14" i="68"/>
  <c r="BD14" i="68"/>
  <c r="BE14" i="68"/>
  <c r="BF14" i="68"/>
  <c r="BG14" i="68"/>
  <c r="BH14" i="68"/>
  <c r="BI14" i="68"/>
  <c r="BJ14" i="68"/>
  <c r="BK14" i="68"/>
  <c r="BL14" i="68"/>
  <c r="BM14" i="68"/>
  <c r="BN14" i="68"/>
  <c r="BO14" i="68"/>
  <c r="BP14" i="68"/>
  <c r="BQ14" i="68"/>
  <c r="BR14" i="68"/>
  <c r="BS14" i="68"/>
  <c r="BT14" i="68"/>
  <c r="BU14" i="68"/>
  <c r="BV14" i="68"/>
  <c r="BW14" i="68"/>
  <c r="BX14" i="68"/>
  <c r="BY14" i="68"/>
  <c r="BZ14" i="68"/>
  <c r="CA14" i="68"/>
  <c r="CB14" i="68"/>
  <c r="CC14" i="68"/>
  <c r="CD14" i="68"/>
  <c r="CE14" i="68"/>
  <c r="CF14" i="68"/>
  <c r="CG14" i="68"/>
  <c r="CH14" i="68"/>
  <c r="G23" i="68"/>
  <c r="H23" i="68"/>
  <c r="I23" i="68"/>
  <c r="J23" i="68"/>
  <c r="K23" i="68"/>
  <c r="L23" i="68"/>
  <c r="M23" i="68"/>
  <c r="N23" i="68"/>
  <c r="O23" i="68"/>
  <c r="P23" i="68"/>
  <c r="Q23" i="68"/>
  <c r="R23" i="68"/>
  <c r="S23" i="68"/>
  <c r="T23" i="68"/>
  <c r="U23" i="68"/>
  <c r="V23" i="68"/>
  <c r="W23" i="68"/>
  <c r="X23" i="68"/>
  <c r="Y23" i="68"/>
  <c r="Z23" i="68"/>
  <c r="AA23" i="68"/>
  <c r="AB23" i="68"/>
  <c r="AC23" i="68"/>
  <c r="AD23" i="68"/>
  <c r="AE23" i="68"/>
  <c r="AF23" i="68"/>
  <c r="AG23" i="68"/>
  <c r="AH23" i="68"/>
  <c r="AI23" i="68"/>
  <c r="AJ23" i="68"/>
  <c r="AK23" i="68"/>
  <c r="AL23" i="68"/>
  <c r="AM23" i="68"/>
  <c r="AN23" i="68"/>
  <c r="AO23" i="68"/>
  <c r="AP23" i="68"/>
  <c r="AQ23" i="68"/>
  <c r="AR23" i="68"/>
  <c r="AS23" i="68"/>
  <c r="AT23" i="68"/>
  <c r="AU23" i="68"/>
  <c r="AV23" i="68"/>
  <c r="AW23" i="68"/>
  <c r="AX23" i="68"/>
  <c r="AY23" i="68"/>
  <c r="AZ23" i="68"/>
  <c r="BA23" i="68"/>
  <c r="BB23" i="68"/>
  <c r="BC23" i="68"/>
  <c r="BD23" i="68"/>
  <c r="BE23" i="68"/>
  <c r="BF23" i="68"/>
  <c r="BG23" i="68"/>
  <c r="BH23" i="68"/>
  <c r="BI23" i="68"/>
  <c r="BJ23" i="68"/>
  <c r="BK23" i="68"/>
  <c r="BL23" i="68"/>
  <c r="BM23" i="68"/>
  <c r="BN23" i="68"/>
  <c r="BO23" i="68"/>
  <c r="BP23" i="68"/>
  <c r="BQ23" i="68"/>
  <c r="BR23" i="68"/>
  <c r="BS23" i="68"/>
  <c r="BT23" i="68"/>
  <c r="BU23" i="68"/>
  <c r="BV23" i="68"/>
  <c r="BW23" i="68"/>
  <c r="BX23" i="68"/>
  <c r="BY23" i="68"/>
  <c r="BZ23" i="68"/>
  <c r="CA23" i="68"/>
  <c r="CB23" i="68"/>
  <c r="CC23" i="68"/>
  <c r="CD23" i="68"/>
  <c r="CE23" i="68"/>
  <c r="CF23" i="68"/>
  <c r="CG23" i="68"/>
  <c r="CH23" i="68"/>
  <c r="G49" i="64"/>
  <c r="G2764" i="97" s="1"/>
  <c r="H49" i="64"/>
  <c r="G2800" i="97" s="1"/>
  <c r="I49" i="64"/>
  <c r="G2836" i="97" s="1"/>
  <c r="J49" i="64"/>
  <c r="G2872" i="97" s="1"/>
  <c r="K49" i="64"/>
  <c r="G2908" i="97" s="1"/>
  <c r="L49" i="64"/>
  <c r="G2944" i="97" s="1"/>
  <c r="M49" i="64"/>
  <c r="G2980" i="97" s="1"/>
  <c r="N49" i="64"/>
  <c r="G3016" i="97" s="1"/>
  <c r="G16" i="63"/>
  <c r="G2486" i="97" s="1"/>
  <c r="H16" i="63"/>
  <c r="G2522" i="97" s="1"/>
  <c r="I16" i="63"/>
  <c r="G2558" i="97" s="1"/>
  <c r="J16" i="63"/>
  <c r="G2594" i="97" s="1"/>
  <c r="K16" i="63"/>
  <c r="G2630" i="97" s="1"/>
  <c r="L16" i="63"/>
  <c r="G2666" i="97" s="1"/>
  <c r="G27" i="63"/>
  <c r="G2494" i="97" s="1"/>
  <c r="H27" i="63"/>
  <c r="G2530" i="97" s="1"/>
  <c r="I27" i="63"/>
  <c r="G2566" i="97" s="1"/>
  <c r="J27" i="63"/>
  <c r="G2602" i="97" s="1"/>
  <c r="K27" i="63"/>
  <c r="G2638" i="97" s="1"/>
  <c r="L27" i="63"/>
  <c r="G2674" i="97" s="1"/>
  <c r="G49" i="63"/>
  <c r="G2512" i="97" s="1"/>
  <c r="H49" i="63"/>
  <c r="G2548" i="97" s="1"/>
  <c r="I49" i="63"/>
  <c r="G2584" i="97" s="1"/>
  <c r="J49" i="63"/>
  <c r="G2620" i="97" s="1"/>
  <c r="K49" i="63"/>
  <c r="G2656" i="97" s="1"/>
  <c r="L49" i="63"/>
  <c r="G2692" i="97" s="1"/>
  <c r="L19" i="63" l="1"/>
  <c r="G2668" i="97" s="1"/>
  <c r="I29" i="63"/>
  <c r="G2568" i="97" s="1"/>
  <c r="K19" i="63"/>
  <c r="G2632" i="97" s="1"/>
  <c r="G19" i="63"/>
  <c r="G2488" i="97" s="1"/>
  <c r="J29" i="63"/>
  <c r="G2604" i="97" s="1"/>
  <c r="L29" i="63"/>
  <c r="G2676" i="97" s="1"/>
  <c r="H29" i="63"/>
  <c r="G2532" i="97" s="1"/>
  <c r="J19" i="63"/>
  <c r="G2596" i="97" s="1"/>
  <c r="H19" i="63"/>
  <c r="G2524" i="97" s="1"/>
  <c r="K29" i="63"/>
  <c r="G2640" i="97" s="1"/>
  <c r="G29" i="63"/>
  <c r="G2496" i="97" s="1"/>
  <c r="I19" i="63"/>
  <c r="G2560" i="97" s="1"/>
  <c r="I31" i="63" l="1"/>
  <c r="G2570" i="97" s="1"/>
  <c r="G31" i="63"/>
  <c r="G2498" i="97" s="1"/>
  <c r="L31" i="63"/>
  <c r="G2678" i="97" s="1"/>
  <c r="G36" i="63"/>
  <c r="G2501" i="97" s="1"/>
  <c r="H31" i="63"/>
  <c r="G2534" i="97" s="1"/>
  <c r="J31" i="63"/>
  <c r="G2606" i="97" s="1"/>
  <c r="I36" i="63"/>
  <c r="G2573" i="97" s="1"/>
  <c r="K31" i="63"/>
  <c r="G2642" i="97" s="1"/>
  <c r="A153" i="80"/>
  <c r="A152" i="80"/>
  <c r="A151" i="80"/>
  <c r="A150" i="80"/>
  <c r="A149" i="80"/>
  <c r="A148" i="80"/>
  <c r="A147" i="80"/>
  <c r="A146" i="80"/>
  <c r="A145" i="80"/>
  <c r="A144" i="80"/>
  <c r="A143" i="80"/>
  <c r="A142" i="80"/>
  <c r="A141" i="80"/>
  <c r="A140" i="80"/>
  <c r="A139" i="80"/>
  <c r="A138" i="80"/>
  <c r="A137" i="80"/>
  <c r="A136" i="80"/>
  <c r="A135" i="80"/>
  <c r="A134" i="80"/>
  <c r="A133" i="80"/>
  <c r="A132" i="80"/>
  <c r="A131" i="80"/>
  <c r="A130" i="80"/>
  <c r="A129" i="80"/>
  <c r="A178" i="80"/>
  <c r="A177" i="80"/>
  <c r="A176" i="80"/>
  <c r="A175" i="80"/>
  <c r="A174" i="80"/>
  <c r="A173" i="80"/>
  <c r="A172" i="80"/>
  <c r="A171" i="80"/>
  <c r="A170" i="80"/>
  <c r="A169" i="80"/>
  <c r="A168" i="80"/>
  <c r="A167" i="80"/>
  <c r="A166" i="80"/>
  <c r="A165" i="80"/>
  <c r="A164" i="80"/>
  <c r="A163" i="80"/>
  <c r="A162" i="80"/>
  <c r="A161" i="80"/>
  <c r="A160" i="80"/>
  <c r="A159" i="80"/>
  <c r="A158" i="80"/>
  <c r="A157" i="80"/>
  <c r="A156" i="80"/>
  <c r="A155" i="80"/>
  <c r="A154" i="80"/>
  <c r="A128" i="80"/>
  <c r="A127" i="80"/>
  <c r="A126" i="80"/>
  <c r="A125" i="80"/>
  <c r="A124" i="80"/>
  <c r="A123" i="80"/>
  <c r="A122" i="80"/>
  <c r="A121" i="80"/>
  <c r="A120" i="80"/>
  <c r="A119" i="80"/>
  <c r="A118" i="80"/>
  <c r="A117" i="80"/>
  <c r="A116" i="80"/>
  <c r="A115" i="80"/>
  <c r="A114" i="80"/>
  <c r="A113" i="80"/>
  <c r="A112" i="80"/>
  <c r="A111" i="80"/>
  <c r="A110" i="80"/>
  <c r="A109" i="80"/>
  <c r="A108" i="80"/>
  <c r="A107" i="80"/>
  <c r="A106" i="80"/>
  <c r="A105" i="80"/>
  <c r="A104" i="80"/>
  <c r="A103" i="80"/>
  <c r="A102" i="80"/>
  <c r="A101" i="80"/>
  <c r="A100" i="80"/>
  <c r="A99" i="80"/>
  <c r="A98" i="80"/>
  <c r="A97" i="80"/>
  <c r="A96" i="80"/>
  <c r="A95" i="80"/>
  <c r="A94" i="80"/>
  <c r="A93" i="80"/>
  <c r="A92" i="80"/>
  <c r="A91" i="80"/>
  <c r="A90" i="80"/>
  <c r="A89" i="80"/>
  <c r="A88" i="80"/>
  <c r="A87" i="80"/>
  <c r="A86" i="80"/>
  <c r="A85" i="80"/>
  <c r="A84" i="80"/>
  <c r="A83" i="80"/>
  <c r="A82" i="80"/>
  <c r="A81" i="80"/>
  <c r="A80" i="80"/>
  <c r="A79" i="80"/>
  <c r="A78" i="80"/>
  <c r="A77" i="80"/>
  <c r="A76" i="80"/>
  <c r="A75" i="80"/>
  <c r="A74" i="80"/>
  <c r="A73" i="80"/>
  <c r="A72" i="80"/>
  <c r="A71" i="80"/>
  <c r="A70" i="80"/>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A11" i="80"/>
  <c r="A10" i="80"/>
  <c r="A9" i="80"/>
  <c r="A8" i="80"/>
  <c r="A7" i="80"/>
  <c r="A6" i="80"/>
  <c r="A5" i="80"/>
  <c r="A4" i="80"/>
  <c r="B178" i="80"/>
  <c r="B177" i="80"/>
  <c r="B176" i="80"/>
  <c r="B175" i="80"/>
  <c r="B174" i="80"/>
  <c r="B173" i="80"/>
  <c r="B172" i="80"/>
  <c r="B171" i="80"/>
  <c r="B170" i="80"/>
  <c r="B169" i="80"/>
  <c r="B168" i="80"/>
  <c r="B167" i="80"/>
  <c r="B166" i="80"/>
  <c r="B165" i="80"/>
  <c r="B164" i="80"/>
  <c r="B163" i="80"/>
  <c r="B162" i="80"/>
  <c r="B161" i="80"/>
  <c r="B160" i="80"/>
  <c r="B159" i="80"/>
  <c r="B158" i="80"/>
  <c r="B157" i="80"/>
  <c r="B156" i="80"/>
  <c r="B155" i="80"/>
  <c r="B154" i="80"/>
  <c r="B153" i="80"/>
  <c r="B152" i="80"/>
  <c r="B151" i="80"/>
  <c r="B150" i="80"/>
  <c r="B149" i="80"/>
  <c r="B148" i="80"/>
  <c r="B147" i="80"/>
  <c r="B146" i="80"/>
  <c r="B145" i="80"/>
  <c r="B144" i="80"/>
  <c r="B143" i="80"/>
  <c r="B142" i="80"/>
  <c r="B141" i="80"/>
  <c r="B140" i="80"/>
  <c r="B139" i="80"/>
  <c r="B138" i="80"/>
  <c r="B137" i="80"/>
  <c r="B136" i="80"/>
  <c r="B135" i="80"/>
  <c r="B134" i="80"/>
  <c r="B133" i="80"/>
  <c r="B132" i="80"/>
  <c r="B131" i="80"/>
  <c r="B130" i="80"/>
  <c r="B129" i="80"/>
  <c r="B128" i="80"/>
  <c r="B127" i="80"/>
  <c r="B126" i="80"/>
  <c r="B125" i="80"/>
  <c r="B124" i="80"/>
  <c r="B123" i="80"/>
  <c r="B122" i="80"/>
  <c r="B121" i="80"/>
  <c r="B120" i="80"/>
  <c r="B119" i="80"/>
  <c r="B118" i="80"/>
  <c r="B117" i="80"/>
  <c r="B116" i="80"/>
  <c r="B115" i="80"/>
  <c r="B114" i="80"/>
  <c r="B113" i="80"/>
  <c r="B112" i="80"/>
  <c r="B111" i="80"/>
  <c r="B110" i="80"/>
  <c r="B109" i="80"/>
  <c r="B108" i="80"/>
  <c r="B107" i="80"/>
  <c r="B106" i="80"/>
  <c r="B105" i="80"/>
  <c r="B104" i="80"/>
  <c r="B103" i="80"/>
  <c r="B102" i="80"/>
  <c r="B101" i="80"/>
  <c r="B100" i="80"/>
  <c r="B99" i="80"/>
  <c r="B98" i="80"/>
  <c r="B97" i="80"/>
  <c r="B96" i="80"/>
  <c r="B95" i="80"/>
  <c r="B94" i="80"/>
  <c r="B93" i="80"/>
  <c r="B92" i="80"/>
  <c r="B91" i="80"/>
  <c r="B90" i="80"/>
  <c r="B89" i="80"/>
  <c r="B88" i="80"/>
  <c r="B87" i="80"/>
  <c r="B86" i="80"/>
  <c r="B85" i="80"/>
  <c r="B84" i="80"/>
  <c r="B83" i="80"/>
  <c r="B82" i="80"/>
  <c r="B81" i="80"/>
  <c r="B80" i="80"/>
  <c r="B79" i="80"/>
  <c r="B78" i="80"/>
  <c r="B77" i="80"/>
  <c r="B76" i="80"/>
  <c r="B75" i="80"/>
  <c r="B74" i="80"/>
  <c r="B73" i="80"/>
  <c r="B72" i="80"/>
  <c r="B71" i="80"/>
  <c r="B70" i="80"/>
  <c r="B69" i="80"/>
  <c r="B68" i="80"/>
  <c r="B67" i="80"/>
  <c r="B66" i="80"/>
  <c r="B65" i="80"/>
  <c r="B64" i="80"/>
  <c r="B63" i="80"/>
  <c r="B62" i="80"/>
  <c r="B61" i="80"/>
  <c r="B60" i="80"/>
  <c r="B59" i="80"/>
  <c r="B58" i="80"/>
  <c r="B57" i="80"/>
  <c r="B56" i="80"/>
  <c r="B55" i="80"/>
  <c r="B54" i="80"/>
  <c r="B53" i="80"/>
  <c r="B52" i="80"/>
  <c r="B51" i="80"/>
  <c r="B50" i="80"/>
  <c r="B49" i="80"/>
  <c r="B48" i="80"/>
  <c r="B47" i="80"/>
  <c r="B46" i="80"/>
  <c r="B45" i="80"/>
  <c r="B44" i="80"/>
  <c r="B43" i="80"/>
  <c r="B42" i="80"/>
  <c r="B41" i="80"/>
  <c r="B40" i="80"/>
  <c r="B39" i="80"/>
  <c r="B38" i="80"/>
  <c r="B37" i="80"/>
  <c r="B36" i="80"/>
  <c r="B35" i="80"/>
  <c r="B34" i="80"/>
  <c r="B33" i="80"/>
  <c r="B32" i="80"/>
  <c r="B31" i="80"/>
  <c r="B30" i="80"/>
  <c r="B29" i="80"/>
  <c r="B28" i="80"/>
  <c r="B27" i="80"/>
  <c r="B26" i="80"/>
  <c r="B25" i="80"/>
  <c r="B24" i="80"/>
  <c r="B23" i="80"/>
  <c r="B22" i="80"/>
  <c r="B21" i="80"/>
  <c r="B20" i="80"/>
  <c r="B19" i="80"/>
  <c r="B18" i="80"/>
  <c r="B17" i="80"/>
  <c r="B16" i="80"/>
  <c r="B15" i="80"/>
  <c r="B14" i="80"/>
  <c r="B13" i="80"/>
  <c r="B12" i="80"/>
  <c r="B11" i="80"/>
  <c r="B10" i="80"/>
  <c r="B9" i="80"/>
  <c r="B8" i="80"/>
  <c r="B7" i="80"/>
  <c r="B6" i="80"/>
  <c r="B5" i="80"/>
  <c r="B4" i="80"/>
  <c r="L36" i="63" l="1"/>
  <c r="G2681" i="97" s="1"/>
  <c r="J36" i="63"/>
  <c r="G2609" i="97" s="1"/>
  <c r="H36" i="63"/>
  <c r="G2537" i="97" s="1"/>
  <c r="K36" i="63"/>
  <c r="G2645" i="97" s="1"/>
  <c r="I52" i="63"/>
  <c r="G2585" i="97" s="1"/>
  <c r="G52" i="63"/>
  <c r="G2513" i="97" s="1"/>
  <c r="L52" i="63" l="1"/>
  <c r="G2693" i="97" s="1"/>
  <c r="K52" i="63"/>
  <c r="G2657" i="97" s="1"/>
  <c r="H52" i="63"/>
  <c r="G2549" i="97" s="1"/>
  <c r="J52" i="63"/>
  <c r="G2621" i="97" s="1"/>
  <c r="G53" i="80" l="1"/>
  <c r="G52" i="80"/>
  <c r="G51" i="80"/>
  <c r="G50" i="80"/>
  <c r="G49" i="80"/>
  <c r="G48" i="80"/>
  <c r="G47" i="80"/>
  <c r="G46" i="80"/>
  <c r="G45" i="80"/>
  <c r="G44" i="80"/>
  <c r="G43" i="80"/>
  <c r="G42" i="80"/>
  <c r="G41" i="80"/>
  <c r="G40" i="80"/>
  <c r="G39" i="80"/>
  <c r="G38" i="80"/>
  <c r="G37" i="80"/>
  <c r="G36" i="80"/>
  <c r="G35" i="80"/>
  <c r="G34" i="80"/>
  <c r="G33" i="80"/>
  <c r="G32" i="80"/>
  <c r="G31" i="80"/>
  <c r="G30" i="80"/>
  <c r="G2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G109" i="80"/>
  <c r="G108" i="80"/>
  <c r="G107" i="80"/>
  <c r="G106" i="80"/>
  <c r="G105" i="80"/>
  <c r="G104" i="80"/>
  <c r="G103" i="80"/>
  <c r="G102" i="80"/>
  <c r="G101" i="80"/>
  <c r="G100" i="80"/>
  <c r="G99" i="80"/>
  <c r="G98" i="80"/>
  <c r="G97" i="80"/>
  <c r="G96" i="80"/>
  <c r="G95" i="80"/>
  <c r="G94" i="80"/>
  <c r="G93" i="80"/>
  <c r="G92" i="80"/>
  <c r="G91" i="80"/>
  <c r="G90" i="80"/>
  <c r="G89" i="80"/>
  <c r="G88" i="80"/>
  <c r="G87" i="80"/>
  <c r="G86" i="80"/>
  <c r="G85" i="80"/>
  <c r="G84" i="80"/>
  <c r="G83" i="80"/>
  <c r="G82" i="80"/>
  <c r="G81" i="80"/>
  <c r="G80" i="80"/>
  <c r="G79" i="80"/>
  <c r="G78" i="80"/>
  <c r="G77" i="80"/>
  <c r="G76" i="80"/>
  <c r="G75" i="80"/>
  <c r="G74" i="80"/>
  <c r="G73" i="80"/>
  <c r="G72" i="80"/>
  <c r="G71" i="80"/>
  <c r="G70" i="80"/>
  <c r="G69" i="80"/>
  <c r="G68" i="80"/>
  <c r="G67" i="80"/>
  <c r="G66" i="80"/>
  <c r="G65" i="80"/>
  <c r="G64" i="80"/>
  <c r="G63" i="80"/>
  <c r="G62" i="80"/>
  <c r="G61" i="80"/>
  <c r="G60" i="80"/>
  <c r="G59" i="80"/>
  <c r="G58" i="80"/>
  <c r="G57" i="80"/>
  <c r="G56" i="80"/>
  <c r="G55" i="80"/>
  <c r="G54" i="80"/>
  <c r="G28" i="80"/>
  <c r="G27" i="80"/>
  <c r="G26" i="80"/>
  <c r="G25" i="80"/>
  <c r="G24" i="80"/>
  <c r="G23" i="80"/>
  <c r="G22" i="80"/>
  <c r="G21" i="80"/>
  <c r="G20" i="80"/>
  <c r="G19" i="80"/>
  <c r="G18" i="80"/>
  <c r="G17" i="80"/>
  <c r="G16" i="80"/>
  <c r="G15" i="80"/>
  <c r="G14" i="80"/>
  <c r="G13" i="80"/>
  <c r="G12" i="80"/>
  <c r="G11" i="80"/>
  <c r="G10" i="80"/>
  <c r="G9" i="80"/>
  <c r="G8" i="80"/>
  <c r="G7" i="80"/>
  <c r="G6" i="80"/>
  <c r="G5" i="80"/>
  <c r="G4" i="80"/>
  <c r="F30" i="23" l="1"/>
  <c r="G26" i="71" l="1"/>
  <c r="G4569" i="97" s="1"/>
  <c r="AA9" i="18" l="1"/>
  <c r="AA10" i="18" s="1"/>
  <c r="AA34" i="17"/>
  <c r="AA11" i="18" l="1"/>
  <c r="AA12" i="18" l="1"/>
  <c r="AA13" i="18" l="1"/>
  <c r="AA14" i="18" l="1"/>
  <c r="AA15" i="18" l="1"/>
  <c r="S22" i="73"/>
  <c r="S14" i="73"/>
  <c r="AA16" i="18" l="1"/>
  <c r="Q14" i="73"/>
  <c r="Q22" i="73"/>
  <c r="O13" i="69"/>
  <c r="D51" i="2" s="1"/>
  <c r="AA17" i="18" l="1"/>
  <c r="K14" i="73"/>
  <c r="K22" i="73"/>
  <c r="AA18" i="18" l="1"/>
  <c r="X23" i="8"/>
  <c r="W23" i="8"/>
  <c r="V23" i="8"/>
  <c r="U23" i="8"/>
  <c r="X21" i="8"/>
  <c r="W21" i="8"/>
  <c r="V21" i="8"/>
  <c r="U21" i="8"/>
  <c r="X20" i="8"/>
  <c r="W20" i="8"/>
  <c r="V20" i="8"/>
  <c r="U20" i="8"/>
  <c r="W17" i="8"/>
  <c r="V17" i="8"/>
  <c r="U17" i="8"/>
  <c r="W16" i="8"/>
  <c r="V16" i="8"/>
  <c r="U16" i="8"/>
  <c r="X14" i="8"/>
  <c r="L14" i="8" s="1"/>
  <c r="W6" i="8"/>
  <c r="V6" i="8"/>
  <c r="U6" i="8"/>
  <c r="D12" i="2" s="1"/>
  <c r="L20" i="8" l="1"/>
  <c r="AA19" i="18"/>
  <c r="L23" i="8"/>
  <c r="L21" i="8"/>
  <c r="L17" i="8"/>
  <c r="L16" i="8"/>
  <c r="L6" i="8"/>
  <c r="O9" i="30"/>
  <c r="G2066" i="97" s="1"/>
  <c r="AA20" i="18" l="1"/>
  <c r="AG68" i="76"/>
  <c r="AA21" i="18" l="1"/>
  <c r="O48" i="64"/>
  <c r="G3051" i="97" s="1"/>
  <c r="O47" i="64"/>
  <c r="G3050" i="97" s="1"/>
  <c r="O46" i="64"/>
  <c r="G3049" i="97" s="1"/>
  <c r="O45" i="64"/>
  <c r="G3048" i="97" s="1"/>
  <c r="O44" i="64"/>
  <c r="G3047" i="97" s="1"/>
  <c r="AA44" i="64" l="1"/>
  <c r="W44" i="64"/>
  <c r="V44" i="64"/>
  <c r="Z44" i="64"/>
  <c r="AC44" i="64"/>
  <c r="Y44" i="64"/>
  <c r="X44" i="64"/>
  <c r="AB44" i="64"/>
  <c r="AC46" i="64"/>
  <c r="Y46" i="64"/>
  <c r="V46" i="64"/>
  <c r="AB46" i="64"/>
  <c r="X46" i="64"/>
  <c r="AA46" i="64"/>
  <c r="W46" i="64"/>
  <c r="Z46" i="64"/>
  <c r="Z47" i="64"/>
  <c r="AC47" i="64"/>
  <c r="Y47" i="64"/>
  <c r="AB47" i="64"/>
  <c r="X47" i="64"/>
  <c r="V47" i="64"/>
  <c r="AA47" i="64"/>
  <c r="W47" i="64"/>
  <c r="AA48" i="64"/>
  <c r="W48" i="64"/>
  <c r="V48" i="64"/>
  <c r="Z48" i="64"/>
  <c r="AC48" i="64"/>
  <c r="Y48" i="64"/>
  <c r="X48" i="64"/>
  <c r="AB48" i="64"/>
  <c r="AB45" i="64"/>
  <c r="X45" i="64"/>
  <c r="AA45" i="64"/>
  <c r="W45" i="64"/>
  <c r="Z45" i="64"/>
  <c r="V45" i="64"/>
  <c r="Y45" i="64"/>
  <c r="AC45" i="64"/>
  <c r="AA22" i="18"/>
  <c r="R45" i="64" l="1"/>
  <c r="R48" i="64"/>
  <c r="R44" i="64"/>
  <c r="R47" i="64"/>
  <c r="R46" i="64"/>
  <c r="AA23" i="18"/>
  <c r="T16" i="44"/>
  <c r="T9" i="44"/>
  <c r="AA24" i="18" l="1"/>
  <c r="AA25" i="18" l="1"/>
  <c r="E58" i="2"/>
  <c r="E57" i="2"/>
  <c r="E56" i="2"/>
  <c r="E55" i="2"/>
  <c r="E54" i="2"/>
  <c r="E53" i="2"/>
  <c r="E52" i="2"/>
  <c r="E51" i="2"/>
  <c r="E50" i="2"/>
  <c r="E49" i="2"/>
  <c r="E48" i="2"/>
  <c r="E47" i="2"/>
  <c r="E46" i="2"/>
  <c r="E45" i="2"/>
  <c r="E44" i="2"/>
  <c r="E43" i="2"/>
  <c r="E42" i="2"/>
  <c r="E41" i="2"/>
  <c r="E40" i="2"/>
  <c r="E39" i="2"/>
  <c r="E38" i="2"/>
  <c r="E37" i="2"/>
  <c r="E36" i="2"/>
  <c r="E32" i="2"/>
  <c r="E31" i="2"/>
  <c r="E30" i="2"/>
  <c r="E29" i="2"/>
  <c r="E25" i="2"/>
  <c r="E24" i="2"/>
  <c r="E23" i="2"/>
  <c r="E22" i="2"/>
  <c r="E21" i="2"/>
  <c r="E20" i="2"/>
  <c r="E19" i="2"/>
  <c r="E18" i="2"/>
  <c r="E17" i="2"/>
  <c r="E16" i="2"/>
  <c r="E12" i="2"/>
  <c r="E11" i="2"/>
  <c r="E10" i="2"/>
  <c r="E9" i="2"/>
  <c r="E8" i="2"/>
  <c r="AA26" i="18" l="1"/>
  <c r="M13" i="70"/>
  <c r="J13" i="70" s="1"/>
  <c r="X50" i="66"/>
  <c r="G4393" i="97" s="1"/>
  <c r="O50" i="66"/>
  <c r="G3988" i="97" s="1"/>
  <c r="X49" i="66"/>
  <c r="G4392" i="97" s="1"/>
  <c r="O49" i="66"/>
  <c r="G3987" i="97" s="1"/>
  <c r="X48" i="66"/>
  <c r="G4391" i="97" s="1"/>
  <c r="O48" i="66"/>
  <c r="G3986" i="97" s="1"/>
  <c r="X47" i="66"/>
  <c r="G4390" i="97" s="1"/>
  <c r="O47" i="66"/>
  <c r="G3985" i="97" s="1"/>
  <c r="X46" i="66"/>
  <c r="G4389" i="97" s="1"/>
  <c r="O46" i="66"/>
  <c r="G3984" i="97" s="1"/>
  <c r="T43" i="65"/>
  <c r="G3583" i="97" s="1"/>
  <c r="T42" i="65"/>
  <c r="G3582" i="97" s="1"/>
  <c r="T41" i="65"/>
  <c r="G3581" i="97" s="1"/>
  <c r="T40" i="65"/>
  <c r="G3580" i="97" s="1"/>
  <c r="T39" i="65"/>
  <c r="G3579" i="97" s="1"/>
  <c r="M43" i="65"/>
  <c r="G3317" i="97" s="1"/>
  <c r="M42" i="65"/>
  <c r="G3316" i="97" s="1"/>
  <c r="M41" i="65"/>
  <c r="G3315" i="97" s="1"/>
  <c r="M40" i="65"/>
  <c r="G3314" i="97" s="1"/>
  <c r="M39" i="65"/>
  <c r="G3313" i="97" s="1"/>
  <c r="V52" i="66"/>
  <c r="G4305" i="97" s="1"/>
  <c r="U52" i="66"/>
  <c r="G4260" i="97" s="1"/>
  <c r="T52" i="66"/>
  <c r="G4215" i="97" s="1"/>
  <c r="S52" i="66"/>
  <c r="G4170" i="97" s="1"/>
  <c r="R52" i="66"/>
  <c r="G4125" i="97" s="1"/>
  <c r="Q52" i="66"/>
  <c r="G4080" i="97" s="1"/>
  <c r="M52" i="66"/>
  <c r="G3900" i="97" s="1"/>
  <c r="L52" i="66"/>
  <c r="G3855" i="97" s="1"/>
  <c r="K52" i="66"/>
  <c r="G3810" i="97" s="1"/>
  <c r="J52" i="66"/>
  <c r="G3765" i="97" s="1"/>
  <c r="I52" i="66"/>
  <c r="G3720" i="97" s="1"/>
  <c r="AT50" i="66" l="1"/>
  <c r="AP50" i="66"/>
  <c r="AK50" i="66"/>
  <c r="AG50" i="66"/>
  <c r="AS50" i="66"/>
  <c r="AO50" i="66"/>
  <c r="AJ50" i="66"/>
  <c r="AF50" i="66"/>
  <c r="AQ50" i="66"/>
  <c r="AH50" i="66"/>
  <c r="AR50" i="66"/>
  <c r="AN50" i="66"/>
  <c r="AI50" i="66"/>
  <c r="AE50" i="66"/>
  <c r="AU50" i="66"/>
  <c r="AL50" i="66"/>
  <c r="AR48" i="66"/>
  <c r="AN48" i="66"/>
  <c r="AI48" i="66"/>
  <c r="AE48" i="66"/>
  <c r="AS48" i="66"/>
  <c r="AU48" i="66"/>
  <c r="AQ48" i="66"/>
  <c r="AL48" i="66"/>
  <c r="AH48" i="66"/>
  <c r="AO48" i="66"/>
  <c r="AJ48" i="66"/>
  <c r="AF48" i="66"/>
  <c r="AT48" i="66"/>
  <c r="AP48" i="66"/>
  <c r="AK48" i="66"/>
  <c r="AG48" i="66"/>
  <c r="K53" i="66"/>
  <c r="J53" i="66"/>
  <c r="AT46" i="66"/>
  <c r="AP46" i="66"/>
  <c r="AK46" i="66"/>
  <c r="AG46" i="66"/>
  <c r="AS46" i="66"/>
  <c r="AO46" i="66"/>
  <c r="AJ46" i="66"/>
  <c r="AF46" i="66"/>
  <c r="AU46" i="66"/>
  <c r="AQ46" i="66"/>
  <c r="AL46" i="66"/>
  <c r="AH46" i="66"/>
  <c r="AR46" i="66"/>
  <c r="AN46" i="66"/>
  <c r="AI46" i="66"/>
  <c r="AE46" i="66"/>
  <c r="L53" i="66"/>
  <c r="AS47" i="66"/>
  <c r="AO47" i="66"/>
  <c r="AJ47" i="66"/>
  <c r="AF47" i="66"/>
  <c r="AR47" i="66"/>
  <c r="AN47" i="66"/>
  <c r="AI47" i="66"/>
  <c r="AE47" i="66"/>
  <c r="AT47" i="66"/>
  <c r="AP47" i="66"/>
  <c r="AK47" i="66"/>
  <c r="AG47" i="66"/>
  <c r="AU47" i="66"/>
  <c r="AQ47" i="66"/>
  <c r="AL47" i="66"/>
  <c r="AH47" i="66"/>
  <c r="AU49" i="66"/>
  <c r="AQ49" i="66"/>
  <c r="AL49" i="66"/>
  <c r="AH49" i="66"/>
  <c r="AT49" i="66"/>
  <c r="AP49" i="66"/>
  <c r="AK49" i="66"/>
  <c r="AG49" i="66"/>
  <c r="AR49" i="66"/>
  <c r="AN49" i="66"/>
  <c r="AI49" i="66"/>
  <c r="AE49" i="66"/>
  <c r="AS49" i="66"/>
  <c r="AO49" i="66"/>
  <c r="AJ49" i="66"/>
  <c r="AF49" i="66"/>
  <c r="I53" i="66"/>
  <c r="M53" i="66"/>
  <c r="AM41" i="65"/>
  <c r="AI41" i="65"/>
  <c r="AD41" i="65"/>
  <c r="AJ41" i="65"/>
  <c r="AA41" i="65"/>
  <c r="AL41" i="65"/>
  <c r="AH41" i="65"/>
  <c r="AC41" i="65"/>
  <c r="AE41" i="65"/>
  <c r="AK41" i="65"/>
  <c r="AF41" i="65"/>
  <c r="AB41" i="65"/>
  <c r="AM42" i="65"/>
  <c r="AI42" i="65"/>
  <c r="AD42" i="65"/>
  <c r="AL42" i="65"/>
  <c r="AH42" i="65"/>
  <c r="AC42" i="65"/>
  <c r="AE42" i="65"/>
  <c r="AK42" i="65"/>
  <c r="AF42" i="65"/>
  <c r="AB42" i="65"/>
  <c r="AJ42" i="65"/>
  <c r="AA42" i="65"/>
  <c r="AM39" i="65"/>
  <c r="AI39" i="65"/>
  <c r="AD39" i="65"/>
  <c r="AE39" i="65"/>
  <c r="AL39" i="65"/>
  <c r="AH39" i="65"/>
  <c r="AC39" i="65"/>
  <c r="AA39" i="65"/>
  <c r="AK39" i="65"/>
  <c r="AF39" i="65"/>
  <c r="AB39" i="65"/>
  <c r="AJ39" i="65"/>
  <c r="AM43" i="65"/>
  <c r="AI43" i="65"/>
  <c r="AD43" i="65"/>
  <c r="AA43" i="65"/>
  <c r="AL43" i="65"/>
  <c r="AH43" i="65"/>
  <c r="AC43" i="65"/>
  <c r="AE43" i="65"/>
  <c r="AK43" i="65"/>
  <c r="AF43" i="65"/>
  <c r="AB43" i="65"/>
  <c r="AJ43" i="65"/>
  <c r="AM40" i="65"/>
  <c r="AI40" i="65"/>
  <c r="AD40" i="65"/>
  <c r="AE40" i="65"/>
  <c r="AL40" i="65"/>
  <c r="AH40" i="65"/>
  <c r="AC40" i="65"/>
  <c r="AA40" i="65"/>
  <c r="AK40" i="65"/>
  <c r="AF40" i="65"/>
  <c r="AB40" i="65"/>
  <c r="AJ40" i="65"/>
  <c r="AA27" i="18"/>
  <c r="P1" i="76"/>
  <c r="O1" i="75"/>
  <c r="H1" i="74"/>
  <c r="I1" i="73"/>
  <c r="AG1" i="72"/>
  <c r="H1" i="71"/>
  <c r="H1" i="70"/>
  <c r="H1" i="69"/>
  <c r="CI1" i="68"/>
  <c r="H1" i="67"/>
  <c r="Y1" i="66"/>
  <c r="U1" i="65"/>
  <c r="P1" i="64"/>
  <c r="N1" i="63"/>
  <c r="AA46" i="66" l="1"/>
  <c r="AA50" i="66"/>
  <c r="AA49" i="66"/>
  <c r="AA47" i="66"/>
  <c r="AA48" i="66"/>
  <c r="W40" i="65"/>
  <c r="W43" i="65"/>
  <c r="W39" i="65"/>
  <c r="W42" i="65"/>
  <c r="W41" i="65"/>
  <c r="CH6" i="68"/>
  <c r="CD6" i="68"/>
  <c r="BZ6" i="68"/>
  <c r="BV6" i="68"/>
  <c r="BR6" i="68"/>
  <c r="BN6" i="68"/>
  <c r="BJ6" i="68"/>
  <c r="BF6" i="68"/>
  <c r="BB6" i="68"/>
  <c r="AX6" i="68"/>
  <c r="AT6" i="68"/>
  <c r="AP6" i="68"/>
  <c r="AL6" i="68"/>
  <c r="AH6" i="68"/>
  <c r="AD6" i="68"/>
  <c r="Z6" i="68"/>
  <c r="V6" i="68"/>
  <c r="R6" i="68"/>
  <c r="N6" i="68"/>
  <c r="J6" i="68"/>
  <c r="BS6" i="68"/>
  <c r="BG6" i="68"/>
  <c r="AU6" i="68"/>
  <c r="AI6" i="68"/>
  <c r="S6" i="68"/>
  <c r="CG6" i="68"/>
  <c r="CC6" i="68"/>
  <c r="BY6" i="68"/>
  <c r="BU6" i="68"/>
  <c r="BQ6" i="68"/>
  <c r="BM6" i="68"/>
  <c r="BI6" i="68"/>
  <c r="BE6" i="68"/>
  <c r="BA6" i="68"/>
  <c r="AW6" i="68"/>
  <c r="AS6" i="68"/>
  <c r="AO6" i="68"/>
  <c r="AK6" i="68"/>
  <c r="AG6" i="68"/>
  <c r="AC6" i="68"/>
  <c r="Y6" i="68"/>
  <c r="U6" i="68"/>
  <c r="Q6" i="68"/>
  <c r="M6" i="68"/>
  <c r="I6" i="68"/>
  <c r="CE6" i="68"/>
  <c r="BW6" i="68"/>
  <c r="BK6" i="68"/>
  <c r="AY6" i="68"/>
  <c r="AQ6" i="68"/>
  <c r="AE6" i="68"/>
  <c r="W6" i="68"/>
  <c r="O6" i="68"/>
  <c r="G6" i="68"/>
  <c r="CF6" i="68"/>
  <c r="CB6" i="68"/>
  <c r="BX6" i="68"/>
  <c r="BT6" i="68"/>
  <c r="BP6" i="68"/>
  <c r="BL6" i="68"/>
  <c r="BH6" i="68"/>
  <c r="BD6" i="68"/>
  <c r="AZ6" i="68"/>
  <c r="AV6" i="68"/>
  <c r="AR6" i="68"/>
  <c r="AN6" i="68"/>
  <c r="AJ6" i="68"/>
  <c r="AF6" i="68"/>
  <c r="AB6" i="68"/>
  <c r="X6" i="68"/>
  <c r="T6" i="68"/>
  <c r="P6" i="68"/>
  <c r="L6" i="68"/>
  <c r="H6" i="68"/>
  <c r="CA6" i="68"/>
  <c r="BO6" i="68"/>
  <c r="BC6" i="68"/>
  <c r="AM6" i="68"/>
  <c r="AA6" i="68"/>
  <c r="K6" i="68"/>
  <c r="AA28" i="18"/>
  <c r="J6" i="8"/>
  <c r="G411" i="97" s="1"/>
  <c r="AA33" i="18" l="1"/>
  <c r="AA37" i="18" s="1"/>
  <c r="F1" i="21"/>
  <c r="M48" i="63" l="1"/>
  <c r="G2727" i="97" s="1"/>
  <c r="M47" i="63"/>
  <c r="G2726" i="97" s="1"/>
  <c r="M46" i="63"/>
  <c r="G2725" i="97" s="1"/>
  <c r="M45" i="63"/>
  <c r="G2724" i="97" s="1"/>
  <c r="M44" i="63"/>
  <c r="G2723" i="97" s="1"/>
  <c r="T45" i="63" l="1"/>
  <c r="X45" i="63"/>
  <c r="Y45" i="63"/>
  <c r="U45" i="63"/>
  <c r="W45" i="63"/>
  <c r="V45" i="63"/>
  <c r="T47" i="63"/>
  <c r="V47" i="63"/>
  <c r="W47" i="63"/>
  <c r="Y47" i="63"/>
  <c r="U47" i="63"/>
  <c r="X47" i="63"/>
  <c r="T46" i="63"/>
  <c r="W46" i="63"/>
  <c r="V46" i="63"/>
  <c r="X46" i="63"/>
  <c r="Y46" i="63"/>
  <c r="U46" i="63"/>
  <c r="T44" i="63"/>
  <c r="Y44" i="63"/>
  <c r="U44" i="63"/>
  <c r="X44" i="63"/>
  <c r="V44" i="63"/>
  <c r="W44" i="63"/>
  <c r="T48" i="63"/>
  <c r="Y48" i="63"/>
  <c r="U48" i="63"/>
  <c r="V48" i="63"/>
  <c r="X48" i="63"/>
  <c r="W48" i="63"/>
  <c r="B56" i="65"/>
  <c r="B55" i="22"/>
  <c r="P44" i="63" l="1"/>
  <c r="P45" i="63"/>
  <c r="P47" i="63"/>
  <c r="P46" i="63"/>
  <c r="P48" i="63"/>
  <c r="AP6" i="11" l="1"/>
  <c r="Y45" i="19" l="1"/>
  <c r="W45" i="19"/>
  <c r="AB8" i="65" l="1"/>
  <c r="AC8" i="65"/>
  <c r="AD8" i="65"/>
  <c r="AE8" i="65"/>
  <c r="AF8" i="65"/>
  <c r="AH8" i="65"/>
  <c r="AI8" i="65"/>
  <c r="AJ8" i="65"/>
  <c r="AK8" i="65"/>
  <c r="AL8" i="65"/>
  <c r="AM8" i="65"/>
  <c r="AB9" i="65"/>
  <c r="AC9" i="65"/>
  <c r="AD9" i="65"/>
  <c r="AE9" i="65"/>
  <c r="AF9" i="65"/>
  <c r="AH9" i="65"/>
  <c r="AI9" i="65"/>
  <c r="AJ9" i="65"/>
  <c r="AK9" i="65"/>
  <c r="AL9" i="65"/>
  <c r="AM9" i="65"/>
  <c r="AB11" i="65"/>
  <c r="AC11" i="65"/>
  <c r="AD11" i="65"/>
  <c r="AE11" i="65"/>
  <c r="AF11" i="65"/>
  <c r="AH11" i="65"/>
  <c r="AI11" i="65"/>
  <c r="AJ11" i="65"/>
  <c r="AK11" i="65"/>
  <c r="AL11" i="65"/>
  <c r="AM11" i="65"/>
  <c r="AB12" i="65"/>
  <c r="AC12" i="65"/>
  <c r="AD12" i="65"/>
  <c r="AE12" i="65"/>
  <c r="AF12" i="65"/>
  <c r="AH12" i="65"/>
  <c r="AI12" i="65"/>
  <c r="AJ12" i="65"/>
  <c r="AK12" i="65"/>
  <c r="AL12" i="65"/>
  <c r="AM12" i="65"/>
  <c r="AB13" i="65"/>
  <c r="AC13" i="65"/>
  <c r="AD13" i="65"/>
  <c r="AE13" i="65"/>
  <c r="AF13" i="65"/>
  <c r="AH13" i="65"/>
  <c r="AI13" i="65"/>
  <c r="AJ13" i="65"/>
  <c r="AK13" i="65"/>
  <c r="AL13" i="65"/>
  <c r="AM13" i="65"/>
  <c r="AB14" i="65"/>
  <c r="AC14" i="65"/>
  <c r="AD14" i="65"/>
  <c r="AE14" i="65"/>
  <c r="AF14" i="65"/>
  <c r="AH14" i="65"/>
  <c r="AI14" i="65"/>
  <c r="AJ14" i="65"/>
  <c r="AK14" i="65"/>
  <c r="AL14" i="65"/>
  <c r="AM14" i="65"/>
  <c r="AB15" i="65"/>
  <c r="AC15" i="65"/>
  <c r="AD15" i="65"/>
  <c r="AE15" i="65"/>
  <c r="AF15" i="65"/>
  <c r="AH15" i="65"/>
  <c r="AI15" i="65"/>
  <c r="AJ15" i="65"/>
  <c r="AK15" i="65"/>
  <c r="AL15" i="65"/>
  <c r="AM15" i="65"/>
  <c r="AB16" i="65"/>
  <c r="AC16" i="65"/>
  <c r="AD16" i="65"/>
  <c r="AE16" i="65"/>
  <c r="AF16" i="65"/>
  <c r="AH16" i="65"/>
  <c r="AI16" i="65"/>
  <c r="AJ16" i="65"/>
  <c r="AK16" i="65"/>
  <c r="AL16" i="65"/>
  <c r="AM16" i="65"/>
  <c r="AB17" i="65"/>
  <c r="AC17" i="65"/>
  <c r="AD17" i="65"/>
  <c r="AE17" i="65"/>
  <c r="AF17" i="65"/>
  <c r="AH17" i="65"/>
  <c r="AI17" i="65"/>
  <c r="AJ17" i="65"/>
  <c r="AK17" i="65"/>
  <c r="AL17" i="65"/>
  <c r="AM17" i="65"/>
  <c r="AB18" i="65"/>
  <c r="AC18" i="65"/>
  <c r="AD18" i="65"/>
  <c r="AE18" i="65"/>
  <c r="AF18" i="65"/>
  <c r="AH18" i="65"/>
  <c r="AI18" i="65"/>
  <c r="AJ18" i="65"/>
  <c r="AK18" i="65"/>
  <c r="AL18" i="65"/>
  <c r="AM18" i="65"/>
  <c r="AB19" i="65"/>
  <c r="AC19" i="65"/>
  <c r="AD19" i="65"/>
  <c r="AE19" i="65"/>
  <c r="AF19" i="65"/>
  <c r="AH19" i="65"/>
  <c r="AI19" i="65"/>
  <c r="AJ19" i="65"/>
  <c r="AK19" i="65"/>
  <c r="AL19" i="65"/>
  <c r="AM19" i="65"/>
  <c r="AB20" i="65"/>
  <c r="AC20" i="65"/>
  <c r="AD20" i="65"/>
  <c r="AE20" i="65"/>
  <c r="AF20" i="65"/>
  <c r="AH20" i="65"/>
  <c r="AI20" i="65"/>
  <c r="AJ20" i="65"/>
  <c r="AK20" i="65"/>
  <c r="AL20" i="65"/>
  <c r="AM20" i="65"/>
  <c r="AB21" i="65"/>
  <c r="AC21" i="65"/>
  <c r="AD21" i="65"/>
  <c r="AE21" i="65"/>
  <c r="AF21" i="65"/>
  <c r="AH21" i="65"/>
  <c r="AI21" i="65"/>
  <c r="AJ21" i="65"/>
  <c r="AK21" i="65"/>
  <c r="AL21" i="65"/>
  <c r="AM21" i="65"/>
  <c r="AB22" i="65"/>
  <c r="AC22" i="65"/>
  <c r="AD22" i="65"/>
  <c r="AE22" i="65"/>
  <c r="AF22" i="65"/>
  <c r="AH22" i="65"/>
  <c r="AI22" i="65"/>
  <c r="AJ22" i="65"/>
  <c r="AK22" i="65"/>
  <c r="AL22" i="65"/>
  <c r="AM22" i="65"/>
  <c r="AB25" i="65"/>
  <c r="AC25" i="65"/>
  <c r="AD25" i="65"/>
  <c r="AE25" i="65"/>
  <c r="AF25" i="65"/>
  <c r="AH25" i="65"/>
  <c r="AI25" i="65"/>
  <c r="AJ25" i="65"/>
  <c r="AK25" i="65"/>
  <c r="AL25" i="65"/>
  <c r="AM25" i="65"/>
  <c r="AB26" i="65"/>
  <c r="AC26" i="65"/>
  <c r="AD26" i="65"/>
  <c r="AE26" i="65"/>
  <c r="AF26" i="65"/>
  <c r="AH26" i="65"/>
  <c r="AI26" i="65"/>
  <c r="AJ26" i="65"/>
  <c r="AK26" i="65"/>
  <c r="AL26" i="65"/>
  <c r="AM26" i="65"/>
  <c r="AB27" i="65"/>
  <c r="AC27" i="65"/>
  <c r="AD27" i="65"/>
  <c r="AE27" i="65"/>
  <c r="AF27" i="65"/>
  <c r="AH27" i="65"/>
  <c r="AI27" i="65"/>
  <c r="AJ27" i="65"/>
  <c r="AK27" i="65"/>
  <c r="AL27" i="65"/>
  <c r="AM27" i="65"/>
  <c r="AB28" i="65"/>
  <c r="AC28" i="65"/>
  <c r="AD28" i="65"/>
  <c r="AE28" i="65"/>
  <c r="AF28" i="65"/>
  <c r="AH28" i="65"/>
  <c r="AI28" i="65"/>
  <c r="AJ28" i="65"/>
  <c r="AK28" i="65"/>
  <c r="AL28" i="65"/>
  <c r="AM28" i="65"/>
  <c r="AB29" i="65"/>
  <c r="AC29" i="65"/>
  <c r="AD29" i="65"/>
  <c r="AE29" i="65"/>
  <c r="AF29" i="65"/>
  <c r="AH29" i="65"/>
  <c r="AI29" i="65"/>
  <c r="AJ29" i="65"/>
  <c r="AK29" i="65"/>
  <c r="AL29" i="65"/>
  <c r="AM29" i="65"/>
  <c r="T7" i="63"/>
  <c r="U7" i="63"/>
  <c r="V7" i="63"/>
  <c r="W7" i="63"/>
  <c r="X7" i="63"/>
  <c r="Y7" i="63"/>
  <c r="T8" i="63"/>
  <c r="U8" i="63"/>
  <c r="V8" i="63"/>
  <c r="W8" i="63"/>
  <c r="X8" i="63"/>
  <c r="Y8" i="63"/>
  <c r="T9" i="63"/>
  <c r="U9" i="63"/>
  <c r="V9" i="63"/>
  <c r="W9" i="63"/>
  <c r="X9" i="63"/>
  <c r="Y9" i="63"/>
  <c r="T10" i="63"/>
  <c r="U10" i="63"/>
  <c r="V10" i="63"/>
  <c r="W10" i="63"/>
  <c r="X10" i="63"/>
  <c r="Y10" i="63"/>
  <c r="T12" i="63"/>
  <c r="U12" i="63"/>
  <c r="V12" i="63"/>
  <c r="W12" i="63"/>
  <c r="X12" i="63"/>
  <c r="Y12" i="63"/>
  <c r="T13" i="63"/>
  <c r="U13" i="63"/>
  <c r="V13" i="63"/>
  <c r="W13" i="63"/>
  <c r="X13" i="63"/>
  <c r="Y13" i="63"/>
  <c r="T14" i="63"/>
  <c r="U14" i="63"/>
  <c r="V14" i="63"/>
  <c r="W14" i="63"/>
  <c r="X14" i="63"/>
  <c r="Y14" i="63"/>
  <c r="T15" i="63"/>
  <c r="U15" i="63"/>
  <c r="V15" i="63"/>
  <c r="W15" i="63"/>
  <c r="X15" i="63"/>
  <c r="Y15" i="63"/>
  <c r="T18" i="63"/>
  <c r="U18" i="63"/>
  <c r="V18" i="63"/>
  <c r="W18" i="63"/>
  <c r="X18" i="63"/>
  <c r="Y18" i="63"/>
  <c r="T22" i="63"/>
  <c r="U22" i="63"/>
  <c r="V22" i="63"/>
  <c r="W22" i="63"/>
  <c r="X22" i="63"/>
  <c r="Y22" i="63"/>
  <c r="T23" i="63"/>
  <c r="U23" i="63"/>
  <c r="V23" i="63"/>
  <c r="W23" i="63"/>
  <c r="X23" i="63"/>
  <c r="T24" i="63"/>
  <c r="U24" i="63"/>
  <c r="V24" i="63"/>
  <c r="W24" i="63"/>
  <c r="X24" i="63"/>
  <c r="Y24" i="63"/>
  <c r="T25" i="63"/>
  <c r="U25" i="63"/>
  <c r="V25" i="63"/>
  <c r="W25" i="63"/>
  <c r="X25" i="63"/>
  <c r="Y25" i="63"/>
  <c r="T26" i="63"/>
  <c r="U26" i="63"/>
  <c r="V26" i="63"/>
  <c r="W26" i="63"/>
  <c r="X26" i="63"/>
  <c r="Y26" i="63"/>
  <c r="T28" i="63"/>
  <c r="U28" i="63"/>
  <c r="V28" i="63"/>
  <c r="W28" i="63"/>
  <c r="X28" i="63"/>
  <c r="Y28" i="63"/>
  <c r="T30" i="63"/>
  <c r="U30" i="63"/>
  <c r="V30" i="63"/>
  <c r="W30" i="63"/>
  <c r="X30" i="63"/>
  <c r="Y30" i="63"/>
  <c r="T34" i="63"/>
  <c r="U34" i="63"/>
  <c r="V34" i="63"/>
  <c r="W34" i="63"/>
  <c r="X34" i="63"/>
  <c r="Y34" i="63"/>
  <c r="T35" i="63"/>
  <c r="U35" i="63"/>
  <c r="V35" i="63"/>
  <c r="W35" i="63"/>
  <c r="X35" i="63"/>
  <c r="Y35" i="63"/>
  <c r="U8" i="34"/>
  <c r="V8" i="34"/>
  <c r="W8" i="34"/>
  <c r="X8" i="34"/>
  <c r="Y8" i="34"/>
  <c r="Z8" i="34"/>
  <c r="AA8" i="34"/>
  <c r="U9" i="34"/>
  <c r="V9" i="34"/>
  <c r="W9" i="34"/>
  <c r="X9" i="34"/>
  <c r="Y9" i="34"/>
  <c r="Z9" i="34"/>
  <c r="AA9" i="34"/>
  <c r="U10" i="34"/>
  <c r="V10" i="34"/>
  <c r="W10" i="34"/>
  <c r="X10" i="34"/>
  <c r="Y10" i="34"/>
  <c r="Z10" i="34"/>
  <c r="AA10" i="34"/>
  <c r="U11" i="34"/>
  <c r="V11" i="34"/>
  <c r="W11" i="34"/>
  <c r="X11" i="34"/>
  <c r="Y11" i="34"/>
  <c r="Z11" i="34"/>
  <c r="AA11" i="34"/>
  <c r="U12" i="34"/>
  <c r="V12" i="34"/>
  <c r="W12" i="34"/>
  <c r="X12" i="34"/>
  <c r="Y12" i="34"/>
  <c r="Z12" i="34"/>
  <c r="AA12" i="34"/>
  <c r="U13" i="34"/>
  <c r="V13" i="34"/>
  <c r="W13" i="34"/>
  <c r="X13" i="34"/>
  <c r="Y13" i="34"/>
  <c r="Z13" i="34"/>
  <c r="AA13" i="34"/>
  <c r="U17" i="34"/>
  <c r="V17" i="34"/>
  <c r="W17" i="34"/>
  <c r="X17" i="34"/>
  <c r="Y17" i="34"/>
  <c r="Z17" i="34"/>
  <c r="AA17" i="34"/>
  <c r="U18" i="34"/>
  <c r="V18" i="34"/>
  <c r="W18" i="34"/>
  <c r="X18" i="34"/>
  <c r="Y18" i="34"/>
  <c r="Z18" i="34"/>
  <c r="AA18" i="34"/>
  <c r="U19" i="34"/>
  <c r="V19" i="34"/>
  <c r="W19" i="34"/>
  <c r="X19" i="34"/>
  <c r="Y19" i="34"/>
  <c r="Z19" i="34"/>
  <c r="AA19" i="34"/>
  <c r="U20" i="34"/>
  <c r="V20" i="34"/>
  <c r="W20" i="34"/>
  <c r="X20" i="34"/>
  <c r="Y20" i="34"/>
  <c r="Z20" i="34"/>
  <c r="AA20" i="34"/>
  <c r="U24" i="34"/>
  <c r="V24" i="34"/>
  <c r="W24" i="34"/>
  <c r="X24" i="34"/>
  <c r="Y24" i="34"/>
  <c r="Z24" i="34"/>
  <c r="AA24" i="34"/>
  <c r="U25" i="34"/>
  <c r="V25" i="34"/>
  <c r="W25" i="34"/>
  <c r="X25" i="34"/>
  <c r="Y25" i="34"/>
  <c r="Z25" i="34"/>
  <c r="AA25" i="34"/>
  <c r="U26" i="34"/>
  <c r="V26" i="34"/>
  <c r="W26" i="34"/>
  <c r="X26" i="34"/>
  <c r="Y26" i="34"/>
  <c r="Z26" i="34"/>
  <c r="AA26" i="34"/>
  <c r="U27" i="34"/>
  <c r="V27" i="34"/>
  <c r="W27" i="34"/>
  <c r="X27" i="34"/>
  <c r="Y27" i="34"/>
  <c r="Z27" i="34"/>
  <c r="AA27" i="34"/>
  <c r="U31" i="34"/>
  <c r="V31" i="34"/>
  <c r="W31" i="34"/>
  <c r="X31" i="34"/>
  <c r="Y31" i="34"/>
  <c r="Z31" i="34"/>
  <c r="AA31" i="34"/>
  <c r="U32" i="34"/>
  <c r="V32" i="34"/>
  <c r="W32" i="34"/>
  <c r="X32" i="34"/>
  <c r="Y32" i="34"/>
  <c r="Z32" i="34"/>
  <c r="AA32" i="34"/>
  <c r="U33" i="34"/>
  <c r="V33" i="34"/>
  <c r="W33" i="34"/>
  <c r="X33" i="34"/>
  <c r="Y33" i="34"/>
  <c r="Z33" i="34"/>
  <c r="AA33" i="34"/>
  <c r="U37" i="34"/>
  <c r="V37" i="34"/>
  <c r="W37" i="34"/>
  <c r="X37" i="34"/>
  <c r="Y37" i="34"/>
  <c r="Z37" i="34"/>
  <c r="AA37" i="34"/>
  <c r="U41" i="34"/>
  <c r="V41" i="34"/>
  <c r="W41" i="34"/>
  <c r="X41" i="34"/>
  <c r="Y41" i="34"/>
  <c r="Z41" i="34"/>
  <c r="AA41" i="34"/>
  <c r="C44" i="2" l="1"/>
  <c r="W28" i="65"/>
  <c r="W14" i="65"/>
  <c r="W9" i="65"/>
  <c r="W22" i="65"/>
  <c r="W18" i="65"/>
  <c r="W29" i="65"/>
  <c r="W25" i="65"/>
  <c r="W19" i="65"/>
  <c r="W15" i="65"/>
  <c r="W11" i="65"/>
  <c r="W26" i="65"/>
  <c r="W20" i="65"/>
  <c r="W16" i="65"/>
  <c r="W12" i="65"/>
  <c r="W27" i="65"/>
  <c r="W21" i="65"/>
  <c r="W17" i="65"/>
  <c r="W13" i="65"/>
  <c r="W8" i="65"/>
  <c r="P34" i="63"/>
  <c r="P28" i="63"/>
  <c r="P25" i="63"/>
  <c r="P23" i="63"/>
  <c r="P18" i="63"/>
  <c r="P14" i="63"/>
  <c r="P12" i="63"/>
  <c r="P9" i="63"/>
  <c r="P7" i="63"/>
  <c r="P15" i="63"/>
  <c r="P35" i="63"/>
  <c r="P26" i="63"/>
  <c r="P22" i="63"/>
  <c r="P13" i="63"/>
  <c r="P10" i="63"/>
  <c r="P8" i="63"/>
  <c r="P24" i="63"/>
  <c r="B79" i="76" l="1"/>
  <c r="B49" i="75"/>
  <c r="B42" i="74"/>
  <c r="B33" i="73"/>
  <c r="B49" i="72"/>
  <c r="B66" i="71"/>
  <c r="B48" i="70"/>
  <c r="B134" i="69"/>
  <c r="B63" i="66"/>
  <c r="B63" i="64"/>
  <c r="B63" i="63"/>
  <c r="B58" i="2" l="1"/>
  <c r="B57" i="2"/>
  <c r="B56" i="2"/>
  <c r="B55" i="2"/>
  <c r="B54" i="2"/>
  <c r="B53" i="2"/>
  <c r="B52" i="2"/>
  <c r="B51" i="2"/>
  <c r="B50" i="2"/>
  <c r="B49" i="2"/>
  <c r="B48" i="2"/>
  <c r="B47" i="2"/>
  <c r="B46" i="2"/>
  <c r="B45" i="2"/>
  <c r="X51" i="66" l="1"/>
  <c r="G4394" i="97" s="1"/>
  <c r="X45" i="66"/>
  <c r="G4388" i="97" s="1"/>
  <c r="X44" i="66"/>
  <c r="G4387" i="97" s="1"/>
  <c r="X43" i="66"/>
  <c r="G4386" i="97" s="1"/>
  <c r="X42" i="66"/>
  <c r="G4385" i="97" s="1"/>
  <c r="X41" i="66"/>
  <c r="G4384" i="97" s="1"/>
  <c r="X40" i="66"/>
  <c r="G4383" i="97" s="1"/>
  <c r="X39" i="66"/>
  <c r="G4382" i="97" s="1"/>
  <c r="X38" i="66"/>
  <c r="G4381" i="97" s="1"/>
  <c r="X37" i="66"/>
  <c r="G4380" i="97" s="1"/>
  <c r="X35" i="66"/>
  <c r="G4378" i="97" s="1"/>
  <c r="X34" i="66"/>
  <c r="G4377" i="97" s="1"/>
  <c r="X33" i="66"/>
  <c r="G4376" i="97" s="1"/>
  <c r="X32" i="66"/>
  <c r="G4375" i="97" s="1"/>
  <c r="X31" i="66"/>
  <c r="G4374" i="97" s="1"/>
  <c r="X30" i="66"/>
  <c r="G4373" i="97" s="1"/>
  <c r="X29" i="66"/>
  <c r="G4372" i="97" s="1"/>
  <c r="X28" i="66"/>
  <c r="G4371" i="97" s="1"/>
  <c r="X27" i="66"/>
  <c r="G4370" i="97" s="1"/>
  <c r="X26" i="66"/>
  <c r="G4369" i="97" s="1"/>
  <c r="X25" i="66"/>
  <c r="G4368" i="97" s="1"/>
  <c r="X24" i="66"/>
  <c r="G4367" i="97" s="1"/>
  <c r="X23" i="66"/>
  <c r="G4366" i="97" s="1"/>
  <c r="X22" i="66"/>
  <c r="G4365" i="97" s="1"/>
  <c r="X21" i="66"/>
  <c r="G4364" i="97" s="1"/>
  <c r="X20" i="66"/>
  <c r="G4363" i="97" s="1"/>
  <c r="X19" i="66"/>
  <c r="G4362" i="97" s="1"/>
  <c r="X18" i="66"/>
  <c r="G4361" i="97" s="1"/>
  <c r="X17" i="66"/>
  <c r="G4360" i="97" s="1"/>
  <c r="X16" i="66"/>
  <c r="G4359" i="97" s="1"/>
  <c r="X15" i="66"/>
  <c r="G4358" i="97" s="1"/>
  <c r="X14" i="66"/>
  <c r="G4357" i="97" s="1"/>
  <c r="X13" i="66"/>
  <c r="G4356" i="97" s="1"/>
  <c r="X12" i="66"/>
  <c r="G4355" i="97" s="1"/>
  <c r="X11" i="66"/>
  <c r="G4354" i="97" s="1"/>
  <c r="X10" i="66"/>
  <c r="G4353" i="97" s="1"/>
  <c r="X9" i="66"/>
  <c r="G4352" i="97" s="1"/>
  <c r="X8" i="66"/>
  <c r="G4351" i="97" s="1"/>
  <c r="O51" i="66"/>
  <c r="G3989" i="97" s="1"/>
  <c r="O45" i="66"/>
  <c r="G3983" i="97" s="1"/>
  <c r="O44" i="66"/>
  <c r="G3982" i="97" s="1"/>
  <c r="O43" i="66"/>
  <c r="G3981" i="97" s="1"/>
  <c r="O42" i="66"/>
  <c r="G3980" i="97" s="1"/>
  <c r="O41" i="66"/>
  <c r="G3979" i="97" s="1"/>
  <c r="O40" i="66"/>
  <c r="G3978" i="97" s="1"/>
  <c r="O39" i="66"/>
  <c r="G3977" i="97" s="1"/>
  <c r="O38" i="66"/>
  <c r="G3976" i="97" s="1"/>
  <c r="O37" i="66"/>
  <c r="G3975" i="97" s="1"/>
  <c r="O35" i="66"/>
  <c r="G3973" i="97" s="1"/>
  <c r="O34" i="66"/>
  <c r="G3972" i="97" s="1"/>
  <c r="O33" i="66"/>
  <c r="G3971" i="97" s="1"/>
  <c r="O32" i="66"/>
  <c r="G3970" i="97" s="1"/>
  <c r="O31" i="66"/>
  <c r="G3969" i="97" s="1"/>
  <c r="O30" i="66"/>
  <c r="G3968" i="97" s="1"/>
  <c r="O29" i="66"/>
  <c r="G3967" i="97" s="1"/>
  <c r="O28" i="66"/>
  <c r="G3966" i="97" s="1"/>
  <c r="O27" i="66"/>
  <c r="G3965" i="97" s="1"/>
  <c r="O26" i="66"/>
  <c r="G3964" i="97" s="1"/>
  <c r="O25" i="66"/>
  <c r="G3963" i="97" s="1"/>
  <c r="O24" i="66"/>
  <c r="G3962" i="97" s="1"/>
  <c r="O23" i="66"/>
  <c r="G3961" i="97" s="1"/>
  <c r="O22" i="66"/>
  <c r="G3960" i="97" s="1"/>
  <c r="O21" i="66"/>
  <c r="G3959" i="97" s="1"/>
  <c r="O20" i="66"/>
  <c r="G3958" i="97" s="1"/>
  <c r="O19" i="66"/>
  <c r="G3957" i="97" s="1"/>
  <c r="O18" i="66"/>
  <c r="G3956" i="97" s="1"/>
  <c r="O17" i="66"/>
  <c r="G3955" i="97" s="1"/>
  <c r="O16" i="66"/>
  <c r="G3954" i="97" s="1"/>
  <c r="O15" i="66"/>
  <c r="G3953" i="97" s="1"/>
  <c r="O14" i="66"/>
  <c r="G3952" i="97" s="1"/>
  <c r="O13" i="66"/>
  <c r="G3951" i="97" s="1"/>
  <c r="O12" i="66"/>
  <c r="G3950" i="97" s="1"/>
  <c r="O11" i="66"/>
  <c r="G3949" i="97" s="1"/>
  <c r="O10" i="66"/>
  <c r="G3948" i="97" s="1"/>
  <c r="O9" i="66"/>
  <c r="G3947" i="97" s="1"/>
  <c r="O8" i="66"/>
  <c r="G3946" i="97" s="1"/>
  <c r="AU41" i="66" l="1"/>
  <c r="AQ41" i="66"/>
  <c r="AL41" i="66"/>
  <c r="AH41" i="66"/>
  <c r="AN41" i="66"/>
  <c r="AT41" i="66"/>
  <c r="AP41" i="66"/>
  <c r="AK41" i="66"/>
  <c r="AG41" i="66"/>
  <c r="AI41" i="66"/>
  <c r="AS41" i="66"/>
  <c r="AO41" i="66"/>
  <c r="AJ41" i="66"/>
  <c r="AF41" i="66"/>
  <c r="AR41" i="66"/>
  <c r="AE41" i="66"/>
  <c r="AT38" i="66"/>
  <c r="AP38" i="66"/>
  <c r="AK38" i="66"/>
  <c r="AG38" i="66"/>
  <c r="AU38" i="66"/>
  <c r="AL38" i="66"/>
  <c r="AS38" i="66"/>
  <c r="AO38" i="66"/>
  <c r="AJ38" i="66"/>
  <c r="AF38" i="66"/>
  <c r="AH38" i="66"/>
  <c r="AR38" i="66"/>
  <c r="AN38" i="66"/>
  <c r="AI38" i="66"/>
  <c r="AE38" i="66"/>
  <c r="AQ38" i="66"/>
  <c r="AT42" i="66"/>
  <c r="AP42" i="66"/>
  <c r="AK42" i="66"/>
  <c r="AG42" i="66"/>
  <c r="AU42" i="66"/>
  <c r="AL42" i="66"/>
  <c r="AS42" i="66"/>
  <c r="AO42" i="66"/>
  <c r="AJ42" i="66"/>
  <c r="AF42" i="66"/>
  <c r="AH42" i="66"/>
  <c r="AR42" i="66"/>
  <c r="AN42" i="66"/>
  <c r="AI42" i="66"/>
  <c r="AE42" i="66"/>
  <c r="AQ42" i="66"/>
  <c r="AS51" i="66"/>
  <c r="AO51" i="66"/>
  <c r="AJ51" i="66"/>
  <c r="AF51" i="66"/>
  <c r="AT51" i="66"/>
  <c r="AG51" i="66"/>
  <c r="AR51" i="66"/>
  <c r="AN51" i="66"/>
  <c r="AI51" i="66"/>
  <c r="AE51" i="66"/>
  <c r="AP51" i="66"/>
  <c r="AU51" i="66"/>
  <c r="AQ51" i="66"/>
  <c r="AL51" i="66"/>
  <c r="AH51" i="66"/>
  <c r="AK51" i="66"/>
  <c r="AU45" i="66"/>
  <c r="AQ45" i="66"/>
  <c r="AL45" i="66"/>
  <c r="AH45" i="66"/>
  <c r="AR45" i="66"/>
  <c r="AT45" i="66"/>
  <c r="AP45" i="66"/>
  <c r="AK45" i="66"/>
  <c r="AG45" i="66"/>
  <c r="AI45" i="66"/>
  <c r="AS45" i="66"/>
  <c r="AO45" i="66"/>
  <c r="AJ45" i="66"/>
  <c r="AF45" i="66"/>
  <c r="AN45" i="66"/>
  <c r="AE45" i="66"/>
  <c r="AS39" i="66"/>
  <c r="AO39" i="66"/>
  <c r="AJ39" i="66"/>
  <c r="AF39" i="66"/>
  <c r="AP39" i="66"/>
  <c r="AR39" i="66"/>
  <c r="AN39" i="66"/>
  <c r="AI39" i="66"/>
  <c r="AE39" i="66"/>
  <c r="AK39" i="66"/>
  <c r="AU39" i="66"/>
  <c r="AQ39" i="66"/>
  <c r="AL39" i="66"/>
  <c r="AH39" i="66"/>
  <c r="AT39" i="66"/>
  <c r="AG39" i="66"/>
  <c r="AS43" i="66"/>
  <c r="AO43" i="66"/>
  <c r="AJ43" i="66"/>
  <c r="AF43" i="66"/>
  <c r="AP43" i="66"/>
  <c r="AR43" i="66"/>
  <c r="AN43" i="66"/>
  <c r="AI43" i="66"/>
  <c r="AE43" i="66"/>
  <c r="AG43" i="66"/>
  <c r="AU43" i="66"/>
  <c r="AQ43" i="66"/>
  <c r="AL43" i="66"/>
  <c r="AH43" i="66"/>
  <c r="AT43" i="66"/>
  <c r="AK43" i="66"/>
  <c r="AU37" i="66"/>
  <c r="AQ37" i="66"/>
  <c r="AL37" i="66"/>
  <c r="AH37" i="66"/>
  <c r="AR37" i="66"/>
  <c r="AE37" i="66"/>
  <c r="AT37" i="66"/>
  <c r="AP37" i="66"/>
  <c r="AK37" i="66"/>
  <c r="AG37" i="66"/>
  <c r="AI37" i="66"/>
  <c r="AS37" i="66"/>
  <c r="AO37" i="66"/>
  <c r="AJ37" i="66"/>
  <c r="AF37" i="66"/>
  <c r="AN37" i="66"/>
  <c r="AR40" i="66"/>
  <c r="AN40" i="66"/>
  <c r="AI40" i="66"/>
  <c r="AE40" i="66"/>
  <c r="AS40" i="66"/>
  <c r="AJ40" i="66"/>
  <c r="AU40" i="66"/>
  <c r="AQ40" i="66"/>
  <c r="AL40" i="66"/>
  <c r="AH40" i="66"/>
  <c r="AF40" i="66"/>
  <c r="AT40" i="66"/>
  <c r="AP40" i="66"/>
  <c r="AK40" i="66"/>
  <c r="AG40" i="66"/>
  <c r="AO40" i="66"/>
  <c r="AR44" i="66"/>
  <c r="AN44" i="66"/>
  <c r="AI44" i="66"/>
  <c r="AE44" i="66"/>
  <c r="AS44" i="66"/>
  <c r="AJ44" i="66"/>
  <c r="AU44" i="66"/>
  <c r="AQ44" i="66"/>
  <c r="AL44" i="66"/>
  <c r="AH44" i="66"/>
  <c r="AF44" i="66"/>
  <c r="AT44" i="66"/>
  <c r="AP44" i="66"/>
  <c r="AK44" i="66"/>
  <c r="AG44" i="66"/>
  <c r="AO44" i="66"/>
  <c r="B96" i="76"/>
  <c r="B100" i="76"/>
  <c r="B101" i="76" s="1"/>
  <c r="B102" i="76" s="1"/>
  <c r="B103" i="76" s="1"/>
  <c r="B104" i="76" s="1"/>
  <c r="B105" i="76" s="1"/>
  <c r="B106" i="76" s="1"/>
  <c r="B107" i="76" s="1"/>
  <c r="J68" i="76"/>
  <c r="G5344" i="97" s="1"/>
  <c r="J67" i="76"/>
  <c r="G5343" i="97" s="1"/>
  <c r="J66" i="76"/>
  <c r="G5342" i="97" s="1"/>
  <c r="J63" i="76"/>
  <c r="G5341" i="97" s="1"/>
  <c r="J62" i="76"/>
  <c r="G5340" i="97" s="1"/>
  <c r="J61" i="76"/>
  <c r="G5339" i="97" s="1"/>
  <c r="J60" i="76"/>
  <c r="G5338" i="97" s="1"/>
  <c r="J59" i="76"/>
  <c r="G5337" i="97" s="1"/>
  <c r="J58" i="76"/>
  <c r="G5336" i="97" s="1"/>
  <c r="B59" i="75"/>
  <c r="B60" i="75" s="1"/>
  <c r="B61" i="75" s="1"/>
  <c r="W36" i="75"/>
  <c r="V36" i="75"/>
  <c r="U36" i="75"/>
  <c r="T36" i="75"/>
  <c r="K36" i="75"/>
  <c r="G5113" i="97" s="1"/>
  <c r="T34" i="75"/>
  <c r="K34" i="75"/>
  <c r="G5112" i="97" s="1"/>
  <c r="T33" i="75"/>
  <c r="K33" i="75"/>
  <c r="G5111" i="97" s="1"/>
  <c r="T32" i="75"/>
  <c r="K32" i="75"/>
  <c r="G5110" i="97" s="1"/>
  <c r="W29" i="75"/>
  <c r="V29" i="75"/>
  <c r="U29" i="75"/>
  <c r="T29" i="75"/>
  <c r="K29" i="75"/>
  <c r="G5109" i="97" s="1"/>
  <c r="W28" i="75"/>
  <c r="V28" i="75"/>
  <c r="U28" i="75"/>
  <c r="T28" i="75"/>
  <c r="K28" i="75"/>
  <c r="G5108" i="97" s="1"/>
  <c r="W27" i="75"/>
  <c r="V27" i="75"/>
  <c r="U27" i="75"/>
  <c r="T27" i="75"/>
  <c r="K27" i="75"/>
  <c r="G5107" i="97" s="1"/>
  <c r="W26" i="75"/>
  <c r="V26" i="75"/>
  <c r="U26" i="75"/>
  <c r="T26" i="75"/>
  <c r="K26" i="75"/>
  <c r="G5106" i="97" s="1"/>
  <c r="W25" i="75"/>
  <c r="V25" i="75"/>
  <c r="U25" i="75"/>
  <c r="T25" i="75"/>
  <c r="K25" i="75"/>
  <c r="G5105" i="97" s="1"/>
  <c r="X8" i="75"/>
  <c r="W8" i="75"/>
  <c r="V8" i="75"/>
  <c r="U8" i="75"/>
  <c r="T8" i="75"/>
  <c r="X7" i="75"/>
  <c r="W7" i="75"/>
  <c r="V7" i="75"/>
  <c r="U7" i="75"/>
  <c r="T7" i="75"/>
  <c r="B46" i="74"/>
  <c r="B47" i="74" s="1"/>
  <c r="B48" i="74" s="1"/>
  <c r="B49" i="74" s="1"/>
  <c r="B50" i="74" s="1"/>
  <c r="B51" i="74" s="1"/>
  <c r="B52" i="74" s="1"/>
  <c r="B53" i="74" s="1"/>
  <c r="B54" i="74" s="1"/>
  <c r="B55" i="74" s="1"/>
  <c r="B56" i="74" s="1"/>
  <c r="B64" i="74" s="1"/>
  <c r="B65" i="74" s="1"/>
  <c r="B66" i="74" s="1"/>
  <c r="B67" i="74" s="1"/>
  <c r="B68" i="74" s="1"/>
  <c r="B69" i="74" s="1"/>
  <c r="B70" i="74" s="1"/>
  <c r="B71" i="74" s="1"/>
  <c r="B72" i="74" s="1"/>
  <c r="B73" i="74" s="1"/>
  <c r="B74" i="74" s="1"/>
  <c r="G23" i="74"/>
  <c r="G4995" i="97" s="1"/>
  <c r="G13" i="74"/>
  <c r="G4988" i="97" s="1"/>
  <c r="G10" i="74"/>
  <c r="G4985" i="97" s="1"/>
  <c r="B37" i="73"/>
  <c r="B38" i="73" s="1"/>
  <c r="B39" i="73" s="1"/>
  <c r="B40" i="73" s="1"/>
  <c r="B41" i="73" s="1"/>
  <c r="B42" i="73" s="1"/>
  <c r="B43" i="73" s="1"/>
  <c r="B44" i="73" s="1"/>
  <c r="B45" i="73" s="1"/>
  <c r="B46" i="73" s="1"/>
  <c r="B47" i="73" s="1"/>
  <c r="B48" i="73" s="1"/>
  <c r="B49" i="73" s="1"/>
  <c r="B50" i="73" s="1"/>
  <c r="H22" i="73"/>
  <c r="G4980" i="97" s="1"/>
  <c r="G22" i="73"/>
  <c r="G4965" i="97" s="1"/>
  <c r="B53" i="72"/>
  <c r="B54" i="72" s="1"/>
  <c r="B55" i="72" s="1"/>
  <c r="B56" i="72" s="1"/>
  <c r="B57" i="72" s="1"/>
  <c r="B58" i="72" s="1"/>
  <c r="B59" i="72" s="1"/>
  <c r="B60" i="72" s="1"/>
  <c r="B61" i="72" s="1"/>
  <c r="B62" i="72" s="1"/>
  <c r="B63" i="72" s="1"/>
  <c r="B64" i="72" s="1"/>
  <c r="B65" i="72" s="1"/>
  <c r="B66" i="72" s="1"/>
  <c r="B67" i="72" s="1"/>
  <c r="B68" i="72" s="1"/>
  <c r="B69" i="72" s="1"/>
  <c r="B70" i="72" s="1"/>
  <c r="B71" i="72" s="1"/>
  <c r="B72" i="72" s="1"/>
  <c r="B73" i="72" s="1"/>
  <c r="B74" i="72" s="1"/>
  <c r="B75" i="72" s="1"/>
  <c r="B76" i="72" s="1"/>
  <c r="AE24" i="72"/>
  <c r="G4926" i="97" s="1"/>
  <c r="AD24" i="72"/>
  <c r="G4912" i="97" s="1"/>
  <c r="AC24" i="72"/>
  <c r="G4898" i="97" s="1"/>
  <c r="AB24" i="72"/>
  <c r="G4884" i="97" s="1"/>
  <c r="AA24" i="72"/>
  <c r="G4870" i="97" s="1"/>
  <c r="Y24" i="72"/>
  <c r="G4842" i="97" s="1"/>
  <c r="X24" i="72"/>
  <c r="G4828" i="97" s="1"/>
  <c r="W24" i="72"/>
  <c r="G4814" i="97" s="1"/>
  <c r="V24" i="72"/>
  <c r="G4800" i="97" s="1"/>
  <c r="U24" i="72"/>
  <c r="G4786" i="97" s="1"/>
  <c r="S24" i="72"/>
  <c r="G4758" i="97" s="1"/>
  <c r="R24" i="72"/>
  <c r="G4744" i="97" s="1"/>
  <c r="Q24" i="72"/>
  <c r="G4730" i="97" s="1"/>
  <c r="P24" i="72"/>
  <c r="G4716" i="97" s="1"/>
  <c r="M24" i="72"/>
  <c r="G4687" i="97" s="1"/>
  <c r="L24" i="72"/>
  <c r="G4673" i="97" s="1"/>
  <c r="K24" i="72"/>
  <c r="G4659" i="97" s="1"/>
  <c r="J24" i="72"/>
  <c r="G4645" i="97" s="1"/>
  <c r="I24" i="72"/>
  <c r="G4631" i="97" s="1"/>
  <c r="H24" i="72"/>
  <c r="G4617" i="97" s="1"/>
  <c r="G24" i="72"/>
  <c r="G4603" i="97" s="1"/>
  <c r="AF23" i="72"/>
  <c r="G4939" i="97" s="1"/>
  <c r="Z23" i="72"/>
  <c r="G4855" i="97" s="1"/>
  <c r="T23" i="72"/>
  <c r="G4771" i="97" s="1"/>
  <c r="N23" i="72"/>
  <c r="G4701" i="97" s="1"/>
  <c r="AF22" i="72"/>
  <c r="G4938" i="97" s="1"/>
  <c r="Z22" i="72"/>
  <c r="G4854" i="97" s="1"/>
  <c r="T22" i="72"/>
  <c r="G4770" i="97" s="1"/>
  <c r="N22" i="72"/>
  <c r="G4700" i="97" s="1"/>
  <c r="AF21" i="72"/>
  <c r="G4937" i="97" s="1"/>
  <c r="Z21" i="72"/>
  <c r="G4853" i="97" s="1"/>
  <c r="T21" i="72"/>
  <c r="G4769" i="97" s="1"/>
  <c r="N21" i="72"/>
  <c r="G4699" i="97" s="1"/>
  <c r="AF20" i="72"/>
  <c r="G4936" i="97" s="1"/>
  <c r="Z20" i="72"/>
  <c r="G4852" i="97" s="1"/>
  <c r="T20" i="72"/>
  <c r="G4768" i="97" s="1"/>
  <c r="N20" i="72"/>
  <c r="G4698" i="97" s="1"/>
  <c r="AF19" i="72"/>
  <c r="G4935" i="97" s="1"/>
  <c r="Z19" i="72"/>
  <c r="G4851" i="97" s="1"/>
  <c r="T19" i="72"/>
  <c r="G4767" i="97" s="1"/>
  <c r="N19" i="72"/>
  <c r="G4697" i="97" s="1"/>
  <c r="AF18" i="72"/>
  <c r="G4934" i="97" s="1"/>
  <c r="Z18" i="72"/>
  <c r="G4850" i="97" s="1"/>
  <c r="T18" i="72"/>
  <c r="G4766" i="97" s="1"/>
  <c r="N18" i="72"/>
  <c r="G4696" i="97" s="1"/>
  <c r="AE14" i="72"/>
  <c r="G4919" i="97" s="1"/>
  <c r="AD14" i="72"/>
  <c r="G4905" i="97" s="1"/>
  <c r="AC14" i="72"/>
  <c r="G4891" i="97" s="1"/>
  <c r="AB14" i="72"/>
  <c r="G4877" i="97" s="1"/>
  <c r="AA14" i="72"/>
  <c r="G4863" i="97" s="1"/>
  <c r="Y14" i="72"/>
  <c r="G4835" i="97" s="1"/>
  <c r="X14" i="72"/>
  <c r="G4821" i="97" s="1"/>
  <c r="W14" i="72"/>
  <c r="G4807" i="97" s="1"/>
  <c r="V14" i="72"/>
  <c r="G4793" i="97" s="1"/>
  <c r="U14" i="72"/>
  <c r="G4779" i="97" s="1"/>
  <c r="S14" i="72"/>
  <c r="G4751" i="97" s="1"/>
  <c r="R14" i="72"/>
  <c r="G4737" i="97" s="1"/>
  <c r="Q14" i="72"/>
  <c r="G4723" i="97" s="1"/>
  <c r="P14" i="72"/>
  <c r="G4709" i="97" s="1"/>
  <c r="M14" i="72"/>
  <c r="G4680" i="97" s="1"/>
  <c r="L14" i="72"/>
  <c r="G4666" i="97" s="1"/>
  <c r="K14" i="72"/>
  <c r="G4652" i="97" s="1"/>
  <c r="J14" i="72"/>
  <c r="G4638" i="97" s="1"/>
  <c r="I14" i="72"/>
  <c r="G4624" i="97" s="1"/>
  <c r="H14" i="72"/>
  <c r="G4610" i="97" s="1"/>
  <c r="G14" i="72"/>
  <c r="G4596" i="97" s="1"/>
  <c r="AF13" i="72"/>
  <c r="G4932" i="97" s="1"/>
  <c r="Z13" i="72"/>
  <c r="G4848" i="97" s="1"/>
  <c r="T13" i="72"/>
  <c r="G4764" i="97" s="1"/>
  <c r="N13" i="72"/>
  <c r="G4693" i="97" s="1"/>
  <c r="AF12" i="72"/>
  <c r="G4931" i="97" s="1"/>
  <c r="Z12" i="72"/>
  <c r="G4847" i="97" s="1"/>
  <c r="T12" i="72"/>
  <c r="G4763" i="97" s="1"/>
  <c r="N12" i="72"/>
  <c r="G4692" i="97" s="1"/>
  <c r="AF11" i="72"/>
  <c r="G4930" i="97" s="1"/>
  <c r="Z11" i="72"/>
  <c r="G4846" i="97" s="1"/>
  <c r="T11" i="72"/>
  <c r="G4762" i="97" s="1"/>
  <c r="N11" i="72"/>
  <c r="G4691" i="97" s="1"/>
  <c r="AF10" i="72"/>
  <c r="G4929" i="97" s="1"/>
  <c r="Z10" i="72"/>
  <c r="G4845" i="97" s="1"/>
  <c r="T10" i="72"/>
  <c r="G4761" i="97" s="1"/>
  <c r="N10" i="72"/>
  <c r="G4690" i="97" s="1"/>
  <c r="AF9" i="72"/>
  <c r="G4928" i="97" s="1"/>
  <c r="Z9" i="72"/>
  <c r="G4844" i="97" s="1"/>
  <c r="T9" i="72"/>
  <c r="G4760" i="97" s="1"/>
  <c r="N9" i="72"/>
  <c r="G4689" i="97" s="1"/>
  <c r="AF8" i="72"/>
  <c r="G4927" i="97" s="1"/>
  <c r="Z8" i="72"/>
  <c r="G4843" i="97" s="1"/>
  <c r="T8" i="72"/>
  <c r="G4759" i="97" s="1"/>
  <c r="N8" i="72"/>
  <c r="G4688" i="97" s="1"/>
  <c r="B70" i="71"/>
  <c r="B71" i="71" s="1"/>
  <c r="B72" i="71" s="1"/>
  <c r="B73" i="71" s="1"/>
  <c r="B74" i="71" s="1"/>
  <c r="B75" i="71" s="1"/>
  <c r="B76" i="71" s="1"/>
  <c r="B77" i="71" s="1"/>
  <c r="B78" i="71" s="1"/>
  <c r="B79" i="71" s="1"/>
  <c r="B80" i="71" s="1"/>
  <c r="B81" i="71" s="1"/>
  <c r="B82" i="71" s="1"/>
  <c r="B83" i="71" s="1"/>
  <c r="B84" i="71" s="1"/>
  <c r="B85" i="71" s="1"/>
  <c r="B86" i="71" s="1"/>
  <c r="B87" i="71" s="1"/>
  <c r="B88" i="71" s="1"/>
  <c r="B89" i="71" s="1"/>
  <c r="B90" i="71" s="1"/>
  <c r="B93" i="71" s="1"/>
  <c r="B94" i="71" s="1"/>
  <c r="B95" i="71" s="1"/>
  <c r="G51" i="71"/>
  <c r="G4587" i="97" s="1"/>
  <c r="G44" i="71"/>
  <c r="G4582" i="97" s="1"/>
  <c r="G39" i="71"/>
  <c r="G4578" i="97" s="1"/>
  <c r="G32" i="71"/>
  <c r="G4573" i="97" s="1"/>
  <c r="B53" i="70"/>
  <c r="B54" i="70" s="1"/>
  <c r="B55" i="70" s="1"/>
  <c r="B56" i="70" s="1"/>
  <c r="B57" i="70" s="1"/>
  <c r="B58" i="70" s="1"/>
  <c r="B59" i="70" s="1"/>
  <c r="B60" i="70" s="1"/>
  <c r="B61" i="70" s="1"/>
  <c r="B62" i="70" s="1"/>
  <c r="B63" i="70" s="1"/>
  <c r="B64" i="70" s="1"/>
  <c r="B65" i="70" s="1"/>
  <c r="B66" i="70" s="1"/>
  <c r="B67" i="70" s="1"/>
  <c r="B68" i="70" s="1"/>
  <c r="B69" i="70" s="1"/>
  <c r="B72" i="70" s="1"/>
  <c r="B73" i="70" s="1"/>
  <c r="B74" i="70" s="1"/>
  <c r="B75" i="70" s="1"/>
  <c r="B76" i="70" s="1"/>
  <c r="B77" i="70" s="1"/>
  <c r="B78" i="70" s="1"/>
  <c r="B79" i="70" s="1"/>
  <c r="M37" i="70"/>
  <c r="J37" i="70" s="1"/>
  <c r="M34" i="70"/>
  <c r="J34" i="70" s="1"/>
  <c r="J33" i="70"/>
  <c r="G33" i="70"/>
  <c r="G4544" i="97" s="1"/>
  <c r="M32" i="70"/>
  <c r="J32" i="70" s="1"/>
  <c r="M31" i="70"/>
  <c r="J31" i="70" s="1"/>
  <c r="M30" i="70"/>
  <c r="J30" i="70" s="1"/>
  <c r="M29" i="70"/>
  <c r="J29" i="70" s="1"/>
  <c r="M28" i="70"/>
  <c r="J28" i="70" s="1"/>
  <c r="M27" i="70"/>
  <c r="J27" i="70" s="1"/>
  <c r="M26" i="70"/>
  <c r="J26" i="70" s="1"/>
  <c r="M23" i="70"/>
  <c r="J23" i="70" s="1"/>
  <c r="M22" i="70"/>
  <c r="J22" i="70" s="1"/>
  <c r="M21" i="70"/>
  <c r="J21" i="70" s="1"/>
  <c r="M20" i="70"/>
  <c r="J20" i="70" s="1"/>
  <c r="M19" i="70"/>
  <c r="J19" i="70" s="1"/>
  <c r="M18" i="70"/>
  <c r="J18" i="70" s="1"/>
  <c r="M17" i="70"/>
  <c r="J17" i="70" s="1"/>
  <c r="M16" i="70"/>
  <c r="J16" i="70" s="1"/>
  <c r="M15" i="70"/>
  <c r="J15" i="70" s="1"/>
  <c r="M14" i="70"/>
  <c r="J14" i="70" s="1"/>
  <c r="M12" i="70"/>
  <c r="J12" i="70" s="1"/>
  <c r="M11" i="70"/>
  <c r="J11" i="70" s="1"/>
  <c r="M10" i="70"/>
  <c r="J10" i="70" s="1"/>
  <c r="M9" i="70"/>
  <c r="J9" i="70" s="1"/>
  <c r="M8" i="70"/>
  <c r="J8" i="70" s="1"/>
  <c r="M7" i="70"/>
  <c r="J7" i="70" s="1"/>
  <c r="M6" i="70"/>
  <c r="B139" i="69"/>
  <c r="B140" i="69" s="1"/>
  <c r="B141" i="69" s="1"/>
  <c r="B142" i="69" s="1"/>
  <c r="M123" i="69"/>
  <c r="J123" i="69" s="1"/>
  <c r="M122" i="69"/>
  <c r="J122" i="69" s="1"/>
  <c r="M121" i="69"/>
  <c r="J121" i="69" s="1"/>
  <c r="M120" i="69"/>
  <c r="J120" i="69" s="1"/>
  <c r="M119" i="69"/>
  <c r="J119" i="69" s="1"/>
  <c r="M118" i="69"/>
  <c r="J118" i="69" s="1"/>
  <c r="M117" i="69"/>
  <c r="J117" i="69" s="1"/>
  <c r="M116" i="69"/>
  <c r="J116" i="69" s="1"/>
  <c r="M113" i="69"/>
  <c r="J113" i="69" s="1"/>
  <c r="M112" i="69"/>
  <c r="J112" i="69" s="1"/>
  <c r="M111" i="69"/>
  <c r="J111" i="69" s="1"/>
  <c r="M110" i="69"/>
  <c r="J110" i="69" s="1"/>
  <c r="M109" i="69"/>
  <c r="J109" i="69" s="1"/>
  <c r="M108" i="69"/>
  <c r="J108" i="69" s="1"/>
  <c r="M107" i="69"/>
  <c r="J107" i="69" s="1"/>
  <c r="M106" i="69"/>
  <c r="J106" i="69" s="1"/>
  <c r="M103" i="69"/>
  <c r="J103" i="69" s="1"/>
  <c r="M102" i="69"/>
  <c r="J102" i="69" s="1"/>
  <c r="M101" i="69"/>
  <c r="J101" i="69" s="1"/>
  <c r="M100" i="69"/>
  <c r="J100" i="69" s="1"/>
  <c r="M99" i="69"/>
  <c r="J99" i="69" s="1"/>
  <c r="M98" i="69"/>
  <c r="J98" i="69" s="1"/>
  <c r="M97" i="69"/>
  <c r="J97" i="69" s="1"/>
  <c r="M96" i="69"/>
  <c r="J96" i="69" s="1"/>
  <c r="M95" i="69"/>
  <c r="J95" i="69" s="1"/>
  <c r="M94" i="69"/>
  <c r="J94" i="69" s="1"/>
  <c r="M93" i="69"/>
  <c r="J93" i="69" s="1"/>
  <c r="M92" i="69"/>
  <c r="J92" i="69" s="1"/>
  <c r="M91" i="69"/>
  <c r="J91" i="69" s="1"/>
  <c r="M90" i="69"/>
  <c r="J90" i="69" s="1"/>
  <c r="M89" i="69"/>
  <c r="J89" i="69" s="1"/>
  <c r="M88" i="69"/>
  <c r="J88" i="69" s="1"/>
  <c r="M87" i="69"/>
  <c r="J87" i="69" s="1"/>
  <c r="M86" i="69"/>
  <c r="J86" i="69" s="1"/>
  <c r="M85" i="69"/>
  <c r="J85" i="69" s="1"/>
  <c r="M84" i="69"/>
  <c r="J84" i="69" s="1"/>
  <c r="M83" i="69"/>
  <c r="J83" i="69" s="1"/>
  <c r="M82" i="69"/>
  <c r="J82" i="69" s="1"/>
  <c r="M81" i="69"/>
  <c r="J81" i="69" s="1"/>
  <c r="M80" i="69"/>
  <c r="J80" i="69" s="1"/>
  <c r="M79" i="69"/>
  <c r="J79" i="69" s="1"/>
  <c r="M78" i="69"/>
  <c r="J78" i="69" s="1"/>
  <c r="M77" i="69"/>
  <c r="J77" i="69" s="1"/>
  <c r="M76" i="69"/>
  <c r="J76" i="69" s="1"/>
  <c r="M75" i="69"/>
  <c r="J75" i="69" s="1"/>
  <c r="M74" i="69"/>
  <c r="J74" i="69" s="1"/>
  <c r="M73" i="69"/>
  <c r="J73" i="69" s="1"/>
  <c r="M72" i="69"/>
  <c r="J72" i="69" s="1"/>
  <c r="M71" i="69"/>
  <c r="J71" i="69" s="1"/>
  <c r="M70" i="69"/>
  <c r="J70" i="69" s="1"/>
  <c r="M67" i="69"/>
  <c r="J67" i="69" s="1"/>
  <c r="M66" i="69"/>
  <c r="J66" i="69" s="1"/>
  <c r="M65" i="69"/>
  <c r="J65" i="69" s="1"/>
  <c r="M64" i="69"/>
  <c r="J64" i="69" s="1"/>
  <c r="M63" i="69"/>
  <c r="J63" i="69" s="1"/>
  <c r="M62" i="69"/>
  <c r="J62" i="69" s="1"/>
  <c r="M61" i="69"/>
  <c r="J61" i="69" s="1"/>
  <c r="M60" i="69"/>
  <c r="J60" i="69" s="1"/>
  <c r="M59" i="69"/>
  <c r="J59" i="69" s="1"/>
  <c r="M58" i="69"/>
  <c r="J58" i="69" s="1"/>
  <c r="M57" i="69"/>
  <c r="J57" i="69" s="1"/>
  <c r="M56" i="69"/>
  <c r="J56" i="69" s="1"/>
  <c r="M55" i="69"/>
  <c r="J55" i="69" s="1"/>
  <c r="M54" i="69"/>
  <c r="J54" i="69" s="1"/>
  <c r="M53" i="69"/>
  <c r="J53" i="69" s="1"/>
  <c r="M52" i="69"/>
  <c r="J52" i="69" s="1"/>
  <c r="M51" i="69"/>
  <c r="J51" i="69" s="1"/>
  <c r="M50" i="69"/>
  <c r="J50" i="69" s="1"/>
  <c r="M49" i="69"/>
  <c r="J49" i="69" s="1"/>
  <c r="M48" i="69"/>
  <c r="J48" i="69" s="1"/>
  <c r="M47" i="69"/>
  <c r="J47" i="69" s="1"/>
  <c r="M46" i="69"/>
  <c r="J46" i="69" s="1"/>
  <c r="M45" i="69"/>
  <c r="J45" i="69" s="1"/>
  <c r="M44" i="69"/>
  <c r="J44" i="69" s="1"/>
  <c r="M43" i="69"/>
  <c r="J43" i="69" s="1"/>
  <c r="M42" i="69"/>
  <c r="J42" i="69" s="1"/>
  <c r="M41" i="69"/>
  <c r="J41" i="69" s="1"/>
  <c r="M40" i="69"/>
  <c r="J40" i="69" s="1"/>
  <c r="M39" i="69"/>
  <c r="J39" i="69" s="1"/>
  <c r="M38" i="69"/>
  <c r="J38" i="69" s="1"/>
  <c r="M37" i="69"/>
  <c r="J37" i="69" s="1"/>
  <c r="M36" i="69"/>
  <c r="J36" i="69" s="1"/>
  <c r="M33" i="69"/>
  <c r="J33" i="69" s="1"/>
  <c r="M30" i="69"/>
  <c r="J30" i="69" s="1"/>
  <c r="M29" i="69"/>
  <c r="J29" i="69" s="1"/>
  <c r="M28" i="69"/>
  <c r="J28" i="69" s="1"/>
  <c r="M27" i="69"/>
  <c r="J27" i="69" s="1"/>
  <c r="M26" i="69"/>
  <c r="J26" i="69" s="1"/>
  <c r="M25" i="69"/>
  <c r="J25" i="69" s="1"/>
  <c r="M24" i="69"/>
  <c r="J24" i="69" s="1"/>
  <c r="M23" i="69"/>
  <c r="J23" i="69" s="1"/>
  <c r="M21" i="69"/>
  <c r="J21" i="69" s="1"/>
  <c r="M19" i="69"/>
  <c r="J19" i="69" s="1"/>
  <c r="M18" i="69"/>
  <c r="J18" i="69" s="1"/>
  <c r="M17" i="69"/>
  <c r="J17" i="69" s="1"/>
  <c r="M16" i="69"/>
  <c r="J16" i="69" s="1"/>
  <c r="M15" i="69"/>
  <c r="J15" i="69" s="1"/>
  <c r="M14" i="69"/>
  <c r="J14" i="69" s="1"/>
  <c r="J13" i="69"/>
  <c r="M10" i="69"/>
  <c r="J10" i="69" s="1"/>
  <c r="M9" i="69"/>
  <c r="J9" i="69" s="1"/>
  <c r="M8" i="69"/>
  <c r="J8" i="69" s="1"/>
  <c r="M7" i="69"/>
  <c r="J7" i="69" s="1"/>
  <c r="M6" i="69"/>
  <c r="G15" i="67"/>
  <c r="G4403" i="97" s="1"/>
  <c r="B67" i="66"/>
  <c r="B68" i="66" s="1"/>
  <c r="B69" i="66" s="1"/>
  <c r="B70" i="66" s="1"/>
  <c r="B71" i="66" s="1"/>
  <c r="B72" i="66" s="1"/>
  <c r="B73" i="66" s="1"/>
  <c r="B74" i="66" s="1"/>
  <c r="B75" i="66" s="1"/>
  <c r="B76" i="66" s="1"/>
  <c r="B77" i="66" s="1"/>
  <c r="B78" i="66" s="1"/>
  <c r="B79" i="66" s="1"/>
  <c r="B80" i="66" s="1"/>
  <c r="B81" i="66" s="1"/>
  <c r="B82" i="66" s="1"/>
  <c r="B83" i="66" s="1"/>
  <c r="B84" i="66" s="1"/>
  <c r="B85" i="66" s="1"/>
  <c r="B86" i="66" s="1"/>
  <c r="B87" i="66" s="1"/>
  <c r="B88" i="66" s="1"/>
  <c r="B89" i="66" s="1"/>
  <c r="B90" i="66" s="1"/>
  <c r="B91" i="66" s="1"/>
  <c r="B92" i="66" s="1"/>
  <c r="B93" i="66" s="1"/>
  <c r="W52" i="66"/>
  <c r="G4350" i="97" s="1"/>
  <c r="P52" i="66"/>
  <c r="G4035" i="97" s="1"/>
  <c r="N52" i="66"/>
  <c r="G3945" i="97" s="1"/>
  <c r="H52" i="66"/>
  <c r="G3675" i="97" s="1"/>
  <c r="G52" i="66"/>
  <c r="G3630" i="97" s="1"/>
  <c r="B60" i="65"/>
  <c r="S45" i="65"/>
  <c r="G3547" i="97" s="1"/>
  <c r="R45" i="65"/>
  <c r="G3509" i="97" s="1"/>
  <c r="Q45" i="65"/>
  <c r="G3471" i="97" s="1"/>
  <c r="P45" i="65"/>
  <c r="G3433" i="97" s="1"/>
  <c r="O45" i="65"/>
  <c r="G3395" i="97" s="1"/>
  <c r="N45" i="65"/>
  <c r="G3357" i="97" s="1"/>
  <c r="L45" i="65"/>
  <c r="G3281" i="97" s="1"/>
  <c r="K45" i="65"/>
  <c r="G3243" i="97" s="1"/>
  <c r="J45" i="65"/>
  <c r="G3205" i="97" s="1"/>
  <c r="I45" i="65"/>
  <c r="G3167" i="97" s="1"/>
  <c r="H45" i="65"/>
  <c r="G3129" i="97" s="1"/>
  <c r="G45" i="65"/>
  <c r="G3091" i="97" s="1"/>
  <c r="T44" i="65"/>
  <c r="G3584" i="97" s="1"/>
  <c r="M44" i="65"/>
  <c r="G3318" i="97" s="1"/>
  <c r="T38" i="65"/>
  <c r="G3578" i="97" s="1"/>
  <c r="M38" i="65"/>
  <c r="G3312" i="97" s="1"/>
  <c r="T37" i="65"/>
  <c r="G3577" i="97" s="1"/>
  <c r="M37" i="65"/>
  <c r="G3311" i="97" s="1"/>
  <c r="T36" i="65"/>
  <c r="G3576" i="97" s="1"/>
  <c r="M36" i="65"/>
  <c r="G3310" i="97" s="1"/>
  <c r="T35" i="65"/>
  <c r="G3575" i="97" s="1"/>
  <c r="M35" i="65"/>
  <c r="G3309" i="97" s="1"/>
  <c r="T34" i="65"/>
  <c r="G3574" i="97" s="1"/>
  <c r="M34" i="65"/>
  <c r="G3308" i="97" s="1"/>
  <c r="T33" i="65"/>
  <c r="G3573" i="97" s="1"/>
  <c r="M33" i="65"/>
  <c r="G3307" i="97" s="1"/>
  <c r="T32" i="65"/>
  <c r="G3572" i="97" s="1"/>
  <c r="M32" i="65"/>
  <c r="G3306" i="97" s="1"/>
  <c r="T31" i="65"/>
  <c r="G3571" i="97" s="1"/>
  <c r="M31" i="65"/>
  <c r="G3305" i="97" s="1"/>
  <c r="T30" i="65"/>
  <c r="G3570" i="97" s="1"/>
  <c r="M30" i="65"/>
  <c r="G3304" i="97" s="1"/>
  <c r="T29" i="65"/>
  <c r="G3569" i="97" s="1"/>
  <c r="M29" i="65"/>
  <c r="G3303" i="97" s="1"/>
  <c r="T28" i="65"/>
  <c r="G3568" i="97" s="1"/>
  <c r="M28" i="65"/>
  <c r="G3302" i="97" s="1"/>
  <c r="T27" i="65"/>
  <c r="G3567" i="97" s="1"/>
  <c r="M27" i="65"/>
  <c r="G3301" i="97" s="1"/>
  <c r="T26" i="65"/>
  <c r="G3566" i="97" s="1"/>
  <c r="M26" i="65"/>
  <c r="G3300" i="97" s="1"/>
  <c r="T25" i="65"/>
  <c r="G3565" i="97" s="1"/>
  <c r="M25" i="65"/>
  <c r="G3299" i="97" s="1"/>
  <c r="T22" i="65"/>
  <c r="G3562" i="97" s="1"/>
  <c r="M22" i="65"/>
  <c r="G3296" i="97" s="1"/>
  <c r="T21" i="65"/>
  <c r="G3561" i="97" s="1"/>
  <c r="M21" i="65"/>
  <c r="G3295" i="97" s="1"/>
  <c r="T20" i="65"/>
  <c r="G3560" i="97" s="1"/>
  <c r="M20" i="65"/>
  <c r="G3294" i="97" s="1"/>
  <c r="T19" i="65"/>
  <c r="G3559" i="97" s="1"/>
  <c r="M19" i="65"/>
  <c r="G3293" i="97" s="1"/>
  <c r="T18" i="65"/>
  <c r="G3558" i="97" s="1"/>
  <c r="M18" i="65"/>
  <c r="G3292" i="97" s="1"/>
  <c r="T17" i="65"/>
  <c r="G3557" i="97" s="1"/>
  <c r="M17" i="65"/>
  <c r="G3291" i="97" s="1"/>
  <c r="T16" i="65"/>
  <c r="G3556" i="97" s="1"/>
  <c r="M16" i="65"/>
  <c r="G3290" i="97" s="1"/>
  <c r="T15" i="65"/>
  <c r="G3555" i="97" s="1"/>
  <c r="M15" i="65"/>
  <c r="G3289" i="97" s="1"/>
  <c r="T14" i="65"/>
  <c r="G3554" i="97" s="1"/>
  <c r="M14" i="65"/>
  <c r="G3288" i="97" s="1"/>
  <c r="T13" i="65"/>
  <c r="G3553" i="97" s="1"/>
  <c r="M13" i="65"/>
  <c r="G3287" i="97" s="1"/>
  <c r="T12" i="65"/>
  <c r="G3552" i="97" s="1"/>
  <c r="M12" i="65"/>
  <c r="G3286" i="97" s="1"/>
  <c r="T11" i="65"/>
  <c r="G3551" i="97" s="1"/>
  <c r="M11" i="65"/>
  <c r="G3285" i="97" s="1"/>
  <c r="T9" i="65"/>
  <c r="G3549" i="97" s="1"/>
  <c r="M9" i="65"/>
  <c r="G3283" i="97" s="1"/>
  <c r="T8" i="65"/>
  <c r="G3548" i="97" s="1"/>
  <c r="M8" i="65"/>
  <c r="G3282" i="97" s="1"/>
  <c r="B67" i="64"/>
  <c r="B68" i="64" s="1"/>
  <c r="B69" i="64" s="1"/>
  <c r="B70" i="64" s="1"/>
  <c r="B71" i="64" s="1"/>
  <c r="B72" i="64" s="1"/>
  <c r="B73" i="64" s="1"/>
  <c r="B74" i="64" s="1"/>
  <c r="B75" i="64" s="1"/>
  <c r="B76" i="64" s="1"/>
  <c r="B77" i="64" s="1"/>
  <c r="B78" i="64" s="1"/>
  <c r="B79" i="64" s="1"/>
  <c r="B80" i="64" s="1"/>
  <c r="B81" i="64" s="1"/>
  <c r="B82" i="64" s="1"/>
  <c r="B83" i="64" s="1"/>
  <c r="B84" i="64" s="1"/>
  <c r="B85" i="64" s="1"/>
  <c r="B86" i="64" s="1"/>
  <c r="B87" i="64" s="1"/>
  <c r="B88" i="64" s="1"/>
  <c r="B89" i="64" s="1"/>
  <c r="O43" i="64"/>
  <c r="G3046" i="97" s="1"/>
  <c r="O42" i="64"/>
  <c r="G3045" i="97" s="1"/>
  <c r="O41" i="64"/>
  <c r="G3044" i="97" s="1"/>
  <c r="O40" i="64"/>
  <c r="G3043" i="97" s="1"/>
  <c r="O39" i="64"/>
  <c r="G3042" i="97" s="1"/>
  <c r="O35" i="64"/>
  <c r="G3040" i="97" s="1"/>
  <c r="O34" i="64"/>
  <c r="G3039" i="97" s="1"/>
  <c r="O30" i="64"/>
  <c r="G3037" i="97" s="1"/>
  <c r="O28" i="64"/>
  <c r="G3035" i="97" s="1"/>
  <c r="N27" i="64"/>
  <c r="G2998" i="97" s="1"/>
  <c r="M27" i="64"/>
  <c r="G2962" i="97" s="1"/>
  <c r="L27" i="64"/>
  <c r="G2926" i="97" s="1"/>
  <c r="K27" i="64"/>
  <c r="G2890" i="97" s="1"/>
  <c r="J27" i="64"/>
  <c r="G2854" i="97" s="1"/>
  <c r="I27" i="64"/>
  <c r="G2818" i="97" s="1"/>
  <c r="H27" i="64"/>
  <c r="G2782" i="97" s="1"/>
  <c r="G27" i="64"/>
  <c r="G2746" i="97" s="1"/>
  <c r="O26" i="64"/>
  <c r="G3033" i="97" s="1"/>
  <c r="O25" i="64"/>
  <c r="G3032" i="97" s="1"/>
  <c r="O24" i="64"/>
  <c r="G3031" i="97" s="1"/>
  <c r="O23" i="64"/>
  <c r="G3030" i="97" s="1"/>
  <c r="O22" i="64"/>
  <c r="G3029" i="97" s="1"/>
  <c r="O18" i="64"/>
  <c r="G3027" i="97" s="1"/>
  <c r="N16" i="64"/>
  <c r="G2990" i="97" s="1"/>
  <c r="M16" i="64"/>
  <c r="G2954" i="97" s="1"/>
  <c r="L16" i="64"/>
  <c r="G2918" i="97" s="1"/>
  <c r="K16" i="64"/>
  <c r="G2882" i="97" s="1"/>
  <c r="J16" i="64"/>
  <c r="G2846" i="97" s="1"/>
  <c r="I16" i="64"/>
  <c r="G2810" i="97" s="1"/>
  <c r="H16" i="64"/>
  <c r="G2774" i="97" s="1"/>
  <c r="G16" i="64"/>
  <c r="G2738" i="97" s="1"/>
  <c r="O15" i="64"/>
  <c r="G3025" i="97" s="1"/>
  <c r="O14" i="64"/>
  <c r="G3024" i="97" s="1"/>
  <c r="O13" i="64"/>
  <c r="G3023" i="97" s="1"/>
  <c r="O12" i="64"/>
  <c r="G3022" i="97" s="1"/>
  <c r="O10" i="64"/>
  <c r="G3021" i="97" s="1"/>
  <c r="O9" i="64"/>
  <c r="G3020" i="97" s="1"/>
  <c r="O8" i="64"/>
  <c r="G3019" i="97" s="1"/>
  <c r="B67" i="63"/>
  <c r="B68" i="63" s="1"/>
  <c r="B69" i="63" s="1"/>
  <c r="B70" i="63" s="1"/>
  <c r="B71" i="63" s="1"/>
  <c r="B72" i="63" s="1"/>
  <c r="B73" i="63" s="1"/>
  <c r="B74" i="63" s="1"/>
  <c r="B75" i="63" s="1"/>
  <c r="B76" i="63" s="1"/>
  <c r="B77" i="63" s="1"/>
  <c r="B78" i="63" s="1"/>
  <c r="B79" i="63" s="1"/>
  <c r="B80" i="63" s="1"/>
  <c r="B81" i="63" s="1"/>
  <c r="B82" i="63" s="1"/>
  <c r="B83" i="63" s="1"/>
  <c r="B84" i="63" s="1"/>
  <c r="B85" i="63" s="1"/>
  <c r="B86" i="63" s="1"/>
  <c r="B87" i="63" s="1"/>
  <c r="B88" i="63" s="1"/>
  <c r="B89" i="63" s="1"/>
  <c r="M49" i="63"/>
  <c r="G2728" i="97" s="1"/>
  <c r="M43" i="63"/>
  <c r="G2722" i="97" s="1"/>
  <c r="M42" i="63"/>
  <c r="G2721" i="97" s="1"/>
  <c r="M41" i="63"/>
  <c r="G2720" i="97" s="1"/>
  <c r="M40" i="63"/>
  <c r="G2719" i="97" s="1"/>
  <c r="M39" i="63"/>
  <c r="G2718" i="97" s="1"/>
  <c r="M35" i="63"/>
  <c r="G2716" i="97" s="1"/>
  <c r="M34" i="63"/>
  <c r="G2715" i="97" s="1"/>
  <c r="M30" i="63"/>
  <c r="G2713" i="97" s="1"/>
  <c r="M28" i="63"/>
  <c r="G2711" i="97" s="1"/>
  <c r="M26" i="63"/>
  <c r="G2709" i="97" s="1"/>
  <c r="M25" i="63"/>
  <c r="G2708" i="97" s="1"/>
  <c r="M24" i="63"/>
  <c r="G2707" i="97" s="1"/>
  <c r="M23" i="63"/>
  <c r="G2706" i="97" s="1"/>
  <c r="M22" i="63"/>
  <c r="G2705" i="97" s="1"/>
  <c r="M18" i="63"/>
  <c r="G2703" i="97" s="1"/>
  <c r="M15" i="63"/>
  <c r="G2701" i="97" s="1"/>
  <c r="M14" i="63"/>
  <c r="G2700" i="97" s="1"/>
  <c r="M13" i="63"/>
  <c r="G2699" i="97" s="1"/>
  <c r="M12" i="63"/>
  <c r="G2698" i="97" s="1"/>
  <c r="M10" i="63"/>
  <c r="G2697" i="97" s="1"/>
  <c r="M9" i="63"/>
  <c r="G2696" i="97" s="1"/>
  <c r="M8" i="63"/>
  <c r="G2695" i="97" s="1"/>
  <c r="M7" i="63"/>
  <c r="G2694" i="97" s="1"/>
  <c r="B62" i="75" l="1"/>
  <c r="B63" i="75" s="1"/>
  <c r="B64" i="75" s="1"/>
  <c r="B67" i="75" s="1"/>
  <c r="B68" i="75" s="1"/>
  <c r="B69" i="75" s="1"/>
  <c r="B70" i="75" s="1"/>
  <c r="B71" i="75" s="1"/>
  <c r="B72" i="75" s="1"/>
  <c r="B73" i="75" s="1"/>
  <c r="B74" i="75" s="1"/>
  <c r="B75" i="75" s="1"/>
  <c r="AD34" i="75"/>
  <c r="J6" i="70"/>
  <c r="C52" i="2"/>
  <c r="J6" i="69"/>
  <c r="C51" i="2"/>
  <c r="B96" i="71"/>
  <c r="B97" i="71" s="1"/>
  <c r="B98" i="71" s="1"/>
  <c r="B99" i="71" s="1"/>
  <c r="B100" i="71" s="1"/>
  <c r="B101" i="71" s="1"/>
  <c r="B102" i="71" s="1"/>
  <c r="B103" i="71" s="1"/>
  <c r="B104" i="71" s="1"/>
  <c r="B105" i="71" s="1"/>
  <c r="B106" i="71" s="1"/>
  <c r="B107" i="71" s="1"/>
  <c r="B108" i="71" s="1"/>
  <c r="B109" i="71" s="1"/>
  <c r="B110" i="71" s="1"/>
  <c r="B111" i="71" s="1"/>
  <c r="B80" i="70"/>
  <c r="B81" i="70" s="1"/>
  <c r="B82" i="70" s="1"/>
  <c r="B83" i="70" s="1"/>
  <c r="H53" i="66"/>
  <c r="N53" i="66"/>
  <c r="G53" i="66"/>
  <c r="AA40" i="64"/>
  <c r="W40" i="64"/>
  <c r="V40" i="64"/>
  <c r="Z40" i="64"/>
  <c r="AC40" i="64"/>
  <c r="Y40" i="64"/>
  <c r="X40" i="64"/>
  <c r="AB40" i="64"/>
  <c r="Z43" i="64"/>
  <c r="AC43" i="64"/>
  <c r="Y43" i="64"/>
  <c r="AB43" i="64"/>
  <c r="X43" i="64"/>
  <c r="V43" i="64"/>
  <c r="AA43" i="64"/>
  <c r="W43" i="64"/>
  <c r="AB41" i="64"/>
  <c r="X41" i="64"/>
  <c r="AA41" i="64"/>
  <c r="W41" i="64"/>
  <c r="Z41" i="64"/>
  <c r="V41" i="64"/>
  <c r="Y41" i="64"/>
  <c r="AC41" i="64"/>
  <c r="Z39" i="64"/>
  <c r="AC39" i="64"/>
  <c r="Y39" i="64"/>
  <c r="AB39" i="64"/>
  <c r="X39" i="64"/>
  <c r="W39" i="64"/>
  <c r="V39" i="64"/>
  <c r="AA39" i="64"/>
  <c r="AC42" i="64"/>
  <c r="Y42" i="64"/>
  <c r="V42" i="64"/>
  <c r="AB42" i="64"/>
  <c r="X42" i="64"/>
  <c r="AA42" i="64"/>
  <c r="W42" i="64"/>
  <c r="Z42" i="64"/>
  <c r="AG30" i="64"/>
  <c r="G29" i="64"/>
  <c r="G2748" i="97" s="1"/>
  <c r="K29" i="64"/>
  <c r="G2892" i="97" s="1"/>
  <c r="H29" i="64"/>
  <c r="G2784" i="97" s="1"/>
  <c r="M29" i="64"/>
  <c r="G2964" i="97" s="1"/>
  <c r="J29" i="64"/>
  <c r="G2856" i="97" s="1"/>
  <c r="J19" i="64"/>
  <c r="G2848" i="97" s="1"/>
  <c r="N19" i="64"/>
  <c r="G2992" i="97" s="1"/>
  <c r="M19" i="64"/>
  <c r="G2956" i="97" s="1"/>
  <c r="K19" i="64"/>
  <c r="G2884" i="97" s="1"/>
  <c r="I19" i="64"/>
  <c r="G2812" i="97" s="1"/>
  <c r="H19" i="64"/>
  <c r="G2776" i="97" s="1"/>
  <c r="L19" i="64"/>
  <c r="G2920" i="97" s="1"/>
  <c r="AC30" i="63"/>
  <c r="B61" i="65"/>
  <c r="B62" i="65" s="1"/>
  <c r="B63" i="65" s="1"/>
  <c r="B64" i="65" s="1"/>
  <c r="B65" i="65" s="1"/>
  <c r="B66" i="65" s="1"/>
  <c r="B67" i="65" s="1"/>
  <c r="B68" i="65" s="1"/>
  <c r="B69" i="65" s="1"/>
  <c r="B70" i="65" s="1"/>
  <c r="B71" i="65" s="1"/>
  <c r="B72" i="65" s="1"/>
  <c r="B73" i="65" s="1"/>
  <c r="J46" i="65"/>
  <c r="I46" i="65"/>
  <c r="K46" i="65"/>
  <c r="H46" i="65"/>
  <c r="L46" i="65"/>
  <c r="G46" i="65"/>
  <c r="C57" i="2"/>
  <c r="B143" i="69"/>
  <c r="B144" i="69" s="1"/>
  <c r="B145" i="69" s="1"/>
  <c r="B146" i="69" s="1"/>
  <c r="B147" i="69" s="1"/>
  <c r="B148" i="69" s="1"/>
  <c r="B149" i="69" s="1"/>
  <c r="B150" i="69" s="1"/>
  <c r="B151" i="69" s="1"/>
  <c r="G18" i="67"/>
  <c r="G4406" i="97" s="1"/>
  <c r="L51" i="76"/>
  <c r="G5396" i="97" s="1"/>
  <c r="AF68" i="76"/>
  <c r="AD68" i="76" s="1"/>
  <c r="N20" i="75"/>
  <c r="G5152" i="97" s="1"/>
  <c r="N18" i="75"/>
  <c r="G5150" i="97" s="1"/>
  <c r="AA44" i="66"/>
  <c r="AA40" i="66"/>
  <c r="AA51" i="66"/>
  <c r="AA42" i="66"/>
  <c r="AA38" i="66"/>
  <c r="AA43" i="66"/>
  <c r="AA39" i="66"/>
  <c r="AA45" i="66"/>
  <c r="AA41" i="66"/>
  <c r="G15" i="74"/>
  <c r="G4990" i="97" s="1"/>
  <c r="AM31" i="65"/>
  <c r="AI31" i="65"/>
  <c r="AD31" i="65"/>
  <c r="AJ31" i="65"/>
  <c r="AA31" i="65"/>
  <c r="AL31" i="65"/>
  <c r="AH31" i="65"/>
  <c r="AC31" i="65"/>
  <c r="AK31" i="65"/>
  <c r="AF31" i="65"/>
  <c r="AB31" i="65"/>
  <c r="AE31" i="65"/>
  <c r="AM33" i="65"/>
  <c r="AI33" i="65"/>
  <c r="AD33" i="65"/>
  <c r="AJ33" i="65"/>
  <c r="AL33" i="65"/>
  <c r="AH33" i="65"/>
  <c r="AC33" i="65"/>
  <c r="AA33" i="65"/>
  <c r="AK33" i="65"/>
  <c r="AF33" i="65"/>
  <c r="AB33" i="65"/>
  <c r="AE33" i="65"/>
  <c r="AM35" i="65"/>
  <c r="AI35" i="65"/>
  <c r="AD35" i="65"/>
  <c r="AJ35" i="65"/>
  <c r="AL35" i="65"/>
  <c r="AH35" i="65"/>
  <c r="AC35" i="65"/>
  <c r="AA35" i="65"/>
  <c r="AK35" i="65"/>
  <c r="AF35" i="65"/>
  <c r="AB35" i="65"/>
  <c r="AE35" i="65"/>
  <c r="AM37" i="65"/>
  <c r="AI37" i="65"/>
  <c r="AD37" i="65"/>
  <c r="AE37" i="65"/>
  <c r="AL37" i="65"/>
  <c r="AH37" i="65"/>
  <c r="AC37" i="65"/>
  <c r="AA37" i="65"/>
  <c r="AK37" i="65"/>
  <c r="AF37" i="65"/>
  <c r="AB37" i="65"/>
  <c r="AJ37" i="65"/>
  <c r="AM44" i="65"/>
  <c r="AI44" i="65"/>
  <c r="AD44" i="65"/>
  <c r="AA44" i="65"/>
  <c r="AL44" i="65"/>
  <c r="AH44" i="65"/>
  <c r="AC44" i="65"/>
  <c r="AE44" i="65"/>
  <c r="AK44" i="65"/>
  <c r="AF44" i="65"/>
  <c r="AB44" i="65"/>
  <c r="AJ44" i="65"/>
  <c r="AM32" i="65"/>
  <c r="AI32" i="65"/>
  <c r="AD32" i="65"/>
  <c r="AE32" i="65"/>
  <c r="AL32" i="65"/>
  <c r="AH32" i="65"/>
  <c r="AC32" i="65"/>
  <c r="AA32" i="65"/>
  <c r="AK32" i="65"/>
  <c r="AF32" i="65"/>
  <c r="AB32" i="65"/>
  <c r="AJ32" i="65"/>
  <c r="AM36" i="65"/>
  <c r="AI36" i="65"/>
  <c r="AD36" i="65"/>
  <c r="AE36" i="65"/>
  <c r="AL36" i="65"/>
  <c r="AH36" i="65"/>
  <c r="AC36" i="65"/>
  <c r="AA36" i="65"/>
  <c r="AK36" i="65"/>
  <c r="AF36" i="65"/>
  <c r="AB36" i="65"/>
  <c r="AJ36" i="65"/>
  <c r="AM38" i="65"/>
  <c r="AI38" i="65"/>
  <c r="AD38" i="65"/>
  <c r="AE38" i="65"/>
  <c r="AL38" i="65"/>
  <c r="AH38" i="65"/>
  <c r="AC38" i="65"/>
  <c r="AA38" i="65"/>
  <c r="AK38" i="65"/>
  <c r="AF38" i="65"/>
  <c r="AB38" i="65"/>
  <c r="AJ38" i="65"/>
  <c r="AM34" i="65"/>
  <c r="AI34" i="65"/>
  <c r="AD34" i="65"/>
  <c r="AJ34" i="65"/>
  <c r="AL34" i="65"/>
  <c r="AH34" i="65"/>
  <c r="AC34" i="65"/>
  <c r="AA34" i="65"/>
  <c r="AK34" i="65"/>
  <c r="AF34" i="65"/>
  <c r="AB34" i="65"/>
  <c r="AE34" i="65"/>
  <c r="T41" i="63"/>
  <c r="X41" i="63"/>
  <c r="W41" i="63"/>
  <c r="Y41" i="63"/>
  <c r="V41" i="63"/>
  <c r="U41" i="63"/>
  <c r="T42" i="63"/>
  <c r="W42" i="63"/>
  <c r="X42" i="63"/>
  <c r="V42" i="63"/>
  <c r="Y42" i="63"/>
  <c r="U42" i="63"/>
  <c r="T39" i="63"/>
  <c r="V39" i="63"/>
  <c r="Y39" i="63"/>
  <c r="U39" i="63"/>
  <c r="W39" i="63"/>
  <c r="X39" i="63"/>
  <c r="T43" i="63"/>
  <c r="V43" i="63"/>
  <c r="W43" i="63"/>
  <c r="Y43" i="63"/>
  <c r="U43" i="63"/>
  <c r="X43" i="63"/>
  <c r="T40" i="63"/>
  <c r="Y40" i="63"/>
  <c r="U40" i="63"/>
  <c r="V40" i="63"/>
  <c r="X40" i="63"/>
  <c r="W40" i="63"/>
  <c r="AM30" i="65"/>
  <c r="AI30" i="65"/>
  <c r="AD30" i="65"/>
  <c r="AE30" i="65"/>
  <c r="AL30" i="65"/>
  <c r="AH30" i="65"/>
  <c r="AC30" i="65"/>
  <c r="AA30" i="65"/>
  <c r="AK30" i="65"/>
  <c r="AF30" i="65"/>
  <c r="AB30" i="65"/>
  <c r="AJ30" i="65"/>
  <c r="Z14" i="72"/>
  <c r="G4849" i="97" s="1"/>
  <c r="O53" i="66"/>
  <c r="M6" i="65"/>
  <c r="T24" i="72"/>
  <c r="G4772" i="97" s="1"/>
  <c r="X52" i="66"/>
  <c r="G4395" i="97" s="1"/>
  <c r="T45" i="65"/>
  <c r="G3585" i="97" s="1"/>
  <c r="M45" i="65"/>
  <c r="G3319" i="97" s="1"/>
  <c r="AR46" i="65"/>
  <c r="AQ46" i="65" s="1"/>
  <c r="O52" i="66"/>
  <c r="G3990" i="97" s="1"/>
  <c r="O16" i="64"/>
  <c r="G3026" i="97" s="1"/>
  <c r="G19" i="64"/>
  <c r="G2740" i="97" s="1"/>
  <c r="I29" i="64"/>
  <c r="G2820" i="97" s="1"/>
  <c r="L29" i="64"/>
  <c r="G2928" i="97" s="1"/>
  <c r="M27" i="63"/>
  <c r="G2710" i="97" s="1"/>
  <c r="M16" i="63"/>
  <c r="G2702" i="97" s="1"/>
  <c r="Q28" i="75"/>
  <c r="Q36" i="75"/>
  <c r="AF14" i="72"/>
  <c r="G4933" i="97" s="1"/>
  <c r="Z24" i="72"/>
  <c r="G4856" i="97" s="1"/>
  <c r="Q8" i="75"/>
  <c r="Q7" i="75"/>
  <c r="Q27" i="75"/>
  <c r="Q29" i="75"/>
  <c r="Q33" i="75"/>
  <c r="O49" i="64"/>
  <c r="G3052" i="97" s="1"/>
  <c r="O27" i="64"/>
  <c r="G3034" i="97" s="1"/>
  <c r="N29" i="64"/>
  <c r="G3000" i="97" s="1"/>
  <c r="N14" i="72"/>
  <c r="G4694" i="97" s="1"/>
  <c r="Q32" i="75"/>
  <c r="T14" i="72"/>
  <c r="G4765" i="97" s="1"/>
  <c r="AF24" i="72"/>
  <c r="G4940" i="97" s="1"/>
  <c r="Q25" i="75"/>
  <c r="Q26" i="75"/>
  <c r="O35" i="76"/>
  <c r="G5435" i="97" s="1"/>
  <c r="N24" i="72"/>
  <c r="G4702" i="97" s="1"/>
  <c r="J31" i="64" l="1"/>
  <c r="G2858" i="97" s="1"/>
  <c r="C47" i="2"/>
  <c r="R43" i="64"/>
  <c r="AD18" i="75"/>
  <c r="AY52" i="66"/>
  <c r="R42" i="64"/>
  <c r="R40" i="64"/>
  <c r="R39" i="64"/>
  <c r="AZ53" i="66"/>
  <c r="R41" i="64"/>
  <c r="I31" i="64"/>
  <c r="G2822" i="97" s="1"/>
  <c r="N31" i="64"/>
  <c r="G3002" i="97" s="1"/>
  <c r="G31" i="64"/>
  <c r="G2750" i="97" s="1"/>
  <c r="H31" i="64"/>
  <c r="G2786" i="97" s="1"/>
  <c r="L31" i="64"/>
  <c r="G2930" i="97" s="1"/>
  <c r="M31" i="64"/>
  <c r="G2966" i="97" s="1"/>
  <c r="K31" i="64"/>
  <c r="G2894" i="97" s="1"/>
  <c r="I36" i="64"/>
  <c r="G2825" i="97" s="1"/>
  <c r="G20" i="67"/>
  <c r="B74" i="65"/>
  <c r="B75" i="65" s="1"/>
  <c r="B76" i="65" s="1"/>
  <c r="B77" i="65" s="1"/>
  <c r="B78" i="65" s="1"/>
  <c r="B79" i="65" s="1"/>
  <c r="B80" i="65" s="1"/>
  <c r="AQ45" i="65"/>
  <c r="B152" i="69"/>
  <c r="B153" i="69" s="1"/>
  <c r="B154" i="69" s="1"/>
  <c r="B155" i="69" s="1"/>
  <c r="B156" i="69" s="1"/>
  <c r="B157" i="69" s="1"/>
  <c r="B158" i="69" s="1"/>
  <c r="B159" i="69" s="1"/>
  <c r="B160" i="69" s="1"/>
  <c r="B161" i="69" s="1"/>
  <c r="C45" i="2"/>
  <c r="W34" i="65"/>
  <c r="W38" i="65"/>
  <c r="W36" i="65"/>
  <c r="W32" i="65"/>
  <c r="W44" i="65"/>
  <c r="W37" i="65"/>
  <c r="W35" i="65"/>
  <c r="W33" i="65"/>
  <c r="W31" i="65"/>
  <c r="W30" i="65"/>
  <c r="P40" i="63"/>
  <c r="P41" i="63"/>
  <c r="P43" i="63"/>
  <c r="P42" i="63"/>
  <c r="P39" i="63"/>
  <c r="M46" i="65"/>
  <c r="AO47" i="65" s="1"/>
  <c r="AY53" i="66"/>
  <c r="AW53" i="66" s="1"/>
  <c r="M19" i="63"/>
  <c r="G2704" i="97" s="1"/>
  <c r="AO46" i="65"/>
  <c r="O19" i="64"/>
  <c r="G3028" i="97" s="1"/>
  <c r="O29" i="64"/>
  <c r="G3036" i="97" s="1"/>
  <c r="M29" i="63"/>
  <c r="G2712" i="97" s="1"/>
  <c r="J36" i="64" l="1"/>
  <c r="G2861" i="97" s="1"/>
  <c r="G21" i="67"/>
  <c r="G4409" i="97" s="1"/>
  <c r="G4408" i="97"/>
  <c r="L36" i="64"/>
  <c r="G2933" i="97" s="1"/>
  <c r="H36" i="64"/>
  <c r="G2789" i="97" s="1"/>
  <c r="L52" i="64"/>
  <c r="G2945" i="97" s="1"/>
  <c r="M36" i="64"/>
  <c r="G2969" i="97" s="1"/>
  <c r="I52" i="64"/>
  <c r="G2837" i="97" s="1"/>
  <c r="K36" i="64"/>
  <c r="G2897" i="97" s="1"/>
  <c r="G36" i="64"/>
  <c r="G2753" i="97" s="1"/>
  <c r="J52" i="64"/>
  <c r="G2873" i="97" s="1"/>
  <c r="B162" i="69"/>
  <c r="B163" i="69" s="1"/>
  <c r="B164" i="69" s="1"/>
  <c r="B165" i="69" s="1"/>
  <c r="B169" i="69" s="1"/>
  <c r="B170" i="69" s="1"/>
  <c r="B171" i="69" s="1"/>
  <c r="B172" i="69" s="1"/>
  <c r="B173" i="69" s="1"/>
  <c r="B174" i="69" s="1"/>
  <c r="B175" i="69" s="1"/>
  <c r="B176" i="69" s="1"/>
  <c r="B177" i="69" s="1"/>
  <c r="B178" i="69" s="1"/>
  <c r="B179" i="69" s="1"/>
  <c r="B180" i="69" s="1"/>
  <c r="B181" i="69" s="1"/>
  <c r="B182" i="69" s="1"/>
  <c r="B183" i="69" s="1"/>
  <c r="B184" i="69" s="1"/>
  <c r="B185" i="69" s="1"/>
  <c r="B186" i="69" s="1"/>
  <c r="B187" i="69" s="1"/>
  <c r="B188" i="69" s="1"/>
  <c r="B189" i="69" s="1"/>
  <c r="B190" i="69" s="1"/>
  <c r="B191" i="69" s="1"/>
  <c r="B192" i="69" s="1"/>
  <c r="B193" i="69" s="1"/>
  <c r="B194" i="69" s="1"/>
  <c r="B195" i="69" s="1"/>
  <c r="B196" i="69" s="1"/>
  <c r="B197" i="69" s="1"/>
  <c r="B198" i="69" s="1"/>
  <c r="B199" i="69" s="1"/>
  <c r="B200" i="69" s="1"/>
  <c r="B217" i="69" s="1"/>
  <c r="B218" i="69" s="1"/>
  <c r="B219" i="69" s="1"/>
  <c r="B220" i="69" s="1"/>
  <c r="B221" i="69" s="1"/>
  <c r="B222" i="69" s="1"/>
  <c r="B223" i="69" s="1"/>
  <c r="B224" i="69" s="1"/>
  <c r="B225" i="69" s="1"/>
  <c r="B226" i="69" s="1"/>
  <c r="B227" i="69" s="1"/>
  <c r="M31" i="63"/>
  <c r="G2714" i="97" s="1"/>
  <c r="N36" i="64"/>
  <c r="G3005" i="97" s="1"/>
  <c r="O31" i="64"/>
  <c r="G3038" i="97" s="1"/>
  <c r="M36" i="63"/>
  <c r="G2717" i="97" s="1"/>
  <c r="M52" i="63"/>
  <c r="G2729" i="97" s="1"/>
  <c r="G52" i="64" l="1"/>
  <c r="G2765" i="97" s="1"/>
  <c r="K52" i="64"/>
  <c r="G2909" i="97" s="1"/>
  <c r="M52" i="64"/>
  <c r="G2981" i="97" s="1"/>
  <c r="H52" i="64"/>
  <c r="G2801" i="97" s="1"/>
  <c r="AC52" i="63"/>
  <c r="B228" i="69"/>
  <c r="B229" i="69" s="1"/>
  <c r="B230" i="69" s="1"/>
  <c r="B231" i="69" s="1"/>
  <c r="B232" i="69" s="1"/>
  <c r="B233" i="69" s="1"/>
  <c r="B234" i="69" s="1"/>
  <c r="B235" i="69" s="1"/>
  <c r="B236" i="69" s="1"/>
  <c r="B237" i="69" s="1"/>
  <c r="B238" i="69" s="1"/>
  <c r="B239" i="69" s="1"/>
  <c r="B240" i="69" s="1"/>
  <c r="B241" i="69" s="1"/>
  <c r="B242" i="69" s="1"/>
  <c r="B243" i="69" s="1"/>
  <c r="B244" i="69" s="1"/>
  <c r="B245" i="69" s="1"/>
  <c r="B246" i="69" s="1"/>
  <c r="B247" i="69" s="1"/>
  <c r="B248" i="69" s="1"/>
  <c r="B249" i="69" s="1"/>
  <c r="B250" i="69" s="1"/>
  <c r="N52" i="64"/>
  <c r="G3017" i="97" s="1"/>
  <c r="O36" i="64"/>
  <c r="G3041" i="97" s="1"/>
  <c r="O52" i="64" l="1"/>
  <c r="G3053" i="97" s="1"/>
  <c r="N11" i="31"/>
  <c r="G2182" i="97" s="1"/>
  <c r="N10" i="31"/>
  <c r="O10" i="31" s="1"/>
  <c r="N9" i="31"/>
  <c r="G2181" i="97" s="1"/>
  <c r="N8" i="31"/>
  <c r="G2180" i="97" s="1"/>
  <c r="N7" i="31"/>
  <c r="G2179" i="97" s="1"/>
  <c r="M12" i="31"/>
  <c r="G2170" i="97" s="1"/>
  <c r="L12" i="31"/>
  <c r="G2157" i="97" s="1"/>
  <c r="K12" i="31"/>
  <c r="G2144" i="97" s="1"/>
  <c r="I12" i="31"/>
  <c r="G2118" i="97" s="1"/>
  <c r="AG52" i="64" l="1"/>
  <c r="N12" i="31"/>
  <c r="G2183" i="97" s="1"/>
  <c r="L13" i="27"/>
  <c r="G1625" i="97" s="1"/>
  <c r="K13" i="27"/>
  <c r="G1616" i="97" s="1"/>
  <c r="H13" i="27"/>
  <c r="G1590" i="97" s="1"/>
  <c r="I28" i="19"/>
  <c r="G1507" i="97" s="1"/>
  <c r="I27" i="19"/>
  <c r="G1506" i="97" s="1"/>
  <c r="I26" i="19"/>
  <c r="G1505" i="97" s="1"/>
  <c r="I14" i="19"/>
  <c r="G1498" i="97" s="1"/>
  <c r="I13" i="19"/>
  <c r="G1497" i="97" s="1"/>
  <c r="I12" i="19"/>
  <c r="G1496" i="97" s="1"/>
  <c r="I8" i="19"/>
  <c r="G1494" i="97" s="1"/>
  <c r="I7" i="19"/>
  <c r="G1493" i="97" s="1"/>
  <c r="I6" i="19"/>
  <c r="G1492" i="97" s="1"/>
  <c r="H29" i="19"/>
  <c r="G29" i="19"/>
  <c r="G1458" i="97" s="1"/>
  <c r="H15" i="19"/>
  <c r="G1474" i="97" s="1"/>
  <c r="G15" i="19"/>
  <c r="G1449" i="97" s="1"/>
  <c r="H9" i="19"/>
  <c r="G1470" i="97" s="1"/>
  <c r="I10" i="13"/>
  <c r="G929" i="97" s="1"/>
  <c r="N7" i="11"/>
  <c r="G735" i="97" s="1"/>
  <c r="N6" i="11"/>
  <c r="G734" i="97" s="1"/>
  <c r="K16" i="11"/>
  <c r="G720" i="97" s="1"/>
  <c r="K15" i="11"/>
  <c r="G719" i="97" s="1"/>
  <c r="K7" i="11"/>
  <c r="G713" i="97" s="1"/>
  <c r="K6" i="11"/>
  <c r="G712" i="97" s="1"/>
  <c r="U29" i="23"/>
  <c r="U28" i="23"/>
  <c r="U27" i="23"/>
  <c r="U26" i="23"/>
  <c r="U25" i="23"/>
  <c r="U24" i="23"/>
  <c r="U23" i="23"/>
  <c r="U22" i="23"/>
  <c r="U21" i="23"/>
  <c r="U20" i="23"/>
  <c r="U19" i="23"/>
  <c r="U18" i="23"/>
  <c r="U17" i="23"/>
  <c r="U16" i="23"/>
  <c r="U15" i="23"/>
  <c r="U14" i="23"/>
  <c r="U13" i="23"/>
  <c r="U12" i="23"/>
  <c r="U11" i="23"/>
  <c r="U10" i="23"/>
  <c r="U9" i="23"/>
  <c r="U8" i="23"/>
  <c r="U7" i="23"/>
  <c r="U6" i="23"/>
  <c r="U5" i="23"/>
  <c r="O29" i="23"/>
  <c r="O28" i="23"/>
  <c r="O27" i="23"/>
  <c r="O26" i="23"/>
  <c r="O25" i="23"/>
  <c r="O24" i="23"/>
  <c r="O23" i="23"/>
  <c r="O22" i="23"/>
  <c r="O21" i="23"/>
  <c r="O20" i="23"/>
  <c r="O19" i="23"/>
  <c r="O18" i="23"/>
  <c r="O17" i="23"/>
  <c r="O16" i="23"/>
  <c r="O15" i="23"/>
  <c r="O14" i="23"/>
  <c r="O13" i="23"/>
  <c r="O12" i="23"/>
  <c r="O11" i="23"/>
  <c r="O10" i="23"/>
  <c r="O9" i="23"/>
  <c r="O8" i="23"/>
  <c r="O7" i="23"/>
  <c r="O6" i="23"/>
  <c r="O5" i="23"/>
  <c r="E30" i="23"/>
  <c r="N17" i="14"/>
  <c r="G1058" i="97" s="1"/>
  <c r="N10" i="14"/>
  <c r="G1053" i="97" s="1"/>
  <c r="X25" i="29"/>
  <c r="W25" i="29"/>
  <c r="V25" i="29"/>
  <c r="U25" i="29"/>
  <c r="T25" i="29"/>
  <c r="S25" i="29"/>
  <c r="J15" i="30"/>
  <c r="G1932" i="97" s="1"/>
  <c r="I15" i="30"/>
  <c r="G1904" i="97" s="1"/>
  <c r="H15" i="30"/>
  <c r="G1876" i="97" s="1"/>
  <c r="G15" i="30"/>
  <c r="G1848" i="97" s="1"/>
  <c r="E31" i="18"/>
  <c r="G1338" i="97" s="1"/>
  <c r="B25" i="24"/>
  <c r="AQ6" i="11" l="1"/>
  <c r="AH6" i="11" s="1"/>
  <c r="G1483" i="97"/>
  <c r="L19" i="27"/>
  <c r="G1627" i="97" s="1"/>
  <c r="K19" i="27"/>
  <c r="G1618" i="97" s="1"/>
  <c r="G23" i="19"/>
  <c r="G1454" i="97" s="1"/>
  <c r="P7" i="11"/>
  <c r="G754" i="97" s="1"/>
  <c r="AS6" i="11"/>
  <c r="P6" i="11"/>
  <c r="G753" i="97" s="1"/>
  <c r="AV6" i="11"/>
  <c r="H23" i="19"/>
  <c r="G1479" i="97" s="1"/>
  <c r="AN6" i="11"/>
  <c r="AG6" i="11" s="1"/>
  <c r="I29" i="19"/>
  <c r="G1508" i="97" s="1"/>
  <c r="I15" i="19"/>
  <c r="G1499" i="97" s="1"/>
  <c r="P25" i="29"/>
  <c r="B25" i="2"/>
  <c r="I5" i="16"/>
  <c r="G1196" i="97" s="1"/>
  <c r="AW6" i="11" l="1"/>
  <c r="AJ6" i="11" s="1"/>
  <c r="G14" i="33"/>
  <c r="G2262" i="97" s="1"/>
  <c r="H16" i="44"/>
  <c r="G1547" i="97" s="1"/>
  <c r="G16" i="44"/>
  <c r="G1538" i="97" s="1"/>
  <c r="B27" i="44"/>
  <c r="H9" i="44"/>
  <c r="G1542" i="97" s="1"/>
  <c r="G9" i="44"/>
  <c r="G1533" i="97" s="1"/>
  <c r="O8" i="44"/>
  <c r="N8" i="44"/>
  <c r="K8" i="44" s="1"/>
  <c r="O7" i="44"/>
  <c r="N7" i="44"/>
  <c r="O6" i="44"/>
  <c r="N6" i="44"/>
  <c r="H1" i="44"/>
  <c r="H13" i="96" l="1"/>
  <c r="G13" i="96"/>
  <c r="S16" i="44"/>
  <c r="Q16" i="44" s="1"/>
  <c r="J16" i="44" s="1"/>
  <c r="S9" i="44"/>
  <c r="Q9" i="44" s="1"/>
  <c r="D25" i="2" s="1"/>
  <c r="K7" i="44"/>
  <c r="K6" i="44"/>
  <c r="I13" i="96" l="1"/>
  <c r="G1558" i="97" s="1"/>
  <c r="J9" i="44"/>
  <c r="X20" i="31" l="1"/>
  <c r="U20" i="31"/>
  <c r="X18" i="31"/>
  <c r="U18" i="31"/>
  <c r="B58" i="31"/>
  <c r="B56" i="31"/>
  <c r="B54" i="31"/>
  <c r="X23" i="31"/>
  <c r="U23" i="31"/>
  <c r="N23" i="31"/>
  <c r="G2191" i="97" s="1"/>
  <c r="J23" i="31"/>
  <c r="G2139" i="97" s="1"/>
  <c r="N20" i="31"/>
  <c r="G2189" i="97" s="1"/>
  <c r="J20" i="31"/>
  <c r="G2137" i="97" s="1"/>
  <c r="N18" i="31"/>
  <c r="G2187" i="97" s="1"/>
  <c r="J18" i="31"/>
  <c r="G2135" i="97" s="1"/>
  <c r="O23" i="31" l="1"/>
  <c r="G2204" i="97" s="1"/>
  <c r="O20" i="31"/>
  <c r="G2202" i="97" s="1"/>
  <c r="O18" i="31"/>
  <c r="G2200" i="97" s="1"/>
  <c r="J21" i="15" l="1"/>
  <c r="G1151" i="97" s="1"/>
  <c r="Q10" i="15"/>
  <c r="P10" i="15"/>
  <c r="O10" i="15"/>
  <c r="J10" i="15"/>
  <c r="G1144" i="97" s="1"/>
  <c r="I21" i="13"/>
  <c r="G937" i="97" s="1"/>
  <c r="Z17" i="14"/>
  <c r="Y17" i="14"/>
  <c r="U17" i="14"/>
  <c r="T17" i="14"/>
  <c r="Z10" i="14"/>
  <c r="Y10" i="14"/>
  <c r="U10" i="14"/>
  <c r="T10" i="14"/>
  <c r="X13" i="29"/>
  <c r="W13" i="29"/>
  <c r="V13" i="29"/>
  <c r="U13" i="29"/>
  <c r="T13" i="29"/>
  <c r="S13" i="29"/>
  <c r="X12" i="29"/>
  <c r="W12" i="29"/>
  <c r="V12" i="29"/>
  <c r="U12" i="29"/>
  <c r="T12" i="29"/>
  <c r="S12" i="29"/>
  <c r="L10" i="15" l="1"/>
  <c r="P13" i="29"/>
  <c r="P12" i="29"/>
  <c r="J24" i="12"/>
  <c r="G851" i="97" s="1"/>
  <c r="I24" i="12"/>
  <c r="G827" i="97" s="1"/>
  <c r="J12" i="12"/>
  <c r="G842" i="97" s="1"/>
  <c r="J11" i="12"/>
  <c r="G841" i="97" s="1"/>
  <c r="O13" i="30"/>
  <c r="G2070" i="97" s="1"/>
  <c r="O12" i="30"/>
  <c r="G2069" i="97" s="1"/>
  <c r="O25" i="30"/>
  <c r="G2079" i="97" s="1"/>
  <c r="N26" i="30"/>
  <c r="G2052" i="97" s="1"/>
  <c r="M26" i="30"/>
  <c r="G2024" i="97" s="1"/>
  <c r="L26" i="30"/>
  <c r="G1996" i="97" s="1"/>
  <c r="K26" i="30"/>
  <c r="G1968" i="97" s="1"/>
  <c r="J26" i="30"/>
  <c r="G1940" i="97" s="1"/>
  <c r="I26" i="30"/>
  <c r="G1912" i="97" s="1"/>
  <c r="H26" i="30"/>
  <c r="G1884" i="97" s="1"/>
  <c r="G26" i="30"/>
  <c r="G1856" i="97" s="1"/>
  <c r="I12" i="12"/>
  <c r="G818" i="97" s="1"/>
  <c r="I11" i="12"/>
  <c r="G817" i="97" s="1"/>
  <c r="M13" i="29"/>
  <c r="G1822" i="97" s="1"/>
  <c r="M12" i="29"/>
  <c r="G1821" i="97" s="1"/>
  <c r="M25" i="29"/>
  <c r="G1831" i="97" s="1"/>
  <c r="L26" i="29"/>
  <c r="G1804" i="97" s="1"/>
  <c r="K26" i="29"/>
  <c r="G1776" i="97" s="1"/>
  <c r="J26" i="29"/>
  <c r="G1748" i="97" s="1"/>
  <c r="I26" i="29"/>
  <c r="G1720" i="97" s="1"/>
  <c r="H26" i="29"/>
  <c r="G1692" i="97" s="1"/>
  <c r="G26" i="29"/>
  <c r="G1664" i="97" s="1"/>
  <c r="H24" i="12"/>
  <c r="G803" i="97" s="1"/>
  <c r="H12" i="12"/>
  <c r="G794" i="97" s="1"/>
  <c r="H11" i="12"/>
  <c r="G793" i="97" s="1"/>
  <c r="G24" i="12"/>
  <c r="G779" i="97" s="1"/>
  <c r="G12" i="12"/>
  <c r="G770" i="97" s="1"/>
  <c r="G11" i="12"/>
  <c r="G769" i="97" s="1"/>
  <c r="L12" i="12" l="1"/>
  <c r="G890" i="97" s="1"/>
  <c r="L11" i="12"/>
  <c r="G889" i="97" s="1"/>
  <c r="L24" i="12"/>
  <c r="G899" i="97" s="1"/>
  <c r="B25" i="28"/>
  <c r="N10" i="28"/>
  <c r="N9" i="28"/>
  <c r="N8" i="28"/>
  <c r="N7" i="28"/>
  <c r="B30" i="28"/>
  <c r="N6" i="28"/>
  <c r="R40" i="6"/>
  <c r="Q40" i="6"/>
  <c r="P40" i="6"/>
  <c r="J40" i="6"/>
  <c r="G241" i="97" s="1"/>
  <c r="K40" i="6" l="1"/>
  <c r="G275" i="97" s="1"/>
  <c r="B26" i="28"/>
  <c r="B29" i="28"/>
  <c r="B28" i="28"/>
  <c r="B27" i="28"/>
  <c r="M40" i="6"/>
  <c r="P35" i="4"/>
  <c r="M35" i="4" s="1"/>
  <c r="P34" i="4"/>
  <c r="M34" i="4" s="1"/>
  <c r="P33" i="4"/>
  <c r="M33" i="4" s="1"/>
  <c r="R28" i="4"/>
  <c r="Q28" i="4"/>
  <c r="P28" i="4"/>
  <c r="J28" i="4"/>
  <c r="G78" i="97" s="1"/>
  <c r="R27" i="4"/>
  <c r="Q27" i="4"/>
  <c r="P27" i="4"/>
  <c r="J27" i="4"/>
  <c r="G77" i="97" s="1"/>
  <c r="K27" i="4" l="1"/>
  <c r="G95" i="97" s="1"/>
  <c r="K28" i="4"/>
  <c r="G96" i="97" s="1"/>
  <c r="J29" i="4"/>
  <c r="G79" i="97" s="1"/>
  <c r="M27" i="4"/>
  <c r="M28" i="4"/>
  <c r="H9" i="12"/>
  <c r="G791" i="97" s="1"/>
  <c r="I8" i="12"/>
  <c r="G814" i="97" s="1"/>
  <c r="K29" i="4" l="1"/>
  <c r="G97" i="97" s="1"/>
  <c r="J36" i="12"/>
  <c r="G858" i="97" s="1"/>
  <c r="I36" i="12"/>
  <c r="G834" i="97" s="1"/>
  <c r="J35" i="12"/>
  <c r="G857" i="97" s="1"/>
  <c r="I35" i="12"/>
  <c r="G833" i="97" s="1"/>
  <c r="J30" i="12"/>
  <c r="G855" i="97" s="1"/>
  <c r="I30" i="12"/>
  <c r="G831" i="97" s="1"/>
  <c r="J26" i="12"/>
  <c r="G853" i="97" s="1"/>
  <c r="I26" i="12"/>
  <c r="G829" i="97" s="1"/>
  <c r="J23" i="12"/>
  <c r="G850" i="97" s="1"/>
  <c r="I23" i="12"/>
  <c r="G826" i="97" s="1"/>
  <c r="J22" i="12"/>
  <c r="G849" i="97" s="1"/>
  <c r="I22" i="12"/>
  <c r="G825" i="97" s="1"/>
  <c r="J21" i="12"/>
  <c r="G848" i="97" s="1"/>
  <c r="I21" i="12"/>
  <c r="G824" i="97" s="1"/>
  <c r="J20" i="12"/>
  <c r="G847" i="97" s="1"/>
  <c r="I20" i="12"/>
  <c r="G823" i="97" s="1"/>
  <c r="J16" i="12"/>
  <c r="G845" i="97" s="1"/>
  <c r="I16" i="12"/>
  <c r="G821" i="97" s="1"/>
  <c r="I7" i="12"/>
  <c r="G813" i="97" s="1"/>
  <c r="J7" i="12"/>
  <c r="G837" i="97" s="1"/>
  <c r="J8" i="12"/>
  <c r="G838" i="97" s="1"/>
  <c r="I9" i="12"/>
  <c r="G815" i="97" s="1"/>
  <c r="J9" i="12"/>
  <c r="G839" i="97" s="1"/>
  <c r="I10" i="12"/>
  <c r="G816" i="97" s="1"/>
  <c r="J10" i="12"/>
  <c r="G840" i="97" s="1"/>
  <c r="I13" i="12"/>
  <c r="G819" i="97" s="1"/>
  <c r="J13" i="12"/>
  <c r="G843" i="97" s="1"/>
  <c r="J6" i="12"/>
  <c r="G836" i="97" s="1"/>
  <c r="I6" i="12"/>
  <c r="G812" i="97" s="1"/>
  <c r="AH30" i="64" l="1"/>
  <c r="AE30" i="64" s="1"/>
  <c r="I25" i="12"/>
  <c r="G828" i="97" s="1"/>
  <c r="J25" i="12"/>
  <c r="G852" i="97" s="1"/>
  <c r="G3" i="2"/>
  <c r="H36" i="12"/>
  <c r="G810" i="97" s="1"/>
  <c r="G36" i="12"/>
  <c r="G786" i="97" s="1"/>
  <c r="H35" i="12"/>
  <c r="G809" i="97" s="1"/>
  <c r="G35" i="12"/>
  <c r="G785" i="97" s="1"/>
  <c r="H30" i="12"/>
  <c r="G807" i="97" s="1"/>
  <c r="G30" i="12"/>
  <c r="G783" i="97" s="1"/>
  <c r="H26" i="12"/>
  <c r="G805" i="97" s="1"/>
  <c r="G26" i="12"/>
  <c r="G781" i="97" s="1"/>
  <c r="H23" i="12"/>
  <c r="G802" i="97" s="1"/>
  <c r="G23" i="12"/>
  <c r="G778" i="97" s="1"/>
  <c r="H22" i="12"/>
  <c r="G801" i="97" s="1"/>
  <c r="G22" i="12"/>
  <c r="G777" i="97" s="1"/>
  <c r="H21" i="12"/>
  <c r="G800" i="97" s="1"/>
  <c r="G21" i="12"/>
  <c r="G776" i="97" s="1"/>
  <c r="H20" i="12"/>
  <c r="G799" i="97" s="1"/>
  <c r="G20" i="12"/>
  <c r="G775" i="97" s="1"/>
  <c r="H16" i="12"/>
  <c r="G797" i="97" s="1"/>
  <c r="H6" i="12"/>
  <c r="G788" i="97" s="1"/>
  <c r="G16" i="12"/>
  <c r="G773" i="97" s="1"/>
  <c r="G7" i="12"/>
  <c r="G765" i="97" s="1"/>
  <c r="H7" i="12"/>
  <c r="G789" i="97" s="1"/>
  <c r="G8" i="12"/>
  <c r="G766" i="97" s="1"/>
  <c r="H8" i="12"/>
  <c r="G790" i="97" s="1"/>
  <c r="G9" i="12"/>
  <c r="G767" i="97" s="1"/>
  <c r="G10" i="12"/>
  <c r="G768" i="97" s="1"/>
  <c r="H10" i="12"/>
  <c r="G792" i="97" s="1"/>
  <c r="G13" i="12"/>
  <c r="G771" i="97" s="1"/>
  <c r="H13" i="12"/>
  <c r="G795" i="97" s="1"/>
  <c r="G6" i="12"/>
  <c r="G764" i="97" s="1"/>
  <c r="L9" i="12" l="1"/>
  <c r="G887" i="97" s="1"/>
  <c r="L20" i="12"/>
  <c r="G895" i="97" s="1"/>
  <c r="L22" i="12"/>
  <c r="G897" i="97" s="1"/>
  <c r="L26" i="12"/>
  <c r="G901" i="97" s="1"/>
  <c r="L35" i="12"/>
  <c r="G905" i="97" s="1"/>
  <c r="L6" i="12"/>
  <c r="G884" i="97" s="1"/>
  <c r="L10" i="12"/>
  <c r="G888" i="97" s="1"/>
  <c r="L8" i="12"/>
  <c r="G886" i="97" s="1"/>
  <c r="H3" i="2"/>
  <c r="D55" i="2"/>
  <c r="L7" i="12"/>
  <c r="G885" i="97" s="1"/>
  <c r="L13" i="12"/>
  <c r="G891" i="97" s="1"/>
  <c r="L16" i="12"/>
  <c r="G893" i="97" s="1"/>
  <c r="L21" i="12"/>
  <c r="G896" i="97" s="1"/>
  <c r="L23" i="12"/>
  <c r="G898" i="97" s="1"/>
  <c r="L30" i="12"/>
  <c r="G903" i="97" s="1"/>
  <c r="L36" i="12"/>
  <c r="G906" i="97" s="1"/>
  <c r="AD30" i="63"/>
  <c r="H25" i="12"/>
  <c r="G804" i="97" s="1"/>
  <c r="G25" i="12"/>
  <c r="G780" i="97" s="1"/>
  <c r="H9" i="11"/>
  <c r="G9" i="11"/>
  <c r="L9" i="11"/>
  <c r="J9" i="11"/>
  <c r="I9" i="11"/>
  <c r="R17" i="32" l="1"/>
  <c r="R11" i="32"/>
  <c r="R12" i="32"/>
  <c r="R7" i="32"/>
  <c r="R13" i="32"/>
  <c r="U6" i="12"/>
  <c r="R14" i="32"/>
  <c r="P49" i="19"/>
  <c r="P50" i="19"/>
  <c r="P45" i="19"/>
  <c r="P48" i="19"/>
  <c r="Q49" i="19"/>
  <c r="Q50" i="19"/>
  <c r="Q48" i="19"/>
  <c r="Q45" i="19"/>
  <c r="U36" i="12"/>
  <c r="U21" i="12"/>
  <c r="U20" i="12"/>
  <c r="U9" i="12"/>
  <c r="U13" i="12"/>
  <c r="U24" i="12"/>
  <c r="U35" i="12"/>
  <c r="U22" i="12"/>
  <c r="U16" i="12"/>
  <c r="U10" i="12"/>
  <c r="U30" i="12"/>
  <c r="U23" i="12"/>
  <c r="U7" i="12"/>
  <c r="U11" i="12"/>
  <c r="U26" i="12"/>
  <c r="U8" i="12"/>
  <c r="U12" i="12"/>
  <c r="Y30" i="12"/>
  <c r="W45" i="76"/>
  <c r="X44" i="76"/>
  <c r="Y43" i="76"/>
  <c r="U43" i="76"/>
  <c r="V41" i="76"/>
  <c r="W40" i="76"/>
  <c r="AA30" i="76"/>
  <c r="W30" i="76"/>
  <c r="AA29" i="76"/>
  <c r="W29" i="76"/>
  <c r="AA28" i="76"/>
  <c r="W28" i="76"/>
  <c r="AA27" i="76"/>
  <c r="W27" i="76"/>
  <c r="AA25" i="76"/>
  <c r="W25" i="76"/>
  <c r="AA24" i="76"/>
  <c r="W24" i="76"/>
  <c r="V25" i="76"/>
  <c r="V24" i="76"/>
  <c r="V45" i="76"/>
  <c r="W44" i="76"/>
  <c r="X43" i="76"/>
  <c r="Y41" i="76"/>
  <c r="U41" i="76"/>
  <c r="V40" i="76"/>
  <c r="Z30" i="76"/>
  <c r="V30" i="76"/>
  <c r="Z29" i="76"/>
  <c r="V29" i="76"/>
  <c r="Z28" i="76"/>
  <c r="V28" i="76"/>
  <c r="Z27" i="76"/>
  <c r="V27" i="76"/>
  <c r="Z25" i="76"/>
  <c r="Z24" i="76"/>
  <c r="Y45" i="76"/>
  <c r="U45" i="76"/>
  <c r="V44" i="76"/>
  <c r="W43" i="76"/>
  <c r="X41" i="76"/>
  <c r="Y40" i="76"/>
  <c r="U40" i="76"/>
  <c r="Y30" i="76"/>
  <c r="U30" i="76"/>
  <c r="Y29" i="76"/>
  <c r="U29" i="76"/>
  <c r="Y28" i="76"/>
  <c r="U28" i="76"/>
  <c r="Y27" i="76"/>
  <c r="U27" i="76"/>
  <c r="Y25" i="76"/>
  <c r="U25" i="76"/>
  <c r="Y24" i="76"/>
  <c r="U24" i="76"/>
  <c r="X25" i="76"/>
  <c r="X24" i="76"/>
  <c r="X45" i="76"/>
  <c r="Y44" i="76"/>
  <c r="U44" i="76"/>
  <c r="V43" i="76"/>
  <c r="W41" i="76"/>
  <c r="X40" i="76"/>
  <c r="AB30" i="76"/>
  <c r="X30" i="76"/>
  <c r="AB29" i="76"/>
  <c r="X29" i="76"/>
  <c r="AB28" i="76"/>
  <c r="X28" i="76"/>
  <c r="AB27" i="76"/>
  <c r="X27" i="76"/>
  <c r="AB25" i="76"/>
  <c r="AB24" i="76"/>
  <c r="J17" i="67"/>
  <c r="M7" i="71"/>
  <c r="M31" i="74"/>
  <c r="J31" i="74" s="1"/>
  <c r="M27" i="74"/>
  <c r="J27" i="74" s="1"/>
  <c r="M22" i="74"/>
  <c r="J22" i="74" s="1"/>
  <c r="M14" i="74"/>
  <c r="J14" i="74" s="1"/>
  <c r="M8" i="74"/>
  <c r="J8" i="74" s="1"/>
  <c r="M18" i="74"/>
  <c r="J18" i="74" s="1"/>
  <c r="M6" i="74"/>
  <c r="M24" i="74"/>
  <c r="J24" i="74" s="1"/>
  <c r="M9" i="74"/>
  <c r="J9" i="74" s="1"/>
  <c r="M30" i="74"/>
  <c r="J30" i="74" s="1"/>
  <c r="M26" i="74"/>
  <c r="J26" i="74" s="1"/>
  <c r="M21" i="74"/>
  <c r="J21" i="74" s="1"/>
  <c r="M12" i="74"/>
  <c r="J12" i="74" s="1"/>
  <c r="M7" i="74"/>
  <c r="J7" i="74" s="1"/>
  <c r="M29" i="74"/>
  <c r="J29" i="74" s="1"/>
  <c r="M25" i="74"/>
  <c r="J25" i="74" s="1"/>
  <c r="M11" i="74"/>
  <c r="J11" i="74" s="1"/>
  <c r="M28" i="74"/>
  <c r="J28" i="74" s="1"/>
  <c r="M17" i="74"/>
  <c r="J17" i="74" s="1"/>
  <c r="O30" i="15"/>
  <c r="Q49" i="15"/>
  <c r="Q34" i="15"/>
  <c r="P33" i="15"/>
  <c r="O32" i="15"/>
  <c r="Q30" i="15"/>
  <c r="Q45" i="15"/>
  <c r="P34" i="15"/>
  <c r="O33" i="15"/>
  <c r="Q31" i="15"/>
  <c r="P30" i="15"/>
  <c r="Q43" i="15"/>
  <c r="O34" i="15"/>
  <c r="Q32" i="15"/>
  <c r="P31" i="15"/>
  <c r="P37" i="15"/>
  <c r="Q33" i="15"/>
  <c r="P32" i="15"/>
  <c r="O31" i="15"/>
  <c r="O18" i="19"/>
  <c r="P19" i="19"/>
  <c r="O19" i="19"/>
  <c r="P20" i="19"/>
  <c r="P18" i="19"/>
  <c r="O20" i="19"/>
  <c r="P10" i="28"/>
  <c r="P6" i="28"/>
  <c r="V16" i="27"/>
  <c r="S23" i="27"/>
  <c r="S11" i="27"/>
  <c r="S20" i="27"/>
  <c r="P9" i="28"/>
  <c r="V7" i="27"/>
  <c r="V12" i="27"/>
  <c r="P8" i="28"/>
  <c r="V23" i="27"/>
  <c r="V11" i="27"/>
  <c r="S16" i="27"/>
  <c r="P7" i="28"/>
  <c r="V20" i="27"/>
  <c r="V10" i="27"/>
  <c r="S12" i="27"/>
  <c r="S10" i="27"/>
  <c r="X17" i="14"/>
  <c r="X10" i="14"/>
  <c r="X11" i="14"/>
  <c r="X26" i="14"/>
  <c r="X16" i="14"/>
  <c r="X9" i="14"/>
  <c r="X25" i="14"/>
  <c r="X15" i="14"/>
  <c r="X8" i="14"/>
  <c r="X18" i="14"/>
  <c r="X7" i="14"/>
  <c r="AD6" i="11"/>
  <c r="AD16" i="11"/>
  <c r="AD7" i="11"/>
  <c r="AD15" i="11"/>
  <c r="AD11" i="11"/>
  <c r="AD10" i="11"/>
  <c r="W18" i="76"/>
  <c r="V16" i="76"/>
  <c r="U14" i="76"/>
  <c r="W12" i="76"/>
  <c r="V11" i="76"/>
  <c r="U9" i="76"/>
  <c r="W7" i="76"/>
  <c r="V6" i="76"/>
  <c r="M33" i="71"/>
  <c r="J33" i="71" s="1"/>
  <c r="V14" i="76"/>
  <c r="V9" i="76"/>
  <c r="V18" i="76"/>
  <c r="U16" i="76"/>
  <c r="W13" i="76"/>
  <c r="V12" i="76"/>
  <c r="U11" i="76"/>
  <c r="W8" i="76"/>
  <c r="V7" i="76"/>
  <c r="U6" i="76"/>
  <c r="U18" i="76"/>
  <c r="W14" i="76"/>
  <c r="V13" i="76"/>
  <c r="U12" i="76"/>
  <c r="W9" i="76"/>
  <c r="V8" i="76"/>
  <c r="U7" i="76"/>
  <c r="W16" i="76"/>
  <c r="U13" i="76"/>
  <c r="W11" i="76"/>
  <c r="U8" i="76"/>
  <c r="W6" i="76"/>
  <c r="AS36" i="66"/>
  <c r="AO36" i="66"/>
  <c r="AJ36" i="66"/>
  <c r="AF36" i="66"/>
  <c r="AN36" i="66"/>
  <c r="AI36" i="66"/>
  <c r="AE36" i="66"/>
  <c r="AU36" i="66"/>
  <c r="AQ36" i="66"/>
  <c r="AL36" i="66"/>
  <c r="AH36" i="66"/>
  <c r="AP36" i="66"/>
  <c r="AK36" i="66"/>
  <c r="AR36" i="66"/>
  <c r="AT36" i="66"/>
  <c r="AG36" i="66"/>
  <c r="AB10" i="11"/>
  <c r="AA6" i="11"/>
  <c r="AA30" i="63"/>
  <c r="K9" i="11"/>
  <c r="G715" i="97" s="1"/>
  <c r="L25" i="12"/>
  <c r="G900" i="97" s="1"/>
  <c r="O11" i="24"/>
  <c r="H11" i="24" s="1"/>
  <c r="R25" i="76" l="1"/>
  <c r="R28" i="76"/>
  <c r="R41" i="76"/>
  <c r="R44" i="76"/>
  <c r="R43" i="76"/>
  <c r="R24" i="76"/>
  <c r="R27" i="76"/>
  <c r="R40" i="76"/>
  <c r="K11" i="96"/>
  <c r="C26" i="2"/>
  <c r="C56" i="2"/>
  <c r="J6" i="74"/>
  <c r="R8" i="76"/>
  <c r="R6" i="76"/>
  <c r="R18" i="76"/>
  <c r="R12" i="76"/>
  <c r="R9" i="76"/>
  <c r="AA36" i="66"/>
  <c r="R13" i="76"/>
  <c r="R7" i="76"/>
  <c r="R14" i="76"/>
  <c r="R16" i="76"/>
  <c r="R11" i="76"/>
  <c r="P30" i="63"/>
  <c r="L11" i="24"/>
  <c r="I11" i="24" s="1"/>
  <c r="CX2" i="39" l="1"/>
  <c r="N15" i="33" l="1"/>
  <c r="DS4" i="37" l="1"/>
  <c r="DS5" i="37"/>
  <c r="DS6" i="37"/>
  <c r="DS7" i="37"/>
  <c r="DS8" i="37"/>
  <c r="DS9" i="37"/>
  <c r="DS10" i="37"/>
  <c r="DS11" i="37"/>
  <c r="DS12" i="37"/>
  <c r="DS13" i="37"/>
  <c r="DS14" i="37"/>
  <c r="DS15" i="37"/>
  <c r="DS16" i="37"/>
  <c r="DS17" i="37"/>
  <c r="DS18" i="37"/>
  <c r="DS19" i="37"/>
  <c r="DS20" i="37"/>
  <c r="DS21" i="37"/>
  <c r="DS22" i="37"/>
  <c r="DS23" i="37"/>
  <c r="DS24" i="37"/>
  <c r="DS25" i="37"/>
  <c r="DS26" i="37"/>
  <c r="DS27" i="37"/>
  <c r="DS28" i="37"/>
  <c r="DS29" i="37"/>
  <c r="DS30" i="37"/>
  <c r="DS31" i="37"/>
  <c r="DS32" i="37"/>
  <c r="DS33" i="37"/>
  <c r="DS34" i="37"/>
  <c r="DS35" i="37"/>
  <c r="DS36" i="37"/>
  <c r="DS3" i="37"/>
  <c r="DS2" i="37"/>
  <c r="DL4" i="37"/>
  <c r="DL5" i="37"/>
  <c r="DL6" i="37"/>
  <c r="DL7" i="37"/>
  <c r="DL8" i="37"/>
  <c r="DL9" i="37"/>
  <c r="DL10" i="37"/>
  <c r="DL11" i="37"/>
  <c r="DL12" i="37"/>
  <c r="DL13" i="37"/>
  <c r="DL14" i="37"/>
  <c r="DL15" i="37"/>
  <c r="DL16" i="37"/>
  <c r="DL17" i="37"/>
  <c r="DL18" i="37"/>
  <c r="DL19" i="37"/>
  <c r="DL20" i="37"/>
  <c r="DL21" i="37"/>
  <c r="DL22" i="37"/>
  <c r="DL23" i="37"/>
  <c r="DL24" i="37"/>
  <c r="DL25" i="37"/>
  <c r="DL26" i="37"/>
  <c r="DL27" i="37"/>
  <c r="DL28" i="37"/>
  <c r="DL29" i="37"/>
  <c r="DL30" i="37"/>
  <c r="DL31" i="37"/>
  <c r="DL32" i="37"/>
  <c r="DL33" i="37"/>
  <c r="DL34" i="37"/>
  <c r="DL3" i="37"/>
  <c r="DL2" i="37"/>
  <c r="DE4" i="37"/>
  <c r="DE5" i="37"/>
  <c r="DE6" i="37"/>
  <c r="DE7" i="37"/>
  <c r="DE8" i="37"/>
  <c r="DE9" i="37"/>
  <c r="DE10" i="37"/>
  <c r="DE11" i="37"/>
  <c r="DE12" i="37"/>
  <c r="DE13" i="37"/>
  <c r="DE14" i="37"/>
  <c r="DE15" i="37"/>
  <c r="DE16" i="37"/>
  <c r="DE17" i="37"/>
  <c r="DE18" i="37"/>
  <c r="DE19" i="37"/>
  <c r="DE20" i="37"/>
  <c r="DE21" i="37"/>
  <c r="DE22" i="37"/>
  <c r="DE23" i="37"/>
  <c r="DE24" i="37"/>
  <c r="DE25" i="37"/>
  <c r="DE26" i="37"/>
  <c r="DE27" i="37"/>
  <c r="DE28" i="37"/>
  <c r="DE29" i="37"/>
  <c r="DE30" i="37"/>
  <c r="DE31" i="37"/>
  <c r="DE32" i="37"/>
  <c r="DE33" i="37"/>
  <c r="DE3" i="37"/>
  <c r="DE2" i="37"/>
  <c r="CX4" i="37"/>
  <c r="CX5" i="37"/>
  <c r="CX6" i="37"/>
  <c r="CX7" i="37"/>
  <c r="CX8" i="37"/>
  <c r="CX9" i="37"/>
  <c r="CX10" i="37"/>
  <c r="CX11" i="37"/>
  <c r="CX12" i="37"/>
  <c r="CX13" i="37"/>
  <c r="CX14" i="37"/>
  <c r="CX15" i="37"/>
  <c r="CX16" i="37"/>
  <c r="CX17" i="37"/>
  <c r="CX18" i="37"/>
  <c r="CX19" i="37"/>
  <c r="CX20" i="37"/>
  <c r="CX21" i="37"/>
  <c r="CX22" i="37"/>
  <c r="CX23" i="37"/>
  <c r="CX24" i="37"/>
  <c r="CX25" i="37"/>
  <c r="CX26" i="37"/>
  <c r="CX27" i="37"/>
  <c r="CX28" i="37"/>
  <c r="CX29" i="37"/>
  <c r="CX3" i="37"/>
  <c r="CX2" i="37"/>
  <c r="CQ4" i="37"/>
  <c r="CQ5" i="37"/>
  <c r="CQ6" i="37"/>
  <c r="CQ7" i="37"/>
  <c r="CQ8" i="37"/>
  <c r="CQ9" i="37"/>
  <c r="CQ10" i="37"/>
  <c r="CQ11" i="37"/>
  <c r="CQ12" i="37"/>
  <c r="CQ13" i="37"/>
  <c r="CQ14" i="37"/>
  <c r="CQ15" i="37"/>
  <c r="CQ16" i="37"/>
  <c r="CQ17" i="37"/>
  <c r="CQ18" i="37"/>
  <c r="CQ19" i="37"/>
  <c r="CQ20" i="37"/>
  <c r="CQ21" i="37"/>
  <c r="CQ22" i="37"/>
  <c r="CQ23" i="37"/>
  <c r="CQ24" i="37"/>
  <c r="CQ25" i="37"/>
  <c r="CQ26" i="37"/>
  <c r="CQ27" i="37"/>
  <c r="CQ28" i="37"/>
  <c r="CQ29" i="37"/>
  <c r="CQ30" i="37"/>
  <c r="CQ31" i="37"/>
  <c r="CQ32" i="37"/>
  <c r="CQ33" i="37"/>
  <c r="CQ34" i="37"/>
  <c r="CQ35" i="37"/>
  <c r="CQ36" i="37"/>
  <c r="CQ37" i="37"/>
  <c r="CQ38" i="37"/>
  <c r="CQ39" i="37"/>
  <c r="CQ40" i="37"/>
  <c r="CQ41" i="37"/>
  <c r="CQ42" i="37"/>
  <c r="CQ43" i="37"/>
  <c r="CQ44" i="37"/>
  <c r="CQ45" i="37"/>
  <c r="CQ46" i="37"/>
  <c r="CQ47" i="37"/>
  <c r="CQ48" i="37"/>
  <c r="CQ49" i="37"/>
  <c r="CQ50" i="37"/>
  <c r="CQ51" i="37"/>
  <c r="CQ52" i="37"/>
  <c r="CQ53" i="37"/>
  <c r="CQ54" i="37"/>
  <c r="CQ55" i="37"/>
  <c r="CQ56" i="37"/>
  <c r="CQ57" i="37"/>
  <c r="CQ3" i="37"/>
  <c r="CQ2" i="37"/>
  <c r="CJ4" i="37"/>
  <c r="CJ5" i="37"/>
  <c r="CJ6" i="37"/>
  <c r="CJ7" i="37"/>
  <c r="CJ8" i="37"/>
  <c r="CJ9" i="37"/>
  <c r="CJ10" i="37"/>
  <c r="CJ11" i="37"/>
  <c r="CJ12" i="37"/>
  <c r="CJ13" i="37"/>
  <c r="CJ14" i="37"/>
  <c r="CJ15" i="37"/>
  <c r="CJ16" i="37"/>
  <c r="CJ17" i="37"/>
  <c r="CJ18" i="37"/>
  <c r="CJ19" i="37"/>
  <c r="CJ20" i="37"/>
  <c r="CJ21" i="37"/>
  <c r="CJ22" i="37"/>
  <c r="CJ23" i="37"/>
  <c r="CJ24" i="37"/>
  <c r="CJ25" i="37"/>
  <c r="CJ26" i="37"/>
  <c r="CJ27" i="37"/>
  <c r="CJ28" i="37"/>
  <c r="CJ29" i="37"/>
  <c r="CJ30" i="37"/>
  <c r="CJ31" i="37"/>
  <c r="CJ32" i="37"/>
  <c r="CJ33" i="37"/>
  <c r="CJ34" i="37"/>
  <c r="CJ35" i="37"/>
  <c r="CJ36" i="37"/>
  <c r="CJ37" i="37"/>
  <c r="CJ38" i="37"/>
  <c r="CJ39" i="37"/>
  <c r="CJ40" i="37"/>
  <c r="CJ41" i="37"/>
  <c r="CJ42" i="37"/>
  <c r="CJ43" i="37"/>
  <c r="CJ44" i="37"/>
  <c r="CJ3" i="37"/>
  <c r="CJ2" i="37"/>
  <c r="CC4" i="37"/>
  <c r="CC5" i="37"/>
  <c r="CC6" i="37"/>
  <c r="CC7" i="37"/>
  <c r="CC8" i="37"/>
  <c r="CC9" i="37"/>
  <c r="CC10" i="37"/>
  <c r="CC11" i="37"/>
  <c r="CC12" i="37"/>
  <c r="CC13" i="37"/>
  <c r="CC14" i="37"/>
  <c r="CC15" i="37"/>
  <c r="CC16" i="37"/>
  <c r="CC17" i="37"/>
  <c r="CC18" i="37"/>
  <c r="CC19" i="37"/>
  <c r="CC20" i="37"/>
  <c r="CC21" i="37"/>
  <c r="CC22" i="37"/>
  <c r="CC23" i="37"/>
  <c r="CC24" i="37"/>
  <c r="CC25" i="37"/>
  <c r="CC26" i="37"/>
  <c r="CC27" i="37"/>
  <c r="CC28" i="37"/>
  <c r="CC29" i="37"/>
  <c r="CC30" i="37"/>
  <c r="CC31" i="37"/>
  <c r="CC32" i="37"/>
  <c r="CC33" i="37"/>
  <c r="CC34" i="37"/>
  <c r="CC35" i="37"/>
  <c r="CC36" i="37"/>
  <c r="CC37" i="37"/>
  <c r="CC38" i="37"/>
  <c r="CC39" i="37"/>
  <c r="CC40" i="37"/>
  <c r="CC41" i="37"/>
  <c r="CC42" i="37"/>
  <c r="CC43" i="37"/>
  <c r="CC44" i="37"/>
  <c r="CC45" i="37"/>
  <c r="CC46" i="37"/>
  <c r="CC47" i="37"/>
  <c r="CC3" i="37"/>
  <c r="CC2" i="37"/>
  <c r="BV4" i="37"/>
  <c r="BV5" i="37"/>
  <c r="BV6" i="37"/>
  <c r="BV7" i="37"/>
  <c r="BV8" i="37"/>
  <c r="BV9" i="37"/>
  <c r="BV10" i="37"/>
  <c r="BV11" i="37"/>
  <c r="BV12" i="37"/>
  <c r="BV13" i="37"/>
  <c r="BV14" i="37"/>
  <c r="BV15" i="37"/>
  <c r="BV16" i="37"/>
  <c r="BV17" i="37"/>
  <c r="BV3" i="37"/>
  <c r="BV2" i="37"/>
  <c r="BO4" i="37"/>
  <c r="BO5" i="37"/>
  <c r="BO6" i="37"/>
  <c r="BO7" i="37"/>
  <c r="BO8" i="37"/>
  <c r="BO9" i="37"/>
  <c r="BO10" i="37"/>
  <c r="BO11" i="37"/>
  <c r="BO12" i="37"/>
  <c r="BO13" i="37"/>
  <c r="BO14" i="37"/>
  <c r="BO15" i="37"/>
  <c r="BO16" i="37"/>
  <c r="BO17" i="37"/>
  <c r="BO18" i="37"/>
  <c r="BO19" i="37"/>
  <c r="BO20" i="37"/>
  <c r="BO21" i="37"/>
  <c r="BO22" i="37"/>
  <c r="BO23" i="37"/>
  <c r="BO24" i="37"/>
  <c r="BO25" i="37"/>
  <c r="BO26" i="37"/>
  <c r="BO27" i="37"/>
  <c r="BO28" i="37"/>
  <c r="BO29" i="37"/>
  <c r="BO30" i="37"/>
  <c r="BO31" i="37"/>
  <c r="BO32" i="37"/>
  <c r="BO33" i="37"/>
  <c r="BO34" i="37"/>
  <c r="BO35" i="37"/>
  <c r="BO3" i="37"/>
  <c r="BO2" i="37"/>
  <c r="BH4" i="37"/>
  <c r="BH5" i="37"/>
  <c r="BH6" i="37"/>
  <c r="BH7" i="37"/>
  <c r="BH8" i="37"/>
  <c r="BH9" i="37"/>
  <c r="BH10" i="37"/>
  <c r="BH11" i="37"/>
  <c r="BH12" i="37"/>
  <c r="BH13" i="37"/>
  <c r="BH14" i="37"/>
  <c r="BH15" i="37"/>
  <c r="BH16" i="37"/>
  <c r="BH17" i="37"/>
  <c r="BH18" i="37"/>
  <c r="BH19" i="37"/>
  <c r="BH20" i="37"/>
  <c r="BH21" i="37"/>
  <c r="BH22" i="37"/>
  <c r="BH23" i="37"/>
  <c r="BH24" i="37"/>
  <c r="BH25" i="37"/>
  <c r="BH26" i="37"/>
  <c r="BH27" i="37"/>
  <c r="BH28" i="37"/>
  <c r="BH29" i="37"/>
  <c r="BH30" i="37"/>
  <c r="BH31" i="37"/>
  <c r="BH32" i="37"/>
  <c r="BH33" i="37"/>
  <c r="BH34" i="37"/>
  <c r="BH35" i="37"/>
  <c r="BH36" i="37"/>
  <c r="BH3" i="37"/>
  <c r="BH2" i="37"/>
  <c r="BA4" i="37"/>
  <c r="BA5" i="37"/>
  <c r="BA6" i="37"/>
  <c r="BA7" i="37"/>
  <c r="BA8" i="37"/>
  <c r="BA9" i="37"/>
  <c r="BA10" i="37"/>
  <c r="BA11" i="37"/>
  <c r="BA12" i="37"/>
  <c r="BA13" i="37"/>
  <c r="BA14" i="37"/>
  <c r="BA15" i="37"/>
  <c r="BA16" i="37"/>
  <c r="BA17" i="37"/>
  <c r="BA18" i="37"/>
  <c r="BA19" i="37"/>
  <c r="BA20" i="37"/>
  <c r="BA21" i="37"/>
  <c r="BA22" i="37"/>
  <c r="BA23" i="37"/>
  <c r="BA3" i="37"/>
  <c r="BA2" i="37"/>
  <c r="AT4" i="37"/>
  <c r="AT5" i="37"/>
  <c r="AT6" i="37"/>
  <c r="AT7" i="37"/>
  <c r="AT8" i="37"/>
  <c r="AT9" i="37"/>
  <c r="AT10" i="37"/>
  <c r="AT11" i="37"/>
  <c r="AT12" i="37"/>
  <c r="AT13" i="37"/>
  <c r="AT14" i="37"/>
  <c r="AT15" i="37"/>
  <c r="AT16" i="37"/>
  <c r="AT17" i="37"/>
  <c r="AT3" i="37"/>
  <c r="AT2" i="37"/>
  <c r="AM4" i="37"/>
  <c r="AM5" i="37"/>
  <c r="AM6" i="37"/>
  <c r="AM7" i="37"/>
  <c r="AM8" i="37"/>
  <c r="AM9" i="37"/>
  <c r="AM10" i="37"/>
  <c r="AM11" i="37"/>
  <c r="AM12" i="37"/>
  <c r="AM13" i="37"/>
  <c r="AM14" i="37"/>
  <c r="AM15" i="37"/>
  <c r="AM3" i="37"/>
  <c r="AM2" i="37"/>
  <c r="AF4" i="37"/>
  <c r="AF5" i="37"/>
  <c r="AF6" i="37"/>
  <c r="AF7" i="37"/>
  <c r="AF8" i="37"/>
  <c r="AF9" i="37"/>
  <c r="AF10" i="37"/>
  <c r="AF11" i="37"/>
  <c r="AF12" i="37"/>
  <c r="AF13" i="37"/>
  <c r="AF14" i="37"/>
  <c r="AF15" i="37"/>
  <c r="AF16" i="37"/>
  <c r="AF17" i="37"/>
  <c r="AF18" i="37"/>
  <c r="AF19" i="37"/>
  <c r="AF20" i="37"/>
  <c r="AF21" i="37"/>
  <c r="AF22" i="37"/>
  <c r="AF23" i="37"/>
  <c r="AF24" i="37"/>
  <c r="AF25" i="37"/>
  <c r="AF26" i="37"/>
  <c r="AF27" i="37"/>
  <c r="AF28" i="37"/>
  <c r="AF29" i="37"/>
  <c r="AF30" i="37"/>
  <c r="AF31" i="37"/>
  <c r="AF32" i="37"/>
  <c r="AF33" i="37"/>
  <c r="AF34" i="37"/>
  <c r="AF35" i="37"/>
  <c r="AF36" i="37"/>
  <c r="AF37" i="37"/>
  <c r="AF38" i="37"/>
  <c r="AF39" i="37"/>
  <c r="AF40" i="37"/>
  <c r="AF41" i="37"/>
  <c r="AF42" i="37"/>
  <c r="AF43" i="37"/>
  <c r="AF44" i="37"/>
  <c r="AF45" i="37"/>
  <c r="AF46" i="37"/>
  <c r="AF3" i="37"/>
  <c r="AF2" i="37"/>
  <c r="Y4" i="37"/>
  <c r="Y5" i="37"/>
  <c r="Y6" i="37"/>
  <c r="Y7" i="37"/>
  <c r="Y8" i="37"/>
  <c r="Y9" i="37"/>
  <c r="Y10" i="37"/>
  <c r="Y11" i="37"/>
  <c r="Y12" i="37"/>
  <c r="Y13" i="37"/>
  <c r="Y14" i="37"/>
  <c r="Y15" i="37"/>
  <c r="Y3" i="37"/>
  <c r="Y2" i="37"/>
  <c r="R4" i="37"/>
  <c r="R5" i="37"/>
  <c r="R6" i="37"/>
  <c r="R7" i="37"/>
  <c r="R8" i="37"/>
  <c r="R9" i="37"/>
  <c r="R10" i="37"/>
  <c r="R11" i="37"/>
  <c r="R12" i="37"/>
  <c r="R13" i="37"/>
  <c r="R14" i="37"/>
  <c r="R15" i="37"/>
  <c r="R16" i="37"/>
  <c r="R17" i="37"/>
  <c r="R18" i="37"/>
  <c r="R19" i="37"/>
  <c r="R20" i="37"/>
  <c r="R21" i="37"/>
  <c r="R22" i="37"/>
  <c r="R23" i="37"/>
  <c r="R3" i="37"/>
  <c r="R2" i="37"/>
  <c r="K4" i="37"/>
  <c r="K5" i="37"/>
  <c r="K6" i="37"/>
  <c r="K7" i="37"/>
  <c r="K8" i="37"/>
  <c r="K9" i="37"/>
  <c r="K10" i="37"/>
  <c r="K11" i="37"/>
  <c r="K12" i="37"/>
  <c r="K13" i="37"/>
  <c r="K14" i="37"/>
  <c r="K15" i="37"/>
  <c r="K16" i="37"/>
  <c r="K17" i="37"/>
  <c r="K18" i="37"/>
  <c r="K19" i="37"/>
  <c r="K20" i="37"/>
  <c r="K21" i="37"/>
  <c r="K22" i="37"/>
  <c r="K23" i="37"/>
  <c r="K24" i="37"/>
  <c r="K25" i="37"/>
  <c r="K26" i="37"/>
  <c r="K27" i="37"/>
  <c r="K28" i="37"/>
  <c r="K29" i="37"/>
  <c r="K30" i="37"/>
  <c r="K31" i="37"/>
  <c r="K32" i="37"/>
  <c r="K33" i="37"/>
  <c r="K34" i="37"/>
  <c r="K35" i="37"/>
  <c r="K36" i="37"/>
  <c r="K37" i="37"/>
  <c r="K38" i="37"/>
  <c r="K39" i="37"/>
  <c r="K40" i="37"/>
  <c r="K41" i="37"/>
  <c r="K3" i="37"/>
  <c r="K2" i="37"/>
  <c r="D4" i="37"/>
  <c r="D5" i="37"/>
  <c r="D6" i="37"/>
  <c r="D7" i="37"/>
  <c r="D8" i="37"/>
  <c r="D9" i="37"/>
  <c r="D10" i="37"/>
  <c r="D11" i="37"/>
  <c r="D12" i="37"/>
  <c r="D13" i="37"/>
  <c r="D14" i="37"/>
  <c r="D15" i="37"/>
  <c r="D3" i="37"/>
  <c r="D2" i="37"/>
  <c r="BW2" i="37" l="1"/>
  <c r="BX2" i="37"/>
  <c r="T3" i="37"/>
  <c r="F2" i="37"/>
  <c r="G1566" i="97" l="1"/>
  <c r="Q34" i="17" l="1"/>
  <c r="N22" i="33" l="1"/>
  <c r="K22" i="33" s="1"/>
  <c r="AG6" i="21" l="1"/>
  <c r="AG7" i="21"/>
  <c r="AG8" i="21"/>
  <c r="AG9" i="21"/>
  <c r="AG10" i="21"/>
  <c r="AG11" i="21"/>
  <c r="AG12" i="21"/>
  <c r="AG13" i="2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9" i="21"/>
  <c r="AG60" i="21"/>
  <c r="AF6" i="21"/>
  <c r="AF7" i="21"/>
  <c r="AF8" i="21"/>
  <c r="AF9" i="21"/>
  <c r="AF10" i="21"/>
  <c r="AF11" i="21"/>
  <c r="AF12" i="21"/>
  <c r="AF13" i="21"/>
  <c r="AF14" i="21"/>
  <c r="AF15" i="21"/>
  <c r="AF16" i="21"/>
  <c r="AF17" i="21"/>
  <c r="AF18" i="21"/>
  <c r="AF19" i="21"/>
  <c r="AF20" i="21"/>
  <c r="AF21" i="21"/>
  <c r="AF22" i="21"/>
  <c r="AF23" i="21"/>
  <c r="AF24" i="21"/>
  <c r="AF25" i="21"/>
  <c r="AF26" i="21"/>
  <c r="AF27" i="21"/>
  <c r="AF28" i="21"/>
  <c r="AF29" i="21"/>
  <c r="AF30" i="21"/>
  <c r="AF31" i="21"/>
  <c r="AF32" i="21"/>
  <c r="AF33" i="21"/>
  <c r="AF34" i="21"/>
  <c r="AF35" i="21"/>
  <c r="AF36" i="21"/>
  <c r="AF37" i="21"/>
  <c r="AF38" i="21"/>
  <c r="AF39" i="21"/>
  <c r="AF40" i="21"/>
  <c r="AF41" i="21"/>
  <c r="AF42" i="21"/>
  <c r="AF43" i="21"/>
  <c r="AF44" i="21"/>
  <c r="AF45" i="21"/>
  <c r="AF46" i="21"/>
  <c r="AF47" i="21"/>
  <c r="AF48" i="21"/>
  <c r="AF49" i="21"/>
  <c r="AF50" i="21"/>
  <c r="AF51" i="21"/>
  <c r="AF52" i="21"/>
  <c r="AF53" i="21"/>
  <c r="AF54" i="21"/>
  <c r="AF55" i="21"/>
  <c r="AF56" i="21"/>
  <c r="AF57" i="21"/>
  <c r="AF59" i="21"/>
  <c r="AF60" i="21"/>
  <c r="DU2" i="37" l="1"/>
  <c r="DN2" i="37"/>
  <c r="DG2" i="37"/>
  <c r="CZ2" i="37"/>
  <c r="CS2" i="37"/>
  <c r="CL2" i="37"/>
  <c r="CE2" i="37"/>
  <c r="BQ2" i="37"/>
  <c r="BJ2" i="37"/>
  <c r="DU4" i="37"/>
  <c r="DU5" i="37"/>
  <c r="DU6" i="37"/>
  <c r="DU7" i="37"/>
  <c r="DU8" i="37"/>
  <c r="DU9" i="37"/>
  <c r="DU10" i="37"/>
  <c r="DU11" i="37"/>
  <c r="DU12" i="37"/>
  <c r="DU13" i="37"/>
  <c r="DU14" i="37"/>
  <c r="DU15" i="37"/>
  <c r="DU16" i="37"/>
  <c r="DU17" i="37"/>
  <c r="DU18" i="37"/>
  <c r="DU19" i="37"/>
  <c r="DU20" i="37"/>
  <c r="DU21" i="37"/>
  <c r="DU22" i="37"/>
  <c r="DU23" i="37"/>
  <c r="DU24" i="37"/>
  <c r="DU25" i="37"/>
  <c r="DU26" i="37"/>
  <c r="DU27" i="37"/>
  <c r="DU28" i="37"/>
  <c r="DU29" i="37"/>
  <c r="DU30" i="37"/>
  <c r="DU31" i="37"/>
  <c r="DU32" i="37"/>
  <c r="DU33" i="37"/>
  <c r="DU34" i="37"/>
  <c r="DU35" i="37"/>
  <c r="DU36" i="37"/>
  <c r="DU3" i="37"/>
  <c r="DN4" i="37"/>
  <c r="DN5" i="37"/>
  <c r="DN6" i="37"/>
  <c r="DN7" i="37"/>
  <c r="DN8" i="37"/>
  <c r="DN9" i="37"/>
  <c r="DN10" i="37"/>
  <c r="DN11" i="37"/>
  <c r="DN12" i="37"/>
  <c r="DN13" i="37"/>
  <c r="DN14" i="37"/>
  <c r="DN15" i="37"/>
  <c r="DN16" i="37"/>
  <c r="DN17" i="37"/>
  <c r="DN18" i="37"/>
  <c r="DN19" i="37"/>
  <c r="DN20" i="37"/>
  <c r="DN21" i="37"/>
  <c r="DN22" i="37"/>
  <c r="DN23" i="37"/>
  <c r="DN24" i="37"/>
  <c r="DN25" i="37"/>
  <c r="DN26" i="37"/>
  <c r="DN27" i="37"/>
  <c r="DN28" i="37"/>
  <c r="DN29" i="37"/>
  <c r="DN30" i="37"/>
  <c r="DN31" i="37"/>
  <c r="DN32" i="37"/>
  <c r="DN33" i="37"/>
  <c r="DN34" i="37"/>
  <c r="DN3" i="37"/>
  <c r="DG4" i="37"/>
  <c r="DG5" i="37"/>
  <c r="DG6" i="37"/>
  <c r="DG7" i="37"/>
  <c r="DG8" i="37"/>
  <c r="DG9" i="37"/>
  <c r="DG10" i="37"/>
  <c r="DG11" i="37"/>
  <c r="DG12" i="37"/>
  <c r="DG13" i="37"/>
  <c r="DG14" i="37"/>
  <c r="DG15" i="37"/>
  <c r="DG16" i="37"/>
  <c r="DG17" i="37"/>
  <c r="DG18" i="37"/>
  <c r="DG19" i="37"/>
  <c r="DG20" i="37"/>
  <c r="DG21" i="37"/>
  <c r="DG22" i="37"/>
  <c r="DG23" i="37"/>
  <c r="DG24" i="37"/>
  <c r="DG25" i="37"/>
  <c r="DG26" i="37"/>
  <c r="DG27" i="37"/>
  <c r="DG28" i="37"/>
  <c r="DG29" i="37"/>
  <c r="DG30" i="37"/>
  <c r="DG31" i="37"/>
  <c r="DG32" i="37"/>
  <c r="DG33" i="37"/>
  <c r="DG3" i="37"/>
  <c r="CZ4" i="37"/>
  <c r="CZ5" i="37"/>
  <c r="CZ6" i="37"/>
  <c r="CZ7" i="37"/>
  <c r="CZ8" i="37"/>
  <c r="CZ9" i="37"/>
  <c r="CZ10" i="37"/>
  <c r="CZ11" i="37"/>
  <c r="CZ12" i="37"/>
  <c r="CZ13" i="37"/>
  <c r="CZ14" i="37"/>
  <c r="CZ15" i="37"/>
  <c r="CZ16" i="37"/>
  <c r="CZ17" i="37"/>
  <c r="CZ18" i="37"/>
  <c r="CZ19" i="37"/>
  <c r="CZ20" i="37"/>
  <c r="CZ21" i="37"/>
  <c r="CZ22" i="37"/>
  <c r="CZ23" i="37"/>
  <c r="CZ24" i="37"/>
  <c r="CZ25" i="37"/>
  <c r="CZ26" i="37"/>
  <c r="CZ27" i="37"/>
  <c r="CZ28" i="37"/>
  <c r="CZ29" i="37"/>
  <c r="CZ3" i="37"/>
  <c r="CS4" i="37"/>
  <c r="CS5" i="37"/>
  <c r="CS6" i="37"/>
  <c r="CS7" i="37"/>
  <c r="CS8" i="37"/>
  <c r="CS9" i="37"/>
  <c r="CS10" i="37"/>
  <c r="CS11" i="37"/>
  <c r="CS12" i="37"/>
  <c r="CS13" i="37"/>
  <c r="CS14" i="37"/>
  <c r="CS15" i="37"/>
  <c r="CS16" i="37"/>
  <c r="CS17" i="37"/>
  <c r="CS18" i="37"/>
  <c r="CS19" i="37"/>
  <c r="CS20" i="37"/>
  <c r="CS21" i="37"/>
  <c r="CS22" i="37"/>
  <c r="CS23" i="37"/>
  <c r="CS24" i="37"/>
  <c r="CS25" i="37"/>
  <c r="CS26" i="37"/>
  <c r="CS27" i="37"/>
  <c r="CS28" i="37"/>
  <c r="CS29" i="37"/>
  <c r="CS30" i="37"/>
  <c r="CS31" i="37"/>
  <c r="CS32" i="37"/>
  <c r="CS33" i="37"/>
  <c r="CS34" i="37"/>
  <c r="CS35" i="37"/>
  <c r="CS36" i="37"/>
  <c r="CS37" i="37"/>
  <c r="CS38" i="37"/>
  <c r="CS39" i="37"/>
  <c r="CS40" i="37"/>
  <c r="CS41" i="37"/>
  <c r="CS42" i="37"/>
  <c r="CS43" i="37"/>
  <c r="CS44" i="37"/>
  <c r="CS45" i="37"/>
  <c r="CS46" i="37"/>
  <c r="CS47" i="37"/>
  <c r="CS48" i="37"/>
  <c r="CS49" i="37"/>
  <c r="CS50" i="37"/>
  <c r="CS51" i="37"/>
  <c r="CS52" i="37"/>
  <c r="CS53" i="37"/>
  <c r="CS54" i="37"/>
  <c r="CS55" i="37"/>
  <c r="CS56" i="37"/>
  <c r="CS57" i="37"/>
  <c r="CS3" i="37"/>
  <c r="CL4" i="37"/>
  <c r="CL5" i="37"/>
  <c r="CL6" i="37"/>
  <c r="CL7" i="37"/>
  <c r="CL8" i="37"/>
  <c r="CL9" i="37"/>
  <c r="CL10" i="37"/>
  <c r="CL11" i="37"/>
  <c r="CL12" i="37"/>
  <c r="CL13" i="37"/>
  <c r="CL14" i="37"/>
  <c r="CL15" i="37"/>
  <c r="CL16" i="37"/>
  <c r="CL17" i="37"/>
  <c r="CL18" i="37"/>
  <c r="CL19" i="37"/>
  <c r="CL20" i="37"/>
  <c r="CL21" i="37"/>
  <c r="CL22" i="37"/>
  <c r="CL23" i="37"/>
  <c r="CL24" i="37"/>
  <c r="CL25" i="37"/>
  <c r="CL26" i="37"/>
  <c r="CL27" i="37"/>
  <c r="CL28" i="37"/>
  <c r="CL29" i="37"/>
  <c r="CL30" i="37"/>
  <c r="CL31" i="37"/>
  <c r="CL32" i="37"/>
  <c r="CL33" i="37"/>
  <c r="CL34" i="37"/>
  <c r="CL35" i="37"/>
  <c r="CL36" i="37"/>
  <c r="CL37" i="37"/>
  <c r="CL38" i="37"/>
  <c r="CL39" i="37"/>
  <c r="CL40" i="37"/>
  <c r="CL41" i="37"/>
  <c r="CL42" i="37"/>
  <c r="CL43" i="37"/>
  <c r="CL44" i="37"/>
  <c r="CL3" i="37"/>
  <c r="CE4" i="37"/>
  <c r="CE5" i="37"/>
  <c r="CE6" i="37"/>
  <c r="CE7" i="37"/>
  <c r="CE8" i="37"/>
  <c r="CE9" i="37"/>
  <c r="CE10" i="37"/>
  <c r="CE11" i="37"/>
  <c r="CE12" i="37"/>
  <c r="CE13" i="37"/>
  <c r="CE14" i="37"/>
  <c r="CE15" i="37"/>
  <c r="CE16" i="37"/>
  <c r="CE17" i="37"/>
  <c r="CE18" i="37"/>
  <c r="CE19" i="37"/>
  <c r="CE20" i="37"/>
  <c r="CE21" i="37"/>
  <c r="CE22" i="37"/>
  <c r="CE23" i="37"/>
  <c r="CE24" i="37"/>
  <c r="CE25" i="37"/>
  <c r="CE26" i="37"/>
  <c r="CE27" i="37"/>
  <c r="CE28" i="37"/>
  <c r="CE29" i="37"/>
  <c r="CE30" i="37"/>
  <c r="CE31" i="37"/>
  <c r="CE32" i="37"/>
  <c r="CE33" i="37"/>
  <c r="CE34" i="37"/>
  <c r="CE35" i="37"/>
  <c r="CE36" i="37"/>
  <c r="CE37" i="37"/>
  <c r="CE38" i="37"/>
  <c r="CE39" i="37"/>
  <c r="CE40" i="37"/>
  <c r="CE41" i="37"/>
  <c r="CE42" i="37"/>
  <c r="CE43" i="37"/>
  <c r="CE44" i="37"/>
  <c r="CE45" i="37"/>
  <c r="CE46" i="37"/>
  <c r="CE47" i="37"/>
  <c r="CE3" i="37"/>
  <c r="BX4" i="37"/>
  <c r="BX5" i="37"/>
  <c r="BX6" i="37"/>
  <c r="BX7" i="37"/>
  <c r="BX8" i="37"/>
  <c r="BX9" i="37"/>
  <c r="BX10" i="37"/>
  <c r="BX11" i="37"/>
  <c r="BX12" i="37"/>
  <c r="BX13" i="37"/>
  <c r="BX14" i="37"/>
  <c r="BX15" i="37"/>
  <c r="BX16" i="37"/>
  <c r="BX17" i="37"/>
  <c r="BX3" i="37"/>
  <c r="BQ4" i="37"/>
  <c r="BQ5" i="37"/>
  <c r="BQ6" i="37"/>
  <c r="BQ7" i="37"/>
  <c r="BQ8" i="37"/>
  <c r="BQ9" i="37"/>
  <c r="BQ10" i="37"/>
  <c r="BQ11" i="37"/>
  <c r="BQ12" i="37"/>
  <c r="BQ13" i="37"/>
  <c r="BQ14" i="37"/>
  <c r="BQ15" i="37"/>
  <c r="BQ16" i="37"/>
  <c r="BQ17" i="37"/>
  <c r="BQ18" i="37"/>
  <c r="BQ19" i="37"/>
  <c r="BQ20" i="37"/>
  <c r="BQ21" i="37"/>
  <c r="BQ22" i="37"/>
  <c r="BQ23" i="37"/>
  <c r="BQ24" i="37"/>
  <c r="BQ25" i="37"/>
  <c r="BQ26" i="37"/>
  <c r="BQ27" i="37"/>
  <c r="BQ28" i="37"/>
  <c r="BQ29" i="37"/>
  <c r="BQ30" i="37"/>
  <c r="BQ31" i="37"/>
  <c r="BQ32" i="37"/>
  <c r="BQ33" i="37"/>
  <c r="BQ34" i="37"/>
  <c r="BQ35" i="37"/>
  <c r="BQ3" i="37"/>
  <c r="BJ4" i="37"/>
  <c r="BJ5" i="37"/>
  <c r="BJ6" i="37"/>
  <c r="BJ7" i="37"/>
  <c r="BJ8" i="37"/>
  <c r="BJ9" i="37"/>
  <c r="BJ10" i="37"/>
  <c r="BJ11" i="37"/>
  <c r="BJ12" i="37"/>
  <c r="BJ13" i="37"/>
  <c r="BJ14" i="37"/>
  <c r="BJ15" i="37"/>
  <c r="BJ16" i="37"/>
  <c r="BJ17" i="37"/>
  <c r="BJ18" i="37"/>
  <c r="BJ19" i="37"/>
  <c r="BJ20" i="37"/>
  <c r="BJ21" i="37"/>
  <c r="BJ22" i="37"/>
  <c r="BJ23" i="37"/>
  <c r="BJ24" i="37"/>
  <c r="BJ25" i="37"/>
  <c r="BJ26" i="37"/>
  <c r="BJ27" i="37"/>
  <c r="BJ28" i="37"/>
  <c r="BJ29" i="37"/>
  <c r="BJ30" i="37"/>
  <c r="BJ31" i="37"/>
  <c r="BJ32" i="37"/>
  <c r="BJ33" i="37"/>
  <c r="BJ34" i="37"/>
  <c r="BJ35" i="37"/>
  <c r="BJ36" i="37"/>
  <c r="BJ3" i="37"/>
  <c r="BC4" i="37"/>
  <c r="BC5" i="37"/>
  <c r="BC6" i="37"/>
  <c r="BC7" i="37"/>
  <c r="BC8" i="37"/>
  <c r="BC9" i="37"/>
  <c r="BC10" i="37"/>
  <c r="BC11" i="37"/>
  <c r="BC12" i="37"/>
  <c r="BC13" i="37"/>
  <c r="BC14" i="37"/>
  <c r="BC15" i="37"/>
  <c r="BC16" i="37"/>
  <c r="BC17" i="37"/>
  <c r="BC18" i="37"/>
  <c r="BC19" i="37"/>
  <c r="BC20" i="37"/>
  <c r="BC21" i="37"/>
  <c r="BC22" i="37"/>
  <c r="BC23" i="37"/>
  <c r="BC3" i="37"/>
  <c r="BC2" i="37"/>
  <c r="AV4" i="37"/>
  <c r="AV5" i="37"/>
  <c r="AV6" i="37"/>
  <c r="AV7" i="37"/>
  <c r="AV8" i="37"/>
  <c r="AV9" i="37"/>
  <c r="AV10" i="37"/>
  <c r="AV11" i="37"/>
  <c r="AV12" i="37"/>
  <c r="AV13" i="37"/>
  <c r="AV14" i="37"/>
  <c r="AV15" i="37"/>
  <c r="AV16" i="37"/>
  <c r="AV17" i="37"/>
  <c r="AV3" i="37"/>
  <c r="AV2" i="37"/>
  <c r="AO4" i="37"/>
  <c r="AO5" i="37"/>
  <c r="AO6" i="37"/>
  <c r="AO7" i="37"/>
  <c r="AO8" i="37"/>
  <c r="AO9" i="37"/>
  <c r="AO10" i="37"/>
  <c r="AO11" i="37"/>
  <c r="AO12" i="37"/>
  <c r="AO13" i="37"/>
  <c r="AO14" i="37"/>
  <c r="AO15" i="37"/>
  <c r="AO3" i="37"/>
  <c r="AO2" i="37"/>
  <c r="AH4" i="37"/>
  <c r="AH5" i="37"/>
  <c r="AH6" i="37"/>
  <c r="AH7" i="37"/>
  <c r="AH8" i="37"/>
  <c r="AH9" i="37"/>
  <c r="AH10" i="37"/>
  <c r="AH11" i="37"/>
  <c r="AH12" i="37"/>
  <c r="AH13" i="37"/>
  <c r="AH14" i="37"/>
  <c r="AH15" i="37"/>
  <c r="AH16" i="37"/>
  <c r="AH17" i="37"/>
  <c r="AH18" i="37"/>
  <c r="AH19" i="37"/>
  <c r="AH20" i="37"/>
  <c r="AH21" i="37"/>
  <c r="AH22" i="37"/>
  <c r="AH23" i="37"/>
  <c r="AH24" i="37"/>
  <c r="AH25" i="37"/>
  <c r="AH26" i="37"/>
  <c r="AH27" i="37"/>
  <c r="AH28" i="37"/>
  <c r="AH29" i="37"/>
  <c r="AH30" i="37"/>
  <c r="AH31" i="37"/>
  <c r="AH32" i="37"/>
  <c r="AH33" i="37"/>
  <c r="AH34" i="37"/>
  <c r="AH35" i="37"/>
  <c r="AH36" i="37"/>
  <c r="AH37" i="37"/>
  <c r="AH38" i="37"/>
  <c r="AH39" i="37"/>
  <c r="AH40" i="37"/>
  <c r="AH41" i="37"/>
  <c r="AH42" i="37"/>
  <c r="AH43" i="37"/>
  <c r="AH44" i="37"/>
  <c r="AH45" i="37"/>
  <c r="AH46" i="37"/>
  <c r="AH3" i="37"/>
  <c r="AH2" i="37"/>
  <c r="AA4" i="37"/>
  <c r="AA5" i="37"/>
  <c r="AA6" i="37"/>
  <c r="AA7" i="37"/>
  <c r="AA8" i="37"/>
  <c r="AA9" i="37"/>
  <c r="AA10" i="37"/>
  <c r="AA11" i="37"/>
  <c r="AA12" i="37"/>
  <c r="AA13" i="37"/>
  <c r="AA14" i="37"/>
  <c r="AA15" i="37"/>
  <c r="AA3" i="37"/>
  <c r="AA2" i="37"/>
  <c r="T4" i="37"/>
  <c r="T5" i="37"/>
  <c r="T6" i="37"/>
  <c r="T7" i="37"/>
  <c r="T8" i="37"/>
  <c r="T9" i="37"/>
  <c r="T10" i="37"/>
  <c r="T11" i="37"/>
  <c r="T12" i="37"/>
  <c r="T13" i="37"/>
  <c r="T14" i="37"/>
  <c r="T15" i="37"/>
  <c r="T16" i="37"/>
  <c r="T17" i="37"/>
  <c r="T18" i="37"/>
  <c r="T19" i="37"/>
  <c r="T20" i="37"/>
  <c r="T21" i="37"/>
  <c r="T22" i="37"/>
  <c r="T23" i="37"/>
  <c r="T2" i="37"/>
  <c r="M4" i="37"/>
  <c r="M5" i="37"/>
  <c r="M6" i="37"/>
  <c r="M7" i="37"/>
  <c r="M8" i="37"/>
  <c r="M9" i="37"/>
  <c r="M10" i="37"/>
  <c r="M11" i="37"/>
  <c r="M12" i="37"/>
  <c r="M13" i="37"/>
  <c r="M14" i="37"/>
  <c r="M15" i="37"/>
  <c r="M16" i="37"/>
  <c r="M17" i="37"/>
  <c r="M18" i="37"/>
  <c r="M19" i="37"/>
  <c r="M20" i="37"/>
  <c r="M21" i="37"/>
  <c r="M22" i="37"/>
  <c r="M23" i="37"/>
  <c r="M24" i="37"/>
  <c r="M25" i="37"/>
  <c r="M26" i="37"/>
  <c r="M27" i="37"/>
  <c r="M28" i="37"/>
  <c r="M29" i="37"/>
  <c r="M30" i="37"/>
  <c r="M31" i="37"/>
  <c r="M32" i="37"/>
  <c r="M33" i="37"/>
  <c r="M34" i="37"/>
  <c r="M35" i="37"/>
  <c r="M36" i="37"/>
  <c r="M37" i="37"/>
  <c r="M38" i="37"/>
  <c r="M39" i="37"/>
  <c r="M40" i="37"/>
  <c r="M41" i="37"/>
  <c r="M3" i="37"/>
  <c r="M2" i="37"/>
  <c r="F4" i="37"/>
  <c r="F5" i="37"/>
  <c r="F6" i="37"/>
  <c r="F7" i="37"/>
  <c r="F8" i="37"/>
  <c r="F9" i="37"/>
  <c r="F10" i="37"/>
  <c r="F11" i="37"/>
  <c r="F12" i="37"/>
  <c r="F13" i="37"/>
  <c r="F14" i="37"/>
  <c r="F15" i="37"/>
  <c r="F3" i="37"/>
  <c r="AG5" i="21"/>
  <c r="AF5" i="21"/>
  <c r="D29" i="2" l="1"/>
  <c r="H12" i="31"/>
  <c r="G2105" i="97" s="1"/>
  <c r="G12" i="31"/>
  <c r="G2092" i="97" s="1"/>
  <c r="G15" i="31" l="1"/>
  <c r="G2094" i="97" s="1"/>
  <c r="G34" i="7"/>
  <c r="G303" i="97" s="1"/>
  <c r="J8" i="6"/>
  <c r="G216" i="97" s="1"/>
  <c r="G21" i="31" l="1"/>
  <c r="G2099" i="97" s="1"/>
  <c r="K8" i="6"/>
  <c r="G250" i="97" s="1"/>
  <c r="H1" i="26"/>
  <c r="J1" i="15"/>
  <c r="P7" i="15"/>
  <c r="M27" i="14" l="1"/>
  <c r="G1049" i="97" s="1"/>
  <c r="L27" i="14"/>
  <c r="G1033" i="97" s="1"/>
  <c r="K27" i="14"/>
  <c r="G1017" i="97" s="1"/>
  <c r="I27" i="14"/>
  <c r="G985" i="97" s="1"/>
  <c r="H27" i="14"/>
  <c r="G969" i="97" s="1"/>
  <c r="G27" i="14"/>
  <c r="G953" i="97" s="1"/>
  <c r="AF27" i="14" l="1"/>
  <c r="AD27" i="14"/>
  <c r="AG27" i="14"/>
  <c r="AB27" i="14"/>
  <c r="AC27" i="14"/>
  <c r="AH27" i="14"/>
  <c r="R60" i="21"/>
  <c r="R59" i="21"/>
  <c r="R57" i="21"/>
  <c r="R56" i="21"/>
  <c r="R55" i="21"/>
  <c r="R54" i="21"/>
  <c r="R53" i="21"/>
  <c r="R52" i="21"/>
  <c r="R51" i="21"/>
  <c r="R50" i="21"/>
  <c r="R49" i="21"/>
  <c r="R48" i="21"/>
  <c r="R47" i="21"/>
  <c r="R46" i="21"/>
  <c r="R45" i="21"/>
  <c r="R44" i="21"/>
  <c r="R43" i="21"/>
  <c r="R42" i="21"/>
  <c r="R41" i="21"/>
  <c r="R40" i="21"/>
  <c r="R39" i="21"/>
  <c r="R38" i="21"/>
  <c r="R37" i="21"/>
  <c r="R36" i="21"/>
  <c r="R35" i="21"/>
  <c r="R34" i="21"/>
  <c r="R33" i="21"/>
  <c r="R32" i="21"/>
  <c r="R31" i="21"/>
  <c r="R30" i="21"/>
  <c r="R29" i="21"/>
  <c r="R28" i="21"/>
  <c r="R27" i="21"/>
  <c r="R26" i="21"/>
  <c r="R25" i="21"/>
  <c r="R24" i="21"/>
  <c r="R23" i="21"/>
  <c r="R22" i="21"/>
  <c r="R21" i="21"/>
  <c r="R20" i="21"/>
  <c r="R19" i="21"/>
  <c r="R18" i="21"/>
  <c r="R17" i="21"/>
  <c r="R16" i="21"/>
  <c r="R15" i="21"/>
  <c r="R14" i="21"/>
  <c r="R13" i="21"/>
  <c r="R12" i="21"/>
  <c r="R11" i="21"/>
  <c r="R10" i="21"/>
  <c r="R9" i="21"/>
  <c r="R8" i="21"/>
  <c r="R7" i="21"/>
  <c r="J14" i="31"/>
  <c r="G2132" i="97" s="1"/>
  <c r="I15" i="31"/>
  <c r="G2120" i="97" s="1"/>
  <c r="H15" i="31"/>
  <c r="G2107" i="97" s="1"/>
  <c r="X17" i="31"/>
  <c r="U17" i="31"/>
  <c r="X14" i="31"/>
  <c r="U14" i="31"/>
  <c r="N17" i="31"/>
  <c r="G2186" i="97" s="1"/>
  <c r="J17" i="31"/>
  <c r="G2134" i="97" s="1"/>
  <c r="N14" i="31"/>
  <c r="G2184" i="97" s="1"/>
  <c r="L14" i="34"/>
  <c r="G2422" i="97" s="1"/>
  <c r="K14" i="34"/>
  <c r="G2398" i="97" s="1"/>
  <c r="I14" i="34"/>
  <c r="G2350" i="97" s="1"/>
  <c r="H14" i="34"/>
  <c r="G2326" i="97" s="1"/>
  <c r="J13" i="34"/>
  <c r="G2373" i="97" s="1"/>
  <c r="J12" i="34"/>
  <c r="G2372" i="97" s="1"/>
  <c r="J11" i="34"/>
  <c r="G2371" i="97" s="1"/>
  <c r="J9" i="34"/>
  <c r="G2369" i="97" s="1"/>
  <c r="H21" i="31" l="1"/>
  <c r="G2112" i="97" s="1"/>
  <c r="I21" i="31"/>
  <c r="G2125" i="97" s="1"/>
  <c r="R13" i="34"/>
  <c r="R12" i="34"/>
  <c r="R9" i="34"/>
  <c r="R11" i="34"/>
  <c r="R10" i="34"/>
  <c r="O17" i="31"/>
  <c r="G2199" i="97" s="1"/>
  <c r="X49" i="29"/>
  <c r="W49" i="29"/>
  <c r="V49" i="29"/>
  <c r="U49" i="29"/>
  <c r="T49" i="29"/>
  <c r="S49" i="29"/>
  <c r="Q10" i="27"/>
  <c r="Q16" i="27"/>
  <c r="G16" i="13" l="1"/>
  <c r="G909" i="97" s="1"/>
  <c r="P49" i="29"/>
  <c r="O50" i="19"/>
  <c r="O49" i="19"/>
  <c r="Q37" i="19"/>
  <c r="L37" i="19" s="1"/>
  <c r="H51" i="19"/>
  <c r="G1490" i="97" s="1"/>
  <c r="P15" i="15"/>
  <c r="L15" i="15" s="1"/>
  <c r="J51" i="19" l="1"/>
  <c r="G1528" i="97" s="1"/>
  <c r="Q17" i="31"/>
  <c r="I28" i="18"/>
  <c r="G1436" i="97" s="1"/>
  <c r="I27" i="18"/>
  <c r="G1435" i="97" s="1"/>
  <c r="I26" i="18"/>
  <c r="G1434" i="97" s="1"/>
  <c r="I25" i="18"/>
  <c r="G1433" i="97" s="1"/>
  <c r="I24" i="18"/>
  <c r="G1432" i="97" s="1"/>
  <c r="I23" i="18"/>
  <c r="G1431" i="97" s="1"/>
  <c r="I22" i="18"/>
  <c r="G1430" i="97" s="1"/>
  <c r="I21" i="18"/>
  <c r="G1429" i="97" s="1"/>
  <c r="I20" i="18"/>
  <c r="G1428" i="97" s="1"/>
  <c r="I19" i="18"/>
  <c r="G1427" i="97" s="1"/>
  <c r="I18" i="18"/>
  <c r="G1426" i="97" s="1"/>
  <c r="I17" i="18"/>
  <c r="G1425" i="97" s="1"/>
  <c r="I16" i="18"/>
  <c r="G1424" i="97" s="1"/>
  <c r="I15" i="18"/>
  <c r="G1423" i="97" s="1"/>
  <c r="I14" i="18"/>
  <c r="G1422" i="97" s="1"/>
  <c r="I13" i="18"/>
  <c r="G1421" i="97" s="1"/>
  <c r="I12" i="18"/>
  <c r="G1420" i="97" s="1"/>
  <c r="I11" i="18"/>
  <c r="G1419" i="97" s="1"/>
  <c r="I10" i="18"/>
  <c r="G1418" i="97" s="1"/>
  <c r="I9" i="18"/>
  <c r="G1417" i="97" s="1"/>
  <c r="I6" i="18"/>
  <c r="G1416" i="97" s="1"/>
  <c r="I26" i="17"/>
  <c r="G1310" i="97" s="1"/>
  <c r="I25" i="17"/>
  <c r="G1309" i="97" s="1"/>
  <c r="I24" i="17"/>
  <c r="G1308" i="97" s="1"/>
  <c r="I23" i="17"/>
  <c r="G1307" i="97" s="1"/>
  <c r="I22" i="17"/>
  <c r="G1306" i="97" s="1"/>
  <c r="I21" i="17"/>
  <c r="G1305" i="97" s="1"/>
  <c r="I20" i="17"/>
  <c r="G1304" i="97" s="1"/>
  <c r="I19" i="17"/>
  <c r="G1303" i="97" s="1"/>
  <c r="I18" i="17"/>
  <c r="G1302" i="97" s="1"/>
  <c r="I17" i="17"/>
  <c r="G1301" i="97" s="1"/>
  <c r="I16" i="17"/>
  <c r="G1300" i="97" s="1"/>
  <c r="I15" i="17"/>
  <c r="G1299" i="97" s="1"/>
  <c r="I14" i="17"/>
  <c r="G1298" i="97" s="1"/>
  <c r="I13" i="17"/>
  <c r="G1297" i="97" s="1"/>
  <c r="I12" i="17"/>
  <c r="G1296" i="97" s="1"/>
  <c r="I11" i="17"/>
  <c r="G1295" i="97" s="1"/>
  <c r="I10" i="17"/>
  <c r="G1294" i="97" s="1"/>
  <c r="I9" i="17"/>
  <c r="G1293" i="97" s="1"/>
  <c r="I6" i="17"/>
  <c r="G1292" i="97" s="1"/>
  <c r="E30" i="17"/>
  <c r="G1224" i="97" s="1"/>
  <c r="Q8" i="16" l="1"/>
  <c r="Q5" i="16"/>
  <c r="Z18" i="14"/>
  <c r="Y18" i="14"/>
  <c r="U26" i="14"/>
  <c r="U25" i="14"/>
  <c r="U18" i="14"/>
  <c r="U16" i="14"/>
  <c r="U15" i="14"/>
  <c r="U11" i="14"/>
  <c r="U9" i="14"/>
  <c r="U8" i="14"/>
  <c r="U7" i="14"/>
  <c r="Z11" i="14"/>
  <c r="Y11" i="14"/>
  <c r="T11" i="14"/>
  <c r="N11" i="14"/>
  <c r="G1054" i="97" s="1"/>
  <c r="N27" i="14"/>
  <c r="G1065" i="97" s="1"/>
  <c r="Z26" i="14"/>
  <c r="Y26" i="14"/>
  <c r="T26" i="14"/>
  <c r="N26" i="14"/>
  <c r="G1064" i="97" s="1"/>
  <c r="Z25" i="14"/>
  <c r="Y25" i="14"/>
  <c r="T25" i="14"/>
  <c r="N25" i="14"/>
  <c r="G1063" i="97" s="1"/>
  <c r="O17" i="13" l="1"/>
  <c r="K17" i="13" s="1"/>
  <c r="Y16" i="11"/>
  <c r="X16" i="11"/>
  <c r="Y15" i="11"/>
  <c r="X15" i="11"/>
  <c r="Y11" i="11"/>
  <c r="X11" i="11"/>
  <c r="Y10" i="11"/>
  <c r="X10" i="11"/>
  <c r="W10" i="11"/>
  <c r="V10" i="11"/>
  <c r="Y7" i="11"/>
  <c r="Y6" i="11"/>
  <c r="J27" i="12"/>
  <c r="G854" i="97" s="1"/>
  <c r="I14" i="12"/>
  <c r="G820" i="97" s="1"/>
  <c r="H14" i="12"/>
  <c r="G796" i="97" s="1"/>
  <c r="I27" i="12" l="1"/>
  <c r="G830" i="97" s="1"/>
  <c r="H27" i="12"/>
  <c r="G806" i="97" s="1"/>
  <c r="H17" i="12"/>
  <c r="G798" i="97" s="1"/>
  <c r="I17" i="12"/>
  <c r="G822" i="97" s="1"/>
  <c r="N15" i="11"/>
  <c r="G741" i="97" s="1"/>
  <c r="N16" i="11"/>
  <c r="G742" i="97" s="1"/>
  <c r="P16" i="11" l="1"/>
  <c r="G761" i="97" s="1"/>
  <c r="P15" i="11"/>
  <c r="G760" i="97" s="1"/>
  <c r="I32" i="12"/>
  <c r="G832" i="97" s="1"/>
  <c r="H32" i="12"/>
  <c r="G808" i="97" s="1"/>
  <c r="L8" i="11"/>
  <c r="G724" i="97" s="1"/>
  <c r="J8" i="11"/>
  <c r="G707" i="97" s="1"/>
  <c r="B41" i="23"/>
  <c r="G30" i="23"/>
  <c r="H30" i="23"/>
  <c r="V6" i="23"/>
  <c r="W6" i="23"/>
  <c r="X6" i="23"/>
  <c r="Y6" i="23"/>
  <c r="V7" i="23"/>
  <c r="W7" i="23"/>
  <c r="X7" i="23"/>
  <c r="Y7" i="23"/>
  <c r="V8" i="23"/>
  <c r="W8" i="23"/>
  <c r="X8" i="23"/>
  <c r="Y8" i="23"/>
  <c r="V9" i="23"/>
  <c r="W9" i="23"/>
  <c r="X9" i="23"/>
  <c r="Y9" i="23"/>
  <c r="V10" i="23"/>
  <c r="W10" i="23"/>
  <c r="X10" i="23"/>
  <c r="Y10" i="23"/>
  <c r="V11" i="23"/>
  <c r="W11" i="23"/>
  <c r="X11" i="23"/>
  <c r="Y11" i="23"/>
  <c r="V12" i="23"/>
  <c r="W12" i="23"/>
  <c r="X12" i="23"/>
  <c r="Y12" i="23"/>
  <c r="V13" i="23"/>
  <c r="W13" i="23"/>
  <c r="X13" i="23"/>
  <c r="Y13" i="23"/>
  <c r="V14" i="23"/>
  <c r="W14" i="23"/>
  <c r="X14" i="23"/>
  <c r="Y14" i="23"/>
  <c r="V15" i="23"/>
  <c r="W15" i="23"/>
  <c r="X15" i="23"/>
  <c r="Y15" i="23"/>
  <c r="V16" i="23"/>
  <c r="W16" i="23"/>
  <c r="X16" i="23"/>
  <c r="Y16" i="23"/>
  <c r="V17" i="23"/>
  <c r="W17" i="23"/>
  <c r="X17" i="23"/>
  <c r="Y17" i="23"/>
  <c r="V18" i="23"/>
  <c r="W18" i="23"/>
  <c r="X18" i="23"/>
  <c r="Y18" i="23"/>
  <c r="V19" i="23"/>
  <c r="W19" i="23"/>
  <c r="X19" i="23"/>
  <c r="Y19" i="23"/>
  <c r="V20" i="23"/>
  <c r="W20" i="23"/>
  <c r="X20" i="23"/>
  <c r="Y20" i="23"/>
  <c r="V21" i="23"/>
  <c r="W21" i="23"/>
  <c r="X21" i="23"/>
  <c r="Y21" i="23"/>
  <c r="V22" i="23"/>
  <c r="W22" i="23"/>
  <c r="X22" i="23"/>
  <c r="Y22" i="23"/>
  <c r="V23" i="23"/>
  <c r="W23" i="23"/>
  <c r="X23" i="23"/>
  <c r="Y23" i="23"/>
  <c r="V24" i="23"/>
  <c r="W24" i="23"/>
  <c r="X24" i="23"/>
  <c r="Y24" i="23"/>
  <c r="V25" i="23"/>
  <c r="W25" i="23"/>
  <c r="X25" i="23"/>
  <c r="Y25" i="23"/>
  <c r="V26" i="23"/>
  <c r="W26" i="23"/>
  <c r="X26" i="23"/>
  <c r="Y26" i="23"/>
  <c r="V27" i="23"/>
  <c r="W27" i="23"/>
  <c r="X27" i="23"/>
  <c r="Y27" i="23"/>
  <c r="V28" i="23"/>
  <c r="W28" i="23"/>
  <c r="X28" i="23"/>
  <c r="Y28" i="23"/>
  <c r="V29" i="23"/>
  <c r="W29" i="23"/>
  <c r="X29" i="23"/>
  <c r="Y29" i="23"/>
  <c r="W5" i="23"/>
  <c r="X5" i="23"/>
  <c r="Y5" i="23"/>
  <c r="V5" i="23"/>
  <c r="P6" i="23"/>
  <c r="Q6" i="23"/>
  <c r="R6" i="23"/>
  <c r="S6" i="23"/>
  <c r="P7" i="23"/>
  <c r="Q7" i="23"/>
  <c r="R7" i="23"/>
  <c r="S7" i="23"/>
  <c r="P8" i="23"/>
  <c r="Q8" i="23"/>
  <c r="R8" i="23"/>
  <c r="S8" i="23"/>
  <c r="P9" i="23"/>
  <c r="Q9" i="23"/>
  <c r="R9" i="23"/>
  <c r="S9" i="23"/>
  <c r="P10" i="23"/>
  <c r="Q10" i="23"/>
  <c r="R10" i="23"/>
  <c r="S10" i="23"/>
  <c r="P11" i="23"/>
  <c r="Q11" i="23"/>
  <c r="R11" i="23"/>
  <c r="S11" i="23"/>
  <c r="P12" i="23"/>
  <c r="Q12" i="23"/>
  <c r="R12" i="23"/>
  <c r="S12" i="23"/>
  <c r="P13" i="23"/>
  <c r="Q13" i="23"/>
  <c r="R13" i="23"/>
  <c r="S13" i="23"/>
  <c r="P14" i="23"/>
  <c r="Q14" i="23"/>
  <c r="R14" i="23"/>
  <c r="S14" i="23"/>
  <c r="P15" i="23"/>
  <c r="Q15" i="23"/>
  <c r="R15" i="23"/>
  <c r="S15" i="23"/>
  <c r="P16" i="23"/>
  <c r="Q16" i="23"/>
  <c r="R16" i="23"/>
  <c r="S16" i="23"/>
  <c r="P17" i="23"/>
  <c r="Q17" i="23"/>
  <c r="R17" i="23"/>
  <c r="S17" i="23"/>
  <c r="P18" i="23"/>
  <c r="Q18" i="23"/>
  <c r="R18" i="23"/>
  <c r="S18" i="23"/>
  <c r="P19" i="23"/>
  <c r="Q19" i="23"/>
  <c r="R19" i="23"/>
  <c r="S19" i="23"/>
  <c r="P20" i="23"/>
  <c r="Q20" i="23"/>
  <c r="R20" i="23"/>
  <c r="S20" i="23"/>
  <c r="P21" i="23"/>
  <c r="Q21" i="23"/>
  <c r="R21" i="23"/>
  <c r="S21" i="23"/>
  <c r="P22" i="23"/>
  <c r="Q22" i="23"/>
  <c r="R22" i="23"/>
  <c r="S22" i="23"/>
  <c r="P23" i="23"/>
  <c r="Q23" i="23"/>
  <c r="R23" i="23"/>
  <c r="S23" i="23"/>
  <c r="P24" i="23"/>
  <c r="Q24" i="23"/>
  <c r="R24" i="23"/>
  <c r="S24" i="23"/>
  <c r="P25" i="23"/>
  <c r="Q25" i="23"/>
  <c r="R25" i="23"/>
  <c r="S25" i="23"/>
  <c r="P26" i="23"/>
  <c r="Q26" i="23"/>
  <c r="R26" i="23"/>
  <c r="S26" i="23"/>
  <c r="P27" i="23"/>
  <c r="Q27" i="23"/>
  <c r="R27" i="23"/>
  <c r="S27" i="23"/>
  <c r="P28" i="23"/>
  <c r="Q28" i="23"/>
  <c r="R28" i="23"/>
  <c r="S28" i="23"/>
  <c r="P29" i="23"/>
  <c r="Q29" i="23"/>
  <c r="R29" i="23"/>
  <c r="S29" i="23"/>
  <c r="Q5" i="23"/>
  <c r="R5" i="23"/>
  <c r="S5" i="23"/>
  <c r="P5" i="23"/>
  <c r="I39" i="12" l="1"/>
  <c r="G835" i="97" s="1"/>
  <c r="C31" i="2"/>
  <c r="D31" i="2"/>
  <c r="L6" i="23"/>
  <c r="K28" i="23"/>
  <c r="K25" i="23"/>
  <c r="K22" i="23"/>
  <c r="K20" i="23"/>
  <c r="K17" i="23"/>
  <c r="K16" i="23"/>
  <c r="K14" i="23"/>
  <c r="K12" i="23"/>
  <c r="K11" i="23"/>
  <c r="K10" i="23"/>
  <c r="K9" i="23"/>
  <c r="K8" i="23"/>
  <c r="K7" i="23"/>
  <c r="K6" i="23"/>
  <c r="K29" i="23"/>
  <c r="K26" i="23"/>
  <c r="K23" i="23"/>
  <c r="K19" i="23"/>
  <c r="K13" i="23"/>
  <c r="L5" i="23"/>
  <c r="K5" i="23"/>
  <c r="K27" i="23"/>
  <c r="K24" i="23"/>
  <c r="K21" i="23"/>
  <c r="K18" i="23"/>
  <c r="K15" i="23"/>
  <c r="L21" i="23"/>
  <c r="L20" i="23"/>
  <c r="L18" i="23"/>
  <c r="L14" i="23"/>
  <c r="L15" i="23"/>
  <c r="L29" i="23"/>
  <c r="L28" i="23"/>
  <c r="L27" i="23"/>
  <c r="L26" i="23"/>
  <c r="L25" i="23"/>
  <c r="L24" i="23"/>
  <c r="L23" i="23"/>
  <c r="L22" i="23"/>
  <c r="L19" i="23"/>
  <c r="L17" i="23"/>
  <c r="L16" i="23"/>
  <c r="L13" i="23"/>
  <c r="L12" i="23"/>
  <c r="L11" i="23"/>
  <c r="L10" i="23"/>
  <c r="L9" i="23"/>
  <c r="L8" i="23"/>
  <c r="L7" i="23"/>
  <c r="H39" i="12"/>
  <c r="G811" i="97" s="1"/>
  <c r="B32" i="2"/>
  <c r="P12" i="24"/>
  <c r="H12" i="24" s="1"/>
  <c r="N8" i="24"/>
  <c r="H8" i="24" s="1"/>
  <c r="N9" i="24"/>
  <c r="H9" i="24" s="1"/>
  <c r="N10" i="24"/>
  <c r="H10" i="24" s="1"/>
  <c r="N7" i="24"/>
  <c r="L12" i="24"/>
  <c r="I12" i="24" s="1"/>
  <c r="L8" i="24"/>
  <c r="I8" i="24" s="1"/>
  <c r="L9" i="24"/>
  <c r="I9" i="24" s="1"/>
  <c r="L10" i="24"/>
  <c r="I10" i="24" s="1"/>
  <c r="L7" i="24"/>
  <c r="D1" i="24"/>
  <c r="D32" i="2" l="1"/>
  <c r="I7" i="24"/>
  <c r="C32" i="2"/>
  <c r="H7" i="24"/>
  <c r="F14" i="24"/>
  <c r="G1567" i="97" s="1"/>
  <c r="CZ4" i="39" l="1"/>
  <c r="CZ5" i="39"/>
  <c r="CZ6" i="39"/>
  <c r="CZ7" i="39"/>
  <c r="CZ8" i="39"/>
  <c r="CZ9" i="39"/>
  <c r="CZ10" i="39"/>
  <c r="CZ11" i="39"/>
  <c r="CZ12" i="39"/>
  <c r="CZ13" i="39"/>
  <c r="CZ14" i="39"/>
  <c r="CZ15" i="39"/>
  <c r="CZ16" i="39"/>
  <c r="CZ17" i="39"/>
  <c r="CZ18" i="39"/>
  <c r="CZ19" i="39"/>
  <c r="CZ20" i="39"/>
  <c r="CZ21" i="39"/>
  <c r="CZ22" i="39"/>
  <c r="CZ23" i="39"/>
  <c r="CZ24" i="39"/>
  <c r="CZ25" i="39"/>
  <c r="CZ26" i="39"/>
  <c r="CN4" i="39"/>
  <c r="CN5" i="39"/>
  <c r="CN6" i="39"/>
  <c r="CN7" i="39"/>
  <c r="CN8" i="39"/>
  <c r="CN9" i="39"/>
  <c r="CN10" i="39"/>
  <c r="CN11" i="39"/>
  <c r="CN12" i="39"/>
  <c r="CN13" i="39"/>
  <c r="CN14" i="39"/>
  <c r="CN15" i="39"/>
  <c r="CN16" i="39"/>
  <c r="CN17" i="39"/>
  <c r="CN18" i="39"/>
  <c r="CN19" i="39"/>
  <c r="CN20" i="39"/>
  <c r="CN21" i="39"/>
  <c r="CN22" i="39"/>
  <c r="CN23" i="39"/>
  <c r="CN24" i="39"/>
  <c r="CZ3" i="39"/>
  <c r="CH4" i="39"/>
  <c r="CH5" i="39"/>
  <c r="CH6" i="39"/>
  <c r="CH7" i="39"/>
  <c r="CH8" i="39"/>
  <c r="CH9" i="39"/>
  <c r="CH10" i="39"/>
  <c r="CH11" i="39"/>
  <c r="CH12" i="39"/>
  <c r="CH13" i="39"/>
  <c r="CH14" i="39"/>
  <c r="CH15" i="39"/>
  <c r="CH16" i="39"/>
  <c r="CH17" i="39"/>
  <c r="CH18" i="39"/>
  <c r="CH19" i="39"/>
  <c r="CH20" i="39"/>
  <c r="CH21" i="39"/>
  <c r="CH22" i="39"/>
  <c r="CH23" i="39"/>
  <c r="CH24" i="39"/>
  <c r="CH25" i="39"/>
  <c r="CH26" i="39"/>
  <c r="CH27" i="39"/>
  <c r="CH28" i="39"/>
  <c r="CH29" i="39"/>
  <c r="CH30" i="39"/>
  <c r="CH31" i="39"/>
  <c r="CH32" i="39"/>
  <c r="CH33" i="39"/>
  <c r="CH34" i="39"/>
  <c r="CH35" i="39"/>
  <c r="CH36" i="39"/>
  <c r="CH37" i="39"/>
  <c r="CH38" i="39"/>
  <c r="CH39" i="39"/>
  <c r="CH40" i="39"/>
  <c r="CH41" i="39"/>
  <c r="CH42" i="39"/>
  <c r="CN3" i="39"/>
  <c r="CB4" i="39"/>
  <c r="CB5" i="39"/>
  <c r="CB6" i="39"/>
  <c r="CB7" i="39"/>
  <c r="CB8" i="39"/>
  <c r="CB9" i="39"/>
  <c r="CB10" i="39"/>
  <c r="CB11" i="39"/>
  <c r="CB12" i="39"/>
  <c r="CB13" i="39"/>
  <c r="CB14" i="39"/>
  <c r="CB15" i="39"/>
  <c r="CB16" i="39"/>
  <c r="CB17" i="39"/>
  <c r="CB18" i="39"/>
  <c r="CB19" i="39"/>
  <c r="CB20" i="39"/>
  <c r="CB21" i="39"/>
  <c r="CB22" i="39"/>
  <c r="CB23" i="39"/>
  <c r="CB24" i="39"/>
  <c r="CB25" i="39"/>
  <c r="CB26" i="39"/>
  <c r="CH3" i="39"/>
  <c r="BV4" i="39"/>
  <c r="BV5" i="39"/>
  <c r="BV6" i="39"/>
  <c r="BV7" i="39"/>
  <c r="BV8" i="39"/>
  <c r="BV9" i="39"/>
  <c r="BV10" i="39"/>
  <c r="BV11" i="39"/>
  <c r="BV12" i="39"/>
  <c r="BV13" i="39"/>
  <c r="BV14" i="39"/>
  <c r="BV15" i="39"/>
  <c r="BV16" i="39"/>
  <c r="BV17" i="39"/>
  <c r="BV18" i="39"/>
  <c r="BV19" i="39"/>
  <c r="BV20" i="39"/>
  <c r="BV21" i="39"/>
  <c r="BV22" i="39"/>
  <c r="BV23" i="39"/>
  <c r="BV24" i="39"/>
  <c r="BV25" i="39"/>
  <c r="BV26" i="39"/>
  <c r="CB3" i="39"/>
  <c r="BP4" i="39"/>
  <c r="BP5" i="39"/>
  <c r="BP6" i="39"/>
  <c r="BP7" i="39"/>
  <c r="BP8" i="39"/>
  <c r="BP9" i="39"/>
  <c r="BP10" i="39"/>
  <c r="BP11" i="39"/>
  <c r="BP12" i="39"/>
  <c r="BV3" i="39"/>
  <c r="BJ4" i="39"/>
  <c r="BJ5" i="39"/>
  <c r="BJ6" i="39"/>
  <c r="BJ7" i="39"/>
  <c r="BJ8" i="39"/>
  <c r="BJ9" i="39"/>
  <c r="BJ10" i="39"/>
  <c r="BJ11" i="39"/>
  <c r="BJ12" i="39"/>
  <c r="BJ13" i="39"/>
  <c r="BJ14" i="39"/>
  <c r="BP3" i="39"/>
  <c r="BD4" i="39"/>
  <c r="BD5" i="39"/>
  <c r="BD6" i="39"/>
  <c r="BD7" i="39"/>
  <c r="BD8" i="39"/>
  <c r="BD9" i="39"/>
  <c r="BD10" i="39"/>
  <c r="BD11" i="39"/>
  <c r="BD12" i="39"/>
  <c r="BJ3" i="39"/>
  <c r="AX4" i="39"/>
  <c r="AX5" i="39"/>
  <c r="AX6" i="39"/>
  <c r="AX7" i="39"/>
  <c r="BD3" i="39"/>
  <c r="AL4" i="39"/>
  <c r="AL5" i="39"/>
  <c r="AL6" i="39"/>
  <c r="AL7" i="39"/>
  <c r="AL8" i="39"/>
  <c r="AL9" i="39"/>
  <c r="AL10" i="39"/>
  <c r="AL11" i="39"/>
  <c r="AL12" i="39"/>
  <c r="AL13" i="39"/>
  <c r="AX3" i="39"/>
  <c r="N4" i="39"/>
  <c r="N5" i="39"/>
  <c r="N6" i="39"/>
  <c r="N7" i="39"/>
  <c r="N8" i="39"/>
  <c r="AL3" i="39"/>
  <c r="H4" i="39"/>
  <c r="H5" i="39"/>
  <c r="H6" i="39"/>
  <c r="H7" i="39"/>
  <c r="H8" i="39"/>
  <c r="H9" i="39"/>
  <c r="H10" i="39"/>
  <c r="H11" i="39"/>
  <c r="H12" i="39"/>
  <c r="H13" i="39"/>
  <c r="H14" i="39"/>
  <c r="H15" i="39"/>
  <c r="H16" i="39"/>
  <c r="H17" i="39"/>
  <c r="H18" i="39"/>
  <c r="H19" i="39"/>
  <c r="N3" i="39"/>
  <c r="H3" i="39"/>
  <c r="F1" i="22" l="1"/>
  <c r="CY25" i="39"/>
  <c r="DA25" i="39"/>
  <c r="DB25" i="39"/>
  <c r="DC25" i="39"/>
  <c r="CY26" i="39"/>
  <c r="DA26" i="39"/>
  <c r="DB26" i="39"/>
  <c r="DC26" i="39"/>
  <c r="CY16" i="39"/>
  <c r="DA16" i="39"/>
  <c r="DB16" i="39"/>
  <c r="DC16" i="39"/>
  <c r="CY17" i="39"/>
  <c r="DA17" i="39"/>
  <c r="DB17" i="39"/>
  <c r="DC17" i="39"/>
  <c r="CY18" i="39"/>
  <c r="DA18" i="39"/>
  <c r="DB18" i="39"/>
  <c r="DC18" i="39"/>
  <c r="CY19" i="39"/>
  <c r="DA19" i="39"/>
  <c r="DB19" i="39"/>
  <c r="DC19" i="39"/>
  <c r="CY20" i="39"/>
  <c r="DA20" i="39"/>
  <c r="DB20" i="39"/>
  <c r="DC20" i="39"/>
  <c r="CY21" i="39"/>
  <c r="DA21" i="39"/>
  <c r="DB21" i="39"/>
  <c r="DC21" i="39"/>
  <c r="CY22" i="39"/>
  <c r="DA22" i="39"/>
  <c r="DB22" i="39"/>
  <c r="DC22" i="39"/>
  <c r="CY23" i="39"/>
  <c r="DA23" i="39"/>
  <c r="DB23" i="39"/>
  <c r="DC23" i="39"/>
  <c r="CY24" i="39"/>
  <c r="DA24" i="39"/>
  <c r="DB24" i="39"/>
  <c r="DC24" i="39"/>
  <c r="CY5" i="39"/>
  <c r="DA5" i="39"/>
  <c r="DB5" i="39"/>
  <c r="DC5" i="39"/>
  <c r="CY6" i="39"/>
  <c r="DA6" i="39"/>
  <c r="DB6" i="39"/>
  <c r="DC6" i="39"/>
  <c r="CY7" i="39"/>
  <c r="DA7" i="39"/>
  <c r="DB7" i="39"/>
  <c r="DC7" i="39"/>
  <c r="CY8" i="39"/>
  <c r="DA8" i="39"/>
  <c r="DB8" i="39"/>
  <c r="DC8" i="39"/>
  <c r="CY9" i="39"/>
  <c r="DA9" i="39"/>
  <c r="DB9" i="39"/>
  <c r="DC9" i="39"/>
  <c r="CY10" i="39"/>
  <c r="DA10" i="39"/>
  <c r="DB10" i="39"/>
  <c r="DC10" i="39"/>
  <c r="CY11" i="39"/>
  <c r="DA11" i="39"/>
  <c r="DB11" i="39"/>
  <c r="DC11" i="39"/>
  <c r="CY12" i="39"/>
  <c r="DA12" i="39"/>
  <c r="DB12" i="39"/>
  <c r="DC12" i="39"/>
  <c r="CY13" i="39"/>
  <c r="DA13" i="39"/>
  <c r="DB13" i="39"/>
  <c r="DC13" i="39"/>
  <c r="CY14" i="39"/>
  <c r="DA14" i="39"/>
  <c r="DB14" i="39"/>
  <c r="DC14" i="39"/>
  <c r="CY15" i="39"/>
  <c r="DA15" i="39"/>
  <c r="DB15" i="39"/>
  <c r="DC15" i="39"/>
  <c r="CM19" i="39"/>
  <c r="CO19" i="39"/>
  <c r="CP19" i="39"/>
  <c r="CQ19" i="39"/>
  <c r="CM20" i="39"/>
  <c r="CO20" i="39"/>
  <c r="CP20" i="39"/>
  <c r="CQ20" i="39"/>
  <c r="CM21" i="39"/>
  <c r="CO21" i="39"/>
  <c r="CP21" i="39"/>
  <c r="CQ21" i="39"/>
  <c r="CM22" i="39"/>
  <c r="CO22" i="39"/>
  <c r="CP22" i="39"/>
  <c r="CQ22" i="39"/>
  <c r="CM23" i="39"/>
  <c r="CO23" i="39"/>
  <c r="CP23" i="39"/>
  <c r="CQ23" i="39"/>
  <c r="CM24" i="39"/>
  <c r="CO24" i="39"/>
  <c r="CP24" i="39"/>
  <c r="CQ24" i="39"/>
  <c r="CY3" i="39"/>
  <c r="DA3" i="39"/>
  <c r="DB3" i="39"/>
  <c r="DC3" i="39"/>
  <c r="CY4" i="39"/>
  <c r="DA4" i="39"/>
  <c r="DB4" i="39"/>
  <c r="DC4" i="39"/>
  <c r="CM10" i="39"/>
  <c r="CO10" i="39"/>
  <c r="CP10" i="39"/>
  <c r="CQ10" i="39"/>
  <c r="CM11" i="39"/>
  <c r="CO11" i="39"/>
  <c r="CP11" i="39"/>
  <c r="CQ11" i="39"/>
  <c r="CM12" i="39"/>
  <c r="CO12" i="39"/>
  <c r="CP12" i="39"/>
  <c r="CQ12" i="39"/>
  <c r="CM13" i="39"/>
  <c r="CO13" i="39"/>
  <c r="CP13" i="39"/>
  <c r="CQ13" i="39"/>
  <c r="CM14" i="39"/>
  <c r="CO14" i="39"/>
  <c r="CP14" i="39"/>
  <c r="CQ14" i="39"/>
  <c r="CM15" i="39"/>
  <c r="CO15" i="39"/>
  <c r="CP15" i="39"/>
  <c r="CQ15" i="39"/>
  <c r="CM16" i="39"/>
  <c r="CO16" i="39"/>
  <c r="CP16" i="39"/>
  <c r="CQ16" i="39"/>
  <c r="CM17" i="39"/>
  <c r="CO17" i="39"/>
  <c r="CP17" i="39"/>
  <c r="CQ17" i="39"/>
  <c r="CM18" i="39"/>
  <c r="CO18" i="39"/>
  <c r="CP18" i="39"/>
  <c r="CQ18" i="39"/>
  <c r="CG41" i="39"/>
  <c r="CI41" i="39"/>
  <c r="CJ41" i="39"/>
  <c r="CK41" i="39"/>
  <c r="CG42" i="39"/>
  <c r="CI42" i="39"/>
  <c r="CJ42" i="39"/>
  <c r="CK42" i="39"/>
  <c r="CM3" i="39"/>
  <c r="CO3" i="39"/>
  <c r="CP3" i="39"/>
  <c r="CQ3" i="39"/>
  <c r="CM4" i="39"/>
  <c r="CO4" i="39"/>
  <c r="CP4" i="39"/>
  <c r="CQ4" i="39"/>
  <c r="CM5" i="39"/>
  <c r="CO5" i="39"/>
  <c r="CP5" i="39"/>
  <c r="CQ5" i="39"/>
  <c r="CM6" i="39"/>
  <c r="CO6" i="39"/>
  <c r="CP6" i="39"/>
  <c r="CQ6" i="39"/>
  <c r="CM7" i="39"/>
  <c r="CO7" i="39"/>
  <c r="CP7" i="39"/>
  <c r="CQ7" i="39"/>
  <c r="CM8" i="39"/>
  <c r="CO8" i="39"/>
  <c r="CP8" i="39"/>
  <c r="CQ8" i="39"/>
  <c r="CM9" i="39"/>
  <c r="CO9" i="39"/>
  <c r="CP9" i="39"/>
  <c r="CQ9" i="39"/>
  <c r="CG34" i="39"/>
  <c r="CI34" i="39"/>
  <c r="CJ34" i="39"/>
  <c r="CK34" i="39"/>
  <c r="CG35" i="39"/>
  <c r="CI35" i="39"/>
  <c r="CJ35" i="39"/>
  <c r="CK35" i="39"/>
  <c r="CG36" i="39"/>
  <c r="CI36" i="39"/>
  <c r="CJ36" i="39"/>
  <c r="CK36" i="39"/>
  <c r="CG37" i="39"/>
  <c r="CI37" i="39"/>
  <c r="CJ37" i="39"/>
  <c r="CK37" i="39"/>
  <c r="CG38" i="39"/>
  <c r="CI38" i="39"/>
  <c r="CJ38" i="39"/>
  <c r="CK38" i="39"/>
  <c r="CG39" i="39"/>
  <c r="CI39" i="39"/>
  <c r="CJ39" i="39"/>
  <c r="CK39" i="39"/>
  <c r="CG40" i="39"/>
  <c r="CI40" i="39"/>
  <c r="CJ40" i="39"/>
  <c r="CK40" i="39"/>
  <c r="CG28" i="39"/>
  <c r="CI28" i="39"/>
  <c r="CJ28" i="39"/>
  <c r="CK28" i="39"/>
  <c r="CG29" i="39"/>
  <c r="CI29" i="39"/>
  <c r="CJ29" i="39"/>
  <c r="CK29" i="39"/>
  <c r="CG30" i="39"/>
  <c r="CI30" i="39"/>
  <c r="CJ30" i="39"/>
  <c r="CK30" i="39"/>
  <c r="CG31" i="39"/>
  <c r="CI31" i="39"/>
  <c r="CJ31" i="39"/>
  <c r="CK31" i="39"/>
  <c r="CG32" i="39"/>
  <c r="CI32" i="39"/>
  <c r="CJ32" i="39"/>
  <c r="CK32" i="39"/>
  <c r="CG33" i="39"/>
  <c r="CI33" i="39"/>
  <c r="CJ33" i="39"/>
  <c r="CK33" i="39"/>
  <c r="CG19" i="39"/>
  <c r="CI19" i="39"/>
  <c r="CJ19" i="39"/>
  <c r="CK19" i="39"/>
  <c r="CG20" i="39"/>
  <c r="CI20" i="39"/>
  <c r="CJ20" i="39"/>
  <c r="CK20" i="39"/>
  <c r="CG21" i="39"/>
  <c r="CI21" i="39"/>
  <c r="CJ21" i="39"/>
  <c r="CK21" i="39"/>
  <c r="CG22" i="39"/>
  <c r="CI22" i="39"/>
  <c r="CJ22" i="39"/>
  <c r="CK22" i="39"/>
  <c r="CG23" i="39"/>
  <c r="CI23" i="39"/>
  <c r="CJ23" i="39"/>
  <c r="CK23" i="39"/>
  <c r="CG24" i="39"/>
  <c r="CI24" i="39"/>
  <c r="CJ24" i="39"/>
  <c r="CK24" i="39"/>
  <c r="CG25" i="39"/>
  <c r="CI25" i="39"/>
  <c r="CJ25" i="39"/>
  <c r="CK25" i="39"/>
  <c r="CG26" i="39"/>
  <c r="CI26" i="39"/>
  <c r="CJ26" i="39"/>
  <c r="CK26" i="39"/>
  <c r="CG27" i="39"/>
  <c r="CI27" i="39"/>
  <c r="CJ27" i="39"/>
  <c r="CK27" i="39"/>
  <c r="CG5" i="39"/>
  <c r="CI5" i="39"/>
  <c r="CJ5" i="39"/>
  <c r="CK5" i="39"/>
  <c r="CG6" i="39"/>
  <c r="CI6" i="39"/>
  <c r="CJ6" i="39"/>
  <c r="CK6" i="39"/>
  <c r="CG7" i="39"/>
  <c r="CI7" i="39"/>
  <c r="CJ7" i="39"/>
  <c r="CK7" i="39"/>
  <c r="CG8" i="39"/>
  <c r="CI8" i="39"/>
  <c r="CJ8" i="39"/>
  <c r="CK8" i="39"/>
  <c r="CG9" i="39"/>
  <c r="CI9" i="39"/>
  <c r="CJ9" i="39"/>
  <c r="CK9" i="39"/>
  <c r="CG10" i="39"/>
  <c r="CI10" i="39"/>
  <c r="CJ10" i="39"/>
  <c r="CK10" i="39"/>
  <c r="CG11" i="39"/>
  <c r="CI11" i="39"/>
  <c r="CJ11" i="39"/>
  <c r="CK11" i="39"/>
  <c r="CG12" i="39"/>
  <c r="CI12" i="39"/>
  <c r="CJ12" i="39"/>
  <c r="CK12" i="39"/>
  <c r="CG13" i="39"/>
  <c r="CI13" i="39"/>
  <c r="CJ13" i="39"/>
  <c r="CK13" i="39"/>
  <c r="CG14" i="39"/>
  <c r="CI14" i="39"/>
  <c r="CJ14" i="39"/>
  <c r="CK14" i="39"/>
  <c r="CG15" i="39"/>
  <c r="CI15" i="39"/>
  <c r="CJ15" i="39"/>
  <c r="CK15" i="39"/>
  <c r="CG16" i="39"/>
  <c r="CI16" i="39"/>
  <c r="CJ16" i="39"/>
  <c r="CK16" i="39"/>
  <c r="CG17" i="39"/>
  <c r="CI17" i="39"/>
  <c r="CJ17" i="39"/>
  <c r="CK17" i="39"/>
  <c r="CG18" i="39"/>
  <c r="CI18" i="39"/>
  <c r="CJ18" i="39"/>
  <c r="CK18" i="39"/>
  <c r="CA25" i="39"/>
  <c r="CC25" i="39"/>
  <c r="CD25" i="39"/>
  <c r="CE25" i="39"/>
  <c r="CA26" i="39"/>
  <c r="CC26" i="39"/>
  <c r="CD26" i="39"/>
  <c r="CE26" i="39"/>
  <c r="CG3" i="39"/>
  <c r="CI3" i="39"/>
  <c r="CJ3" i="39"/>
  <c r="CK3" i="39"/>
  <c r="CG4" i="39"/>
  <c r="CI4" i="39"/>
  <c r="CJ4" i="39"/>
  <c r="CK4" i="39"/>
  <c r="CA20" i="39"/>
  <c r="CC20" i="39"/>
  <c r="CD20" i="39"/>
  <c r="CE20" i="39"/>
  <c r="CA21" i="39"/>
  <c r="CC21" i="39"/>
  <c r="CD21" i="39"/>
  <c r="CE21" i="39"/>
  <c r="CA22" i="39"/>
  <c r="CC22" i="39"/>
  <c r="CD22" i="39"/>
  <c r="CE22" i="39"/>
  <c r="CA23" i="39"/>
  <c r="CC23" i="39"/>
  <c r="CD23" i="39"/>
  <c r="CE23" i="39"/>
  <c r="CA24" i="39"/>
  <c r="CC24" i="39"/>
  <c r="CD24" i="39"/>
  <c r="CE24" i="39"/>
  <c r="CA15" i="39"/>
  <c r="CC15" i="39"/>
  <c r="CD15" i="39"/>
  <c r="CE15" i="39"/>
  <c r="CA16" i="39"/>
  <c r="CC16" i="39"/>
  <c r="CD16" i="39"/>
  <c r="CE16" i="39"/>
  <c r="CA17" i="39"/>
  <c r="CC17" i="39"/>
  <c r="CD17" i="39"/>
  <c r="CE17" i="39"/>
  <c r="CA18" i="39"/>
  <c r="CC18" i="39"/>
  <c r="CD18" i="39"/>
  <c r="CE18" i="39"/>
  <c r="CA19" i="39"/>
  <c r="CC19" i="39"/>
  <c r="CD19" i="39"/>
  <c r="CE19" i="39"/>
  <c r="CA11" i="39"/>
  <c r="CC11" i="39"/>
  <c r="CD11" i="39"/>
  <c r="CE11" i="39"/>
  <c r="CA12" i="39"/>
  <c r="CC12" i="39"/>
  <c r="CD12" i="39"/>
  <c r="CE12" i="39"/>
  <c r="CA13" i="39"/>
  <c r="CC13" i="39"/>
  <c r="CD13" i="39"/>
  <c r="CE13" i="39"/>
  <c r="CA14" i="39"/>
  <c r="CC14" i="39"/>
  <c r="CD14" i="39"/>
  <c r="CE14" i="39"/>
  <c r="CA3" i="39"/>
  <c r="CC3" i="39"/>
  <c r="CD3" i="39"/>
  <c r="CE3" i="39"/>
  <c r="CA4" i="39"/>
  <c r="CC4" i="39"/>
  <c r="CD4" i="39"/>
  <c r="CE4" i="39"/>
  <c r="CA5" i="39"/>
  <c r="CC5" i="39"/>
  <c r="CD5" i="39"/>
  <c r="CE5" i="39"/>
  <c r="CA6" i="39"/>
  <c r="CC6" i="39"/>
  <c r="CD6" i="39"/>
  <c r="CE6" i="39"/>
  <c r="CA7" i="39"/>
  <c r="CC7" i="39"/>
  <c r="CD7" i="39"/>
  <c r="CE7" i="39"/>
  <c r="CA8" i="39"/>
  <c r="CC8" i="39"/>
  <c r="CD8" i="39"/>
  <c r="CE8" i="39"/>
  <c r="CA9" i="39"/>
  <c r="CC9" i="39"/>
  <c r="CD9" i="39"/>
  <c r="CE9" i="39"/>
  <c r="CA10" i="39"/>
  <c r="CC10" i="39"/>
  <c r="CD10" i="39"/>
  <c r="CE10" i="39"/>
  <c r="BU22" i="39"/>
  <c r="BW22" i="39"/>
  <c r="BX22" i="39"/>
  <c r="BY22" i="39"/>
  <c r="BU23" i="39"/>
  <c r="BW23" i="39"/>
  <c r="BX23" i="39"/>
  <c r="BY23" i="39"/>
  <c r="BU24" i="39"/>
  <c r="BW24" i="39"/>
  <c r="BX24" i="39"/>
  <c r="BY24" i="39"/>
  <c r="BU25" i="39"/>
  <c r="BW25" i="39"/>
  <c r="BX25" i="39"/>
  <c r="BY25" i="39"/>
  <c r="BU26" i="39"/>
  <c r="BW26" i="39"/>
  <c r="BX26" i="39"/>
  <c r="BY26" i="39"/>
  <c r="BU18" i="39"/>
  <c r="BW18" i="39"/>
  <c r="BX18" i="39"/>
  <c r="BY18" i="39"/>
  <c r="BU19" i="39"/>
  <c r="BW19" i="39"/>
  <c r="BX19" i="39"/>
  <c r="BY19" i="39"/>
  <c r="BU20" i="39"/>
  <c r="BW20" i="39"/>
  <c r="BX20" i="39"/>
  <c r="BY20" i="39"/>
  <c r="BU21" i="39"/>
  <c r="BW21" i="39"/>
  <c r="BX21" i="39"/>
  <c r="BY21" i="39"/>
  <c r="BU15" i="39"/>
  <c r="BW15" i="39"/>
  <c r="BX15" i="39"/>
  <c r="BY15" i="39"/>
  <c r="BU16" i="39"/>
  <c r="BW16" i="39"/>
  <c r="BX16" i="39"/>
  <c r="BY16" i="39"/>
  <c r="BU17" i="39"/>
  <c r="BW17" i="39"/>
  <c r="BX17" i="39"/>
  <c r="BY17" i="39"/>
  <c r="BU9" i="39"/>
  <c r="BW9" i="39"/>
  <c r="BX9" i="39"/>
  <c r="BY9" i="39"/>
  <c r="BU10" i="39"/>
  <c r="BW10" i="39"/>
  <c r="BX10" i="39"/>
  <c r="BY10" i="39"/>
  <c r="BU11" i="39"/>
  <c r="BW11" i="39"/>
  <c r="BX11" i="39"/>
  <c r="BY11" i="39"/>
  <c r="BU12" i="39"/>
  <c r="BW12" i="39"/>
  <c r="BX12" i="39"/>
  <c r="BY12" i="39"/>
  <c r="BU13" i="39"/>
  <c r="BW13" i="39"/>
  <c r="BX13" i="39"/>
  <c r="BY13" i="39"/>
  <c r="BU14" i="39"/>
  <c r="BW14" i="39"/>
  <c r="BX14" i="39"/>
  <c r="BY14" i="39"/>
  <c r="BO6" i="39"/>
  <c r="BQ6" i="39"/>
  <c r="BR6" i="39"/>
  <c r="BS6" i="39"/>
  <c r="BO7" i="39"/>
  <c r="BQ7" i="39"/>
  <c r="BR7" i="39"/>
  <c r="BS7" i="39"/>
  <c r="BO8" i="39"/>
  <c r="BQ8" i="39"/>
  <c r="BR8" i="39"/>
  <c r="BS8" i="39"/>
  <c r="BO9" i="39"/>
  <c r="BQ9" i="39"/>
  <c r="BR9" i="39"/>
  <c r="BS9" i="39"/>
  <c r="BO10" i="39"/>
  <c r="BQ10" i="39"/>
  <c r="BR10" i="39"/>
  <c r="BS10" i="39"/>
  <c r="BO11" i="39"/>
  <c r="BQ11" i="39"/>
  <c r="BR11" i="39"/>
  <c r="BS11" i="39"/>
  <c r="BO12" i="39"/>
  <c r="BQ12" i="39"/>
  <c r="BR12" i="39"/>
  <c r="BS12" i="39"/>
  <c r="BU3" i="39"/>
  <c r="BW3" i="39"/>
  <c r="BX3" i="39"/>
  <c r="BY3" i="39"/>
  <c r="BU4" i="39"/>
  <c r="BW4" i="39"/>
  <c r="BX4" i="39"/>
  <c r="BY4" i="39"/>
  <c r="BU5" i="39"/>
  <c r="BW5" i="39"/>
  <c r="BX5" i="39"/>
  <c r="BY5" i="39"/>
  <c r="BU6" i="39"/>
  <c r="BW6" i="39"/>
  <c r="BX6" i="39"/>
  <c r="BY6" i="39"/>
  <c r="BU7" i="39"/>
  <c r="BW7" i="39"/>
  <c r="BX7" i="39"/>
  <c r="BY7" i="39"/>
  <c r="BU8" i="39"/>
  <c r="BW8" i="39"/>
  <c r="BX8" i="39"/>
  <c r="BY8" i="39"/>
  <c r="BI12" i="39"/>
  <c r="BK12" i="39"/>
  <c r="BL12" i="39"/>
  <c r="BM12" i="39"/>
  <c r="BI13" i="39"/>
  <c r="BK13" i="39"/>
  <c r="BL13" i="39"/>
  <c r="BM13" i="39"/>
  <c r="BI14" i="39"/>
  <c r="BK14" i="39"/>
  <c r="BL14" i="39"/>
  <c r="BM14" i="39"/>
  <c r="BO3" i="39"/>
  <c r="BQ3" i="39"/>
  <c r="BR3" i="39"/>
  <c r="BS3" i="39"/>
  <c r="BO4" i="39"/>
  <c r="BQ4" i="39"/>
  <c r="BR4" i="39"/>
  <c r="BS4" i="39"/>
  <c r="BO5" i="39"/>
  <c r="BQ5" i="39"/>
  <c r="BR5" i="39"/>
  <c r="BS5" i="39"/>
  <c r="BI7" i="39"/>
  <c r="BK7" i="39"/>
  <c r="BL7" i="39"/>
  <c r="BM7" i="39"/>
  <c r="BI8" i="39"/>
  <c r="BK8" i="39"/>
  <c r="BL8" i="39"/>
  <c r="BM8" i="39"/>
  <c r="BI9" i="39"/>
  <c r="BK9" i="39"/>
  <c r="BL9" i="39"/>
  <c r="BM9" i="39"/>
  <c r="BI10" i="39"/>
  <c r="BK10" i="39"/>
  <c r="BL10" i="39"/>
  <c r="BM10" i="39"/>
  <c r="BI11" i="39"/>
  <c r="BK11" i="39"/>
  <c r="BL11" i="39"/>
  <c r="BM11" i="39"/>
  <c r="BC11" i="39"/>
  <c r="BE11" i="39"/>
  <c r="BF11" i="39"/>
  <c r="BG11" i="39"/>
  <c r="BC12" i="39"/>
  <c r="BE12" i="39"/>
  <c r="BF12" i="39"/>
  <c r="BG12" i="39"/>
  <c r="BI3" i="39"/>
  <c r="BK3" i="39"/>
  <c r="BL3" i="39"/>
  <c r="BM3" i="39"/>
  <c r="BI4" i="39"/>
  <c r="BK4" i="39"/>
  <c r="BL4" i="39"/>
  <c r="BM4" i="39"/>
  <c r="BI5" i="39"/>
  <c r="BK5" i="39"/>
  <c r="BL5" i="39"/>
  <c r="BM5" i="39"/>
  <c r="BI6" i="39"/>
  <c r="BK6" i="39"/>
  <c r="BL6" i="39"/>
  <c r="BM6" i="39"/>
  <c r="BC4" i="39"/>
  <c r="BE4" i="39"/>
  <c r="BF4" i="39"/>
  <c r="BG4" i="39"/>
  <c r="BC5" i="39"/>
  <c r="BE5" i="39"/>
  <c r="BF5" i="39"/>
  <c r="BG5" i="39"/>
  <c r="BC6" i="39"/>
  <c r="BE6" i="39"/>
  <c r="BF6" i="39"/>
  <c r="BG6" i="39"/>
  <c r="BC7" i="39"/>
  <c r="BE7" i="39"/>
  <c r="BF7" i="39"/>
  <c r="BG7" i="39"/>
  <c r="BC8" i="39"/>
  <c r="BE8" i="39"/>
  <c r="BF8" i="39"/>
  <c r="BG8" i="39"/>
  <c r="BC9" i="39"/>
  <c r="BE9" i="39"/>
  <c r="BF9" i="39"/>
  <c r="BG9" i="39"/>
  <c r="BC10" i="39"/>
  <c r="BE10" i="39"/>
  <c r="BF10" i="39"/>
  <c r="BG10" i="39"/>
  <c r="AW5" i="39"/>
  <c r="AY5" i="39"/>
  <c r="AZ5" i="39"/>
  <c r="BA5" i="39"/>
  <c r="AW6" i="39"/>
  <c r="AY6" i="39"/>
  <c r="AZ6" i="39"/>
  <c r="BA6" i="39"/>
  <c r="AW7" i="39"/>
  <c r="AY7" i="39"/>
  <c r="AZ7" i="39"/>
  <c r="BA7" i="39"/>
  <c r="BC3" i="39"/>
  <c r="BE3" i="39"/>
  <c r="BF3" i="39"/>
  <c r="BG3" i="39"/>
  <c r="AK12" i="39"/>
  <c r="AM12" i="39"/>
  <c r="AN12" i="39"/>
  <c r="AO12" i="39"/>
  <c r="AK13" i="39"/>
  <c r="AM13" i="39"/>
  <c r="AN13" i="39"/>
  <c r="AO13" i="39"/>
  <c r="AW3" i="39"/>
  <c r="AY3" i="39"/>
  <c r="AZ3" i="39"/>
  <c r="BA3" i="39"/>
  <c r="AW4" i="39"/>
  <c r="AY4" i="39"/>
  <c r="AZ4" i="39"/>
  <c r="BA4" i="39"/>
  <c r="AK5" i="39"/>
  <c r="AM5" i="39"/>
  <c r="AN5" i="39"/>
  <c r="AO5" i="39"/>
  <c r="AK6" i="39"/>
  <c r="AM6" i="39"/>
  <c r="AN6" i="39"/>
  <c r="AO6" i="39"/>
  <c r="AK7" i="39"/>
  <c r="AM7" i="39"/>
  <c r="AN7" i="39"/>
  <c r="AO7" i="39"/>
  <c r="AK8" i="39"/>
  <c r="AM8" i="39"/>
  <c r="AN8" i="39"/>
  <c r="AO8" i="39"/>
  <c r="AK9" i="39"/>
  <c r="AM9" i="39"/>
  <c r="AN9" i="39"/>
  <c r="AO9" i="39"/>
  <c r="AK10" i="39"/>
  <c r="AM10" i="39"/>
  <c r="AN10" i="39"/>
  <c r="AO10" i="39"/>
  <c r="AK11" i="39"/>
  <c r="AM11" i="39"/>
  <c r="AN11" i="39"/>
  <c r="AO11" i="39"/>
  <c r="M5" i="39"/>
  <c r="O5" i="39"/>
  <c r="P5" i="39"/>
  <c r="Q5" i="39"/>
  <c r="M6" i="39"/>
  <c r="O6" i="39"/>
  <c r="P6" i="39"/>
  <c r="Q6" i="39"/>
  <c r="M7" i="39"/>
  <c r="O7" i="39"/>
  <c r="P7" i="39"/>
  <c r="Q7" i="39"/>
  <c r="M8" i="39"/>
  <c r="O8" i="39"/>
  <c r="P8" i="39"/>
  <c r="Q8" i="39"/>
  <c r="AK3" i="39"/>
  <c r="AM3" i="39"/>
  <c r="AN3" i="39"/>
  <c r="AO3" i="39"/>
  <c r="AK4" i="39"/>
  <c r="AM4" i="39"/>
  <c r="AN4" i="39"/>
  <c r="AO4" i="39"/>
  <c r="G4" i="39"/>
  <c r="I4" i="39"/>
  <c r="J4" i="39"/>
  <c r="K4" i="39"/>
  <c r="G5" i="39"/>
  <c r="I5" i="39"/>
  <c r="J5" i="39"/>
  <c r="K5" i="39"/>
  <c r="G6" i="39"/>
  <c r="I6" i="39"/>
  <c r="J6" i="39"/>
  <c r="K6" i="39"/>
  <c r="G7" i="39"/>
  <c r="I7" i="39"/>
  <c r="J7" i="39"/>
  <c r="K7" i="39"/>
  <c r="G8" i="39"/>
  <c r="I8" i="39"/>
  <c r="J8" i="39"/>
  <c r="K8" i="39"/>
  <c r="G9" i="39"/>
  <c r="I9" i="39"/>
  <c r="J9" i="39"/>
  <c r="K9" i="39"/>
  <c r="G10" i="39"/>
  <c r="I10" i="39"/>
  <c r="J10" i="39"/>
  <c r="K10" i="39"/>
  <c r="G11" i="39"/>
  <c r="I11" i="39"/>
  <c r="J11" i="39"/>
  <c r="K11" i="39"/>
  <c r="G12" i="39"/>
  <c r="I12" i="39"/>
  <c r="J12" i="39"/>
  <c r="K12" i="39"/>
  <c r="G13" i="39"/>
  <c r="I13" i="39"/>
  <c r="J13" i="39"/>
  <c r="K13" i="39"/>
  <c r="G14" i="39"/>
  <c r="I14" i="39"/>
  <c r="J14" i="39"/>
  <c r="K14" i="39"/>
  <c r="G15" i="39"/>
  <c r="I15" i="39"/>
  <c r="J15" i="39"/>
  <c r="K15" i="39"/>
  <c r="G16" i="39"/>
  <c r="I16" i="39"/>
  <c r="J16" i="39"/>
  <c r="K16" i="39"/>
  <c r="G17" i="39"/>
  <c r="I17" i="39"/>
  <c r="J17" i="39"/>
  <c r="K17" i="39"/>
  <c r="G18" i="39"/>
  <c r="I18" i="39"/>
  <c r="J18" i="39"/>
  <c r="K18" i="39"/>
  <c r="G19" i="39"/>
  <c r="I19" i="39"/>
  <c r="J19" i="39"/>
  <c r="K19" i="39"/>
  <c r="M3" i="39"/>
  <c r="O3" i="39"/>
  <c r="P3" i="39"/>
  <c r="Q3" i="39"/>
  <c r="M4" i="39"/>
  <c r="O4" i="39"/>
  <c r="P4" i="39"/>
  <c r="Q4" i="39"/>
  <c r="K3" i="39"/>
  <c r="J3" i="39"/>
  <c r="I3" i="39"/>
  <c r="G3" i="39"/>
  <c r="C2" i="39"/>
  <c r="C2" i="37"/>
  <c r="DB2" i="39"/>
  <c r="DA2" i="39"/>
  <c r="CV2" i="39"/>
  <c r="CP2" i="39"/>
  <c r="CO2" i="39"/>
  <c r="CJ2" i="39"/>
  <c r="CI2" i="39"/>
  <c r="CD2" i="39"/>
  <c r="CC2" i="39"/>
  <c r="BX2" i="39"/>
  <c r="BW2" i="39"/>
  <c r="BR2" i="39"/>
  <c r="BQ2" i="39"/>
  <c r="BL2" i="39"/>
  <c r="BK2" i="39"/>
  <c r="BF2" i="39"/>
  <c r="BE2" i="39"/>
  <c r="AZ2" i="39"/>
  <c r="AY2" i="39"/>
  <c r="AT2" i="39"/>
  <c r="AS2" i="39"/>
  <c r="AN2" i="39"/>
  <c r="AM2" i="39"/>
  <c r="AH2" i="39"/>
  <c r="AG2" i="39"/>
  <c r="AB2" i="39"/>
  <c r="AA2" i="39"/>
  <c r="V2" i="39"/>
  <c r="U2" i="39"/>
  <c r="P2" i="39"/>
  <c r="O2" i="39"/>
  <c r="J2" i="39"/>
  <c r="I2" i="39"/>
  <c r="D2" i="39"/>
  <c r="BE4" i="37"/>
  <c r="BE5" i="37"/>
  <c r="BE6" i="37"/>
  <c r="BE7" i="37"/>
  <c r="BE8" i="37"/>
  <c r="BE9" i="37"/>
  <c r="BE10" i="37"/>
  <c r="BE11" i="37"/>
  <c r="BE12" i="37"/>
  <c r="BE13" i="37"/>
  <c r="BE14" i="37"/>
  <c r="BE15" i="37"/>
  <c r="BE16" i="37"/>
  <c r="BE17" i="37"/>
  <c r="BE18" i="37"/>
  <c r="BE19" i="37"/>
  <c r="BE20" i="37"/>
  <c r="BE21" i="37"/>
  <c r="BE22" i="37"/>
  <c r="BE23" i="37"/>
  <c r="BE24" i="37"/>
  <c r="BE25" i="37"/>
  <c r="BE26" i="37"/>
  <c r="BE27" i="37"/>
  <c r="BE28" i="37"/>
  <c r="BE29" i="37"/>
  <c r="BE30" i="37"/>
  <c r="BE31" i="37"/>
  <c r="BE32" i="37"/>
  <c r="BE33" i="37"/>
  <c r="BE34" i="37"/>
  <c r="BE35" i="37"/>
  <c r="BE36" i="37"/>
  <c r="BI4" i="37"/>
  <c r="BI5" i="37"/>
  <c r="BI6" i="37"/>
  <c r="BI7" i="37"/>
  <c r="BI8" i="37"/>
  <c r="BI9" i="37"/>
  <c r="BI10" i="37"/>
  <c r="BI11" i="37"/>
  <c r="BI12" i="37"/>
  <c r="BI13" i="37"/>
  <c r="BI14" i="37"/>
  <c r="BI15" i="37"/>
  <c r="BI16" i="37"/>
  <c r="BI17" i="37"/>
  <c r="BI18" i="37"/>
  <c r="BI19" i="37"/>
  <c r="BI20" i="37"/>
  <c r="BI21" i="37"/>
  <c r="BI22" i="37"/>
  <c r="BI23" i="37"/>
  <c r="BI24" i="37"/>
  <c r="BI25" i="37"/>
  <c r="BI26" i="37"/>
  <c r="BI27" i="37"/>
  <c r="BI28" i="37"/>
  <c r="BI29" i="37"/>
  <c r="BI30" i="37"/>
  <c r="BI31" i="37"/>
  <c r="BI32" i="37"/>
  <c r="BI33" i="37"/>
  <c r="BI34" i="37"/>
  <c r="BI35" i="37"/>
  <c r="BI36" i="37"/>
  <c r="R6" i="21"/>
  <c r="R5" i="21"/>
  <c r="Y5" i="21"/>
  <c r="C5" i="22" l="1"/>
  <c r="H5" i="22" s="1"/>
  <c r="B6" i="22"/>
  <c r="C6" i="22" s="1"/>
  <c r="D6" i="22" s="1"/>
  <c r="AC6" i="21"/>
  <c r="AC7" i="21"/>
  <c r="AC8" i="21"/>
  <c r="AC9" i="21"/>
  <c r="AC10" i="21"/>
  <c r="AC11" i="21"/>
  <c r="AC12" i="21"/>
  <c r="AC13" i="21"/>
  <c r="AC14" i="21"/>
  <c r="AC15" i="21"/>
  <c r="AC16" i="21"/>
  <c r="AC17" i="21"/>
  <c r="AC18" i="21"/>
  <c r="AC19" i="21"/>
  <c r="AC20" i="21"/>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9" i="21"/>
  <c r="AC60" i="21"/>
  <c r="AC5" i="21"/>
  <c r="AA6" i="21"/>
  <c r="AA7" i="21"/>
  <c r="AA8" i="21"/>
  <c r="AA9" i="21"/>
  <c r="AA10" i="21"/>
  <c r="AA11" i="21"/>
  <c r="AA12" i="21"/>
  <c r="AA13" i="21"/>
  <c r="AA14" i="21"/>
  <c r="AA15" i="21"/>
  <c r="AA16" i="21"/>
  <c r="AA17" i="21"/>
  <c r="AA18" i="21"/>
  <c r="AA19" i="21"/>
  <c r="AA20"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9" i="21"/>
  <c r="AA60" i="21"/>
  <c r="AA5" i="21"/>
  <c r="Y6" i="21"/>
  <c r="Y7" i="21"/>
  <c r="Y8" i="21"/>
  <c r="Y9" i="21"/>
  <c r="Y10" i="21"/>
  <c r="Y11" i="21"/>
  <c r="Y12" i="21"/>
  <c r="Y13" i="21"/>
  <c r="Y14" i="21"/>
  <c r="Y15" i="21"/>
  <c r="Y16" i="21"/>
  <c r="Y17" i="21"/>
  <c r="Y18" i="21"/>
  <c r="Y19" i="21"/>
  <c r="Y20"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9" i="21"/>
  <c r="Y60" i="21"/>
  <c r="DT4" i="37"/>
  <c r="DT5" i="37"/>
  <c r="DT6" i="37"/>
  <c r="DT7" i="37"/>
  <c r="DT8" i="37"/>
  <c r="DT9" i="37"/>
  <c r="DT10" i="37"/>
  <c r="DT11" i="37"/>
  <c r="DT12" i="37"/>
  <c r="DT13" i="37"/>
  <c r="DT14" i="37"/>
  <c r="DT15" i="37"/>
  <c r="DT16" i="37"/>
  <c r="DT17" i="37"/>
  <c r="DT18" i="37"/>
  <c r="DT19" i="37"/>
  <c r="DT20" i="37"/>
  <c r="DT21" i="37"/>
  <c r="DT22" i="37"/>
  <c r="DT23" i="37"/>
  <c r="DT24" i="37"/>
  <c r="DT25" i="37"/>
  <c r="DT26" i="37"/>
  <c r="DT27" i="37"/>
  <c r="DT28" i="37"/>
  <c r="DT29" i="37"/>
  <c r="DT30" i="37"/>
  <c r="DT31" i="37"/>
  <c r="DT32" i="37"/>
  <c r="DT33" i="37"/>
  <c r="DT34" i="37"/>
  <c r="DT35" i="37"/>
  <c r="DT36" i="37"/>
  <c r="DM4" i="37"/>
  <c r="DM5" i="37"/>
  <c r="DM6" i="37"/>
  <c r="DM7" i="37"/>
  <c r="DM8" i="37"/>
  <c r="DM9" i="37"/>
  <c r="DM10" i="37"/>
  <c r="DM11" i="37"/>
  <c r="DM12" i="37"/>
  <c r="DM13" i="37"/>
  <c r="DM14" i="37"/>
  <c r="DM15" i="37"/>
  <c r="DM16" i="37"/>
  <c r="DM17" i="37"/>
  <c r="DM18" i="37"/>
  <c r="DM19" i="37"/>
  <c r="DM20" i="37"/>
  <c r="DM21" i="37"/>
  <c r="DM22" i="37"/>
  <c r="DM23" i="37"/>
  <c r="DM24" i="37"/>
  <c r="DM25" i="37"/>
  <c r="DM26" i="37"/>
  <c r="DM27" i="37"/>
  <c r="DM28" i="37"/>
  <c r="DM29" i="37"/>
  <c r="DM30" i="37"/>
  <c r="DM31" i="37"/>
  <c r="DM32" i="37"/>
  <c r="DM33" i="37"/>
  <c r="DM34" i="37"/>
  <c r="DT3" i="37"/>
  <c r="DF4" i="37"/>
  <c r="DF5" i="37"/>
  <c r="DF6" i="37"/>
  <c r="DF7" i="37"/>
  <c r="DF8" i="37"/>
  <c r="DF9" i="37"/>
  <c r="DF10" i="37"/>
  <c r="DF11" i="37"/>
  <c r="DF12" i="37"/>
  <c r="DF13" i="37"/>
  <c r="DF14" i="37"/>
  <c r="DF15" i="37"/>
  <c r="DF16" i="37"/>
  <c r="DF17" i="37"/>
  <c r="DF18" i="37"/>
  <c r="DF19" i="37"/>
  <c r="DF20" i="37"/>
  <c r="DF21" i="37"/>
  <c r="DF22" i="37"/>
  <c r="DF23" i="37"/>
  <c r="DF24" i="37"/>
  <c r="DF25" i="37"/>
  <c r="DF26" i="37"/>
  <c r="DF27" i="37"/>
  <c r="DF28" i="37"/>
  <c r="DF29" i="37"/>
  <c r="DF30" i="37"/>
  <c r="DF31" i="37"/>
  <c r="DF32" i="37"/>
  <c r="DF33" i="37"/>
  <c r="DM3" i="37"/>
  <c r="CY4" i="37"/>
  <c r="CY5" i="37"/>
  <c r="CY6" i="37"/>
  <c r="CY7" i="37"/>
  <c r="CY8" i="37"/>
  <c r="CY9" i="37"/>
  <c r="CY10" i="37"/>
  <c r="CY11" i="37"/>
  <c r="CY12" i="37"/>
  <c r="CY13" i="37"/>
  <c r="CY14" i="37"/>
  <c r="CY15" i="37"/>
  <c r="CY16" i="37"/>
  <c r="CY17" i="37"/>
  <c r="CY18" i="37"/>
  <c r="CY19" i="37"/>
  <c r="CY20" i="37"/>
  <c r="CY21" i="37"/>
  <c r="CY22" i="37"/>
  <c r="CY23" i="37"/>
  <c r="CY24" i="37"/>
  <c r="CY25" i="37"/>
  <c r="CY26" i="37"/>
  <c r="CY27" i="37"/>
  <c r="CY28" i="37"/>
  <c r="CY29" i="37"/>
  <c r="DF3" i="37"/>
  <c r="CR4" i="37"/>
  <c r="CR5" i="37"/>
  <c r="CR6" i="37"/>
  <c r="CR7" i="37"/>
  <c r="CR8" i="37"/>
  <c r="CR9" i="37"/>
  <c r="CR10" i="37"/>
  <c r="CR11" i="37"/>
  <c r="CR12" i="37"/>
  <c r="CR13" i="37"/>
  <c r="CR14" i="37"/>
  <c r="CR15" i="37"/>
  <c r="CR16" i="37"/>
  <c r="CR17" i="37"/>
  <c r="CR18" i="37"/>
  <c r="CR19" i="37"/>
  <c r="CR20" i="37"/>
  <c r="CR21" i="37"/>
  <c r="CR22" i="37"/>
  <c r="CR23" i="37"/>
  <c r="CR24" i="37"/>
  <c r="CR25" i="37"/>
  <c r="CR26" i="37"/>
  <c r="CR27" i="37"/>
  <c r="CR28" i="37"/>
  <c r="CR29" i="37"/>
  <c r="CR30" i="37"/>
  <c r="CR31" i="37"/>
  <c r="CR32" i="37"/>
  <c r="CR33" i="37"/>
  <c r="CR34" i="37"/>
  <c r="CR35" i="37"/>
  <c r="CR36" i="37"/>
  <c r="CR37" i="37"/>
  <c r="CR38" i="37"/>
  <c r="CR39" i="37"/>
  <c r="CR40" i="37"/>
  <c r="CR41" i="37"/>
  <c r="CR42" i="37"/>
  <c r="CR43" i="37"/>
  <c r="CR44" i="37"/>
  <c r="CR45" i="37"/>
  <c r="CR46" i="37"/>
  <c r="CR47" i="37"/>
  <c r="CR48" i="37"/>
  <c r="CR49" i="37"/>
  <c r="CR50" i="37"/>
  <c r="CR51" i="37"/>
  <c r="CR52" i="37"/>
  <c r="CR53" i="37"/>
  <c r="CR54" i="37"/>
  <c r="CR55" i="37"/>
  <c r="CR56" i="37"/>
  <c r="CR57" i="37"/>
  <c r="CY3" i="37"/>
  <c r="CK4" i="37"/>
  <c r="CK5" i="37"/>
  <c r="CK6" i="37"/>
  <c r="CK7" i="37"/>
  <c r="CK8" i="37"/>
  <c r="CK9" i="37"/>
  <c r="CK10" i="37"/>
  <c r="CK11" i="37"/>
  <c r="CK12" i="37"/>
  <c r="CK13" i="37"/>
  <c r="CK14" i="37"/>
  <c r="CK15" i="37"/>
  <c r="CK16" i="37"/>
  <c r="CK17" i="37"/>
  <c r="CK18" i="37"/>
  <c r="CK19" i="37"/>
  <c r="CK20" i="37"/>
  <c r="CK21" i="37"/>
  <c r="CK22" i="37"/>
  <c r="CK23" i="37"/>
  <c r="CK24" i="37"/>
  <c r="CK25" i="37"/>
  <c r="CK26" i="37"/>
  <c r="CK27" i="37"/>
  <c r="CK28" i="37"/>
  <c r="CK29" i="37"/>
  <c r="CK30" i="37"/>
  <c r="CK31" i="37"/>
  <c r="CK32" i="37"/>
  <c r="CK33" i="37"/>
  <c r="CK34" i="37"/>
  <c r="CK35" i="37"/>
  <c r="CK36" i="37"/>
  <c r="CK37" i="37"/>
  <c r="CK38" i="37"/>
  <c r="CK39" i="37"/>
  <c r="CK40" i="37"/>
  <c r="CK41" i="37"/>
  <c r="CK42" i="37"/>
  <c r="CK43" i="37"/>
  <c r="CK44" i="37"/>
  <c r="CR3" i="37"/>
  <c r="CD4" i="37"/>
  <c r="CD5" i="37"/>
  <c r="CD6" i="37"/>
  <c r="CD7" i="37"/>
  <c r="CD8" i="37"/>
  <c r="CD9" i="37"/>
  <c r="CD10" i="37"/>
  <c r="CD11" i="37"/>
  <c r="CD12" i="37"/>
  <c r="CD13" i="37"/>
  <c r="CD14" i="37"/>
  <c r="CD15" i="37"/>
  <c r="CD16" i="37"/>
  <c r="CD17" i="37"/>
  <c r="CD18" i="37"/>
  <c r="CD19" i="37"/>
  <c r="CD20" i="37"/>
  <c r="CD21" i="37"/>
  <c r="CD22" i="37"/>
  <c r="CD23" i="37"/>
  <c r="CD24" i="37"/>
  <c r="CD25" i="37"/>
  <c r="CD26" i="37"/>
  <c r="CD27" i="37"/>
  <c r="CD28" i="37"/>
  <c r="CD29" i="37"/>
  <c r="CD30" i="37"/>
  <c r="CD31" i="37"/>
  <c r="CD32" i="37"/>
  <c r="CD33" i="37"/>
  <c r="CD34" i="37"/>
  <c r="CD35" i="37"/>
  <c r="CD36" i="37"/>
  <c r="CD37" i="37"/>
  <c r="CD38" i="37"/>
  <c r="CD39" i="37"/>
  <c r="CD40" i="37"/>
  <c r="CD41" i="37"/>
  <c r="CD42" i="37"/>
  <c r="CD43" i="37"/>
  <c r="CD44" i="37"/>
  <c r="CD45" i="37"/>
  <c r="CD46" i="37"/>
  <c r="CD47" i="37"/>
  <c r="CK3" i="37"/>
  <c r="BW4" i="37"/>
  <c r="BW5" i="37"/>
  <c r="BW6" i="37"/>
  <c r="BW7" i="37"/>
  <c r="BW8" i="37"/>
  <c r="BW9" i="37"/>
  <c r="BW10" i="37"/>
  <c r="BW11" i="37"/>
  <c r="BW12" i="37"/>
  <c r="BW13" i="37"/>
  <c r="BW14" i="37"/>
  <c r="BW15" i="37"/>
  <c r="BW16" i="37"/>
  <c r="BW17" i="37"/>
  <c r="CD3" i="37"/>
  <c r="BP4" i="37"/>
  <c r="BP5" i="37"/>
  <c r="BP6" i="37"/>
  <c r="BP7" i="37"/>
  <c r="BP8" i="37"/>
  <c r="BP9" i="37"/>
  <c r="BP10" i="37"/>
  <c r="BP11" i="37"/>
  <c r="BP12" i="37"/>
  <c r="BP13" i="37"/>
  <c r="BP14" i="37"/>
  <c r="BP15" i="37"/>
  <c r="BP16" i="37"/>
  <c r="BP17" i="37"/>
  <c r="BP18" i="37"/>
  <c r="BP19" i="37"/>
  <c r="BP20" i="37"/>
  <c r="BP21" i="37"/>
  <c r="BP22" i="37"/>
  <c r="BP23" i="37"/>
  <c r="BP24" i="37"/>
  <c r="BP25" i="37"/>
  <c r="BP26" i="37"/>
  <c r="BP27" i="37"/>
  <c r="BP28" i="37"/>
  <c r="BP29" i="37"/>
  <c r="BP30" i="37"/>
  <c r="BP31" i="37"/>
  <c r="BP32" i="37"/>
  <c r="BP33" i="37"/>
  <c r="BP34" i="37"/>
  <c r="BP35" i="37"/>
  <c r="BW3" i="37"/>
  <c r="BP3" i="37"/>
  <c r="BB4" i="37"/>
  <c r="BB5" i="37"/>
  <c r="BB6" i="37"/>
  <c r="BB7" i="37"/>
  <c r="BB8" i="37"/>
  <c r="BB9" i="37"/>
  <c r="BB10" i="37"/>
  <c r="BB11" i="37"/>
  <c r="BB12" i="37"/>
  <c r="BB13" i="37"/>
  <c r="BB14" i="37"/>
  <c r="BB15" i="37"/>
  <c r="BB16" i="37"/>
  <c r="BB17" i="37"/>
  <c r="BB18" i="37"/>
  <c r="BB19" i="37"/>
  <c r="BB20" i="37"/>
  <c r="BB21" i="37"/>
  <c r="BB22" i="37"/>
  <c r="BB23" i="37"/>
  <c r="BI3" i="37"/>
  <c r="AU4" i="37"/>
  <c r="AU5" i="37"/>
  <c r="AU6" i="37"/>
  <c r="AU7" i="37"/>
  <c r="AU8" i="37"/>
  <c r="AU9" i="37"/>
  <c r="AU10" i="37"/>
  <c r="AU11" i="37"/>
  <c r="AU12" i="37"/>
  <c r="AU13" i="37"/>
  <c r="AU14" i="37"/>
  <c r="AU15" i="37"/>
  <c r="AU16" i="37"/>
  <c r="AU17" i="37"/>
  <c r="BB3" i="37"/>
  <c r="AN4" i="37"/>
  <c r="AN5" i="37"/>
  <c r="AN6" i="37"/>
  <c r="AN7" i="37"/>
  <c r="AN8" i="37"/>
  <c r="AN9" i="37"/>
  <c r="AN10" i="37"/>
  <c r="AN11" i="37"/>
  <c r="AN12" i="37"/>
  <c r="AN13" i="37"/>
  <c r="AN14" i="37"/>
  <c r="AN15" i="37"/>
  <c r="AU3" i="37"/>
  <c r="AG4" i="37"/>
  <c r="AG5" i="37"/>
  <c r="AG6" i="37"/>
  <c r="AG7" i="37"/>
  <c r="AG8" i="37"/>
  <c r="AG9" i="37"/>
  <c r="AG10" i="37"/>
  <c r="AG11" i="37"/>
  <c r="AG12" i="37"/>
  <c r="AG13" i="37"/>
  <c r="AG14" i="37"/>
  <c r="AG15" i="37"/>
  <c r="AG16" i="37"/>
  <c r="AG17" i="37"/>
  <c r="AG18" i="37"/>
  <c r="AG19" i="37"/>
  <c r="AG20" i="37"/>
  <c r="AG21" i="37"/>
  <c r="AG22" i="37"/>
  <c r="AG23" i="37"/>
  <c r="AG24" i="37"/>
  <c r="AG25" i="37"/>
  <c r="AG26" i="37"/>
  <c r="AG27" i="37"/>
  <c r="AG28" i="37"/>
  <c r="AG29" i="37"/>
  <c r="AG30" i="37"/>
  <c r="AG31" i="37"/>
  <c r="AG32" i="37"/>
  <c r="AG33" i="37"/>
  <c r="AG34" i="37"/>
  <c r="AG35" i="37"/>
  <c r="AG36" i="37"/>
  <c r="AG37" i="37"/>
  <c r="AG38" i="37"/>
  <c r="AG39" i="37"/>
  <c r="AG40" i="37"/>
  <c r="AG41" i="37"/>
  <c r="AG42" i="37"/>
  <c r="AG43" i="37"/>
  <c r="AG44" i="37"/>
  <c r="AG45" i="37"/>
  <c r="AG46" i="37"/>
  <c r="AN3" i="37"/>
  <c r="Z4" i="37"/>
  <c r="Z5" i="37"/>
  <c r="Z6" i="37"/>
  <c r="Z7" i="37"/>
  <c r="Z8" i="37"/>
  <c r="Z9" i="37"/>
  <c r="Z10" i="37"/>
  <c r="Z11" i="37"/>
  <c r="Z12" i="37"/>
  <c r="Z13" i="37"/>
  <c r="Z14" i="37"/>
  <c r="Z15" i="37"/>
  <c r="AG3" i="37"/>
  <c r="S4" i="37"/>
  <c r="S5" i="37"/>
  <c r="S6" i="37"/>
  <c r="S7" i="37"/>
  <c r="S8" i="37"/>
  <c r="S9" i="37"/>
  <c r="S10" i="37"/>
  <c r="S11" i="37"/>
  <c r="S12" i="37"/>
  <c r="S13" i="37"/>
  <c r="S14" i="37"/>
  <c r="S15" i="37"/>
  <c r="S16" i="37"/>
  <c r="S17" i="37"/>
  <c r="S18" i="37"/>
  <c r="S19" i="37"/>
  <c r="S20" i="37"/>
  <c r="S21" i="37"/>
  <c r="S22" i="37"/>
  <c r="S23" i="37"/>
  <c r="Z3" i="37"/>
  <c r="L4" i="37"/>
  <c r="L5" i="37"/>
  <c r="L6" i="37"/>
  <c r="L7" i="37"/>
  <c r="L8" i="37"/>
  <c r="L9" i="37"/>
  <c r="L10" i="37"/>
  <c r="L11" i="37"/>
  <c r="L12" i="37"/>
  <c r="L13" i="37"/>
  <c r="L14" i="37"/>
  <c r="L15" i="37"/>
  <c r="L16" i="37"/>
  <c r="L17" i="37"/>
  <c r="L18" i="37"/>
  <c r="L19" i="37"/>
  <c r="L20" i="37"/>
  <c r="L21" i="37"/>
  <c r="L22" i="37"/>
  <c r="L23" i="37"/>
  <c r="L24" i="37"/>
  <c r="L25" i="37"/>
  <c r="L26" i="37"/>
  <c r="L27" i="37"/>
  <c r="L28" i="37"/>
  <c r="L29" i="37"/>
  <c r="L30" i="37"/>
  <c r="L31" i="37"/>
  <c r="L32" i="37"/>
  <c r="L33" i="37"/>
  <c r="L34" i="37"/>
  <c r="L35" i="37"/>
  <c r="L36" i="37"/>
  <c r="L37" i="37"/>
  <c r="L38" i="37"/>
  <c r="L39" i="37"/>
  <c r="L40" i="37"/>
  <c r="L41" i="37"/>
  <c r="S3" i="37"/>
  <c r="L3" i="37"/>
  <c r="E4" i="37"/>
  <c r="E5" i="37"/>
  <c r="E6" i="37"/>
  <c r="E7" i="37"/>
  <c r="E8" i="37"/>
  <c r="E9" i="37"/>
  <c r="E10" i="37"/>
  <c r="E11" i="37"/>
  <c r="E12" i="37"/>
  <c r="E13" i="37"/>
  <c r="E14" i="37"/>
  <c r="E15" i="37"/>
  <c r="E3" i="37"/>
  <c r="H6" i="22" l="1"/>
  <c r="G6" i="22"/>
  <c r="E5" i="22"/>
  <c r="D5" i="22"/>
  <c r="E6" i="22"/>
  <c r="G5" i="22"/>
  <c r="F5" i="22"/>
  <c r="F6" i="22"/>
  <c r="B7" i="22"/>
  <c r="C7" i="22" s="1"/>
  <c r="B8" i="22"/>
  <c r="C8" i="22" s="1"/>
  <c r="P5" i="22"/>
  <c r="Q5" i="22"/>
  <c r="N11" i="11"/>
  <c r="G739" i="97" s="1"/>
  <c r="N10" i="11"/>
  <c r="G738" i="97" s="1"/>
  <c r="N9" i="11"/>
  <c r="G737" i="97" s="1"/>
  <c r="K11" i="11"/>
  <c r="G717" i="97" s="1"/>
  <c r="K10" i="11"/>
  <c r="G716" i="97" s="1"/>
  <c r="G8" i="22" l="1"/>
  <c r="E8" i="22"/>
  <c r="F8" i="22"/>
  <c r="H8" i="22"/>
  <c r="D8" i="22"/>
  <c r="G7" i="22"/>
  <c r="H7" i="22"/>
  <c r="F7" i="22"/>
  <c r="D7" i="22"/>
  <c r="E7" i="22"/>
  <c r="P10" i="11"/>
  <c r="G757" i="97" s="1"/>
  <c r="G8" i="32"/>
  <c r="P11" i="11"/>
  <c r="G758" i="97" s="1"/>
  <c r="P9" i="11"/>
  <c r="G756" i="97" s="1"/>
  <c r="G5" i="32"/>
  <c r="G2211" i="97" s="1"/>
  <c r="P6" i="22"/>
  <c r="H5" i="32"/>
  <c r="G2222" i="97" s="1"/>
  <c r="Q6" i="22"/>
  <c r="B9" i="22"/>
  <c r="C9" i="22" s="1"/>
  <c r="M5" i="22"/>
  <c r="F9" i="22" l="1"/>
  <c r="H9" i="22"/>
  <c r="G9" i="22"/>
  <c r="E9" i="22"/>
  <c r="D9" i="22"/>
  <c r="J5" i="32"/>
  <c r="G2244" i="97" s="1"/>
  <c r="AM9" i="11"/>
  <c r="M6" i="22"/>
  <c r="Q7" i="22"/>
  <c r="X29" i="19"/>
  <c r="AM7" i="11"/>
  <c r="P7" i="22"/>
  <c r="P8" i="22"/>
  <c r="Q8" i="22"/>
  <c r="B10" i="22"/>
  <c r="C10" i="22" s="1"/>
  <c r="S23" i="8"/>
  <c r="R23" i="8"/>
  <c r="Q23" i="8"/>
  <c r="P23" i="8"/>
  <c r="D10" i="22" l="1"/>
  <c r="H10" i="22"/>
  <c r="G10" i="22"/>
  <c r="E10" i="22"/>
  <c r="F10" i="22"/>
  <c r="M7" i="22"/>
  <c r="M23" i="8"/>
  <c r="M8" i="22"/>
  <c r="B11" i="22"/>
  <c r="C11" i="22" s="1"/>
  <c r="P9" i="22"/>
  <c r="Q9" i="22"/>
  <c r="R24" i="4"/>
  <c r="Q24" i="4"/>
  <c r="P24" i="4"/>
  <c r="J24" i="4"/>
  <c r="G76" i="97" s="1"/>
  <c r="J41" i="34"/>
  <c r="G2390" i="97" s="1"/>
  <c r="B31" i="2"/>
  <c r="B30" i="2"/>
  <c r="G11" i="22" l="1"/>
  <c r="H11" i="22"/>
  <c r="F11" i="22"/>
  <c r="D11" i="22"/>
  <c r="E11" i="22"/>
  <c r="K24" i="4"/>
  <c r="G94" i="97" s="1"/>
  <c r="M24" i="4"/>
  <c r="R41" i="34"/>
  <c r="M9" i="22"/>
  <c r="P10" i="22"/>
  <c r="Q10" i="22"/>
  <c r="B12" i="22"/>
  <c r="C12" i="22" s="1"/>
  <c r="G12" i="22" l="1"/>
  <c r="H12" i="22"/>
  <c r="F12" i="22"/>
  <c r="E12" i="22"/>
  <c r="D12" i="22"/>
  <c r="B13" i="22"/>
  <c r="C13" i="22" s="1"/>
  <c r="M10" i="22"/>
  <c r="Q11" i="22"/>
  <c r="P11" i="22"/>
  <c r="F30" i="17"/>
  <c r="G1246" i="97" s="1"/>
  <c r="H31" i="18"/>
  <c r="G1413" i="97" s="1"/>
  <c r="F31" i="18"/>
  <c r="G1363" i="97" s="1"/>
  <c r="F13" i="22" l="1"/>
  <c r="H13" i="22"/>
  <c r="D13" i="22"/>
  <c r="G13" i="22"/>
  <c r="E13" i="22"/>
  <c r="I34" i="17"/>
  <c r="G1314" i="97" s="1"/>
  <c r="I31" i="18"/>
  <c r="G1439" i="97" s="1"/>
  <c r="M11" i="22"/>
  <c r="P12" i="22"/>
  <c r="Q12" i="22"/>
  <c r="B14" i="22"/>
  <c r="C14" i="22" s="1"/>
  <c r="I10" i="16"/>
  <c r="G1201" i="97" s="1"/>
  <c r="I9" i="16"/>
  <c r="G1200" i="97" s="1"/>
  <c r="I8" i="16"/>
  <c r="G1199" i="97" s="1"/>
  <c r="I7" i="16"/>
  <c r="G1198" i="97" s="1"/>
  <c r="I6" i="16"/>
  <c r="G1197" i="97" s="1"/>
  <c r="D14" i="22" l="1"/>
  <c r="F14" i="22"/>
  <c r="E14" i="22"/>
  <c r="G14" i="22"/>
  <c r="H14" i="22"/>
  <c r="P13" i="22"/>
  <c r="Q13" i="22"/>
  <c r="B15" i="22"/>
  <c r="C15" i="22" s="1"/>
  <c r="M12" i="22"/>
  <c r="N16" i="33"/>
  <c r="K16" i="33" s="1"/>
  <c r="G15" i="22" l="1"/>
  <c r="H15" i="22"/>
  <c r="E15" i="22"/>
  <c r="F15" i="22"/>
  <c r="D15" i="22"/>
  <c r="P14" i="22"/>
  <c r="Q14" i="22"/>
  <c r="M13" i="22"/>
  <c r="B16" i="22"/>
  <c r="C16" i="22" s="1"/>
  <c r="B8" i="2"/>
  <c r="B9" i="2"/>
  <c r="B10" i="2"/>
  <c r="B11" i="2"/>
  <c r="B12" i="2"/>
  <c r="C15" i="2"/>
  <c r="D15" i="2"/>
  <c r="B16" i="2"/>
  <c r="B17" i="2"/>
  <c r="B18" i="2"/>
  <c r="B19" i="2"/>
  <c r="B20" i="2"/>
  <c r="B21" i="2"/>
  <c r="B22" i="2"/>
  <c r="B23" i="2"/>
  <c r="B24" i="2"/>
  <c r="B29" i="2"/>
  <c r="B36" i="2"/>
  <c r="B37" i="2"/>
  <c r="B38" i="2"/>
  <c r="B39" i="2"/>
  <c r="B40" i="2"/>
  <c r="B41" i="2"/>
  <c r="B42" i="2"/>
  <c r="B43" i="2"/>
  <c r="B44" i="2"/>
  <c r="G16" i="22" l="1"/>
  <c r="H16" i="22"/>
  <c r="E16" i="22"/>
  <c r="F16" i="22"/>
  <c r="D16" i="22"/>
  <c r="BH23" i="72"/>
  <c r="BI22" i="72"/>
  <c r="BJ21" i="72"/>
  <c r="BF21" i="72"/>
  <c r="BG20" i="72"/>
  <c r="BH19" i="72"/>
  <c r="BI18" i="72"/>
  <c r="BJ13" i="72"/>
  <c r="BF13" i="72"/>
  <c r="BG12" i="72"/>
  <c r="BH11" i="72"/>
  <c r="BI10" i="72"/>
  <c r="BJ9" i="72"/>
  <c r="BF9" i="72"/>
  <c r="BG8" i="72"/>
  <c r="BF18" i="72"/>
  <c r="BI11" i="72"/>
  <c r="BF10" i="72"/>
  <c r="BH8" i="72"/>
  <c r="BG23" i="72"/>
  <c r="BH22" i="72"/>
  <c r="BI21" i="72"/>
  <c r="BJ20" i="72"/>
  <c r="BF20" i="72"/>
  <c r="BG19" i="72"/>
  <c r="BH18" i="72"/>
  <c r="BI13" i="72"/>
  <c r="BJ12" i="72"/>
  <c r="BF12" i="72"/>
  <c r="BG11" i="72"/>
  <c r="BH10" i="72"/>
  <c r="BI9" i="72"/>
  <c r="BJ8" i="72"/>
  <c r="BF8" i="72"/>
  <c r="BJ23" i="72"/>
  <c r="BF23" i="72"/>
  <c r="BG22" i="72"/>
  <c r="BH21" i="72"/>
  <c r="BI20" i="72"/>
  <c r="BJ19" i="72"/>
  <c r="BF19" i="72"/>
  <c r="BG18" i="72"/>
  <c r="BH13" i="72"/>
  <c r="BI12" i="72"/>
  <c r="BJ11" i="72"/>
  <c r="BF11" i="72"/>
  <c r="BG10" i="72"/>
  <c r="BH9" i="72"/>
  <c r="BI8" i="72"/>
  <c r="BI23" i="72"/>
  <c r="BJ22" i="72"/>
  <c r="BF22" i="72"/>
  <c r="BG21" i="72"/>
  <c r="BH20" i="72"/>
  <c r="BI19" i="72"/>
  <c r="BJ18" i="72"/>
  <c r="BG13" i="72"/>
  <c r="BH12" i="72"/>
  <c r="BJ10" i="72"/>
  <c r="BG9" i="72"/>
  <c r="O8" i="28"/>
  <c r="U23" i="27"/>
  <c r="U11" i="27"/>
  <c r="P43" i="15"/>
  <c r="W17" i="14"/>
  <c r="W10" i="14"/>
  <c r="O26" i="12"/>
  <c r="O21" i="12"/>
  <c r="O12" i="12"/>
  <c r="O8" i="12"/>
  <c r="O10" i="28"/>
  <c r="O6" i="28"/>
  <c r="P49" i="15"/>
  <c r="W8" i="14"/>
  <c r="O35" i="12"/>
  <c r="O16" i="12"/>
  <c r="O10" i="12"/>
  <c r="U7" i="27"/>
  <c r="W18" i="14"/>
  <c r="W7" i="14"/>
  <c r="O30" i="12"/>
  <c r="O22" i="12"/>
  <c r="O9" i="12"/>
  <c r="O7" i="28"/>
  <c r="U20" i="27"/>
  <c r="U10" i="27"/>
  <c r="W26" i="14"/>
  <c r="W16" i="14"/>
  <c r="W9" i="14"/>
  <c r="O36" i="12"/>
  <c r="O24" i="12"/>
  <c r="O20" i="12"/>
  <c r="O11" i="12"/>
  <c r="O7" i="12"/>
  <c r="U16" i="27"/>
  <c r="W25" i="14"/>
  <c r="W15" i="14"/>
  <c r="O23" i="12"/>
  <c r="O9" i="28"/>
  <c r="U12" i="27"/>
  <c r="P45" i="15"/>
  <c r="W11" i="14"/>
  <c r="O13" i="12"/>
  <c r="L37" i="15"/>
  <c r="L19" i="19"/>
  <c r="L41" i="87"/>
  <c r="I41" i="87" s="1"/>
  <c r="L39" i="87"/>
  <c r="I39" i="87" s="1"/>
  <c r="L37" i="87"/>
  <c r="I37" i="87" s="1"/>
  <c r="L33" i="87"/>
  <c r="I33" i="87" s="1"/>
  <c r="L31" i="87"/>
  <c r="I31" i="87" s="1"/>
  <c r="L27" i="87"/>
  <c r="I27" i="87" s="1"/>
  <c r="L25" i="87"/>
  <c r="I25" i="87" s="1"/>
  <c r="L23" i="87"/>
  <c r="I23" i="87" s="1"/>
  <c r="L19" i="87"/>
  <c r="I19" i="87" s="1"/>
  <c r="L15" i="87"/>
  <c r="I15" i="87" s="1"/>
  <c r="L11" i="87"/>
  <c r="I11" i="87" s="1"/>
  <c r="L9" i="87"/>
  <c r="I9" i="87" s="1"/>
  <c r="L7" i="87"/>
  <c r="I7" i="87" s="1"/>
  <c r="L40" i="87"/>
  <c r="I40" i="87" s="1"/>
  <c r="L38" i="87"/>
  <c r="I38" i="87" s="1"/>
  <c r="L34" i="87"/>
  <c r="I34" i="87" s="1"/>
  <c r="L32" i="87"/>
  <c r="I32" i="87" s="1"/>
  <c r="L30" i="87"/>
  <c r="I30" i="87" s="1"/>
  <c r="L26" i="87"/>
  <c r="I26" i="87" s="1"/>
  <c r="L24" i="87"/>
  <c r="I24" i="87" s="1"/>
  <c r="L20" i="87"/>
  <c r="I20" i="87" s="1"/>
  <c r="L16" i="87"/>
  <c r="I16" i="87" s="1"/>
  <c r="L14" i="87"/>
  <c r="I14" i="87" s="1"/>
  <c r="L10" i="87"/>
  <c r="I10" i="87" s="1"/>
  <c r="L8" i="87"/>
  <c r="I8" i="87" s="1"/>
  <c r="L6" i="87"/>
  <c r="AA37" i="66"/>
  <c r="J19" i="67"/>
  <c r="M9" i="67"/>
  <c r="J9" i="67" s="1"/>
  <c r="M10" i="67"/>
  <c r="J10" i="67" s="1"/>
  <c r="M8" i="67"/>
  <c r="J8" i="67" s="1"/>
  <c r="M6" i="67"/>
  <c r="J6" i="67" s="1"/>
  <c r="M7" i="67"/>
  <c r="J7" i="67" s="1"/>
  <c r="M11" i="67"/>
  <c r="J11" i="67" s="1"/>
  <c r="AU8" i="66"/>
  <c r="AQ8" i="66"/>
  <c r="AL8" i="66"/>
  <c r="AH8" i="66"/>
  <c r="AK8" i="66"/>
  <c r="AN8" i="66"/>
  <c r="AE8" i="66"/>
  <c r="AT8" i="66"/>
  <c r="AP8" i="66"/>
  <c r="AG8" i="66"/>
  <c r="AS8" i="66"/>
  <c r="AO8" i="66"/>
  <c r="AJ8" i="66"/>
  <c r="AF8" i="66"/>
  <c r="AR8" i="66"/>
  <c r="AI8" i="66"/>
  <c r="AT35" i="66"/>
  <c r="AP35" i="66"/>
  <c r="AT34" i="66"/>
  <c r="AP34" i="66"/>
  <c r="AT33" i="66"/>
  <c r="AP33" i="66"/>
  <c r="AT32" i="66"/>
  <c r="AP32" i="66"/>
  <c r="AT31" i="66"/>
  <c r="AP31" i="66"/>
  <c r="AT30" i="66"/>
  <c r="AP30" i="66"/>
  <c r="AT29" i="66"/>
  <c r="AP29" i="66"/>
  <c r="AT28" i="66"/>
  <c r="AP28" i="66"/>
  <c r="AT27" i="66"/>
  <c r="AP27" i="66"/>
  <c r="AT26" i="66"/>
  <c r="AP26" i="66"/>
  <c r="AT25" i="66"/>
  <c r="AP25" i="66"/>
  <c r="AT24" i="66"/>
  <c r="AP24" i="66"/>
  <c r="AT23" i="66"/>
  <c r="AP23" i="66"/>
  <c r="AT22" i="66"/>
  <c r="AP22" i="66"/>
  <c r="AT21" i="66"/>
  <c r="AP21" i="66"/>
  <c r="AT20" i="66"/>
  <c r="AP20" i="66"/>
  <c r="AT19" i="66"/>
  <c r="AP19" i="66"/>
  <c r="AT18" i="66"/>
  <c r="AP18" i="66"/>
  <c r="AT17" i="66"/>
  <c r="AP17" i="66"/>
  <c r="AT16" i="66"/>
  <c r="AP16" i="66"/>
  <c r="AT15" i="66"/>
  <c r="AP15" i="66"/>
  <c r="AT14" i="66"/>
  <c r="AP14" i="66"/>
  <c r="AT13" i="66"/>
  <c r="AP13" i="66"/>
  <c r="AT12" i="66"/>
  <c r="AP12" i="66"/>
  <c r="AT11" i="66"/>
  <c r="AP11" i="66"/>
  <c r="AT10" i="66"/>
  <c r="AP10" i="66"/>
  <c r="AT9" i="66"/>
  <c r="AP9" i="66"/>
  <c r="AS35" i="66"/>
  <c r="AO35" i="66"/>
  <c r="AS34" i="66"/>
  <c r="AO34" i="66"/>
  <c r="AS33" i="66"/>
  <c r="AO33" i="66"/>
  <c r="AS32" i="66"/>
  <c r="AO32" i="66"/>
  <c r="AS31" i="66"/>
  <c r="AO31" i="66"/>
  <c r="AS30" i="66"/>
  <c r="AO30" i="66"/>
  <c r="AS29" i="66"/>
  <c r="AO29" i="66"/>
  <c r="AS28" i="66"/>
  <c r="AO28" i="66"/>
  <c r="AS27" i="66"/>
  <c r="AO27" i="66"/>
  <c r="AS26" i="66"/>
  <c r="AO26" i="66"/>
  <c r="AS25" i="66"/>
  <c r="AO25" i="66"/>
  <c r="AS24" i="66"/>
  <c r="AO24" i="66"/>
  <c r="AS23" i="66"/>
  <c r="AO23" i="66"/>
  <c r="AS22" i="66"/>
  <c r="AO22" i="66"/>
  <c r="AR35" i="66"/>
  <c r="AR34" i="66"/>
  <c r="AR33" i="66"/>
  <c r="AR32" i="66"/>
  <c r="AR31" i="66"/>
  <c r="AR30" i="66"/>
  <c r="AR29" i="66"/>
  <c r="AR28" i="66"/>
  <c r="AR27" i="66"/>
  <c r="AR26" i="66"/>
  <c r="AR25" i="66"/>
  <c r="AR24" i="66"/>
  <c r="AR23" i="66"/>
  <c r="AR22" i="66"/>
  <c r="AS21" i="66"/>
  <c r="AN21" i="66"/>
  <c r="AQ20" i="66"/>
  <c r="AS19" i="66"/>
  <c r="AN19" i="66"/>
  <c r="AQ18" i="66"/>
  <c r="AS17" i="66"/>
  <c r="AN17" i="66"/>
  <c r="AQ16" i="66"/>
  <c r="AS15" i="66"/>
  <c r="AN15" i="66"/>
  <c r="AQ14" i="66"/>
  <c r="AS13" i="66"/>
  <c r="AN13" i="66"/>
  <c r="AQ12" i="66"/>
  <c r="AS11" i="66"/>
  <c r="AN11" i="66"/>
  <c r="AQ10" i="66"/>
  <c r="AS9" i="66"/>
  <c r="AN9" i="66"/>
  <c r="AQ35" i="66"/>
  <c r="AQ34" i="66"/>
  <c r="AQ33" i="66"/>
  <c r="AQ32" i="66"/>
  <c r="AQ31" i="66"/>
  <c r="AQ30" i="66"/>
  <c r="AQ29" i="66"/>
  <c r="AQ28" i="66"/>
  <c r="AQ27" i="66"/>
  <c r="AQ26" i="66"/>
  <c r="AQ25" i="66"/>
  <c r="AQ24" i="66"/>
  <c r="AQ23" i="66"/>
  <c r="AQ22" i="66"/>
  <c r="AR21" i="66"/>
  <c r="AU20" i="66"/>
  <c r="AO20" i="66"/>
  <c r="AR19" i="66"/>
  <c r="AU18" i="66"/>
  <c r="AO18" i="66"/>
  <c r="AR17" i="66"/>
  <c r="AU16" i="66"/>
  <c r="AO16" i="66"/>
  <c r="AR15" i="66"/>
  <c r="AU14" i="66"/>
  <c r="AO14" i="66"/>
  <c r="AR13" i="66"/>
  <c r="AU12" i="66"/>
  <c r="AO12" i="66"/>
  <c r="AR11" i="66"/>
  <c r="AU10" i="66"/>
  <c r="AO10" i="66"/>
  <c r="AR9" i="66"/>
  <c r="AN34" i="66"/>
  <c r="AN32" i="66"/>
  <c r="AN30" i="66"/>
  <c r="AN28" i="66"/>
  <c r="AN26" i="66"/>
  <c r="AN24" i="66"/>
  <c r="AN22" i="66"/>
  <c r="AS20" i="66"/>
  <c r="AQ19" i="66"/>
  <c r="AN18" i="66"/>
  <c r="AS16" i="66"/>
  <c r="AQ15" i="66"/>
  <c r="AN14" i="66"/>
  <c r="AS12" i="66"/>
  <c r="AQ11" i="66"/>
  <c r="AN10" i="66"/>
  <c r="AU32" i="66"/>
  <c r="AU28" i="66"/>
  <c r="AU26" i="66"/>
  <c r="AU22" i="66"/>
  <c r="AU19" i="66"/>
  <c r="AO17" i="66"/>
  <c r="AR14" i="66"/>
  <c r="AO13" i="66"/>
  <c r="AR10" i="66"/>
  <c r="AU35" i="66"/>
  <c r="AU33" i="66"/>
  <c r="AU31" i="66"/>
  <c r="AU29" i="66"/>
  <c r="AU27" i="66"/>
  <c r="AU25" i="66"/>
  <c r="AU23" i="66"/>
  <c r="AU21" i="66"/>
  <c r="AR20" i="66"/>
  <c r="AO19" i="66"/>
  <c r="AU17" i="66"/>
  <c r="AR16" i="66"/>
  <c r="AO15" i="66"/>
  <c r="AU13" i="66"/>
  <c r="AR12" i="66"/>
  <c r="AO11" i="66"/>
  <c r="AU9" i="66"/>
  <c r="AN35" i="66"/>
  <c r="AN33" i="66"/>
  <c r="AN31" i="66"/>
  <c r="AN29" i="66"/>
  <c r="AN27" i="66"/>
  <c r="AN25" i="66"/>
  <c r="AN23" i="66"/>
  <c r="AQ21" i="66"/>
  <c r="AN20" i="66"/>
  <c r="AS18" i="66"/>
  <c r="AQ17" i="66"/>
  <c r="AN16" i="66"/>
  <c r="AS14" i="66"/>
  <c r="AQ13" i="66"/>
  <c r="AN12" i="66"/>
  <c r="AS10" i="66"/>
  <c r="AQ9" i="66"/>
  <c r="AU34" i="66"/>
  <c r="AU30" i="66"/>
  <c r="AU24" i="66"/>
  <c r="AO21" i="66"/>
  <c r="AR18" i="66"/>
  <c r="AU15" i="66"/>
  <c r="AU11" i="66"/>
  <c r="AO9" i="66"/>
  <c r="X50" i="76"/>
  <c r="X39" i="76"/>
  <c r="X23" i="76"/>
  <c r="X46" i="76"/>
  <c r="X38" i="76"/>
  <c r="X32" i="76"/>
  <c r="X34" i="76"/>
  <c r="X48" i="76"/>
  <c r="X22" i="76"/>
  <c r="L6" i="9"/>
  <c r="L6" i="78"/>
  <c r="L6" i="20"/>
  <c r="L6" i="25"/>
  <c r="W68" i="76"/>
  <c r="V67" i="76"/>
  <c r="U66" i="76"/>
  <c r="W61" i="76"/>
  <c r="V60" i="76"/>
  <c r="U59" i="76"/>
  <c r="W50" i="76"/>
  <c r="V46" i="76"/>
  <c r="Y48" i="76"/>
  <c r="W39" i="76"/>
  <c r="V38" i="76"/>
  <c r="Z34" i="76"/>
  <c r="U34" i="76"/>
  <c r="AA32" i="76"/>
  <c r="V32" i="76"/>
  <c r="Z23" i="76"/>
  <c r="U23" i="76"/>
  <c r="Y22" i="76"/>
  <c r="O21" i="73"/>
  <c r="O19" i="73"/>
  <c r="O17" i="73"/>
  <c r="O12" i="73"/>
  <c r="O10" i="73"/>
  <c r="O8" i="73"/>
  <c r="O6" i="73"/>
  <c r="AL36" i="72"/>
  <c r="AI36" i="72" s="1"/>
  <c r="AL32" i="72"/>
  <c r="AI32" i="72" s="1"/>
  <c r="BB23" i="72"/>
  <c r="AX23" i="72"/>
  <c r="AP23" i="72"/>
  <c r="AL23" i="72"/>
  <c r="BC22" i="72"/>
  <c r="AU22" i="72"/>
  <c r="AQ22" i="72"/>
  <c r="AM22" i="72"/>
  <c r="BD21" i="72"/>
  <c r="AZ21" i="72"/>
  <c r="AV21" i="72"/>
  <c r="AR21" i="72"/>
  <c r="AN21" i="72"/>
  <c r="BA20" i="72"/>
  <c r="AW20" i="72"/>
  <c r="AO20" i="72"/>
  <c r="BB19" i="72"/>
  <c r="AX19" i="72"/>
  <c r="AP19" i="72"/>
  <c r="AL19" i="72"/>
  <c r="BC18" i="72"/>
  <c r="AU18" i="72"/>
  <c r="AQ18" i="72"/>
  <c r="AM18" i="72"/>
  <c r="BD13" i="72"/>
  <c r="AZ13" i="72"/>
  <c r="AV13" i="72"/>
  <c r="AR13" i="72"/>
  <c r="AN13" i="72"/>
  <c r="BA12" i="72"/>
  <c r="AW12" i="72"/>
  <c r="AO12" i="72"/>
  <c r="BB11" i="72"/>
  <c r="AX11" i="72"/>
  <c r="AP11" i="72"/>
  <c r="AL11" i="72"/>
  <c r="BC10" i="72"/>
  <c r="V68" i="76"/>
  <c r="U67" i="76"/>
  <c r="W62" i="76"/>
  <c r="V61" i="76"/>
  <c r="U60" i="76"/>
  <c r="W58" i="76"/>
  <c r="V50" i="76"/>
  <c r="U46" i="76"/>
  <c r="W48" i="76"/>
  <c r="V39" i="76"/>
  <c r="U38" i="76"/>
  <c r="Y34" i="76"/>
  <c r="Z32" i="76"/>
  <c r="U32" i="76"/>
  <c r="Y23" i="76"/>
  <c r="AB22" i="76"/>
  <c r="W22" i="76"/>
  <c r="N21" i="73"/>
  <c r="N19" i="73"/>
  <c r="N17" i="73"/>
  <c r="N12" i="73"/>
  <c r="N10" i="73"/>
  <c r="N8" i="73"/>
  <c r="N6" i="73"/>
  <c r="AL35" i="72"/>
  <c r="AI35" i="72" s="1"/>
  <c r="AL31" i="72"/>
  <c r="AI31" i="72" s="1"/>
  <c r="BA23" i="72"/>
  <c r="AW23" i="72"/>
  <c r="AO23" i="72"/>
  <c r="BB22" i="72"/>
  <c r="AX22" i="72"/>
  <c r="AP22" i="72"/>
  <c r="AL22" i="72"/>
  <c r="BC21" i="72"/>
  <c r="AU21" i="72"/>
  <c r="AQ21" i="72"/>
  <c r="AM21" i="72"/>
  <c r="BD20" i="72"/>
  <c r="AZ20" i="72"/>
  <c r="AV20" i="72"/>
  <c r="AR20" i="72"/>
  <c r="AN20" i="72"/>
  <c r="BA19" i="72"/>
  <c r="AW19" i="72"/>
  <c r="AO19" i="72"/>
  <c r="BB18" i="72"/>
  <c r="AX18" i="72"/>
  <c r="AP18" i="72"/>
  <c r="AL18" i="72"/>
  <c r="BC13" i="72"/>
  <c r="AU13" i="72"/>
  <c r="AQ13" i="72"/>
  <c r="AM13" i="72"/>
  <c r="BD12" i="72"/>
  <c r="AZ12" i="72"/>
  <c r="AV12" i="72"/>
  <c r="AR12" i="72"/>
  <c r="AN12" i="72"/>
  <c r="BA11" i="72"/>
  <c r="AW11" i="72"/>
  <c r="AO11" i="72"/>
  <c r="BB10" i="72"/>
  <c r="U68" i="76"/>
  <c r="W66" i="76"/>
  <c r="V62" i="76"/>
  <c r="U61" i="76"/>
  <c r="W59" i="76"/>
  <c r="V58" i="76"/>
  <c r="U50" i="76"/>
  <c r="Y46" i="76"/>
  <c r="V48" i="76"/>
  <c r="U39" i="76"/>
  <c r="Y38" i="76"/>
  <c r="AB34" i="76"/>
  <c r="W34" i="76"/>
  <c r="Y32" i="76"/>
  <c r="AB23" i="76"/>
  <c r="W23" i="76"/>
  <c r="AA22" i="76"/>
  <c r="V22" i="76"/>
  <c r="O20" i="73"/>
  <c r="O18" i="73"/>
  <c r="O13" i="73"/>
  <c r="O11" i="73"/>
  <c r="O9" i="73"/>
  <c r="O7" i="73"/>
  <c r="AL38" i="72"/>
  <c r="AI38" i="72" s="1"/>
  <c r="AL34" i="72"/>
  <c r="AI34" i="72" s="1"/>
  <c r="AL30" i="72"/>
  <c r="AI30" i="72" s="1"/>
  <c r="BD23" i="72"/>
  <c r="AZ23" i="72"/>
  <c r="AV23" i="72"/>
  <c r="AR23" i="72"/>
  <c r="AN23" i="72"/>
  <c r="BA22" i="72"/>
  <c r="AW22" i="72"/>
  <c r="AO22" i="72"/>
  <c r="BB21" i="72"/>
  <c r="AX21" i="72"/>
  <c r="AP21" i="72"/>
  <c r="AL21" i="72"/>
  <c r="BC20" i="72"/>
  <c r="AU20" i="72"/>
  <c r="AQ20" i="72"/>
  <c r="AM20" i="72"/>
  <c r="BD19" i="72"/>
  <c r="AZ19" i="72"/>
  <c r="AV19" i="72"/>
  <c r="AR19" i="72"/>
  <c r="AN19" i="72"/>
  <c r="BA18" i="72"/>
  <c r="AW18" i="72"/>
  <c r="AO18" i="72"/>
  <c r="BB13" i="72"/>
  <c r="AX13" i="72"/>
  <c r="AP13" i="72"/>
  <c r="AL13" i="72"/>
  <c r="BC12" i="72"/>
  <c r="AU12" i="72"/>
  <c r="AQ12" i="72"/>
  <c r="AM12" i="72"/>
  <c r="BD11" i="72"/>
  <c r="AZ11" i="72"/>
  <c r="AV11" i="72"/>
  <c r="AR11" i="72"/>
  <c r="AN11" i="72"/>
  <c r="BA10" i="72"/>
  <c r="W67" i="76"/>
  <c r="V59" i="76"/>
  <c r="W46" i="76"/>
  <c r="U48" i="76"/>
  <c r="AA34" i="76"/>
  <c r="V23" i="76"/>
  <c r="N18" i="73"/>
  <c r="N7" i="73"/>
  <c r="BC23" i="72"/>
  <c r="AM23" i="72"/>
  <c r="AR22" i="72"/>
  <c r="AW21" i="72"/>
  <c r="BB20" i="72"/>
  <c r="AL20" i="72"/>
  <c r="AQ19" i="72"/>
  <c r="AV18" i="72"/>
  <c r="BA13" i="72"/>
  <c r="AP12" i="72"/>
  <c r="AU11" i="72"/>
  <c r="AZ10" i="72"/>
  <c r="AV10" i="72"/>
  <c r="AR10" i="72"/>
  <c r="AN10" i="72"/>
  <c r="BA9" i="72"/>
  <c r="AW9" i="72"/>
  <c r="AO9" i="72"/>
  <c r="BB8" i="72"/>
  <c r="AX8" i="72"/>
  <c r="AP8" i="72"/>
  <c r="AL8" i="72"/>
  <c r="M49" i="71"/>
  <c r="J49" i="71" s="1"/>
  <c r="M42" i="71"/>
  <c r="J42" i="71" s="1"/>
  <c r="M35" i="71"/>
  <c r="J35" i="71" s="1"/>
  <c r="M26" i="71"/>
  <c r="J26" i="71" s="1"/>
  <c r="M22" i="71"/>
  <c r="J22" i="71" s="1"/>
  <c r="M18" i="71"/>
  <c r="J18" i="71" s="1"/>
  <c r="M14" i="71"/>
  <c r="J14" i="71" s="1"/>
  <c r="M10" i="71"/>
  <c r="J10" i="71" s="1"/>
  <c r="M6" i="71"/>
  <c r="V66" i="76"/>
  <c r="U58" i="76"/>
  <c r="Y39" i="76"/>
  <c r="V34" i="76"/>
  <c r="AB32" i="76"/>
  <c r="Z22" i="76"/>
  <c r="N13" i="73"/>
  <c r="AL37" i="72"/>
  <c r="AI37" i="72" s="1"/>
  <c r="BD22" i="72"/>
  <c r="AN22" i="72"/>
  <c r="AX20" i="72"/>
  <c r="BC19" i="72"/>
  <c r="AM19" i="72"/>
  <c r="AR18" i="72"/>
  <c r="AW13" i="72"/>
  <c r="BB12" i="72"/>
  <c r="AL12" i="72"/>
  <c r="AQ11" i="72"/>
  <c r="AU10" i="72"/>
  <c r="AQ10" i="72"/>
  <c r="AM10" i="72"/>
  <c r="BD9" i="72"/>
  <c r="AZ9" i="72"/>
  <c r="AV9" i="72"/>
  <c r="AR9" i="72"/>
  <c r="AN9" i="72"/>
  <c r="BA8" i="72"/>
  <c r="AW8" i="72"/>
  <c r="AO8" i="72"/>
  <c r="M55" i="71"/>
  <c r="J55" i="71" s="1"/>
  <c r="M48" i="71"/>
  <c r="J48" i="71" s="1"/>
  <c r="M41" i="71"/>
  <c r="J41" i="71" s="1"/>
  <c r="M31" i="71"/>
  <c r="J31" i="71" s="1"/>
  <c r="M25" i="71"/>
  <c r="J25" i="71" s="1"/>
  <c r="M21" i="71"/>
  <c r="J21" i="71" s="1"/>
  <c r="M17" i="71"/>
  <c r="J17" i="71" s="1"/>
  <c r="M13" i="71"/>
  <c r="J13" i="71" s="1"/>
  <c r="M9" i="71"/>
  <c r="J9" i="71" s="1"/>
  <c r="U62" i="76"/>
  <c r="Y50" i="76"/>
  <c r="W32" i="76"/>
  <c r="U22" i="76"/>
  <c r="N11" i="73"/>
  <c r="AL33" i="72"/>
  <c r="AI33" i="72" s="1"/>
  <c r="AU23" i="72"/>
  <c r="AZ22" i="72"/>
  <c r="AO21" i="72"/>
  <c r="BD18" i="72"/>
  <c r="AN18" i="72"/>
  <c r="AX12" i="72"/>
  <c r="BC11" i="72"/>
  <c r="AM11" i="72"/>
  <c r="AX10" i="72"/>
  <c r="AP10" i="72"/>
  <c r="AL10" i="72"/>
  <c r="BC9" i="72"/>
  <c r="AU9" i="72"/>
  <c r="AQ9" i="72"/>
  <c r="AM9" i="72"/>
  <c r="BD8" i="72"/>
  <c r="AZ8" i="72"/>
  <c r="AV8" i="72"/>
  <c r="AR8" i="72"/>
  <c r="AN8" i="72"/>
  <c r="M53" i="71"/>
  <c r="J53" i="71" s="1"/>
  <c r="M46" i="71"/>
  <c r="J46" i="71" s="1"/>
  <c r="M38" i="71"/>
  <c r="J38" i="71" s="1"/>
  <c r="M30" i="71"/>
  <c r="J30" i="71" s="1"/>
  <c r="M24" i="71"/>
  <c r="J24" i="71" s="1"/>
  <c r="M20" i="71"/>
  <c r="J20" i="71" s="1"/>
  <c r="M16" i="71"/>
  <c r="J16" i="71" s="1"/>
  <c r="M12" i="71"/>
  <c r="J12" i="71" s="1"/>
  <c r="M8" i="71"/>
  <c r="J8" i="71" s="1"/>
  <c r="W60" i="76"/>
  <c r="AL29" i="72"/>
  <c r="AI29" i="72" s="1"/>
  <c r="BD10" i="72"/>
  <c r="AP9" i="72"/>
  <c r="AU8" i="72"/>
  <c r="M43" i="71"/>
  <c r="J43" i="71" s="1"/>
  <c r="M19" i="71"/>
  <c r="J19" i="71" s="1"/>
  <c r="AL35" i="66"/>
  <c r="AH35" i="66"/>
  <c r="AL34" i="66"/>
  <c r="AH34" i="66"/>
  <c r="AL33" i="66"/>
  <c r="AH33" i="66"/>
  <c r="AL32" i="66"/>
  <c r="AH32" i="66"/>
  <c r="AL31" i="66"/>
  <c r="AH31" i="66"/>
  <c r="AL30" i="66"/>
  <c r="AH30" i="66"/>
  <c r="AL29" i="66"/>
  <c r="AH29" i="66"/>
  <c r="AL28" i="66"/>
  <c r="AH28" i="66"/>
  <c r="AL27" i="66"/>
  <c r="AH27" i="66"/>
  <c r="AL26" i="66"/>
  <c r="AH26" i="66"/>
  <c r="AL25" i="66"/>
  <c r="AH25" i="66"/>
  <c r="AL24" i="66"/>
  <c r="AH24" i="66"/>
  <c r="AL23" i="66"/>
  <c r="AH23" i="66"/>
  <c r="AL22" i="66"/>
  <c r="AH22" i="66"/>
  <c r="AL21" i="66"/>
  <c r="AA23" i="76"/>
  <c r="AQ23" i="72"/>
  <c r="AP20" i="72"/>
  <c r="AO13" i="72"/>
  <c r="AW10" i="72"/>
  <c r="BB9" i="72"/>
  <c r="AL9" i="72"/>
  <c r="AQ8" i="72"/>
  <c r="M37" i="71"/>
  <c r="J37" i="71" s="1"/>
  <c r="M15" i="71"/>
  <c r="J15" i="71" s="1"/>
  <c r="AK35" i="66"/>
  <c r="AG35" i="66"/>
  <c r="AK34" i="66"/>
  <c r="AG34" i="66"/>
  <c r="AK33" i="66"/>
  <c r="AG33" i="66"/>
  <c r="AK32" i="66"/>
  <c r="AG32" i="66"/>
  <c r="AK31" i="66"/>
  <c r="AG31" i="66"/>
  <c r="AK30" i="66"/>
  <c r="AG30" i="66"/>
  <c r="AK29" i="66"/>
  <c r="AG29" i="66"/>
  <c r="AK28" i="66"/>
  <c r="AG28" i="66"/>
  <c r="AK27" i="66"/>
  <c r="AG27" i="66"/>
  <c r="AK26" i="66"/>
  <c r="AG26" i="66"/>
  <c r="AK25" i="66"/>
  <c r="AG25" i="66"/>
  <c r="AK24" i="66"/>
  <c r="AG24" i="66"/>
  <c r="AK23" i="66"/>
  <c r="AG23" i="66"/>
  <c r="AK22" i="66"/>
  <c r="AG22" i="66"/>
  <c r="AK21" i="66"/>
  <c r="N20" i="73"/>
  <c r="AV22" i="72"/>
  <c r="AU19" i="72"/>
  <c r="AX9" i="72"/>
  <c r="BC8" i="72"/>
  <c r="AM8" i="72"/>
  <c r="M27" i="71"/>
  <c r="J27" i="71" s="1"/>
  <c r="M11" i="71"/>
  <c r="J11" i="71" s="1"/>
  <c r="AJ35" i="66"/>
  <c r="AF35" i="66"/>
  <c r="AJ34" i="66"/>
  <c r="AF34" i="66"/>
  <c r="AJ33" i="66"/>
  <c r="AF33" i="66"/>
  <c r="AJ32" i="66"/>
  <c r="AF32" i="66"/>
  <c r="AJ31" i="66"/>
  <c r="AF31" i="66"/>
  <c r="AJ30" i="66"/>
  <c r="AF30" i="66"/>
  <c r="AJ29" i="66"/>
  <c r="AF29" i="66"/>
  <c r="AJ28" i="66"/>
  <c r="AF28" i="66"/>
  <c r="AJ27" i="66"/>
  <c r="AF27" i="66"/>
  <c r="AJ26" i="66"/>
  <c r="AF26" i="66"/>
  <c r="AJ25" i="66"/>
  <c r="AF25" i="66"/>
  <c r="AJ24" i="66"/>
  <c r="AF24" i="66"/>
  <c r="AJ23" i="66"/>
  <c r="AF23" i="66"/>
  <c r="AJ22" i="66"/>
  <c r="AF22" i="66"/>
  <c r="AJ21" i="66"/>
  <c r="W38" i="76"/>
  <c r="M50" i="71"/>
  <c r="J50" i="71" s="1"/>
  <c r="AI35" i="66"/>
  <c r="AI34" i="66"/>
  <c r="AI33" i="66"/>
  <c r="AI32" i="66"/>
  <c r="AI31" i="66"/>
  <c r="AI30" i="66"/>
  <c r="AI29" i="66"/>
  <c r="AI28" i="66"/>
  <c r="AI27" i="66"/>
  <c r="AI26" i="66"/>
  <c r="AI25" i="66"/>
  <c r="AI24" i="66"/>
  <c r="AI23" i="66"/>
  <c r="AI22" i="66"/>
  <c r="AI21" i="66"/>
  <c r="AE21" i="66"/>
  <c r="AI20" i="66"/>
  <c r="AE20" i="66"/>
  <c r="AI19" i="66"/>
  <c r="AE19" i="66"/>
  <c r="AI18" i="66"/>
  <c r="AE18" i="66"/>
  <c r="AI17" i="66"/>
  <c r="AE17" i="66"/>
  <c r="AI16" i="66"/>
  <c r="AE16" i="66"/>
  <c r="AI15" i="66"/>
  <c r="AE15" i="66"/>
  <c r="AI14" i="66"/>
  <c r="AE14" i="66"/>
  <c r="AI13" i="66"/>
  <c r="AE13" i="66"/>
  <c r="AI12" i="66"/>
  <c r="AE12" i="66"/>
  <c r="AI11" i="66"/>
  <c r="AE11" i="66"/>
  <c r="AI10" i="66"/>
  <c r="AE10" i="66"/>
  <c r="AI9" i="66"/>
  <c r="AE9" i="66"/>
  <c r="Z35" i="64"/>
  <c r="V35" i="64"/>
  <c r="Z34" i="64"/>
  <c r="V34" i="64"/>
  <c r="Z30" i="64"/>
  <c r="V30" i="64"/>
  <c r="Z28" i="64"/>
  <c r="V28" i="64"/>
  <c r="Z26" i="64"/>
  <c r="V26" i="64"/>
  <c r="Z25" i="64"/>
  <c r="V25" i="64"/>
  <c r="Z24" i="64"/>
  <c r="V24" i="64"/>
  <c r="Z23" i="64"/>
  <c r="V23" i="64"/>
  <c r="Z22" i="64"/>
  <c r="V22" i="64"/>
  <c r="Z18" i="64"/>
  <c r="V18" i="64"/>
  <c r="Z15" i="64"/>
  <c r="V15" i="64"/>
  <c r="Z14" i="64"/>
  <c r="V14" i="64"/>
  <c r="Z13" i="64"/>
  <c r="V13" i="64"/>
  <c r="Z12" i="64"/>
  <c r="V12" i="64"/>
  <c r="Z10" i="64"/>
  <c r="V10" i="64"/>
  <c r="Z9" i="64"/>
  <c r="V9" i="64"/>
  <c r="Z8" i="64"/>
  <c r="V8" i="64"/>
  <c r="Z7" i="64"/>
  <c r="V7" i="64"/>
  <c r="AF20" i="66"/>
  <c r="AJ19" i="66"/>
  <c r="AF17" i="66"/>
  <c r="AJ16" i="66"/>
  <c r="AF14" i="66"/>
  <c r="AJ13" i="66"/>
  <c r="AF11" i="66"/>
  <c r="AJ10" i="66"/>
  <c r="W35" i="64"/>
  <c r="AA30" i="64"/>
  <c r="W28" i="64"/>
  <c r="AA25" i="64"/>
  <c r="W24" i="64"/>
  <c r="AA22" i="64"/>
  <c r="W18" i="64"/>
  <c r="AA14" i="64"/>
  <c r="W13" i="64"/>
  <c r="AA10" i="64"/>
  <c r="W9" i="64"/>
  <c r="AA7" i="64"/>
  <c r="N9" i="73"/>
  <c r="AO10" i="72"/>
  <c r="M23" i="71"/>
  <c r="J23" i="71" s="1"/>
  <c r="AE35" i="66"/>
  <c r="AE34" i="66"/>
  <c r="AE33" i="66"/>
  <c r="AE32" i="66"/>
  <c r="AE31" i="66"/>
  <c r="AE30" i="66"/>
  <c r="AE29" i="66"/>
  <c r="AE28" i="66"/>
  <c r="AE27" i="66"/>
  <c r="AE26" i="66"/>
  <c r="AE25" i="66"/>
  <c r="AE24" i="66"/>
  <c r="AE23" i="66"/>
  <c r="AE22" i="66"/>
  <c r="AH21" i="66"/>
  <c r="AL20" i="66"/>
  <c r="AH20" i="66"/>
  <c r="AL19" i="66"/>
  <c r="AH19" i="66"/>
  <c r="AL18" i="66"/>
  <c r="AH18" i="66"/>
  <c r="AL17" i="66"/>
  <c r="AH17" i="66"/>
  <c r="AL16" i="66"/>
  <c r="AH16" i="66"/>
  <c r="AL15" i="66"/>
  <c r="AH15" i="66"/>
  <c r="AL14" i="66"/>
  <c r="AH14" i="66"/>
  <c r="AL13" i="66"/>
  <c r="AH13" i="66"/>
  <c r="AL12" i="66"/>
  <c r="AH12" i="66"/>
  <c r="AL11" i="66"/>
  <c r="AH11" i="66"/>
  <c r="AL10" i="66"/>
  <c r="AH10" i="66"/>
  <c r="AL9" i="66"/>
  <c r="AH9" i="66"/>
  <c r="AC35" i="64"/>
  <c r="Y35" i="64"/>
  <c r="AC34" i="64"/>
  <c r="Y34" i="64"/>
  <c r="AC30" i="64"/>
  <c r="Y30" i="64"/>
  <c r="AC28" i="64"/>
  <c r="Y28" i="64"/>
  <c r="AC26" i="64"/>
  <c r="Y26" i="64"/>
  <c r="AC25" i="64"/>
  <c r="Y25" i="64"/>
  <c r="AC24" i="64"/>
  <c r="Y24" i="64"/>
  <c r="AC23" i="64"/>
  <c r="Y23" i="64"/>
  <c r="AC22" i="64"/>
  <c r="Y22" i="64"/>
  <c r="AC18" i="64"/>
  <c r="Y18" i="64"/>
  <c r="AC15" i="64"/>
  <c r="Y15" i="64"/>
  <c r="AC14" i="64"/>
  <c r="Y14" i="64"/>
  <c r="AC13" i="64"/>
  <c r="Y13" i="64"/>
  <c r="AC12" i="64"/>
  <c r="Y12" i="64"/>
  <c r="AC10" i="64"/>
  <c r="Y10" i="64"/>
  <c r="AC9" i="64"/>
  <c r="Y9" i="64"/>
  <c r="AC8" i="64"/>
  <c r="Y8" i="64"/>
  <c r="AC7" i="64"/>
  <c r="Y7" i="64"/>
  <c r="AF18" i="66"/>
  <c r="AJ17" i="66"/>
  <c r="AJ15" i="66"/>
  <c r="AF12" i="66"/>
  <c r="AF10" i="66"/>
  <c r="AJ9" i="66"/>
  <c r="AA35" i="64"/>
  <c r="AA34" i="64"/>
  <c r="W30" i="64"/>
  <c r="W26" i="64"/>
  <c r="AA24" i="64"/>
  <c r="AA23" i="64"/>
  <c r="AA18" i="64"/>
  <c r="W15" i="64"/>
  <c r="AA13" i="64"/>
  <c r="W12" i="64"/>
  <c r="AA9" i="64"/>
  <c r="AA8" i="64"/>
  <c r="W7" i="64"/>
  <c r="BA21" i="72"/>
  <c r="J7" i="71"/>
  <c r="AG21" i="66"/>
  <c r="AK20" i="66"/>
  <c r="AG20" i="66"/>
  <c r="AK19" i="66"/>
  <c r="AG19" i="66"/>
  <c r="AK18" i="66"/>
  <c r="AG18" i="66"/>
  <c r="AK17" i="66"/>
  <c r="AG17" i="66"/>
  <c r="AK16" i="66"/>
  <c r="AG16" i="66"/>
  <c r="AK15" i="66"/>
  <c r="AG15" i="66"/>
  <c r="AK14" i="66"/>
  <c r="AG14" i="66"/>
  <c r="AK13" i="66"/>
  <c r="AG13" i="66"/>
  <c r="AK12" i="66"/>
  <c r="AG12" i="66"/>
  <c r="AK11" i="66"/>
  <c r="AG11" i="66"/>
  <c r="AK10" i="66"/>
  <c r="AG10" i="66"/>
  <c r="AK9" i="66"/>
  <c r="AG9" i="66"/>
  <c r="AB35" i="64"/>
  <c r="X35" i="64"/>
  <c r="AB34" i="64"/>
  <c r="X34" i="64"/>
  <c r="AB30" i="64"/>
  <c r="X30" i="64"/>
  <c r="AB28" i="64"/>
  <c r="X28" i="64"/>
  <c r="AB26" i="64"/>
  <c r="X26" i="64"/>
  <c r="AB25" i="64"/>
  <c r="X25" i="64"/>
  <c r="AB24" i="64"/>
  <c r="X24" i="64"/>
  <c r="AB23" i="64"/>
  <c r="X23" i="64"/>
  <c r="AB22" i="64"/>
  <c r="X22" i="64"/>
  <c r="AB18" i="64"/>
  <c r="X18" i="64"/>
  <c r="AB15" i="64"/>
  <c r="X15" i="64"/>
  <c r="AB14" i="64"/>
  <c r="X14" i="64"/>
  <c r="AB13" i="64"/>
  <c r="X13" i="64"/>
  <c r="AB12" i="64"/>
  <c r="X12" i="64"/>
  <c r="AB10" i="64"/>
  <c r="X10" i="64"/>
  <c r="AB9" i="64"/>
  <c r="X9" i="64"/>
  <c r="AB8" i="64"/>
  <c r="X8" i="64"/>
  <c r="AB7" i="64"/>
  <c r="X7" i="64"/>
  <c r="AZ18" i="72"/>
  <c r="AF21" i="66"/>
  <c r="AJ20" i="66"/>
  <c r="AF19" i="66"/>
  <c r="AJ18" i="66"/>
  <c r="AF16" i="66"/>
  <c r="AF15" i="66"/>
  <c r="AJ14" i="66"/>
  <c r="AF13" i="66"/>
  <c r="AJ12" i="66"/>
  <c r="AJ11" i="66"/>
  <c r="AF9" i="66"/>
  <c r="W34" i="64"/>
  <c r="AA28" i="64"/>
  <c r="AA26" i="64"/>
  <c r="W25" i="64"/>
  <c r="W23" i="64"/>
  <c r="W22" i="64"/>
  <c r="AA15" i="64"/>
  <c r="W14" i="64"/>
  <c r="AA12" i="64"/>
  <c r="W10" i="64"/>
  <c r="W8" i="64"/>
  <c r="Q33" i="19"/>
  <c r="Z25" i="30"/>
  <c r="V25" i="30"/>
  <c r="W25" i="30"/>
  <c r="Y25" i="30"/>
  <c r="U25" i="30"/>
  <c r="AB25" i="30"/>
  <c r="X25" i="30"/>
  <c r="AA25" i="30"/>
  <c r="O14" i="44"/>
  <c r="O12" i="44"/>
  <c r="N14" i="44"/>
  <c r="N12" i="44"/>
  <c r="N13" i="44"/>
  <c r="O15" i="44"/>
  <c r="O13" i="44"/>
  <c r="N15" i="44"/>
  <c r="Z20" i="31"/>
  <c r="V20" i="31"/>
  <c r="Y18" i="31"/>
  <c r="Y23" i="31"/>
  <c r="W20" i="31"/>
  <c r="Z23" i="31"/>
  <c r="Y20" i="31"/>
  <c r="W23" i="31"/>
  <c r="V18" i="31"/>
  <c r="V23" i="31"/>
  <c r="W18" i="31"/>
  <c r="Z18" i="31"/>
  <c r="O21" i="15"/>
  <c r="V17" i="14"/>
  <c r="AA13" i="30"/>
  <c r="W13" i="30"/>
  <c r="AA12" i="30"/>
  <c r="W12" i="30"/>
  <c r="X13" i="30"/>
  <c r="Z13" i="30"/>
  <c r="V13" i="30"/>
  <c r="Z12" i="30"/>
  <c r="V12" i="30"/>
  <c r="AB12" i="30"/>
  <c r="X12" i="30"/>
  <c r="Q21" i="15"/>
  <c r="V10" i="14"/>
  <c r="Y13" i="30"/>
  <c r="U13" i="30"/>
  <c r="Y12" i="30"/>
  <c r="U12" i="30"/>
  <c r="P21" i="15"/>
  <c r="AB13" i="30"/>
  <c r="P26" i="15"/>
  <c r="L26" i="15" s="1"/>
  <c r="Q22" i="15"/>
  <c r="P20" i="15"/>
  <c r="O19" i="15"/>
  <c r="P19" i="15"/>
  <c r="Q23" i="15"/>
  <c r="P22" i="15"/>
  <c r="O20" i="15"/>
  <c r="Q20" i="15"/>
  <c r="P23" i="15"/>
  <c r="O22" i="15"/>
  <c r="Q19" i="15"/>
  <c r="O23" i="15"/>
  <c r="AB51" i="30"/>
  <c r="X45" i="30"/>
  <c r="AA51" i="30"/>
  <c r="W51" i="30"/>
  <c r="Z51" i="30"/>
  <c r="V51" i="30"/>
  <c r="Z47" i="30"/>
  <c r="V43" i="30"/>
  <c r="Y51" i="30"/>
  <c r="U51" i="30"/>
  <c r="Y46" i="30"/>
  <c r="U42" i="30"/>
  <c r="X51" i="30"/>
  <c r="AB49" i="30"/>
  <c r="AA48" i="30"/>
  <c r="W44" i="30"/>
  <c r="AB37" i="30"/>
  <c r="X37" i="30"/>
  <c r="AB36" i="30"/>
  <c r="X36" i="30"/>
  <c r="AB31" i="30"/>
  <c r="X31" i="30"/>
  <c r="AB27" i="30"/>
  <c r="X27" i="30"/>
  <c r="AB24" i="30"/>
  <c r="X24" i="30"/>
  <c r="AB23" i="30"/>
  <c r="X23" i="30"/>
  <c r="AB22" i="30"/>
  <c r="X22" i="30"/>
  <c r="AB21" i="30"/>
  <c r="X21" i="30"/>
  <c r="AB17" i="30"/>
  <c r="X17" i="30"/>
  <c r="Y36" i="30"/>
  <c r="U31" i="30"/>
  <c r="U24" i="30"/>
  <c r="U23" i="30"/>
  <c r="U22" i="30"/>
  <c r="AA37" i="30"/>
  <c r="W37" i="30"/>
  <c r="AA36" i="30"/>
  <c r="W36" i="30"/>
  <c r="AA31" i="30"/>
  <c r="W31" i="30"/>
  <c r="AA27" i="30"/>
  <c r="W27" i="30"/>
  <c r="AA24" i="30"/>
  <c r="W24" i="30"/>
  <c r="AA23" i="30"/>
  <c r="W23" i="30"/>
  <c r="AA22" i="30"/>
  <c r="W22" i="30"/>
  <c r="AA21" i="30"/>
  <c r="W21" i="30"/>
  <c r="AA17" i="30"/>
  <c r="W17" i="30"/>
  <c r="U37" i="30"/>
  <c r="U36" i="30"/>
  <c r="Y27" i="30"/>
  <c r="Y24" i="30"/>
  <c r="Y22" i="30"/>
  <c r="U21" i="30"/>
  <c r="Y17" i="30"/>
  <c r="Z37" i="30"/>
  <c r="V37" i="30"/>
  <c r="Z36" i="30"/>
  <c r="V36" i="30"/>
  <c r="Z31" i="30"/>
  <c r="V31" i="30"/>
  <c r="Z27" i="30"/>
  <c r="V27" i="30"/>
  <c r="Z24" i="30"/>
  <c r="V24" i="30"/>
  <c r="Z23" i="30"/>
  <c r="V23" i="30"/>
  <c r="Z22" i="30"/>
  <c r="V22" i="30"/>
  <c r="Z21" i="30"/>
  <c r="V21" i="30"/>
  <c r="Z17" i="30"/>
  <c r="V17" i="30"/>
  <c r="Y37" i="30"/>
  <c r="Y31" i="30"/>
  <c r="U27" i="30"/>
  <c r="Y23" i="30"/>
  <c r="Y21" i="30"/>
  <c r="U17" i="30"/>
  <c r="AB14" i="30"/>
  <c r="X14" i="30"/>
  <c r="AB11" i="30"/>
  <c r="X11" i="30"/>
  <c r="AB10" i="30"/>
  <c r="X10" i="30"/>
  <c r="AB9" i="30"/>
  <c r="X9" i="30"/>
  <c r="AB8" i="30"/>
  <c r="X8" i="30"/>
  <c r="AB7" i="30"/>
  <c r="X7" i="30"/>
  <c r="Y11" i="30"/>
  <c r="U10" i="30"/>
  <c r="U8" i="30"/>
  <c r="AA14" i="30"/>
  <c r="W14" i="30"/>
  <c r="AA11" i="30"/>
  <c r="W11" i="30"/>
  <c r="AA10" i="30"/>
  <c r="W10" i="30"/>
  <c r="AA9" i="30"/>
  <c r="W9" i="30"/>
  <c r="AA8" i="30"/>
  <c r="W8" i="30"/>
  <c r="AA7" i="30"/>
  <c r="W7" i="30"/>
  <c r="U14" i="30"/>
  <c r="Y10" i="30"/>
  <c r="U9" i="30"/>
  <c r="Y7" i="30"/>
  <c r="Z14" i="30"/>
  <c r="V14" i="30"/>
  <c r="Z11" i="30"/>
  <c r="V11" i="30"/>
  <c r="Z10" i="30"/>
  <c r="V10" i="30"/>
  <c r="Z9" i="30"/>
  <c r="V9" i="30"/>
  <c r="Z8" i="30"/>
  <c r="V8" i="30"/>
  <c r="Z7" i="30"/>
  <c r="V7" i="30"/>
  <c r="Y14" i="30"/>
  <c r="U11" i="30"/>
  <c r="Y9" i="30"/>
  <c r="Y8" i="30"/>
  <c r="U7" i="30"/>
  <c r="L50" i="19"/>
  <c r="L49" i="19"/>
  <c r="L45" i="19"/>
  <c r="Q37" i="18"/>
  <c r="L37" i="18" s="1"/>
  <c r="W17" i="31"/>
  <c r="Y14" i="31"/>
  <c r="Z17" i="31"/>
  <c r="V17" i="31"/>
  <c r="V14" i="31"/>
  <c r="Y17" i="31"/>
  <c r="W14" i="31"/>
  <c r="Z14" i="31"/>
  <c r="R16" i="27"/>
  <c r="Q10" i="16"/>
  <c r="Q6" i="16"/>
  <c r="V26" i="14"/>
  <c r="V15" i="14"/>
  <c r="V7" i="14"/>
  <c r="V8" i="14"/>
  <c r="Q9" i="16"/>
  <c r="V25" i="14"/>
  <c r="V11" i="14"/>
  <c r="V18" i="14"/>
  <c r="V9" i="14"/>
  <c r="Q7" i="16"/>
  <c r="V16" i="14"/>
  <c r="AB11" i="11"/>
  <c r="AA16" i="11"/>
  <c r="AA10" i="11"/>
  <c r="AA15" i="11"/>
  <c r="AB16" i="11"/>
  <c r="AA11" i="11"/>
  <c r="AA7" i="11"/>
  <c r="AB15" i="11"/>
  <c r="Q15" i="22"/>
  <c r="P15" i="22"/>
  <c r="B17" i="22"/>
  <c r="C17" i="22" s="1"/>
  <c r="M14" i="22"/>
  <c r="Z10" i="31"/>
  <c r="W19" i="31"/>
  <c r="Z9" i="31"/>
  <c r="W11" i="31"/>
  <c r="Z19" i="31"/>
  <c r="Z8" i="31"/>
  <c r="Z11" i="31"/>
  <c r="Z7" i="31"/>
  <c r="W7" i="31"/>
  <c r="W9" i="31"/>
  <c r="W8" i="31"/>
  <c r="F17" i="22" l="1"/>
  <c r="H17" i="22"/>
  <c r="G17" i="22"/>
  <c r="D17" i="22"/>
  <c r="E17" i="22"/>
  <c r="C25" i="2"/>
  <c r="C40" i="2"/>
  <c r="C58" i="2"/>
  <c r="C38" i="2"/>
  <c r="L21" i="15"/>
  <c r="C49" i="2"/>
  <c r="N7" i="27"/>
  <c r="K9" i="28"/>
  <c r="O6" i="12"/>
  <c r="C17" i="2"/>
  <c r="C46" i="2"/>
  <c r="I6" i="87"/>
  <c r="C61" i="2"/>
  <c r="J6" i="71"/>
  <c r="C53" i="2"/>
  <c r="C55" i="2"/>
  <c r="C48" i="2"/>
  <c r="C54" i="2"/>
  <c r="K8" i="28"/>
  <c r="K10" i="28"/>
  <c r="K6" i="28"/>
  <c r="L34" i="15"/>
  <c r="L31" i="15"/>
  <c r="L32" i="15"/>
  <c r="L18" i="19"/>
  <c r="L30" i="15"/>
  <c r="L20" i="19"/>
  <c r="L33" i="15"/>
  <c r="K18" i="73"/>
  <c r="K20" i="73"/>
  <c r="R30" i="64"/>
  <c r="R68" i="76"/>
  <c r="K9" i="73"/>
  <c r="K6" i="73"/>
  <c r="K17" i="73"/>
  <c r="R62" i="76"/>
  <c r="R58" i="76"/>
  <c r="R22" i="76"/>
  <c r="K13" i="73"/>
  <c r="K10" i="73"/>
  <c r="K21" i="73"/>
  <c r="K11" i="73"/>
  <c r="AA23" i="66"/>
  <c r="AA27" i="66"/>
  <c r="AA31" i="66"/>
  <c r="AA35" i="66"/>
  <c r="R8" i="64"/>
  <c r="R10" i="64"/>
  <c r="R13" i="64"/>
  <c r="R15" i="64"/>
  <c r="R22" i="64"/>
  <c r="R24" i="64"/>
  <c r="R26" i="64"/>
  <c r="R35" i="64"/>
  <c r="AA8" i="66"/>
  <c r="AA9" i="66"/>
  <c r="AA10" i="66"/>
  <c r="AA11" i="66"/>
  <c r="AA12" i="66"/>
  <c r="AA13" i="66"/>
  <c r="AA14" i="66"/>
  <c r="AA15" i="66"/>
  <c r="AA16" i="66"/>
  <c r="AA17" i="66"/>
  <c r="AA18" i="66"/>
  <c r="AA19" i="66"/>
  <c r="AA20" i="66"/>
  <c r="AA21" i="66"/>
  <c r="R30" i="76"/>
  <c r="K7" i="73"/>
  <c r="R29" i="76"/>
  <c r="AI22" i="72"/>
  <c r="K12" i="73"/>
  <c r="AI11" i="72"/>
  <c r="R45" i="76"/>
  <c r="AA24" i="66"/>
  <c r="AA28" i="66"/>
  <c r="AA32" i="66"/>
  <c r="AI9" i="72"/>
  <c r="AI10" i="72"/>
  <c r="AI8" i="72"/>
  <c r="R48" i="76"/>
  <c r="AI13" i="72"/>
  <c r="R46" i="76"/>
  <c r="R67" i="76"/>
  <c r="AI19" i="72"/>
  <c r="R34" i="76"/>
  <c r="R66" i="76"/>
  <c r="AA25" i="66"/>
  <c r="AA29" i="66"/>
  <c r="AA33" i="66"/>
  <c r="R7" i="64"/>
  <c r="R9" i="64"/>
  <c r="R12" i="64"/>
  <c r="R14" i="64"/>
  <c r="R18" i="64"/>
  <c r="R23" i="64"/>
  <c r="R25" i="64"/>
  <c r="R28" i="64"/>
  <c r="R34" i="64"/>
  <c r="AI20" i="72"/>
  <c r="AI21" i="72"/>
  <c r="R50" i="76"/>
  <c r="R61" i="76"/>
  <c r="K8" i="73"/>
  <c r="K19" i="73"/>
  <c r="R38" i="76"/>
  <c r="R60" i="76"/>
  <c r="AI23" i="72"/>
  <c r="R23" i="76"/>
  <c r="R59" i="76"/>
  <c r="AA22" i="66"/>
  <c r="AA26" i="66"/>
  <c r="AA30" i="66"/>
  <c r="AA34" i="66"/>
  <c r="AI12" i="72"/>
  <c r="R39" i="76"/>
  <c r="AI18" i="72"/>
  <c r="R32" i="76"/>
  <c r="R25" i="30"/>
  <c r="Q10" i="14"/>
  <c r="K15" i="44"/>
  <c r="K12" i="44"/>
  <c r="K14" i="44"/>
  <c r="K7" i="28"/>
  <c r="R13" i="30"/>
  <c r="R18" i="31"/>
  <c r="R23" i="31"/>
  <c r="K13" i="44"/>
  <c r="Q17" i="14"/>
  <c r="R20" i="31"/>
  <c r="R12" i="30"/>
  <c r="R51" i="30"/>
  <c r="N16" i="27"/>
  <c r="S10" i="11"/>
  <c r="S9" i="11"/>
  <c r="Q11" i="14"/>
  <c r="Q26" i="14"/>
  <c r="Q25" i="14"/>
  <c r="R14" i="31"/>
  <c r="R17" i="31"/>
  <c r="M15" i="22"/>
  <c r="P16" i="22"/>
  <c r="Q16" i="22"/>
  <c r="B18" i="22"/>
  <c r="C18" i="22" s="1"/>
  <c r="CP57" i="37"/>
  <c r="CO57" i="37"/>
  <c r="CN57" i="37"/>
  <c r="CP56" i="37"/>
  <c r="CO56" i="37"/>
  <c r="CN56" i="37"/>
  <c r="CP55" i="37"/>
  <c r="CO55" i="37"/>
  <c r="CN55" i="37"/>
  <c r="CP54" i="37"/>
  <c r="CO54" i="37"/>
  <c r="CN54" i="37"/>
  <c r="CP53" i="37"/>
  <c r="CO53" i="37"/>
  <c r="CN53" i="37"/>
  <c r="CP52" i="37"/>
  <c r="CO52" i="37"/>
  <c r="CN52" i="37"/>
  <c r="CP51" i="37"/>
  <c r="CO51" i="37"/>
  <c r="CN51" i="37"/>
  <c r="CP50" i="37"/>
  <c r="CO50" i="37"/>
  <c r="CN50" i="37"/>
  <c r="CP49" i="37"/>
  <c r="CO49" i="37"/>
  <c r="CN49" i="37"/>
  <c r="CP48" i="37"/>
  <c r="CO48" i="37"/>
  <c r="CN48" i="37"/>
  <c r="CP47" i="37"/>
  <c r="CO47" i="37"/>
  <c r="CN47" i="37"/>
  <c r="CB47" i="37"/>
  <c r="CA47" i="37"/>
  <c r="BZ47" i="37"/>
  <c r="CP46" i="37"/>
  <c r="CO46" i="37"/>
  <c r="CN46" i="37"/>
  <c r="CB46" i="37"/>
  <c r="CA46" i="37"/>
  <c r="BZ46" i="37"/>
  <c r="AE46" i="37"/>
  <c r="AD46" i="37"/>
  <c r="AC46" i="37"/>
  <c r="CP45" i="37"/>
  <c r="CO45" i="37"/>
  <c r="CN45" i="37"/>
  <c r="CB45" i="37"/>
  <c r="CA45" i="37"/>
  <c r="BZ45" i="37"/>
  <c r="AE45" i="37"/>
  <c r="AD45" i="37"/>
  <c r="AC45" i="37"/>
  <c r="CP44" i="37"/>
  <c r="CO44" i="37"/>
  <c r="CN44" i="37"/>
  <c r="CI44" i="37"/>
  <c r="CH44" i="37"/>
  <c r="CG44" i="37"/>
  <c r="CB44" i="37"/>
  <c r="CA44" i="37"/>
  <c r="BZ44" i="37"/>
  <c r="AE44" i="37"/>
  <c r="AD44" i="37"/>
  <c r="AC44" i="37"/>
  <c r="CP43" i="37"/>
  <c r="CO43" i="37"/>
  <c r="CN43" i="37"/>
  <c r="CI43" i="37"/>
  <c r="CH43" i="37"/>
  <c r="CG43" i="37"/>
  <c r="CB43" i="37"/>
  <c r="CA43" i="37"/>
  <c r="BZ43" i="37"/>
  <c r="AE43" i="37"/>
  <c r="AD43" i="37"/>
  <c r="AC43" i="37"/>
  <c r="CP42" i="37"/>
  <c r="CO42" i="37"/>
  <c r="CN42" i="37"/>
  <c r="CI42" i="37"/>
  <c r="CH42" i="37"/>
  <c r="CG42" i="37"/>
  <c r="CB42" i="37"/>
  <c r="CA42" i="37"/>
  <c r="BZ42" i="37"/>
  <c r="AE42" i="37"/>
  <c r="AD42" i="37"/>
  <c r="AC42" i="37"/>
  <c r="CP41" i="37"/>
  <c r="CO41" i="37"/>
  <c r="CN41" i="37"/>
  <c r="CI41" i="37"/>
  <c r="CH41" i="37"/>
  <c r="CG41" i="37"/>
  <c r="CB41" i="37"/>
  <c r="CA41" i="37"/>
  <c r="BZ41" i="37"/>
  <c r="AE41" i="37"/>
  <c r="AD41" i="37"/>
  <c r="AC41" i="37"/>
  <c r="J41" i="37"/>
  <c r="I41" i="37"/>
  <c r="H41" i="37"/>
  <c r="CP40" i="37"/>
  <c r="CO40" i="37"/>
  <c r="CN40" i="37"/>
  <c r="CI40" i="37"/>
  <c r="CH40" i="37"/>
  <c r="CG40" i="37"/>
  <c r="CB40" i="37"/>
  <c r="CA40" i="37"/>
  <c r="BZ40" i="37"/>
  <c r="AE40" i="37"/>
  <c r="AD40" i="37"/>
  <c r="AC40" i="37"/>
  <c r="J40" i="37"/>
  <c r="I40" i="37"/>
  <c r="H40" i="37"/>
  <c r="CP39" i="37"/>
  <c r="CO39" i="37"/>
  <c r="CN39" i="37"/>
  <c r="CI39" i="37"/>
  <c r="CH39" i="37"/>
  <c r="CG39" i="37"/>
  <c r="CB39" i="37"/>
  <c r="CA39" i="37"/>
  <c r="BZ39" i="37"/>
  <c r="AE39" i="37"/>
  <c r="AD39" i="37"/>
  <c r="AC39" i="37"/>
  <c r="J39" i="37"/>
  <c r="I39" i="37"/>
  <c r="H39" i="37"/>
  <c r="CP38" i="37"/>
  <c r="CO38" i="37"/>
  <c r="CN38" i="37"/>
  <c r="CI38" i="37"/>
  <c r="CH38" i="37"/>
  <c r="CG38" i="37"/>
  <c r="CB38" i="37"/>
  <c r="CA38" i="37"/>
  <c r="BZ38" i="37"/>
  <c r="AE38" i="37"/>
  <c r="AD38" i="37"/>
  <c r="AC38" i="37"/>
  <c r="J38" i="37"/>
  <c r="I38" i="37"/>
  <c r="H38" i="37"/>
  <c r="CP37" i="37"/>
  <c r="CO37" i="37"/>
  <c r="CN37" i="37"/>
  <c r="CI37" i="37"/>
  <c r="CH37" i="37"/>
  <c r="CG37" i="37"/>
  <c r="CB37" i="37"/>
  <c r="CA37" i="37"/>
  <c r="BZ37" i="37"/>
  <c r="AE37" i="37"/>
  <c r="AD37" i="37"/>
  <c r="AC37" i="37"/>
  <c r="J37" i="37"/>
  <c r="I37" i="37"/>
  <c r="H37" i="37"/>
  <c r="DR36" i="37"/>
  <c r="DQ36" i="37"/>
  <c r="DP36" i="37"/>
  <c r="CP36" i="37"/>
  <c r="CO36" i="37"/>
  <c r="CN36" i="37"/>
  <c r="CI36" i="37"/>
  <c r="CH36" i="37"/>
  <c r="CG36" i="37"/>
  <c r="CB36" i="37"/>
  <c r="CA36" i="37"/>
  <c r="BZ36" i="37"/>
  <c r="BG36" i="37"/>
  <c r="BF36" i="37"/>
  <c r="AE36" i="37"/>
  <c r="AD36" i="37"/>
  <c r="AC36" i="37"/>
  <c r="J36" i="37"/>
  <c r="I36" i="37"/>
  <c r="H36" i="37"/>
  <c r="DR35" i="37"/>
  <c r="DQ35" i="37"/>
  <c r="DP35" i="37"/>
  <c r="CP35" i="37"/>
  <c r="CO35" i="37"/>
  <c r="CN35" i="37"/>
  <c r="CI35" i="37"/>
  <c r="CH35" i="37"/>
  <c r="CG35" i="37"/>
  <c r="CB35" i="37"/>
  <c r="CA35" i="37"/>
  <c r="BZ35" i="37"/>
  <c r="BN35" i="37"/>
  <c r="BM35" i="37"/>
  <c r="BL35" i="37"/>
  <c r="BG35" i="37"/>
  <c r="BF35" i="37"/>
  <c r="AE35" i="37"/>
  <c r="AD35" i="37"/>
  <c r="AC35" i="37"/>
  <c r="J35" i="37"/>
  <c r="I35" i="37"/>
  <c r="H35" i="37"/>
  <c r="DR34" i="37"/>
  <c r="DQ34" i="37"/>
  <c r="DP34" i="37"/>
  <c r="DK34" i="37"/>
  <c r="DJ34" i="37"/>
  <c r="DI34" i="37"/>
  <c r="CP34" i="37"/>
  <c r="CO34" i="37"/>
  <c r="CN34" i="37"/>
  <c r="CI34" i="37"/>
  <c r="CH34" i="37"/>
  <c r="CG34" i="37"/>
  <c r="CB34" i="37"/>
  <c r="CA34" i="37"/>
  <c r="BZ34" i="37"/>
  <c r="BN34" i="37"/>
  <c r="BM34" i="37"/>
  <c r="BL34" i="37"/>
  <c r="BG34" i="37"/>
  <c r="BF34" i="37"/>
  <c r="AE34" i="37"/>
  <c r="AD34" i="37"/>
  <c r="AC34" i="37"/>
  <c r="J34" i="37"/>
  <c r="I34" i="37"/>
  <c r="H34" i="37"/>
  <c r="DR33" i="37"/>
  <c r="DQ33" i="37"/>
  <c r="DP33" i="37"/>
  <c r="DK33" i="37"/>
  <c r="DJ33" i="37"/>
  <c r="DI33" i="37"/>
  <c r="DD33" i="37"/>
  <c r="DC33" i="37"/>
  <c r="DB33" i="37"/>
  <c r="CP33" i="37"/>
  <c r="CO33" i="37"/>
  <c r="CN33" i="37"/>
  <c r="CI33" i="37"/>
  <c r="CH33" i="37"/>
  <c r="CG33" i="37"/>
  <c r="CB33" i="37"/>
  <c r="CA33" i="37"/>
  <c r="BZ33" i="37"/>
  <c r="BN33" i="37"/>
  <c r="BM33" i="37"/>
  <c r="BL33" i="37"/>
  <c r="BG33" i="37"/>
  <c r="BF33" i="37"/>
  <c r="AE33" i="37"/>
  <c r="AD33" i="37"/>
  <c r="AC33" i="37"/>
  <c r="J33" i="37"/>
  <c r="I33" i="37"/>
  <c r="H33" i="37"/>
  <c r="DR32" i="37"/>
  <c r="DQ32" i="37"/>
  <c r="DP32" i="37"/>
  <c r="DK32" i="37"/>
  <c r="DJ32" i="37"/>
  <c r="DI32" i="37"/>
  <c r="DD32" i="37"/>
  <c r="DC32" i="37"/>
  <c r="DB32" i="37"/>
  <c r="CP32" i="37"/>
  <c r="CO32" i="37"/>
  <c r="CN32" i="37"/>
  <c r="CI32" i="37"/>
  <c r="CH32" i="37"/>
  <c r="CG32" i="37"/>
  <c r="CB32" i="37"/>
  <c r="CA32" i="37"/>
  <c r="BZ32" i="37"/>
  <c r="BN32" i="37"/>
  <c r="BM32" i="37"/>
  <c r="BL32" i="37"/>
  <c r="BG32" i="37"/>
  <c r="BF32" i="37"/>
  <c r="AE32" i="37"/>
  <c r="AD32" i="37"/>
  <c r="AC32" i="37"/>
  <c r="J32" i="37"/>
  <c r="I32" i="37"/>
  <c r="H32" i="37"/>
  <c r="DR31" i="37"/>
  <c r="DQ31" i="37"/>
  <c r="DP31" i="37"/>
  <c r="DK31" i="37"/>
  <c r="DJ31" i="37"/>
  <c r="DI31" i="37"/>
  <c r="DD31" i="37"/>
  <c r="DC31" i="37"/>
  <c r="DB31" i="37"/>
  <c r="CP31" i="37"/>
  <c r="CO31" i="37"/>
  <c r="CN31" i="37"/>
  <c r="CI31" i="37"/>
  <c r="CH31" i="37"/>
  <c r="CG31" i="37"/>
  <c r="CB31" i="37"/>
  <c r="CA31" i="37"/>
  <c r="BZ31" i="37"/>
  <c r="BN31" i="37"/>
  <c r="BM31" i="37"/>
  <c r="BL31" i="37"/>
  <c r="BG31" i="37"/>
  <c r="BF31" i="37"/>
  <c r="AE31" i="37"/>
  <c r="AD31" i="37"/>
  <c r="AC31" i="37"/>
  <c r="J31" i="37"/>
  <c r="I31" i="37"/>
  <c r="H31" i="37"/>
  <c r="DR30" i="37"/>
  <c r="DQ30" i="37"/>
  <c r="DP30" i="37"/>
  <c r="DK30" i="37"/>
  <c r="DJ30" i="37"/>
  <c r="DI30" i="37"/>
  <c r="DD30" i="37"/>
  <c r="DC30" i="37"/>
  <c r="DB30" i="37"/>
  <c r="CP30" i="37"/>
  <c r="CO30" i="37"/>
  <c r="CN30" i="37"/>
  <c r="CI30" i="37"/>
  <c r="CH30" i="37"/>
  <c r="CG30" i="37"/>
  <c r="CB30" i="37"/>
  <c r="CA30" i="37"/>
  <c r="BZ30" i="37"/>
  <c r="BN30" i="37"/>
  <c r="BM30" i="37"/>
  <c r="BL30" i="37"/>
  <c r="BG30" i="37"/>
  <c r="BF30" i="37"/>
  <c r="AE30" i="37"/>
  <c r="AD30" i="37"/>
  <c r="AC30" i="37"/>
  <c r="J30" i="37"/>
  <c r="I30" i="37"/>
  <c r="H30" i="37"/>
  <c r="DR29" i="37"/>
  <c r="DQ29" i="37"/>
  <c r="DP29" i="37"/>
  <c r="DK29" i="37"/>
  <c r="DJ29" i="37"/>
  <c r="DI29" i="37"/>
  <c r="DD29" i="37"/>
  <c r="DC29" i="37"/>
  <c r="DB29" i="37"/>
  <c r="CW29" i="37"/>
  <c r="CV29" i="37"/>
  <c r="CU29" i="37"/>
  <c r="CP29" i="37"/>
  <c r="CO29" i="37"/>
  <c r="CN29" i="37"/>
  <c r="CI29" i="37"/>
  <c r="CH29" i="37"/>
  <c r="CG29" i="37"/>
  <c r="CB29" i="37"/>
  <c r="CA29" i="37"/>
  <c r="BZ29" i="37"/>
  <c r="BN29" i="37"/>
  <c r="BM29" i="37"/>
  <c r="BL29" i="37"/>
  <c r="BG29" i="37"/>
  <c r="BF29" i="37"/>
  <c r="AE29" i="37"/>
  <c r="AD29" i="37"/>
  <c r="AC29" i="37"/>
  <c r="J29" i="37"/>
  <c r="I29" i="37"/>
  <c r="H29" i="37"/>
  <c r="DR28" i="37"/>
  <c r="DQ28" i="37"/>
  <c r="DP28" i="37"/>
  <c r="DK28" i="37"/>
  <c r="DJ28" i="37"/>
  <c r="DI28" i="37"/>
  <c r="DD28" i="37"/>
  <c r="DC28" i="37"/>
  <c r="DB28" i="37"/>
  <c r="CW28" i="37"/>
  <c r="CV28" i="37"/>
  <c r="CU28" i="37"/>
  <c r="CP28" i="37"/>
  <c r="CO28" i="37"/>
  <c r="CN28" i="37"/>
  <c r="CI28" i="37"/>
  <c r="CH28" i="37"/>
  <c r="CG28" i="37"/>
  <c r="CB28" i="37"/>
  <c r="CA28" i="37"/>
  <c r="BZ28" i="37"/>
  <c r="BN28" i="37"/>
  <c r="BM28" i="37"/>
  <c r="BL28" i="37"/>
  <c r="BG28" i="37"/>
  <c r="BF28" i="37"/>
  <c r="AE28" i="37"/>
  <c r="AD28" i="37"/>
  <c r="AC28" i="37"/>
  <c r="J28" i="37"/>
  <c r="I28" i="37"/>
  <c r="H28" i="37"/>
  <c r="DR27" i="37"/>
  <c r="DQ27" i="37"/>
  <c r="DP27" i="37"/>
  <c r="DK27" i="37"/>
  <c r="DJ27" i="37"/>
  <c r="DI27" i="37"/>
  <c r="DD27" i="37"/>
  <c r="DC27" i="37"/>
  <c r="DB27" i="37"/>
  <c r="CW27" i="37"/>
  <c r="CV27" i="37"/>
  <c r="CU27" i="37"/>
  <c r="CP27" i="37"/>
  <c r="CO27" i="37"/>
  <c r="CN27" i="37"/>
  <c r="CI27" i="37"/>
  <c r="CH27" i="37"/>
  <c r="CG27" i="37"/>
  <c r="CB27" i="37"/>
  <c r="CA27" i="37"/>
  <c r="BZ27" i="37"/>
  <c r="BN27" i="37"/>
  <c r="BM27" i="37"/>
  <c r="BL27" i="37"/>
  <c r="BG27" i="37"/>
  <c r="BF27" i="37"/>
  <c r="AE27" i="37"/>
  <c r="AD27" i="37"/>
  <c r="AC27" i="37"/>
  <c r="J27" i="37"/>
  <c r="I27" i="37"/>
  <c r="H27" i="37"/>
  <c r="DR26" i="37"/>
  <c r="DQ26" i="37"/>
  <c r="DP26" i="37"/>
  <c r="DK26" i="37"/>
  <c r="DJ26" i="37"/>
  <c r="DI26" i="37"/>
  <c r="DD26" i="37"/>
  <c r="DC26" i="37"/>
  <c r="DB26" i="37"/>
  <c r="CW26" i="37"/>
  <c r="CV26" i="37"/>
  <c r="CU26" i="37"/>
  <c r="CP26" i="37"/>
  <c r="CO26" i="37"/>
  <c r="CN26" i="37"/>
  <c r="CI26" i="37"/>
  <c r="CH26" i="37"/>
  <c r="CG26" i="37"/>
  <c r="CB26" i="37"/>
  <c r="CA26" i="37"/>
  <c r="BZ26" i="37"/>
  <c r="BN26" i="37"/>
  <c r="BM26" i="37"/>
  <c r="BL26" i="37"/>
  <c r="BG26" i="37"/>
  <c r="BF26" i="37"/>
  <c r="AE26" i="37"/>
  <c r="AD26" i="37"/>
  <c r="AC26" i="37"/>
  <c r="J26" i="37"/>
  <c r="I26" i="37"/>
  <c r="H26" i="37"/>
  <c r="DR25" i="37"/>
  <c r="DQ25" i="37"/>
  <c r="DP25" i="37"/>
  <c r="DK25" i="37"/>
  <c r="DJ25" i="37"/>
  <c r="DI25" i="37"/>
  <c r="DD25" i="37"/>
  <c r="DC25" i="37"/>
  <c r="DB25" i="37"/>
  <c r="CW25" i="37"/>
  <c r="CV25" i="37"/>
  <c r="CU25" i="37"/>
  <c r="CP25" i="37"/>
  <c r="CO25" i="37"/>
  <c r="CN25" i="37"/>
  <c r="CI25" i="37"/>
  <c r="CH25" i="37"/>
  <c r="CG25" i="37"/>
  <c r="CB25" i="37"/>
  <c r="CA25" i="37"/>
  <c r="BZ25" i="37"/>
  <c r="BN25" i="37"/>
  <c r="BM25" i="37"/>
  <c r="BL25" i="37"/>
  <c r="BG25" i="37"/>
  <c r="BF25" i="37"/>
  <c r="AE25" i="37"/>
  <c r="AD25" i="37"/>
  <c r="AC25" i="37"/>
  <c r="J25" i="37"/>
  <c r="I25" i="37"/>
  <c r="H25" i="37"/>
  <c r="DR24" i="37"/>
  <c r="DQ24" i="37"/>
  <c r="DP24" i="37"/>
  <c r="DK24" i="37"/>
  <c r="DJ24" i="37"/>
  <c r="DI24" i="37"/>
  <c r="DD24" i="37"/>
  <c r="DC24" i="37"/>
  <c r="DB24" i="37"/>
  <c r="CW24" i="37"/>
  <c r="CV24" i="37"/>
  <c r="CU24" i="37"/>
  <c r="CP24" i="37"/>
  <c r="CO24" i="37"/>
  <c r="CN24" i="37"/>
  <c r="CI24" i="37"/>
  <c r="CH24" i="37"/>
  <c r="CG24" i="37"/>
  <c r="CB24" i="37"/>
  <c r="CA24" i="37"/>
  <c r="BZ24" i="37"/>
  <c r="BN24" i="37"/>
  <c r="BM24" i="37"/>
  <c r="BL24" i="37"/>
  <c r="BG24" i="37"/>
  <c r="BF24" i="37"/>
  <c r="AE24" i="37"/>
  <c r="AD24" i="37"/>
  <c r="AC24" i="37"/>
  <c r="J24" i="37"/>
  <c r="I24" i="37"/>
  <c r="H24" i="37"/>
  <c r="DR23" i="37"/>
  <c r="DQ23" i="37"/>
  <c r="DP23" i="37"/>
  <c r="DK23" i="37"/>
  <c r="DJ23" i="37"/>
  <c r="DI23" i="37"/>
  <c r="DD23" i="37"/>
  <c r="DC23" i="37"/>
  <c r="DB23" i="37"/>
  <c r="CW23" i="37"/>
  <c r="CV23" i="37"/>
  <c r="CU23" i="37"/>
  <c r="CP23" i="37"/>
  <c r="CO23" i="37"/>
  <c r="CN23" i="37"/>
  <c r="CI23" i="37"/>
  <c r="CH23" i="37"/>
  <c r="CG23" i="37"/>
  <c r="CB23" i="37"/>
  <c r="CA23" i="37"/>
  <c r="BZ23" i="37"/>
  <c r="BN23" i="37"/>
  <c r="BM23" i="37"/>
  <c r="BL23" i="37"/>
  <c r="BG23" i="37"/>
  <c r="BF23" i="37"/>
  <c r="AZ23" i="37"/>
  <c r="AY23" i="37"/>
  <c r="AX23" i="37"/>
  <c r="AE23" i="37"/>
  <c r="AD23" i="37"/>
  <c r="AC23" i="37"/>
  <c r="Q23" i="37"/>
  <c r="P23" i="37"/>
  <c r="O23" i="37"/>
  <c r="J23" i="37"/>
  <c r="I23" i="37"/>
  <c r="H23" i="37"/>
  <c r="DR22" i="37"/>
  <c r="DQ22" i="37"/>
  <c r="DP22" i="37"/>
  <c r="DK22" i="37"/>
  <c r="DJ22" i="37"/>
  <c r="DI22" i="37"/>
  <c r="DD22" i="37"/>
  <c r="DC22" i="37"/>
  <c r="DB22" i="37"/>
  <c r="CW22" i="37"/>
  <c r="CV22" i="37"/>
  <c r="CU22" i="37"/>
  <c r="CP22" i="37"/>
  <c r="CO22" i="37"/>
  <c r="CN22" i="37"/>
  <c r="CI22" i="37"/>
  <c r="CH22" i="37"/>
  <c r="CG22" i="37"/>
  <c r="CB22" i="37"/>
  <c r="CA22" i="37"/>
  <c r="BZ22" i="37"/>
  <c r="BN22" i="37"/>
  <c r="BM22" i="37"/>
  <c r="BL22" i="37"/>
  <c r="BG22" i="37"/>
  <c r="BF22" i="37"/>
  <c r="AZ22" i="37"/>
  <c r="AY22" i="37"/>
  <c r="AX22" i="37"/>
  <c r="AE22" i="37"/>
  <c r="AD22" i="37"/>
  <c r="AC22" i="37"/>
  <c r="Q22" i="37"/>
  <c r="P22" i="37"/>
  <c r="O22" i="37"/>
  <c r="J22" i="37"/>
  <c r="I22" i="37"/>
  <c r="H22" i="37"/>
  <c r="DR21" i="37"/>
  <c r="DQ21" i="37"/>
  <c r="DP21" i="37"/>
  <c r="DK21" i="37"/>
  <c r="DJ21" i="37"/>
  <c r="DI21" i="37"/>
  <c r="DD21" i="37"/>
  <c r="DC21" i="37"/>
  <c r="DB21" i="37"/>
  <c r="CW21" i="37"/>
  <c r="CV21" i="37"/>
  <c r="CU21" i="37"/>
  <c r="CP21" i="37"/>
  <c r="CO21" i="37"/>
  <c r="CN21" i="37"/>
  <c r="CI21" i="37"/>
  <c r="CH21" i="37"/>
  <c r="CG21" i="37"/>
  <c r="CB21" i="37"/>
  <c r="CA21" i="37"/>
  <c r="BZ21" i="37"/>
  <c r="BN21" i="37"/>
  <c r="BM21" i="37"/>
  <c r="BL21" i="37"/>
  <c r="BG21" i="37"/>
  <c r="BF21" i="37"/>
  <c r="AZ21" i="37"/>
  <c r="AY21" i="37"/>
  <c r="AX21" i="37"/>
  <c r="AE21" i="37"/>
  <c r="AD21" i="37"/>
  <c r="AC21" i="37"/>
  <c r="Q21" i="37"/>
  <c r="P21" i="37"/>
  <c r="O21" i="37"/>
  <c r="J21" i="37"/>
  <c r="I21" i="37"/>
  <c r="H21" i="37"/>
  <c r="DR20" i="37"/>
  <c r="DQ20" i="37"/>
  <c r="DP20" i="37"/>
  <c r="DK20" i="37"/>
  <c r="DJ20" i="37"/>
  <c r="DI20" i="37"/>
  <c r="DD20" i="37"/>
  <c r="DC20" i="37"/>
  <c r="DB20" i="37"/>
  <c r="CW20" i="37"/>
  <c r="CV20" i="37"/>
  <c r="CU20" i="37"/>
  <c r="CP20" i="37"/>
  <c r="CO20" i="37"/>
  <c r="CN20" i="37"/>
  <c r="CI20" i="37"/>
  <c r="CH20" i="37"/>
  <c r="CG20" i="37"/>
  <c r="CB20" i="37"/>
  <c r="CA20" i="37"/>
  <c r="BZ20" i="37"/>
  <c r="BN20" i="37"/>
  <c r="BM20" i="37"/>
  <c r="BL20" i="37"/>
  <c r="BG20" i="37"/>
  <c r="BF20" i="37"/>
  <c r="AZ20" i="37"/>
  <c r="AY20" i="37"/>
  <c r="AX20" i="37"/>
  <c r="AE20" i="37"/>
  <c r="AD20" i="37"/>
  <c r="AC20" i="37"/>
  <c r="Q20" i="37"/>
  <c r="P20" i="37"/>
  <c r="O20" i="37"/>
  <c r="J20" i="37"/>
  <c r="I20" i="37"/>
  <c r="H20" i="37"/>
  <c r="DR19" i="37"/>
  <c r="DQ19" i="37"/>
  <c r="DP19" i="37"/>
  <c r="DK19" i="37"/>
  <c r="DJ19" i="37"/>
  <c r="DI19" i="37"/>
  <c r="DD19" i="37"/>
  <c r="DC19" i="37"/>
  <c r="DB19" i="37"/>
  <c r="CW19" i="37"/>
  <c r="CV19" i="37"/>
  <c r="CU19" i="37"/>
  <c r="CP19" i="37"/>
  <c r="CO19" i="37"/>
  <c r="CN19" i="37"/>
  <c r="CI19" i="37"/>
  <c r="CH19" i="37"/>
  <c r="CG19" i="37"/>
  <c r="CB19" i="37"/>
  <c r="CA19" i="37"/>
  <c r="BZ19" i="37"/>
  <c r="BN19" i="37"/>
  <c r="BM19" i="37"/>
  <c r="BL19" i="37"/>
  <c r="BG19" i="37"/>
  <c r="BF19" i="37"/>
  <c r="AZ19" i="37"/>
  <c r="AY19" i="37"/>
  <c r="AX19" i="37"/>
  <c r="AE19" i="37"/>
  <c r="AD19" i="37"/>
  <c r="AC19" i="37"/>
  <c r="Q19" i="37"/>
  <c r="P19" i="37"/>
  <c r="O19" i="37"/>
  <c r="J19" i="37"/>
  <c r="I19" i="37"/>
  <c r="H19" i="37"/>
  <c r="DR18" i="37"/>
  <c r="DQ18" i="37"/>
  <c r="DP18" i="37"/>
  <c r="DK18" i="37"/>
  <c r="DJ18" i="37"/>
  <c r="DI18" i="37"/>
  <c r="DD18" i="37"/>
  <c r="DC18" i="37"/>
  <c r="DB18" i="37"/>
  <c r="CW18" i="37"/>
  <c r="CV18" i="37"/>
  <c r="CU18" i="37"/>
  <c r="CP18" i="37"/>
  <c r="CO18" i="37"/>
  <c r="CN18" i="37"/>
  <c r="CI18" i="37"/>
  <c r="CH18" i="37"/>
  <c r="CG18" i="37"/>
  <c r="CB18" i="37"/>
  <c r="CA18" i="37"/>
  <c r="BZ18" i="37"/>
  <c r="BN18" i="37"/>
  <c r="BM18" i="37"/>
  <c r="BL18" i="37"/>
  <c r="BG18" i="37"/>
  <c r="BF18" i="37"/>
  <c r="AZ18" i="37"/>
  <c r="AY18" i="37"/>
  <c r="AX18" i="37"/>
  <c r="AE18" i="37"/>
  <c r="AD18" i="37"/>
  <c r="AC18" i="37"/>
  <c r="Q18" i="37"/>
  <c r="P18" i="37"/>
  <c r="O18" i="37"/>
  <c r="J18" i="37"/>
  <c r="I18" i="37"/>
  <c r="H18" i="37"/>
  <c r="DR17" i="37"/>
  <c r="DQ17" i="37"/>
  <c r="DP17" i="37"/>
  <c r="DK17" i="37"/>
  <c r="DJ17" i="37"/>
  <c r="DI17" i="37"/>
  <c r="DD17" i="37"/>
  <c r="DC17" i="37"/>
  <c r="DB17" i="37"/>
  <c r="CW17" i="37"/>
  <c r="CV17" i="37"/>
  <c r="CU17" i="37"/>
  <c r="CP17" i="37"/>
  <c r="CO17" i="37"/>
  <c r="CN17" i="37"/>
  <c r="CI17" i="37"/>
  <c r="CH17" i="37"/>
  <c r="CG17" i="37"/>
  <c r="CB17" i="37"/>
  <c r="CA17" i="37"/>
  <c r="BZ17" i="37"/>
  <c r="BU17" i="37"/>
  <c r="BT17" i="37"/>
  <c r="BS17" i="37"/>
  <c r="BN17" i="37"/>
  <c r="BM17" i="37"/>
  <c r="BL17" i="37"/>
  <c r="BG17" i="37"/>
  <c r="BF17" i="37"/>
  <c r="AZ17" i="37"/>
  <c r="AY17" i="37"/>
  <c r="AX17" i="37"/>
  <c r="AS17" i="37"/>
  <c r="AR17" i="37"/>
  <c r="AQ17" i="37"/>
  <c r="AE17" i="37"/>
  <c r="AD17" i="37"/>
  <c r="AC17" i="37"/>
  <c r="Q17" i="37"/>
  <c r="P17" i="37"/>
  <c r="O17" i="37"/>
  <c r="J17" i="37"/>
  <c r="I17" i="37"/>
  <c r="H17" i="37"/>
  <c r="DR16" i="37"/>
  <c r="DQ16" i="37"/>
  <c r="DP16" i="37"/>
  <c r="DK16" i="37"/>
  <c r="DJ16" i="37"/>
  <c r="DI16" i="37"/>
  <c r="DD16" i="37"/>
  <c r="DC16" i="37"/>
  <c r="DB16" i="37"/>
  <c r="CW16" i="37"/>
  <c r="CV16" i="37"/>
  <c r="CU16" i="37"/>
  <c r="CP16" i="37"/>
  <c r="CO16" i="37"/>
  <c r="CN16" i="37"/>
  <c r="CI16" i="37"/>
  <c r="CH16" i="37"/>
  <c r="CG16" i="37"/>
  <c r="CB16" i="37"/>
  <c r="CA16" i="37"/>
  <c r="BZ16" i="37"/>
  <c r="BU16" i="37"/>
  <c r="BT16" i="37"/>
  <c r="BS16" i="37"/>
  <c r="BN16" i="37"/>
  <c r="BM16" i="37"/>
  <c r="BL16" i="37"/>
  <c r="BG16" i="37"/>
  <c r="BF16" i="37"/>
  <c r="AZ16" i="37"/>
  <c r="AY16" i="37"/>
  <c r="AX16" i="37"/>
  <c r="AS16" i="37"/>
  <c r="AR16" i="37"/>
  <c r="AQ16" i="37"/>
  <c r="AE16" i="37"/>
  <c r="AD16" i="37"/>
  <c r="AC16" i="37"/>
  <c r="Q16" i="37"/>
  <c r="P16" i="37"/>
  <c r="O16" i="37"/>
  <c r="J16" i="37"/>
  <c r="I16" i="37"/>
  <c r="H16" i="37"/>
  <c r="DR15" i="37"/>
  <c r="DQ15" i="37"/>
  <c r="DP15" i="37"/>
  <c r="DK15" i="37"/>
  <c r="DJ15" i="37"/>
  <c r="DI15" i="37"/>
  <c r="DD15" i="37"/>
  <c r="DC15" i="37"/>
  <c r="DB15" i="37"/>
  <c r="CW15" i="37"/>
  <c r="CV15" i="37"/>
  <c r="CU15" i="37"/>
  <c r="CP15" i="37"/>
  <c r="CO15" i="37"/>
  <c r="CN15" i="37"/>
  <c r="CI15" i="37"/>
  <c r="CH15" i="37"/>
  <c r="CG15" i="37"/>
  <c r="CB15" i="37"/>
  <c r="CA15" i="37"/>
  <c r="BZ15" i="37"/>
  <c r="BU15" i="37"/>
  <c r="BT15" i="37"/>
  <c r="BS15" i="37"/>
  <c r="BN15" i="37"/>
  <c r="BM15" i="37"/>
  <c r="BL15" i="37"/>
  <c r="BG15" i="37"/>
  <c r="BF15" i="37"/>
  <c r="AZ15" i="37"/>
  <c r="AY15" i="37"/>
  <c r="AX15" i="37"/>
  <c r="AS15" i="37"/>
  <c r="AR15" i="37"/>
  <c r="AQ15" i="37"/>
  <c r="AL15" i="37"/>
  <c r="AK15" i="37"/>
  <c r="AJ15" i="37"/>
  <c r="AE15" i="37"/>
  <c r="AD15" i="37"/>
  <c r="AC15" i="37"/>
  <c r="X15" i="37"/>
  <c r="W15" i="37"/>
  <c r="V15" i="37"/>
  <c r="Q15" i="37"/>
  <c r="P15" i="37"/>
  <c r="O15" i="37"/>
  <c r="J15" i="37"/>
  <c r="I15" i="37"/>
  <c r="H15" i="37"/>
  <c r="C15" i="37"/>
  <c r="B15" i="37"/>
  <c r="A15" i="37"/>
  <c r="DR14" i="37"/>
  <c r="DQ14" i="37"/>
  <c r="DP14" i="37"/>
  <c r="DK14" i="37"/>
  <c r="DJ14" i="37"/>
  <c r="DI14" i="37"/>
  <c r="DD14" i="37"/>
  <c r="DC14" i="37"/>
  <c r="DB14" i="37"/>
  <c r="CW14" i="37"/>
  <c r="CV14" i="37"/>
  <c r="CU14" i="37"/>
  <c r="CP14" i="37"/>
  <c r="CO14" i="37"/>
  <c r="CN14" i="37"/>
  <c r="CI14" i="37"/>
  <c r="CH14" i="37"/>
  <c r="CG14" i="37"/>
  <c r="CB14" i="37"/>
  <c r="CA14" i="37"/>
  <c r="BZ14" i="37"/>
  <c r="BU14" i="37"/>
  <c r="BT14" i="37"/>
  <c r="BS14" i="37"/>
  <c r="BN14" i="37"/>
  <c r="BM14" i="37"/>
  <c r="BL14" i="37"/>
  <c r="BG14" i="37"/>
  <c r="BF14" i="37"/>
  <c r="AZ14" i="37"/>
  <c r="AY14" i="37"/>
  <c r="AX14" i="37"/>
  <c r="AS14" i="37"/>
  <c r="AR14" i="37"/>
  <c r="AQ14" i="37"/>
  <c r="AL14" i="37"/>
  <c r="AK14" i="37"/>
  <c r="AJ14" i="37"/>
  <c r="AE14" i="37"/>
  <c r="AD14" i="37"/>
  <c r="AC14" i="37"/>
  <c r="X14" i="37"/>
  <c r="W14" i="37"/>
  <c r="V14" i="37"/>
  <c r="Q14" i="37"/>
  <c r="P14" i="37"/>
  <c r="O14" i="37"/>
  <c r="J14" i="37"/>
  <c r="I14" i="37"/>
  <c r="H14" i="37"/>
  <c r="C14" i="37"/>
  <c r="B14" i="37"/>
  <c r="A14" i="37"/>
  <c r="DR13" i="37"/>
  <c r="DQ13" i="37"/>
  <c r="DP13" i="37"/>
  <c r="DK13" i="37"/>
  <c r="DJ13" i="37"/>
  <c r="DI13" i="37"/>
  <c r="DD13" i="37"/>
  <c r="DC13" i="37"/>
  <c r="DB13" i="37"/>
  <c r="CW13" i="37"/>
  <c r="CV13" i="37"/>
  <c r="CU13" i="37"/>
  <c r="CP13" i="37"/>
  <c r="CO13" i="37"/>
  <c r="CN13" i="37"/>
  <c r="CI13" i="37"/>
  <c r="CH13" i="37"/>
  <c r="CG13" i="37"/>
  <c r="CB13" i="37"/>
  <c r="CA13" i="37"/>
  <c r="BZ13" i="37"/>
  <c r="BU13" i="37"/>
  <c r="BT13" i="37"/>
  <c r="BS13" i="37"/>
  <c r="BN13" i="37"/>
  <c r="BM13" i="37"/>
  <c r="BL13" i="37"/>
  <c r="BG13" i="37"/>
  <c r="BF13" i="37"/>
  <c r="AZ13" i="37"/>
  <c r="AY13" i="37"/>
  <c r="AX13" i="37"/>
  <c r="AS13" i="37"/>
  <c r="AR13" i="37"/>
  <c r="AQ13" i="37"/>
  <c r="AL13" i="37"/>
  <c r="AK13" i="37"/>
  <c r="AJ13" i="37"/>
  <c r="AE13" i="37"/>
  <c r="AD13" i="37"/>
  <c r="AC13" i="37"/>
  <c r="X13" i="37"/>
  <c r="W13" i="37"/>
  <c r="V13" i="37"/>
  <c r="Q13" i="37"/>
  <c r="P13" i="37"/>
  <c r="O13" i="37"/>
  <c r="J13" i="37"/>
  <c r="I13" i="37"/>
  <c r="H13" i="37"/>
  <c r="C13" i="37"/>
  <c r="B13" i="37"/>
  <c r="A13" i="37"/>
  <c r="DR12" i="37"/>
  <c r="DQ12" i="37"/>
  <c r="DP12" i="37"/>
  <c r="DK12" i="37"/>
  <c r="DJ12" i="37"/>
  <c r="DI12" i="37"/>
  <c r="DD12" i="37"/>
  <c r="DC12" i="37"/>
  <c r="DB12" i="37"/>
  <c r="CW12" i="37"/>
  <c r="CV12" i="37"/>
  <c r="CU12" i="37"/>
  <c r="CP12" i="37"/>
  <c r="CO12" i="37"/>
  <c r="CN12" i="37"/>
  <c r="CI12" i="37"/>
  <c r="CH12" i="37"/>
  <c r="CG12" i="37"/>
  <c r="CB12" i="37"/>
  <c r="CA12" i="37"/>
  <c r="BZ12" i="37"/>
  <c r="BU12" i="37"/>
  <c r="BT12" i="37"/>
  <c r="BS12" i="37"/>
  <c r="BN12" i="37"/>
  <c r="BM12" i="37"/>
  <c r="BL12" i="37"/>
  <c r="BG12" i="37"/>
  <c r="BF12" i="37"/>
  <c r="AZ12" i="37"/>
  <c r="AY12" i="37"/>
  <c r="AX12" i="37"/>
  <c r="AS12" i="37"/>
  <c r="AR12" i="37"/>
  <c r="AQ12" i="37"/>
  <c r="AL12" i="37"/>
  <c r="AK12" i="37"/>
  <c r="AJ12" i="37"/>
  <c r="AE12" i="37"/>
  <c r="AD12" i="37"/>
  <c r="AC12" i="37"/>
  <c r="X12" i="37"/>
  <c r="W12" i="37"/>
  <c r="V12" i="37"/>
  <c r="Q12" i="37"/>
  <c r="P12" i="37"/>
  <c r="O12" i="37"/>
  <c r="J12" i="37"/>
  <c r="I12" i="37"/>
  <c r="H12" i="37"/>
  <c r="C12" i="37"/>
  <c r="B12" i="37"/>
  <c r="A12" i="37"/>
  <c r="DR11" i="37"/>
  <c r="DQ11" i="37"/>
  <c r="DP11" i="37"/>
  <c r="DK11" i="37"/>
  <c r="DJ11" i="37"/>
  <c r="DI11" i="37"/>
  <c r="DD11" i="37"/>
  <c r="DC11" i="37"/>
  <c r="DB11" i="37"/>
  <c r="CW11" i="37"/>
  <c r="CV11" i="37"/>
  <c r="CU11" i="37"/>
  <c r="CP11" i="37"/>
  <c r="CO11" i="37"/>
  <c r="CN11" i="37"/>
  <c r="CI11" i="37"/>
  <c r="CH11" i="37"/>
  <c r="CG11" i="37"/>
  <c r="CB11" i="37"/>
  <c r="CA11" i="37"/>
  <c r="BZ11" i="37"/>
  <c r="BU11" i="37"/>
  <c r="BT11" i="37"/>
  <c r="BS11" i="37"/>
  <c r="BN11" i="37"/>
  <c r="BM11" i="37"/>
  <c r="BL11" i="37"/>
  <c r="BG11" i="37"/>
  <c r="BF11" i="37"/>
  <c r="AZ11" i="37"/>
  <c r="AY11" i="37"/>
  <c r="AX11" i="37"/>
  <c r="AS11" i="37"/>
  <c r="AR11" i="37"/>
  <c r="AQ11" i="37"/>
  <c r="AL11" i="37"/>
  <c r="AK11" i="37"/>
  <c r="AJ11" i="37"/>
  <c r="AE11" i="37"/>
  <c r="AD11" i="37"/>
  <c r="AC11" i="37"/>
  <c r="X11" i="37"/>
  <c r="W11" i="37"/>
  <c r="V11" i="37"/>
  <c r="Q11" i="37"/>
  <c r="P11" i="37"/>
  <c r="O11" i="37"/>
  <c r="J11" i="37"/>
  <c r="I11" i="37"/>
  <c r="H11" i="37"/>
  <c r="C11" i="37"/>
  <c r="B11" i="37"/>
  <c r="A11" i="37"/>
  <c r="DR10" i="37"/>
  <c r="DQ10" i="37"/>
  <c r="DP10" i="37"/>
  <c r="DK10" i="37"/>
  <c r="DJ10" i="37"/>
  <c r="DI10" i="37"/>
  <c r="DD10" i="37"/>
  <c r="DC10" i="37"/>
  <c r="DB10" i="37"/>
  <c r="CW10" i="37"/>
  <c r="CV10" i="37"/>
  <c r="CU10" i="37"/>
  <c r="CP10" i="37"/>
  <c r="CO10" i="37"/>
  <c r="CN10" i="37"/>
  <c r="CI10" i="37"/>
  <c r="CH10" i="37"/>
  <c r="CG10" i="37"/>
  <c r="CB10" i="37"/>
  <c r="CA10" i="37"/>
  <c r="BZ10" i="37"/>
  <c r="BU10" i="37"/>
  <c r="BT10" i="37"/>
  <c r="BS10" i="37"/>
  <c r="BN10" i="37"/>
  <c r="BM10" i="37"/>
  <c r="BL10" i="37"/>
  <c r="BG10" i="37"/>
  <c r="BF10" i="37"/>
  <c r="AZ10" i="37"/>
  <c r="AY10" i="37"/>
  <c r="AX10" i="37"/>
  <c r="AS10" i="37"/>
  <c r="AR10" i="37"/>
  <c r="AQ10" i="37"/>
  <c r="AL10" i="37"/>
  <c r="AK10" i="37"/>
  <c r="AJ10" i="37"/>
  <c r="AE10" i="37"/>
  <c r="AD10" i="37"/>
  <c r="AC10" i="37"/>
  <c r="X10" i="37"/>
  <c r="W10" i="37"/>
  <c r="V10" i="37"/>
  <c r="Q10" i="37"/>
  <c r="P10" i="37"/>
  <c r="O10" i="37"/>
  <c r="J10" i="37"/>
  <c r="I10" i="37"/>
  <c r="H10" i="37"/>
  <c r="C10" i="37"/>
  <c r="B10" i="37"/>
  <c r="A10" i="37"/>
  <c r="DR9" i="37"/>
  <c r="DQ9" i="37"/>
  <c r="DP9" i="37"/>
  <c r="DK9" i="37"/>
  <c r="DJ9" i="37"/>
  <c r="DI9" i="37"/>
  <c r="DD9" i="37"/>
  <c r="DC9" i="37"/>
  <c r="DB9" i="37"/>
  <c r="CW9" i="37"/>
  <c r="CV9" i="37"/>
  <c r="CU9" i="37"/>
  <c r="CP9" i="37"/>
  <c r="CO9" i="37"/>
  <c r="CN9" i="37"/>
  <c r="CI9" i="37"/>
  <c r="CH9" i="37"/>
  <c r="CG9" i="37"/>
  <c r="CB9" i="37"/>
  <c r="CA9" i="37"/>
  <c r="BZ9" i="37"/>
  <c r="BU9" i="37"/>
  <c r="BT9" i="37"/>
  <c r="BS9" i="37"/>
  <c r="BN9" i="37"/>
  <c r="BM9" i="37"/>
  <c r="BL9" i="37"/>
  <c r="BG9" i="37"/>
  <c r="BF9" i="37"/>
  <c r="AZ9" i="37"/>
  <c r="AY9" i="37"/>
  <c r="AX9" i="37"/>
  <c r="AS9" i="37"/>
  <c r="AR9" i="37"/>
  <c r="AQ9" i="37"/>
  <c r="AL9" i="37"/>
  <c r="AK9" i="37"/>
  <c r="AJ9" i="37"/>
  <c r="AE9" i="37"/>
  <c r="AD9" i="37"/>
  <c r="AC9" i="37"/>
  <c r="X9" i="37"/>
  <c r="W9" i="37"/>
  <c r="V9" i="37"/>
  <c r="Q9" i="37"/>
  <c r="P9" i="37"/>
  <c r="O9" i="37"/>
  <c r="J9" i="37"/>
  <c r="I9" i="37"/>
  <c r="H9" i="37"/>
  <c r="C9" i="37"/>
  <c r="B9" i="37"/>
  <c r="A9" i="37"/>
  <c r="DR8" i="37"/>
  <c r="DQ8" i="37"/>
  <c r="DP8" i="37"/>
  <c r="DK8" i="37"/>
  <c r="DJ8" i="37"/>
  <c r="DI8" i="37"/>
  <c r="DD8" i="37"/>
  <c r="DC8" i="37"/>
  <c r="DB8" i="37"/>
  <c r="CW8" i="37"/>
  <c r="CV8" i="37"/>
  <c r="CU8" i="37"/>
  <c r="CP8" i="37"/>
  <c r="CO8" i="37"/>
  <c r="CN8" i="37"/>
  <c r="CI8" i="37"/>
  <c r="CH8" i="37"/>
  <c r="CG8" i="37"/>
  <c r="CB8" i="37"/>
  <c r="CA8" i="37"/>
  <c r="BZ8" i="37"/>
  <c r="BU8" i="37"/>
  <c r="BT8" i="37"/>
  <c r="BS8" i="37"/>
  <c r="BN8" i="37"/>
  <c r="BM8" i="37"/>
  <c r="BL8" i="37"/>
  <c r="BG8" i="37"/>
  <c r="BF8" i="37"/>
  <c r="AZ8" i="37"/>
  <c r="AY8" i="37"/>
  <c r="AX8" i="37"/>
  <c r="AS8" i="37"/>
  <c r="AR8" i="37"/>
  <c r="AQ8" i="37"/>
  <c r="AL8" i="37"/>
  <c r="AK8" i="37"/>
  <c r="AJ8" i="37"/>
  <c r="AE8" i="37"/>
  <c r="AD8" i="37"/>
  <c r="AC8" i="37"/>
  <c r="X8" i="37"/>
  <c r="W8" i="37"/>
  <c r="V8" i="37"/>
  <c r="Q8" i="37"/>
  <c r="P8" i="37"/>
  <c r="O8" i="37"/>
  <c r="J8" i="37"/>
  <c r="I8" i="37"/>
  <c r="H8" i="37"/>
  <c r="C8" i="37"/>
  <c r="B8" i="37"/>
  <c r="A8" i="37"/>
  <c r="DR7" i="37"/>
  <c r="DQ7" i="37"/>
  <c r="DP7" i="37"/>
  <c r="DK7" i="37"/>
  <c r="DJ7" i="37"/>
  <c r="DI7" i="37"/>
  <c r="DD7" i="37"/>
  <c r="DC7" i="37"/>
  <c r="DB7" i="37"/>
  <c r="CW7" i="37"/>
  <c r="CV7" i="37"/>
  <c r="CU7" i="37"/>
  <c r="CP7" i="37"/>
  <c r="CO7" i="37"/>
  <c r="CN7" i="37"/>
  <c r="CI7" i="37"/>
  <c r="CH7" i="37"/>
  <c r="CG7" i="37"/>
  <c r="CB7" i="37"/>
  <c r="CA7" i="37"/>
  <c r="BZ7" i="37"/>
  <c r="BU7" i="37"/>
  <c r="BT7" i="37"/>
  <c r="BS7" i="37"/>
  <c r="BN7" i="37"/>
  <c r="BM7" i="37"/>
  <c r="BL7" i="37"/>
  <c r="BG7" i="37"/>
  <c r="BF7" i="37"/>
  <c r="AZ7" i="37"/>
  <c r="AY7" i="37"/>
  <c r="AX7" i="37"/>
  <c r="AS7" i="37"/>
  <c r="AR7" i="37"/>
  <c r="AQ7" i="37"/>
  <c r="AL7" i="37"/>
  <c r="AK7" i="37"/>
  <c r="AJ7" i="37"/>
  <c r="AE7" i="37"/>
  <c r="AD7" i="37"/>
  <c r="AC7" i="37"/>
  <c r="X7" i="37"/>
  <c r="W7" i="37"/>
  <c r="V7" i="37"/>
  <c r="Q7" i="37"/>
  <c r="P7" i="37"/>
  <c r="O7" i="37"/>
  <c r="J7" i="37"/>
  <c r="I7" i="37"/>
  <c r="H7" i="37"/>
  <c r="C7" i="37"/>
  <c r="B7" i="37"/>
  <c r="A7" i="37"/>
  <c r="DR6" i="37"/>
  <c r="DQ6" i="37"/>
  <c r="DP6" i="37"/>
  <c r="DK6" i="37"/>
  <c r="DJ6" i="37"/>
  <c r="DI6" i="37"/>
  <c r="DD6" i="37"/>
  <c r="DC6" i="37"/>
  <c r="DB6" i="37"/>
  <c r="CW6" i="37"/>
  <c r="CV6" i="37"/>
  <c r="CU6" i="37"/>
  <c r="CP6" i="37"/>
  <c r="CO6" i="37"/>
  <c r="CN6" i="37"/>
  <c r="CI6" i="37"/>
  <c r="CH6" i="37"/>
  <c r="CG6" i="37"/>
  <c r="CB6" i="37"/>
  <c r="CA6" i="37"/>
  <c r="BZ6" i="37"/>
  <c r="BU6" i="37"/>
  <c r="BT6" i="37"/>
  <c r="BS6" i="37"/>
  <c r="BN6" i="37"/>
  <c r="BM6" i="37"/>
  <c r="BL6" i="37"/>
  <c r="BG6" i="37"/>
  <c r="BF6" i="37"/>
  <c r="AZ6" i="37"/>
  <c r="AY6" i="37"/>
  <c r="AX6" i="37"/>
  <c r="AS6" i="37"/>
  <c r="AR6" i="37"/>
  <c r="AQ6" i="37"/>
  <c r="AL6" i="37"/>
  <c r="AK6" i="37"/>
  <c r="AJ6" i="37"/>
  <c r="AE6" i="37"/>
  <c r="AD6" i="37"/>
  <c r="AC6" i="37"/>
  <c r="X6" i="37"/>
  <c r="W6" i="37"/>
  <c r="V6" i="37"/>
  <c r="Q6" i="37"/>
  <c r="P6" i="37"/>
  <c r="O6" i="37"/>
  <c r="J6" i="37"/>
  <c r="I6" i="37"/>
  <c r="H6" i="37"/>
  <c r="C6" i="37"/>
  <c r="B6" i="37"/>
  <c r="A6" i="37"/>
  <c r="DR5" i="37"/>
  <c r="DQ5" i="37"/>
  <c r="DP5" i="37"/>
  <c r="DK5" i="37"/>
  <c r="DJ5" i="37"/>
  <c r="DI5" i="37"/>
  <c r="DD5" i="37"/>
  <c r="DC5" i="37"/>
  <c r="DB5" i="37"/>
  <c r="CW5" i="37"/>
  <c r="CV5" i="37"/>
  <c r="CU5" i="37"/>
  <c r="CP5" i="37"/>
  <c r="CO5" i="37"/>
  <c r="CN5" i="37"/>
  <c r="CI5" i="37"/>
  <c r="CH5" i="37"/>
  <c r="CG5" i="37"/>
  <c r="CB5" i="37"/>
  <c r="CA5" i="37"/>
  <c r="BZ5" i="37"/>
  <c r="BU5" i="37"/>
  <c r="BT5" i="37"/>
  <c r="BS5" i="37"/>
  <c r="BN5" i="37"/>
  <c r="BM5" i="37"/>
  <c r="BL5" i="37"/>
  <c r="BG5" i="37"/>
  <c r="BF5" i="37"/>
  <c r="AZ5" i="37"/>
  <c r="AY5" i="37"/>
  <c r="AX5" i="37"/>
  <c r="AS5" i="37"/>
  <c r="AR5" i="37"/>
  <c r="AQ5" i="37"/>
  <c r="AL5" i="37"/>
  <c r="AK5" i="37"/>
  <c r="AJ5" i="37"/>
  <c r="AE5" i="37"/>
  <c r="AD5" i="37"/>
  <c r="AC5" i="37"/>
  <c r="X5" i="37"/>
  <c r="W5" i="37"/>
  <c r="V5" i="37"/>
  <c r="Q5" i="37"/>
  <c r="P5" i="37"/>
  <c r="O5" i="37"/>
  <c r="J5" i="37"/>
  <c r="I5" i="37"/>
  <c r="H5" i="37"/>
  <c r="C5" i="37"/>
  <c r="B5" i="37"/>
  <c r="A5" i="37"/>
  <c r="DR4" i="37"/>
  <c r="DQ4" i="37"/>
  <c r="DP4" i="37"/>
  <c r="DK4" i="37"/>
  <c r="DJ4" i="37"/>
  <c r="DI4" i="37"/>
  <c r="DD4" i="37"/>
  <c r="DC4" i="37"/>
  <c r="DB4" i="37"/>
  <c r="CW4" i="37"/>
  <c r="CV4" i="37"/>
  <c r="CU4" i="37"/>
  <c r="CP4" i="37"/>
  <c r="CO4" i="37"/>
  <c r="CN4" i="37"/>
  <c r="CI4" i="37"/>
  <c r="CH4" i="37"/>
  <c r="CG4" i="37"/>
  <c r="CB4" i="37"/>
  <c r="CA4" i="37"/>
  <c r="BZ4" i="37"/>
  <c r="BU4" i="37"/>
  <c r="BT4" i="37"/>
  <c r="BS4" i="37"/>
  <c r="BN4" i="37"/>
  <c r="BM4" i="37"/>
  <c r="BL4" i="37"/>
  <c r="BG4" i="37"/>
  <c r="BF4" i="37"/>
  <c r="AZ4" i="37"/>
  <c r="AY4" i="37"/>
  <c r="AX4" i="37"/>
  <c r="AS4" i="37"/>
  <c r="AR4" i="37"/>
  <c r="AQ4" i="37"/>
  <c r="AL4" i="37"/>
  <c r="AK4" i="37"/>
  <c r="AJ4" i="37"/>
  <c r="AE4" i="37"/>
  <c r="AD4" i="37"/>
  <c r="AC4" i="37"/>
  <c r="X4" i="37"/>
  <c r="W4" i="37"/>
  <c r="V4" i="37"/>
  <c r="Q4" i="37"/>
  <c r="P4" i="37"/>
  <c r="O4" i="37"/>
  <c r="J4" i="37"/>
  <c r="I4" i="37"/>
  <c r="H4" i="37"/>
  <c r="C4" i="37"/>
  <c r="B4" i="37"/>
  <c r="A4" i="37"/>
  <c r="DR3" i="37"/>
  <c r="DQ3" i="37"/>
  <c r="DP3" i="37"/>
  <c r="DK3" i="37"/>
  <c r="DJ3" i="37"/>
  <c r="DI3" i="37"/>
  <c r="DD3" i="37"/>
  <c r="DC3" i="37"/>
  <c r="DB3" i="37"/>
  <c r="CW3" i="37"/>
  <c r="CV3" i="37"/>
  <c r="CU3" i="37"/>
  <c r="CP3" i="37"/>
  <c r="CO3" i="37"/>
  <c r="CN3" i="37"/>
  <c r="CI3" i="37"/>
  <c r="CH3" i="37"/>
  <c r="CG3" i="37"/>
  <c r="CB3" i="37"/>
  <c r="CA3" i="37"/>
  <c r="BZ3" i="37"/>
  <c r="BU3" i="37"/>
  <c r="BT3" i="37"/>
  <c r="BS3" i="37"/>
  <c r="BN3" i="37"/>
  <c r="BM3" i="37"/>
  <c r="BL3" i="37"/>
  <c r="BG3" i="37"/>
  <c r="BF3" i="37"/>
  <c r="BE3" i="37"/>
  <c r="AZ3" i="37"/>
  <c r="AY3" i="37"/>
  <c r="AX3" i="37"/>
  <c r="AS3" i="37"/>
  <c r="AR3" i="37"/>
  <c r="AQ3" i="37"/>
  <c r="AL3" i="37"/>
  <c r="AK3" i="37"/>
  <c r="AJ3" i="37"/>
  <c r="AE3" i="37"/>
  <c r="AD3" i="37"/>
  <c r="AC3" i="37"/>
  <c r="X3" i="37"/>
  <c r="W3" i="37"/>
  <c r="V3" i="37"/>
  <c r="Q3" i="37"/>
  <c r="P3" i="37"/>
  <c r="O3" i="37"/>
  <c r="J3" i="37"/>
  <c r="I3" i="37"/>
  <c r="H3" i="37"/>
  <c r="C3" i="37"/>
  <c r="B3" i="37"/>
  <c r="A3" i="37"/>
  <c r="DR2" i="37"/>
  <c r="DQ2" i="37"/>
  <c r="DK2" i="37"/>
  <c r="DD2" i="37"/>
  <c r="DC2" i="37"/>
  <c r="CW2" i="37"/>
  <c r="CV2" i="37"/>
  <c r="CP2" i="37"/>
  <c r="CO2" i="37"/>
  <c r="CI2" i="37"/>
  <c r="CH2" i="37"/>
  <c r="CB2" i="37"/>
  <c r="CA2" i="37"/>
  <c r="BU2" i="37"/>
  <c r="BT2" i="37"/>
  <c r="BN2" i="37"/>
  <c r="BM2" i="37"/>
  <c r="BG2" i="37"/>
  <c r="BF2" i="37"/>
  <c r="AZ2" i="37"/>
  <c r="AY2" i="37"/>
  <c r="AS2" i="37"/>
  <c r="AR2" i="37"/>
  <c r="AL2" i="37"/>
  <c r="AK2" i="37"/>
  <c r="AE2" i="37"/>
  <c r="AD2" i="37"/>
  <c r="X2" i="37"/>
  <c r="W2" i="37"/>
  <c r="Q2" i="37"/>
  <c r="P2" i="37"/>
  <c r="J2" i="37"/>
  <c r="I2" i="37"/>
  <c r="B2" i="37"/>
  <c r="B58" i="34"/>
  <c r="L38" i="34"/>
  <c r="G2437" i="97" s="1"/>
  <c r="K38" i="34"/>
  <c r="G2413" i="97" s="1"/>
  <c r="I38" i="34"/>
  <c r="G2365" i="97" s="1"/>
  <c r="H38" i="34"/>
  <c r="G2341" i="97" s="1"/>
  <c r="J37" i="34"/>
  <c r="G2388" i="97" s="1"/>
  <c r="J33" i="34"/>
  <c r="G2387" i="97" s="1"/>
  <c r="J32" i="34"/>
  <c r="G2386" i="97" s="1"/>
  <c r="J31" i="34"/>
  <c r="G2385" i="97" s="1"/>
  <c r="L28" i="34"/>
  <c r="G2432" i="97" s="1"/>
  <c r="K28" i="34"/>
  <c r="G2408" i="97" s="1"/>
  <c r="I28" i="34"/>
  <c r="G2360" i="97" s="1"/>
  <c r="H28" i="34"/>
  <c r="G2336" i="97" s="1"/>
  <c r="J27" i="34"/>
  <c r="G2383" i="97" s="1"/>
  <c r="J26" i="34"/>
  <c r="G2382" i="97" s="1"/>
  <c r="J25" i="34"/>
  <c r="G2381" i="97" s="1"/>
  <c r="J24" i="34"/>
  <c r="G2380" i="97" s="1"/>
  <c r="L21" i="34"/>
  <c r="G2427" i="97" s="1"/>
  <c r="K21" i="34"/>
  <c r="G2403" i="97" s="1"/>
  <c r="I21" i="34"/>
  <c r="G2355" i="97" s="1"/>
  <c r="H21" i="34"/>
  <c r="G2331" i="97" s="1"/>
  <c r="J20" i="34"/>
  <c r="G2378" i="97" s="1"/>
  <c r="J19" i="34"/>
  <c r="G2377" i="97" s="1"/>
  <c r="J18" i="34"/>
  <c r="G2376" i="97" s="1"/>
  <c r="J17" i="34"/>
  <c r="G2375" i="97" s="1"/>
  <c r="J10" i="34"/>
  <c r="G2370" i="97" s="1"/>
  <c r="J8" i="34"/>
  <c r="G2368" i="97" s="1"/>
  <c r="P1" i="34"/>
  <c r="B64" i="33"/>
  <c r="S47" i="33"/>
  <c r="Q47" i="33" s="1"/>
  <c r="J47" i="33" s="1"/>
  <c r="N47" i="33"/>
  <c r="K47" i="33" s="1"/>
  <c r="N46" i="33"/>
  <c r="K46" i="33" s="1"/>
  <c r="N45" i="33"/>
  <c r="K45" i="33" s="1"/>
  <c r="N44" i="33"/>
  <c r="K44" i="33" s="1"/>
  <c r="N43" i="33"/>
  <c r="N20" i="33"/>
  <c r="K20" i="33" s="1"/>
  <c r="N19" i="33"/>
  <c r="K19" i="33" s="1"/>
  <c r="N17" i="33"/>
  <c r="K17" i="33" s="1"/>
  <c r="K15" i="33"/>
  <c r="K12" i="33"/>
  <c r="N11" i="33"/>
  <c r="K11" i="33" s="1"/>
  <c r="N10" i="33"/>
  <c r="G1" i="33"/>
  <c r="B33" i="32"/>
  <c r="B30" i="32"/>
  <c r="P17" i="32"/>
  <c r="V17" i="32"/>
  <c r="P14" i="32"/>
  <c r="V14" i="32"/>
  <c r="P13" i="32"/>
  <c r="V13" i="32"/>
  <c r="P12" i="32"/>
  <c r="V12" i="32"/>
  <c r="P11" i="32"/>
  <c r="H8" i="32"/>
  <c r="J8" i="32" s="1"/>
  <c r="G2247" i="97" s="1"/>
  <c r="P7" i="32"/>
  <c r="B34" i="32"/>
  <c r="J1" i="32"/>
  <c r="B45" i="31"/>
  <c r="B42" i="31"/>
  <c r="O31" i="31"/>
  <c r="G2210" i="97" s="1"/>
  <c r="AA30" i="31"/>
  <c r="R30" i="31" s="1"/>
  <c r="AA29" i="31"/>
  <c r="R29" i="31" s="1"/>
  <c r="O28" i="31"/>
  <c r="G2207" i="97" s="1"/>
  <c r="AA27" i="31"/>
  <c r="R27" i="31" s="1"/>
  <c r="AA26" i="31"/>
  <c r="R26" i="31" s="1"/>
  <c r="X19" i="31"/>
  <c r="U19" i="31"/>
  <c r="N19" i="31"/>
  <c r="G2188" i="97" s="1"/>
  <c r="J19" i="31"/>
  <c r="G2136" i="97" s="1"/>
  <c r="M15" i="31"/>
  <c r="G2172" i="97" s="1"/>
  <c r="L15" i="31"/>
  <c r="G2159" i="97" s="1"/>
  <c r="K15" i="31"/>
  <c r="G2146" i="97" s="1"/>
  <c r="X11" i="31"/>
  <c r="U11" i="31"/>
  <c r="J11" i="31"/>
  <c r="G2130" i="97" s="1"/>
  <c r="X10" i="31"/>
  <c r="X9" i="31"/>
  <c r="U9" i="31"/>
  <c r="J9" i="31"/>
  <c r="G2129" i="97" s="1"/>
  <c r="X8" i="31"/>
  <c r="U8" i="31"/>
  <c r="J8" i="31"/>
  <c r="G2128" i="97" s="1"/>
  <c r="B47" i="31"/>
  <c r="X7" i="31"/>
  <c r="U7" i="31"/>
  <c r="J7" i="31"/>
  <c r="G2127" i="97" s="1"/>
  <c r="O1" i="31"/>
  <c r="B66" i="30"/>
  <c r="B63" i="30"/>
  <c r="R49" i="30"/>
  <c r="R48" i="30"/>
  <c r="R47" i="30"/>
  <c r="R46" i="30"/>
  <c r="R45" i="30"/>
  <c r="R44" i="30"/>
  <c r="R43" i="30"/>
  <c r="R42" i="30"/>
  <c r="O37" i="30"/>
  <c r="G2086" i="97" s="1"/>
  <c r="O36" i="30"/>
  <c r="G2085" i="97" s="1"/>
  <c r="O31" i="30"/>
  <c r="G2083" i="97" s="1"/>
  <c r="O27" i="30"/>
  <c r="G2081" i="97" s="1"/>
  <c r="N28" i="30"/>
  <c r="G2054" i="97" s="1"/>
  <c r="M28" i="30"/>
  <c r="G2026" i="97" s="1"/>
  <c r="L28" i="30"/>
  <c r="G1998" i="97" s="1"/>
  <c r="K28" i="30"/>
  <c r="G1970" i="97" s="1"/>
  <c r="J28" i="30"/>
  <c r="G1942" i="97" s="1"/>
  <c r="I28" i="30"/>
  <c r="G1914" i="97" s="1"/>
  <c r="H28" i="30"/>
  <c r="G1886" i="97" s="1"/>
  <c r="G28" i="30"/>
  <c r="G1858" i="97" s="1"/>
  <c r="O24" i="30"/>
  <c r="G2078" i="97" s="1"/>
  <c r="O23" i="30"/>
  <c r="G2077" i="97" s="1"/>
  <c r="O22" i="30"/>
  <c r="G2076" i="97" s="1"/>
  <c r="O21" i="30"/>
  <c r="G2075" i="97" s="1"/>
  <c r="O17" i="30"/>
  <c r="G2073" i="97" s="1"/>
  <c r="N15" i="30"/>
  <c r="G2044" i="97" s="1"/>
  <c r="M15" i="30"/>
  <c r="G2016" i="97" s="1"/>
  <c r="L15" i="30"/>
  <c r="G1988" i="97" s="1"/>
  <c r="K15" i="30"/>
  <c r="G1960" i="97" s="1"/>
  <c r="J18" i="30"/>
  <c r="G1934" i="97" s="1"/>
  <c r="I18" i="30"/>
  <c r="G1906" i="97" s="1"/>
  <c r="H18" i="30"/>
  <c r="G1878" i="97" s="1"/>
  <c r="G18" i="30"/>
  <c r="G1850" i="97" s="1"/>
  <c r="O14" i="30"/>
  <c r="G2071" i="97" s="1"/>
  <c r="O11" i="30"/>
  <c r="G2068" i="97" s="1"/>
  <c r="O10" i="30"/>
  <c r="G2067" i="97" s="1"/>
  <c r="O8" i="30"/>
  <c r="G2065" i="97" s="1"/>
  <c r="O7" i="30"/>
  <c r="G2064" i="97" s="1"/>
  <c r="R6" i="30"/>
  <c r="O1" i="30"/>
  <c r="B64" i="29"/>
  <c r="B61" i="29"/>
  <c r="X47" i="29"/>
  <c r="P47" i="29" s="1"/>
  <c r="W46" i="29"/>
  <c r="P46" i="29" s="1"/>
  <c r="V45" i="29"/>
  <c r="P45" i="29" s="1"/>
  <c r="U44" i="29"/>
  <c r="P44" i="29" s="1"/>
  <c r="T43" i="29"/>
  <c r="P43" i="29" s="1"/>
  <c r="S42" i="29"/>
  <c r="P42" i="29" s="1"/>
  <c r="X37" i="29"/>
  <c r="W37" i="29"/>
  <c r="V37" i="29"/>
  <c r="U37" i="29"/>
  <c r="T37" i="29"/>
  <c r="S37" i="29"/>
  <c r="M37" i="29"/>
  <c r="G1838" i="97" s="1"/>
  <c r="X36" i="29"/>
  <c r="W36" i="29"/>
  <c r="V36" i="29"/>
  <c r="U36" i="29"/>
  <c r="T36" i="29"/>
  <c r="S36" i="29"/>
  <c r="M36" i="29"/>
  <c r="G1837" i="97" s="1"/>
  <c r="X31" i="29"/>
  <c r="W31" i="29"/>
  <c r="V31" i="29"/>
  <c r="U31" i="29"/>
  <c r="T31" i="29"/>
  <c r="S31" i="29"/>
  <c r="M31" i="29"/>
  <c r="G1835" i="97" s="1"/>
  <c r="X27" i="29"/>
  <c r="W27" i="29"/>
  <c r="V27" i="29"/>
  <c r="U27" i="29"/>
  <c r="T27" i="29"/>
  <c r="S27" i="29"/>
  <c r="M27" i="29"/>
  <c r="G1833" i="97" s="1"/>
  <c r="L28" i="29"/>
  <c r="G1806" i="97" s="1"/>
  <c r="K28" i="29"/>
  <c r="G1778" i="97" s="1"/>
  <c r="J28" i="29"/>
  <c r="G1750" i="97" s="1"/>
  <c r="I28" i="29"/>
  <c r="G1722" i="97" s="1"/>
  <c r="H28" i="29"/>
  <c r="G1694" i="97" s="1"/>
  <c r="G28" i="29"/>
  <c r="G1666" i="97" s="1"/>
  <c r="X24" i="29"/>
  <c r="W24" i="29"/>
  <c r="V24" i="29"/>
  <c r="U24" i="29"/>
  <c r="T24" i="29"/>
  <c r="S24" i="29"/>
  <c r="M24" i="29"/>
  <c r="G1830" i="97" s="1"/>
  <c r="X23" i="29"/>
  <c r="W23" i="29"/>
  <c r="V23" i="29"/>
  <c r="U23" i="29"/>
  <c r="T23" i="29"/>
  <c r="S23" i="29"/>
  <c r="M23" i="29"/>
  <c r="G1829" i="97" s="1"/>
  <c r="X22" i="29"/>
  <c r="W22" i="29"/>
  <c r="V22" i="29"/>
  <c r="U22" i="29"/>
  <c r="T22" i="29"/>
  <c r="S22" i="29"/>
  <c r="M22" i="29"/>
  <c r="G1828" i="97" s="1"/>
  <c r="X21" i="29"/>
  <c r="W21" i="29"/>
  <c r="V21" i="29"/>
  <c r="U21" i="29"/>
  <c r="T21" i="29"/>
  <c r="S21" i="29"/>
  <c r="M21" i="29"/>
  <c r="G1827" i="97" s="1"/>
  <c r="X17" i="29"/>
  <c r="W17" i="29"/>
  <c r="V17" i="29"/>
  <c r="U17" i="29"/>
  <c r="T17" i="29"/>
  <c r="S17" i="29"/>
  <c r="M17" i="29"/>
  <c r="G1825" i="97" s="1"/>
  <c r="L15" i="29"/>
  <c r="G1796" i="97" s="1"/>
  <c r="K15" i="29"/>
  <c r="G1768" i="97" s="1"/>
  <c r="J15" i="29"/>
  <c r="G1740" i="97" s="1"/>
  <c r="I15" i="29"/>
  <c r="G1712" i="97" s="1"/>
  <c r="H15" i="29"/>
  <c r="G1684" i="97" s="1"/>
  <c r="G15" i="29"/>
  <c r="G1656" i="97" s="1"/>
  <c r="X14" i="29"/>
  <c r="W14" i="29"/>
  <c r="V14" i="29"/>
  <c r="U14" i="29"/>
  <c r="T14" i="29"/>
  <c r="S14" i="29"/>
  <c r="M14" i="29"/>
  <c r="G1823" i="97" s="1"/>
  <c r="X11" i="29"/>
  <c r="W11" i="29"/>
  <c r="V11" i="29"/>
  <c r="U11" i="29"/>
  <c r="T11" i="29"/>
  <c r="S11" i="29"/>
  <c r="M11" i="29"/>
  <c r="G1820" i="97" s="1"/>
  <c r="X10" i="29"/>
  <c r="W10" i="29"/>
  <c r="V10" i="29"/>
  <c r="U10" i="29"/>
  <c r="T10" i="29"/>
  <c r="S10" i="29"/>
  <c r="M10" i="29"/>
  <c r="G1819" i="97" s="1"/>
  <c r="X9" i="29"/>
  <c r="W9" i="29"/>
  <c r="V9" i="29"/>
  <c r="U9" i="29"/>
  <c r="T9" i="29"/>
  <c r="S9" i="29"/>
  <c r="M9" i="29"/>
  <c r="G1818" i="97" s="1"/>
  <c r="X8" i="29"/>
  <c r="W8" i="29"/>
  <c r="V8" i="29"/>
  <c r="U8" i="29"/>
  <c r="T8" i="29"/>
  <c r="S8" i="29"/>
  <c r="M8" i="29"/>
  <c r="G1817" i="97" s="1"/>
  <c r="X7" i="29"/>
  <c r="W7" i="29"/>
  <c r="V7" i="29"/>
  <c r="U7" i="29"/>
  <c r="T7" i="29"/>
  <c r="S7" i="29"/>
  <c r="M7" i="29"/>
  <c r="G1816" i="97" s="1"/>
  <c r="P6" i="29"/>
  <c r="M1" i="29"/>
  <c r="B22" i="28"/>
  <c r="I1" i="28"/>
  <c r="B35" i="27"/>
  <c r="Q23" i="27"/>
  <c r="Q20" i="27"/>
  <c r="Q12" i="27"/>
  <c r="Q11" i="27"/>
  <c r="L1" i="27"/>
  <c r="B28" i="26"/>
  <c r="M17" i="26"/>
  <c r="J17" i="26" s="1"/>
  <c r="M16" i="26"/>
  <c r="M15" i="26"/>
  <c r="N9" i="26"/>
  <c r="M9" i="26"/>
  <c r="N8" i="26"/>
  <c r="M8" i="26"/>
  <c r="B71" i="21"/>
  <c r="B6" i="21"/>
  <c r="B7" i="21" s="1"/>
  <c r="B8" i="21" s="1"/>
  <c r="B9" i="21" s="1"/>
  <c r="B10" i="21" s="1"/>
  <c r="B11" i="21" s="1"/>
  <c r="B12" i="21" s="1"/>
  <c r="B13" i="21" s="1"/>
  <c r="B14" i="21" s="1"/>
  <c r="B15" i="21" s="1"/>
  <c r="B16" i="21" s="1"/>
  <c r="B17" i="21" s="1"/>
  <c r="B18" i="21" s="1"/>
  <c r="B19" i="21" s="1"/>
  <c r="B20" i="21" s="1"/>
  <c r="P1" i="21"/>
  <c r="B64" i="19"/>
  <c r="O48" i="19"/>
  <c r="Q34" i="19"/>
  <c r="L34" i="19" s="1"/>
  <c r="L33" i="19"/>
  <c r="Q32" i="19"/>
  <c r="L32" i="19" s="1"/>
  <c r="P28" i="19"/>
  <c r="O28" i="19"/>
  <c r="P27" i="19"/>
  <c r="O27" i="19"/>
  <c r="P26" i="19"/>
  <c r="O26" i="19"/>
  <c r="P8" i="19"/>
  <c r="O8" i="19"/>
  <c r="P7" i="19"/>
  <c r="O7" i="19"/>
  <c r="P6" i="19"/>
  <c r="O6" i="19"/>
  <c r="I1" i="19"/>
  <c r="B48" i="18"/>
  <c r="V33" i="18"/>
  <c r="F33" i="18"/>
  <c r="G1364" i="97" s="1"/>
  <c r="E33" i="18"/>
  <c r="G1339" i="97" s="1"/>
  <c r="G28" i="18"/>
  <c r="G1385" i="97" s="1"/>
  <c r="G27" i="18"/>
  <c r="G1384" i="97" s="1"/>
  <c r="G26" i="18"/>
  <c r="G1383" i="97" s="1"/>
  <c r="G25" i="18"/>
  <c r="G1382" i="97" s="1"/>
  <c r="G24" i="18"/>
  <c r="G1381" i="97" s="1"/>
  <c r="G23" i="18"/>
  <c r="G1380" i="97" s="1"/>
  <c r="G22" i="18"/>
  <c r="G1379" i="97" s="1"/>
  <c r="G21" i="18"/>
  <c r="G1378" i="97" s="1"/>
  <c r="G20" i="18"/>
  <c r="G1377" i="97" s="1"/>
  <c r="G19" i="18"/>
  <c r="G1376" i="97" s="1"/>
  <c r="G18" i="18"/>
  <c r="G1375" i="97" s="1"/>
  <c r="G17" i="18"/>
  <c r="G1374" i="97" s="1"/>
  <c r="G16" i="18"/>
  <c r="G1373" i="97" s="1"/>
  <c r="G15" i="18"/>
  <c r="G1372" i="97" s="1"/>
  <c r="G14" i="18"/>
  <c r="G1371" i="97" s="1"/>
  <c r="G13" i="18"/>
  <c r="G1370" i="97" s="1"/>
  <c r="G12" i="18"/>
  <c r="G1369" i="97" s="1"/>
  <c r="G11" i="18"/>
  <c r="G1368" i="97" s="1"/>
  <c r="G10" i="18"/>
  <c r="G1367" i="97" s="1"/>
  <c r="G9" i="18"/>
  <c r="G1366" i="97" s="1"/>
  <c r="G6" i="18"/>
  <c r="G1365" i="97" s="1"/>
  <c r="I1" i="18"/>
  <c r="B45" i="17"/>
  <c r="V30" i="17"/>
  <c r="U30" i="17"/>
  <c r="G26" i="17"/>
  <c r="G1265" i="97" s="1"/>
  <c r="G25" i="17"/>
  <c r="G1264" i="97" s="1"/>
  <c r="G24" i="17"/>
  <c r="G1263" i="97" s="1"/>
  <c r="G23" i="17"/>
  <c r="G1262" i="97" s="1"/>
  <c r="G22" i="17"/>
  <c r="G1261" i="97" s="1"/>
  <c r="G21" i="17"/>
  <c r="G1260" i="97" s="1"/>
  <c r="G20" i="17"/>
  <c r="G1259" i="97" s="1"/>
  <c r="G19" i="17"/>
  <c r="G1258" i="97" s="1"/>
  <c r="G18" i="17"/>
  <c r="G1257" i="97" s="1"/>
  <c r="G17" i="17"/>
  <c r="G1256" i="97" s="1"/>
  <c r="G16" i="17"/>
  <c r="G1255" i="97" s="1"/>
  <c r="G15" i="17"/>
  <c r="G1254" i="97" s="1"/>
  <c r="G14" i="17"/>
  <c r="G1253" i="97" s="1"/>
  <c r="G13" i="17"/>
  <c r="G1252" i="97" s="1"/>
  <c r="G12" i="17"/>
  <c r="G1251" i="97" s="1"/>
  <c r="G11" i="17"/>
  <c r="G1250" i="97" s="1"/>
  <c r="G10" i="17"/>
  <c r="G1249" i="97" s="1"/>
  <c r="G9" i="17"/>
  <c r="G1248" i="97" s="1"/>
  <c r="Q6" i="17"/>
  <c r="P6" i="17"/>
  <c r="O6" i="17"/>
  <c r="G6" i="17"/>
  <c r="G1247" i="97" s="1"/>
  <c r="I1" i="17"/>
  <c r="B25" i="16"/>
  <c r="B22" i="16"/>
  <c r="H11" i="16"/>
  <c r="G1195" i="97" s="1"/>
  <c r="F11" i="16"/>
  <c r="G1181" i="97" s="1"/>
  <c r="E11" i="16"/>
  <c r="G1174" i="97" s="1"/>
  <c r="G10" i="16"/>
  <c r="G1187" i="97" s="1"/>
  <c r="G9" i="16"/>
  <c r="G1186" i="97" s="1"/>
  <c r="O8" i="16"/>
  <c r="N8" i="16"/>
  <c r="G8" i="16"/>
  <c r="G1185" i="97" s="1"/>
  <c r="G7" i="16"/>
  <c r="G1184" i="97" s="1"/>
  <c r="G6" i="16"/>
  <c r="G1183" i="97" s="1"/>
  <c r="B26" i="16"/>
  <c r="O5" i="16"/>
  <c r="N5" i="16"/>
  <c r="G5" i="16"/>
  <c r="G1182" i="97" s="1"/>
  <c r="I1" i="16"/>
  <c r="B64" i="15"/>
  <c r="B61" i="15"/>
  <c r="I24" i="15"/>
  <c r="G1130" i="97" s="1"/>
  <c r="H24" i="15"/>
  <c r="G1105" i="97" s="1"/>
  <c r="G24" i="15"/>
  <c r="G1079" i="97" s="1"/>
  <c r="J23" i="15"/>
  <c r="G1153" i="97" s="1"/>
  <c r="J22" i="15"/>
  <c r="G1152" i="97" s="1"/>
  <c r="J20" i="15"/>
  <c r="G1150" i="97" s="1"/>
  <c r="J19" i="15"/>
  <c r="G1149" i="97" s="1"/>
  <c r="I13" i="15"/>
  <c r="G1124" i="97" s="1"/>
  <c r="H13" i="15"/>
  <c r="G1098" i="97" s="1"/>
  <c r="G13" i="15"/>
  <c r="G1072" i="97" s="1"/>
  <c r="Q12" i="15"/>
  <c r="P12" i="15"/>
  <c r="O12" i="15"/>
  <c r="J12" i="15"/>
  <c r="G1146" i="97" s="1"/>
  <c r="Q11" i="15"/>
  <c r="P11" i="15"/>
  <c r="O11" i="15"/>
  <c r="J11" i="15"/>
  <c r="G1145" i="97" s="1"/>
  <c r="Q9" i="15"/>
  <c r="P9" i="15"/>
  <c r="O9" i="15"/>
  <c r="J9" i="15"/>
  <c r="G1143" i="97" s="1"/>
  <c r="Q8" i="15"/>
  <c r="P8" i="15"/>
  <c r="O8" i="15"/>
  <c r="J8" i="15"/>
  <c r="G1142" i="97" s="1"/>
  <c r="B65" i="15"/>
  <c r="Q7" i="15"/>
  <c r="O7" i="15"/>
  <c r="J7" i="15"/>
  <c r="G1141" i="97" s="1"/>
  <c r="B41" i="14"/>
  <c r="B38" i="14"/>
  <c r="T18" i="14"/>
  <c r="Z16" i="14"/>
  <c r="Y16" i="14"/>
  <c r="T16" i="14"/>
  <c r="N16" i="14"/>
  <c r="G1057" i="97" s="1"/>
  <c r="Z15" i="14"/>
  <c r="Y15" i="14"/>
  <c r="T15" i="14"/>
  <c r="N15" i="14"/>
  <c r="G1056" i="97" s="1"/>
  <c r="Z9" i="14"/>
  <c r="Y9" i="14"/>
  <c r="T9" i="14"/>
  <c r="N9" i="14"/>
  <c r="G1052" i="97" s="1"/>
  <c r="Z8" i="14"/>
  <c r="Y8" i="14"/>
  <c r="T8" i="14"/>
  <c r="N8" i="14"/>
  <c r="G1051" i="97" s="1"/>
  <c r="B42" i="14"/>
  <c r="Z7" i="14"/>
  <c r="Y7" i="14"/>
  <c r="T7" i="14"/>
  <c r="N1" i="14"/>
  <c r="B32" i="13"/>
  <c r="O21" i="13"/>
  <c r="N21" i="13"/>
  <c r="O16" i="13"/>
  <c r="I16" i="13"/>
  <c r="G934" i="97" s="1"/>
  <c r="O13" i="13"/>
  <c r="O11" i="13"/>
  <c r="O10" i="13"/>
  <c r="O9" i="13"/>
  <c r="O8" i="13"/>
  <c r="O7" i="13"/>
  <c r="O6" i="13"/>
  <c r="I1" i="13"/>
  <c r="B50" i="12"/>
  <c r="J14" i="12"/>
  <c r="G844" i="97" s="1"/>
  <c r="G14" i="12"/>
  <c r="G772" i="97" s="1"/>
  <c r="L1" i="12"/>
  <c r="W30" i="12" s="1"/>
  <c r="B32" i="11"/>
  <c r="AE20" i="11"/>
  <c r="S20" i="11" s="1"/>
  <c r="W16" i="11"/>
  <c r="V16" i="11"/>
  <c r="W15" i="11"/>
  <c r="V15" i="11"/>
  <c r="W11" i="11"/>
  <c r="V11" i="11"/>
  <c r="AM11" i="11"/>
  <c r="W7" i="11"/>
  <c r="V7" i="11"/>
  <c r="W6" i="11"/>
  <c r="V6" i="11"/>
  <c r="P1" i="11"/>
  <c r="B34" i="8"/>
  <c r="S21" i="8"/>
  <c r="R21" i="8"/>
  <c r="Q21" i="8"/>
  <c r="P21" i="8"/>
  <c r="S20" i="8"/>
  <c r="R20" i="8"/>
  <c r="Q20" i="8"/>
  <c r="P20" i="8"/>
  <c r="R17" i="8"/>
  <c r="Q17" i="8"/>
  <c r="P17" i="8"/>
  <c r="J17" i="8"/>
  <c r="G420" i="97" s="1"/>
  <c r="R16" i="8"/>
  <c r="Q16" i="8"/>
  <c r="P16" i="8"/>
  <c r="S14" i="8"/>
  <c r="S10" i="8"/>
  <c r="S9" i="8"/>
  <c r="M9" i="8" s="1"/>
  <c r="R6" i="8"/>
  <c r="Q6" i="8"/>
  <c r="P6" i="8"/>
  <c r="J1" i="8"/>
  <c r="B50" i="7"/>
  <c r="B47" i="7"/>
  <c r="I34" i="7"/>
  <c r="G347" i="97" s="1"/>
  <c r="H34" i="7"/>
  <c r="G325" i="97" s="1"/>
  <c r="R33" i="7"/>
  <c r="Q33" i="7"/>
  <c r="P33" i="7"/>
  <c r="J33" i="7"/>
  <c r="G368" i="97" s="1"/>
  <c r="R32" i="7"/>
  <c r="Q32" i="7"/>
  <c r="P32" i="7"/>
  <c r="J32" i="7"/>
  <c r="G367" i="97" s="1"/>
  <c r="R31" i="7"/>
  <c r="Q31" i="7"/>
  <c r="P31" i="7"/>
  <c r="J31" i="7"/>
  <c r="G366" i="97" s="1"/>
  <c r="R25" i="7"/>
  <c r="Q25" i="7"/>
  <c r="P25" i="7"/>
  <c r="J25" i="7"/>
  <c r="G363" i="97" s="1"/>
  <c r="R24" i="7"/>
  <c r="Q24" i="7"/>
  <c r="P24" i="7"/>
  <c r="J24" i="7"/>
  <c r="G362" i="97" s="1"/>
  <c r="R23" i="7"/>
  <c r="Q23" i="7"/>
  <c r="P23" i="7"/>
  <c r="J23" i="7"/>
  <c r="G361" i="97" s="1"/>
  <c r="R22" i="7"/>
  <c r="Q22" i="7"/>
  <c r="P22" i="7"/>
  <c r="J22" i="7"/>
  <c r="G360" i="97" s="1"/>
  <c r="R18" i="7"/>
  <c r="Q18" i="7"/>
  <c r="P18" i="7"/>
  <c r="J18" i="7"/>
  <c r="G358" i="97" s="1"/>
  <c r="R17" i="7"/>
  <c r="Q17" i="7"/>
  <c r="P17" i="7"/>
  <c r="J17" i="7"/>
  <c r="G357" i="97" s="1"/>
  <c r="R14" i="7"/>
  <c r="Q14" i="7"/>
  <c r="P14" i="7"/>
  <c r="J14" i="7"/>
  <c r="G355" i="97" s="1"/>
  <c r="R13" i="7"/>
  <c r="Q13" i="7"/>
  <c r="P13" i="7"/>
  <c r="J13" i="7"/>
  <c r="G354" i="97" s="1"/>
  <c r="R12" i="7"/>
  <c r="Q12" i="7"/>
  <c r="P12" i="7"/>
  <c r="J12" i="7"/>
  <c r="G353" i="97" s="1"/>
  <c r="R11" i="7"/>
  <c r="Q11" i="7"/>
  <c r="P11" i="7"/>
  <c r="J11" i="7"/>
  <c r="G352" i="97" s="1"/>
  <c r="R10" i="7"/>
  <c r="Q10" i="7"/>
  <c r="P10" i="7"/>
  <c r="J10" i="7"/>
  <c r="G351" i="97" s="1"/>
  <c r="R9" i="7"/>
  <c r="Q9" i="7"/>
  <c r="P9" i="7"/>
  <c r="J9" i="7"/>
  <c r="G350" i="97" s="1"/>
  <c r="R8" i="7"/>
  <c r="Q8" i="7"/>
  <c r="P8" i="7"/>
  <c r="J8" i="7"/>
  <c r="G349" i="97" s="1"/>
  <c r="K1" i="7"/>
  <c r="B64" i="6"/>
  <c r="B61" i="6"/>
  <c r="I50" i="6"/>
  <c r="G214" i="97" s="1"/>
  <c r="H50" i="6"/>
  <c r="G180" i="97" s="1"/>
  <c r="G50" i="6"/>
  <c r="G146" i="97" s="1"/>
  <c r="R49" i="6"/>
  <c r="Q49" i="6"/>
  <c r="P49" i="6"/>
  <c r="J49" i="6"/>
  <c r="G247" i="97" s="1"/>
  <c r="R48" i="6"/>
  <c r="Q48" i="6"/>
  <c r="P48" i="6"/>
  <c r="J48" i="6"/>
  <c r="G246" i="97" s="1"/>
  <c r="R42" i="6"/>
  <c r="Q42" i="6"/>
  <c r="P42" i="6"/>
  <c r="J42" i="6"/>
  <c r="G243" i="97" s="1"/>
  <c r="R41" i="6"/>
  <c r="Q41" i="6"/>
  <c r="P41" i="6"/>
  <c r="J41" i="6"/>
  <c r="G242" i="97" s="1"/>
  <c r="R39" i="6"/>
  <c r="Q39" i="6"/>
  <c r="P39" i="6"/>
  <c r="J39" i="6"/>
  <c r="G240" i="97" s="1"/>
  <c r="R38" i="6"/>
  <c r="Q38" i="6"/>
  <c r="P38" i="6"/>
  <c r="J38" i="6"/>
  <c r="G239" i="97" s="1"/>
  <c r="R37" i="6"/>
  <c r="Q37" i="6"/>
  <c r="P37" i="6"/>
  <c r="J37" i="6"/>
  <c r="G238" i="97" s="1"/>
  <c r="R36" i="6"/>
  <c r="Q36" i="6"/>
  <c r="P36" i="6"/>
  <c r="J36" i="6"/>
  <c r="G237" i="97" s="1"/>
  <c r="R35" i="6"/>
  <c r="Q35" i="6"/>
  <c r="P35" i="6"/>
  <c r="J35" i="6"/>
  <c r="G236" i="97" s="1"/>
  <c r="R34" i="6"/>
  <c r="Q34" i="6"/>
  <c r="P34" i="6"/>
  <c r="J34" i="6"/>
  <c r="G235" i="97" s="1"/>
  <c r="R28" i="6"/>
  <c r="Q28" i="6"/>
  <c r="P28" i="6"/>
  <c r="J28" i="6"/>
  <c r="G232" i="97" s="1"/>
  <c r="R27" i="6"/>
  <c r="Q27" i="6"/>
  <c r="P27" i="6"/>
  <c r="J27" i="6"/>
  <c r="G231" i="97" s="1"/>
  <c r="R26" i="6"/>
  <c r="Q26" i="6"/>
  <c r="P26" i="6"/>
  <c r="J26" i="6"/>
  <c r="G230" i="97" s="1"/>
  <c r="R25" i="6"/>
  <c r="Q25" i="6"/>
  <c r="P25" i="6"/>
  <c r="J25" i="6"/>
  <c r="G229" i="97" s="1"/>
  <c r="R24" i="6"/>
  <c r="Q24" i="6"/>
  <c r="P24" i="6"/>
  <c r="J24" i="6"/>
  <c r="G228" i="97" s="1"/>
  <c r="R23" i="6"/>
  <c r="Q23" i="6"/>
  <c r="P23" i="6"/>
  <c r="J23" i="6"/>
  <c r="G227" i="97" s="1"/>
  <c r="R19" i="6"/>
  <c r="Q19" i="6"/>
  <c r="P19" i="6"/>
  <c r="J19" i="6"/>
  <c r="G225" i="97" s="1"/>
  <c r="R18" i="6"/>
  <c r="Q18" i="6"/>
  <c r="P18" i="6"/>
  <c r="J18" i="6"/>
  <c r="G224" i="97" s="1"/>
  <c r="R17" i="6"/>
  <c r="Q17" i="6"/>
  <c r="P17" i="6"/>
  <c r="J17" i="6"/>
  <c r="G223" i="97" s="1"/>
  <c r="R16" i="6"/>
  <c r="Q16" i="6"/>
  <c r="P16" i="6"/>
  <c r="J16" i="6"/>
  <c r="G222" i="97" s="1"/>
  <c r="R12" i="6"/>
  <c r="Q12" i="6"/>
  <c r="P12" i="6"/>
  <c r="J12" i="6"/>
  <c r="G220" i="97" s="1"/>
  <c r="R11" i="6"/>
  <c r="Q11" i="6"/>
  <c r="P11" i="6"/>
  <c r="J11" i="6"/>
  <c r="G219" i="97" s="1"/>
  <c r="R10" i="6"/>
  <c r="Q10" i="6"/>
  <c r="P10" i="6"/>
  <c r="J10" i="6"/>
  <c r="G218" i="97" s="1"/>
  <c r="R9" i="6"/>
  <c r="Q9" i="6"/>
  <c r="P9" i="6"/>
  <c r="J9" i="6"/>
  <c r="G217" i="97" s="1"/>
  <c r="R8" i="6"/>
  <c r="Q8" i="6"/>
  <c r="P8" i="6"/>
  <c r="R7" i="6"/>
  <c r="Q7" i="6"/>
  <c r="P7" i="6"/>
  <c r="J7" i="6"/>
  <c r="G215" i="97" s="1"/>
  <c r="K1" i="6"/>
  <c r="B24" i="5"/>
  <c r="B21" i="5"/>
  <c r="R8" i="5"/>
  <c r="Q8" i="5"/>
  <c r="P8" i="5"/>
  <c r="J8" i="5"/>
  <c r="G108" i="97" s="1"/>
  <c r="R7" i="5"/>
  <c r="Q7" i="5"/>
  <c r="P7" i="5"/>
  <c r="J7" i="5"/>
  <c r="G107" i="97" s="1"/>
  <c r="B25" i="5"/>
  <c r="K1" i="5"/>
  <c r="B48" i="4"/>
  <c r="B45" i="4"/>
  <c r="R21" i="4"/>
  <c r="Q21" i="4"/>
  <c r="P21" i="4"/>
  <c r="J21" i="4"/>
  <c r="G74" i="97" s="1"/>
  <c r="R20" i="4"/>
  <c r="Q20" i="4"/>
  <c r="P20" i="4"/>
  <c r="J20" i="4"/>
  <c r="G73" i="97" s="1"/>
  <c r="R17" i="4"/>
  <c r="Q17" i="4"/>
  <c r="P17" i="4"/>
  <c r="J17" i="4"/>
  <c r="G71" i="97" s="1"/>
  <c r="R14" i="4"/>
  <c r="Q14" i="4"/>
  <c r="P14" i="4"/>
  <c r="J14" i="4"/>
  <c r="G69" i="97" s="1"/>
  <c r="R13" i="4"/>
  <c r="Q13" i="4"/>
  <c r="P13" i="4"/>
  <c r="J13" i="4"/>
  <c r="G68" i="97" s="1"/>
  <c r="R12" i="4"/>
  <c r="Q12" i="4"/>
  <c r="P12" i="4"/>
  <c r="J12" i="4"/>
  <c r="G67" i="97" s="1"/>
  <c r="R11" i="4"/>
  <c r="Q11" i="4"/>
  <c r="P11" i="4"/>
  <c r="J11" i="4"/>
  <c r="G66" i="97" s="1"/>
  <c r="I7" i="7"/>
  <c r="I15" i="7" s="1"/>
  <c r="G334" i="97" s="1"/>
  <c r="H7" i="7"/>
  <c r="H15" i="7" s="1"/>
  <c r="G312" i="97" s="1"/>
  <c r="G7" i="7"/>
  <c r="G15" i="7" s="1"/>
  <c r="G290" i="97" s="1"/>
  <c r="R8" i="4"/>
  <c r="Q8" i="4"/>
  <c r="P8" i="4"/>
  <c r="J8" i="4"/>
  <c r="G64" i="97" s="1"/>
  <c r="R7" i="4"/>
  <c r="Q7" i="4"/>
  <c r="P7" i="4"/>
  <c r="J7" i="4"/>
  <c r="G63" i="97" s="1"/>
  <c r="B49" i="4"/>
  <c r="R6" i="4"/>
  <c r="Q6" i="4"/>
  <c r="P6" i="4"/>
  <c r="J6" i="4"/>
  <c r="G62" i="97" s="1"/>
  <c r="K1" i="4"/>
  <c r="C10" i="2" l="1"/>
  <c r="C9" i="2"/>
  <c r="D18" i="22"/>
  <c r="H18" i="22"/>
  <c r="F18" i="22"/>
  <c r="E18" i="22"/>
  <c r="G18" i="22"/>
  <c r="O9" i="31"/>
  <c r="G2194" i="97" s="1"/>
  <c r="L21" i="31"/>
  <c r="G2164" i="97" s="1"/>
  <c r="O8" i="31"/>
  <c r="G2193" i="97" s="1"/>
  <c r="M21" i="31"/>
  <c r="G2177" i="97" s="1"/>
  <c r="K21" i="31"/>
  <c r="G2151" i="97" s="1"/>
  <c r="AG49" i="76"/>
  <c r="AD49" i="76" s="1"/>
  <c r="R49" i="76" s="1"/>
  <c r="K18" i="30"/>
  <c r="G1962" i="97" s="1"/>
  <c r="L18" i="30"/>
  <c r="G1990" i="97" s="1"/>
  <c r="AG17" i="76"/>
  <c r="AD17" i="76" s="1"/>
  <c r="AG33" i="76"/>
  <c r="AD33" i="76" s="1"/>
  <c r="R33" i="76" s="1"/>
  <c r="AF31" i="30"/>
  <c r="L18" i="29"/>
  <c r="G1798" i="97" s="1"/>
  <c r="I18" i="29"/>
  <c r="G1714" i="97" s="1"/>
  <c r="AB31" i="29"/>
  <c r="C39" i="2"/>
  <c r="J18" i="29"/>
  <c r="G1742" i="97" s="1"/>
  <c r="H18" i="29"/>
  <c r="G1686" i="97" s="1"/>
  <c r="AE18" i="75"/>
  <c r="AB18" i="75" s="1"/>
  <c r="K18" i="29"/>
  <c r="G1770" i="97" s="1"/>
  <c r="U33" i="18"/>
  <c r="I37" i="18"/>
  <c r="G1441" i="97" s="1"/>
  <c r="G28" i="17"/>
  <c r="G1267" i="97" s="1"/>
  <c r="H6" i="96"/>
  <c r="G6" i="96"/>
  <c r="G8" i="96" s="1"/>
  <c r="G1549" i="97" s="1"/>
  <c r="G44" i="15"/>
  <c r="G46" i="15" s="1"/>
  <c r="G1090" i="97" s="1"/>
  <c r="C18" i="2"/>
  <c r="C12" i="2"/>
  <c r="C11" i="2"/>
  <c r="K8" i="7"/>
  <c r="G371" i="97" s="1"/>
  <c r="K10" i="7"/>
  <c r="G373" i="97" s="1"/>
  <c r="K12" i="7"/>
  <c r="G375" i="97" s="1"/>
  <c r="K14" i="7"/>
  <c r="G377" i="97" s="1"/>
  <c r="K18" i="7"/>
  <c r="G380" i="97" s="1"/>
  <c r="K23" i="7"/>
  <c r="G383" i="97" s="1"/>
  <c r="K25" i="7"/>
  <c r="G385" i="97" s="1"/>
  <c r="K33" i="7"/>
  <c r="G390" i="97" s="1"/>
  <c r="K9" i="7"/>
  <c r="G372" i="97" s="1"/>
  <c r="K11" i="7"/>
  <c r="G374" i="97" s="1"/>
  <c r="K13" i="7"/>
  <c r="G376" i="97" s="1"/>
  <c r="K17" i="7"/>
  <c r="G379" i="97" s="1"/>
  <c r="K22" i="7"/>
  <c r="G382" i="97" s="1"/>
  <c r="K24" i="7"/>
  <c r="G384" i="97" s="1"/>
  <c r="K31" i="7"/>
  <c r="G388" i="97" s="1"/>
  <c r="K32" i="7"/>
  <c r="G389" i="97" s="1"/>
  <c r="K9" i="6"/>
  <c r="G251" i="97" s="1"/>
  <c r="K10" i="6"/>
  <c r="G252" i="97" s="1"/>
  <c r="K11" i="6"/>
  <c r="G253" i="97" s="1"/>
  <c r="K12" i="6"/>
  <c r="G254" i="97" s="1"/>
  <c r="K16" i="6"/>
  <c r="G256" i="97" s="1"/>
  <c r="K17" i="6"/>
  <c r="G257" i="97" s="1"/>
  <c r="K18" i="6"/>
  <c r="G258" i="97" s="1"/>
  <c r="K19" i="6"/>
  <c r="G259" i="97" s="1"/>
  <c r="K23" i="6"/>
  <c r="G261" i="97" s="1"/>
  <c r="K24" i="6"/>
  <c r="G262" i="97" s="1"/>
  <c r="K25" i="6"/>
  <c r="G263" i="97" s="1"/>
  <c r="K26" i="6"/>
  <c r="G264" i="97" s="1"/>
  <c r="K27" i="6"/>
  <c r="G265" i="97" s="1"/>
  <c r="K28" i="6"/>
  <c r="G266" i="97" s="1"/>
  <c r="K34" i="6"/>
  <c r="G269" i="97" s="1"/>
  <c r="K35" i="6"/>
  <c r="G270" i="97" s="1"/>
  <c r="K36" i="6"/>
  <c r="G271" i="97" s="1"/>
  <c r="K37" i="6"/>
  <c r="G272" i="97" s="1"/>
  <c r="K38" i="6"/>
  <c r="G273" i="97" s="1"/>
  <c r="K39" i="6"/>
  <c r="G274" i="97" s="1"/>
  <c r="K41" i="6"/>
  <c r="G276" i="97" s="1"/>
  <c r="K42" i="6"/>
  <c r="G277" i="97" s="1"/>
  <c r="K48" i="6"/>
  <c r="G280" i="97" s="1"/>
  <c r="K49" i="6"/>
  <c r="G281" i="97" s="1"/>
  <c r="K7" i="6"/>
  <c r="G249" i="97" s="1"/>
  <c r="K7" i="5"/>
  <c r="G110" i="97" s="1"/>
  <c r="K8" i="5"/>
  <c r="G111" i="97" s="1"/>
  <c r="K20" i="4"/>
  <c r="G91" i="97" s="1"/>
  <c r="K21" i="4"/>
  <c r="G92" i="97" s="1"/>
  <c r="K17" i="4"/>
  <c r="G89" i="97" s="1"/>
  <c r="K11" i="4"/>
  <c r="G84" i="97" s="1"/>
  <c r="K12" i="4"/>
  <c r="G85" i="97" s="1"/>
  <c r="K13" i="4"/>
  <c r="G86" i="97" s="1"/>
  <c r="K14" i="4"/>
  <c r="G87" i="97" s="1"/>
  <c r="K6" i="4"/>
  <c r="G80" i="97" s="1"/>
  <c r="K7" i="4"/>
  <c r="G81" i="97" s="1"/>
  <c r="C8" i="2"/>
  <c r="K8" i="4"/>
  <c r="G82" i="97" s="1"/>
  <c r="G19" i="7"/>
  <c r="G293" i="97" s="1"/>
  <c r="H19" i="7"/>
  <c r="G315" i="97" s="1"/>
  <c r="I19" i="7"/>
  <c r="G337" i="97" s="1"/>
  <c r="C43" i="2"/>
  <c r="AI19" i="21"/>
  <c r="AI15" i="21"/>
  <c r="AI11" i="21"/>
  <c r="AI7" i="21"/>
  <c r="AI12" i="21"/>
  <c r="AI18" i="21"/>
  <c r="AI14" i="21"/>
  <c r="AI10" i="21"/>
  <c r="AI6" i="21"/>
  <c r="AI20" i="21"/>
  <c r="AI17" i="21"/>
  <c r="AI13" i="21"/>
  <c r="AI9" i="21"/>
  <c r="AI5" i="21"/>
  <c r="AI16" i="21"/>
  <c r="AI8" i="21"/>
  <c r="C17" i="21"/>
  <c r="H17" i="21" s="1"/>
  <c r="C13" i="21"/>
  <c r="H13" i="21" s="1"/>
  <c r="C9" i="21"/>
  <c r="H9" i="21" s="1"/>
  <c r="C5" i="21"/>
  <c r="H5" i="21" s="1"/>
  <c r="C19" i="21"/>
  <c r="H19" i="21" s="1"/>
  <c r="C16" i="21"/>
  <c r="H16" i="21" s="1"/>
  <c r="C8" i="21"/>
  <c r="H8" i="21" s="1"/>
  <c r="C20" i="21"/>
  <c r="H20" i="21" s="1"/>
  <c r="C14" i="21"/>
  <c r="H14" i="21" s="1"/>
  <c r="C11" i="21"/>
  <c r="H11" i="21" s="1"/>
  <c r="C6" i="21"/>
  <c r="H6" i="21" s="1"/>
  <c r="C18" i="21"/>
  <c r="H18" i="21" s="1"/>
  <c r="C15" i="21"/>
  <c r="H15" i="21" s="1"/>
  <c r="C10" i="21"/>
  <c r="H10" i="21" s="1"/>
  <c r="C7" i="21"/>
  <c r="H7" i="21" s="1"/>
  <c r="C12" i="21"/>
  <c r="H12" i="21" s="1"/>
  <c r="G18" i="29"/>
  <c r="G1658" i="97" s="1"/>
  <c r="C30" i="18"/>
  <c r="C26" i="18"/>
  <c r="AB26" i="18" s="1"/>
  <c r="C22" i="18"/>
  <c r="AB22" i="18" s="1"/>
  <c r="C18" i="18"/>
  <c r="AB18" i="18" s="1"/>
  <c r="C14" i="18"/>
  <c r="AB14" i="18" s="1"/>
  <c r="C10" i="18"/>
  <c r="AB10" i="18" s="1"/>
  <c r="C29" i="18"/>
  <c r="C25" i="18"/>
  <c r="AB25" i="18" s="1"/>
  <c r="C21" i="18"/>
  <c r="AB21" i="18" s="1"/>
  <c r="C17" i="18"/>
  <c r="AB17" i="18" s="1"/>
  <c r="C13" i="18"/>
  <c r="AB13" i="18" s="1"/>
  <c r="C28" i="18"/>
  <c r="AB28" i="18" s="1"/>
  <c r="C24" i="18"/>
  <c r="AB24" i="18" s="1"/>
  <c r="C20" i="18"/>
  <c r="AB20" i="18" s="1"/>
  <c r="C16" i="18"/>
  <c r="AB16" i="18" s="1"/>
  <c r="C12" i="18"/>
  <c r="AB12" i="18" s="1"/>
  <c r="C27" i="18"/>
  <c r="AB27" i="18" s="1"/>
  <c r="C23" i="18"/>
  <c r="AB23" i="18" s="1"/>
  <c r="C19" i="18"/>
  <c r="AB19" i="18" s="1"/>
  <c r="C15" i="18"/>
  <c r="AB15" i="18" s="1"/>
  <c r="C11" i="18"/>
  <c r="AB11" i="18" s="1"/>
  <c r="C9" i="18"/>
  <c r="AB9" i="18" s="1"/>
  <c r="I46" i="15"/>
  <c r="G1139" i="97" s="1"/>
  <c r="H44" i="15"/>
  <c r="H46" i="15" s="1"/>
  <c r="G1116" i="97" s="1"/>
  <c r="C16" i="2"/>
  <c r="C27" i="17"/>
  <c r="C23" i="17"/>
  <c r="AB23" i="17" s="1"/>
  <c r="C19" i="17"/>
  <c r="AB19" i="17" s="1"/>
  <c r="C15" i="17"/>
  <c r="AB15" i="17" s="1"/>
  <c r="C11" i="17"/>
  <c r="AB11" i="17" s="1"/>
  <c r="C17" i="17"/>
  <c r="AB17" i="17" s="1"/>
  <c r="C9" i="17"/>
  <c r="AB9" i="17" s="1"/>
  <c r="C24" i="17"/>
  <c r="AB24" i="17" s="1"/>
  <c r="C16" i="17"/>
  <c r="AB16" i="17" s="1"/>
  <c r="C26" i="17"/>
  <c r="C22" i="17"/>
  <c r="AB22" i="17" s="1"/>
  <c r="C18" i="17"/>
  <c r="AB18" i="17" s="1"/>
  <c r="C14" i="17"/>
  <c r="AB14" i="17" s="1"/>
  <c r="C10" i="17"/>
  <c r="AB10" i="17" s="1"/>
  <c r="C25" i="17"/>
  <c r="AB25" i="17" s="1"/>
  <c r="C21" i="17"/>
  <c r="AB21" i="17" s="1"/>
  <c r="C13" i="17"/>
  <c r="AB13" i="17" s="1"/>
  <c r="C20" i="17"/>
  <c r="AB20" i="17" s="1"/>
  <c r="C12" i="17"/>
  <c r="AB12" i="17" s="1"/>
  <c r="X45" i="19"/>
  <c r="S45" i="19" s="1"/>
  <c r="L6" i="19"/>
  <c r="L6" i="17"/>
  <c r="L6" i="18"/>
  <c r="L44" i="34"/>
  <c r="G2439" i="97" s="1"/>
  <c r="G44" i="34"/>
  <c r="G2319" i="97" s="1"/>
  <c r="H52" i="30"/>
  <c r="G1895" i="97" s="1"/>
  <c r="H50" i="30"/>
  <c r="G1893" i="97" s="1"/>
  <c r="L52" i="30"/>
  <c r="G2007" i="97" s="1"/>
  <c r="L50" i="30"/>
  <c r="G2005" i="97" s="1"/>
  <c r="I52" i="30"/>
  <c r="G1923" i="97" s="1"/>
  <c r="I50" i="30"/>
  <c r="G1921" i="97" s="1"/>
  <c r="J52" i="30"/>
  <c r="G1951" i="97" s="1"/>
  <c r="J50" i="30"/>
  <c r="G1949" i="97" s="1"/>
  <c r="G52" i="30"/>
  <c r="G1867" i="97" s="1"/>
  <c r="G50" i="30"/>
  <c r="G1865" i="97" s="1"/>
  <c r="K52" i="30"/>
  <c r="G1979" i="97" s="1"/>
  <c r="K50" i="30"/>
  <c r="G1977" i="97" s="1"/>
  <c r="AZ52" i="66"/>
  <c r="AW52" i="66" s="1"/>
  <c r="D48" i="2" s="1"/>
  <c r="AR45" i="65"/>
  <c r="AO45" i="65" s="1"/>
  <c r="D47" i="2" s="1"/>
  <c r="AE34" i="75"/>
  <c r="AB34" i="75" s="1"/>
  <c r="M6" i="8"/>
  <c r="N18" i="30"/>
  <c r="G2046" i="97" s="1"/>
  <c r="M18" i="30"/>
  <c r="G2018" i="97" s="1"/>
  <c r="K44" i="34"/>
  <c r="G2415" i="97" s="1"/>
  <c r="J21" i="34"/>
  <c r="G2379" i="97" s="1"/>
  <c r="Z45" i="19"/>
  <c r="T45" i="19" s="1"/>
  <c r="J38" i="34"/>
  <c r="G2389" i="97" s="1"/>
  <c r="H44" i="34"/>
  <c r="G2343" i="97" s="1"/>
  <c r="J12" i="31"/>
  <c r="G2131" i="97" s="1"/>
  <c r="O7" i="31"/>
  <c r="G2192" i="97" s="1"/>
  <c r="G33" i="30"/>
  <c r="G1860" i="97" s="1"/>
  <c r="I50" i="29"/>
  <c r="G1731" i="97" s="1"/>
  <c r="I48" i="29"/>
  <c r="G1729" i="97" s="1"/>
  <c r="K50" i="29"/>
  <c r="G1787" i="97" s="1"/>
  <c r="K48" i="29"/>
  <c r="G1785" i="97" s="1"/>
  <c r="H48" i="29"/>
  <c r="G1701" i="97" s="1"/>
  <c r="H50" i="29"/>
  <c r="G1703" i="97" s="1"/>
  <c r="L50" i="29"/>
  <c r="G1815" i="97" s="1"/>
  <c r="L48" i="29"/>
  <c r="G1813" i="97" s="1"/>
  <c r="I11" i="16"/>
  <c r="G1202" i="97" s="1"/>
  <c r="J14" i="34"/>
  <c r="G2374" i="97" s="1"/>
  <c r="M14" i="8"/>
  <c r="H8" i="11"/>
  <c r="G693" i="97" s="1"/>
  <c r="N15" i="31"/>
  <c r="G2185" i="97" s="1"/>
  <c r="K43" i="33"/>
  <c r="J17" i="12"/>
  <c r="G846" i="97" s="1"/>
  <c r="J33" i="30"/>
  <c r="G1944" i="97" s="1"/>
  <c r="I44" i="34"/>
  <c r="G2367" i="97" s="1"/>
  <c r="I33" i="30"/>
  <c r="G1916" i="97" s="1"/>
  <c r="S33" i="18"/>
  <c r="D23" i="2" s="1"/>
  <c r="P17" i="22"/>
  <c r="Q17" i="22"/>
  <c r="M16" i="22"/>
  <c r="B19" i="22"/>
  <c r="C19" i="22" s="1"/>
  <c r="B21" i="21"/>
  <c r="AI21" i="21" s="1"/>
  <c r="G31" i="18"/>
  <c r="G1388" i="97" s="1"/>
  <c r="G30" i="17"/>
  <c r="G1268" i="97" s="1"/>
  <c r="S30" i="17"/>
  <c r="D22" i="2" s="1"/>
  <c r="J13" i="6"/>
  <c r="G221" i="97" s="1"/>
  <c r="M24" i="6"/>
  <c r="M10" i="8"/>
  <c r="K10" i="33"/>
  <c r="R26" i="34"/>
  <c r="L26" i="19"/>
  <c r="K8" i="13"/>
  <c r="M21" i="4"/>
  <c r="M12" i="6"/>
  <c r="M16" i="6"/>
  <c r="M13" i="7"/>
  <c r="M42" i="6"/>
  <c r="M17" i="8"/>
  <c r="P9" i="29"/>
  <c r="R24" i="30"/>
  <c r="R18" i="34"/>
  <c r="I6" i="5"/>
  <c r="I9" i="5" s="1"/>
  <c r="G106" i="97" s="1"/>
  <c r="M39" i="6"/>
  <c r="M49" i="6"/>
  <c r="J50" i="6"/>
  <c r="G248" i="97" s="1"/>
  <c r="B65" i="6"/>
  <c r="M12" i="7"/>
  <c r="J34" i="7"/>
  <c r="G369" i="97" s="1"/>
  <c r="L27" i="12"/>
  <c r="G902" i="97" s="1"/>
  <c r="L28" i="19"/>
  <c r="K6" i="13"/>
  <c r="K10" i="13"/>
  <c r="N22" i="14"/>
  <c r="G1062" i="97" s="1"/>
  <c r="L7" i="15"/>
  <c r="L9" i="15"/>
  <c r="L7" i="19"/>
  <c r="L27" i="19"/>
  <c r="P23" i="29"/>
  <c r="P37" i="29"/>
  <c r="B67" i="30"/>
  <c r="M20" i="4"/>
  <c r="M8" i="6"/>
  <c r="M41" i="6"/>
  <c r="M11" i="7"/>
  <c r="M33" i="7"/>
  <c r="M16" i="8"/>
  <c r="K13" i="13"/>
  <c r="R21" i="30"/>
  <c r="R27" i="30"/>
  <c r="R37" i="34"/>
  <c r="M7" i="5"/>
  <c r="M11" i="6"/>
  <c r="J20" i="6"/>
  <c r="G226" i="97" s="1"/>
  <c r="M27" i="6"/>
  <c r="M18" i="7"/>
  <c r="M25" i="7"/>
  <c r="J26" i="7"/>
  <c r="G364" i="97" s="1"/>
  <c r="M31" i="7"/>
  <c r="L23" i="15"/>
  <c r="J24" i="15"/>
  <c r="G1154" i="97" s="1"/>
  <c r="R31" i="34"/>
  <c r="M11" i="4"/>
  <c r="M26" i="6"/>
  <c r="M37" i="6"/>
  <c r="M24" i="7"/>
  <c r="K7" i="13"/>
  <c r="K11" i="13"/>
  <c r="K21" i="13"/>
  <c r="L11" i="15"/>
  <c r="L20" i="15"/>
  <c r="I9" i="19"/>
  <c r="G1495" i="97" s="1"/>
  <c r="L8" i="19"/>
  <c r="L48" i="19"/>
  <c r="R14" i="30"/>
  <c r="R37" i="30"/>
  <c r="R19" i="34"/>
  <c r="R24" i="34"/>
  <c r="R25" i="34"/>
  <c r="J28" i="34"/>
  <c r="G2384" i="97" s="1"/>
  <c r="M10" i="6"/>
  <c r="P17" i="29"/>
  <c r="R32" i="34"/>
  <c r="M7" i="6"/>
  <c r="G27" i="12"/>
  <c r="G782" i="97" s="1"/>
  <c r="J13" i="15"/>
  <c r="L19" i="15"/>
  <c r="K5" i="16"/>
  <c r="K8" i="16"/>
  <c r="H44" i="19"/>
  <c r="G1484" i="97" s="1"/>
  <c r="J8" i="26"/>
  <c r="P7" i="29"/>
  <c r="P10" i="29"/>
  <c r="P14" i="29"/>
  <c r="P22" i="29"/>
  <c r="P31" i="29"/>
  <c r="R8" i="30"/>
  <c r="R11" i="30"/>
  <c r="R31" i="30"/>
  <c r="M17" i="4"/>
  <c r="B27" i="5"/>
  <c r="M17" i="6"/>
  <c r="J29" i="6"/>
  <c r="G233" i="97" s="1"/>
  <c r="M35" i="6"/>
  <c r="M10" i="7"/>
  <c r="M17" i="7"/>
  <c r="M7" i="4"/>
  <c r="M13" i="4"/>
  <c r="M14" i="4"/>
  <c r="M19" i="6"/>
  <c r="M25" i="6"/>
  <c r="M9" i="7"/>
  <c r="M22" i="7"/>
  <c r="M23" i="7"/>
  <c r="M20" i="8"/>
  <c r="M21" i="8"/>
  <c r="P11" i="29"/>
  <c r="R10" i="30"/>
  <c r="R23" i="30"/>
  <c r="O15" i="30"/>
  <c r="G2072" i="97" s="1"/>
  <c r="R36" i="30"/>
  <c r="O11" i="31"/>
  <c r="G2195" i="97" s="1"/>
  <c r="R17" i="34"/>
  <c r="M28" i="6"/>
  <c r="M34" i="6"/>
  <c r="M38" i="6"/>
  <c r="J43" i="6"/>
  <c r="G244" i="97" s="1"/>
  <c r="M48" i="6"/>
  <c r="L14" i="12"/>
  <c r="G892" i="97" s="1"/>
  <c r="K9" i="13"/>
  <c r="K16" i="13"/>
  <c r="N18" i="14"/>
  <c r="G1059" i="97" s="1"/>
  <c r="L8" i="15"/>
  <c r="L12" i="15"/>
  <c r="J9" i="26"/>
  <c r="P24" i="29"/>
  <c r="H33" i="30"/>
  <c r="G1888" i="97" s="1"/>
  <c r="L33" i="30"/>
  <c r="G2000" i="97" s="1"/>
  <c r="R17" i="30"/>
  <c r="O28" i="30"/>
  <c r="G2082" i="97" s="1"/>
  <c r="O19" i="31"/>
  <c r="G2201" i="97" s="1"/>
  <c r="R8" i="34"/>
  <c r="R27" i="34"/>
  <c r="R33" i="34"/>
  <c r="B66" i="6"/>
  <c r="H33" i="18"/>
  <c r="G1414" i="97" s="1"/>
  <c r="J15" i="7"/>
  <c r="G356" i="97" s="1"/>
  <c r="N12" i="14"/>
  <c r="G1055" i="97" s="1"/>
  <c r="H30" i="17"/>
  <c r="G1290" i="97" s="1"/>
  <c r="P13" i="19"/>
  <c r="M6" i="4"/>
  <c r="K13" i="6"/>
  <c r="G255" i="97" s="1"/>
  <c r="M8" i="4"/>
  <c r="J9" i="4"/>
  <c r="G65" i="97" s="1"/>
  <c r="M12" i="4"/>
  <c r="M9" i="6"/>
  <c r="M18" i="6"/>
  <c r="J7" i="7"/>
  <c r="K7" i="7" s="1"/>
  <c r="M8" i="7"/>
  <c r="M32" i="7"/>
  <c r="N19" i="14"/>
  <c r="G1060" i="97" s="1"/>
  <c r="L22" i="15"/>
  <c r="L49" i="15"/>
  <c r="G11" i="16"/>
  <c r="G1188" i="97" s="1"/>
  <c r="N7" i="16"/>
  <c r="Q12" i="32"/>
  <c r="M12" i="32" s="1"/>
  <c r="Y19" i="31"/>
  <c r="V11" i="31"/>
  <c r="Y10" i="31"/>
  <c r="R10" i="31" s="1"/>
  <c r="Y9" i="31"/>
  <c r="Q14" i="32"/>
  <c r="M14" i="32" s="1"/>
  <c r="Q7" i="32"/>
  <c r="V8" i="31"/>
  <c r="Y7" i="31"/>
  <c r="Q13" i="32"/>
  <c r="M13" i="32" s="1"/>
  <c r="V9" i="31"/>
  <c r="Q17" i="32"/>
  <c r="M17" i="32" s="1"/>
  <c r="V7" i="31"/>
  <c r="R20" i="27"/>
  <c r="N20" i="27" s="1"/>
  <c r="R11" i="27"/>
  <c r="N11" i="27" s="1"/>
  <c r="Y8" i="31"/>
  <c r="N16" i="26"/>
  <c r="J16" i="26" s="1"/>
  <c r="R12" i="27"/>
  <c r="N12" i="27" s="1"/>
  <c r="R10" i="27"/>
  <c r="Y11" i="31"/>
  <c r="N15" i="26"/>
  <c r="C36" i="2" s="1"/>
  <c r="V19" i="31"/>
  <c r="Q11" i="32"/>
  <c r="M11" i="32" s="1"/>
  <c r="R23" i="27"/>
  <c r="N23" i="27" s="1"/>
  <c r="O14" i="19"/>
  <c r="O13" i="19"/>
  <c r="O12" i="19"/>
  <c r="O9" i="16"/>
  <c r="O10" i="16"/>
  <c r="N9" i="16"/>
  <c r="O6" i="16"/>
  <c r="Q18" i="14"/>
  <c r="Q15" i="14"/>
  <c r="Q8" i="14"/>
  <c r="N10" i="16"/>
  <c r="O7" i="16"/>
  <c r="N6" i="16"/>
  <c r="Q16" i="14"/>
  <c r="Q9" i="14"/>
  <c r="M8" i="5"/>
  <c r="M23" i="6"/>
  <c r="M36" i="6"/>
  <c r="B51" i="7"/>
  <c r="M14" i="7"/>
  <c r="P12" i="19"/>
  <c r="P14" i="19"/>
  <c r="G27" i="33"/>
  <c r="G17" i="12"/>
  <c r="G774" i="97" s="1"/>
  <c r="M28" i="29"/>
  <c r="G1834" i="97" s="1"/>
  <c r="B65" i="29"/>
  <c r="P21" i="29"/>
  <c r="P36" i="29"/>
  <c r="P8" i="29"/>
  <c r="R7" i="30"/>
  <c r="R9" i="30"/>
  <c r="M15" i="29"/>
  <c r="G1824" i="97" s="1"/>
  <c r="O26" i="30"/>
  <c r="G2080" i="97" s="1"/>
  <c r="M26" i="29"/>
  <c r="G1832" i="97" s="1"/>
  <c r="P27" i="29"/>
  <c r="B68" i="30"/>
  <c r="R20" i="34"/>
  <c r="R22" i="30"/>
  <c r="B46" i="31"/>
  <c r="J48" i="29" l="1"/>
  <c r="G1757" i="97" s="1"/>
  <c r="G1147" i="97"/>
  <c r="G50" i="29"/>
  <c r="G1675" i="97" s="1"/>
  <c r="L33" i="29"/>
  <c r="G1808" i="97" s="1"/>
  <c r="K33" i="29"/>
  <c r="G1780" i="97" s="1"/>
  <c r="I33" i="29"/>
  <c r="G1724" i="97" s="1"/>
  <c r="H33" i="29"/>
  <c r="G1696" i="97" s="1"/>
  <c r="AF44" i="34"/>
  <c r="K33" i="30"/>
  <c r="G1972" i="97" s="1"/>
  <c r="G33" i="29"/>
  <c r="G1668" i="97" s="1"/>
  <c r="X39" i="19"/>
  <c r="G19" i="22"/>
  <c r="H19" i="22"/>
  <c r="F19" i="22"/>
  <c r="E19" i="22"/>
  <c r="D19" i="22"/>
  <c r="AN7" i="11"/>
  <c r="AG7" i="11" s="1"/>
  <c r="R7" i="11" s="1"/>
  <c r="J15" i="31"/>
  <c r="G2133" i="97" s="1"/>
  <c r="G17" i="13"/>
  <c r="G910" i="97" s="1"/>
  <c r="N21" i="31"/>
  <c r="G2190" i="97" s="1"/>
  <c r="H39" i="30"/>
  <c r="G1891" i="97" s="1"/>
  <c r="J39" i="30"/>
  <c r="G1947" i="97" s="1"/>
  <c r="G39" i="30"/>
  <c r="G1863" i="97" s="1"/>
  <c r="K39" i="30"/>
  <c r="G1975" i="97" s="1"/>
  <c r="R17" i="76"/>
  <c r="D58" i="2"/>
  <c r="L39" i="30"/>
  <c r="G2003" i="97" s="1"/>
  <c r="I39" i="30"/>
  <c r="G1919" i="97" s="1"/>
  <c r="D57" i="2"/>
  <c r="Q18" i="75"/>
  <c r="J50" i="29"/>
  <c r="G1759" i="97" s="1"/>
  <c r="G48" i="29"/>
  <c r="G1673" i="97" s="1"/>
  <c r="J33" i="29"/>
  <c r="M18" i="29"/>
  <c r="G1826" i="97" s="1"/>
  <c r="H46" i="19"/>
  <c r="G1486" i="97" s="1"/>
  <c r="G33" i="18"/>
  <c r="G1389" i="97" s="1"/>
  <c r="G12" i="96"/>
  <c r="G14" i="96" s="1"/>
  <c r="G1550" i="97" s="1"/>
  <c r="I6" i="96"/>
  <c r="G1554" i="97" s="1"/>
  <c r="H8" i="96"/>
  <c r="G1552" i="97" s="1"/>
  <c r="J46" i="15"/>
  <c r="G1166" i="97" s="1"/>
  <c r="AI27" i="14"/>
  <c r="D19" i="2" s="1"/>
  <c r="L17" i="12"/>
  <c r="G894" i="97" s="1"/>
  <c r="K34" i="7"/>
  <c r="G391" i="97" s="1"/>
  <c r="K26" i="7"/>
  <c r="G386" i="97" s="1"/>
  <c r="K43" i="6"/>
  <c r="G278" i="97" s="1"/>
  <c r="K29" i="6"/>
  <c r="G267" i="97" s="1"/>
  <c r="K20" i="6"/>
  <c r="G260" i="97" s="1"/>
  <c r="K50" i="6"/>
  <c r="G282" i="97" s="1"/>
  <c r="J7" i="8"/>
  <c r="G412" i="97" s="1"/>
  <c r="W17" i="32"/>
  <c r="T17" i="32" s="1"/>
  <c r="L17" i="32" s="1"/>
  <c r="W14" i="32"/>
  <c r="T14" i="32" s="1"/>
  <c r="L14" i="32" s="1"/>
  <c r="W12" i="32"/>
  <c r="T12" i="32" s="1"/>
  <c r="L12" i="32" s="1"/>
  <c r="W13" i="32"/>
  <c r="T13" i="32" s="1"/>
  <c r="L13" i="32" s="1"/>
  <c r="K9" i="4"/>
  <c r="G83" i="97" s="1"/>
  <c r="AN8" i="11"/>
  <c r="H28" i="7"/>
  <c r="G321" i="97" s="1"/>
  <c r="AN11" i="11"/>
  <c r="AG11" i="11" s="1"/>
  <c r="R11" i="11" s="1"/>
  <c r="I28" i="7"/>
  <c r="G343" i="97" s="1"/>
  <c r="G28" i="7"/>
  <c r="G299" i="97" s="1"/>
  <c r="AE44" i="34"/>
  <c r="H12" i="11"/>
  <c r="G696" i="97" s="1"/>
  <c r="I30" i="17"/>
  <c r="G1313" i="97" s="1"/>
  <c r="I33" i="18"/>
  <c r="G1440" i="97" s="1"/>
  <c r="I23" i="19"/>
  <c r="G1504" i="97" s="1"/>
  <c r="G10" i="21"/>
  <c r="AJ10" i="21"/>
  <c r="G11" i="21"/>
  <c r="AJ11" i="21"/>
  <c r="AJ16" i="21"/>
  <c r="E13" i="21"/>
  <c r="AJ13" i="21"/>
  <c r="AJ15" i="21"/>
  <c r="G14" i="21"/>
  <c r="AJ14" i="21"/>
  <c r="AJ19" i="21"/>
  <c r="G17" i="21"/>
  <c r="AJ17" i="21"/>
  <c r="E12" i="21"/>
  <c r="AJ12" i="21"/>
  <c r="G18" i="21"/>
  <c r="AJ18" i="21"/>
  <c r="AJ20" i="21"/>
  <c r="E5" i="21"/>
  <c r="AJ5" i="21"/>
  <c r="G7" i="21"/>
  <c r="AJ7" i="21"/>
  <c r="G6" i="21"/>
  <c r="AJ6" i="21"/>
  <c r="AJ8" i="21"/>
  <c r="E9" i="21"/>
  <c r="AJ9" i="21"/>
  <c r="D9" i="21"/>
  <c r="D6" i="21"/>
  <c r="E17" i="21"/>
  <c r="G9" i="21"/>
  <c r="F16" i="21"/>
  <c r="F6" i="21"/>
  <c r="F8" i="21"/>
  <c r="D8" i="21"/>
  <c r="G5" i="21"/>
  <c r="D20" i="21"/>
  <c r="F9" i="21"/>
  <c r="D10" i="21"/>
  <c r="F17" i="21"/>
  <c r="D17" i="21"/>
  <c r="F10" i="21"/>
  <c r="E8" i="21"/>
  <c r="F13" i="21"/>
  <c r="D13" i="21"/>
  <c r="F19" i="21"/>
  <c r="E20" i="21"/>
  <c r="G13" i="21"/>
  <c r="E14" i="21"/>
  <c r="F20" i="21"/>
  <c r="F11" i="21"/>
  <c r="E11" i="21"/>
  <c r="F5" i="21"/>
  <c r="E19" i="21"/>
  <c r="D7" i="21"/>
  <c r="D18" i="21"/>
  <c r="D16" i="21"/>
  <c r="E16" i="21"/>
  <c r="D5" i="21"/>
  <c r="D14" i="21"/>
  <c r="E7" i="21"/>
  <c r="E15" i="21"/>
  <c r="F7" i="21"/>
  <c r="F18" i="21"/>
  <c r="D15" i="21"/>
  <c r="D11" i="21"/>
  <c r="G8" i="21"/>
  <c r="G16" i="21"/>
  <c r="C21" i="21"/>
  <c r="H21" i="21" s="1"/>
  <c r="F15" i="21"/>
  <c r="E6" i="21"/>
  <c r="G15" i="21"/>
  <c r="G20" i="21"/>
  <c r="D12" i="21"/>
  <c r="D19" i="21"/>
  <c r="F12" i="21"/>
  <c r="F14" i="21"/>
  <c r="E18" i="21"/>
  <c r="G19" i="21"/>
  <c r="E10" i="21"/>
  <c r="G12" i="21"/>
  <c r="C41" i="2"/>
  <c r="C24" i="2"/>
  <c r="C37" i="2"/>
  <c r="C20" i="2"/>
  <c r="W12" i="21"/>
  <c r="W8" i="21"/>
  <c r="W16" i="21"/>
  <c r="W10" i="21"/>
  <c r="W20" i="21"/>
  <c r="W11" i="21"/>
  <c r="W7" i="21"/>
  <c r="W9" i="21"/>
  <c r="W14" i="21"/>
  <c r="W5" i="21"/>
  <c r="W15" i="21"/>
  <c r="W6" i="21"/>
  <c r="W17" i="21"/>
  <c r="W18" i="21"/>
  <c r="W13" i="21"/>
  <c r="W19" i="21"/>
  <c r="AB29" i="18"/>
  <c r="Q29" i="18"/>
  <c r="P29" i="18"/>
  <c r="O29" i="18"/>
  <c r="Q30" i="18"/>
  <c r="P30" i="18"/>
  <c r="AB30" i="18"/>
  <c r="O30" i="18"/>
  <c r="AT6" i="11"/>
  <c r="AI6" i="11" s="1"/>
  <c r="R6" i="11" s="1"/>
  <c r="J44" i="15"/>
  <c r="G1164" i="97" s="1"/>
  <c r="AB26" i="17"/>
  <c r="Q26" i="17"/>
  <c r="P26" i="17"/>
  <c r="O26" i="17"/>
  <c r="AB27" i="17"/>
  <c r="Q27" i="17"/>
  <c r="P27" i="17"/>
  <c r="O27" i="17"/>
  <c r="J15" i="26"/>
  <c r="C42" i="2"/>
  <c r="C21" i="2"/>
  <c r="C19" i="2"/>
  <c r="L45" i="15"/>
  <c r="Q34" i="75"/>
  <c r="M52" i="30"/>
  <c r="G2035" i="97" s="1"/>
  <c r="M50" i="30"/>
  <c r="G2033" i="97" s="1"/>
  <c r="N33" i="30"/>
  <c r="G2056" i="97" s="1"/>
  <c r="N52" i="30"/>
  <c r="G2063" i="97" s="1"/>
  <c r="N50" i="30"/>
  <c r="G2061" i="97" s="1"/>
  <c r="AA52" i="66"/>
  <c r="O18" i="30"/>
  <c r="G2074" i="97" s="1"/>
  <c r="W45" i="65"/>
  <c r="AA30" i="12"/>
  <c r="AG31" i="30"/>
  <c r="AD31" i="30" s="1"/>
  <c r="D40" i="2" s="1"/>
  <c r="K45" i="19"/>
  <c r="Z30" i="12"/>
  <c r="AC31" i="29"/>
  <c r="Z31" i="29" s="1"/>
  <c r="D39" i="2" s="1"/>
  <c r="M33" i="30"/>
  <c r="G2028" i="97" s="1"/>
  <c r="G44" i="19"/>
  <c r="G1459" i="97" s="1"/>
  <c r="AN9" i="11"/>
  <c r="AG9" i="11" s="1"/>
  <c r="R9" i="11" s="1"/>
  <c r="B44" i="14"/>
  <c r="V5" i="21"/>
  <c r="K33" i="18"/>
  <c r="G11" i="13"/>
  <c r="I11" i="13" s="1"/>
  <c r="G930" i="97" s="1"/>
  <c r="G7" i="13"/>
  <c r="G8" i="13"/>
  <c r="B51" i="31"/>
  <c r="G6" i="13"/>
  <c r="G9" i="13"/>
  <c r="G908" i="97" s="1"/>
  <c r="B27" i="16"/>
  <c r="G32" i="12"/>
  <c r="G784" i="97" s="1"/>
  <c r="V6" i="21"/>
  <c r="I8" i="11"/>
  <c r="G700" i="97" s="1"/>
  <c r="G6" i="32"/>
  <c r="G2212" i="97" s="1"/>
  <c r="J32" i="12"/>
  <c r="G856" i="97" s="1"/>
  <c r="M8" i="11"/>
  <c r="G729" i="97" s="1"/>
  <c r="H6" i="32"/>
  <c r="G2223" i="97" s="1"/>
  <c r="O14" i="31"/>
  <c r="G2197" i="97" s="1"/>
  <c r="L34" i="17"/>
  <c r="B66" i="15"/>
  <c r="B26" i="5"/>
  <c r="J45" i="6"/>
  <c r="G245" i="97" s="1"/>
  <c r="Z5" i="21"/>
  <c r="Q18" i="22"/>
  <c r="P18" i="22"/>
  <c r="B20" i="22"/>
  <c r="C20" i="22" s="1"/>
  <c r="M17" i="22"/>
  <c r="B22" i="21"/>
  <c r="AI22" i="21" s="1"/>
  <c r="AB5" i="21"/>
  <c r="AD5" i="21"/>
  <c r="AD6" i="21"/>
  <c r="Z6" i="21"/>
  <c r="AB6" i="21"/>
  <c r="V7" i="21"/>
  <c r="K30" i="17"/>
  <c r="J44" i="34"/>
  <c r="G2391" i="97" s="1"/>
  <c r="O12" i="31"/>
  <c r="G2196" i="97" s="1"/>
  <c r="S7" i="11"/>
  <c r="S16" i="11"/>
  <c r="Q7" i="14"/>
  <c r="M7" i="32"/>
  <c r="X5" i="21"/>
  <c r="S15" i="11"/>
  <c r="K9" i="16"/>
  <c r="B49" i="31"/>
  <c r="R9" i="31"/>
  <c r="J31" i="6"/>
  <c r="G234" i="97" s="1"/>
  <c r="B48" i="31"/>
  <c r="L12" i="19"/>
  <c r="R11" i="31"/>
  <c r="X6" i="21"/>
  <c r="R8" i="31"/>
  <c r="S11" i="11"/>
  <c r="P20" i="17"/>
  <c r="O20" i="17"/>
  <c r="Q20" i="17"/>
  <c r="P16" i="17"/>
  <c r="O16" i="17"/>
  <c r="Q16" i="17"/>
  <c r="B52" i="7"/>
  <c r="Q11" i="18"/>
  <c r="P11" i="18"/>
  <c r="O11" i="18"/>
  <c r="Q19" i="18"/>
  <c r="P19" i="18"/>
  <c r="O19" i="18"/>
  <c r="Q23" i="18"/>
  <c r="P23" i="18"/>
  <c r="O23" i="18"/>
  <c r="P25" i="17"/>
  <c r="O25" i="17"/>
  <c r="Q25" i="17"/>
  <c r="J15" i="4"/>
  <c r="G70" i="97" s="1"/>
  <c r="P23" i="17"/>
  <c r="O23" i="17"/>
  <c r="Q23" i="17"/>
  <c r="P15" i="17"/>
  <c r="O15" i="17"/>
  <c r="Q15" i="17"/>
  <c r="K10" i="16"/>
  <c r="Q16" i="18"/>
  <c r="P16" i="18"/>
  <c r="O16" i="18"/>
  <c r="Q28" i="18"/>
  <c r="P28" i="18"/>
  <c r="O28" i="18"/>
  <c r="K15" i="7"/>
  <c r="G378" i="97" s="1"/>
  <c r="J19" i="7"/>
  <c r="G359" i="97" s="1"/>
  <c r="B50" i="31"/>
  <c r="B66" i="29"/>
  <c r="P22" i="17"/>
  <c r="O22" i="17"/>
  <c r="Q22" i="17"/>
  <c r="P18" i="17"/>
  <c r="O18" i="17"/>
  <c r="Q18" i="17"/>
  <c r="P14" i="17"/>
  <c r="O14" i="17"/>
  <c r="Q14" i="17"/>
  <c r="P10" i="17"/>
  <c r="O10" i="17"/>
  <c r="Q10" i="17"/>
  <c r="B43" i="14"/>
  <c r="B50" i="4"/>
  <c r="Q9" i="18"/>
  <c r="P9" i="18"/>
  <c r="O9" i="18"/>
  <c r="Q13" i="18"/>
  <c r="P13" i="18"/>
  <c r="O13" i="18"/>
  <c r="Q17" i="18"/>
  <c r="P17" i="18"/>
  <c r="O17" i="18"/>
  <c r="Q21" i="18"/>
  <c r="P21" i="18"/>
  <c r="O21" i="18"/>
  <c r="Q25" i="18"/>
  <c r="P25" i="18"/>
  <c r="O25" i="18"/>
  <c r="S6" i="11"/>
  <c r="L13" i="19"/>
  <c r="N21" i="14"/>
  <c r="G1061" i="97" s="1"/>
  <c r="B69" i="30"/>
  <c r="P24" i="17"/>
  <c r="O24" i="17"/>
  <c r="Q24" i="17"/>
  <c r="P12" i="17"/>
  <c r="O12" i="17"/>
  <c r="Q12" i="17"/>
  <c r="Q15" i="18"/>
  <c r="P15" i="18"/>
  <c r="O15" i="18"/>
  <c r="Q27" i="18"/>
  <c r="P27" i="18"/>
  <c r="O27" i="18"/>
  <c r="L43" i="15"/>
  <c r="P19" i="17"/>
  <c r="O19" i="17"/>
  <c r="Q19" i="17"/>
  <c r="P11" i="17"/>
  <c r="O11" i="17"/>
  <c r="Q11" i="17"/>
  <c r="B28" i="16"/>
  <c r="Q12" i="18"/>
  <c r="P12" i="18"/>
  <c r="O12" i="18"/>
  <c r="Q20" i="18"/>
  <c r="P20" i="18"/>
  <c r="O20" i="18"/>
  <c r="Q24" i="18"/>
  <c r="P24" i="18"/>
  <c r="O24" i="18"/>
  <c r="K7" i="16"/>
  <c r="B35" i="32"/>
  <c r="P21" i="17"/>
  <c r="O21" i="17"/>
  <c r="Q21" i="17"/>
  <c r="P17" i="17"/>
  <c r="O17" i="17"/>
  <c r="Q17" i="17"/>
  <c r="P13" i="17"/>
  <c r="O13" i="17"/>
  <c r="Q13" i="17"/>
  <c r="P9" i="17"/>
  <c r="O9" i="17"/>
  <c r="Q9" i="17"/>
  <c r="K6" i="16"/>
  <c r="Q10" i="18"/>
  <c r="P10" i="18"/>
  <c r="O10" i="18"/>
  <c r="Q14" i="18"/>
  <c r="P14" i="18"/>
  <c r="O14" i="18"/>
  <c r="Q18" i="18"/>
  <c r="P18" i="18"/>
  <c r="O18" i="18"/>
  <c r="Q22" i="18"/>
  <c r="P22" i="18"/>
  <c r="O22" i="18"/>
  <c r="Q26" i="18"/>
  <c r="P26" i="18"/>
  <c r="O26" i="18"/>
  <c r="L14" i="19"/>
  <c r="R19" i="31"/>
  <c r="N10" i="27"/>
  <c r="R7" i="31"/>
  <c r="B67" i="6"/>
  <c r="I39" i="29" l="1"/>
  <c r="G1727" i="97" s="1"/>
  <c r="K39" i="29"/>
  <c r="G1783" i="97" s="1"/>
  <c r="O15" i="31"/>
  <c r="G2198" i="97" s="1"/>
  <c r="L39" i="29"/>
  <c r="G1811" i="97" s="1"/>
  <c r="H39" i="29"/>
  <c r="G1699" i="97" s="1"/>
  <c r="G39" i="29"/>
  <c r="G1671" i="97" s="1"/>
  <c r="G20" i="22"/>
  <c r="H20" i="22"/>
  <c r="F20" i="22"/>
  <c r="E20" i="22"/>
  <c r="D20" i="22"/>
  <c r="M33" i="29"/>
  <c r="G1836" i="97" s="1"/>
  <c r="G1752" i="97"/>
  <c r="P27" i="14"/>
  <c r="AE12" i="31"/>
  <c r="AE15" i="31"/>
  <c r="J21" i="31"/>
  <c r="G2138" i="97" s="1"/>
  <c r="N39" i="30"/>
  <c r="G2059" i="97" s="1"/>
  <c r="J39" i="12"/>
  <c r="G859" i="97" s="1"/>
  <c r="M39" i="30"/>
  <c r="G2031" i="97" s="1"/>
  <c r="J39" i="29"/>
  <c r="G1755" i="97" s="1"/>
  <c r="H53" i="19"/>
  <c r="G1491" i="97" s="1"/>
  <c r="I8" i="96"/>
  <c r="G1556" i="97" s="1"/>
  <c r="H12" i="96"/>
  <c r="K31" i="6"/>
  <c r="G268" i="97" s="1"/>
  <c r="K45" i="6"/>
  <c r="G279" i="97" s="1"/>
  <c r="J8" i="8"/>
  <c r="G413" i="97" s="1"/>
  <c r="D42" i="2"/>
  <c r="K15" i="4"/>
  <c r="G88" i="97" s="1"/>
  <c r="I36" i="7"/>
  <c r="G348" i="97" s="1"/>
  <c r="AC44" i="34"/>
  <c r="D44" i="2" s="1"/>
  <c r="G9" i="32"/>
  <c r="G2214" i="97" s="1"/>
  <c r="H18" i="11"/>
  <c r="G699" i="97" s="1"/>
  <c r="G46" i="19"/>
  <c r="G1461" i="97" s="1"/>
  <c r="W21" i="21"/>
  <c r="AJ21" i="21"/>
  <c r="C22" i="21"/>
  <c r="E21" i="21"/>
  <c r="D21" i="21"/>
  <c r="F21" i="21"/>
  <c r="G21" i="21"/>
  <c r="L30" i="18"/>
  <c r="L26" i="17"/>
  <c r="L29" i="18"/>
  <c r="D17" i="2"/>
  <c r="J44" i="19"/>
  <c r="G1522" i="97" s="1"/>
  <c r="I39" i="19"/>
  <c r="G1513" i="97" s="1"/>
  <c r="L27" i="17"/>
  <c r="C23" i="2"/>
  <c r="C22" i="2"/>
  <c r="J6" i="32"/>
  <c r="G2245" i="97" s="1"/>
  <c r="L32" i="12"/>
  <c r="G904" i="97" s="1"/>
  <c r="O39" i="30"/>
  <c r="G2087" i="97" s="1"/>
  <c r="Q31" i="30"/>
  <c r="O33" i="30"/>
  <c r="G2084" i="97" s="1"/>
  <c r="O31" i="29"/>
  <c r="B67" i="15"/>
  <c r="W29" i="19"/>
  <c r="S29" i="19" s="1"/>
  <c r="H9" i="32"/>
  <c r="G2225" i="97" s="1"/>
  <c r="G12" i="13"/>
  <c r="AF12" i="31" s="1"/>
  <c r="B45" i="14"/>
  <c r="I6" i="13"/>
  <c r="G925" i="97" s="1"/>
  <c r="Q7" i="31"/>
  <c r="Q19" i="31"/>
  <c r="I17" i="13"/>
  <c r="G935" i="97" s="1"/>
  <c r="I9" i="13"/>
  <c r="G928" i="97" s="1"/>
  <c r="Q10" i="31"/>
  <c r="I7" i="13"/>
  <c r="G926" i="97" s="1"/>
  <c r="Q8" i="31"/>
  <c r="Q11" i="31"/>
  <c r="Q9" i="31"/>
  <c r="I8" i="13"/>
  <c r="G927" i="97" s="1"/>
  <c r="G13" i="13"/>
  <c r="B52" i="31"/>
  <c r="B71" i="30"/>
  <c r="K8" i="11"/>
  <c r="G714" i="97" s="1"/>
  <c r="H7" i="27"/>
  <c r="G1586" i="97" s="1"/>
  <c r="N8" i="11"/>
  <c r="G736" i="97" s="1"/>
  <c r="S5" i="21"/>
  <c r="L9" i="17"/>
  <c r="M18" i="22"/>
  <c r="Q19" i="22"/>
  <c r="P19" i="22"/>
  <c r="B21" i="22"/>
  <c r="C21" i="22" s="1"/>
  <c r="B23" i="21"/>
  <c r="AI23" i="21" s="1"/>
  <c r="AB7" i="21"/>
  <c r="AD7" i="21"/>
  <c r="Z7" i="21"/>
  <c r="X7" i="21"/>
  <c r="S6" i="21"/>
  <c r="L15" i="17"/>
  <c r="L18" i="18"/>
  <c r="L17" i="17"/>
  <c r="L21" i="18"/>
  <c r="L20" i="18"/>
  <c r="L22" i="18"/>
  <c r="L25" i="18"/>
  <c r="L15" i="18"/>
  <c r="L23" i="18"/>
  <c r="L12" i="18"/>
  <c r="L27" i="18"/>
  <c r="L22" i="17"/>
  <c r="L16" i="18"/>
  <c r="B70" i="30"/>
  <c r="B51" i="4"/>
  <c r="B29" i="16"/>
  <c r="L19" i="17"/>
  <c r="L24" i="17"/>
  <c r="L9" i="18"/>
  <c r="G36" i="7"/>
  <c r="G304" i="97" s="1"/>
  <c r="K19" i="7"/>
  <c r="G381" i="97" s="1"/>
  <c r="L25" i="17"/>
  <c r="B53" i="7"/>
  <c r="L26" i="18"/>
  <c r="L10" i="18"/>
  <c r="L24" i="18"/>
  <c r="L11" i="17"/>
  <c r="L12" i="17"/>
  <c r="L13" i="18"/>
  <c r="B46" i="14"/>
  <c r="L14" i="17"/>
  <c r="B67" i="29"/>
  <c r="L28" i="18"/>
  <c r="L11" i="18"/>
  <c r="L20" i="17"/>
  <c r="B36" i="32"/>
  <c r="L13" i="17"/>
  <c r="L18" i="17"/>
  <c r="B68" i="6"/>
  <c r="L14" i="18"/>
  <c r="L21" i="17"/>
  <c r="L17" i="18"/>
  <c r="L10" i="17"/>
  <c r="J28" i="7"/>
  <c r="G365" i="97" s="1"/>
  <c r="H36" i="7"/>
  <c r="G326" i="97" s="1"/>
  <c r="L23" i="17"/>
  <c r="J18" i="4"/>
  <c r="G72" i="97" s="1"/>
  <c r="L19" i="18"/>
  <c r="G39" i="12"/>
  <c r="G787" i="97" s="1"/>
  <c r="L16" i="17"/>
  <c r="O21" i="31" l="1"/>
  <c r="G2203" i="97" s="1"/>
  <c r="F21" i="22"/>
  <c r="H21" i="22"/>
  <c r="E21" i="22"/>
  <c r="D21" i="22"/>
  <c r="G21" i="22"/>
  <c r="AJ22" i="21"/>
  <c r="H22" i="21"/>
  <c r="R44" i="34"/>
  <c r="I19" i="27"/>
  <c r="G1600" i="97" s="1"/>
  <c r="AH52" i="64"/>
  <c r="AE52" i="64" s="1"/>
  <c r="D46" i="2" s="1"/>
  <c r="M39" i="29"/>
  <c r="I12" i="96"/>
  <c r="H14" i="96"/>
  <c r="G1553" i="97" s="1"/>
  <c r="L39" i="12"/>
  <c r="G907" i="97" s="1"/>
  <c r="J11" i="8"/>
  <c r="G416" i="97" s="1"/>
  <c r="G41" i="33"/>
  <c r="G2282" i="97" s="1"/>
  <c r="G40" i="33"/>
  <c r="G2281" i="97" s="1"/>
  <c r="G42" i="33"/>
  <c r="G2283" i="97" s="1"/>
  <c r="J36" i="7"/>
  <c r="G370" i="97" s="1"/>
  <c r="K18" i="4"/>
  <c r="G90" i="97" s="1"/>
  <c r="G18" i="33"/>
  <c r="G2266" i="97" s="1"/>
  <c r="H19" i="27"/>
  <c r="G1592" i="97" s="1"/>
  <c r="H15" i="32"/>
  <c r="G2230" i="97" s="1"/>
  <c r="K12" i="11"/>
  <c r="G718" i="97" s="1"/>
  <c r="N12" i="11"/>
  <c r="G740" i="97" s="1"/>
  <c r="G15" i="32"/>
  <c r="G2219" i="97" s="1"/>
  <c r="J46" i="19"/>
  <c r="G1524" i="97" s="1"/>
  <c r="G53" i="19"/>
  <c r="G1466" i="97" s="1"/>
  <c r="W39" i="19"/>
  <c r="S39" i="19" s="1"/>
  <c r="D24" i="2" s="1"/>
  <c r="C23" i="21"/>
  <c r="G22" i="21"/>
  <c r="F22" i="21"/>
  <c r="D22" i="21"/>
  <c r="E22" i="21"/>
  <c r="W22" i="21"/>
  <c r="N30" i="12"/>
  <c r="J9" i="32"/>
  <c r="G2248" i="97" s="1"/>
  <c r="R52" i="64"/>
  <c r="B68" i="15"/>
  <c r="B69" i="15"/>
  <c r="G14" i="13"/>
  <c r="I12" i="13"/>
  <c r="G931" i="97" s="1"/>
  <c r="Q14" i="31"/>
  <c r="I13" i="13"/>
  <c r="G932" i="97" s="1"/>
  <c r="B53" i="31"/>
  <c r="AC12" i="31"/>
  <c r="G7" i="27"/>
  <c r="G1577" i="97" s="1"/>
  <c r="B69" i="29"/>
  <c r="B72" i="30"/>
  <c r="S8" i="11"/>
  <c r="M19" i="22"/>
  <c r="P20" i="22"/>
  <c r="Q20" i="22"/>
  <c r="B22" i="22"/>
  <c r="C22" i="22" s="1"/>
  <c r="B24" i="21"/>
  <c r="AI24" i="21" s="1"/>
  <c r="S7" i="21"/>
  <c r="Z8" i="21"/>
  <c r="AB8" i="21"/>
  <c r="AD8" i="21"/>
  <c r="K29" i="19"/>
  <c r="X8" i="21"/>
  <c r="V8" i="21"/>
  <c r="B47" i="14"/>
  <c r="B69" i="6"/>
  <c r="B54" i="7"/>
  <c r="B52" i="4"/>
  <c r="B37" i="32"/>
  <c r="B68" i="29"/>
  <c r="K28" i="7"/>
  <c r="G387" i="97" s="1"/>
  <c r="H6" i="5"/>
  <c r="J22" i="4"/>
  <c r="G75" i="97" s="1"/>
  <c r="B31" i="16"/>
  <c r="B30" i="16"/>
  <c r="B73" i="30"/>
  <c r="G6" i="5"/>
  <c r="G1839" i="97" l="1"/>
  <c r="AE21" i="31"/>
  <c r="K36" i="7"/>
  <c r="G392" i="97" s="1"/>
  <c r="D22" i="22"/>
  <c r="H22" i="22"/>
  <c r="G22" i="22"/>
  <c r="F22" i="22"/>
  <c r="E22" i="22"/>
  <c r="G23" i="33"/>
  <c r="G2271" i="97" s="1"/>
  <c r="AJ23" i="21"/>
  <c r="H23" i="21"/>
  <c r="G19" i="13"/>
  <c r="AF15" i="31"/>
  <c r="AC15" i="31" s="1"/>
  <c r="AD52" i="63"/>
  <c r="AA52" i="63" s="1"/>
  <c r="G1559" i="97"/>
  <c r="J15" i="32"/>
  <c r="G2253" i="97" s="1"/>
  <c r="S42" i="33"/>
  <c r="Q42" i="33" s="1"/>
  <c r="J13" i="8"/>
  <c r="G417" i="97" s="1"/>
  <c r="G8" i="33"/>
  <c r="G2256" i="97" s="1"/>
  <c r="G7" i="33"/>
  <c r="G21" i="33" s="1"/>
  <c r="G2269" i="97" s="1"/>
  <c r="K22" i="4"/>
  <c r="G93" i="97" s="1"/>
  <c r="G19" i="27"/>
  <c r="G1583" i="97" s="1"/>
  <c r="G18" i="32"/>
  <c r="G2221" i="97" s="1"/>
  <c r="K18" i="11"/>
  <c r="G721" i="97" s="1"/>
  <c r="N18" i="11"/>
  <c r="G743" i="97" s="1"/>
  <c r="H18" i="32"/>
  <c r="G2232" i="97" s="1"/>
  <c r="J53" i="19"/>
  <c r="G1529" i="97" s="1"/>
  <c r="C24" i="21"/>
  <c r="G23" i="21"/>
  <c r="F23" i="21"/>
  <c r="D23" i="21"/>
  <c r="E23" i="21"/>
  <c r="W23" i="21"/>
  <c r="K39" i="19"/>
  <c r="B70" i="15"/>
  <c r="I14" i="13"/>
  <c r="G933" i="97" s="1"/>
  <c r="Q12" i="31"/>
  <c r="B49" i="14"/>
  <c r="B55" i="31"/>
  <c r="G8" i="11"/>
  <c r="G684" i="97" s="1"/>
  <c r="B70" i="29"/>
  <c r="Q21" i="22"/>
  <c r="P21" i="22"/>
  <c r="M20" i="22"/>
  <c r="B23" i="22"/>
  <c r="C23" i="22" s="1"/>
  <c r="B25" i="21"/>
  <c r="AI25" i="21" s="1"/>
  <c r="Z9" i="21"/>
  <c r="AB9" i="21"/>
  <c r="AD9" i="21"/>
  <c r="V9" i="21"/>
  <c r="X9" i="21"/>
  <c r="S8" i="21"/>
  <c r="B70" i="6"/>
  <c r="B48" i="14"/>
  <c r="B38" i="32"/>
  <c r="B55" i="7"/>
  <c r="B74" i="30"/>
  <c r="J6" i="5"/>
  <c r="K6" i="5" s="1"/>
  <c r="H9" i="5"/>
  <c r="G103" i="97" s="1"/>
  <c r="B53" i="4"/>
  <c r="G9" i="5"/>
  <c r="G100" i="97" s="1"/>
  <c r="B71" i="29"/>
  <c r="AF21" i="31" l="1"/>
  <c r="AC21" i="31" s="1"/>
  <c r="Q21" i="31" s="1"/>
  <c r="G13" i="33"/>
  <c r="G2261" i="97" s="1"/>
  <c r="G24" i="33"/>
  <c r="G2272" i="97" s="1"/>
  <c r="G23" i="22"/>
  <c r="H23" i="22"/>
  <c r="F23" i="22"/>
  <c r="D23" i="22"/>
  <c r="E23" i="22"/>
  <c r="D41" i="2"/>
  <c r="AJ24" i="21"/>
  <c r="H24" i="21"/>
  <c r="D45" i="2"/>
  <c r="P52" i="63"/>
  <c r="I19" i="13"/>
  <c r="G936" i="97" s="1"/>
  <c r="J18" i="32"/>
  <c r="G2255" i="97" s="1"/>
  <c r="G9" i="33"/>
  <c r="D43" i="2"/>
  <c r="J42" i="33"/>
  <c r="J9" i="5"/>
  <c r="G109" i="97" s="1"/>
  <c r="P8" i="11"/>
  <c r="G755" i="97" s="1"/>
  <c r="F24" i="21"/>
  <c r="D24" i="21"/>
  <c r="G24" i="21"/>
  <c r="E24" i="21"/>
  <c r="C25" i="21"/>
  <c r="W24" i="21"/>
  <c r="G12" i="11"/>
  <c r="G687" i="97" s="1"/>
  <c r="B71" i="15"/>
  <c r="Q15" i="31"/>
  <c r="B57" i="31"/>
  <c r="M21" i="22"/>
  <c r="Q22" i="22"/>
  <c r="P22" i="22"/>
  <c r="B24" i="22"/>
  <c r="C24" i="22" s="1"/>
  <c r="B26" i="21"/>
  <c r="AI26" i="21" s="1"/>
  <c r="AD10" i="21"/>
  <c r="Z10" i="21"/>
  <c r="AB10" i="21"/>
  <c r="V10" i="21"/>
  <c r="X10" i="21"/>
  <c r="S9" i="21"/>
  <c r="B54" i="4"/>
  <c r="B75" i="30"/>
  <c r="B71" i="6"/>
  <c r="B39" i="32"/>
  <c r="B50" i="14"/>
  <c r="B72" i="29"/>
  <c r="B56" i="7"/>
  <c r="G24" i="22" l="1"/>
  <c r="D24" i="22"/>
  <c r="E24" i="22"/>
  <c r="F24" i="22"/>
  <c r="H24" i="22"/>
  <c r="AJ25" i="21"/>
  <c r="H25" i="21"/>
  <c r="K9" i="5"/>
  <c r="G112" i="97" s="1"/>
  <c r="P12" i="11"/>
  <c r="G759" i="97" s="1"/>
  <c r="E25" i="21"/>
  <c r="F25" i="21"/>
  <c r="D25" i="21"/>
  <c r="G25" i="21"/>
  <c r="C26" i="21"/>
  <c r="W25" i="21"/>
  <c r="G18" i="11"/>
  <c r="G690" i="97" s="1"/>
  <c r="B72" i="15"/>
  <c r="G28" i="33"/>
  <c r="G2273" i="97" s="1"/>
  <c r="AM8" i="11"/>
  <c r="AG8" i="11" s="1"/>
  <c r="D16" i="2" s="1"/>
  <c r="B61" i="31"/>
  <c r="M22" i="22"/>
  <c r="P23" i="22"/>
  <c r="Q23" i="22"/>
  <c r="B25" i="22"/>
  <c r="C25" i="22" s="1"/>
  <c r="B27" i="21"/>
  <c r="AI27" i="21" s="1"/>
  <c r="AB11" i="21"/>
  <c r="AD11" i="21"/>
  <c r="Z11" i="21"/>
  <c r="S10" i="21"/>
  <c r="V11" i="21"/>
  <c r="X11" i="21"/>
  <c r="B40" i="32"/>
  <c r="B72" i="6"/>
  <c r="B55" i="4"/>
  <c r="B76" i="30"/>
  <c r="B57" i="7"/>
  <c r="B73" i="29"/>
  <c r="B51" i="14"/>
  <c r="F25" i="22" l="1"/>
  <c r="H25" i="22"/>
  <c r="G25" i="22"/>
  <c r="D25" i="22"/>
  <c r="E25" i="22"/>
  <c r="AJ26" i="21"/>
  <c r="H26" i="21"/>
  <c r="P18" i="11"/>
  <c r="G762" i="97" s="1"/>
  <c r="C27" i="21"/>
  <c r="G26" i="21"/>
  <c r="D26" i="21"/>
  <c r="F26" i="21"/>
  <c r="E26" i="21"/>
  <c r="W26" i="21"/>
  <c r="B73" i="15"/>
  <c r="R8" i="11"/>
  <c r="B62" i="31"/>
  <c r="P24" i="22"/>
  <c r="Q24" i="22"/>
  <c r="M23" i="22"/>
  <c r="B26" i="22"/>
  <c r="C26" i="22" s="1"/>
  <c r="B28" i="21"/>
  <c r="AI28" i="21" s="1"/>
  <c r="Z12" i="21"/>
  <c r="AB12" i="21"/>
  <c r="AD12" i="21"/>
  <c r="V12" i="21"/>
  <c r="X12" i="21"/>
  <c r="S11" i="21"/>
  <c r="B52" i="14"/>
  <c r="B73" i="6"/>
  <c r="B58" i="7"/>
  <c r="B74" i="29"/>
  <c r="B77" i="30"/>
  <c r="B56" i="4"/>
  <c r="B41" i="32"/>
  <c r="D26" i="22" l="1"/>
  <c r="H26" i="22"/>
  <c r="F26" i="22"/>
  <c r="G26" i="22"/>
  <c r="E26" i="22"/>
  <c r="AJ27" i="21"/>
  <c r="H27" i="21"/>
  <c r="C28" i="21"/>
  <c r="D27" i="21"/>
  <c r="F27" i="21"/>
  <c r="E27" i="21"/>
  <c r="G27" i="21"/>
  <c r="W27" i="21"/>
  <c r="B74" i="15"/>
  <c r="B63" i="31"/>
  <c r="B53" i="14"/>
  <c r="P25" i="22"/>
  <c r="Q25" i="22"/>
  <c r="B27" i="22"/>
  <c r="C27" i="22" s="1"/>
  <c r="M24" i="22"/>
  <c r="B29" i="21"/>
  <c r="AI29" i="21" s="1"/>
  <c r="Z13" i="21"/>
  <c r="AB13" i="21"/>
  <c r="AD13" i="21"/>
  <c r="X13" i="21"/>
  <c r="V13" i="21"/>
  <c r="S12" i="21"/>
  <c r="B42" i="32"/>
  <c r="B57" i="4"/>
  <c r="B75" i="29"/>
  <c r="B78" i="30"/>
  <c r="B59" i="7"/>
  <c r="B74" i="6"/>
  <c r="G27" i="22" l="1"/>
  <c r="H27" i="22"/>
  <c r="F27" i="22"/>
  <c r="D27" i="22"/>
  <c r="E27" i="22"/>
  <c r="AJ28" i="21"/>
  <c r="H28" i="21"/>
  <c r="C29" i="21"/>
  <c r="D28" i="21"/>
  <c r="E28" i="21"/>
  <c r="F28" i="21"/>
  <c r="G28" i="21"/>
  <c r="W28" i="21"/>
  <c r="B75" i="15"/>
  <c r="B64" i="31"/>
  <c r="B54" i="14"/>
  <c r="M25" i="22"/>
  <c r="P26" i="22"/>
  <c r="Q26" i="22"/>
  <c r="B28" i="22"/>
  <c r="C28" i="22" s="1"/>
  <c r="B30" i="21"/>
  <c r="AI30" i="21" s="1"/>
  <c r="AD14" i="21"/>
  <c r="Z14" i="21"/>
  <c r="AB14" i="21"/>
  <c r="S13" i="21"/>
  <c r="X14" i="21"/>
  <c r="V14" i="21"/>
  <c r="B60" i="7"/>
  <c r="B58" i="4"/>
  <c r="B76" i="29"/>
  <c r="B44" i="32"/>
  <c r="B43" i="32"/>
  <c r="B75" i="6"/>
  <c r="B79" i="30"/>
  <c r="G28" i="22" l="1"/>
  <c r="H28" i="22"/>
  <c r="E28" i="22"/>
  <c r="F28" i="22"/>
  <c r="D28" i="22"/>
  <c r="AJ29" i="21"/>
  <c r="H29" i="21"/>
  <c r="C30" i="21"/>
  <c r="G29" i="21"/>
  <c r="E29" i="21"/>
  <c r="D29" i="21"/>
  <c r="F29" i="21"/>
  <c r="W29" i="21"/>
  <c r="B76" i="15"/>
  <c r="B65" i="31"/>
  <c r="B66" i="31"/>
  <c r="B81" i="30"/>
  <c r="B56" i="14"/>
  <c r="B55" i="14"/>
  <c r="M26" i="22"/>
  <c r="B29" i="22"/>
  <c r="C29" i="22" s="1"/>
  <c r="Q27" i="22"/>
  <c r="P27" i="22"/>
  <c r="B31" i="21"/>
  <c r="AI31" i="21" s="1"/>
  <c r="AB15" i="21"/>
  <c r="AD15" i="21"/>
  <c r="Z15" i="21"/>
  <c r="V15" i="21"/>
  <c r="X15" i="21"/>
  <c r="S14" i="21"/>
  <c r="B59" i="4"/>
  <c r="B80" i="30"/>
  <c r="B77" i="29"/>
  <c r="B61" i="7"/>
  <c r="B76" i="6"/>
  <c r="F29" i="22" l="1"/>
  <c r="H29" i="22"/>
  <c r="G29" i="22"/>
  <c r="E29" i="22"/>
  <c r="D29" i="22"/>
  <c r="AJ30" i="21"/>
  <c r="H30" i="21"/>
  <c r="C31" i="21"/>
  <c r="G30" i="21"/>
  <c r="D30" i="21"/>
  <c r="E30" i="21"/>
  <c r="F30" i="21"/>
  <c r="W30" i="21"/>
  <c r="B77" i="15"/>
  <c r="B79" i="29"/>
  <c r="P28" i="22"/>
  <c r="Q28" i="22"/>
  <c r="M27" i="22"/>
  <c r="B30" i="22"/>
  <c r="C30" i="22" s="1"/>
  <c r="B32" i="21"/>
  <c r="AI32" i="21" s="1"/>
  <c r="Z16" i="21"/>
  <c r="AB16" i="21"/>
  <c r="AD16" i="21"/>
  <c r="X16" i="21"/>
  <c r="V16" i="21"/>
  <c r="S15" i="21"/>
  <c r="B77" i="6"/>
  <c r="B62" i="7"/>
  <c r="B78" i="29"/>
  <c r="B60" i="4"/>
  <c r="B82" i="30"/>
  <c r="D30" i="22" l="1"/>
  <c r="E30" i="22"/>
  <c r="F30" i="22"/>
  <c r="G30" i="22"/>
  <c r="H30" i="22"/>
  <c r="AJ31" i="21"/>
  <c r="H31" i="21"/>
  <c r="C32" i="21"/>
  <c r="G31" i="21"/>
  <c r="D31" i="21"/>
  <c r="E31" i="21"/>
  <c r="F31" i="21"/>
  <c r="W31" i="21"/>
  <c r="B78" i="15"/>
  <c r="B31" i="22"/>
  <c r="C31" i="22" s="1"/>
  <c r="M28" i="22"/>
  <c r="Q29" i="22"/>
  <c r="P29" i="22"/>
  <c r="B33" i="21"/>
  <c r="AI33" i="21" s="1"/>
  <c r="Z17" i="21"/>
  <c r="AB17" i="21"/>
  <c r="AD17" i="21"/>
  <c r="B61" i="4"/>
  <c r="S16" i="21"/>
  <c r="X17" i="21"/>
  <c r="V17" i="21"/>
  <c r="B63" i="7"/>
  <c r="B83" i="30"/>
  <c r="B80" i="29"/>
  <c r="B78" i="6"/>
  <c r="G31" i="22" l="1"/>
  <c r="H31" i="22"/>
  <c r="F31" i="22"/>
  <c r="E31" i="22"/>
  <c r="D31" i="22"/>
  <c r="AJ32" i="21"/>
  <c r="H32" i="21"/>
  <c r="F32" i="21"/>
  <c r="D32" i="21"/>
  <c r="G32" i="21"/>
  <c r="E32" i="21"/>
  <c r="C33" i="21"/>
  <c r="W32" i="21"/>
  <c r="B79" i="15"/>
  <c r="B62" i="4"/>
  <c r="M29" i="22"/>
  <c r="Q30" i="22"/>
  <c r="P30" i="22"/>
  <c r="B32" i="22"/>
  <c r="C32" i="22" s="1"/>
  <c r="B34" i="21"/>
  <c r="AI34" i="21" s="1"/>
  <c r="AD18" i="21"/>
  <c r="Z18" i="21"/>
  <c r="AB18" i="21"/>
  <c r="S17" i="21"/>
  <c r="V18" i="21"/>
  <c r="X18" i="21"/>
  <c r="B84" i="30"/>
  <c r="B79" i="6"/>
  <c r="B81" i="29"/>
  <c r="B64" i="7"/>
  <c r="G32" i="22" l="1"/>
  <c r="H32" i="22"/>
  <c r="F32" i="22"/>
  <c r="E32" i="22"/>
  <c r="D32" i="22"/>
  <c r="AJ33" i="21"/>
  <c r="H33" i="21"/>
  <c r="C34" i="21"/>
  <c r="D33" i="21"/>
  <c r="E33" i="21"/>
  <c r="F33" i="21"/>
  <c r="G33" i="21"/>
  <c r="W33" i="21"/>
  <c r="B80" i="15"/>
  <c r="B63" i="4"/>
  <c r="M30" i="22"/>
  <c r="B33" i="22"/>
  <c r="C33" i="22" s="1"/>
  <c r="P31" i="22"/>
  <c r="Q31" i="22"/>
  <c r="B35" i="21"/>
  <c r="AI35" i="21" s="1"/>
  <c r="AB19" i="21"/>
  <c r="AD19" i="21"/>
  <c r="Z19" i="21"/>
  <c r="X19" i="21"/>
  <c r="V19" i="21"/>
  <c r="S18" i="21"/>
  <c r="B82" i="29"/>
  <c r="B85" i="30"/>
  <c r="B65" i="7"/>
  <c r="B80" i="6"/>
  <c r="F33" i="22" l="1"/>
  <c r="H33" i="22"/>
  <c r="G33" i="22"/>
  <c r="E33" i="22"/>
  <c r="D33" i="22"/>
  <c r="AJ34" i="21"/>
  <c r="H34" i="21"/>
  <c r="C35" i="21"/>
  <c r="G34" i="21"/>
  <c r="F34" i="21"/>
  <c r="E34" i="21"/>
  <c r="D34" i="21"/>
  <c r="W34" i="21"/>
  <c r="B81" i="15"/>
  <c r="B64" i="4"/>
  <c r="M31" i="22"/>
  <c r="P32" i="22"/>
  <c r="Q32" i="22"/>
  <c r="B34" i="22"/>
  <c r="C34" i="22" s="1"/>
  <c r="B36" i="21"/>
  <c r="AI36" i="21" s="1"/>
  <c r="Z20" i="21"/>
  <c r="AB20" i="21"/>
  <c r="AD20" i="21"/>
  <c r="V20" i="21"/>
  <c r="X20" i="21"/>
  <c r="S19" i="21"/>
  <c r="B81" i="6"/>
  <c r="B86" i="30"/>
  <c r="B83" i="29"/>
  <c r="B66" i="7"/>
  <c r="D34" i="22" l="1"/>
  <c r="H34" i="22"/>
  <c r="G34" i="22"/>
  <c r="E34" i="22"/>
  <c r="F34" i="22"/>
  <c r="AJ35" i="21"/>
  <c r="H35" i="21"/>
  <c r="C36" i="21"/>
  <c r="E35" i="21"/>
  <c r="F35" i="21"/>
  <c r="D35" i="21"/>
  <c r="G35" i="21"/>
  <c r="W35" i="21"/>
  <c r="B83" i="15"/>
  <c r="B82" i="15"/>
  <c r="B65" i="4"/>
  <c r="M32" i="22"/>
  <c r="Q33" i="22"/>
  <c r="P33" i="22"/>
  <c r="B35" i="22"/>
  <c r="C35" i="22" s="1"/>
  <c r="B37" i="21"/>
  <c r="AI37" i="21" s="1"/>
  <c r="Z21" i="21"/>
  <c r="AB21" i="21"/>
  <c r="AD21" i="21"/>
  <c r="V21" i="21"/>
  <c r="X21" i="21"/>
  <c r="S20" i="21"/>
  <c r="B87" i="30"/>
  <c r="B84" i="29"/>
  <c r="B85" i="29"/>
  <c r="B67" i="7"/>
  <c r="B82" i="6"/>
  <c r="G35" i="22" l="1"/>
  <c r="H35" i="22"/>
  <c r="F35" i="22"/>
  <c r="D35" i="22"/>
  <c r="E35" i="22"/>
  <c r="AJ36" i="21"/>
  <c r="H36" i="21"/>
  <c r="C37" i="21"/>
  <c r="D36" i="21"/>
  <c r="F36" i="21"/>
  <c r="G36" i="21"/>
  <c r="E36" i="21"/>
  <c r="W36" i="21"/>
  <c r="B66" i="4"/>
  <c r="P34" i="22"/>
  <c r="Q34" i="22"/>
  <c r="M33" i="22"/>
  <c r="B36" i="22"/>
  <c r="C36" i="22" s="1"/>
  <c r="B38" i="21"/>
  <c r="AI38" i="21" s="1"/>
  <c r="AD22" i="21"/>
  <c r="Z22" i="21"/>
  <c r="AB22" i="21"/>
  <c r="S21" i="21"/>
  <c r="V22" i="21"/>
  <c r="X22" i="21"/>
  <c r="B83" i="6"/>
  <c r="B88" i="30"/>
  <c r="B68" i="7"/>
  <c r="G36" i="22" l="1"/>
  <c r="H36" i="22"/>
  <c r="E36" i="22"/>
  <c r="F36" i="22"/>
  <c r="D36" i="22"/>
  <c r="AJ37" i="21"/>
  <c r="H37" i="21"/>
  <c r="E37" i="21"/>
  <c r="G37" i="21"/>
  <c r="D37" i="21"/>
  <c r="F37" i="21"/>
  <c r="C38" i="21"/>
  <c r="W37" i="21"/>
  <c r="B67" i="4"/>
  <c r="B37" i="22"/>
  <c r="C37" i="22" s="1"/>
  <c r="M34" i="22"/>
  <c r="P35" i="22"/>
  <c r="Q35" i="22"/>
  <c r="B39" i="21"/>
  <c r="AI39" i="21" s="1"/>
  <c r="AB23" i="21"/>
  <c r="AD23" i="21"/>
  <c r="Z23" i="21"/>
  <c r="S22" i="21"/>
  <c r="V23" i="21"/>
  <c r="X23" i="21"/>
  <c r="B84" i="6"/>
  <c r="B69" i="7"/>
  <c r="B89" i="30"/>
  <c r="B86" i="29"/>
  <c r="F37" i="22" l="1"/>
  <c r="H37" i="22"/>
  <c r="E37" i="22"/>
  <c r="G37" i="22"/>
  <c r="D37" i="22"/>
  <c r="AJ38" i="21"/>
  <c r="H38" i="21"/>
  <c r="G38" i="21"/>
  <c r="E38" i="21"/>
  <c r="D38" i="21"/>
  <c r="F38" i="21"/>
  <c r="C39" i="21"/>
  <c r="W38" i="21"/>
  <c r="B69" i="4"/>
  <c r="B68" i="4"/>
  <c r="M35" i="22"/>
  <c r="P36" i="22"/>
  <c r="Q36" i="22"/>
  <c r="B38" i="22"/>
  <c r="C38" i="22" s="1"/>
  <c r="B40" i="21"/>
  <c r="AI40" i="21" s="1"/>
  <c r="Z24" i="21"/>
  <c r="AB24" i="21"/>
  <c r="AD24" i="21"/>
  <c r="S23" i="21"/>
  <c r="V24" i="21"/>
  <c r="X24" i="21"/>
  <c r="B70" i="7"/>
  <c r="B85" i="6"/>
  <c r="B87" i="29"/>
  <c r="G38" i="22" l="1"/>
  <c r="H38" i="22"/>
  <c r="E38" i="22"/>
  <c r="F38" i="22"/>
  <c r="D38" i="22"/>
  <c r="AJ39" i="21"/>
  <c r="H39" i="21"/>
  <c r="C40" i="21"/>
  <c r="G39" i="21"/>
  <c r="F39" i="21"/>
  <c r="E39" i="21"/>
  <c r="D39" i="21"/>
  <c r="W39" i="21"/>
  <c r="M36" i="22"/>
  <c r="B39" i="22"/>
  <c r="C39" i="22" s="1"/>
  <c r="Q37" i="22"/>
  <c r="P37" i="22"/>
  <c r="B41" i="21"/>
  <c r="AI41" i="21" s="1"/>
  <c r="Z25" i="21"/>
  <c r="AB25" i="21"/>
  <c r="AD25" i="21"/>
  <c r="S24" i="21"/>
  <c r="V25" i="21"/>
  <c r="X25" i="21"/>
  <c r="B86" i="6"/>
  <c r="B71" i="7"/>
  <c r="B72" i="7"/>
  <c r="G39" i="22" l="1"/>
  <c r="H39" i="22"/>
  <c r="F39" i="22"/>
  <c r="D39" i="22"/>
  <c r="E39" i="22"/>
  <c r="AJ40" i="21"/>
  <c r="H40" i="21"/>
  <c r="C41" i="21"/>
  <c r="G40" i="21"/>
  <c r="D40" i="21"/>
  <c r="F40" i="21"/>
  <c r="E40" i="21"/>
  <c r="W40" i="21"/>
  <c r="M37" i="22"/>
  <c r="Q38" i="22"/>
  <c r="P38" i="22"/>
  <c r="B40" i="22"/>
  <c r="C40" i="22" s="1"/>
  <c r="B42" i="21"/>
  <c r="AI42" i="21" s="1"/>
  <c r="AD26" i="21"/>
  <c r="Z26" i="21"/>
  <c r="AB26" i="21"/>
  <c r="V26" i="21"/>
  <c r="X26" i="21"/>
  <c r="S25" i="21"/>
  <c r="B87" i="6"/>
  <c r="G40" i="22" l="1"/>
  <c r="H40" i="22"/>
  <c r="F40" i="22"/>
  <c r="E40" i="22"/>
  <c r="D40" i="22"/>
  <c r="AJ41" i="21"/>
  <c r="H41" i="21"/>
  <c r="C42" i="21"/>
  <c r="D41" i="21"/>
  <c r="F41" i="21"/>
  <c r="G41" i="21"/>
  <c r="E41" i="21"/>
  <c r="W41" i="21"/>
  <c r="M38" i="22"/>
  <c r="B41" i="22"/>
  <c r="C41" i="22" s="1"/>
  <c r="Q39" i="22"/>
  <c r="P39" i="22"/>
  <c r="B43" i="21"/>
  <c r="AI43" i="21" s="1"/>
  <c r="AB27" i="21"/>
  <c r="AD27" i="21"/>
  <c r="Z27" i="21"/>
  <c r="X27" i="21"/>
  <c r="V27" i="21"/>
  <c r="S26" i="21"/>
  <c r="B88" i="6"/>
  <c r="F41" i="22" l="1"/>
  <c r="H41" i="22"/>
  <c r="D41" i="22"/>
  <c r="G41" i="22"/>
  <c r="E41" i="22"/>
  <c r="AJ42" i="21"/>
  <c r="H42" i="21"/>
  <c r="C43" i="21"/>
  <c r="G42" i="21"/>
  <c r="D42" i="21"/>
  <c r="F42" i="21"/>
  <c r="E42" i="21"/>
  <c r="W42" i="21"/>
  <c r="B90" i="6"/>
  <c r="P40" i="22"/>
  <c r="Q40" i="22"/>
  <c r="M39" i="22"/>
  <c r="B42" i="22"/>
  <c r="C42" i="22" s="1"/>
  <c r="B44" i="21"/>
  <c r="AI44" i="21" s="1"/>
  <c r="Z28" i="21"/>
  <c r="AB28" i="21"/>
  <c r="AD28" i="21"/>
  <c r="S27" i="21"/>
  <c r="X28" i="21"/>
  <c r="V28" i="21"/>
  <c r="B89" i="6"/>
  <c r="G42" i="22" l="1"/>
  <c r="E42" i="22"/>
  <c r="H42" i="22"/>
  <c r="F42" i="22"/>
  <c r="D42" i="22"/>
  <c r="AJ43" i="21"/>
  <c r="H43" i="21"/>
  <c r="C44" i="21"/>
  <c r="D43" i="21"/>
  <c r="E43" i="21"/>
  <c r="F43" i="21"/>
  <c r="G43" i="21"/>
  <c r="W43" i="21"/>
  <c r="B43" i="22"/>
  <c r="C43" i="22" s="1"/>
  <c r="P41" i="22"/>
  <c r="Q41" i="22"/>
  <c r="M40" i="22"/>
  <c r="B45" i="21"/>
  <c r="AI45" i="21" s="1"/>
  <c r="Z29" i="21"/>
  <c r="AB29" i="21"/>
  <c r="AD29" i="21"/>
  <c r="S28" i="21"/>
  <c r="X29" i="21"/>
  <c r="V29" i="21"/>
  <c r="B91" i="6"/>
  <c r="G43" i="22" l="1"/>
  <c r="E43" i="22"/>
  <c r="D43" i="22"/>
  <c r="F43" i="22"/>
  <c r="H43" i="22"/>
  <c r="AJ44" i="21"/>
  <c r="H44" i="21"/>
  <c r="C45" i="21"/>
  <c r="E44" i="21"/>
  <c r="F44" i="21"/>
  <c r="D44" i="21"/>
  <c r="G44" i="21"/>
  <c r="W44" i="21"/>
  <c r="M41" i="22"/>
  <c r="P42" i="22"/>
  <c r="Q42" i="22"/>
  <c r="B44" i="22"/>
  <c r="C44" i="22" s="1"/>
  <c r="B46" i="21"/>
  <c r="AI46" i="21" s="1"/>
  <c r="AD30" i="21"/>
  <c r="Z30" i="21"/>
  <c r="AB30" i="21"/>
  <c r="S29" i="21"/>
  <c r="V30" i="21"/>
  <c r="X30" i="21"/>
  <c r="B92" i="6"/>
  <c r="G44" i="22" l="1"/>
  <c r="H44" i="22"/>
  <c r="E44" i="22"/>
  <c r="F44" i="22"/>
  <c r="D44" i="22"/>
  <c r="AJ45" i="21"/>
  <c r="H45" i="21"/>
  <c r="C46" i="21"/>
  <c r="F45" i="21"/>
  <c r="G45" i="21"/>
  <c r="E45" i="21"/>
  <c r="D45" i="21"/>
  <c r="W45" i="21"/>
  <c r="M42" i="22"/>
  <c r="Q43" i="22"/>
  <c r="P43" i="22"/>
  <c r="B47" i="21"/>
  <c r="AI47" i="21" s="1"/>
  <c r="AB31" i="21"/>
  <c r="AD31" i="21"/>
  <c r="Z31" i="21"/>
  <c r="S30" i="21"/>
  <c r="X31" i="21"/>
  <c r="V31" i="21"/>
  <c r="B93" i="6"/>
  <c r="AJ46" i="21" l="1"/>
  <c r="H46" i="21"/>
  <c r="G46" i="21"/>
  <c r="F46" i="21"/>
  <c r="D46" i="21"/>
  <c r="E46" i="21"/>
  <c r="C47" i="21"/>
  <c r="W46" i="21"/>
  <c r="P44" i="22"/>
  <c r="Q44" i="22"/>
  <c r="M43" i="22"/>
  <c r="B48" i="21"/>
  <c r="AI48" i="21" s="1"/>
  <c r="Z32" i="21"/>
  <c r="AB32" i="21"/>
  <c r="AD32" i="21"/>
  <c r="X32" i="21"/>
  <c r="V32" i="21"/>
  <c r="S31" i="21"/>
  <c r="B94" i="6"/>
  <c r="AJ47" i="21" l="1"/>
  <c r="H47" i="21"/>
  <c r="C30" i="2"/>
  <c r="D47" i="21"/>
  <c r="E47" i="21"/>
  <c r="F47" i="21"/>
  <c r="G47" i="21"/>
  <c r="C48" i="21"/>
  <c r="W47" i="21"/>
  <c r="M44" i="22"/>
  <c r="B49" i="21"/>
  <c r="AI49" i="21" s="1"/>
  <c r="Z33" i="21"/>
  <c r="AB33" i="21"/>
  <c r="AD33" i="21"/>
  <c r="S32" i="21"/>
  <c r="V33" i="21"/>
  <c r="X33" i="21"/>
  <c r="B95" i="6"/>
  <c r="AJ48" i="21" l="1"/>
  <c r="H48" i="21"/>
  <c r="C49" i="21"/>
  <c r="E48" i="21"/>
  <c r="G48" i="21"/>
  <c r="D48" i="21"/>
  <c r="F48" i="21"/>
  <c r="W48" i="21"/>
  <c r="B50" i="21"/>
  <c r="AI50" i="21" s="1"/>
  <c r="AD34" i="21"/>
  <c r="Z34" i="21"/>
  <c r="AB34" i="21"/>
  <c r="X34" i="21"/>
  <c r="V34" i="21"/>
  <c r="S33" i="21"/>
  <c r="B96" i="6"/>
  <c r="B97" i="6"/>
  <c r="AJ49" i="21" l="1"/>
  <c r="H49" i="21"/>
  <c r="E49" i="21"/>
  <c r="F49" i="21"/>
  <c r="G49" i="21"/>
  <c r="D49" i="21"/>
  <c r="C50" i="21"/>
  <c r="W49" i="21"/>
  <c r="B51" i="21"/>
  <c r="AI51" i="21" s="1"/>
  <c r="AB35" i="21"/>
  <c r="AD35" i="21"/>
  <c r="Z35" i="21"/>
  <c r="S34" i="21"/>
  <c r="V35" i="21"/>
  <c r="X35" i="21"/>
  <c r="AJ50" i="21" l="1"/>
  <c r="H50" i="21"/>
  <c r="G50" i="21"/>
  <c r="D50" i="21"/>
  <c r="F50" i="21"/>
  <c r="E50" i="21"/>
  <c r="C51" i="21"/>
  <c r="W50" i="21"/>
  <c r="B52" i="21"/>
  <c r="AI52" i="21" s="1"/>
  <c r="Z36" i="21"/>
  <c r="AB36" i="21"/>
  <c r="AD36" i="21"/>
  <c r="S35" i="21"/>
  <c r="X36" i="21"/>
  <c r="V36" i="21"/>
  <c r="AJ51" i="21" l="1"/>
  <c r="H51" i="21"/>
  <c r="C52" i="21"/>
  <c r="E51" i="21"/>
  <c r="F51" i="21"/>
  <c r="D51" i="21"/>
  <c r="G51" i="21"/>
  <c r="W51" i="21"/>
  <c r="B53" i="21"/>
  <c r="AI53" i="21" s="1"/>
  <c r="Z37" i="21"/>
  <c r="AB37" i="21"/>
  <c r="AD37" i="21"/>
  <c r="V37" i="21"/>
  <c r="X37" i="21"/>
  <c r="S36" i="21"/>
  <c r="AJ52" i="21" l="1"/>
  <c r="H52" i="21"/>
  <c r="F52" i="21"/>
  <c r="D52" i="21"/>
  <c r="G52" i="21"/>
  <c r="E52" i="21"/>
  <c r="C53" i="21"/>
  <c r="W52" i="21"/>
  <c r="B54" i="21"/>
  <c r="AI54" i="21" s="1"/>
  <c r="AD38" i="21"/>
  <c r="Z38" i="21"/>
  <c r="AB38" i="21"/>
  <c r="V38" i="21"/>
  <c r="X38" i="21"/>
  <c r="S37" i="21"/>
  <c r="AJ53" i="21" l="1"/>
  <c r="H53" i="21"/>
  <c r="C54" i="21"/>
  <c r="F53" i="21"/>
  <c r="G53" i="21"/>
  <c r="E53" i="21"/>
  <c r="D53" i="21"/>
  <c r="W53" i="21"/>
  <c r="B55" i="21"/>
  <c r="AI55" i="21" s="1"/>
  <c r="AB39" i="21"/>
  <c r="AD39" i="21"/>
  <c r="Z39" i="21"/>
  <c r="X39" i="21"/>
  <c r="V39" i="21"/>
  <c r="S38" i="21"/>
  <c r="AJ54" i="21" l="1"/>
  <c r="H54" i="21"/>
  <c r="C55" i="21"/>
  <c r="G54" i="21"/>
  <c r="E54" i="21"/>
  <c r="D54" i="21"/>
  <c r="F54" i="21"/>
  <c r="W54" i="21"/>
  <c r="B56" i="21"/>
  <c r="AI56" i="21" s="1"/>
  <c r="Z40" i="21"/>
  <c r="AB40" i="21"/>
  <c r="AD40" i="21"/>
  <c r="S39" i="21"/>
  <c r="V40" i="21"/>
  <c r="X40" i="21"/>
  <c r="AJ55" i="21" l="1"/>
  <c r="H55" i="21"/>
  <c r="E55" i="21"/>
  <c r="G55" i="21"/>
  <c r="F55" i="21"/>
  <c r="D55" i="21"/>
  <c r="C56" i="21"/>
  <c r="W55" i="21"/>
  <c r="B57" i="21"/>
  <c r="Z41" i="21"/>
  <c r="AB41" i="21"/>
  <c r="AD41" i="21"/>
  <c r="X41" i="21"/>
  <c r="V41" i="21"/>
  <c r="S40" i="21"/>
  <c r="B58" i="21" l="1"/>
  <c r="AI57" i="21"/>
  <c r="AJ56" i="21"/>
  <c r="H56" i="21"/>
  <c r="C57" i="21"/>
  <c r="F56" i="21"/>
  <c r="G56" i="21"/>
  <c r="E56" i="21"/>
  <c r="D56" i="21"/>
  <c r="W56" i="21"/>
  <c r="AD42" i="21"/>
  <c r="Z42" i="21"/>
  <c r="AB42" i="21"/>
  <c r="X42" i="21"/>
  <c r="V42" i="21"/>
  <c r="S41" i="21"/>
  <c r="B59" i="21" l="1"/>
  <c r="C58" i="21"/>
  <c r="AJ57" i="21"/>
  <c r="H57" i="21"/>
  <c r="G57" i="21"/>
  <c r="D57" i="21"/>
  <c r="F57" i="21"/>
  <c r="E57" i="21"/>
  <c r="W57" i="21"/>
  <c r="AB43" i="21"/>
  <c r="AD43" i="21"/>
  <c r="Z43" i="21"/>
  <c r="S42" i="21"/>
  <c r="X43" i="21"/>
  <c r="V43" i="21"/>
  <c r="AJ58" i="21" l="1"/>
  <c r="H58" i="21"/>
  <c r="D58" i="21"/>
  <c r="AB58" i="21"/>
  <c r="X58" i="21"/>
  <c r="W58" i="21"/>
  <c r="AD58" i="21"/>
  <c r="Z58" i="21"/>
  <c r="V58" i="21"/>
  <c r="G58" i="21"/>
  <c r="F58" i="21"/>
  <c r="E58" i="21"/>
  <c r="B60" i="21"/>
  <c r="AI59" i="21"/>
  <c r="C59" i="21"/>
  <c r="W59" i="21" s="1"/>
  <c r="Z44" i="21"/>
  <c r="AB44" i="21"/>
  <c r="AD44" i="21"/>
  <c r="X44" i="21"/>
  <c r="V44" i="21"/>
  <c r="S43" i="21"/>
  <c r="S58" i="21" l="1"/>
  <c r="H59" i="21"/>
  <c r="F59" i="21"/>
  <c r="AJ59" i="21"/>
  <c r="D59" i="21"/>
  <c r="G59" i="21"/>
  <c r="E59" i="21"/>
  <c r="AI60" i="21"/>
  <c r="C60" i="21"/>
  <c r="W60" i="21" s="1"/>
  <c r="S27" i="22"/>
  <c r="T28" i="22"/>
  <c r="T27" i="22"/>
  <c r="S28" i="22"/>
  <c r="T31" i="22"/>
  <c r="S29" i="22"/>
  <c r="S30" i="22"/>
  <c r="S31" i="22"/>
  <c r="T29" i="22"/>
  <c r="T30" i="22"/>
  <c r="T32" i="22"/>
  <c r="T34" i="22"/>
  <c r="S33" i="22"/>
  <c r="S32" i="22"/>
  <c r="T33" i="22"/>
  <c r="S34" i="22"/>
  <c r="T35" i="22"/>
  <c r="T36" i="22"/>
  <c r="S35" i="22"/>
  <c r="S36" i="22"/>
  <c r="S37" i="22"/>
  <c r="S38" i="22"/>
  <c r="T39" i="22"/>
  <c r="S39" i="22"/>
  <c r="T37" i="22"/>
  <c r="T40" i="22"/>
  <c r="T38" i="22"/>
  <c r="T41" i="22"/>
  <c r="S40" i="22"/>
  <c r="T42" i="22"/>
  <c r="S41" i="22"/>
  <c r="S43" i="22"/>
  <c r="T44" i="22"/>
  <c r="T43" i="22"/>
  <c r="S42" i="22"/>
  <c r="S44" i="22"/>
  <c r="T26" i="22"/>
  <c r="S23" i="22"/>
  <c r="S24" i="22"/>
  <c r="T23" i="22"/>
  <c r="S22" i="22"/>
  <c r="T24" i="22"/>
  <c r="S25" i="22"/>
  <c r="T25" i="22"/>
  <c r="S26" i="22"/>
  <c r="T22" i="22"/>
  <c r="T13" i="22"/>
  <c r="T10" i="22"/>
  <c r="S12" i="22"/>
  <c r="S13" i="22"/>
  <c r="S7" i="22"/>
  <c r="S10" i="22"/>
  <c r="T11" i="22"/>
  <c r="T12" i="22"/>
  <c r="S11" i="22"/>
  <c r="S5" i="22"/>
  <c r="T7" i="22"/>
  <c r="S8" i="22"/>
  <c r="S9" i="22"/>
  <c r="T5" i="22"/>
  <c r="T8" i="22"/>
  <c r="S6" i="22"/>
  <c r="T6" i="22"/>
  <c r="T9" i="22"/>
  <c r="S15" i="22"/>
  <c r="S16" i="22"/>
  <c r="S14" i="22"/>
  <c r="S17" i="22"/>
  <c r="T15" i="22"/>
  <c r="S19" i="22"/>
  <c r="T18" i="22"/>
  <c r="T14" i="22"/>
  <c r="T20" i="22"/>
  <c r="T17" i="22"/>
  <c r="T19" i="22"/>
  <c r="T16" i="22"/>
  <c r="S18" i="22"/>
  <c r="T21" i="22"/>
  <c r="S21" i="22"/>
  <c r="S20" i="22"/>
  <c r="Z45" i="21"/>
  <c r="AB45" i="21"/>
  <c r="AD45" i="21"/>
  <c r="V45" i="21"/>
  <c r="X45" i="21"/>
  <c r="S44" i="21"/>
  <c r="H60" i="21" l="1"/>
  <c r="D60" i="21"/>
  <c r="AJ60" i="21"/>
  <c r="E60" i="21"/>
  <c r="F60" i="21"/>
  <c r="G60" i="21"/>
  <c r="D30" i="2"/>
  <c r="L6" i="22"/>
  <c r="L15" i="22"/>
  <c r="L7" i="22"/>
  <c r="L42" i="22"/>
  <c r="L44" i="22"/>
  <c r="L43" i="22"/>
  <c r="L35" i="22"/>
  <c r="L11" i="22"/>
  <c r="L24" i="22"/>
  <c r="L40" i="22"/>
  <c r="L12" i="22"/>
  <c r="L33" i="22"/>
  <c r="L26" i="22"/>
  <c r="L28" i="22"/>
  <c r="L38" i="22"/>
  <c r="L29" i="22"/>
  <c r="L9" i="22"/>
  <c r="L39" i="22"/>
  <c r="L37" i="22"/>
  <c r="L36" i="22"/>
  <c r="L30" i="22"/>
  <c r="L25" i="22"/>
  <c r="L22" i="22"/>
  <c r="L20" i="22"/>
  <c r="L14" i="22"/>
  <c r="L10" i="22"/>
  <c r="L21" i="22"/>
  <c r="L13" i="22"/>
  <c r="L16" i="22"/>
  <c r="L41" i="22"/>
  <c r="L34" i="22"/>
  <c r="L31" i="22"/>
  <c r="L32" i="22"/>
  <c r="L27" i="22"/>
  <c r="L23" i="22"/>
  <c r="L5" i="22"/>
  <c r="L19" i="22"/>
  <c r="L17" i="22"/>
  <c r="L18" i="22"/>
  <c r="L8" i="22"/>
  <c r="AD46" i="21"/>
  <c r="Z46" i="21"/>
  <c r="AB46" i="21"/>
  <c r="V46" i="21"/>
  <c r="X46" i="21"/>
  <c r="S45" i="21"/>
  <c r="AB47" i="21" l="1"/>
  <c r="AD47" i="21"/>
  <c r="Z47" i="21"/>
  <c r="V47" i="21"/>
  <c r="X47" i="21"/>
  <c r="S46" i="21"/>
  <c r="Z48" i="21" l="1"/>
  <c r="AB48" i="21"/>
  <c r="AD48" i="21"/>
  <c r="S47" i="21"/>
  <c r="V48" i="21"/>
  <c r="X48" i="21"/>
  <c r="Z49" i="21" l="1"/>
  <c r="AB49" i="21"/>
  <c r="AD49" i="21"/>
  <c r="S48" i="21"/>
  <c r="X49" i="21"/>
  <c r="V49" i="21"/>
  <c r="AD50" i="21" l="1"/>
  <c r="Z50" i="21"/>
  <c r="AB50" i="21"/>
  <c r="S49" i="21"/>
  <c r="X50" i="21"/>
  <c r="V50" i="21"/>
  <c r="AB51" i="21" l="1"/>
  <c r="AD51" i="21"/>
  <c r="Z51" i="21"/>
  <c r="X51" i="21"/>
  <c r="V51" i="21"/>
  <c r="S50" i="21"/>
  <c r="Z52" i="21" l="1"/>
  <c r="AB52" i="21"/>
  <c r="AD52" i="21"/>
  <c r="X52" i="21"/>
  <c r="V52" i="21"/>
  <c r="S51" i="21"/>
  <c r="Z53" i="21" l="1"/>
  <c r="AB53" i="21"/>
  <c r="AD53" i="21"/>
  <c r="V53" i="21"/>
  <c r="X53" i="21"/>
  <c r="S52" i="21"/>
  <c r="AD54" i="21" l="1"/>
  <c r="Z54" i="21"/>
  <c r="AB54" i="21"/>
  <c r="V54" i="21"/>
  <c r="X54" i="21"/>
  <c r="S53" i="21"/>
  <c r="AB55" i="21" l="1"/>
  <c r="AD55" i="21"/>
  <c r="Z55" i="21"/>
  <c r="S54" i="21"/>
  <c r="X55" i="21"/>
  <c r="V55" i="21"/>
  <c r="Z56" i="21" l="1"/>
  <c r="AB56" i="21"/>
  <c r="AD56" i="21"/>
  <c r="S55" i="21"/>
  <c r="X56" i="21"/>
  <c r="V56" i="21"/>
  <c r="Z57" i="21" l="1"/>
  <c r="AB57" i="21"/>
  <c r="AD57" i="21"/>
  <c r="S56" i="21"/>
  <c r="V57" i="21"/>
  <c r="X57" i="21"/>
  <c r="AD59" i="21" l="1"/>
  <c r="Z59" i="21"/>
  <c r="AB59" i="21"/>
  <c r="S57" i="21"/>
  <c r="X59" i="21"/>
  <c r="V59" i="21"/>
  <c r="AB60" i="21" l="1"/>
  <c r="AD60" i="21"/>
  <c r="Z60" i="21"/>
  <c r="S59" i="21"/>
  <c r="V60" i="21"/>
  <c r="X60" i="21"/>
  <c r="C29" i="2" l="1"/>
  <c r="S60"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F17" authorId="0" shapeId="0" xr:uid="{00000000-0006-0000-2100-000001000000}">
      <text>
        <r>
          <rPr>
            <b/>
            <sz val="9"/>
            <color indexed="81"/>
            <rFont val="Tahoma"/>
            <family val="2"/>
          </rPr>
          <t>Author:</t>
        </r>
        <r>
          <rPr>
            <sz val="9"/>
            <color indexed="81"/>
            <rFont val="Tahoma"/>
            <family val="2"/>
          </rPr>
          <t xml:space="preserve">
Codes are as per CA 2017 information request - table 19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8" authorId="0" shapeId="0" xr:uid="{00000000-0006-0000-3700-000001000000}">
      <text>
        <r>
          <rPr>
            <b/>
            <sz val="9"/>
            <color indexed="81"/>
            <rFont val="Tahoma"/>
            <family val="2"/>
          </rPr>
          <t>Author:</t>
        </r>
        <r>
          <rPr>
            <sz val="9"/>
            <color indexed="81"/>
            <rFont val="Tahoma"/>
            <family val="2"/>
          </rPr>
          <t xml:space="preserve">
Added 18 February 2020 as a replacement drop down for forecast columns O and P in table 3A - these columns are not applicable for the 2019-20 reporting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A6" authorId="0" shapeId="0" xr:uid="{00000000-0006-0000-3900-000001000000}">
      <text>
        <r>
          <rPr>
            <b/>
            <sz val="9"/>
            <color indexed="81"/>
            <rFont val="Tahoma"/>
            <family val="2"/>
          </rPr>
          <t>Author:</t>
        </r>
        <r>
          <rPr>
            <sz val="9"/>
            <color indexed="81"/>
            <rFont val="Tahoma"/>
            <family val="2"/>
          </rPr>
          <t xml:space="preserve">
Amended the cell format to 'Text' and manually entered the 2018-19 performance level so that it displays correctly in table 3A
</t>
        </r>
        <r>
          <rPr>
            <i/>
            <sz val="9"/>
            <color indexed="81"/>
            <rFont val="Tahoma"/>
            <family val="2"/>
          </rPr>
          <t>(Anne (19 February 2020)</t>
        </r>
      </text>
    </comment>
    <comment ref="AI7" authorId="0" shapeId="0" xr:uid="{00000000-0006-0000-3900-000002000000}">
      <text>
        <r>
          <rPr>
            <b/>
            <sz val="9"/>
            <color indexed="81"/>
            <rFont val="Tahoma"/>
            <family val="2"/>
          </rPr>
          <t>Author:</t>
        </r>
        <r>
          <rPr>
            <sz val="9"/>
            <color indexed="81"/>
            <rFont val="Tahoma"/>
            <family val="2"/>
          </rPr>
          <t xml:space="preserve">
Amended the cell format to 'Text' and manually entered the 2018-19 performance level so that it displays correctly in table 3A
</t>
        </r>
        <r>
          <rPr>
            <i/>
            <sz val="9"/>
            <color indexed="81"/>
            <rFont val="Tahoma"/>
            <family val="2"/>
          </rPr>
          <t>(Anne (19 February 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U111" authorId="0" shapeId="0" xr:uid="{00000000-0006-0000-3A00-000001000000}">
      <text>
        <r>
          <rPr>
            <b/>
            <sz val="9"/>
            <color indexed="81"/>
            <rFont val="Tahoma"/>
            <family val="2"/>
          </rPr>
          <t>Author:</t>
        </r>
        <r>
          <rPr>
            <sz val="9"/>
            <color indexed="81"/>
            <rFont val="Tahoma"/>
            <family val="2"/>
          </rPr>
          <t xml:space="preserve">
Amended from 3 to 2
Ref: TMS email 01 May 2019</t>
        </r>
      </text>
    </comment>
  </commentList>
</comments>
</file>

<file path=xl/sharedStrings.xml><?xml version="1.0" encoding="utf-8"?>
<sst xmlns="http://schemas.openxmlformats.org/spreadsheetml/2006/main" count="43758" uniqueCount="12904">
  <si>
    <t>2020 Annual performance report tables</t>
  </si>
  <si>
    <t>Introduction</t>
  </si>
  <si>
    <t>Companies have to publish an annual performance report for which we have set out the minimum requirement in the Regulatory Accounting Guidelines. The purpose of this spreadsheet is to help Ofwat process the actual data for 2019-20 data from all companies. Companies should complete these tables and return them to us at the same time as they publish their annual performance report on their own websites, and no later than 15 July 2020.</t>
  </si>
  <si>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</si>
  <si>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</si>
  <si>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2019-20.</t>
  </si>
  <si>
    <t>We expect companies to complete the tables with actual data for 2019-20.</t>
  </si>
  <si>
    <t>The content of four tables (tables 2G, 2H, 3A and 3B) is tailored to each company. These tables will display the content for the company that is selected on the validation sheet.</t>
  </si>
  <si>
    <t>The calculations are locked in the table template to prevent editing.</t>
  </si>
  <si>
    <t>We have set input cells that require a '%' entry as a 'percentage' rather than as a 'number' format. The underlying data saved will be between a figure of 0 and 1 but will be displayed as a percentage.  For example, an input of '10', will display as 10%, but will hold an underlying value of 0.1.</t>
  </si>
  <si>
    <t>Queries and submissions</t>
  </si>
  <si>
    <t>Select the company name from the drop down list on the validation sheet.</t>
  </si>
  <si>
    <t>The validation sheet within the file will highlight where there are outstanding issues with the data you are submitting.  Please review this prior to submission and address any outstanding issues prior to submission.</t>
  </si>
  <si>
    <t>Companies should return their completed tables at the same time as they publish their annual performance report on their own websites, and no later than 15 July 2020.</t>
  </si>
  <si>
    <t xml:space="preserve">Companies should complete and upload the 2020 annual performance report tables template to our data capture portal. All queries should be sent to: </t>
  </si>
  <si>
    <t>Links to additional information / guidance</t>
  </si>
  <si>
    <t>IN 19/03 Regulatory accounting guidelines 2018-19</t>
  </si>
  <si>
    <t>Data validation checks</t>
  </si>
  <si>
    <t>For the 12 months ended 31 March 2020</t>
  </si>
  <si>
    <t>Select company</t>
  </si>
  <si>
    <t>Select company from drop down list</t>
  </si>
  <si>
    <t>The data tables should only be submitted once all data checks pass the table below identifies where there are outstanding issues, these are shown as red cells below.</t>
  </si>
  <si>
    <t>Section 1 Regulatory financial reporting</t>
  </si>
  <si>
    <t>All expected cells completed?</t>
  </si>
  <si>
    <t>Other validations</t>
  </si>
  <si>
    <t>Line definitions</t>
  </si>
  <si>
    <t>Section 2 Price review and other segmental reporting</t>
  </si>
  <si>
    <t>Section 3 Performance summary</t>
  </si>
  <si>
    <t>Section 4 Additional regulatory information</t>
  </si>
  <si>
    <t>Other</t>
  </si>
  <si>
    <t>Completed</t>
  </si>
  <si>
    <t>1A - Income statement</t>
  </si>
  <si>
    <t>Data validation</t>
  </si>
  <si>
    <t>BON CODE ALLOCATION</t>
  </si>
  <si>
    <t>Line description</t>
  </si>
  <si>
    <t>BoN code</t>
  </si>
  <si>
    <t>Units</t>
  </si>
  <si>
    <t>DPs</t>
  </si>
  <si>
    <t>Statutory</t>
  </si>
  <si>
    <t>Adjustments</t>
  </si>
  <si>
    <t>Total appointed activities</t>
  </si>
  <si>
    <t>Completion</t>
  </si>
  <si>
    <t>Differences between statutory and RAG definitions</t>
  </si>
  <si>
    <t>Non-appointed</t>
  </si>
  <si>
    <t>Total adjustments</t>
  </si>
  <si>
    <t>Completion checks</t>
  </si>
  <si>
    <t>Please complete all cells in row</t>
  </si>
  <si>
    <t>1A.1</t>
  </si>
  <si>
    <t>Revenue</t>
  </si>
  <si>
    <t>£m</t>
  </si>
  <si>
    <t>BO1180STAT</t>
  </si>
  <si>
    <t>BO1180DSR</t>
  </si>
  <si>
    <t>BO1180NA</t>
  </si>
  <si>
    <t>BO1180ADJ</t>
  </si>
  <si>
    <t>BO1180</t>
  </si>
  <si>
    <t>1A.2</t>
  </si>
  <si>
    <t>Operating costs</t>
  </si>
  <si>
    <t>BO2560STAT</t>
  </si>
  <si>
    <t>BO2560DSR</t>
  </si>
  <si>
    <t>BO2560NA</t>
  </si>
  <si>
    <t>BO2560ADJ</t>
  </si>
  <si>
    <t>BO2560</t>
  </si>
  <si>
    <t>1A.3</t>
  </si>
  <si>
    <t>Other operating income</t>
  </si>
  <si>
    <t>BO1980STAT</t>
  </si>
  <si>
    <t>BO1980DSR</t>
  </si>
  <si>
    <t>BO1980NA</t>
  </si>
  <si>
    <t>BO1980ADJ</t>
  </si>
  <si>
    <t>BO1980</t>
  </si>
  <si>
    <t>1A.4</t>
  </si>
  <si>
    <t>Operating profit</t>
  </si>
  <si>
    <t>BO2060STAT</t>
  </si>
  <si>
    <t>BO2060DSR</t>
  </si>
  <si>
    <t>BO2060NA</t>
  </si>
  <si>
    <t>BO2060ADJ</t>
  </si>
  <si>
    <t>BO2060</t>
  </si>
  <si>
    <t>1A.5</t>
  </si>
  <si>
    <t>Other income</t>
  </si>
  <si>
    <t>BO3301STAT</t>
  </si>
  <si>
    <t>BO3301DSR</t>
  </si>
  <si>
    <t>BO3301NA</t>
  </si>
  <si>
    <t>BO3301ADJ</t>
  </si>
  <si>
    <t>BO3301</t>
  </si>
  <si>
    <t>1A.6</t>
  </si>
  <si>
    <t>Interest income</t>
  </si>
  <si>
    <t>A10008STAT</t>
  </si>
  <si>
    <t>A10008DSR</t>
  </si>
  <si>
    <t>A10008NA</t>
  </si>
  <si>
    <t>A10008ADJ</t>
  </si>
  <si>
    <t>A10008APP</t>
  </si>
  <si>
    <t>1A.7</t>
  </si>
  <si>
    <t>Interest expense</t>
  </si>
  <si>
    <t>A10009STAT</t>
  </si>
  <si>
    <t>A10009DSR</t>
  </si>
  <si>
    <t>A10009NA</t>
  </si>
  <si>
    <t>A10009ADJ</t>
  </si>
  <si>
    <t>A10009APP</t>
  </si>
  <si>
    <t>1A.8</t>
  </si>
  <si>
    <t xml:space="preserve">Other interest expense </t>
  </si>
  <si>
    <t>FT01641STAT</t>
  </si>
  <si>
    <t>FT01641DSR</t>
  </si>
  <si>
    <t>FT01641NA</t>
  </si>
  <si>
    <t>FT01641ADJ</t>
  </si>
  <si>
    <t>FT01641</t>
  </si>
  <si>
    <t>1A.9</t>
  </si>
  <si>
    <t>Profit before tax and fair value movements</t>
  </si>
  <si>
    <t>A10011STAT</t>
  </si>
  <si>
    <t>A10011DSR</t>
  </si>
  <si>
    <t>A10011NA</t>
  </si>
  <si>
    <t>A10011ADJ</t>
  </si>
  <si>
    <t>A10011APP</t>
  </si>
  <si>
    <t>1A.10</t>
  </si>
  <si>
    <t>Fair value gains/(losses) on financial instruments</t>
  </si>
  <si>
    <t>A10012STAT</t>
  </si>
  <si>
    <t>A10012DSR</t>
  </si>
  <si>
    <t>A10012NA</t>
  </si>
  <si>
    <t>A10012ADJ</t>
  </si>
  <si>
    <t>A10012APP</t>
  </si>
  <si>
    <t>1A.11</t>
  </si>
  <si>
    <t>Profit before tax</t>
  </si>
  <si>
    <t>BO3305STAT</t>
  </si>
  <si>
    <t>BO3305DSR</t>
  </si>
  <si>
    <t>BO3305NA</t>
  </si>
  <si>
    <t>BO3305ADJ</t>
  </si>
  <si>
    <t>BO3305</t>
  </si>
  <si>
    <t>1A.12</t>
  </si>
  <si>
    <t>UK Corporation tax</t>
  </si>
  <si>
    <t>BO3351STAT</t>
  </si>
  <si>
    <t>BO3351DSR</t>
  </si>
  <si>
    <t>BO3351NA</t>
  </si>
  <si>
    <t>BO3351ADJ</t>
  </si>
  <si>
    <t>BO3351</t>
  </si>
  <si>
    <t>1A.13</t>
  </si>
  <si>
    <t>Deferred tax</t>
  </si>
  <si>
    <t>BO3352STAT</t>
  </si>
  <si>
    <t>BO3352DSR</t>
  </si>
  <si>
    <t>BO3352NA</t>
  </si>
  <si>
    <t>BO3352ADJ</t>
  </si>
  <si>
    <t>BO3352</t>
  </si>
  <si>
    <t>1A.14</t>
  </si>
  <si>
    <t>Profit for the year</t>
  </si>
  <si>
    <t>BO2530STAT</t>
  </si>
  <si>
    <t>BO2530DSR</t>
  </si>
  <si>
    <t>BO2530NA</t>
  </si>
  <si>
    <t>BO2530ADJ</t>
  </si>
  <si>
    <t>BO2530</t>
  </si>
  <si>
    <t>1A.15</t>
  </si>
  <si>
    <t>Dividends</t>
  </si>
  <si>
    <t>BO3402STAT</t>
  </si>
  <si>
    <t>BO3402DSR</t>
  </si>
  <si>
    <t>BO3402NA</t>
  </si>
  <si>
    <t>BO3402ADJ</t>
  </si>
  <si>
    <t>BO3402</t>
  </si>
  <si>
    <t>A</t>
  </si>
  <si>
    <t>Tax analysis</t>
  </si>
  <si>
    <t>1A.16</t>
  </si>
  <si>
    <t>Current year</t>
  </si>
  <si>
    <t>BO3354STAT</t>
  </si>
  <si>
    <t>BO3354DSR</t>
  </si>
  <si>
    <t>BO3354NA</t>
  </si>
  <si>
    <t>BO3354ADJ</t>
  </si>
  <si>
    <t>BO3354</t>
  </si>
  <si>
    <t>1A.17</t>
  </si>
  <si>
    <t>Adjustments in respect of prior years</t>
  </si>
  <si>
    <t>BO3355STAT</t>
  </si>
  <si>
    <t>BO3355DSR</t>
  </si>
  <si>
    <t>BO3355NA</t>
  </si>
  <si>
    <t>BO3355ADJ</t>
  </si>
  <si>
    <t>BO3355</t>
  </si>
  <si>
    <t>1A.18</t>
  </si>
  <si>
    <t>BO3353STAT</t>
  </si>
  <si>
    <t>BO3353DSR</t>
  </si>
  <si>
    <t>BO3353NA</t>
  </si>
  <si>
    <t>BO3353ADJ</t>
  </si>
  <si>
    <t>BO3353</t>
  </si>
  <si>
    <t>B</t>
  </si>
  <si>
    <t>Analysis of non-appointed revenue</t>
  </si>
  <si>
    <t>1A.19</t>
  </si>
  <si>
    <t>Imported sludge</t>
  </si>
  <si>
    <t>BO1180NAIS</t>
  </si>
  <si>
    <t>1A.20</t>
  </si>
  <si>
    <t>Tankered waste</t>
  </si>
  <si>
    <t>BO1180NATW</t>
  </si>
  <si>
    <t>1A.21</t>
  </si>
  <si>
    <t>Other non-appointed revenue</t>
  </si>
  <si>
    <t>BO1180NAO</t>
  </si>
  <si>
    <t>1A.22</t>
  </si>
  <si>
    <t>BO1180NAT</t>
  </si>
  <si>
    <t>Input cell</t>
  </si>
  <si>
    <t>Calculation cell</t>
  </si>
  <si>
    <t>Please refer to RAG 4.08 - Guideline for the table definitions in the annual performance report for the reporting year 2019-20</t>
  </si>
  <si>
    <t>Line</t>
  </si>
  <si>
    <t>Definitions</t>
  </si>
  <si>
    <t>line spacing for definitions</t>
  </si>
  <si>
    <t>Appointed – Total business revenue that is within the scope of the price control, together with revenue that is outside of the price control but still forms part of regulated activities.
Non-appointed – Total business revenue from non-appointed activities as defined by the licence. See appendix 1 for further examples.</t>
  </si>
  <si>
    <t>1
2</t>
  </si>
  <si>
    <t>Historical cost operating costs.</t>
  </si>
  <si>
    <t>Historical cost operating income includes profits or loss on disposal of fixed assets; income arising from exceptional items should also be included. Normally a positive number, but a loss should be negative.</t>
  </si>
  <si>
    <t>Historical cost operating profit. Equal to the sum of table 1A lines 1 to 3.</t>
  </si>
  <si>
    <r>
      <t xml:space="preserve">Includes rental income and income from investments (eg, share income); excludes net interest and profit on disposals on fixed assets.
</t>
    </r>
    <r>
      <rPr>
        <b/>
        <sz val="9"/>
        <rFont val="Arial"/>
        <family val="2"/>
      </rPr>
      <t xml:space="preserve">Grants and contributions, adopted assets
</t>
    </r>
    <r>
      <rPr>
        <sz val="9"/>
        <rFont val="Arial"/>
        <family val="2"/>
      </rPr>
      <t xml:space="preserve">
Companies may recognise grants and contributions in the income statement under UKGAAP. This may be as revenue, by netting off opex, another income line or by amortisation over the life of the asset. We require that all such income be shown as ‘other income’ in this line.
Similarly for adopted assets, both amounts recognised in the year and amortised credits should be recorded in this line.
This permits a consistent treatment as required in RAG1 1.8 and 1.9.</t>
    </r>
  </si>
  <si>
    <t>1
2
3
4
5
6
7
8
9
10</t>
  </si>
  <si>
    <t>Interest income includes interest received on cash deposits, loans to group companies, etc.</t>
  </si>
  <si>
    <t>Interest expense includes interest paid on loans, leases, debenture, floating rate debt, overdrafts, preference shares and all other borrowings.</t>
  </si>
  <si>
    <t>Total net interest expenses which are not directly related to deposits and borrowings as defined in lines 6 &amp; 7 of table 1A e.g Net interest cost of defined benefit pension schemes.</t>
  </si>
  <si>
    <t>Equal to the sum of lines table 1A lines 4 to 8.</t>
  </si>
  <si>
    <t>Any fair value gains/(losses) arising on financial instruments which must be accounted for at fair value on the balance sheet with changes recognised in the income statement.</t>
  </si>
  <si>
    <t>Historical cost profit on ordinary activities before taxation. Equal to the sum of table 1A lines 9 to 10.</t>
  </si>
  <si>
    <t>The current tax charge on profits from ordinary activities. This will include mainstream corporation tax, income and other taxes. It should exclude any deferred tax charge which is to be reported separately. A positive number for tax credit, negative number for tax charge.</t>
  </si>
  <si>
    <t>The movement in the deferred tax provision. A positive number for tax credit, negative number for tax charge.</t>
  </si>
  <si>
    <t xml:space="preserve">Historical cost profit for the year. To be shown after taxation, but before deduction of dividends. Equal to the sum of table 1A lines 11 to 13. </t>
  </si>
  <si>
    <r>
      <t xml:space="preserve">Dividends </t>
    </r>
    <r>
      <rPr>
        <sz val="9"/>
        <color rgb="FFFF0000"/>
        <rFont val="Arial"/>
        <family val="2"/>
      </rPr>
      <t>declared</t>
    </r>
    <r>
      <rPr>
        <sz val="9"/>
        <rFont val="Arial"/>
        <family val="2"/>
      </rPr>
      <t xml:space="preserve"> by the company in the year.</t>
    </r>
  </si>
  <si>
    <t>The current tax charge on profits from ordinary activities, excluding any adjustment in respect of prior years. This will include mainstream corporation tax, income and other taxes and any payments for group relief received. It should exclude any deferred tax charge which is to be reported separately.</t>
  </si>
  <si>
    <t>The impact on the current tax charge of adjustments in respect of prior years.</t>
  </si>
  <si>
    <t>Sum of table 1A lines 16 and 17. Equal to table 1A line 12.</t>
  </si>
  <si>
    <t>Revenue from disposing of sludge from other wastewater undertakers.</t>
  </si>
  <si>
    <t>Revenue for treating tankered waste brought to WWTWs.</t>
  </si>
  <si>
    <t>Other non-appointed revenue not included in table 1A line 19 or line 20.</t>
  </si>
  <si>
    <t>Total non-appointed revenue. Sum of table 1A line 19 to line 21.</t>
  </si>
  <si>
    <t>1B - Statement of comprehensive income</t>
  </si>
  <si>
    <t>1B.1</t>
  </si>
  <si>
    <t>1B.2</t>
  </si>
  <si>
    <t>Actuarial gains/(losses) on post employment plans</t>
  </si>
  <si>
    <t>BO2550STAT</t>
  </si>
  <si>
    <t>BO2550DSR</t>
  </si>
  <si>
    <t>BO2550NA</t>
  </si>
  <si>
    <t>BO2550ADJ</t>
  </si>
  <si>
    <t>BO2550</t>
  </si>
  <si>
    <t>1B.3</t>
  </si>
  <si>
    <t>Other comprehensive income</t>
  </si>
  <si>
    <t>BO2553STAT</t>
  </si>
  <si>
    <t>BO2553DSR</t>
  </si>
  <si>
    <t>BO2553NA</t>
  </si>
  <si>
    <t>BO2553ADJ</t>
  </si>
  <si>
    <t>BO2553</t>
  </si>
  <si>
    <t>1B.4</t>
  </si>
  <si>
    <t>Total Comprehensive income for the year</t>
  </si>
  <si>
    <t>BO2554STAT</t>
  </si>
  <si>
    <t>BO2554DSR</t>
  </si>
  <si>
    <t>BO2554NA</t>
  </si>
  <si>
    <t>BO2554ADJ</t>
  </si>
  <si>
    <t>BO2554</t>
  </si>
  <si>
    <t xml:space="preserve">Key to cells: </t>
  </si>
  <si>
    <t>Copy cell</t>
  </si>
  <si>
    <t xml:space="preserve">Historical cost profit for the year. Equal to table 1A line 14. </t>
  </si>
  <si>
    <t xml:space="preserve">Actuarial gains/(losses) on post-employment plans.  </t>
  </si>
  <si>
    <t xml:space="preserve">Other gains and losses.  </t>
  </si>
  <si>
    <t>Total comprehensive income for the year. Equal to the sum of table 1B lines 1 to 3.</t>
  </si>
  <si>
    <t>1C - Statement of financial position</t>
  </si>
  <si>
    <t>Non-current assets</t>
  </si>
  <si>
    <t>1C.1</t>
  </si>
  <si>
    <t>Fixed assets</t>
  </si>
  <si>
    <t>BO4008STAT</t>
  </si>
  <si>
    <t>BO4008DSR</t>
  </si>
  <si>
    <t>BO4008NA</t>
  </si>
  <si>
    <t>BO4008ADJ</t>
  </si>
  <si>
    <t>BO4008</t>
  </si>
  <si>
    <t>1C.2</t>
  </si>
  <si>
    <t>Intangible assets</t>
  </si>
  <si>
    <t>A11002STAT</t>
  </si>
  <si>
    <t>A11002DSR</t>
  </si>
  <si>
    <t>A11002NA</t>
  </si>
  <si>
    <t>A11002ADJ</t>
  </si>
  <si>
    <t>A11002</t>
  </si>
  <si>
    <t>1C.3</t>
  </si>
  <si>
    <t>Investments - loans to group companies</t>
  </si>
  <si>
    <t>FT01670STAT</t>
  </si>
  <si>
    <t>FT01670DSR</t>
  </si>
  <si>
    <t>FT01670NA</t>
  </si>
  <si>
    <t>FT01670ADJ</t>
  </si>
  <si>
    <t>FT01670</t>
  </si>
  <si>
    <t>1C.4</t>
  </si>
  <si>
    <t>Investments - other</t>
  </si>
  <si>
    <t>FT01680STAT</t>
  </si>
  <si>
    <t>FT01680DSR</t>
  </si>
  <si>
    <t>FT01680NA</t>
  </si>
  <si>
    <t>FT01680ADJ</t>
  </si>
  <si>
    <t>FT01680</t>
  </si>
  <si>
    <t>1C.5</t>
  </si>
  <si>
    <t>Financial instruments</t>
  </si>
  <si>
    <t>A11005STAT</t>
  </si>
  <si>
    <t>A11005DSR</t>
  </si>
  <si>
    <t>A11005NA</t>
  </si>
  <si>
    <t>A11005ADJ</t>
  </si>
  <si>
    <t>A11005</t>
  </si>
  <si>
    <t>1C.6</t>
  </si>
  <si>
    <t>Retirement benefit assets</t>
  </si>
  <si>
    <t>FT01751STAT</t>
  </si>
  <si>
    <t>FT01751DSR</t>
  </si>
  <si>
    <t>FT01751NA</t>
  </si>
  <si>
    <t>FT01751ADJ</t>
  </si>
  <si>
    <t>FT01751</t>
  </si>
  <si>
    <t>1C.7</t>
  </si>
  <si>
    <t>Total non-current assets</t>
  </si>
  <si>
    <t>A11006STAT</t>
  </si>
  <si>
    <t>A11006DSR</t>
  </si>
  <si>
    <t>A11006NA</t>
  </si>
  <si>
    <t>A11006ADJ</t>
  </si>
  <si>
    <t>A11006</t>
  </si>
  <si>
    <t>Current assets</t>
  </si>
  <si>
    <t>1C.8</t>
  </si>
  <si>
    <t>Inventories</t>
  </si>
  <si>
    <t>BO4084STAT</t>
  </si>
  <si>
    <t>BO4084DSR</t>
  </si>
  <si>
    <t>BO4084NA</t>
  </si>
  <si>
    <t>BO4084ADJ</t>
  </si>
  <si>
    <t>BO4084</t>
  </si>
  <si>
    <t>1C.9</t>
  </si>
  <si>
    <t>Trade &amp; other receivables</t>
  </si>
  <si>
    <t>A11008STAT</t>
  </si>
  <si>
    <t>A11008DSR</t>
  </si>
  <si>
    <t>A11008NA</t>
  </si>
  <si>
    <t>A11008ADJ</t>
  </si>
  <si>
    <t>A11008</t>
  </si>
  <si>
    <t>1C.10</t>
  </si>
  <si>
    <t>A11009STAT</t>
  </si>
  <si>
    <t>A11009DSR</t>
  </si>
  <si>
    <t>A11009NA</t>
  </si>
  <si>
    <t>A11009ADJ</t>
  </si>
  <si>
    <t>A11009</t>
  </si>
  <si>
    <t>1C.11</t>
  </si>
  <si>
    <t>Cash &amp; cash equivalents</t>
  </si>
  <si>
    <t>A11010STAT</t>
  </si>
  <si>
    <t>A11010DSR</t>
  </si>
  <si>
    <t>A11010NA</t>
  </si>
  <si>
    <t>A11010ADJ</t>
  </si>
  <si>
    <t>A11010</t>
  </si>
  <si>
    <t>1C.12</t>
  </si>
  <si>
    <t>Total current assets</t>
  </si>
  <si>
    <t>BO4092STAT</t>
  </si>
  <si>
    <t>BO4092DSR</t>
  </si>
  <si>
    <t>BO4092NA</t>
  </si>
  <si>
    <t>BO4092ADJ</t>
  </si>
  <si>
    <t>BO4092</t>
  </si>
  <si>
    <t>C</t>
  </si>
  <si>
    <t>Current liabilities</t>
  </si>
  <si>
    <t>1C.13</t>
  </si>
  <si>
    <t>Trade &amp; other payables</t>
  </si>
  <si>
    <t>A11012STAT</t>
  </si>
  <si>
    <t>A11012DSR</t>
  </si>
  <si>
    <t>A11012NA</t>
  </si>
  <si>
    <t>A11012ADJ</t>
  </si>
  <si>
    <t>A11012</t>
  </si>
  <si>
    <t>1C.14</t>
  </si>
  <si>
    <t>Capex creditor</t>
  </si>
  <si>
    <t>A11013STAT</t>
  </si>
  <si>
    <t>A11013DSR</t>
  </si>
  <si>
    <t>A11013NA</t>
  </si>
  <si>
    <t>A11013ADJ</t>
  </si>
  <si>
    <t>A11013</t>
  </si>
  <si>
    <t>1C.15</t>
  </si>
  <si>
    <t>Borrowings</t>
  </si>
  <si>
    <t>BO4093STAT</t>
  </si>
  <si>
    <t>BO4093DSR</t>
  </si>
  <si>
    <t>BO4093NA</t>
  </si>
  <si>
    <t>BO4093ADJ</t>
  </si>
  <si>
    <t>BO4093</t>
  </si>
  <si>
    <t>1C.16</t>
  </si>
  <si>
    <t>A11015STAT</t>
  </si>
  <si>
    <t>A11015DSR</t>
  </si>
  <si>
    <t>A11015NA</t>
  </si>
  <si>
    <t>A11015ADJ</t>
  </si>
  <si>
    <t>A11015</t>
  </si>
  <si>
    <t>1C.17</t>
  </si>
  <si>
    <t>Current tax liabilities</t>
  </si>
  <si>
    <t>A11016STAT</t>
  </si>
  <si>
    <t>A11016DSR</t>
  </si>
  <si>
    <t>A11016NA</t>
  </si>
  <si>
    <t>A11016ADJ</t>
  </si>
  <si>
    <t>A11016</t>
  </si>
  <si>
    <t>1C.18</t>
  </si>
  <si>
    <t>Provisions</t>
  </si>
  <si>
    <t>A11017STAT</t>
  </si>
  <si>
    <t>A11017DSR</t>
  </si>
  <si>
    <t>A11017NA</t>
  </si>
  <si>
    <t>A11017ADJ</t>
  </si>
  <si>
    <t>A11017</t>
  </si>
  <si>
    <t>1C.19</t>
  </si>
  <si>
    <t>Total current liabilities</t>
  </si>
  <si>
    <t>A11018STAT</t>
  </si>
  <si>
    <t>A11018DSR</t>
  </si>
  <si>
    <t>A11018NA</t>
  </si>
  <si>
    <t>A11018ADJ</t>
  </si>
  <si>
    <t>A11018</t>
  </si>
  <si>
    <t>1C.20</t>
  </si>
  <si>
    <t>Net current assets / (liabilities)</t>
  </si>
  <si>
    <t>BO4096STAT</t>
  </si>
  <si>
    <t>BO4096DSR</t>
  </si>
  <si>
    <t>BO4096NA</t>
  </si>
  <si>
    <t>BO4096ADJ</t>
  </si>
  <si>
    <t>BO4096</t>
  </si>
  <si>
    <t>D</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</si>
  <si>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</si>
  <si>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</si>
  <si>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</si>
  <si>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</si>
  <si>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</si>
  <si>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</si>
  <si>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</si>
  <si>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</si>
  <si>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</si>
  <si>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</si>
  <si>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</si>
  <si>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</si>
  <si>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</si>
  <si>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</si>
  <si>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</si>
  <si>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</si>
  <si>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</si>
  <si>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</si>
  <si>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</si>
  <si>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1C.24</t>
  </si>
  <si>
    <t>Retirement benefit obligations</t>
  </si>
  <si>
    <t>A11023STAT</t>
  </si>
  <si>
    <t>A11023DSR</t>
  </si>
  <si>
    <t>A11023NA</t>
  </si>
  <si>
    <t>A11023ADJ</t>
  </si>
  <si>
    <t>A11023</t>
  </si>
  <si>
    <t>1C.25</t>
  </si>
  <si>
    <t>A11024STAT</t>
  </si>
  <si>
    <t>A11024DSR</t>
  </si>
  <si>
    <t>A11024NA</t>
  </si>
  <si>
    <t>A11024ADJ</t>
  </si>
  <si>
    <t>A11024</t>
  </si>
  <si>
    <t>1C.26</t>
  </si>
  <si>
    <t>Deferred income - G&amp;C's</t>
  </si>
  <si>
    <t>BO4065STATGC</t>
  </si>
  <si>
    <t>BO4065DSRGC</t>
  </si>
  <si>
    <t>BO4065NAGC</t>
  </si>
  <si>
    <t>BO4065ADJGC</t>
  </si>
  <si>
    <t>BO4065GC</t>
  </si>
  <si>
    <t>1C.27</t>
  </si>
  <si>
    <t>Deferred income - adopted assets</t>
  </si>
  <si>
    <t>BO4065STATAA</t>
  </si>
  <si>
    <t>BO4065DSRAA</t>
  </si>
  <si>
    <t>BO4065NAAA</t>
  </si>
  <si>
    <t>BO4065ADJAA</t>
  </si>
  <si>
    <t>BO4065AA</t>
  </si>
  <si>
    <t>1C.28</t>
  </si>
  <si>
    <t>Preference share capital</t>
  </si>
  <si>
    <t>BB1300APSTAT</t>
  </si>
  <si>
    <t>BB1300APDSR</t>
  </si>
  <si>
    <t>BB1300APNA</t>
  </si>
  <si>
    <t>BB1300APADJ</t>
  </si>
  <si>
    <t>BB1300AP</t>
  </si>
  <si>
    <t>1C.29</t>
  </si>
  <si>
    <t>BO4063STAT</t>
  </si>
  <si>
    <t>BO4063DSR</t>
  </si>
  <si>
    <t>BO4063NA</t>
  </si>
  <si>
    <t>BO4063ADJ</t>
  </si>
  <si>
    <t>BO4063</t>
  </si>
  <si>
    <t>1C.30</t>
  </si>
  <si>
    <t>Total non-current liabilities</t>
  </si>
  <si>
    <t>A11025STAT</t>
  </si>
  <si>
    <t>A11025DSR</t>
  </si>
  <si>
    <t>A11025NA</t>
  </si>
  <si>
    <t>A11025ADJ</t>
  </si>
  <si>
    <t>A11025</t>
  </si>
  <si>
    <t>1C.31</t>
  </si>
  <si>
    <t>Net assets</t>
  </si>
  <si>
    <t>BO4070STAT</t>
  </si>
  <si>
    <t>BO4070DSR</t>
  </si>
  <si>
    <t>BO4070NA</t>
  </si>
  <si>
    <t>BO4070ADJ</t>
  </si>
  <si>
    <t>BO4070</t>
  </si>
  <si>
    <t>E</t>
  </si>
  <si>
    <t>Equity</t>
  </si>
  <si>
    <t>1C.32</t>
  </si>
  <si>
    <t>Called up share capital</t>
  </si>
  <si>
    <t>BO4100STAT</t>
  </si>
  <si>
    <t>BO4100DSR</t>
  </si>
  <si>
    <t>BO4100NA</t>
  </si>
  <si>
    <t>BO4100ADJ</t>
  </si>
  <si>
    <t>BO4100</t>
  </si>
  <si>
    <t>1C.33</t>
  </si>
  <si>
    <t>Retained earnings &amp; other reserves</t>
  </si>
  <si>
    <t>A11030STAT</t>
  </si>
  <si>
    <t>A11030DSR</t>
  </si>
  <si>
    <t>A11030NA</t>
  </si>
  <si>
    <t>A11030ADJ</t>
  </si>
  <si>
    <t>A11030</t>
  </si>
  <si>
    <t>1C.34</t>
  </si>
  <si>
    <t>Total Equity</t>
  </si>
  <si>
    <t>BO4130STAT</t>
  </si>
  <si>
    <t>BO4130DSR</t>
  </si>
  <si>
    <t>BO4130NA</t>
  </si>
  <si>
    <t>BO4130ADJ</t>
  </si>
  <si>
    <t>BO4130</t>
  </si>
  <si>
    <t xml:space="preserve">Historical cost net book value of tangible fixed assets at the end of the financial year. </t>
  </si>
  <si>
    <t>Total value of any intangible assets (not physical in nature) at the end of the financial year.</t>
  </si>
  <si>
    <t>Loans made to other group companies repayable in more than one year.</t>
  </si>
  <si>
    <t>All investments, excluding those in table 1C line 3, eg, shares in other group companies.</t>
  </si>
  <si>
    <t>Difference between book value and fair value of any non-current assets relating to financial instruments, including options, futures, forwards and swaps, which are presented at fair value in the statutory accounts.</t>
  </si>
  <si>
    <t>The total amount due to employees in the pension scheme for all of the past service completed up to the balance sheet date, less scheme assets.
Where this calculation results in a net asset it should be shown in this line.</t>
  </si>
  <si>
    <t>Historical cost total fixed assets. Equal to the sum of table 1C lines 1 to 6.</t>
  </si>
  <si>
    <t>Stocks held at the year end. Stocks consist of consumable stores and work in progress, including chemicals, stationery, petrol, backfill materials, etc.</t>
  </si>
  <si>
    <t>Debtors consist of all amounts owing to the company at the financial year end including trade debtors, prepayments and accrued income. This includes amounts falling due after more than one year. Any assets held for sale should also be included here.</t>
  </si>
  <si>
    <t>Difference between book value and fair value of any current assets relating to financial instruments, including options, futures, forwards and swaps, which are presented at fair value in the statutory accounts.</t>
  </si>
  <si>
    <t>Cash consists of cash in hand and at bank and short term deposits. Overdraft balances should not be netted off as it should be included separately in ‘Trade &amp; other payables’. Equal to the sum of table 1E lines 4 and 5.</t>
  </si>
  <si>
    <t>Equal to the sum of table 1C lines 8 to 11.</t>
  </si>
  <si>
    <t>Trade creditors, accrued interest and any other accruals or creditors due within one year that are not borrowings, tax creditors, capex creditor or  liabilities arising from derivative financial instruments.</t>
  </si>
  <si>
    <t>Capital expenditure creditors due within one year.</t>
  </si>
  <si>
    <t xml:space="preserve">Balances due within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</si>
  <si>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current liabilities relating to financial instruments, including options, futures, forwards and swaps, which are presented at fair value in the statutory accounts.</t>
  </si>
  <si>
    <t>Corporation tax payable consists of any balances of corporation tax due to HMRC.</t>
  </si>
  <si>
    <t>Total provisions for liabilities and charges due within one year. Includes deferred income – grants and contributions and all other provisions including restructuring or reorganisation provisions.</t>
  </si>
  <si>
    <t>All creditors due to be paid within one year.  Equal to the sum of table 1C lines 13 to 18.</t>
  </si>
  <si>
    <t>Historical cost net current assets. Equal to the sum of table 1C lines 12 and 19.</t>
  </si>
  <si>
    <t>Trade creditors, accrued interest and any other accruals or creditors due after more than one year that are not borrowings, tax creditors, capex creditor or liabilities arising from derivative financial instruments.</t>
  </si>
  <si>
    <t xml:space="preserve">Balances due after more than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</si>
  <si>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non-current liabilities relating to financial instruments, including options, futures, forwards and swaps, which are presented at fair value in the statutory accounts.</t>
  </si>
  <si>
    <t>The total amount due to employees in the pension scheme for all of the past service completed up to the balance sheet date, less scheme assets.
Where this calculation results in a net liability it should be shown in this line.</t>
  </si>
  <si>
    <t>Total provisions for liabilities and charges due after one year not included elsewhere in the table. Includes restructuring or reorganisation provisions.</t>
  </si>
  <si>
    <t xml:space="preserve">Balance of deferred income relating to capitalised grants and contributions received. </t>
  </si>
  <si>
    <t>Balance of deferred income relating to adopted assets.</t>
  </si>
  <si>
    <t>Nominal value of the preference share capital.</t>
  </si>
  <si>
    <t>Provision for tax liabilities arising from timing differences between the recognition of gains and losses in the financial statements and their recognition in a tax computation. (A deferred tax asset should be entered as a positive number.)</t>
  </si>
  <si>
    <t>Total creditors due after one year. Equal to the sum of table 1C lines 21 to 29.</t>
  </si>
  <si>
    <t>Total assets employed by the business under the historical cost accounting convention. Equal to the sum of table 1C lines 7, 20 and 30.</t>
  </si>
  <si>
    <t>Nominal value of the ordinary shares of the company which are issued and fully paid.</t>
  </si>
  <si>
    <t>Cumulative balance of historical cost profits retained and any other reserves, other than called up share capital.</t>
  </si>
  <si>
    <t>Total of shareholders' funds. The sum of called up share capital, share premium, profit and loss account, and other reserves. This equals table 1C line 31.</t>
  </si>
  <si>
    <t>1D - Statement of cash flows</t>
  </si>
  <si>
    <t>Statement of cashflows</t>
  </si>
  <si>
    <t>1D.1</t>
  </si>
  <si>
    <t>1D.2</t>
  </si>
  <si>
    <t>BO5002STAT</t>
  </si>
  <si>
    <t>BO5002DSR</t>
  </si>
  <si>
    <t>BO5002NA</t>
  </si>
  <si>
    <t>BO5002ADJ</t>
  </si>
  <si>
    <t>BO5002</t>
  </si>
  <si>
    <t>1D.3</t>
  </si>
  <si>
    <t>Depreciation</t>
  </si>
  <si>
    <t>A14002STAT</t>
  </si>
  <si>
    <t>A14002DSR</t>
  </si>
  <si>
    <t>A14002NA</t>
  </si>
  <si>
    <t>A14002ADJ</t>
  </si>
  <si>
    <t>A14002</t>
  </si>
  <si>
    <t>1D.4</t>
  </si>
  <si>
    <t>Amortisation - G&amp;C's</t>
  </si>
  <si>
    <t>A3028STAT</t>
  </si>
  <si>
    <t>A3028DSR</t>
  </si>
  <si>
    <t>A3028NA</t>
  </si>
  <si>
    <t>A3028ADJ</t>
  </si>
  <si>
    <t>A3028</t>
  </si>
  <si>
    <t>1D.5</t>
  </si>
  <si>
    <t>Changes in working capital</t>
  </si>
  <si>
    <t>FT01810STAT</t>
  </si>
  <si>
    <t>FT01810DSR</t>
  </si>
  <si>
    <t>FT01810NA</t>
  </si>
  <si>
    <t>FT01810ADJ</t>
  </si>
  <si>
    <t>FT01810</t>
  </si>
  <si>
    <t>1D.6</t>
  </si>
  <si>
    <t>Pension contributions</t>
  </si>
  <si>
    <t>A14005STAT</t>
  </si>
  <si>
    <t>A14005DSR</t>
  </si>
  <si>
    <t>A14005NA</t>
  </si>
  <si>
    <t>A14005ADJ</t>
  </si>
  <si>
    <t>A14005</t>
  </si>
  <si>
    <t>1D.7</t>
  </si>
  <si>
    <t>Movement in provisions</t>
  </si>
  <si>
    <t>BO5020STAT</t>
  </si>
  <si>
    <t>BO5020DSR</t>
  </si>
  <si>
    <t>BO5020NA</t>
  </si>
  <si>
    <t>BO5020ADJ</t>
  </si>
  <si>
    <t>BO5020</t>
  </si>
  <si>
    <t>1D.8</t>
  </si>
  <si>
    <t>Profit on sale of fixed assets</t>
  </si>
  <si>
    <t>BO5004STAT</t>
  </si>
  <si>
    <t>BO5004DSR</t>
  </si>
  <si>
    <t>BO5004NA</t>
  </si>
  <si>
    <t>BO5004ADJ</t>
  </si>
  <si>
    <t>BO5004</t>
  </si>
  <si>
    <t>1D.9</t>
  </si>
  <si>
    <t>Cash generated from operations</t>
  </si>
  <si>
    <t>BO5040STAT</t>
  </si>
  <si>
    <t>BO5040DSR</t>
  </si>
  <si>
    <t>BO5040NA</t>
  </si>
  <si>
    <t>BO5040ADJ</t>
  </si>
  <si>
    <t>BO5040</t>
  </si>
  <si>
    <t>1D.10</t>
  </si>
  <si>
    <t>Net interest paid</t>
  </si>
  <si>
    <t>A14008STAT</t>
  </si>
  <si>
    <t>A14008DSR</t>
  </si>
  <si>
    <t>A14008NA</t>
  </si>
  <si>
    <t>A14008ADJ</t>
  </si>
  <si>
    <t>A14008</t>
  </si>
  <si>
    <t>1D.11</t>
  </si>
  <si>
    <t>Tax paid</t>
  </si>
  <si>
    <t>BO5070STAT</t>
  </si>
  <si>
    <t>BO5070DSR</t>
  </si>
  <si>
    <t>BO5070NA</t>
  </si>
  <si>
    <t>BO5070ADJ</t>
  </si>
  <si>
    <t>BO5070</t>
  </si>
  <si>
    <t>1D.12</t>
  </si>
  <si>
    <t>Net cash generated from operating activities</t>
  </si>
  <si>
    <t>A14010STAT</t>
  </si>
  <si>
    <t>A14010DSR</t>
  </si>
  <si>
    <t>A14010NA</t>
  </si>
  <si>
    <t>A14010ADJ</t>
  </si>
  <si>
    <t>A14010</t>
  </si>
  <si>
    <t>Investing activities</t>
  </si>
  <si>
    <t>1D.13</t>
  </si>
  <si>
    <t>Capital expenditure</t>
  </si>
  <si>
    <t>BO5080STAT</t>
  </si>
  <si>
    <t>BO5080DSR</t>
  </si>
  <si>
    <t>BO5080NA</t>
  </si>
  <si>
    <t>BO5080ADJ</t>
  </si>
  <si>
    <t>BO5080</t>
  </si>
  <si>
    <t>1D.14</t>
  </si>
  <si>
    <t>Grants &amp; Contributions</t>
  </si>
  <si>
    <t>BO5081STAT</t>
  </si>
  <si>
    <t>BO5081DSR</t>
  </si>
  <si>
    <t>BO5081NA</t>
  </si>
  <si>
    <t>BO5081ADJ</t>
  </si>
  <si>
    <t>BO5081</t>
  </si>
  <si>
    <t>1D.15</t>
  </si>
  <si>
    <t>Disposal of fixed assets</t>
  </si>
  <si>
    <t>BO5084STAT</t>
  </si>
  <si>
    <t>BO5084DSR</t>
  </si>
  <si>
    <t>BO5084NA</t>
  </si>
  <si>
    <t>BO5084ADJ</t>
  </si>
  <si>
    <t>BO5084</t>
  </si>
  <si>
    <t>1D.16</t>
  </si>
  <si>
    <t>BO5085STAT</t>
  </si>
  <si>
    <t>BO5085DSR</t>
  </si>
  <si>
    <t>BO5085NA</t>
  </si>
  <si>
    <t>BO5085ADJ</t>
  </si>
  <si>
    <t>BO5085</t>
  </si>
  <si>
    <t>1D.17</t>
  </si>
  <si>
    <t>Net cash used in investing activities</t>
  </si>
  <si>
    <t>BO5086STAT</t>
  </si>
  <si>
    <t>BO5086DSR</t>
  </si>
  <si>
    <t>BO5086NA</t>
  </si>
  <si>
    <t>BO5086ADJ</t>
  </si>
  <si>
    <t>BO5086</t>
  </si>
  <si>
    <t>1D.18</t>
  </si>
  <si>
    <t>Net cash generated before financing activities</t>
  </si>
  <si>
    <t>A14017STAT</t>
  </si>
  <si>
    <t>A14017DSR</t>
  </si>
  <si>
    <t>A14017NA</t>
  </si>
  <si>
    <t>A14017ADJ</t>
  </si>
  <si>
    <t>A14017</t>
  </si>
  <si>
    <t>Cashflows from financing activities</t>
  </si>
  <si>
    <t>1D.19</t>
  </si>
  <si>
    <t>Equity dividends paid</t>
  </si>
  <si>
    <t>BO5204STAT</t>
  </si>
  <si>
    <t>BO5204DSR</t>
  </si>
  <si>
    <t>BO5204NA</t>
  </si>
  <si>
    <t>BO5204ADJ</t>
  </si>
  <si>
    <t>BO5204</t>
  </si>
  <si>
    <t>1D.20</t>
  </si>
  <si>
    <t>Net loans received</t>
  </si>
  <si>
    <t>A14019STAT</t>
  </si>
  <si>
    <t>A14019DSR</t>
  </si>
  <si>
    <t>A14019NA</t>
  </si>
  <si>
    <t>A14019ADJ</t>
  </si>
  <si>
    <t>A14019</t>
  </si>
  <si>
    <t>1D.21</t>
  </si>
  <si>
    <t>Cash inflow from equity financing</t>
  </si>
  <si>
    <t>BO5095STAT</t>
  </si>
  <si>
    <t>BO5095DSR</t>
  </si>
  <si>
    <t>BO5095NA</t>
  </si>
  <si>
    <t>BO5095ADJ</t>
  </si>
  <si>
    <t>BO5095</t>
  </si>
  <si>
    <t>1D.22</t>
  </si>
  <si>
    <t>Net cash generated from financing activities</t>
  </si>
  <si>
    <t>BO5096STAT</t>
  </si>
  <si>
    <t>BO5096DSR</t>
  </si>
  <si>
    <t>BO5096NA</t>
  </si>
  <si>
    <t>BO5096ADJ</t>
  </si>
  <si>
    <t>BO5096</t>
  </si>
  <si>
    <t>1D.23</t>
  </si>
  <si>
    <t>Increase (decrease) in net cash</t>
  </si>
  <si>
    <t>BO5098STAT</t>
  </si>
  <si>
    <t>BO5098DSR</t>
  </si>
  <si>
    <t>BO5098NA</t>
  </si>
  <si>
    <t>BO5098ADJ</t>
  </si>
  <si>
    <t>BO5098</t>
  </si>
  <si>
    <t>Operating profit before tax and interest. This is equal to table 1A line 4.</t>
  </si>
  <si>
    <t>The cash impact of ‘other income’ in table 1A line 5.</t>
  </si>
  <si>
    <t>The negative value of depreciation and amortisation of tangible and intangible assets.</t>
  </si>
  <si>
    <t>This line should not be used from 2017-18 as any amortisation will be recorded as ‘other income’.</t>
  </si>
  <si>
    <t>The total movement in working capital.</t>
  </si>
  <si>
    <t>Any difference between the pension contributions paid in the year and the charge included in the total operating expenditure in table 2B line 11.</t>
  </si>
  <si>
    <t>The negative value of any other non-cash profit and loss items which affect operating profit.</t>
  </si>
  <si>
    <t xml:space="preserve">The negative value of net current cost profit/loss on disposal of fixed assets. </t>
  </si>
  <si>
    <t>Net cash flow movement from the operating activities of the company. The sum of table 1D lines 1 to 8.</t>
  </si>
  <si>
    <t>Net of interest received, interest paid, interest on finance lease rentals and non-equity dividends paid.</t>
  </si>
  <si>
    <t>All cash flows to or from taxation authorities (or other group companies) in respect of the company's revenue and capital profits including corporation tax paid/received and group taxation payments/receipts by the company in the year.</t>
  </si>
  <si>
    <t>The sum of table 1D lines 9 to 11.</t>
  </si>
  <si>
    <t>Gross purchase price of fixed assets paid before the deduction of any grants and contributions.</t>
  </si>
  <si>
    <t>All grants and contributions which are accounted for as reductions in capital expenditure. This may not agree to grants and contributions recorded in tables 2B and 2E, which cover ALL grants and contributions.</t>
  </si>
  <si>
    <t>Cash proceeds received in the year on the sale of fixed assets</t>
  </si>
  <si>
    <t>Other movements not already included in table 1D lines 13 to 15.</t>
  </si>
  <si>
    <t>The net cash flow of the company relating to the acquisition or disposal of any asset held as a fixed asset. 
The sum of table 1D lines 13 to 16.</t>
  </si>
  <si>
    <t>The sum of table 1D lines 12 and 17.</t>
  </si>
  <si>
    <t>The total equity dividend paid by the company in the year. This includes any special dividends paid in the year.</t>
  </si>
  <si>
    <t>The receipts from any loans taken out in the year. These include the proceeds of any loans taken out from other group companies. Repayments should be netted off.</t>
  </si>
  <si>
    <t>The net proceeds of any share issues received in the year, less the cost of any share buy backs.</t>
  </si>
  <si>
    <t>The net effect on cash flow after repaying the capital element of finance leases, raising/repaying loans and share issues. The sum of table 1D lines 19 to 21.</t>
  </si>
  <si>
    <t>The net cash flow of the company in the year measured by the change in the level of cash. The sum of table 1D lines 18 and 22.</t>
  </si>
  <si>
    <t>1E - Net debt analysis at 31 March 2020</t>
  </si>
  <si>
    <t>Interest rate risk profile</t>
  </si>
  <si>
    <t>Consistency validations</t>
  </si>
  <si>
    <t>Signage checks</t>
  </si>
  <si>
    <t>Fixed rate</t>
  </si>
  <si>
    <t>Floating rate</t>
  </si>
  <si>
    <t>Index linked</t>
  </si>
  <si>
    <t>Total</t>
  </si>
  <si>
    <t>Please enter a positive number</t>
  </si>
  <si>
    <t>1E.1</t>
  </si>
  <si>
    <t>Borrowings (excluding preference shares)</t>
  </si>
  <si>
    <t>BO5332FX</t>
  </si>
  <si>
    <t>BO5332FR</t>
  </si>
  <si>
    <t>BO5332IL</t>
  </si>
  <si>
    <t>BO5332A</t>
  </si>
  <si>
    <t>1E.2</t>
  </si>
  <si>
    <t>BB1300ND</t>
  </si>
  <si>
    <t>1E.3</t>
  </si>
  <si>
    <t>Total borrowings</t>
  </si>
  <si>
    <t>BO5348T</t>
  </si>
  <si>
    <t>1E.4</t>
  </si>
  <si>
    <t>Cash</t>
  </si>
  <si>
    <t>FT01690</t>
  </si>
  <si>
    <t>1E.5</t>
  </si>
  <si>
    <t>Short term deposits</t>
  </si>
  <si>
    <t>PP0021</t>
  </si>
  <si>
    <t>1E.6</t>
  </si>
  <si>
    <t>Net Debt</t>
  </si>
  <si>
    <t>BO4075</t>
  </si>
  <si>
    <t>1E.7</t>
  </si>
  <si>
    <t>Gearing</t>
  </si>
  <si>
    <t>%</t>
  </si>
  <si>
    <t>FI00300</t>
  </si>
  <si>
    <t>1E.8</t>
  </si>
  <si>
    <t>Adjusted gearing</t>
  </si>
  <si>
    <t>FI00300CV</t>
  </si>
  <si>
    <t>1E.9</t>
  </si>
  <si>
    <t>Full year equivalent nominal interest cost</t>
  </si>
  <si>
    <t>BO130FXI</t>
  </si>
  <si>
    <t>BO130FRI</t>
  </si>
  <si>
    <t>BO130ILI</t>
  </si>
  <si>
    <t>BO160TLI</t>
  </si>
  <si>
    <t>1E.10</t>
  </si>
  <si>
    <t>Full year equivalent cash interest payment</t>
  </si>
  <si>
    <t>BO135FXI</t>
  </si>
  <si>
    <t>BO135FRI</t>
  </si>
  <si>
    <t>BO135ILI</t>
  </si>
  <si>
    <t>BO165TLI</t>
  </si>
  <si>
    <t>Indicative interest rates</t>
  </si>
  <si>
    <t>1E.11</t>
  </si>
  <si>
    <t>Indicative weighted average nominal interest rate</t>
  </si>
  <si>
    <t>FI00500FX</t>
  </si>
  <si>
    <t>FI00500FR</t>
  </si>
  <si>
    <t>FI00500IL</t>
  </si>
  <si>
    <t>FI00500</t>
  </si>
  <si>
    <t>1E.12</t>
  </si>
  <si>
    <t>Indicative weighted average cash interest rate</t>
  </si>
  <si>
    <t>FI00510FX</t>
  </si>
  <si>
    <t>FI00510FR</t>
  </si>
  <si>
    <t>FI00510IL</t>
  </si>
  <si>
    <t>FI00510</t>
  </si>
  <si>
    <t>1E.13</t>
  </si>
  <si>
    <t>Weighted average years to maturity</t>
  </si>
  <si>
    <t>nr</t>
  </si>
  <si>
    <t>FI00560FX</t>
  </si>
  <si>
    <t>FI00560FR</t>
  </si>
  <si>
    <t>FI00560IL</t>
  </si>
  <si>
    <t>FI00560</t>
  </si>
  <si>
    <t>Borrowings such as:
  • obligations under finance leases;
  • loans due to other group companies;
  • redeemable debentures;
  • bonds;
  • commercial paper;
  • bills of exchange;
  • bank loans; and
  • any other borrowings.  
The following should not be included:
  • accrued interest on borrowings;
  • mains deposits; 
  • fair value accounting adjustments which do not impact on the principal sum outstanding on the debt or the total interest paid. 
    For example when financial instruments, such as interest rate swap agreements are presented at fair value.
This should equal total ‘Borrowings' as reported in column ‘Total appointed activities’ of table 1C (i.e. the sum of table 1C lines 15 and 22). Where there is a difference between the figures in Table 1C and table 1E a reconciliation of the differences should be provided.</t>
  </si>
  <si>
    <t>1
2
3
4
5
6
7
8
9
10
11
12
13
14
15
16
17</t>
  </si>
  <si>
    <t>Nominal value of the preference share capital. This should equal ‘Preference share capital' as reported in column ‘Total appointed activities’ of table 1C (i.e. table 1C line 28).</t>
  </si>
  <si>
    <t>The sum of table 1E lines 1 and 2.</t>
  </si>
  <si>
    <t xml:space="preserve">Cash in hand and at bank at the year-end. </t>
  </si>
  <si>
    <t>Investments which are readily convertible into known amounts of cash. This may include deposits made with group companies.</t>
  </si>
  <si>
    <t>The sum of table 1E lines 3 to 5.</t>
  </si>
  <si>
    <t>Regulatory gearing calculated as net debt in table 1E line 6 divided by RCV in table 4C line 5.</t>
  </si>
  <si>
    <t>Some companies may use a different measure of net debt to calculate gearing for the purposes of financial covenants which are of use to the financial community. If a different measure of debt is commonly used by a company, then the restated gearing level should be inserted in this line together with an accompanying commentary.</t>
  </si>
  <si>
    <t>1
2
3</t>
  </si>
  <si>
    <r>
      <t>Full year equivalent nominal interest cost as at 31 March. Calculated as the ‘Nominal interest rate’ multiplied by the ‘Principal sum as at 31 March’.
Nominal interest rate is defined as the coupon associated with nominal debt or equivalent implied by the coupon of index linked debt. 
Rates entered for borrowings in hedging relationships should be stated at the post hedge interest rate. 
Processing rule</t>
    </r>
    <r>
      <rPr>
        <sz val="9"/>
        <color rgb="FFFF0000"/>
        <rFont val="Arial"/>
        <family val="2"/>
      </rPr>
      <t xml:space="preserve"> for nominal interest rate</t>
    </r>
    <r>
      <rPr>
        <sz val="9"/>
        <rFont val="Arial"/>
        <family val="2"/>
      </rPr>
      <t xml:space="preserve">:
</t>
    </r>
    <r>
      <rPr>
        <b/>
        <sz val="9"/>
        <rFont val="Arial"/>
        <family val="2"/>
      </rPr>
      <t>Fixed rate instruments</t>
    </r>
    <r>
      <rPr>
        <sz val="9"/>
        <rFont val="Arial"/>
        <family val="2"/>
      </rPr>
      <t xml:space="preserve">
The coupon rate as an input.
</t>
    </r>
    <r>
      <rPr>
        <b/>
        <sz val="9"/>
        <rFont val="Arial"/>
        <family val="2"/>
      </rPr>
      <t>Floating rate instruments</t>
    </r>
    <r>
      <rPr>
        <sz val="9"/>
        <rFont val="Arial"/>
        <family val="2"/>
      </rPr>
      <t xml:space="preserve">
The nominal coupon rate at the last pricing of the instrument.
</t>
    </r>
    <r>
      <rPr>
        <b/>
        <sz val="9"/>
        <rFont val="Arial"/>
        <family val="2"/>
      </rPr>
      <t>Index-linked instruments</t>
    </r>
    <r>
      <rPr>
        <sz val="9"/>
        <rFont val="Arial"/>
        <family val="2"/>
      </rPr>
      <t xml:space="preserve">
Nominal interest rate = ((1 + real coupon) x (1 + RPI)) – 1.
The principal sum outstanding should not be adjusted for accounting adjustments such as unamortised issuance costs. </t>
    </r>
    <r>
      <rPr>
        <sz val="9"/>
        <color rgb="FFFF0000"/>
        <rFont val="Arial"/>
        <family val="2"/>
      </rPr>
      <t>RPI and CPI should be the latest March monthly figure reported by ONS.
Processing rule for principle sum</t>
    </r>
    <r>
      <rPr>
        <sz val="9"/>
        <rFont val="Arial"/>
        <family val="2"/>
      </rPr>
      <t xml:space="preserve">:
</t>
    </r>
    <r>
      <rPr>
        <b/>
        <sz val="9"/>
        <rFont val="Arial"/>
        <family val="2"/>
      </rPr>
      <t>Fixed rate and floating rate instruments</t>
    </r>
    <r>
      <rPr>
        <sz val="9"/>
        <rFont val="Arial"/>
        <family val="2"/>
      </rPr>
      <t xml:space="preserve">
In most instances this will be the principal sum at initial recognition of the instrument. For instruments with stepped principal repayments, the principal sum is the sum outstanding as at 31 March.
</t>
    </r>
    <r>
      <rPr>
        <b/>
        <sz val="9"/>
        <rFont val="Arial"/>
        <family val="2"/>
      </rPr>
      <t>Index-linked instruments</t>
    </r>
    <r>
      <rPr>
        <sz val="9"/>
        <rFont val="Arial"/>
        <family val="2"/>
      </rPr>
      <t xml:space="preserve"> 
The principal sum outstanding at 31 March, ie the principal sum at initial recognition plus indexation of the principal.
</t>
    </r>
    <r>
      <rPr>
        <b/>
        <sz val="9"/>
        <rFont val="Arial"/>
        <family val="2"/>
      </rPr>
      <t>Foreign currency instruments</t>
    </r>
    <r>
      <rPr>
        <sz val="9"/>
        <rFont val="Arial"/>
        <family val="2"/>
      </rPr>
      <t xml:space="preserve">
The Sterling equivalent upon which interest is calculated.
</t>
    </r>
    <r>
      <rPr>
        <b/>
        <sz val="9"/>
        <rFont val="Arial"/>
        <family val="2"/>
      </rPr>
      <t>Swaps that are not in designated hedging arrangements</t>
    </r>
    <r>
      <rPr>
        <sz val="9"/>
        <rFont val="Arial"/>
        <family val="2"/>
      </rPr>
      <t xml:space="preserve">
The paid and received legs should be reported separately in the appropriate categories within the table. The notional value of the swap should be reported as the principal sum, with the received leg reported as a negative principal sum.</t>
    </r>
  </si>
  <si>
    <t>1
2
3
4
5
6
7
8
9
10
11
12
13
14 
15
16
17
18
19
20
21
22
23</t>
  </si>
  <si>
    <r>
      <t xml:space="preserve">Full year equivalent cash interest payment at 31 March. 
Processing rule:
</t>
    </r>
    <r>
      <rPr>
        <b/>
        <sz val="9"/>
        <rFont val="Arial"/>
        <family val="2"/>
      </rPr>
      <t>Fixed rate instruments and floating rate instruments</t>
    </r>
    <r>
      <rPr>
        <sz val="9"/>
        <rFont val="Arial"/>
        <family val="2"/>
      </rPr>
      <t xml:space="preserve">
Copied from ‘Full year equivalent nominal interest cost’.
</t>
    </r>
    <r>
      <rPr>
        <b/>
        <sz val="9"/>
        <rFont val="Arial"/>
        <family val="2"/>
      </rPr>
      <t>Index linked instruments</t>
    </r>
    <r>
      <rPr>
        <sz val="9"/>
        <rFont val="Arial"/>
        <family val="2"/>
      </rPr>
      <t xml:space="preserve">
Calculated as the ‘Real coupon’ multiplied by the ‘principal sum as at 31 March’.</t>
    </r>
  </si>
  <si>
    <t>1
2
3
4
5
6</t>
  </si>
  <si>
    <r>
      <t xml:space="preserve">Table 1E line 9 divided by the principal sum outstanding as at 31 March for fixed, floating and index linked instruments on which interest payments are calculated.  The nominal interest rate on index linked debt should include inflation accretion.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</si>
  <si>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t>New note on APP20 is not required - check with table owner</t>
  </si>
  <si>
    <r>
      <t xml:space="preserve">Table 1E line 10 divided by the principal sum outstanding as at 31 March for fixed, floating and index linked instruments on which interest payments are calculated.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</si>
  <si>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r>
      <t>Calculated as the multiple of the principal sum and years to maturity</t>
    </r>
    <r>
      <rPr>
        <sz val="9"/>
        <color rgb="FFFF0000"/>
        <rFont val="Arial"/>
        <family val="2"/>
      </rPr>
      <t xml:space="preserve"> for each instrument</t>
    </r>
    <r>
      <rPr>
        <sz val="9"/>
        <rFont val="Arial"/>
        <family val="2"/>
      </rPr>
      <t xml:space="preserve"> divided by the principal sum outstanding as at 31 March for fixed, floating and index linked instruments on which interest payments are calculated.
Definition of years to maturity:
Full years to maturity of the instrument from 31 March.
Instruments with no fixed maturity should be reported as follows:
• Instruments that are instantly callable should be classified as loans due in less than one year.
• Inter-company loans should be matched with the instrument at group level at the external borrowing rate.
Instruments with no fixed maturity that are not instantly callable should be reported with a maturity of 25 years.</t>
    </r>
  </si>
  <si>
    <t>1
2
3
4
5
6
7
8</t>
  </si>
  <si>
    <t>1F - Financial flows (Price Base - 2012-13 RPI Average)</t>
  </si>
  <si>
    <t>12 Months ended 31 March 2020</t>
  </si>
  <si>
    <t>Average 2015-20</t>
  </si>
  <si>
    <t>£</t>
  </si>
  <si>
    <t>Notional returns and notional regulatory equity</t>
  </si>
  <si>
    <t>Actual returns and notional regulatory equity</t>
  </si>
  <si>
    <t>Actual returns and actual regulatory equity</t>
  </si>
  <si>
    <t>NNP</t>
  </si>
  <si>
    <t>ANP</t>
  </si>
  <si>
    <t>AAP</t>
  </si>
  <si>
    <t>NNV</t>
  </si>
  <si>
    <t>ANV</t>
  </si>
  <si>
    <t>AAV</t>
  </si>
  <si>
    <t>NNPA</t>
  </si>
  <si>
    <t>ANPA</t>
  </si>
  <si>
    <t>AAPA</t>
  </si>
  <si>
    <t>NNVA</t>
  </si>
  <si>
    <t>ANVA</t>
  </si>
  <si>
    <t>AAVA</t>
  </si>
  <si>
    <t>1F.1</t>
  </si>
  <si>
    <t>Return on regulatory equity</t>
  </si>
  <si>
    <t>CR12501</t>
  </si>
  <si>
    <t>1F.2</t>
  </si>
  <si>
    <t>Actual performance adjustment 2010-15</t>
  </si>
  <si>
    <t>CR12502</t>
  </si>
  <si>
    <t>1F.3</t>
  </si>
  <si>
    <t>Adjusted Return on regulatory equity</t>
  </si>
  <si>
    <t>CR12503</t>
  </si>
  <si>
    <t>1F.4</t>
  </si>
  <si>
    <t>Regulatory equity</t>
  </si>
  <si>
    <t>CR12504</t>
  </si>
  <si>
    <t>Financing</t>
  </si>
  <si>
    <t>1F.5</t>
  </si>
  <si>
    <t>CR12505</t>
  </si>
  <si>
    <t>1F.6</t>
  </si>
  <si>
    <t>Variance in corporation tax</t>
  </si>
  <si>
    <t>CR12506</t>
  </si>
  <si>
    <t>1F.7</t>
  </si>
  <si>
    <t>Group relief</t>
  </si>
  <si>
    <t>CR12507</t>
  </si>
  <si>
    <t>1F.8</t>
  </si>
  <si>
    <t>Cost of debt</t>
  </si>
  <si>
    <t>CR12508</t>
  </si>
  <si>
    <t>1F.9</t>
  </si>
  <si>
    <t>Hedging instruments</t>
  </si>
  <si>
    <t>CR12509</t>
  </si>
  <si>
    <t>1F.10</t>
  </si>
  <si>
    <t>Financing total</t>
  </si>
  <si>
    <t>CR12510</t>
  </si>
  <si>
    <t>Operational performance</t>
  </si>
  <si>
    <t>1F.11</t>
  </si>
  <si>
    <t>Totex out / (under) performance</t>
  </si>
  <si>
    <t>CR12511</t>
  </si>
  <si>
    <t>1F.12</t>
  </si>
  <si>
    <t>ODI out / (under) performance</t>
  </si>
  <si>
    <t>CR12512</t>
  </si>
  <si>
    <t>1F.13</t>
  </si>
  <si>
    <t>Retail out / (under) performance</t>
  </si>
  <si>
    <t>CR12513</t>
  </si>
  <si>
    <t>1F.14</t>
  </si>
  <si>
    <t>Other exceptional items</t>
  </si>
  <si>
    <t>CR12523</t>
  </si>
  <si>
    <t>1F.15</t>
  </si>
  <si>
    <t>Operational performance total</t>
  </si>
  <si>
    <t>CR12514</t>
  </si>
  <si>
    <t>1F.16</t>
  </si>
  <si>
    <t>Total earnings</t>
  </si>
  <si>
    <t>CR12516</t>
  </si>
  <si>
    <t>1F.17</t>
  </si>
  <si>
    <t>RCV growth from RPI inflation</t>
  </si>
  <si>
    <t>CR12517</t>
  </si>
  <si>
    <t>1F.18</t>
  </si>
  <si>
    <t>Total shareholder return</t>
  </si>
  <si>
    <t>CR12518</t>
  </si>
  <si>
    <t>1F.19</t>
  </si>
  <si>
    <t>Net dividend</t>
  </si>
  <si>
    <t>1F.20</t>
  </si>
  <si>
    <t>Retained value</t>
  </si>
  <si>
    <t>CR12519</t>
  </si>
  <si>
    <t>Dividends reconciliation</t>
  </si>
  <si>
    <t>1F.21</t>
  </si>
  <si>
    <t>Gross dividend</t>
  </si>
  <si>
    <t>CR12520</t>
  </si>
  <si>
    <t>1F.22</t>
  </si>
  <si>
    <t>Interest received on intercompany loans</t>
  </si>
  <si>
    <t>CR12521</t>
  </si>
  <si>
    <t>1F.23</t>
  </si>
  <si>
    <t>CR12522</t>
  </si>
  <si>
    <t>Calculation cell/Hardcoded values</t>
  </si>
  <si>
    <r>
      <t xml:space="preserve">Notional returns and notional regulatory equity
</t>
    </r>
    <r>
      <rPr>
        <sz val="9"/>
        <rFont val="Arial"/>
        <family val="2"/>
      </rPr>
      <t xml:space="preserve">The allowed equity return as set in the published Final Determination (contained in the ‘Companies populated risk assessment tools’ files, ‘RORE Tables’ tab). Companies should enter the value associated with the relevant reporting period.
</t>
    </r>
    <r>
      <rPr>
        <b/>
        <sz val="9"/>
        <rFont val="Arial"/>
        <family val="2"/>
      </rPr>
      <t xml:space="preserve">Actual returns and notional regulatory equity
</t>
    </r>
    <r>
      <rPr>
        <sz val="9"/>
        <rFont val="Arial"/>
        <family val="2"/>
      </rPr>
      <t>The impact on the allowed Return on Regulated Equity Base of departing from the notional gearing structure. Calculated as the allowed equity return (as defined in the paragraph above) on the actual regulatory equity base (average RCV less average actual Net Debt), expressed as a percentage of the notional regulatory equity base.</t>
    </r>
    <r>
      <rPr>
        <b/>
        <sz val="9"/>
        <rFont val="Arial"/>
        <family val="2"/>
      </rPr>
      <t xml:space="preserve">
Actual returns and actual regulatory equity
</t>
    </r>
    <r>
      <rPr>
        <sz val="9"/>
        <rFont val="Arial"/>
        <family val="2"/>
      </rPr>
      <t>The allowed equity return as set in the published Final Determination (contained in the ‘Companies populated risk assessment tools’ files, ‘RORE Tables’ tab). Companies should enter the value associated with the relevant reporting period.</t>
    </r>
  </si>
  <si>
    <t>This relates to the PR09 out / (under) performance adjustments, contained in the ‘companies populated PR14 financial models file’ (‘Input Real’ tab – ‘Post financeability adjustments’). The value for the reporting period should be divided by regulated equity, for the same period, and entered as a percentage.</t>
  </si>
  <si>
    <t>The sum of lines 1F.1 and 1F.2</t>
  </si>
  <si>
    <r>
      <rPr>
        <b/>
        <sz val="9"/>
        <rFont val="Arial"/>
        <family val="2"/>
      </rPr>
      <t xml:space="preserve">Notional returns and notional regulatory equity
</t>
    </r>
    <r>
      <rPr>
        <sz val="9"/>
        <rFont val="Arial"/>
        <family val="2"/>
      </rPr>
      <t xml:space="preserve">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notional regulatory equity</t>
    </r>
    <r>
      <rPr>
        <sz val="9"/>
        <rFont val="Arial"/>
        <family val="2"/>
      </rPr>
      <t xml:space="preserve">
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actual regulatory equity</t>
    </r>
    <r>
      <rPr>
        <sz val="9"/>
        <rFont val="Arial"/>
        <family val="2"/>
      </rPr>
      <t xml:space="preserve">
Calculated as the average of the opening and closing values (NB:do not use the ‘average’ value stated in the report) for regulatory capital value (RCV) for the period, (as reported in Ofwat’s publication ‘Regulatory capital values) less average gearing (using the opening and closing balances, for the reporting period, unless the company considers that a weighted average is more accurate in which case a narrative explanation must be provided) as reported in table 1E.</t>
    </r>
  </si>
  <si>
    <r>
      <t xml:space="preserve">The impact of having a different gearing structure to that assumed in the notional company structure. Calculated by:
a) the difference in the notional gearing ratio (62.5%) and actual average gearing (using the opening and closing balances, for the reporting period, unless the company considers that a weighted average is more accurate, in which case a narrative explanation must be provided) as reported in table 1E (Net Debt)
b) the difference between the allowed return on regulatory equity -base and the allowed cost of debt as set in the Final Determination
c) multiplying a) x b)
d) multiplying c) by the average RCV
</t>
    </r>
    <r>
      <rPr>
        <b/>
        <sz val="9"/>
        <rFont val="Arial"/>
        <family val="2"/>
      </rPr>
      <t>Note: no adjustment should be made for corporation tax</t>
    </r>
  </si>
  <si>
    <t>The difference between the amount allowed for corporation tax as published in the Final Determination less:
• tax payable at the standard rate of corporation tax on the profit /(loss) on appointed activities only, before any fair value adjustments.
• plus or minus any adjustment for accelerated or deferred capital allowances
• plus or minus any amounts for prior year adjustments</t>
  </si>
  <si>
    <t>The amount of group relief utilised in calculating the amount of corporation payable minus any amounts paid by way of compensation for the transfer, of the group relief, from the parent or affiliated undertaking.</t>
  </si>
  <si>
    <r>
      <t xml:space="preserve">Calculated as;
The Cost of Debt (unadjusted for Hedging Instruments)1
LESS Line 1F.7
</t>
    </r>
    <r>
      <rPr>
        <b/>
        <sz val="9"/>
        <rFont val="Arial"/>
        <family val="2"/>
      </rPr>
      <t>Actual returns and notional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(calculated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notional gearing ratio (62.5%)
f) Adjusted for Corporation Tax (at the standard rate)
</t>
    </r>
    <r>
      <rPr>
        <b/>
        <sz val="9"/>
        <rFont val="Arial"/>
        <family val="2"/>
      </rPr>
      <t>Actual returns and actual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actual average gearing ratio (calculated using the opening and closing balance for the reporting period, unless the company considers that a weighted average is more appropriate in which case a narrative explanation must be provided)
f) Adjusted for Corporation Tax (at the standard rate)
</t>
    </r>
  </si>
  <si>
    <t>The impact of hedging instruments on the actual cost of debt. This figure is calculated by the company.</t>
  </si>
  <si>
    <t>The sum of lines 1F.5 to line 1F.9</t>
  </si>
  <si>
    <r>
      <t xml:space="preserve">The difference between the actual totex performance versus the amount allowed in the published Final Determination, for the reporting period, adjusted for the following:
• Timing differences
• Company sharing ratio with customers
</t>
    </r>
    <r>
      <rPr>
        <b/>
        <sz val="9"/>
        <rFont val="Arial"/>
        <family val="2"/>
      </rPr>
      <t>No adjustment should be made for corporation tax</t>
    </r>
  </si>
  <si>
    <r>
      <t xml:space="preserve">The ODI out / under performance as reported in table 3A, for the in-period and notional outperformance payments and underperformance payments relating to the reporting period only. (Note the value in table 3A is already reported in 2012-13 prices so no further conversion is required)
</t>
    </r>
    <r>
      <rPr>
        <b/>
        <sz val="9"/>
        <rFont val="Arial"/>
        <family val="2"/>
      </rPr>
      <t>No adjustment should be made for corporation tax</t>
    </r>
  </si>
  <si>
    <r>
      <t xml:space="preserve">The difference between the allowance for retail operating costs, excluding margin, for Household and Non-Household in the Final Determination compared to the actual costs as reported in table 2C – Operating cost analysis – retail.
The allowance for Household retail costs is as per the published Final Determination.
The allowance for Non-Household retail costs is as set out in the ‘Non-Household populated retail model’
</t>
    </r>
    <r>
      <rPr>
        <b/>
        <sz val="9"/>
        <rFont val="Arial"/>
        <family val="2"/>
      </rPr>
      <t>No adjustment should be made for corporation tax</t>
    </r>
  </si>
  <si>
    <t>The sum of lines 1F.11 to line 1F.13</t>
  </si>
  <si>
    <t>The sum of lines 1F.10 and line 1F.14</t>
  </si>
  <si>
    <t>The movement in the average RPI for the reporting period i.e. as reported in the Regulatory capital values spreadsheet</t>
  </si>
  <si>
    <t>The sum of line 1F.15 plus line 1F.16</t>
  </si>
  <si>
    <t>Copied from line 1F.23.</t>
  </si>
  <si>
    <t>Line 1F.18 minus line 1F.19</t>
  </si>
  <si>
    <t>The total amount of dividends paid during the period for the appointee business only.</t>
  </si>
  <si>
    <t>The total amount of interest income received on inter-company loans (as included in the P&amp;L Account)</t>
  </si>
  <si>
    <t>Line 1F.20 minus line 1F.21</t>
  </si>
  <si>
    <t>2A - Segmental income statement</t>
  </si>
  <si>
    <t>Retail</t>
  </si>
  <si>
    <t>Wholesale</t>
  </si>
  <si>
    <t>Other validations calcs</t>
  </si>
  <si>
    <t>Household</t>
  </si>
  <si>
    <t>Non-Household</t>
  </si>
  <si>
    <t>Water resources</t>
  </si>
  <si>
    <t>Water Network+</t>
  </si>
  <si>
    <t>Water Total</t>
  </si>
  <si>
    <t>Waste water Network+</t>
  </si>
  <si>
    <t>Sludge</t>
  </si>
  <si>
    <t>Wastewater total</t>
  </si>
  <si>
    <t>TTT</t>
  </si>
  <si>
    <t>2A.1</t>
  </si>
  <si>
    <t>Revenue - price control</t>
  </si>
  <si>
    <t xml:space="preserve">Retail household column should be equal to line 2I.13 (household column). </t>
  </si>
  <si>
    <t xml:space="preserve">Retail non-household column should be equal to line 2I.13 (non-household column). </t>
  </si>
  <si>
    <t xml:space="preserve">Wholesale Water column should be equal to line 2I.4. </t>
  </si>
  <si>
    <t xml:space="preserve">Wholesale Wastewater column should be equal to line 2I.8. </t>
  </si>
  <si>
    <t xml:space="preserve">Wholesale TTT column should be equal to TTT line 2I.8. </t>
  </si>
  <si>
    <t>A19016RHPC</t>
  </si>
  <si>
    <t>A19016RNHPC</t>
  </si>
  <si>
    <t>A19030WNPC</t>
  </si>
  <si>
    <t>A19030WWPC</t>
  </si>
  <si>
    <t>A19030WNKPC</t>
  </si>
  <si>
    <t>A19030TASPC</t>
  </si>
  <si>
    <t>A19030TTTPC</t>
  </si>
  <si>
    <t>A1931PC</t>
  </si>
  <si>
    <t>2A.2</t>
  </si>
  <si>
    <t>Revenue - non price control</t>
  </si>
  <si>
    <t>The total of lines 2A.1 and 2A.2 should equal line 1A.1.</t>
  </si>
  <si>
    <t>A19016RHNPC</t>
  </si>
  <si>
    <t>A19016RNHNPC</t>
  </si>
  <si>
    <t>A19030WNNPC</t>
  </si>
  <si>
    <t>A19030WWNPC</t>
  </si>
  <si>
    <t>A19030WNKNPC</t>
  </si>
  <si>
    <t>A19030TASNPC</t>
  </si>
  <si>
    <t>A19030TTTNPC</t>
  </si>
  <si>
    <t>A1931NPC</t>
  </si>
  <si>
    <t>2A.3</t>
  </si>
  <si>
    <t>Operating expenditure</t>
  </si>
  <si>
    <t>The total of lines 2A.3, 2A.4 and 2A.5 should equal line 1A.2.</t>
  </si>
  <si>
    <t>BM9023H</t>
  </si>
  <si>
    <t>BM9223NH</t>
  </si>
  <si>
    <t>BM352WR</t>
  </si>
  <si>
    <t>BM352WN</t>
  </si>
  <si>
    <t>BM352TAS</t>
  </si>
  <si>
    <t>BM852WNK</t>
  </si>
  <si>
    <t>BM852SL</t>
  </si>
  <si>
    <t>BM852TAS</t>
  </si>
  <si>
    <t>BM852TTT</t>
  </si>
  <si>
    <t>BM952TAS</t>
  </si>
  <si>
    <t>2A.4</t>
  </si>
  <si>
    <t>Depreciation - tangible fixed assets</t>
  </si>
  <si>
    <t>The total of line 2A.4 should equal line 2D.8.</t>
  </si>
  <si>
    <t>BM212TAS</t>
  </si>
  <si>
    <t>BM812TAS</t>
  </si>
  <si>
    <t>BM4046STTT</t>
  </si>
  <si>
    <t>BM912TAS</t>
  </si>
  <si>
    <t>2A.5</t>
  </si>
  <si>
    <t>Amortisation - intangible fixed assets</t>
  </si>
  <si>
    <t>BM9027H</t>
  </si>
  <si>
    <t>BM9027NH</t>
  </si>
  <si>
    <t>BM320WR</t>
  </si>
  <si>
    <t>BM320WN</t>
  </si>
  <si>
    <t>BM320TAS</t>
  </si>
  <si>
    <t>BM820WNK</t>
  </si>
  <si>
    <t>BM820SL</t>
  </si>
  <si>
    <t>BM820TAS</t>
  </si>
  <si>
    <t>BM820TTT</t>
  </si>
  <si>
    <t>BM920TAS</t>
  </si>
  <si>
    <t>2A.6</t>
  </si>
  <si>
    <t>The total of line 2A.6 should equal line 1A.3.</t>
  </si>
  <si>
    <t>A19015RH</t>
  </si>
  <si>
    <t>A19015RNH</t>
  </si>
  <si>
    <t>A19015WR</t>
  </si>
  <si>
    <t>A19015WN</t>
  </si>
  <si>
    <t>A19015WSW</t>
  </si>
  <si>
    <t>A19015WNK</t>
  </si>
  <si>
    <t>A19015SL</t>
  </si>
  <si>
    <t>A19015TAS</t>
  </si>
  <si>
    <t>A19015TTT</t>
  </si>
  <si>
    <t>A19015CTOT</t>
  </si>
  <si>
    <t>2A.7</t>
  </si>
  <si>
    <t>Operating profit before recharges</t>
  </si>
  <si>
    <t>BO2010RH</t>
  </si>
  <si>
    <t>BO2010RNH</t>
  </si>
  <si>
    <t>BO2010WW</t>
  </si>
  <si>
    <t>BO2010TAS</t>
  </si>
  <si>
    <t>BO2010TTT</t>
  </si>
  <si>
    <t>BO2010CTOT</t>
  </si>
  <si>
    <t>Recharges in respect of 'principal use' assets</t>
  </si>
  <si>
    <t>2A.8</t>
  </si>
  <si>
    <t>Recharges from other segments</t>
  </si>
  <si>
    <t>BM9037</t>
  </si>
  <si>
    <t>BM9337</t>
  </si>
  <si>
    <t>BM338WR</t>
  </si>
  <si>
    <t>BM338WN</t>
  </si>
  <si>
    <t>BM338TAS</t>
  </si>
  <si>
    <t>BM838WNK</t>
  </si>
  <si>
    <t>BM838SL</t>
  </si>
  <si>
    <t>BM838TAS</t>
  </si>
  <si>
    <t>BM838TTT</t>
  </si>
  <si>
    <t>BM938CTOT</t>
  </si>
  <si>
    <t>2A.9</t>
  </si>
  <si>
    <t>Recharges to other segments</t>
  </si>
  <si>
    <t>BM9036</t>
  </si>
  <si>
    <t>BM9336</t>
  </si>
  <si>
    <t>BM337WR</t>
  </si>
  <si>
    <t>BM337WN</t>
  </si>
  <si>
    <t>BM337TAS</t>
  </si>
  <si>
    <t>BM837WNK</t>
  </si>
  <si>
    <t>BM837SL</t>
  </si>
  <si>
    <t>BM837TAS</t>
  </si>
  <si>
    <t>BM837TTT</t>
  </si>
  <si>
    <t>BM937CTOT</t>
  </si>
  <si>
    <t>2A.10</t>
  </si>
  <si>
    <t>HP00030RH</t>
  </si>
  <si>
    <t>HP00030RNH</t>
  </si>
  <si>
    <t>HP00030WW</t>
  </si>
  <si>
    <t>HP00030WS</t>
  </si>
  <si>
    <t>HP00030TTT</t>
  </si>
  <si>
    <t>HP00030CTOT</t>
  </si>
  <si>
    <t>2A.11</t>
  </si>
  <si>
    <t>Surface water drainage rebates</t>
  </si>
  <si>
    <t>BR75033</t>
  </si>
  <si>
    <t xml:space="preserve">Total revenue covered by the price control split over the price controls units. Retail household column should be equal to table 2I line 13 (household column). Retail non-household column should be equal to table 2I line 13 (non-household column). Wholesale Water column should be equal to table 2I line 4. Wholesale Wastewater column should be equal to table 2I line 8.
</t>
  </si>
  <si>
    <t>Other revenue from appointed activities, not covered by the price control recorded under each price control unit (see RAG 4.06 appendix 1). The total of table 2A line 1 and table 2A line 2 should equal table 1A line 1.</t>
  </si>
  <si>
    <t>Operating expenditure split over the price controls units. Will agree to table 2B line 11 and table 2C line 9 [wholesale and retail respectively]. The total of table 2A line 3, table 2A line 4 and table 2A line 5 should reconcile to table 1A line 2.</t>
  </si>
  <si>
    <t>Depreciation of tangible fixed assets. Will agree to table 2D line 10. The total of table 2A line 3, table 2A line 4 and table 2A line 5 should reconcile to table 1A line 2.</t>
  </si>
  <si>
    <t>Amortisation of intangible fixed assets. The total of table 2A line 3, table 2A line 4 and table  2A line 5 should reconcile to table 1A line 2.</t>
  </si>
  <si>
    <t>Other operating income split over the price controls units. Total should reconcile to table 1A line 3.</t>
  </si>
  <si>
    <t>Operating profit before principal use recharges. The sum of table 2A lines 1 to 6.</t>
  </si>
  <si>
    <t>Recharges made from other price controls units (PCUs) for the shared use of fixed assets which are recorded in another PCU under the principal use rule. Input as a negative number.</t>
  </si>
  <si>
    <t>Recharges made to other PCUs for the shared use of fixed assets by the ‘owning’ PCU under the principal use rule. Input as a positive number.</t>
  </si>
  <si>
    <t>Sum of table 2A lines 7 to 9.</t>
  </si>
  <si>
    <t>Total value of surface water drainage rebates paid or credited to customers’ accounts in the year where the customer has challenged the proportion of their site that is connected for surface water.</t>
  </si>
  <si>
    <t>2B - Totex analysis - wholesale water and wastewater</t>
  </si>
  <si>
    <t>Water Resources</t>
  </si>
  <si>
    <t>Wastewater Network+</t>
  </si>
  <si>
    <t>2B.1</t>
  </si>
  <si>
    <t>Power</t>
  </si>
  <si>
    <t>BM102WR</t>
  </si>
  <si>
    <t>BM102WN</t>
  </si>
  <si>
    <t>BM802WNK</t>
  </si>
  <si>
    <t>BM802SG</t>
  </si>
  <si>
    <t>BM802TTT</t>
  </si>
  <si>
    <t>BM902TAS</t>
  </si>
  <si>
    <t>2B.2</t>
  </si>
  <si>
    <t>Income treated as negative expenditure</t>
  </si>
  <si>
    <t>BM336WR</t>
  </si>
  <si>
    <t>BM336WN</t>
  </si>
  <si>
    <t>BM836WNK</t>
  </si>
  <si>
    <t>BM836SG</t>
  </si>
  <si>
    <t>BM836TTT</t>
  </si>
  <si>
    <t>BM936TAS</t>
  </si>
  <si>
    <t>2B.3</t>
  </si>
  <si>
    <t>Abstraction charges/ discharge consents</t>
  </si>
  <si>
    <t>BM131WR</t>
  </si>
  <si>
    <t>BM131WN</t>
  </si>
  <si>
    <t>BM831WNK</t>
  </si>
  <si>
    <t>BM831SG</t>
  </si>
  <si>
    <t>BM831TTT</t>
  </si>
  <si>
    <t>BM931TAS</t>
  </si>
  <si>
    <t>2B.4</t>
  </si>
  <si>
    <t>Bulk supply/ Bulk discharge</t>
  </si>
  <si>
    <t>BM140WR</t>
  </si>
  <si>
    <t>BM140WN</t>
  </si>
  <si>
    <t>BM140WNK</t>
  </si>
  <si>
    <t>BM140SG</t>
  </si>
  <si>
    <t>BM140TTT</t>
  </si>
  <si>
    <t>BM943TAS</t>
  </si>
  <si>
    <t>2B.5</t>
  </si>
  <si>
    <t>Other operating expenditure - renewals expensed in year (Infrastructure)</t>
  </si>
  <si>
    <t>BM339WRIR</t>
  </si>
  <si>
    <t>BM339WNIR</t>
  </si>
  <si>
    <t>BM839WNKIR</t>
  </si>
  <si>
    <t>BM839SGIR</t>
  </si>
  <si>
    <t>BM839TTTIR</t>
  </si>
  <si>
    <t>BM939TASIR</t>
  </si>
  <si>
    <t>2B.6</t>
  </si>
  <si>
    <t>Other operating expenditure - renewals expensed in year (Non-Infrastructure)</t>
  </si>
  <si>
    <t>BM339WRNIR</t>
  </si>
  <si>
    <t>BM339WNNIR</t>
  </si>
  <si>
    <t>BM839WNKNIR</t>
  </si>
  <si>
    <t>BM839SGNIR</t>
  </si>
  <si>
    <t>BM839TTTNIR</t>
  </si>
  <si>
    <t>BM939TASNIR</t>
  </si>
  <si>
    <t>2B.7</t>
  </si>
  <si>
    <t>Other operating expenditure - excluding renewals</t>
  </si>
  <si>
    <t>BM339WRER</t>
  </si>
  <si>
    <t>BM339WNER</t>
  </si>
  <si>
    <t>BM839WNKER</t>
  </si>
  <si>
    <t>BM839SGER</t>
  </si>
  <si>
    <t>BM839TTTER</t>
  </si>
  <si>
    <t>BM939TASER</t>
  </si>
  <si>
    <t>2B.8</t>
  </si>
  <si>
    <t>Local authority and Cumulo rates</t>
  </si>
  <si>
    <t>BM317WR</t>
  </si>
  <si>
    <t>BM317WN</t>
  </si>
  <si>
    <t>BM817WNK</t>
  </si>
  <si>
    <t>BM817SG</t>
  </si>
  <si>
    <t>BM817TTT</t>
  </si>
  <si>
    <t>BM917TAS</t>
  </si>
  <si>
    <t>2B.9</t>
  </si>
  <si>
    <t>Total operating expenditure excluding third party services</t>
  </si>
  <si>
    <t>BM319WR</t>
  </si>
  <si>
    <t>BM319WN</t>
  </si>
  <si>
    <t>BM844WNK</t>
  </si>
  <si>
    <t>BM844SG</t>
  </si>
  <si>
    <t>BM844TTT</t>
  </si>
  <si>
    <t>BM950TAS</t>
  </si>
  <si>
    <t>2B.10</t>
  </si>
  <si>
    <t>Third party services</t>
  </si>
  <si>
    <t>BM323WR</t>
  </si>
  <si>
    <t>BM323WN</t>
  </si>
  <si>
    <t>BM823WNK</t>
  </si>
  <si>
    <t>BM823SG</t>
  </si>
  <si>
    <t>BM823TTT</t>
  </si>
  <si>
    <t>BM923TAS</t>
  </si>
  <si>
    <t>2B.11</t>
  </si>
  <si>
    <t>Total operating expenditure</t>
  </si>
  <si>
    <t>BM351WR</t>
  </si>
  <si>
    <t>BM351WN</t>
  </si>
  <si>
    <t>BM850WNK</t>
  </si>
  <si>
    <t>BM850SG</t>
  </si>
  <si>
    <t>BM850TTT</t>
  </si>
  <si>
    <t>BM951TAS</t>
  </si>
  <si>
    <t>Capital Expenditure</t>
  </si>
  <si>
    <t>2B.12</t>
  </si>
  <si>
    <t>Maintaining the long term capability of the assets - infra</t>
  </si>
  <si>
    <t>BC30445WR</t>
  </si>
  <si>
    <t>BC30445WN</t>
  </si>
  <si>
    <t>BC30945WNK</t>
  </si>
  <si>
    <t>BC30945SG</t>
  </si>
  <si>
    <t>BC30945TTT</t>
  </si>
  <si>
    <t>BC30448</t>
  </si>
  <si>
    <t>2B.13</t>
  </si>
  <si>
    <t>Maintaining the long term capability of the assets - non- infra</t>
  </si>
  <si>
    <t>CW00036WR</t>
  </si>
  <si>
    <t>CW00036WN</t>
  </si>
  <si>
    <t>CS00036WNK</t>
  </si>
  <si>
    <t>CS00036SG</t>
  </si>
  <si>
    <t>CS00036TTT</t>
  </si>
  <si>
    <t>CT00036</t>
  </si>
  <si>
    <t>2B.14</t>
  </si>
  <si>
    <t>Other capital expenditure - infra</t>
  </si>
  <si>
    <t>BC30444WR</t>
  </si>
  <si>
    <t>BC30444WN</t>
  </si>
  <si>
    <t>BC30944WNK</t>
  </si>
  <si>
    <t>BC30944SG</t>
  </si>
  <si>
    <t>BA2051TTT</t>
  </si>
  <si>
    <t>BA2053</t>
  </si>
  <si>
    <t>2B.15</t>
  </si>
  <si>
    <t>Other capital expenditure - non-infra</t>
  </si>
  <si>
    <t>CW00037WR</t>
  </si>
  <si>
    <t>CW00037WN</t>
  </si>
  <si>
    <t>CS00037WNK</t>
  </si>
  <si>
    <t>CS00037SG</t>
  </si>
  <si>
    <t>BA2061TTT</t>
  </si>
  <si>
    <t>BA2063</t>
  </si>
  <si>
    <t>2B.16</t>
  </si>
  <si>
    <t>Infrastructure network reinforcement</t>
  </si>
  <si>
    <t>BC30449WR</t>
  </si>
  <si>
    <t>BC30449WN</t>
  </si>
  <si>
    <t>BC30849WNK</t>
  </si>
  <si>
    <t>BC30849SG</t>
  </si>
  <si>
    <t>BC30849TTT</t>
  </si>
  <si>
    <t>BC30949</t>
  </si>
  <si>
    <t>2B.17</t>
  </si>
  <si>
    <t>Total gross capital expenditure excluding third party services</t>
  </si>
  <si>
    <t>BC30498WR</t>
  </si>
  <si>
    <t>BC30498WN</t>
  </si>
  <si>
    <t>BC30998WNK</t>
  </si>
  <si>
    <t>BC30998SG</t>
  </si>
  <si>
    <t>BM815TTT</t>
  </si>
  <si>
    <t>BM916</t>
  </si>
  <si>
    <t>2B.18</t>
  </si>
  <si>
    <t>BM333WR</t>
  </si>
  <si>
    <t>BM333WN</t>
  </si>
  <si>
    <t>BM833WNK</t>
  </si>
  <si>
    <t>BM833SG</t>
  </si>
  <si>
    <t>BM833TTT</t>
  </si>
  <si>
    <t>BM923CET</t>
  </si>
  <si>
    <t>2B.19</t>
  </si>
  <si>
    <t>Total gross capital expenditure</t>
  </si>
  <si>
    <t>BA1070WR</t>
  </si>
  <si>
    <t>BA1070WN</t>
  </si>
  <si>
    <t>BA2120WNK</t>
  </si>
  <si>
    <t>BA2120SG</t>
  </si>
  <si>
    <t>BA2120TTT</t>
  </si>
  <si>
    <t>BA3000</t>
  </si>
  <si>
    <t>Grants and contributions</t>
  </si>
  <si>
    <t>2B.20</t>
  </si>
  <si>
    <t>The total of line 2B.20 should be equal to the sum of lines 2E.7 for water, 2E.14 for wastewater and 2E.14 for TTT.</t>
  </si>
  <si>
    <t>BA1071WR</t>
  </si>
  <si>
    <t>BA1071WN</t>
  </si>
  <si>
    <t>BA2121WNK</t>
  </si>
  <si>
    <t>BA2121SG</t>
  </si>
  <si>
    <t>BA2090PCTTT</t>
  </si>
  <si>
    <t>BA3001</t>
  </si>
  <si>
    <t>2B.21</t>
  </si>
  <si>
    <t>Totex</t>
  </si>
  <si>
    <t>BM325WR</t>
  </si>
  <si>
    <t>BM325WN</t>
  </si>
  <si>
    <t>BM825WNK</t>
  </si>
  <si>
    <t>BM825SG</t>
  </si>
  <si>
    <t>S3039TTT</t>
  </si>
  <si>
    <t>T3039</t>
  </si>
  <si>
    <t>Cash Expenditure</t>
  </si>
  <si>
    <t>2B.22</t>
  </si>
  <si>
    <t>Pension deficit recovery payments</t>
  </si>
  <si>
    <t>CR00558WR</t>
  </si>
  <si>
    <t>CR00558WN</t>
  </si>
  <si>
    <t>CR00559WNK</t>
  </si>
  <si>
    <t>CR00559SG</t>
  </si>
  <si>
    <t>CR0559TTT</t>
  </si>
  <si>
    <t>CR00560</t>
  </si>
  <si>
    <t>2B.23</t>
  </si>
  <si>
    <t>Other cash items</t>
  </si>
  <si>
    <t>CR00561WR</t>
  </si>
  <si>
    <t>CR00561WN</t>
  </si>
  <si>
    <t>CR00562WNK</t>
  </si>
  <si>
    <t>CR00562SG</t>
  </si>
  <si>
    <t>CR00562TTT</t>
  </si>
  <si>
    <t>CR00563</t>
  </si>
  <si>
    <t>2B.24</t>
  </si>
  <si>
    <t>Totex including cash items</t>
  </si>
  <si>
    <t>W3026WR</t>
  </si>
  <si>
    <t>W3026WN</t>
  </si>
  <si>
    <t>S3040WNK</t>
  </si>
  <si>
    <t>S3040SG</t>
  </si>
  <si>
    <t>S3040TOTTTT</t>
  </si>
  <si>
    <t>CR00564</t>
  </si>
  <si>
    <t>All energy costs, including the climate change levy and the carbon reduction commitment. Any cost savings from power generated internally should be netted off these costs.</t>
  </si>
  <si>
    <t>Income received sales which are external to the appointed business and which directly relate to the water and wastewater processes. It should be input as a negative number. 
This will include;
Electricity sales from sources such as Hydro, PV, wind and CHP to external parties.
Electricity sales from back-up generators under the National Grid ‘STOR’, “frequency response” and “dynamic demand”. Bio-methane gas sales to the National Grid.
Sludge and sludge products such as cake, granules etc. to external parties.</t>
  </si>
  <si>
    <t>Total cost of service charges by the environment agency or canal and river trust for discharge consents.</t>
  </si>
  <si>
    <t>Total payments for bulk imports/exports. Where a company jointly owns a supply, the costs associated with it should not be reported here but in the appropriate cost line.</t>
  </si>
  <si>
    <t>Infrastructure renewals which are expensed rather than capitalised in the statutory accounts. ‘Renewals’ are generally planned activities to replace significant lengths of pipework or parts of an asset. These are targeted at improving network performance or solving ongoing problems and restores an asset to full capability.</t>
  </si>
  <si>
    <t>Non-infrastructure renewals which are expensed rather than capitalised in the statutory accounts. ‘Renewals’ are generally planned activities targeted at improving network performance or solving ongoing problems and restores an asset to full capability.</t>
  </si>
  <si>
    <t>Other operating costs not covered by table 2B lines 5 and 6.</t>
  </si>
  <si>
    <t>The cost of local authority rates. This should include both the local authority rates, cumulo rates and sewerage site rates (where appropriate).</t>
  </si>
  <si>
    <t>Total operating costs excluding third party services.   The sum of table 2B lines 1 to 8.</t>
  </si>
  <si>
    <t>Operating expenditure for providing third party services. E.g. Bulk supplies, supplies of non-potable water and rechargeable works where the appointee is a monopoly supplier.</t>
  </si>
  <si>
    <t>Total operating expenditure for the wholesale business only within each business category. The sum of table 2B lines 9 and 10. This should reconcile to table 2A line 3.</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</si>
  <si>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</si>
  <si>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</si>
  <si>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Any capital expenditure on infrastructure assets other than defined in table 2B line 12 or 16 excluding third party capex.</t>
  </si>
  <si>
    <t>Any capital expenditure on non-infrastructure assets other than defined in table 2B line 13 or 16 excluding third party capex.</t>
  </si>
  <si>
    <t>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</si>
  <si>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The sum of table 2B lines 12 to 16.</t>
  </si>
  <si>
    <t>Capital expenditure for providing third party services. E.g. Bulk supplies, supplies of non-potable water and rechargeable works where the appointee is a monopoly supplier.</t>
  </si>
  <si>
    <t>The sum of table 2B lines 17 and 18.</t>
  </si>
  <si>
    <t>All grants and contributions E.g. from connection charges, infrastructure charges, requisitions and other contributions. Adopted assets should not be included. Equal to table 2E line 7 for water and table 2E line 14 for wastewater.</t>
  </si>
  <si>
    <t>The sum of table 2B lines 11 and 19 minus 20.</t>
  </si>
  <si>
    <t>Actual pension deficit recovery payments including costs capitalised and any group recharges for pension deficit costs.</t>
  </si>
  <si>
    <t>Other cash items not included in totex.</t>
  </si>
  <si>
    <t>The sum of table 2B lines 21 to 23.</t>
  </si>
  <si>
    <t>2C - Operating cost analysis - retail</t>
  </si>
  <si>
    <t>Non-household</t>
  </si>
  <si>
    <t>2C.1</t>
  </si>
  <si>
    <t>Customer services</t>
  </si>
  <si>
    <t>BM9031</t>
  </si>
  <si>
    <t>BM9032</t>
  </si>
  <si>
    <t>2C.2</t>
  </si>
  <si>
    <t>Debt management</t>
  </si>
  <si>
    <t>BM9202</t>
  </si>
  <si>
    <t>BM9502</t>
  </si>
  <si>
    <t>2C.3</t>
  </si>
  <si>
    <t>Doubtful debts</t>
  </si>
  <si>
    <t>BM9203</t>
  </si>
  <si>
    <t>BM9503</t>
  </si>
  <si>
    <t>2C.4</t>
  </si>
  <si>
    <t>Meter reading</t>
  </si>
  <si>
    <t>BM9207</t>
  </si>
  <si>
    <t>BM9507</t>
  </si>
  <si>
    <t>2C.5</t>
  </si>
  <si>
    <t>Services to developers</t>
  </si>
  <si>
    <t>BM9230</t>
  </si>
  <si>
    <t>BM9530</t>
  </si>
  <si>
    <t>2C.6</t>
  </si>
  <si>
    <t>Other operating expenditure</t>
  </si>
  <si>
    <t>BM9034</t>
  </si>
  <si>
    <t>BM9035</t>
  </si>
  <si>
    <t>2C.7</t>
  </si>
  <si>
    <t>BM9221</t>
  </si>
  <si>
    <t>BM9521</t>
  </si>
  <si>
    <t>2C.8</t>
  </si>
  <si>
    <t>Third party services operating expenditure</t>
  </si>
  <si>
    <t>BM9222</t>
  </si>
  <si>
    <t>BM9522</t>
  </si>
  <si>
    <t>2C.9</t>
  </si>
  <si>
    <t>BM9223</t>
  </si>
  <si>
    <t>BM9523</t>
  </si>
  <si>
    <t>2C.10</t>
  </si>
  <si>
    <t>BM4290</t>
  </si>
  <si>
    <t>BM9225</t>
  </si>
  <si>
    <t>BM9525</t>
  </si>
  <si>
    <t>2C.11</t>
  </si>
  <si>
    <t>BM9027</t>
  </si>
  <si>
    <t>BM9227</t>
  </si>
  <si>
    <t>BM9527</t>
  </si>
  <si>
    <t>2C.12</t>
  </si>
  <si>
    <t>Total operating costs</t>
  </si>
  <si>
    <t>BM9229</t>
  </si>
  <si>
    <t>BM9529</t>
  </si>
  <si>
    <t>2C.13</t>
  </si>
  <si>
    <t>Debt written off</t>
  </si>
  <si>
    <t>BM9038</t>
  </si>
  <si>
    <t>BM9338</t>
  </si>
  <si>
    <t>BM9538</t>
  </si>
  <si>
    <t>The costs associated with providing the following services for the appointee’s household customers.
• Billing.
• Payment handling, remittance and cash handling.
• Charitable trust donations.
• Vulnerable customer schemes.
• Non-network customer enquiries and complaints.
• Network customer enquiries and complaints
• Investigatory visits (where the cause of the investigation is not a network issue)
Excludes customer services costs incurred in providing services to a third party’s customers (eg. where a WoC bills and collect payment on behalf of a WaSC).</t>
  </si>
  <si>
    <t>The costs associated with providing the following services for non-household customers.
• Billing.
• Payment handling, remittance and cash handling.
• Non-network customer enquiries and complaints.
• Network customer enquiries and complaints.
• Investigatory visits (where the cause of the investigation is not a network issue)</t>
  </si>
  <si>
    <t>1
2
3
4
5
6
7
8
9
10
11
12
13</t>
  </si>
  <si>
    <t>All costs relating to the management of debt recovery for the appointee’s 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Excludes costs incurred relating to the management of debt recovery for a third party’s customers (eg. where a WoC manages debt on behalf of a WaSC).</t>
  </si>
  <si>
    <t>All costs relating to the management of debt recovery for non-household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including notification of disconnections to non-household customers.</t>
  </si>
  <si>
    <t xml:space="preserve">The charge for bad and doubtful debts for household customers.
This should include only the appointee’s doubtful debts and not doubtful debts relating to a third party. </t>
  </si>
  <si>
    <t xml:space="preserve">The charge for bad and doubtful debts for non-household customers.
This should include only the appointee’s doubtful debts and not doubtful debts relating to a third party.
</t>
  </si>
  <si>
    <t>Costs associated with meter reading for 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</si>
  <si>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Costs associated with meter reading for non-household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</si>
  <si>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Not applicable for household.</t>
  </si>
  <si>
    <t>The operating costs of providing services to developers, to include:
• provide developer information – deal with questions from developers where physical aspects of infrastructure are required to change, investigate and advise on implications;
• provide connections for developers –including project management, contracting with third parties; and
• administration for new connections.</t>
  </si>
  <si>
    <t>1
2
3
4
5
6
7</t>
  </si>
  <si>
    <t>Any other operating costs (ie, excluding interest and taxation) incurred serving household customers, on an aggregated basis.
Include the costs of (among other costs):
• provision of offices;
• insurance premiums;
• net retail expenditure on demand-side water efficiency initiatives;
• net retail expenditure on customer side leaks;
• other direct costs;
• general and support expenditure;
• local authority rates; and
• other business activities.</t>
  </si>
  <si>
    <t>Any other operating costs (ie, excluding interest and taxation) incurred serving non-household customers, on an aggregated basis.
Include the costs of (among other costs):
• provision of offices;
• insurance premiums;
• disconnections;
• demand-side water efficiency initiatives;
• customer side leaks;
• other direct costs;
• general and support expenditure;
• local authority rates; and
• other business activities.</t>
  </si>
  <si>
    <t>1
2
3
4
5
6
7
8
9
10
11
12</t>
  </si>
  <si>
    <t>The sum of table 2C lines 1 to 6.</t>
  </si>
  <si>
    <t>The operating costs of providing appointed household retail services to third parties.</t>
  </si>
  <si>
    <t>The operating costs of providing appointed non-household retail services to third parties.</t>
  </si>
  <si>
    <t>Total operating expenditure for households within the retail business only.
The sum of table 2C lines 7 and 8.</t>
  </si>
  <si>
    <t xml:space="preserve">Total operating expenditure for non-households within the retail business only.
The sum of table 2C lines 7 and 8.
</t>
  </si>
  <si>
    <t>Depreciation on tangible assets used wholly or principally for the household retail business.</t>
  </si>
  <si>
    <t>Depreciation on tangible assets used wholly or principally for the non-household retail business.</t>
  </si>
  <si>
    <t>Amortisation of intangible assets used wholly or principally for the household retail business.</t>
  </si>
  <si>
    <t>Amortisation of intangible assets used wholly or principally for the non-household retail business.</t>
  </si>
  <si>
    <t>Total operating costs in respect of the household retail business. 
The sum of table 2C lines 9 to 11.</t>
  </si>
  <si>
    <t xml:space="preserve">Total operating expenditure in respect of the non-household retail business. 
The sum of table 2C lines 9 to 11.
</t>
  </si>
  <si>
    <t>Water and/ or sewerage outstanding debts that have been written off for the appointee’s household customers in the report year, net of collections of previously written off debt.  
Write-offs in relation to court or other debt recovery costs should not be included.</t>
  </si>
  <si>
    <t xml:space="preserve">Water and/ or sewerage outstanding debts that have been written off for non-household customers in the report year, net of collections of previously written off debt.  
Write-offs in relation to court or other debt recovery costs should not be included.
</t>
  </si>
  <si>
    <t>1
2
3
4
5</t>
  </si>
  <si>
    <t>2D - Historic cost analysis of fixed assets - wholesale &amp; retail</t>
  </si>
  <si>
    <t>Total depreciation charge should agree to line 2D.10.</t>
  </si>
  <si>
    <t>Cost</t>
  </si>
  <si>
    <t>2D.1</t>
  </si>
  <si>
    <t>At 1 April 2019</t>
  </si>
  <si>
    <t>BM4012WR</t>
  </si>
  <si>
    <t>BM4012WN</t>
  </si>
  <si>
    <t>BM4012WNK</t>
  </si>
  <si>
    <t>BM4012SG</t>
  </si>
  <si>
    <t>BM4012STTT</t>
  </si>
  <si>
    <t>BM4012H</t>
  </si>
  <si>
    <t>BM4012NH</t>
  </si>
  <si>
    <t>BM4012CTOT</t>
  </si>
  <si>
    <t>2D.2</t>
  </si>
  <si>
    <t>Disposals</t>
  </si>
  <si>
    <t>BM4016WR</t>
  </si>
  <si>
    <t>BM4016WN</t>
  </si>
  <si>
    <t>BM4016WNK</t>
  </si>
  <si>
    <t>BM4016SG</t>
  </si>
  <si>
    <t>BM4016STTT</t>
  </si>
  <si>
    <t>BM4016H</t>
  </si>
  <si>
    <t>BM4016NH</t>
  </si>
  <si>
    <t>BM4016CTOT</t>
  </si>
  <si>
    <t>2D.3</t>
  </si>
  <si>
    <t>Additions</t>
  </si>
  <si>
    <t>BM4017WR</t>
  </si>
  <si>
    <t>BM4017WN</t>
  </si>
  <si>
    <t>BM4017WNK</t>
  </si>
  <si>
    <t>BM4017SG</t>
  </si>
  <si>
    <t>BM4017STTT</t>
  </si>
  <si>
    <t>BM4017H</t>
  </si>
  <si>
    <t>BM4017NH</t>
  </si>
  <si>
    <t>BM4017CTOT</t>
  </si>
  <si>
    <t>2D.4</t>
  </si>
  <si>
    <t>BM4021WR</t>
  </si>
  <si>
    <t>BM4021WN</t>
  </si>
  <si>
    <t>BM4021WNK</t>
  </si>
  <si>
    <t>BM4021SG</t>
  </si>
  <si>
    <t>BM4021STTT</t>
  </si>
  <si>
    <t>BM4021H</t>
  </si>
  <si>
    <t>BM4021NH</t>
  </si>
  <si>
    <t>BM4021CTOT</t>
  </si>
  <si>
    <t>2D.5</t>
  </si>
  <si>
    <t>Assets adopted at nil cost</t>
  </si>
  <si>
    <t>BM4019WR</t>
  </si>
  <si>
    <t>BM4019WN</t>
  </si>
  <si>
    <t>BM4019WNK</t>
  </si>
  <si>
    <t>BM4019SG</t>
  </si>
  <si>
    <t>BM4019STTT</t>
  </si>
  <si>
    <t>BM4019H</t>
  </si>
  <si>
    <t>BM4019NH</t>
  </si>
  <si>
    <t>BM4019CTOT</t>
  </si>
  <si>
    <t>2D.6</t>
  </si>
  <si>
    <t>At 31 March 2020</t>
  </si>
  <si>
    <t>BM4018WR</t>
  </si>
  <si>
    <t>BM4018WN</t>
  </si>
  <si>
    <t>BM4018WNK</t>
  </si>
  <si>
    <t>BM4018SG</t>
  </si>
  <si>
    <t>BM4018STTT</t>
  </si>
  <si>
    <t>BM4018H</t>
  </si>
  <si>
    <t>BM4018NH</t>
  </si>
  <si>
    <t>BM4018CTOT</t>
  </si>
  <si>
    <t>2D.7</t>
  </si>
  <si>
    <t>BM4041WR</t>
  </si>
  <si>
    <t>BM4041WN</t>
  </si>
  <si>
    <t>BM4041WNK</t>
  </si>
  <si>
    <t>BM4041SG</t>
  </si>
  <si>
    <t>BM4041STTT</t>
  </si>
  <si>
    <t>BM4041H</t>
  </si>
  <si>
    <t>BM4041NH</t>
  </si>
  <si>
    <t>BM041CTOT</t>
  </si>
  <si>
    <t>2D.8</t>
  </si>
  <si>
    <t>BM4045WR</t>
  </si>
  <si>
    <t>BM4045WN</t>
  </si>
  <si>
    <t>BM4045WNK</t>
  </si>
  <si>
    <t>BM4045SG</t>
  </si>
  <si>
    <t>BM4045STTT</t>
  </si>
  <si>
    <t>BM4045H</t>
  </si>
  <si>
    <t>BM4045NH</t>
  </si>
  <si>
    <t>BM4045CTOT</t>
  </si>
  <si>
    <t>2D.9</t>
  </si>
  <si>
    <t>BM4053WR</t>
  </si>
  <si>
    <t>BM4053WN</t>
  </si>
  <si>
    <t>BM4053WWNK</t>
  </si>
  <si>
    <t>BM4053SG</t>
  </si>
  <si>
    <t>BM4053STTT</t>
  </si>
  <si>
    <t>BM4053H</t>
  </si>
  <si>
    <t>BM4053NH</t>
  </si>
  <si>
    <t>BM4053TOT</t>
  </si>
  <si>
    <t>2D.10</t>
  </si>
  <si>
    <t>Charge for the year</t>
  </si>
  <si>
    <t>BM4046WR</t>
  </si>
  <si>
    <t>BM4046WN</t>
  </si>
  <si>
    <t>BM4046WNK</t>
  </si>
  <si>
    <t>BM4046SG</t>
  </si>
  <si>
    <t>BM4046H</t>
  </si>
  <si>
    <t>BM4046NH</t>
  </si>
  <si>
    <t>BM4046CTOT</t>
  </si>
  <si>
    <t>2D.11</t>
  </si>
  <si>
    <t>BM4047WR</t>
  </si>
  <si>
    <t>BM4047WN</t>
  </si>
  <si>
    <t>BM4047WNK</t>
  </si>
  <si>
    <t>BM4047SG</t>
  </si>
  <si>
    <t>BM4047STTT</t>
  </si>
  <si>
    <t>BM4047H</t>
  </si>
  <si>
    <t>BM4047NH</t>
  </si>
  <si>
    <t>BM4047CTOT</t>
  </si>
  <si>
    <t>2D.12</t>
  </si>
  <si>
    <t>Net book amount at 31 March 2020</t>
  </si>
  <si>
    <t>BM4048WR</t>
  </si>
  <si>
    <t>BM4048WN</t>
  </si>
  <si>
    <t>BM4048WNK</t>
  </si>
  <si>
    <t>BM4048SG</t>
  </si>
  <si>
    <t>BM4048STTT</t>
  </si>
  <si>
    <t>BM4048H</t>
  </si>
  <si>
    <t>BM4048NH</t>
  </si>
  <si>
    <t>BM4048CTOT</t>
  </si>
  <si>
    <t>2D.13</t>
  </si>
  <si>
    <t>Net book amount at 1 April 2019</t>
  </si>
  <si>
    <t>BM4049WR</t>
  </si>
  <si>
    <t>BM4049WN</t>
  </si>
  <si>
    <t>BM4049WNK</t>
  </si>
  <si>
    <t>BM4049SG</t>
  </si>
  <si>
    <t>BM4049STTT</t>
  </si>
  <si>
    <t>BM4049H</t>
  </si>
  <si>
    <t>BM4049NH</t>
  </si>
  <si>
    <t>BM4049CTOT</t>
  </si>
  <si>
    <t>Depreciation charge for year</t>
  </si>
  <si>
    <t>2D.14</t>
  </si>
  <si>
    <t>Principal services</t>
  </si>
  <si>
    <t>BM4051WR</t>
  </si>
  <si>
    <t>BM4051WN</t>
  </si>
  <si>
    <t>BM4051WNK</t>
  </si>
  <si>
    <t>BM4051SG</t>
  </si>
  <si>
    <t>BM4051STTT</t>
  </si>
  <si>
    <t>BM4051H</t>
  </si>
  <si>
    <t>BM4051NH</t>
  </si>
  <si>
    <t>BM4051CTOT</t>
  </si>
  <si>
    <t>2D.15</t>
  </si>
  <si>
    <t>BM334WR</t>
  </si>
  <si>
    <t>BM334WN</t>
  </si>
  <si>
    <t>BM334WNK</t>
  </si>
  <si>
    <t>BM334SG</t>
  </si>
  <si>
    <t>BM334STTT</t>
  </si>
  <si>
    <t>BM334H</t>
  </si>
  <si>
    <t>BM334NH</t>
  </si>
  <si>
    <t>BM334CTOT</t>
  </si>
  <si>
    <t>2D.16</t>
  </si>
  <si>
    <t>BM4052WR</t>
  </si>
  <si>
    <t>BM4052WN</t>
  </si>
  <si>
    <t>BM4052WNK</t>
  </si>
  <si>
    <t>BM4052SG</t>
  </si>
  <si>
    <t>BM4052STTT</t>
  </si>
  <si>
    <t>BM4052H</t>
  </si>
  <si>
    <t>BM4052NH</t>
  </si>
  <si>
    <t>BM4052CTOT</t>
  </si>
  <si>
    <t>The historical cost value of the assets brought forward from the previous year.</t>
  </si>
  <si>
    <t>The reduction in value of assets caused by disposal of assets, by type.</t>
  </si>
  <si>
    <t>Increase in value of assets by type caused by purchase.</t>
  </si>
  <si>
    <t>Any adjustments to the ‘cost’ value, this will include revaluations.</t>
  </si>
  <si>
    <t>The fair value of any adopted assets.</t>
  </si>
  <si>
    <t>This is the historical cost value at the end of the year. The sum of table 2D lines 1 to 5.</t>
  </si>
  <si>
    <t>Accumulated depreciation brought forward on assets by type at the beginning of the year. This should be entered as a negative number.</t>
  </si>
  <si>
    <t>The reduction in accumulated depreciation caused by disposal of assets by type. Enter as a positive.</t>
  </si>
  <si>
    <t>Any adjustments to the accumulated depreciation value, this will include the impact of any impairments.</t>
  </si>
  <si>
    <t>Depreciation charge. Enter as a negative.</t>
  </si>
  <si>
    <t>Accumulated depreciation carried forward by asset type at the end of the charging year. The sum of table 2D lines 7 to 10.</t>
  </si>
  <si>
    <t>Net book value by asset type at the year end. The sum of table 2D lines 6 and 11.</t>
  </si>
  <si>
    <t>Net book value by asset type at the beginning of the year. The sum of table 2D lines 1 and 7.</t>
  </si>
  <si>
    <t>Depreciation charge on assets used to deliver ‘principal services’ as set out in appendix 1. Enter as a negative.</t>
  </si>
  <si>
    <t>Depreciation charge on assets used to deliver ‘third party services’ as set out in appendix 1. Enter as a negative.</t>
  </si>
  <si>
    <t>Total depreciation charge (sum of table 2D lines 14 and 15) which will agree to table 2D line 10.</t>
  </si>
  <si>
    <t>2E - Analysis of 'grants and contributions' and land sales - wholesale</t>
  </si>
  <si>
    <t>Fully recognised in income statement</t>
  </si>
  <si>
    <t>Capitalised and amortised (in income statement)</t>
  </si>
  <si>
    <t>Fully netted off capex</t>
  </si>
  <si>
    <t>Grants and contributions - water</t>
  </si>
  <si>
    <t>2E.1</t>
  </si>
  <si>
    <t>Connection charges</t>
  </si>
  <si>
    <t>BC11271REV</t>
  </si>
  <si>
    <t>BC11271CAP</t>
  </si>
  <si>
    <t>BC11271NET</t>
  </si>
  <si>
    <t>BC11271</t>
  </si>
  <si>
    <t>2E.2</t>
  </si>
  <si>
    <t>Infrastructure charge receipts</t>
  </si>
  <si>
    <t>BC11270REV</t>
  </si>
  <si>
    <t>BC11270CAP</t>
  </si>
  <si>
    <t>BC11270NET</t>
  </si>
  <si>
    <t>BC11270</t>
  </si>
  <si>
    <t>2E.3</t>
  </si>
  <si>
    <t>Requisitioned mains</t>
  </si>
  <si>
    <t>BC11272REV</t>
  </si>
  <si>
    <t>BC11272CAP</t>
  </si>
  <si>
    <t>BC11272NET</t>
  </si>
  <si>
    <t>BC11272</t>
  </si>
  <si>
    <t>2E.4</t>
  </si>
  <si>
    <t>Other contributions (price control)</t>
  </si>
  <si>
    <t>BA1085REVPC</t>
  </si>
  <si>
    <t>BA1086CAPPC</t>
  </si>
  <si>
    <t>BA1085NETPC</t>
  </si>
  <si>
    <t>BA1086PC</t>
  </si>
  <si>
    <t>2E.5</t>
  </si>
  <si>
    <t>Diversions</t>
  </si>
  <si>
    <t>BC11273REV</t>
  </si>
  <si>
    <t>BC11273CAP</t>
  </si>
  <si>
    <t>BC11273NET</t>
  </si>
  <si>
    <t>BC11273</t>
  </si>
  <si>
    <t>2E.6</t>
  </si>
  <si>
    <t>Other contributions (non-price control)</t>
  </si>
  <si>
    <t>BA1085REVNPC</t>
  </si>
  <si>
    <t>BA1086CAPNPC</t>
  </si>
  <si>
    <t>BA1085NETNPC</t>
  </si>
  <si>
    <t>BA1086NPC</t>
  </si>
  <si>
    <t>2E.7</t>
  </si>
  <si>
    <t>BA1090REV</t>
  </si>
  <si>
    <t>BA1091CAP</t>
  </si>
  <si>
    <t>BA1090NET</t>
  </si>
  <si>
    <t>BA1091</t>
  </si>
  <si>
    <t>2E.8</t>
  </si>
  <si>
    <t>Value of adopted assets</t>
  </si>
  <si>
    <t>BC30460WREV</t>
  </si>
  <si>
    <t>BC30460WCAP</t>
  </si>
  <si>
    <t>BC30460WTOT</t>
  </si>
  <si>
    <t>Grants and contributions - wastewater</t>
  </si>
  <si>
    <t>2E.9</t>
  </si>
  <si>
    <t>BC11370REV</t>
  </si>
  <si>
    <t>BC11370CAP</t>
  </si>
  <si>
    <t>BC11370NET</t>
  </si>
  <si>
    <t>BC11370</t>
  </si>
  <si>
    <t>2E.10</t>
  </si>
  <si>
    <t>Requisitioned sewers</t>
  </si>
  <si>
    <t>BC11372REV</t>
  </si>
  <si>
    <t>BC11372CAP</t>
  </si>
  <si>
    <t>BC11372NET</t>
  </si>
  <si>
    <t>BC11372</t>
  </si>
  <si>
    <t>2E.11</t>
  </si>
  <si>
    <t>BA2085REVPC</t>
  </si>
  <si>
    <t>BA2086CAPPC</t>
  </si>
  <si>
    <t>BA2085NETPC</t>
  </si>
  <si>
    <t>BA2086PC</t>
  </si>
  <si>
    <t>2E.12</t>
  </si>
  <si>
    <t>BC11373REV</t>
  </si>
  <si>
    <t>BC11373CAP</t>
  </si>
  <si>
    <t>BC11373NET</t>
  </si>
  <si>
    <t>BC11373</t>
  </si>
  <si>
    <t>2E.13</t>
  </si>
  <si>
    <t>BA2085REVNPC</t>
  </si>
  <si>
    <t>BA2086CAPNPC</t>
  </si>
  <si>
    <t>BA2085NETNPC</t>
  </si>
  <si>
    <t>BA2086NPC</t>
  </si>
  <si>
    <t>2E.14</t>
  </si>
  <si>
    <t>BA2090REV</t>
  </si>
  <si>
    <t>BA2091CAP</t>
  </si>
  <si>
    <t>BA2090NET</t>
  </si>
  <si>
    <t>BA2091</t>
  </si>
  <si>
    <t>2E.15</t>
  </si>
  <si>
    <t>BC30460WWREV</t>
  </si>
  <si>
    <t>BC30460WWCAP</t>
  </si>
  <si>
    <t>BC30460WWTOT</t>
  </si>
  <si>
    <t>Grants and contributions - TTT</t>
  </si>
  <si>
    <t>BC11370TTTREV</t>
  </si>
  <si>
    <t>BC11370TTTCAP</t>
  </si>
  <si>
    <t>BC11370TTTNET</t>
  </si>
  <si>
    <t>BC11370TTT</t>
  </si>
  <si>
    <t>BC11372TTTREV</t>
  </si>
  <si>
    <t>BC11372TTTCAP</t>
  </si>
  <si>
    <t>BC11372TTTNET</t>
  </si>
  <si>
    <t>BC11372TTT</t>
  </si>
  <si>
    <t>BA2085TTTREVPC</t>
  </si>
  <si>
    <t>BA2086TTTCAPPC</t>
  </si>
  <si>
    <t>BA2085TTTNETPC</t>
  </si>
  <si>
    <t>BA2086TTTPC</t>
  </si>
  <si>
    <t>BC11373TTTREV</t>
  </si>
  <si>
    <t>BC11373TTTCAP</t>
  </si>
  <si>
    <t>BC11373TTTNET</t>
  </si>
  <si>
    <t>BC11373TTT</t>
  </si>
  <si>
    <t>BA2085TTTREVNPC</t>
  </si>
  <si>
    <t>BA2086TTTCAPNPC</t>
  </si>
  <si>
    <t>BA2085TTTNETNPC</t>
  </si>
  <si>
    <t>BA2086TTTNPC</t>
  </si>
  <si>
    <t>BA2090TTTREV</t>
  </si>
  <si>
    <t>BA2091TTTCAP</t>
  </si>
  <si>
    <t>BA2090TTTNET</t>
  </si>
  <si>
    <t>BA2091TTT</t>
  </si>
  <si>
    <t>BC30460TTTREV</t>
  </si>
  <si>
    <t>BC30460TTTCAP</t>
  </si>
  <si>
    <t>BC30460TTTTOT</t>
  </si>
  <si>
    <t>Water</t>
  </si>
  <si>
    <t>Wastewater</t>
  </si>
  <si>
    <t>Movements in capitalised grants and contributions</t>
  </si>
  <si>
    <t>2E.16</t>
  </si>
  <si>
    <t>Brought forward</t>
  </si>
  <si>
    <t>BA1090BFWD</t>
  </si>
  <si>
    <t>BA2090BFWD</t>
  </si>
  <si>
    <t>BA2090TTTBFWD</t>
  </si>
  <si>
    <t>BA3001BFWD</t>
  </si>
  <si>
    <t>2E.17</t>
  </si>
  <si>
    <t>Capitalised in year</t>
  </si>
  <si>
    <t>BA3091CAP</t>
  </si>
  <si>
    <t>2E.18</t>
  </si>
  <si>
    <t>Amortisation (in income statement)</t>
  </si>
  <si>
    <t>BA1090AMORT</t>
  </si>
  <si>
    <t>BA2090AMORT</t>
  </si>
  <si>
    <t>BA2090TTTAMORT</t>
  </si>
  <si>
    <t>BA3001AMORT</t>
  </si>
  <si>
    <t>2E.19</t>
  </si>
  <si>
    <t>Carried forward</t>
  </si>
  <si>
    <t>BA1091CFWD</t>
  </si>
  <si>
    <t>BA2091CFWD</t>
  </si>
  <si>
    <t>BA2091TTTCFWD</t>
  </si>
  <si>
    <t>BA3091CFWD</t>
  </si>
  <si>
    <t>Land sales</t>
  </si>
  <si>
    <t>2E.20</t>
  </si>
  <si>
    <t>Proceeds from disposals of protected land</t>
  </si>
  <si>
    <t>£000</t>
  </si>
  <si>
    <t>BT39301PW</t>
  </si>
  <si>
    <t>BT39301PS</t>
  </si>
  <si>
    <t>BT39301PTTT</t>
  </si>
  <si>
    <t>BT39301P</t>
  </si>
  <si>
    <t xml:space="preserve">Contributions received from developer for service connection charges for installing a new service pipe and meter. </t>
  </si>
  <si>
    <t>Infrastructure charges received in the year for new connections. This reflects a contribution to the costs of enhancing the local water network.</t>
  </si>
  <si>
    <t>Contributions received from developers to requisition a new water main.</t>
  </si>
  <si>
    <t>Other contributions received from organisations towards the construction of water specific capital projects which were included in the price control.</t>
  </si>
  <si>
    <t>Contributions received from local authorities, highway authorities and private companies to divert water mains.</t>
  </si>
  <si>
    <t>Other contributions received from organisations towards the construction of water specific capital projects which were not included in the price control.</t>
  </si>
  <si>
    <t>The sum of table 2E lines 1 to 6.</t>
  </si>
  <si>
    <t>The fair value of any adopted water assets</t>
  </si>
  <si>
    <t>Infrastructure charges received in the year for new connections. This reflects a contribution to the costs of enhancing the local sewerage network.</t>
  </si>
  <si>
    <t>Contributions received from developers to requisition a new sewer.</t>
  </si>
  <si>
    <t>Other contributions received from organisations towards the construction of specific wastewater capital projects which were included in the price control. This also includes contributions received from developers for connection to a public sewer and ‘inspection and supervision fees’ (2.5% of construction costs based on WRC ‘Sewers for adoption’.</t>
  </si>
  <si>
    <t>Contributions received from local authorities, highway authorities and private companies to divert sewers.</t>
  </si>
  <si>
    <t>Other contributions received from organisations towards the construction of specific wastewater capital projects which were not included in the price control.</t>
  </si>
  <si>
    <t>The sum of table 2E lines 9 to 13.</t>
  </si>
  <si>
    <t>The fair value of any adopted wastewater assets.</t>
  </si>
  <si>
    <t>Total value of capitalised grants and contributions brought forward as at 1 April.</t>
  </si>
  <si>
    <t>Total value of grants and contributions capitalised in the year.</t>
  </si>
  <si>
    <t>Total value of amortisation released to the income statement in the year. Input as a negative number.</t>
  </si>
  <si>
    <t>Total value of capitalised grants and contributions carried forward as at 31 March. This should represent the wholesale element of table 1C line 26. The sum of table 2E lines 16 to 18.</t>
  </si>
  <si>
    <t>The net proceeds, after the deduction of all offsetting costs from disposals of protected land, including those already subject to regulation through Condition K of the licence.</t>
  </si>
  <si>
    <t>2F - Household - revenues by customer type</t>
  </si>
  <si>
    <t>Wholesale charges revenue £m</t>
  </si>
  <si>
    <t>Retail revenue 
£m</t>
  </si>
  <si>
    <t>Total revenue 
£m</t>
  </si>
  <si>
    <t>Number of customers 
(000s)</t>
  </si>
  <si>
    <t>Average household retail revenue per customer 
£</t>
  </si>
  <si>
    <t>2F.1</t>
  </si>
  <si>
    <t>Unmeasured water only customer</t>
  </si>
  <si>
    <t>R3017WCR</t>
  </si>
  <si>
    <t>R3017RR</t>
  </si>
  <si>
    <t>R3017TR</t>
  </si>
  <si>
    <t>R3017</t>
  </si>
  <si>
    <t>R3017RPC</t>
  </si>
  <si>
    <t>2F.2</t>
  </si>
  <si>
    <t>Unmeasured wastewater only customer</t>
  </si>
  <si>
    <t>R3019WCR</t>
  </si>
  <si>
    <t>R3019RR</t>
  </si>
  <si>
    <t>R3019TR</t>
  </si>
  <si>
    <t>R3019</t>
  </si>
  <si>
    <t>R3019RPC</t>
  </si>
  <si>
    <t>2F.3</t>
  </si>
  <si>
    <t>Unmeasured water and wastewater customer</t>
  </si>
  <si>
    <t>R3021WCR</t>
  </si>
  <si>
    <t>R3021RR</t>
  </si>
  <si>
    <t>R3021TR</t>
  </si>
  <si>
    <t>R3021</t>
  </si>
  <si>
    <t>R3021RPC</t>
  </si>
  <si>
    <t>2F.4</t>
  </si>
  <si>
    <t>Measured water only customer</t>
  </si>
  <si>
    <t>R3018WCR</t>
  </si>
  <si>
    <t>R3018RR</t>
  </si>
  <si>
    <t>R3018TR</t>
  </si>
  <si>
    <t>R3018</t>
  </si>
  <si>
    <t>R3018RPC</t>
  </si>
  <si>
    <t>2F.5</t>
  </si>
  <si>
    <t>Measured wastewater only customer</t>
  </si>
  <si>
    <t>R3020WCR</t>
  </si>
  <si>
    <t>R3020RR</t>
  </si>
  <si>
    <t>R3020TR</t>
  </si>
  <si>
    <t>R3020</t>
  </si>
  <si>
    <t>R3020RPC</t>
  </si>
  <si>
    <t>2F.6</t>
  </si>
  <si>
    <t>Measured water and wastewater customer</t>
  </si>
  <si>
    <t>R3022WCR</t>
  </si>
  <si>
    <t>R3022RR</t>
  </si>
  <si>
    <t>R3022TR</t>
  </si>
  <si>
    <t>R3022</t>
  </si>
  <si>
    <t>R3022RPC</t>
  </si>
  <si>
    <t>2F.7</t>
  </si>
  <si>
    <t>R3100WCRTOT</t>
  </si>
  <si>
    <t>R3100RRTOT</t>
  </si>
  <si>
    <t>R3100TRTOT</t>
  </si>
  <si>
    <t>R3100TOT</t>
  </si>
  <si>
    <t>R3100RPCTOT</t>
  </si>
  <si>
    <t xml:space="preserve">Revenue from all household unmeasured water only customers. </t>
  </si>
  <si>
    <t xml:space="preserve">Revenue from all household unmeasured wastewater only customers. </t>
  </si>
  <si>
    <t>Revenue from all household unmeasured water &amp; wastewater customers only. This line should not include any revenue from WoC’s billing on behalf of WaSC’s.</t>
  </si>
  <si>
    <t xml:space="preserve">Revenue from all household measured water only customers. </t>
  </si>
  <si>
    <t>Revenue from all household measured wastewater only customers</t>
  </si>
  <si>
    <t>Revenue from all household measured water &amp; wastewater customer only This line should not include any revenue from WoC’s billing on behalf of WaSC’s.</t>
  </si>
  <si>
    <t>The sum of table 2F lines 1 to 6.</t>
  </si>
  <si>
    <t>2G - Non-household water - revenues by tariff type</t>
  </si>
  <si>
    <t>Wholesale charges revenue 
£m</t>
  </si>
  <si>
    <t>Retail revenue £m</t>
  </si>
  <si>
    <t>Total revenue £m</t>
  </si>
  <si>
    <t>Number of connections (000s)</t>
  </si>
  <si>
    <t>Average non-household retail revenue per connection  £</t>
  </si>
  <si>
    <t>Non-Default tariffs</t>
  </si>
  <si>
    <t>2G.1</t>
  </si>
  <si>
    <t>Total non-default tariffs</t>
  </si>
  <si>
    <t>CR1001WWCR</t>
  </si>
  <si>
    <t>CR1001WRR</t>
  </si>
  <si>
    <t>CR1001WTR</t>
  </si>
  <si>
    <t>CR1041WCO</t>
  </si>
  <si>
    <t>CR1041WRPC</t>
  </si>
  <si>
    <t>Default tariffs</t>
  </si>
  <si>
    <t>2G.2</t>
  </si>
  <si>
    <t>CR1002WWCR</t>
  </si>
  <si>
    <t>CR1002WRR</t>
  </si>
  <si>
    <t>CR1002WTR</t>
  </si>
  <si>
    <t>CR1042WCO</t>
  </si>
  <si>
    <t>CR1042WRPC</t>
  </si>
  <si>
    <t>2G.3</t>
  </si>
  <si>
    <t>CR1003WWCR</t>
  </si>
  <si>
    <t>CR1003WRR</t>
  </si>
  <si>
    <t>CR1003WTR</t>
  </si>
  <si>
    <t>CR1043WCO</t>
  </si>
  <si>
    <t>CR1043WRPC</t>
  </si>
  <si>
    <t>2G.4</t>
  </si>
  <si>
    <t>CR1004WWCR</t>
  </si>
  <si>
    <t>CR1004WRR</t>
  </si>
  <si>
    <t>CR1004WTR</t>
  </si>
  <si>
    <t>CR1044WCO</t>
  </si>
  <si>
    <t>CR1044WRPC</t>
  </si>
  <si>
    <t>2G.5</t>
  </si>
  <si>
    <t>CR1005WWCR</t>
  </si>
  <si>
    <t>CR1005WRR</t>
  </si>
  <si>
    <t>CR1005WTR</t>
  </si>
  <si>
    <t>CR1045WCO</t>
  </si>
  <si>
    <t>CR1045WRPC</t>
  </si>
  <si>
    <t>2G.6</t>
  </si>
  <si>
    <t>CR1006WWCR</t>
  </si>
  <si>
    <t>CR1006WRR</t>
  </si>
  <si>
    <t>CR1006WTR</t>
  </si>
  <si>
    <t>CR1046WCO</t>
  </si>
  <si>
    <t>CR1046WRPC</t>
  </si>
  <si>
    <t>2G.7</t>
  </si>
  <si>
    <t>CR1007WWCR</t>
  </si>
  <si>
    <t>CR1007WRR</t>
  </si>
  <si>
    <t>CR1007WTR</t>
  </si>
  <si>
    <t>CR1047WCO</t>
  </si>
  <si>
    <t>CR1047WRPC</t>
  </si>
  <si>
    <t>2G.8</t>
  </si>
  <si>
    <t>CR1008WWCR</t>
  </si>
  <si>
    <t>CR1008WRR</t>
  </si>
  <si>
    <t>CR1008WTR</t>
  </si>
  <si>
    <t>CR1048WCO</t>
  </si>
  <si>
    <t>CR1048WRPC</t>
  </si>
  <si>
    <t>2G.9</t>
  </si>
  <si>
    <t>CR1009WWCR</t>
  </si>
  <si>
    <t>CR1009WRR</t>
  </si>
  <si>
    <t>CR1009WTR</t>
  </si>
  <si>
    <t>CR1049WCO</t>
  </si>
  <si>
    <t>CR1049WRPC</t>
  </si>
  <si>
    <t>2G.10</t>
  </si>
  <si>
    <t>CR1010WWCR</t>
  </si>
  <si>
    <t>CR1010WRR</t>
  </si>
  <si>
    <t>CR1010WTR</t>
  </si>
  <si>
    <t>CR1050WCO</t>
  </si>
  <si>
    <t>CR1050WRPC</t>
  </si>
  <si>
    <t>2G.11</t>
  </si>
  <si>
    <t>CR1011WWCR</t>
  </si>
  <si>
    <t>CR1011WRR</t>
  </si>
  <si>
    <t>CR1011WTR</t>
  </si>
  <si>
    <t>CR1051WCO</t>
  </si>
  <si>
    <t>CR1051WRPC</t>
  </si>
  <si>
    <t>2G.12</t>
  </si>
  <si>
    <t>CR1012WWCR</t>
  </si>
  <si>
    <t>CR1012WRR</t>
  </si>
  <si>
    <t>CR1012WTR</t>
  </si>
  <si>
    <t>CR1052WCO</t>
  </si>
  <si>
    <t>CR1052WRPC</t>
  </si>
  <si>
    <t>2G.13</t>
  </si>
  <si>
    <t>CR1013WWCR</t>
  </si>
  <si>
    <t>CR1013WRR</t>
  </si>
  <si>
    <t>CR1013WTR</t>
  </si>
  <si>
    <t>CR1053WCO</t>
  </si>
  <si>
    <t>CR1053WRPC</t>
  </si>
  <si>
    <t>2G.14</t>
  </si>
  <si>
    <t>CR1014WWCR</t>
  </si>
  <si>
    <t>CR1014WRR</t>
  </si>
  <si>
    <t>CR1014WTR</t>
  </si>
  <si>
    <t>CR1054WCO</t>
  </si>
  <si>
    <t>CR1054WRPC</t>
  </si>
  <si>
    <t>2G.15</t>
  </si>
  <si>
    <t>CR1015WWCR</t>
  </si>
  <si>
    <t>CR1015WRR</t>
  </si>
  <si>
    <t>CR1015WTR</t>
  </si>
  <si>
    <t>CR1055WCO</t>
  </si>
  <si>
    <t>CR1055WRPC</t>
  </si>
  <si>
    <t>2G.16</t>
  </si>
  <si>
    <t>CR1016WWCR</t>
  </si>
  <si>
    <t>CR1016WRR</t>
  </si>
  <si>
    <t>CR1016WTR</t>
  </si>
  <si>
    <t>CR1056WCO</t>
  </si>
  <si>
    <t>CR1056WRPC</t>
  </si>
  <si>
    <t>2G.17</t>
  </si>
  <si>
    <t>CR1017WWCR</t>
  </si>
  <si>
    <t>CR1017WRR</t>
  </si>
  <si>
    <t>CR1017WTR</t>
  </si>
  <si>
    <t>CR1057WCO</t>
  </si>
  <si>
    <t>CR1057WRPC</t>
  </si>
  <si>
    <t>2G.18</t>
  </si>
  <si>
    <t>CR1018WWCR</t>
  </si>
  <si>
    <t>CR1018WRR</t>
  </si>
  <si>
    <t>CR1018WTR</t>
  </si>
  <si>
    <t>CR1058WCO</t>
  </si>
  <si>
    <t>CR1058WRPC</t>
  </si>
  <si>
    <t>2G.19</t>
  </si>
  <si>
    <t>CR1019WWCR</t>
  </si>
  <si>
    <t>CR1019WRR</t>
  </si>
  <si>
    <t>CR1019WTR</t>
  </si>
  <si>
    <t>CR1059WCO</t>
  </si>
  <si>
    <t>CR1059WRPC</t>
  </si>
  <si>
    <t>2G.20</t>
  </si>
  <si>
    <t>CR1020WWCR</t>
  </si>
  <si>
    <t>CR1020WRR</t>
  </si>
  <si>
    <t>CR1020WTR</t>
  </si>
  <si>
    <t>CR1060WCO</t>
  </si>
  <si>
    <t>CR1060WRPC</t>
  </si>
  <si>
    <t>2G.21</t>
  </si>
  <si>
    <t>Total default tariffs</t>
  </si>
  <si>
    <t>CR1025WWCR</t>
  </si>
  <si>
    <t>CR1025WRR</t>
  </si>
  <si>
    <t>CR1025WTR</t>
  </si>
  <si>
    <t>CR1065WCO</t>
  </si>
  <si>
    <t>CR1065WRPC</t>
  </si>
  <si>
    <t>2G.22</t>
  </si>
  <si>
    <t>The total of column 1 should be equal to the sum of lines 2I.1 and 2I.2.</t>
  </si>
  <si>
    <t>CR1030WWCR</t>
  </si>
  <si>
    <t>CR1030WRR</t>
  </si>
  <si>
    <t>CR1030WTR</t>
  </si>
  <si>
    <t>CR1066WCO</t>
  </si>
  <si>
    <t>CR1066WRPC</t>
  </si>
  <si>
    <t>Number of customers (000s)</t>
  </si>
  <si>
    <t>Average non-household retail revenue per customer  £</t>
  </si>
  <si>
    <t>Revenue per customer</t>
  </si>
  <si>
    <t>2G.23</t>
  </si>
  <si>
    <t>CR1030WCU</t>
  </si>
  <si>
    <t>CR1030WRPC</t>
  </si>
  <si>
    <t>Total revenue received from all customers on a non-default tariff.</t>
  </si>
  <si>
    <t>2 to 20</t>
  </si>
  <si>
    <t>Total revenue received from each non-household tariff type listed separately.</t>
  </si>
  <si>
    <t>Total revenue received from all non-household customers on a default tariff.</t>
  </si>
  <si>
    <t>Total revenue received from all non-household customers on default and non-default tariffs.</t>
  </si>
  <si>
    <t>Total revenue received from all default and non-default tariffs.</t>
  </si>
  <si>
    <t>2H - Non-household wastewater - revenues by tariff type</t>
  </si>
  <si>
    <t>2H.1</t>
  </si>
  <si>
    <t>CR1001SWCR</t>
  </si>
  <si>
    <t>CR1001SRR</t>
  </si>
  <si>
    <t>CR1001STR</t>
  </si>
  <si>
    <t>CR1041SCO</t>
  </si>
  <si>
    <t>CR1041SRPC</t>
  </si>
  <si>
    <t>2H.2</t>
  </si>
  <si>
    <t>CR1002SWCR</t>
  </si>
  <si>
    <t>CR1002SRR</t>
  </si>
  <si>
    <t>CR1002STR</t>
  </si>
  <si>
    <t>CR1042SCO</t>
  </si>
  <si>
    <t>CR1042SRPC</t>
  </si>
  <si>
    <t>2H.3</t>
  </si>
  <si>
    <t>CR1003SWCR</t>
  </si>
  <si>
    <t>CR1003SRR</t>
  </si>
  <si>
    <t>CR1003STR</t>
  </si>
  <si>
    <t>CR1043SCO</t>
  </si>
  <si>
    <t>CR1043SRPC</t>
  </si>
  <si>
    <t>2H.4</t>
  </si>
  <si>
    <t>CR1004SWCR</t>
  </si>
  <si>
    <t>CR1004SRR</t>
  </si>
  <si>
    <t>CR1004STR</t>
  </si>
  <si>
    <t>CR1044SCO</t>
  </si>
  <si>
    <t>CR1044SRPC</t>
  </si>
  <si>
    <t>2H.5</t>
  </si>
  <si>
    <t>CR1005SWCR</t>
  </si>
  <si>
    <t>CR1005SRR</t>
  </si>
  <si>
    <t>CR1005STR</t>
  </si>
  <si>
    <t>CR1045SCO</t>
  </si>
  <si>
    <t>CR1045SRPC</t>
  </si>
  <si>
    <t>2H.6</t>
  </si>
  <si>
    <t>CR1006SWCR</t>
  </si>
  <si>
    <t>CR1006SRR</t>
  </si>
  <si>
    <t>CR1006STR</t>
  </si>
  <si>
    <t>CR1046SCO</t>
  </si>
  <si>
    <t>CR1046SRPC</t>
  </si>
  <si>
    <t>2H.7</t>
  </si>
  <si>
    <t>CR1007SWCR</t>
  </si>
  <si>
    <t>CR1007SRR</t>
  </si>
  <si>
    <t>CR1007STR</t>
  </si>
  <si>
    <t>CR1047SCO</t>
  </si>
  <si>
    <t>CR1047SRPC</t>
  </si>
  <si>
    <t>2H.8</t>
  </si>
  <si>
    <t>CR1008SWCR</t>
  </si>
  <si>
    <t>CR1008SRR</t>
  </si>
  <si>
    <t>CR1008STR</t>
  </si>
  <si>
    <t>CR1048SCO</t>
  </si>
  <si>
    <t>CR1048SRPC</t>
  </si>
  <si>
    <t>2H.9</t>
  </si>
  <si>
    <t>CR1009SWCR</t>
  </si>
  <si>
    <t>CR1009SRR</t>
  </si>
  <si>
    <t>CR1009STR</t>
  </si>
  <si>
    <t>CR1049SCO</t>
  </si>
  <si>
    <t>CR1049SRPC</t>
  </si>
  <si>
    <t>2H.10</t>
  </si>
  <si>
    <t>CR1010SWCR</t>
  </si>
  <si>
    <t>CR1010SRR</t>
  </si>
  <si>
    <t>CR1010STR</t>
  </si>
  <si>
    <t>CR1050SCO</t>
  </si>
  <si>
    <t>CR1050SRPC</t>
  </si>
  <si>
    <t>2H.11</t>
  </si>
  <si>
    <t>CR1011SWCR</t>
  </si>
  <si>
    <t>CR1011SRR</t>
  </si>
  <si>
    <t>CR1011STR</t>
  </si>
  <si>
    <t>CR1051SCO</t>
  </si>
  <si>
    <t>CR1051SRPC</t>
  </si>
  <si>
    <t>2H.12</t>
  </si>
  <si>
    <t>CR1012SWCR</t>
  </si>
  <si>
    <t>CR1012SRR</t>
  </si>
  <si>
    <t>CR1012STR</t>
  </si>
  <si>
    <t>CR1052SCO</t>
  </si>
  <si>
    <t>CR1052SRPC</t>
  </si>
  <si>
    <t>2H.13</t>
  </si>
  <si>
    <t>CR1013SWCR</t>
  </si>
  <si>
    <t>CR1013SRR</t>
  </si>
  <si>
    <t>CR1013STR</t>
  </si>
  <si>
    <t>CR1053SCO</t>
  </si>
  <si>
    <t>CR1053SRPC</t>
  </si>
  <si>
    <t>2H.14</t>
  </si>
  <si>
    <t>CR1014SWCR</t>
  </si>
  <si>
    <t>CR1014SRR</t>
  </si>
  <si>
    <t>CR1014STR</t>
  </si>
  <si>
    <t>CR1054SCO</t>
  </si>
  <si>
    <t>CR1054SRPC</t>
  </si>
  <si>
    <t>2H.15</t>
  </si>
  <si>
    <t>CR1015SWCR</t>
  </si>
  <si>
    <t>CR1015SRR</t>
  </si>
  <si>
    <t>CR1015STR</t>
  </si>
  <si>
    <t>CR1055SCO</t>
  </si>
  <si>
    <t>CR1055SRPC</t>
  </si>
  <si>
    <t>2H.16</t>
  </si>
  <si>
    <t>CR1016SWCR</t>
  </si>
  <si>
    <t>CR1016SRR</t>
  </si>
  <si>
    <t>CR1016STR</t>
  </si>
  <si>
    <t>CR1056SCO</t>
  </si>
  <si>
    <t>CR1056SRPC</t>
  </si>
  <si>
    <t>2H.17</t>
  </si>
  <si>
    <t>CR1017SWCR</t>
  </si>
  <si>
    <t>CR1017SRR</t>
  </si>
  <si>
    <t>CR1017STR</t>
  </si>
  <si>
    <t>CR1057SCO</t>
  </si>
  <si>
    <t>CR1057SRPC</t>
  </si>
  <si>
    <t>2H.18</t>
  </si>
  <si>
    <t>CR1018SWCR</t>
  </si>
  <si>
    <t>CR1018SRR</t>
  </si>
  <si>
    <t>CR1018STR</t>
  </si>
  <si>
    <t>CR1058SCO</t>
  </si>
  <si>
    <t>CR1058SRPC</t>
  </si>
  <si>
    <t>2H.19</t>
  </si>
  <si>
    <t>CR1019SWCR</t>
  </si>
  <si>
    <t>CR1019SRR</t>
  </si>
  <si>
    <t>CR1019STR</t>
  </si>
  <si>
    <t>CR1059SCO</t>
  </si>
  <si>
    <t>CR1059SRPC</t>
  </si>
  <si>
    <t>2H.20</t>
  </si>
  <si>
    <t>CR1020SWCR</t>
  </si>
  <si>
    <t>CR1020SRR</t>
  </si>
  <si>
    <t>CR1020STR</t>
  </si>
  <si>
    <t>CR1060SCO</t>
  </si>
  <si>
    <t>CR1060SRPC</t>
  </si>
  <si>
    <t>2H.21</t>
  </si>
  <si>
    <t>CR1021SWCR</t>
  </si>
  <si>
    <t>CR1021SRR</t>
  </si>
  <si>
    <t>CR1021STR</t>
  </si>
  <si>
    <t>CR1061SCO</t>
  </si>
  <si>
    <t>CR1061SRPC</t>
  </si>
  <si>
    <t>2H.22</t>
  </si>
  <si>
    <t>CR1022SWCR</t>
  </si>
  <si>
    <t>CR1022SRR</t>
  </si>
  <si>
    <t>CR1022STR</t>
  </si>
  <si>
    <t>CR1062SCO</t>
  </si>
  <si>
    <t>CR1062SRPC</t>
  </si>
  <si>
    <t>2H.23</t>
  </si>
  <si>
    <t>CR1023SWCR</t>
  </si>
  <si>
    <t>CR1023SRR</t>
  </si>
  <si>
    <t>CR1023STR</t>
  </si>
  <si>
    <t>CR1063SCO</t>
  </si>
  <si>
    <t>CR1063SRPC</t>
  </si>
  <si>
    <t>2H.24</t>
  </si>
  <si>
    <t>CR1025SWCR</t>
  </si>
  <si>
    <t>CR1025SRR</t>
  </si>
  <si>
    <t>CR1025STR</t>
  </si>
  <si>
    <t>CR1065SCO</t>
  </si>
  <si>
    <t>CR1065SRPC</t>
  </si>
  <si>
    <t>2H.25</t>
  </si>
  <si>
    <t>The total of column 1 should be equal to the sum of lines 2I.5 and 2I.6.</t>
  </si>
  <si>
    <t>CR1030SWCR</t>
  </si>
  <si>
    <t>CR1030SRR</t>
  </si>
  <si>
    <t>CR1030STR</t>
  </si>
  <si>
    <t>CR1066SCO</t>
  </si>
  <si>
    <t>CR1066SRPC</t>
  </si>
  <si>
    <t>2H.26</t>
  </si>
  <si>
    <t>CR1030SCU</t>
  </si>
  <si>
    <t>CR1030SRPC</t>
  </si>
  <si>
    <t>2 to 23</t>
  </si>
  <si>
    <t>2I - Revenue analysis</t>
  </si>
  <si>
    <t>Wholesale charge - water</t>
  </si>
  <si>
    <t>2I.1</t>
  </si>
  <si>
    <t>Unmeasured</t>
  </si>
  <si>
    <t>CR581</t>
  </si>
  <si>
    <t>CR583</t>
  </si>
  <si>
    <t>CR585</t>
  </si>
  <si>
    <t>2I.2</t>
  </si>
  <si>
    <t>Measured</t>
  </si>
  <si>
    <t>CR582</t>
  </si>
  <si>
    <t>CR584</t>
  </si>
  <si>
    <t>CR586</t>
  </si>
  <si>
    <t>2I.3</t>
  </si>
  <si>
    <t>Third party revenue</t>
  </si>
  <si>
    <t>W9008HH</t>
  </si>
  <si>
    <t>W9008NHH</t>
  </si>
  <si>
    <t>W9008WW</t>
  </si>
  <si>
    <t>2I.4</t>
  </si>
  <si>
    <t>BR586</t>
  </si>
  <si>
    <t>BR588</t>
  </si>
  <si>
    <t>BR589</t>
  </si>
  <si>
    <t>Wholesale charge - wastewater</t>
  </si>
  <si>
    <t>2I.5</t>
  </si>
  <si>
    <t>CR881</t>
  </si>
  <si>
    <t>CR883</t>
  </si>
  <si>
    <t>CR885</t>
  </si>
  <si>
    <t>2I.6</t>
  </si>
  <si>
    <t>CR882</t>
  </si>
  <si>
    <t>CR884</t>
  </si>
  <si>
    <t>CR886</t>
  </si>
  <si>
    <t>2I.7</t>
  </si>
  <si>
    <t>S9008HH</t>
  </si>
  <si>
    <t>S9008NHH</t>
  </si>
  <si>
    <t>S9008WS</t>
  </si>
  <si>
    <t>2I.8</t>
  </si>
  <si>
    <t>BR886</t>
  </si>
  <si>
    <t>BR888</t>
  </si>
  <si>
    <t>BR689</t>
  </si>
  <si>
    <t>Wholesale charge - TTT</t>
  </si>
  <si>
    <t>BR881TTT</t>
  </si>
  <si>
    <t>BR883TTT</t>
  </si>
  <si>
    <t>BO1130TTT</t>
  </si>
  <si>
    <t>BR882TTT</t>
  </si>
  <si>
    <t>BR884TTT</t>
  </si>
  <si>
    <t>BO1120TTT</t>
  </si>
  <si>
    <t>S9008HHTTT</t>
  </si>
  <si>
    <t>S9008NHHTTT</t>
  </si>
  <si>
    <t>S9008WSTTT</t>
  </si>
  <si>
    <t>BR886TTT</t>
  </si>
  <si>
    <t>BR888TTT</t>
  </si>
  <si>
    <t>BR689TTT</t>
  </si>
  <si>
    <t>2I.9</t>
  </si>
  <si>
    <t>Wholesale Total</t>
  </si>
  <si>
    <t>BR986</t>
  </si>
  <si>
    <t>BR988</t>
  </si>
  <si>
    <t>BR989</t>
  </si>
  <si>
    <t>Retail revenue</t>
  </si>
  <si>
    <t>2I.10</t>
  </si>
  <si>
    <t>A19002RRH</t>
  </si>
  <si>
    <t>A19002RRNH</t>
  </si>
  <si>
    <t>A19002RRA</t>
  </si>
  <si>
    <t>2I.11</t>
  </si>
  <si>
    <t>A19003RRH</t>
  </si>
  <si>
    <t>A19003RRNH</t>
  </si>
  <si>
    <t>A19003RRA</t>
  </si>
  <si>
    <t>2I.12</t>
  </si>
  <si>
    <t>Other third party revenue</t>
  </si>
  <si>
    <t>A19039RRH</t>
  </si>
  <si>
    <t>A19039RRNH</t>
  </si>
  <si>
    <t>A19039RRA</t>
  </si>
  <si>
    <t>2I.13</t>
  </si>
  <si>
    <t>Retail total</t>
  </si>
  <si>
    <t>The total of lines 2I.9 and 2I.13 should equal line 2A.1 (Total column).</t>
  </si>
  <si>
    <t>A19004RRH</t>
  </si>
  <si>
    <t>A19004RRNH</t>
  </si>
  <si>
    <t>A19004RRA</t>
  </si>
  <si>
    <t>Third party revenue - non-price control</t>
  </si>
  <si>
    <t>2I.14</t>
  </si>
  <si>
    <t>Bulk Supplies - water</t>
  </si>
  <si>
    <t>BM340NPCW</t>
  </si>
  <si>
    <t>2I.15</t>
  </si>
  <si>
    <t>Bulk Supplies - wastewater</t>
  </si>
  <si>
    <t>BM340NPCWW</t>
  </si>
  <si>
    <t>2I.16</t>
  </si>
  <si>
    <t>A19039NPC</t>
  </si>
  <si>
    <t>Principal services - non-price control</t>
  </si>
  <si>
    <t>2I.17</t>
  </si>
  <si>
    <t>Other appointed revenue</t>
  </si>
  <si>
    <t>BR973NPC</t>
  </si>
  <si>
    <t>2I.18</t>
  </si>
  <si>
    <t>Total appointed revenue</t>
  </si>
  <si>
    <t>Line 2I.18 should equal the sum of line 1A.1 (appointed business activities column).</t>
  </si>
  <si>
    <t>BO1183</t>
  </si>
  <si>
    <t>2I.19</t>
  </si>
  <si>
    <t>Wholesale revenue governed by price control</t>
  </si>
  <si>
    <t>BR589PC</t>
  </si>
  <si>
    <t>BR689PC</t>
  </si>
  <si>
    <t>BR689TTTPC</t>
  </si>
  <si>
    <t>BR989PC</t>
  </si>
  <si>
    <t>2I.20</t>
  </si>
  <si>
    <t>Grants &amp; contributions</t>
  </si>
  <si>
    <t xml:space="preserve">Line 2I.20 should equal the sum of lines 2E.1, 2E.2, 2E.3 and 2E.4 (column 4) for water and lines 2E.9, 2E.10 and 2E.11 (column 4) for wastewater and lines 2E.9, 2E.10 and 2E.11 (column 4) for TTT. </t>
  </si>
  <si>
    <t>BC11274</t>
  </si>
  <si>
    <t>BC11374</t>
  </si>
  <si>
    <t>BC11374TTT</t>
  </si>
  <si>
    <t>BC11474</t>
  </si>
  <si>
    <t>2I.21</t>
  </si>
  <si>
    <t>Total revenue governed by wholesale price control</t>
  </si>
  <si>
    <t>W9014</t>
  </si>
  <si>
    <t>S9014</t>
  </si>
  <si>
    <t>S9014TTT</t>
  </si>
  <si>
    <t>T9014</t>
  </si>
  <si>
    <t>2I.22</t>
  </si>
  <si>
    <t>Amount assumed in wholesale determination</t>
  </si>
  <si>
    <t>CRW001</t>
  </si>
  <si>
    <t>CRS001</t>
  </si>
  <si>
    <t>CRS001TTT</t>
  </si>
  <si>
    <t>CRT001</t>
  </si>
  <si>
    <t>2I.23</t>
  </si>
  <si>
    <t>Adjustment for in-period ODI revenue</t>
  </si>
  <si>
    <t>CRW008</t>
  </si>
  <si>
    <t>CRS008</t>
  </si>
  <si>
    <t>CRS008TTT</t>
  </si>
  <si>
    <t>CRT008</t>
  </si>
  <si>
    <t>2I.24</t>
  </si>
  <si>
    <t>Adjustment for WRFIM</t>
  </si>
  <si>
    <t>CRW009</t>
  </si>
  <si>
    <t>CRS009</t>
  </si>
  <si>
    <t>CRS009TTT</t>
  </si>
  <si>
    <t>CRT009</t>
  </si>
  <si>
    <t>2I.25</t>
  </si>
  <si>
    <t>Total assumed revenue</t>
  </si>
  <si>
    <t>CRW010</t>
  </si>
  <si>
    <t>CRS010</t>
  </si>
  <si>
    <t>CRS010TTT</t>
  </si>
  <si>
    <t>CRT010</t>
  </si>
  <si>
    <t>2I.26</t>
  </si>
  <si>
    <t>Difference</t>
  </si>
  <si>
    <t>CRW002</t>
  </si>
  <si>
    <t>CRS002</t>
  </si>
  <si>
    <t>CRS002TTT</t>
  </si>
  <si>
    <t>CRT002</t>
  </si>
  <si>
    <t>Total revenue from wholesale water charges, other than on a measured basis. This should be split between household and non-household connections. This should include revenue from large users and special agreements.</t>
  </si>
  <si>
    <t>Total revenue from wholesale water charges, where all or some of the charges are based on measured quantities of volume. This should be split between household and non-household connections. This should include revenue from large users and special agreements.</t>
  </si>
  <si>
    <t>Third party revenue covered by the wholesale water price control, e.g. supplies of non-potable water to customers.</t>
  </si>
  <si>
    <t>Total revenue from wholesale water charges. The sum of table 2I lines 1 to 3.</t>
  </si>
  <si>
    <t>Total revenue from wholesale wastewater charges, other than on a measured basis. This should be split between household and non-household connections. This should include revenue from large users and special agreements.</t>
  </si>
  <si>
    <t>Total revenue from wholesale wastewater charges, where all or some of the charges are based on measured quantities of volume. This should be split between household and non-household connections. This should include revenue from trade effluent, large users and special agreements.</t>
  </si>
  <si>
    <t>Third party revenue covered by the wholesale wastewater price control.</t>
  </si>
  <si>
    <t>Total revenue from wholesale wastewater charges. The sum of table 2I lines 5 to 7.</t>
  </si>
  <si>
    <t>The sum of table 2I lines 4 and 8 (wastewater and TTT).</t>
  </si>
  <si>
    <t>Total revenue from retail charges, other than on a measured basis. This should be split between household and non-household connections.</t>
  </si>
  <si>
    <t>Total revenue from retail charges, where all or some of the charges are based on measured quantities of volume. This should be split between household and non-household connections.</t>
  </si>
  <si>
    <t>Any third party revenue relating to retail activities.</t>
  </si>
  <si>
    <t>Total revenue from retail charges. The sum of table 2I lines 10 to 12.</t>
  </si>
  <si>
    <t>Bulk supply charges received for providing a bulk supply (for potable or non-potable supplies) to another water undertaker.</t>
  </si>
  <si>
    <t>Bulk supply charges for providing wastewater connection agreements with another wastewater undertaker.</t>
  </si>
  <si>
    <t>All other sources of revenue received from third parties for which costs are not covered by the wholesale price control. E.g. rechargeable works where the appointee is a monopoly supplier and Excluded charges.</t>
  </si>
  <si>
    <t>All other sources of revenue that are not reported elsewhere in the table but are classed as appointed business. E.g. recreational use of protected land.</t>
  </si>
  <si>
    <t>The sum of table 2I lines 9, 13, 14, 15, 16 and 17. This should equal table 1A line 1 (appointed business activities column).</t>
  </si>
  <si>
    <t>Wholesale revenue governed by price control. Equal to table 2I line 9.</t>
  </si>
  <si>
    <t>Relevant capital contributions from connection charges and revenue from infrastructure charges, defined in the final determination as covered by the price control. Equal to the sum of table 2E lines 1, 2, 3 and 4 (column 4) for water and 9, 10 and 11 (column 4) for wastewater. Column 4 of table 2E indicates the total of grants and contributions received (including those governed by the price control) and so are indifferent to the accounting treatment.</t>
  </si>
  <si>
    <t>1
2
3
4</t>
  </si>
  <si>
    <t>Total revenue governed by wholesale price control. Sum of table 2I lines 19 and 20.</t>
  </si>
  <si>
    <t>Amount assumed in wholesale determination for the year.</t>
  </si>
  <si>
    <t>The change in revenue (from the final determination) as applied by the company arising from the in-period ODI adjustment.</t>
  </si>
  <si>
    <t>The change in revenue (from the final determination) as applied by the company arising from the in-period WRFIM adjustment.</t>
  </si>
  <si>
    <t>Total of revenue assumed at the determination and that arising from any in-period ODI revenue reward. Sum of Table 2I lines 22 to 24.</t>
  </si>
  <si>
    <t>Table 2I line 21 minus line 25. Cross reference to a narrative explanation.</t>
  </si>
  <si>
    <t>2J - Infrastructure network reinforcement costs</t>
  </si>
  <si>
    <t>Network reinforcement capex</t>
  </si>
  <si>
    <t>On site / site specific capex (memo only)</t>
  </si>
  <si>
    <t>Wholesale water network+ (treated water distribution)</t>
  </si>
  <si>
    <t>2J.1</t>
  </si>
  <si>
    <t>Distribution and trunk mains</t>
  </si>
  <si>
    <t>BC30449DT</t>
  </si>
  <si>
    <t>BC30449DTM</t>
  </si>
  <si>
    <t>2J.2</t>
  </si>
  <si>
    <t>Pumping and storage facilities</t>
  </si>
  <si>
    <t>BC30449PS</t>
  </si>
  <si>
    <t>BC30449PSM</t>
  </si>
  <si>
    <t>2J.3</t>
  </si>
  <si>
    <t>BC30449O</t>
  </si>
  <si>
    <t>BC30449OM</t>
  </si>
  <si>
    <t>2J.4</t>
  </si>
  <si>
    <t>The total for water for the network reinforcement column should equal line 4D.16.</t>
  </si>
  <si>
    <t>BC30449TWDT</t>
  </si>
  <si>
    <t>BC30449TM</t>
  </si>
  <si>
    <t>Wholesale wastewater network+ (sewage collection)</t>
  </si>
  <si>
    <t>2J.5</t>
  </si>
  <si>
    <t>Foul and combined systems</t>
  </si>
  <si>
    <t>BC30849FC</t>
  </si>
  <si>
    <t>BC30849FCM</t>
  </si>
  <si>
    <t>2J.6</t>
  </si>
  <si>
    <t>Surface water only systems</t>
  </si>
  <si>
    <t>BC30849SW</t>
  </si>
  <si>
    <t>BC30849SWM</t>
  </si>
  <si>
    <t>2J.7</t>
  </si>
  <si>
    <t>BC30849PS</t>
  </si>
  <si>
    <t>BC30849PSM</t>
  </si>
  <si>
    <t>2J.8</t>
  </si>
  <si>
    <t>BC30849O</t>
  </si>
  <si>
    <t>BC30849OM</t>
  </si>
  <si>
    <t>2J.9</t>
  </si>
  <si>
    <t xml:space="preserve">The total for wastewater for the network reinforcement column should equal line 4E.16. </t>
  </si>
  <si>
    <t>BC30849SCT</t>
  </si>
  <si>
    <t>BC30849SCTM</t>
  </si>
  <si>
    <t>Capital expenditure on new or upsized distribution and trunk mains other than defined in table 4D lines 14 and 15, and excluding third party capex.</t>
  </si>
  <si>
    <t>Capital expenditure on new or upgrading of pumps and the installation of small service reservoirs or towers other than defined in table 4D lines 14 and 15, and excluding third party capex.</t>
  </si>
  <si>
    <t>Any other capital expenditure other than defined in table 4D lines 14 and 15 and in table 2J lines 1 and 2.</t>
  </si>
  <si>
    <t>The sum of table 2J line 1 to 3.</t>
  </si>
  <si>
    <t>Capital expenditure on new or upsized public foul and combined sewers other than defined in table 4E lines 14 and 15, and excluding third party capex.</t>
  </si>
  <si>
    <t>Capital expenditure on new or upsized surface water only public sewers other than defined in table 4E lines 14 and 15, and excluding third party capex.</t>
  </si>
  <si>
    <t>Capital expenditure on construction of new booster stations and pumps and installation of storage tanks other than defined in table 4E lines 14 and 15, and excluding third party capex</t>
  </si>
  <si>
    <t>Any other capital expenditure other than defined in table 4E lines 14 and 15 and in table 2J lines 5 to 7.</t>
  </si>
  <si>
    <t>The sum of table 2J lines 5 to 8.</t>
  </si>
  <si>
    <t>2K - Infrastructure charges reconciliation</t>
  </si>
  <si>
    <t>Impact of infrastructure charge discounts</t>
  </si>
  <si>
    <t>2K.1</t>
  </si>
  <si>
    <t>Infrastructure charges</t>
  </si>
  <si>
    <t>BC11470</t>
  </si>
  <si>
    <t>2K.2</t>
  </si>
  <si>
    <t>Discounts applied to infrastructure charges</t>
  </si>
  <si>
    <t>BC11270DIS</t>
  </si>
  <si>
    <t>BC11370DIS</t>
  </si>
  <si>
    <t>BC11470DIS</t>
  </si>
  <si>
    <t>2K.3</t>
  </si>
  <si>
    <t>Gross infrastructure charges</t>
  </si>
  <si>
    <t>BC11270GROSS</t>
  </si>
  <si>
    <t>BC11370GROSS</t>
  </si>
  <si>
    <t>BC11470GROSS</t>
  </si>
  <si>
    <t>Comparison of revenue and costs</t>
  </si>
  <si>
    <t>2K.4</t>
  </si>
  <si>
    <t>Variance brought forward</t>
  </si>
  <si>
    <t>BC11470VARBFWD</t>
  </si>
  <si>
    <t>2K.5</t>
  </si>
  <si>
    <t>2K.6</t>
  </si>
  <si>
    <t>Costs</t>
  </si>
  <si>
    <t>BC11270NRC</t>
  </si>
  <si>
    <t>BC11370NRC</t>
  </si>
  <si>
    <t>BC11470NRC</t>
  </si>
  <si>
    <t>2K.7</t>
  </si>
  <si>
    <t>Variance carried forward</t>
  </si>
  <si>
    <t>BC11270VARCFWD</t>
  </si>
  <si>
    <t>BC11370VARCFWD</t>
  </si>
  <si>
    <t>BC11470VARCFWD</t>
  </si>
  <si>
    <t>Value of grants and contributions receivable, as recorded in table 2E, lines 2 and 9</t>
  </si>
  <si>
    <t>The value of the discount applied to infrastructure charges.</t>
  </si>
  <si>
    <t>Value of grants and contributions receivable before any discounts are applied. E.g. for water efficient properties. Calculated as the sum of 2K lines 1 and 2.</t>
  </si>
  <si>
    <t>Variance reported in 2K.7 in the previous reporting year. For 2018-19, this should be assumed as £nil.</t>
  </si>
  <si>
    <t>Water: Value derived above in 2K line 3 (column 1)
Wastewater: Value derived above in 2K line 3 (column 2)</t>
  </si>
  <si>
    <t>Water: Equal to 2J line 4 column 1 x (-1)
Wastewater: Equal to 2J line 9 column 1 x (-1)</t>
  </si>
  <si>
    <t>The sum of lines 2K lines 4 to 6</t>
  </si>
  <si>
    <t>3A - Outcome performance table</t>
  </si>
  <si>
    <t>Other checks</t>
  </si>
  <si>
    <t>Row</t>
  </si>
  <si>
    <t>Unique ID</t>
  </si>
  <si>
    <t>Performance commitment</t>
  </si>
  <si>
    <t>Unit</t>
  </si>
  <si>
    <t>Unit description</t>
  </si>
  <si>
    <t>Decimal places</t>
  </si>
  <si>
    <r>
      <t>2018-19 performance level - actual</t>
    </r>
    <r>
      <rPr>
        <sz val="10"/>
        <color rgb="FF0078C9"/>
        <rFont val="Arial"/>
        <family val="2"/>
      </rPr>
      <t xml:space="preserve">
(for information)</t>
    </r>
  </si>
  <si>
    <t>2019-20 performance level - actual</t>
  </si>
  <si>
    <t>2019-20 PCL met?</t>
  </si>
  <si>
    <r>
      <t xml:space="preserve">2019-20
outperformance payment
or underperformance payment -
in-period ODIs 
</t>
    </r>
    <r>
      <rPr>
        <sz val="10"/>
        <color rgb="FF0078C9"/>
        <rFont val="Arial"/>
        <family val="2"/>
      </rPr>
      <t>(indicator)</t>
    </r>
  </si>
  <si>
    <r>
      <t xml:space="preserve">2019-20 outperformance payment or underperformance payment - 
in-period ODIs 
</t>
    </r>
    <r>
      <rPr>
        <sz val="10"/>
        <color rgb="FF0078C9"/>
        <rFont val="Arial"/>
        <family val="2"/>
      </rPr>
      <t>(</t>
    </r>
    <r>
      <rPr>
        <sz val="9"/>
        <color rgb="FF0078C9"/>
        <rFont val="Arial"/>
        <family val="2"/>
      </rPr>
      <t>£m, to 4 dp)</t>
    </r>
  </si>
  <si>
    <r>
      <t xml:space="preserve">2019-20
outperformance payment
or underperformance payment - 
ODIs payable at the end of AMP6 
</t>
    </r>
    <r>
      <rPr>
        <sz val="10"/>
        <color rgb="FF0078C9"/>
        <rFont val="Arial"/>
        <family val="2"/>
      </rPr>
      <t>(indicator)</t>
    </r>
  </si>
  <si>
    <r>
      <t xml:space="preserve">2019-20 outperformance payment or underperformance payment - ODIs payable at the end of AMP6
</t>
    </r>
    <r>
      <rPr>
        <sz val="10"/>
        <color rgb="FF0078C9"/>
        <rFont val="Arial"/>
        <family val="2"/>
      </rPr>
      <t>(£m, to 4 dp)</t>
    </r>
  </si>
  <si>
    <r>
      <t xml:space="preserve">31 March 2020 forecast - 
total AMP6 outperformance payment or underperformance payment
</t>
    </r>
    <r>
      <rPr>
        <sz val="10"/>
        <color theme="0" tint="-0.34998626667073579"/>
        <rFont val="Arial"/>
        <family val="2"/>
      </rPr>
      <t xml:space="preserve">(indicator)
</t>
    </r>
    <r>
      <rPr>
        <b/>
        <sz val="10"/>
        <color theme="0" tint="-0.34998626667073579"/>
        <rFont val="Arial"/>
        <family val="2"/>
      </rPr>
      <t>NOT USED (LEAVE BLANK)</t>
    </r>
  </si>
  <si>
    <r>
      <t xml:space="preserve">31 March 2020 forecast -
total AMP6 outperformance payment or underperformance payment
</t>
    </r>
    <r>
      <rPr>
        <sz val="10"/>
        <color theme="0" tint="-0.34998626667073579"/>
        <rFont val="Arial"/>
        <family val="2"/>
      </rPr>
      <t xml:space="preserve">(£m, to </t>
    </r>
    <r>
      <rPr>
        <sz val="9"/>
        <color theme="0" tint="-0.34998626667073579"/>
        <rFont val="Arial"/>
        <family val="2"/>
      </rPr>
      <t xml:space="preserve">4 dp)
</t>
    </r>
    <r>
      <rPr>
        <b/>
        <sz val="10"/>
        <color theme="0" tint="-0.34998626667073579"/>
        <rFont val="Arial"/>
        <family val="2"/>
      </rPr>
      <t>NOT USED (LEAVE BLANK)</t>
    </r>
  </si>
  <si>
    <t>Consistency</t>
  </si>
  <si>
    <t>Outperformance payments should be entered as positive numbers</t>
  </si>
  <si>
    <t>Underperformance payments should be entered as negative numbers</t>
  </si>
  <si>
    <t>F</t>
  </si>
  <si>
    <t>G</t>
  </si>
  <si>
    <t>H</t>
  </si>
  <si>
    <t>I</t>
  </si>
  <si>
    <t>J</t>
  </si>
  <si>
    <t>K</t>
  </si>
  <si>
    <t>L</t>
  </si>
  <si>
    <t>M</t>
  </si>
  <si>
    <t>N</t>
  </si>
  <si>
    <t>Column</t>
  </si>
  <si>
    <t>Actual performance for the previous reporting year (pre-populated data)</t>
  </si>
  <si>
    <t>I
2018-19 performance level - actual</t>
  </si>
  <si>
    <t>Actual performance for the current reporting year in the units the PC is measured in.
For example, if the PC is measured in Ml/day and the actual performance level is 124.5 Ml/day, then enter 124.5
This line applies to all PCs, including those with non-financial incentives and those where a committed performance level has not been set for the current reporting year.</t>
  </si>
  <si>
    <t>J
2018-19 CPL met?</t>
  </si>
  <si>
    <t>If the performance commitment level for the current reporting year has been met select ‘Yes’, where it has not been met select ‘No’.
If a committed performance level has not been set for the current reporting year select "-" (hyphen).</t>
  </si>
  <si>
    <t>K
2018-19
outperformance payment
or underperformance payment -
in-period ODIs 
(indicator)</t>
  </si>
  <si>
    <r>
      <t>This column applies only to PCs which have ODIs that are payable within AMP6 rather than at the end of AMP6 (that is, some of the Anglian Water, Severn Trent Water and South West Water PCs).</t>
    </r>
    <r>
      <rPr>
        <b/>
        <sz val="10"/>
        <rFont val="Arial"/>
        <family val="2"/>
      </rPr>
      <t xml:space="preserve">
</t>
    </r>
    <r>
      <rPr>
        <sz val="10"/>
        <rFont val="Arial"/>
        <family val="2"/>
      </rPr>
      <t>If an outperformance payment has been earned in the current reporting year select ‘Outperformance payment’, if an underperformance payment has been earned select ‘Underperformance payment’.
If the actual performance level is within the outperformance payment deadband select “Outperformance payment deadband’, if it is within the underperformance payment deadband select “Underperformance payment deadband”.
Otherwise leave blank (empty) or select "-".
Note: this refers to the outperformance payment or underperformance payment for the current reporting year, not the cumulative value since 1 April 2015.</t>
    </r>
  </si>
  <si>
    <t>L
2018-19 outperformance payment or underperformance payment - 
in-period ODIs</t>
  </si>
  <si>
    <t>This column applies only to PCs which have ODIs that are payable within AMP6 rather than at the end of AMP6 (that is, some of the Anglian Water, Severn Trent Water and South West Water PCs).
The outperformance payment or underperformance payment earned in the current reporting year.
£million to 4 decimal places, rounded.
Outperformance payments must be entered as a positive number, underperformance payments as a negative number.
Where no outperformance payment or underperformance payment has been earned, leave blank (empty).
Note: this is the outperformance payment or underperformance payment for the current reporting year, not the cumulative value since 1 April 2015.</t>
  </si>
  <si>
    <t>M
2018-19
outperformance payment
or underperformance payment - 
ODIs payable at the end of AMP6 
(indicator)</t>
  </si>
  <si>
    <r>
      <rPr>
        <b/>
        <sz val="10"/>
        <color theme="1"/>
        <rFont val="Arial"/>
        <family val="2"/>
      </rPr>
      <t>This column applies only to PCs which have ODIs that are payable at the end of AMP6.</t>
    </r>
    <r>
      <rPr>
        <sz val="10"/>
        <color theme="1"/>
        <rFont val="Arial"/>
        <family val="2"/>
      </rPr>
      <t xml:space="preserve">
If an outperformance payment has been earned in the current reporting year select “Outperformance payment”, if an underperformance payment has been earned select “Underperformance payment”.
If the actual performance level is within the outperformance deadband select “Outperformance payment deadband”, if it is within the underperformance deadband select “Underperformance payment deadband”.
Otherwise leave blank (empty) or select "-".
Note: this refers to the outperformance payment or underperformance payment for the current reporting year, not the cumulative value since 1 April 2015.</t>
    </r>
  </si>
  <si>
    <t>N
2018-19 outperformance payment or underperformance payment - ODIs payable at the end of AMP6</t>
  </si>
  <si>
    <t>This column applies only to PCs which have ODIs that are payable at the end of AMP6.
The outperformance payment or underperformance payment accrued in the current reporting year.
£million to 4 decimal places, rounded.
Outperformance payments must be entered as a positive number, underperformance payments as a negative number
Where no outperformance payment or underperformance payment has accrued, leave blank (empty).
Note: this is the outperformance payment or underperformance payment for the current reporting year, not the cumulative value since 1 April 2015.</t>
  </si>
  <si>
    <t>O
31 March 2020 forecast - 
total AMP6 outperformance payment or underperformance payment
(indicator)</t>
  </si>
  <si>
    <t>This column applies to all financial ODIs (that is, ODIs that are payable within AMP6 and ODIs that are payable at the end of AMP6).
A forecast of the overall outperformance payment or underperformance payment paid/ accrued by the end of AMP6 (31 March 2020) based on your current performance and your current expectation of your future performance.
If an overall outperformance is forecast select “Outperformance payment”, if underperformance is forecast select “Underperformance payment”.
If the actual performance level is forecast to be within the outperformance deadband select “Outperformance payment deadband”, if it is forecast to be within the underperformance deadband select “Underperformance payment deadband”.
Otherwise leave blank (empty) or select "-".
A forecast for the total AMP6 outperformance payment or underperformance payment, as at 31 March 2020, should be entered if:
• Outperformance or underperformance payment is probable ('more likely than not'); and
• the amount can be estimated reliably (it should be the best estimate and, in reaching the best estimate, the company should take into account the risks and uncertainties that surround the underlying events).
The forecast should include any outperformance payment and/or underperformance payment already earned (either in previous reporting years or the current reporting year), plus forecasts for the remaining years of the AMP.</t>
  </si>
  <si>
    <t>P
31 March 2020 forecast -
total AMP6 outperformance payment or underperformance payment</t>
  </si>
  <si>
    <r>
      <rPr>
        <b/>
        <sz val="10"/>
        <color theme="1"/>
        <rFont val="Arial"/>
        <family val="2"/>
      </rPr>
      <t>This column applies to all financial ODIs (that is, ODIs that are payable within AMP6 and ODIs that are payable at the end of AMP6).</t>
    </r>
    <r>
      <rPr>
        <sz val="10"/>
        <color theme="1"/>
        <rFont val="Arial"/>
        <family val="2"/>
      </rPr>
      <t xml:space="preserve">
A forecast of the overall outperformance payment or underperformance payment paid/ accrued by the end of AMP6 (31 March 2020) based on your current performance and your current expectation of your future performance. The forecast should include any outperformance payment and/or underperformance payment already earned (either in previous reporting years or the current reporting year), plus forecasts for the remaining years of the AMP.
£million to 4 decimal places, rounded.
Outperformance payments must be entered as a positive number, underperformance payments as a negative number.</t>
    </r>
  </si>
  <si>
    <t>3A - Table guidance</t>
  </si>
  <si>
    <r>
      <rPr>
        <b/>
        <sz val="11"/>
        <color theme="1"/>
        <rFont val="Arial"/>
        <family val="2"/>
      </rPr>
      <t>Price base</t>
    </r>
    <r>
      <rPr>
        <sz val="11"/>
        <color theme="1"/>
        <rFont val="Arial"/>
        <family val="2"/>
      </rPr>
      <t xml:space="preserve">
Within the PR14 final determination company-specific appendices the PC and ODI monetary values, including incentive rates, are in 2012-13 prices.
For the five year AMP6 period, the PC and ODI monetary amounts in table 3A should also be in 2012-13 prices, not in report year prices.
This includes the 31 March 2020 forecasts for total AMP6 outperformance payment or underperformance payment. It also includes actual performance levels that are measured in monetary values.
It is for companies to decide how best to communicate their performance to customers, customer challenge groups (CCGs) and other stakeholders.
Those companies with in-period ODIs should include a detailed note in their regulatory accounts to reconcile the value of any provision they declare in the financial statements in respect of underperformance payments or outperformance payments that will be payable in the next charging year with the APR table 3A 2012-13 price term values.
</t>
    </r>
    <r>
      <rPr>
        <b/>
        <sz val="11"/>
        <color theme="1"/>
        <rFont val="Arial"/>
        <family val="2"/>
      </rPr>
      <t>When will indexation take place?</t>
    </r>
    <r>
      <rPr>
        <sz val="11"/>
        <color theme="1"/>
        <rFont val="Arial"/>
        <family val="2"/>
      </rPr>
      <t xml:space="preserve">
The ODI monetary values will be indexed immediately prior to their application. That is, financial outperformance payments and underperformance payment will need to be translated to future year prices at the time of payment to/by the company:
• For in-period ODIs (adjustment to in-period revenue) indexation will take place as part of the determination process
• For ODIs that will be applied at a future price review determination indexation will take place as part of the price review reconciliation process.
</t>
    </r>
    <r>
      <rPr>
        <b/>
        <sz val="11"/>
        <color theme="1"/>
        <rFont val="Arial"/>
        <family val="2"/>
      </rPr>
      <t>SIM reporting</t>
    </r>
    <r>
      <rPr>
        <sz val="11"/>
        <color theme="1"/>
        <rFont val="Arial"/>
        <family val="2"/>
      </rPr>
      <t xml:space="preserve">
For SIM performance, we are not expecting companies to report an earned, accrued or forecast financial outperformance payment or underperformance payment in table 3A (outcome performance) as part of the Annual Performance Reporting.
We would expect companies to clearly explain the SIM scores, and how they have been determined, when communicating performance to customers and other stakeholders.</t>
    </r>
  </si>
  <si>
    <t>1
2
3
4
5
6
7
8
9
10
11
12
13
14
15
16
17
18
19
20
21
22
23
24
25
26
27
28</t>
  </si>
  <si>
    <t>3B - Sub-measure performance table</t>
  </si>
  <si>
    <t>Consistency check</t>
  </si>
  <si>
    <t>PC/sub-measure
ID</t>
  </si>
  <si>
    <t>PC / sub-measure</t>
  </si>
  <si>
    <t>2018-19 performance level - actual</t>
  </si>
  <si>
    <t>The value entered in table 3b does not correspond to the value entered in table 3a.</t>
  </si>
  <si>
    <t>Actual performance for the current reporting year in the units of the PC or sub-measure
For example, if the sub-measure is measured as a percentage and the actual performance level is 99.98%, then enter 99.98</t>
  </si>
  <si>
    <t>If the reference / performance level for the current reporting year has been met select “Yes”, where it has not been met select “No”
If a reference / performance level has not been set for the current reporting year select "-" (hyphen).</t>
  </si>
  <si>
    <t>3C - AIM table</t>
  </si>
  <si>
    <t>BON CODE ALLOCATION - Group items</t>
  </si>
  <si>
    <t>Consistency checks</t>
  </si>
  <si>
    <t>Abstraction site</t>
  </si>
  <si>
    <t>2019-20 AIM performance
[Ml]</t>
  </si>
  <si>
    <t>2019-20 normalised AIM performance
[nr]</t>
  </si>
  <si>
    <r>
      <t xml:space="preserve">Cumulative AIM performance 2016-17 onwards
</t>
    </r>
    <r>
      <rPr>
        <sz val="9"/>
        <color rgb="FF0078C9"/>
        <rFont val="Franklin Gothic Demi"/>
        <family val="2"/>
      </rPr>
      <t>[Ml]</t>
    </r>
  </si>
  <si>
    <t>Cumulative normalised AIM performance 2016-17 onwards 
[nr]</t>
  </si>
  <si>
    <t>Contextual information
relating to AIM performance</t>
  </si>
  <si>
    <t>Please complete columns D to H.</t>
  </si>
  <si>
    <t>Please enter a numeric value in columns D to H.</t>
  </si>
  <si>
    <r>
      <t xml:space="preserve">Cumulative AIM performance
2016-17 onwards
</t>
    </r>
    <r>
      <rPr>
        <sz val="9"/>
        <color rgb="FF0078C9"/>
        <rFont val="Franklin Gothic Demi"/>
        <family val="2"/>
      </rPr>
      <t>[Ml]</t>
    </r>
  </si>
  <si>
    <t>Cumulative normalised AIM performance
2016-17 onwards 
[nr]</t>
  </si>
  <si>
    <t>AIMAMP6_AS</t>
  </si>
  <si>
    <t>AIMAMP6_DP</t>
  </si>
  <si>
    <t>AIMAMP6_AP</t>
  </si>
  <si>
    <t>AIMAMP6_NAP</t>
  </si>
  <si>
    <t>AIMAMP6_CAP</t>
  </si>
  <si>
    <t>AIMAMP6_CNAP</t>
  </si>
  <si>
    <t>AIMAMP6_TEXT</t>
  </si>
  <si>
    <t>3C.1</t>
  </si>
  <si>
    <t>The name of the abstraction site. This can be anonymised if it is necessary for national security reasons.</t>
  </si>
  <si>
    <t>3C.2</t>
  </si>
  <si>
    <t>Enter the number of decimal places.</t>
  </si>
  <si>
    <t>3C.3</t>
  </si>
  <si>
    <t>The AIM performance in Ml (megalitres) for the current reporting year is calculated as follows:
(F-T) * P
where:
A = AIM performance in Ml 
F = = (average daily abstraction (Ml/d)  during period when flows are at or below the trigger threshold
T =- baseline average daily abstraction (Ml/d) during period when flows are at or below the trigger threshold)
P =  * length of period (d) when flows are at or below the trigger threshold.</t>
  </si>
  <si>
    <t>3C.4</t>
  </si>
  <si>
    <t xml:space="preserve">The normalised AIM performance for the current reporting year is calculated as follows:
A / (T * P) </t>
  </si>
  <si>
    <t>3C.5</t>
  </si>
  <si>
    <t xml:space="preserve">Cumulative AIM performance in Ml for the years 2016-17 onwards.
Ai+Aii+Aiii......
where:
Ai = AIM performance in Ml in year i
</t>
  </si>
  <si>
    <t>3C.6</t>
  </si>
  <si>
    <t xml:space="preserve">Cumulative normalised AIM performance in Ml for the years 2016-17 onwards.
∑A  / (T * ∑P)  
Where:
∑A = Ai+Aii+Aiii......
∑P = Pi+Pii+Piii......, Pi = length of period (d) when flows are at or below the trigger threshold in year i
</t>
  </si>
  <si>
    <t>3C.7</t>
  </si>
  <si>
    <t>Water companies may provide contextual information around their AIM performance. For example, water companies could explain the environmental challenges that affect their regions, the past, current and future measures they are taking to deal with unsustainable abstraction and other information they consider relevant to put their AIM performance into context.</t>
  </si>
  <si>
    <t>3D - SIM table</t>
  </si>
  <si>
    <t>Incorrect value check</t>
  </si>
  <si>
    <t>Please fill in the cell</t>
  </si>
  <si>
    <t>Please enter a number between 1 and 5</t>
  </si>
  <si>
    <t>Please enter a number between 1 and 75</t>
  </si>
  <si>
    <t>Score</t>
  </si>
  <si>
    <t>Incorrect value</t>
  </si>
  <si>
    <t>Qualitative performance</t>
  </si>
  <si>
    <t>Survey</t>
  </si>
  <si>
    <t>Qualitative - SIM</t>
  </si>
  <si>
    <t>Quantitative</t>
  </si>
  <si>
    <t>3D.1</t>
  </si>
  <si>
    <t>1st survey score</t>
  </si>
  <si>
    <t>SIMAMP6_QL1</t>
  </si>
  <si>
    <t>3D.2</t>
  </si>
  <si>
    <t>2nd survey score</t>
  </si>
  <si>
    <t>SIMAMP6_QL2</t>
  </si>
  <si>
    <t>3D.3</t>
  </si>
  <si>
    <t>3rd survey score</t>
  </si>
  <si>
    <t>SIMAMP6_QL3</t>
  </si>
  <si>
    <t>3D.4</t>
  </si>
  <si>
    <t>4th survey score</t>
  </si>
  <si>
    <t>SIMAMP6_QL4</t>
  </si>
  <si>
    <t>3D.5</t>
  </si>
  <si>
    <t>Qualitative SIM score (out of 75)</t>
  </si>
  <si>
    <t>SIMAMP6_QLS</t>
  </si>
  <si>
    <t>3D.6</t>
  </si>
  <si>
    <t>Total contact score</t>
  </si>
  <si>
    <t>SIMAMP6_CS</t>
  </si>
  <si>
    <t>3D.7</t>
  </si>
  <si>
    <t>Quantitative SIM score (out of 25)</t>
  </si>
  <si>
    <t>SIMAMP6_QNS</t>
  </si>
  <si>
    <t>3D.8</t>
  </si>
  <si>
    <t>Total annual SIM score (out of 100)</t>
  </si>
  <si>
    <t>KI001U</t>
  </si>
  <si>
    <t>Please refer to 'RAG 4.08 - Guideline for the table definitions in the annual performance report for the reporting year 2019-20 and the information notice 'Expectations for monopoly company annual performance reporting 2019-20'</t>
  </si>
  <si>
    <t>Score of the first qualitative survey for the current reporting year (2 decimal places).</t>
  </si>
  <si>
    <t>Score of the second qualitative survey for the current reporting year (2 decimal places).</t>
  </si>
  <si>
    <t>Score of the third qualitative survey for the current reporting year (2 decimal places).</t>
  </si>
  <si>
    <t>Score of the fourth qualitative survey for the current reporting (2 decimal places).</t>
  </si>
  <si>
    <t>The qualitative score is calculated to 2 decimal places as follows:
[(S - LS) / (HS - LS)] * WS
where:
S = qualitative survey annual average score 
LS = minimum survey score possible (set at 1)
HS = maximum survey score possible (set at 5) 
WS = survey weighting (set at 75)
Please ensure that S is not rounded before being used in the above calculation.</t>
  </si>
  <si>
    <t>The total contact score (C) is calculated to 2 decimal places as follows:
[(unwanted phone contacts x 1) + (written complaints x 5)
+ (escalated written complaints x 100)
+ (CCWater investigated complaints x 1000)] / (connected household properties / 1000)</t>
  </si>
  <si>
    <t>The quantitative score is calculated to 2 decimal places as follows:
[1 - [(C - CL) / (CH - CL)]] * WC
where:
C = total contact score (see table 3D line 6 above) 
CL = contact score minimum (set at 0) 
CH = contact score maximum (set at 500) 
WC = contact score weighting (set at 25)</t>
  </si>
  <si>
    <t>The total annual SIM score is calculated to 2 decimal places as follows:
Qualitative score (table 3D line 5) + Quantitative score (table 3D line 7)</t>
  </si>
  <si>
    <t>AR</t>
  </si>
  <si>
    <t>BO</t>
  </si>
  <si>
    <t>IR</t>
  </si>
  <si>
    <t>1a</t>
  </si>
  <si>
    <t>5a</t>
  </si>
  <si>
    <t>Leakage</t>
  </si>
  <si>
    <t>2016-17</t>
  </si>
  <si>
    <t>2017-18</t>
  </si>
  <si>
    <t>2018-19</t>
  </si>
  <si>
    <t>2019-20</t>
  </si>
  <si>
    <t>Ml/d</t>
  </si>
  <si>
    <t>Supply interruptions</t>
  </si>
  <si>
    <t>-</t>
  </si>
  <si>
    <t>Mains bursts</t>
  </si>
  <si>
    <t>0</t>
  </si>
  <si>
    <t>Sewer collapses</t>
  </si>
  <si>
    <t>10</t>
  </si>
  <si>
    <t>11</t>
  </si>
  <si>
    <t>Amber</t>
  </si>
  <si>
    <t>Green</t>
  </si>
  <si>
    <t>Yes</t>
  </si>
  <si>
    <t>No</t>
  </si>
  <si>
    <t>4A - Non-financial information</t>
  </si>
  <si>
    <t>Bon Code</t>
  </si>
  <si>
    <t>4A.1</t>
  </si>
  <si>
    <t>Number of void households</t>
  </si>
  <si>
    <t>000s</t>
  </si>
  <si>
    <t>WHV001U</t>
  </si>
  <si>
    <t>WHV001M</t>
  </si>
  <si>
    <t>4A.2</t>
  </si>
  <si>
    <t>Per capita consumption (excluding supply pipe leakage) l/h/d</t>
  </si>
  <si>
    <t>l/h/d</t>
  </si>
  <si>
    <t>BN2304</t>
  </si>
  <si>
    <t>BN2305</t>
  </si>
  <si>
    <t>Volume (Ml/d)</t>
  </si>
  <si>
    <t>4A.3</t>
  </si>
  <si>
    <t>Bulk supply export</t>
  </si>
  <si>
    <t>BN2370</t>
  </si>
  <si>
    <t>BN2370S</t>
  </si>
  <si>
    <t>4A.4</t>
  </si>
  <si>
    <t>Bulk supply import</t>
  </si>
  <si>
    <t>BN2360</t>
  </si>
  <si>
    <t>BN2360S</t>
  </si>
  <si>
    <t>4A.5</t>
  </si>
  <si>
    <t>Distribution input</t>
  </si>
  <si>
    <t>BN1000</t>
  </si>
  <si>
    <t>Average total number of household properties, within the supply area, which are connected for either a water service only, a wastewater service only or both services but do not receive a charge, as there are no occupants. This should not include properties that do not receive a bill because it would be uneconomical to do so. Note that a property connected for both services that is not occupied, only counts as one void property.</t>
  </si>
  <si>
    <t>Estimated per capita consumption of households that are supplied with unmeasured water. This figure applies to billed unmeasured households and excludes underground supply pipe leakage. Underground supply pipe leakage is any loss of water from the underground supply pipe. This definition is the same as that in JR11 T10 L9.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</si>
  <si>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Estimated per capita consumption of measured households. This figure applies to billed measured households and excludes underground supply pipe leakage. This definition is the same as that in JR11 T10 L8.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</si>
  <si>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Volume of water (treated and untreated) exported to other companies in bulk supplies by the appointed business.</t>
  </si>
  <si>
    <t>Volume of water (treated and untreated) imported from other companies in bulk supplies by the appointed business. Tankered waste volumes, which is a non-appointed activity, should not be included in this line.</t>
  </si>
  <si>
    <t>Distribution input is the average amount of potable water entering the distribution network and supplied to customers within the company’s area of supply.</t>
  </si>
  <si>
    <t xml:space="preserve">4B - Wholesale totex analysis </t>
  </si>
  <si>
    <t>Cumulative 2015-20</t>
  </si>
  <si>
    <t>Actual totex</t>
  </si>
  <si>
    <t>4B.1</t>
  </si>
  <si>
    <t>W3026MT</t>
  </si>
  <si>
    <t>S3040MT</t>
  </si>
  <si>
    <t>W3026MTCUM</t>
  </si>
  <si>
    <t>S3040MTCUM</t>
  </si>
  <si>
    <t>S3040TOTTTTCUM</t>
  </si>
  <si>
    <t>Items excluded from the menu</t>
  </si>
  <si>
    <t>4B.2</t>
  </si>
  <si>
    <t>Third party costs</t>
  </si>
  <si>
    <t>CRW004</t>
  </si>
  <si>
    <t>CRS004</t>
  </si>
  <si>
    <t>CRS004TTT</t>
  </si>
  <si>
    <t>CRW004CUM</t>
  </si>
  <si>
    <t>CRS004CUM</t>
  </si>
  <si>
    <t>CRS004TTTCUM</t>
  </si>
  <si>
    <t>4B.3</t>
  </si>
  <si>
    <t>CRW003</t>
  </si>
  <si>
    <t>CRS003</t>
  </si>
  <si>
    <t>CRS003TTT</t>
  </si>
  <si>
    <t>CRW003CUM</t>
  </si>
  <si>
    <t>CRS003CUM</t>
  </si>
  <si>
    <t>CRS003TTTCUM</t>
  </si>
  <si>
    <t>4B.4</t>
  </si>
  <si>
    <t>Other 'Rule book' adjustments</t>
  </si>
  <si>
    <t>CRW005</t>
  </si>
  <si>
    <t>CRS005</t>
  </si>
  <si>
    <t>CRS005TTT</t>
  </si>
  <si>
    <t>CRW005CUM</t>
  </si>
  <si>
    <t>CRS005CUM</t>
  </si>
  <si>
    <t>CRS005TTTCUM</t>
  </si>
  <si>
    <t>4B.5</t>
  </si>
  <si>
    <t xml:space="preserve">Total items excluded from the menu </t>
  </si>
  <si>
    <t>CRW006</t>
  </si>
  <si>
    <t>CRS006</t>
  </si>
  <si>
    <t>CRS006TTT</t>
  </si>
  <si>
    <t>CRW006CUM</t>
  </si>
  <si>
    <t>CRS006CUM</t>
  </si>
  <si>
    <t>CRS006TTTCUM</t>
  </si>
  <si>
    <t>Transition expenditure</t>
  </si>
  <si>
    <t>4B.6</t>
  </si>
  <si>
    <t>CRW011</t>
  </si>
  <si>
    <t>CRS011</t>
  </si>
  <si>
    <t>CRS011TTT</t>
  </si>
  <si>
    <t>CRW011CUM</t>
  </si>
  <si>
    <t>CRS011CUM</t>
  </si>
  <si>
    <t>CRS011TTTCUM</t>
  </si>
  <si>
    <t>Adjusted Actual totex</t>
  </si>
  <si>
    <t>4B.7</t>
  </si>
  <si>
    <t>CRW012</t>
  </si>
  <si>
    <t>CRS012</t>
  </si>
  <si>
    <t>CRS012TTT</t>
  </si>
  <si>
    <t>CRW012CUM</t>
  </si>
  <si>
    <t>CRS012CUM</t>
  </si>
  <si>
    <t>CRS012TTTCUM</t>
  </si>
  <si>
    <t>4B.8</t>
  </si>
  <si>
    <t>Adjusted Actual totex base year prices</t>
  </si>
  <si>
    <t>CRW013</t>
  </si>
  <si>
    <t>CRS013</t>
  </si>
  <si>
    <t>CRS013TTT</t>
  </si>
  <si>
    <t>CRW013CUM</t>
  </si>
  <si>
    <t>CRS013CUM</t>
  </si>
  <si>
    <t>CRS013TTTCUM</t>
  </si>
  <si>
    <t>Allowed totex</t>
  </si>
  <si>
    <t>4B.9</t>
  </si>
  <si>
    <t>Allowed totex based on final menu choice – base year prices</t>
  </si>
  <si>
    <t>CRW014</t>
  </si>
  <si>
    <t>CRS014</t>
  </si>
  <si>
    <t>CRS014TTT</t>
  </si>
  <si>
    <t>CRW014CUM</t>
  </si>
  <si>
    <t>CRS014CUM</t>
  </si>
  <si>
    <t>CRS014TTTCUM</t>
  </si>
  <si>
    <t>Reported total wholesale operating expenditure and capital expenditure including cash items as reported in table 2B line 24.</t>
  </si>
  <si>
    <t>Actual costs relating to third party services.
Equal to third party capex and opex costs included in the inputs in section 3.1 of the inputs to the PR14 reconciliation rulebook wholesale totex spreadsheet.</t>
  </si>
  <si>
    <t>1
2 
3
4</t>
  </si>
  <si>
    <t>Actual pension deficit recovery payments including costs capitalised and any group recharges for pension deficit costs.
Equal to pension deficit recovery payments included in the inputs in section 3.1 of the inputs to the PR14 reconciliation rulebook wholesale totex spreadsheet.</t>
  </si>
  <si>
    <t>Other adjustments to the menu included in the inputs in section 3.1 of the inputs to the PR14 reconciliation rulebook wholesale totex spreadsheet.</t>
  </si>
  <si>
    <t>The sum of table 4B lines 2 to 4.</t>
  </si>
  <si>
    <t>Transition expenditure included in the inputs in section 3.1 of the inputs to the PR14 reconciliation rulebook wholesale totex spreadsheet.</t>
  </si>
  <si>
    <t>Equal to table 4B line 1 minus line 5 plus line 6.</t>
  </si>
  <si>
    <t>Actual totex per table 4B line 7 deflated to base year (i.e. 2012-13 average year) prices using actual RPI.</t>
  </si>
  <si>
    <t>The final menu choice from the 2014 price determination (base year prices) as set out in ‘Allowed expenditure from menu’ of the ‘Wholesale water / wastewater allowed expenditure’ tables in chapters A2 (water) and A3 (wastewater) of ‘Final price control determination notice: company-specific appendix’.
Narrative on difference between 4B.8 and 4B.9.</t>
  </si>
  <si>
    <t>4C - Impact of AMP performance to date on RCV</t>
  </si>
  <si>
    <t>4C.1</t>
  </si>
  <si>
    <t>Cumulative totex over/underspend so far in the price control period</t>
  </si>
  <si>
    <t>RCT00587WT</t>
  </si>
  <si>
    <t>RCT00587WWT</t>
  </si>
  <si>
    <t>RCT00587TTTT</t>
  </si>
  <si>
    <t>4C.2</t>
  </si>
  <si>
    <t>Customer share of cumulative totex over/underspend</t>
  </si>
  <si>
    <t>RCT00587WTC</t>
  </si>
  <si>
    <t>RCT00587WWTC</t>
  </si>
  <si>
    <t>RCT00587TTTTC</t>
  </si>
  <si>
    <t>4C.3</t>
  </si>
  <si>
    <t>RCV element of cumulative totex over/underspend</t>
  </si>
  <si>
    <t>RCV element of customer share of cumulative totex over/underspend</t>
  </si>
  <si>
    <t>RCT00587WTCR</t>
  </si>
  <si>
    <t>RCT00587WWTCR</t>
  </si>
  <si>
    <t>RCT00587TTTTCR</t>
  </si>
  <si>
    <t>4C.4</t>
  </si>
  <si>
    <t>Adjustment for ODI outperformance payment or underperformance payment</t>
  </si>
  <si>
    <t>RCT00588W</t>
  </si>
  <si>
    <t>RCT00588WW</t>
  </si>
  <si>
    <t>RCT00588TTT</t>
  </si>
  <si>
    <t>4C.5</t>
  </si>
  <si>
    <t>RCV determined at FD at 31 March</t>
  </si>
  <si>
    <t>RCT00586W</t>
  </si>
  <si>
    <t>RCT00586WW</t>
  </si>
  <si>
    <t>RCT00586TTT</t>
  </si>
  <si>
    <t>4C.6</t>
  </si>
  <si>
    <t>Projected 'shadow' RCV</t>
  </si>
  <si>
    <t>RCT00589W</t>
  </si>
  <si>
    <t>RCT00589WW</t>
  </si>
  <si>
    <t>RCT00589TTT</t>
  </si>
  <si>
    <t xml:space="preserve">The difference between the actual cumulative totex and the allowed totex in the price control period. totex’This will be equivalent to “Totex under / (over) performance” as set out in section 3.5 “Totex adjustment” of the PR14 ‘Wholesale total expenditure (totex) sharing’ model which was published alongside the “Ofwat PR14 reconciliation rulebook”.
https://www.ofwat.gov.uk/wp-content/uploads/2015/10/pap_tec201507pr14totex.xlsx
https://www.ofwat.gov.uk/wp-content/uploads/2016/10/PR14-reconciliation-rulebook-Dec-17.pdf
</t>
  </si>
  <si>
    <t>The customer share of the difference in line 4C.1. This should be calculated using the formula;
(‘menu baseline totex’ – ‘actual menu totex’) * (1 – ‘cost sharing rate’).</t>
  </si>
  <si>
    <t>The RCV impact of the difference between the actual cumulative totex for the AMP and the allowed totex as shown in table 4C line 1. This will be equivalent to “Water: RCV adjustment” and “Wastewater: RCV adjustment” as set out in section 4.3 “RCV adjustments” of the PR14 ‘Wholesale total expenditure (totex) sharing’ model which was published alongside the “Ofwat PR14 reconciliation rulebook”.
It should be presented in the same price base as 4C.5 (ie March RPI as published by OFWAT) so that 4C.6 will also be in that price base.
https://www.ofwat.gov.uk/wp-content/uploads/2015/10/pap_tec201507pr14totex.xlsx
https://www.ofwat.gov.uk/wp-content/uploads/2016/10/PR14-reconciliation-rulebook-Dec-17.pdf</t>
  </si>
  <si>
    <t>RCV impact of the outperformance payment or underperformance payment from the ODI.</t>
  </si>
  <si>
    <t>RCV at 31 March per the 2014 price determination inflated using the March RPI – as published on the OFWAT website annually in April.</t>
  </si>
  <si>
    <t>The sum of table 4C lines 3 to 5.</t>
  </si>
  <si>
    <t>4D - Wholesale totex analysis - water</t>
  </si>
  <si>
    <t>Network+</t>
  </si>
  <si>
    <t>Abstraction licences</t>
  </si>
  <si>
    <t>Raw water abstraction</t>
  </si>
  <si>
    <t>Raw water transport</t>
  </si>
  <si>
    <t>Raw water storage</t>
  </si>
  <si>
    <t>Water treatment</t>
  </si>
  <si>
    <t>Treated water distribution</t>
  </si>
  <si>
    <t>4D.1</t>
  </si>
  <si>
    <t>BM102AL</t>
  </si>
  <si>
    <t>BM102RWA</t>
  </si>
  <si>
    <t>BM202RWT</t>
  </si>
  <si>
    <t>BM202RWS</t>
  </si>
  <si>
    <t>BM102WT</t>
  </si>
  <si>
    <t>BM202TWD</t>
  </si>
  <si>
    <t>BM302TAS</t>
  </si>
  <si>
    <t>4D.2</t>
  </si>
  <si>
    <t>BM336AL</t>
  </si>
  <si>
    <t>BM336RWA</t>
  </si>
  <si>
    <t>BM336RWT</t>
  </si>
  <si>
    <t>BM336RWS</t>
  </si>
  <si>
    <t>BM336WT</t>
  </si>
  <si>
    <t>BM336TWD</t>
  </si>
  <si>
    <t>BM336TAS</t>
  </si>
  <si>
    <t>4D.3</t>
  </si>
  <si>
    <t>BM131AL</t>
  </si>
  <si>
    <t>BM131RWA</t>
  </si>
  <si>
    <t>BM231RWT</t>
  </si>
  <si>
    <t>BM231RWS</t>
  </si>
  <si>
    <t>BM131WT</t>
  </si>
  <si>
    <t>BM231TWD</t>
  </si>
  <si>
    <t>BM331TAS</t>
  </si>
  <si>
    <t>4D.4</t>
  </si>
  <si>
    <t>Bulk supply</t>
  </si>
  <si>
    <t>BM140AL</t>
  </si>
  <si>
    <t>BM140RWA</t>
  </si>
  <si>
    <t>BM240RWT</t>
  </si>
  <si>
    <t>BM240RWS</t>
  </si>
  <si>
    <t>BM140WT</t>
  </si>
  <si>
    <t>BM240TWD</t>
  </si>
  <si>
    <t>BM340TAS</t>
  </si>
  <si>
    <t>4D.5</t>
  </si>
  <si>
    <t>BM339ALIR</t>
  </si>
  <si>
    <t>BM339RWAIR</t>
  </si>
  <si>
    <t>BM339RWTIR</t>
  </si>
  <si>
    <t>BM339RWSIR</t>
  </si>
  <si>
    <t>BM339WTIR</t>
  </si>
  <si>
    <t>BM339TWDIR</t>
  </si>
  <si>
    <t>BM339TASIR</t>
  </si>
  <si>
    <t>4D.6</t>
  </si>
  <si>
    <t>BM339ALNIR</t>
  </si>
  <si>
    <t>BM339RWANIR</t>
  </si>
  <si>
    <t>BM339RWTNIR</t>
  </si>
  <si>
    <t>BM339RWSNIR</t>
  </si>
  <si>
    <t>BM339WTNIR</t>
  </si>
  <si>
    <t>BM339TWDNIR</t>
  </si>
  <si>
    <t>BM339TASNIR</t>
  </si>
  <si>
    <t>4D.7</t>
  </si>
  <si>
    <t>BM339ALER</t>
  </si>
  <si>
    <t>BM339RWAER</t>
  </si>
  <si>
    <t>BM339RWTER</t>
  </si>
  <si>
    <t>BM339RWSER</t>
  </si>
  <si>
    <t>BM339WTER</t>
  </si>
  <si>
    <t>BM339TWDER</t>
  </si>
  <si>
    <t>BM339TASER</t>
  </si>
  <si>
    <t>4D.8</t>
  </si>
  <si>
    <t>BM317AL</t>
  </si>
  <si>
    <t>BM317RWA</t>
  </si>
  <si>
    <t>BM317RWT</t>
  </si>
  <si>
    <t>BM317RWS</t>
  </si>
  <si>
    <t>BM317WT</t>
  </si>
  <si>
    <t>BM317TWD</t>
  </si>
  <si>
    <t>BM317TAS</t>
  </si>
  <si>
    <t>4D.9</t>
  </si>
  <si>
    <t>BM319AL</t>
  </si>
  <si>
    <t>BM319RWA</t>
  </si>
  <si>
    <t>BM319RWT</t>
  </si>
  <si>
    <t>BM319RWS</t>
  </si>
  <si>
    <t>BM319WT</t>
  </si>
  <si>
    <t>BM319TWD</t>
  </si>
  <si>
    <t>BM319TAS</t>
  </si>
  <si>
    <t>4D.10</t>
  </si>
  <si>
    <t>BM323AL</t>
  </si>
  <si>
    <t>BM323RWA</t>
  </si>
  <si>
    <t>BM323RWT</t>
  </si>
  <si>
    <t>BM323RWS</t>
  </si>
  <si>
    <t>BM323WT</t>
  </si>
  <si>
    <t>BM323TWD</t>
  </si>
  <si>
    <t>BM323TAS</t>
  </si>
  <si>
    <t>4D.11</t>
  </si>
  <si>
    <t>BM351AL</t>
  </si>
  <si>
    <t>BM351RWA</t>
  </si>
  <si>
    <t>BM351RWT</t>
  </si>
  <si>
    <t>BM351RWS</t>
  </si>
  <si>
    <t>BM351WT</t>
  </si>
  <si>
    <t>BM351TWD</t>
  </si>
  <si>
    <t>BM351TAS</t>
  </si>
  <si>
    <t>4D.12</t>
  </si>
  <si>
    <t>BC30445AL</t>
  </si>
  <si>
    <t>BC30445RWA</t>
  </si>
  <si>
    <t>BC30445RWT</t>
  </si>
  <si>
    <t>BC30445RWS</t>
  </si>
  <si>
    <t>BC30445WT</t>
  </si>
  <si>
    <t>BC30445TWD</t>
  </si>
  <si>
    <t>BC30445</t>
  </si>
  <si>
    <t>4D.13</t>
  </si>
  <si>
    <t>Maintaining the long term capability of the assets - non-infra</t>
  </si>
  <si>
    <t>CW00036AL</t>
  </si>
  <si>
    <t>CW00036RWA</t>
  </si>
  <si>
    <t>CW00036RWT</t>
  </si>
  <si>
    <t>CW00036RWS</t>
  </si>
  <si>
    <t>CW00036WT</t>
  </si>
  <si>
    <t>CW00036TWD</t>
  </si>
  <si>
    <t>CW00036</t>
  </si>
  <si>
    <t>4D.14</t>
  </si>
  <si>
    <t>BC30444AL</t>
  </si>
  <si>
    <t>BC30444RWA</t>
  </si>
  <si>
    <t>BC30444RWT</t>
  </si>
  <si>
    <t>BC30444RWS</t>
  </si>
  <si>
    <t>BC30444WT</t>
  </si>
  <si>
    <t>BC30444TWD</t>
  </si>
  <si>
    <t>BC30444TAS</t>
  </si>
  <si>
    <t>4D.15</t>
  </si>
  <si>
    <t>CW00037AL</t>
  </si>
  <si>
    <t>CW00037RWA</t>
  </si>
  <si>
    <t>CW00037RWT</t>
  </si>
  <si>
    <t>CW00037RWS</t>
  </si>
  <si>
    <t>CW00037WT</t>
  </si>
  <si>
    <t>CW00037TWD</t>
  </si>
  <si>
    <t>CW00037TAS</t>
  </si>
  <si>
    <t>4D.16</t>
  </si>
  <si>
    <t>BC30449AL</t>
  </si>
  <si>
    <t>BC30449RWA</t>
  </si>
  <si>
    <t>BC30449RWT</t>
  </si>
  <si>
    <t>BC30449RWS</t>
  </si>
  <si>
    <t>BC30449WT</t>
  </si>
  <si>
    <t>BC30449TWD</t>
  </si>
  <si>
    <t>BC30449</t>
  </si>
  <si>
    <t>4D.17</t>
  </si>
  <si>
    <t>Total gross capital expenditure (excluding third party)</t>
  </si>
  <si>
    <t>BC30498AL</t>
  </si>
  <si>
    <t>BC30498RWA</t>
  </si>
  <si>
    <t>BC30498RWT</t>
  </si>
  <si>
    <t>BC30498RWS</t>
  </si>
  <si>
    <t>BC30498WT</t>
  </si>
  <si>
    <t>BC30498TWD</t>
  </si>
  <si>
    <t>BC30498TAS</t>
  </si>
  <si>
    <t>4D.18</t>
  </si>
  <si>
    <t>BM333AL</t>
  </si>
  <si>
    <t>BM333RWA</t>
  </si>
  <si>
    <t>BM333RWT</t>
  </si>
  <si>
    <t>BM333RWS</t>
  </si>
  <si>
    <t>BM333WT</t>
  </si>
  <si>
    <t>BM333TWD</t>
  </si>
  <si>
    <t>BM333TAS</t>
  </si>
  <si>
    <t>4D.19</t>
  </si>
  <si>
    <t>BA1070AL</t>
  </si>
  <si>
    <t>BA1070RWA</t>
  </si>
  <si>
    <t>BA1070RWT</t>
  </si>
  <si>
    <t>BA1070RWS</t>
  </si>
  <si>
    <t>BA1070WT</t>
  </si>
  <si>
    <t>BA1070TWD</t>
  </si>
  <si>
    <t>BA1070TAS</t>
  </si>
  <si>
    <t>4D.20</t>
  </si>
  <si>
    <t>The total column of line 4D.20 should equal the total column of line 2E.7</t>
  </si>
  <si>
    <t>BA1071AL</t>
  </si>
  <si>
    <t>BA1071RWA</t>
  </si>
  <si>
    <t>BA1071RWT</t>
  </si>
  <si>
    <t>BA1071RWS</t>
  </si>
  <si>
    <t>BA1071WT</t>
  </si>
  <si>
    <t>BA1071TWD</t>
  </si>
  <si>
    <t>BA1071TAS</t>
  </si>
  <si>
    <t>4D.21</t>
  </si>
  <si>
    <t>BM325AL</t>
  </si>
  <si>
    <t>BM325RWA</t>
  </si>
  <si>
    <t>BM325RWT</t>
  </si>
  <si>
    <t>BM325RWS</t>
  </si>
  <si>
    <t>BM325WT</t>
  </si>
  <si>
    <t>BM325TWD</t>
  </si>
  <si>
    <t>BM325TAS</t>
  </si>
  <si>
    <t>4D.22</t>
  </si>
  <si>
    <t>CR00558AL</t>
  </si>
  <si>
    <t>CR00558RWA</t>
  </si>
  <si>
    <t>CR00558RWT</t>
  </si>
  <si>
    <t>CR00558RWS</t>
  </si>
  <si>
    <t>CR00558WT</t>
  </si>
  <si>
    <t>CR00558TWD</t>
  </si>
  <si>
    <t>CR00558TOT</t>
  </si>
  <si>
    <t>4D.23</t>
  </si>
  <si>
    <t>CR00561AL</t>
  </si>
  <si>
    <t>CR00561RWA</t>
  </si>
  <si>
    <t>CR00561RWT</t>
  </si>
  <si>
    <t>CR00561RWS</t>
  </si>
  <si>
    <t>CR00561WT</t>
  </si>
  <si>
    <t>CR00561TWD</t>
  </si>
  <si>
    <t>CR00561TOT</t>
  </si>
  <si>
    <t>4D.24</t>
  </si>
  <si>
    <t>W3026AL</t>
  </si>
  <si>
    <t>W3026RWA</t>
  </si>
  <si>
    <t>W3026RWT</t>
  </si>
  <si>
    <t>W3026RWS</t>
  </si>
  <si>
    <t>W3026WT</t>
  </si>
  <si>
    <t>W3026TWD</t>
  </si>
  <si>
    <t>W3026TOT</t>
  </si>
  <si>
    <t>Unit cost information (operating expenditure)</t>
  </si>
  <si>
    <t>4D.25</t>
  </si>
  <si>
    <t>Licenced volume available</t>
  </si>
  <si>
    <t>Ml</t>
  </si>
  <si>
    <t>CRASAL005</t>
  </si>
  <si>
    <t>Volume abstracted</t>
  </si>
  <si>
    <t>CRASREA005</t>
  </si>
  <si>
    <t xml:space="preserve">Volume transported </t>
  </si>
  <si>
    <t>CRASRWT005</t>
  </si>
  <si>
    <t>Average volume stored</t>
  </si>
  <si>
    <t>CRASRWS005</t>
  </si>
  <si>
    <t>Distribution input volume</t>
  </si>
  <si>
    <t>CRASWT001D</t>
  </si>
  <si>
    <t>CRASTWD005</t>
  </si>
  <si>
    <t>4D.26</t>
  </si>
  <si>
    <t>Unit cost</t>
  </si>
  <si>
    <t>£/Ml</t>
  </si>
  <si>
    <t>CRASAL006</t>
  </si>
  <si>
    <t>CRASRWA006</t>
  </si>
  <si>
    <t>CRASRWT006</t>
  </si>
  <si>
    <t>CRASRWS006</t>
  </si>
  <si>
    <t>CRASWT001C</t>
  </si>
  <si>
    <t>CRASTWD006</t>
  </si>
  <si>
    <t>4D.27</t>
  </si>
  <si>
    <t>Population</t>
  </si>
  <si>
    <t>BN2590AL</t>
  </si>
  <si>
    <t>BN2590RWA</t>
  </si>
  <si>
    <t>BN2590RWT</t>
  </si>
  <si>
    <t>BN2590RWS</t>
  </si>
  <si>
    <t>BN2590WT</t>
  </si>
  <si>
    <t>BN2590TWD</t>
  </si>
  <si>
    <t>4D.28</t>
  </si>
  <si>
    <t>£/pop</t>
  </si>
  <si>
    <t>BN2591AL</t>
  </si>
  <si>
    <t>BN2591RWA</t>
  </si>
  <si>
    <t>BN2591RWT</t>
  </si>
  <si>
    <t>BN2591RWS</t>
  </si>
  <si>
    <t>BN2591WT</t>
  </si>
  <si>
    <t>BN2591TWD</t>
  </si>
  <si>
    <t>Income received from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arrangements such as the National Grid ‘STOR’, “frequency response” and “dynamic demand”.</t>
  </si>
  <si>
    <t>Total cost of abstraction charges and/or discharge consents by the environment agency or canal &amp; river trust.</t>
  </si>
  <si>
    <t>Total payments for bulk imports. If a supply is a shared supply and is jointly owned, the costs associated with it should not be reported here but in the appropriate cost line.</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</si>
  <si>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proHems and restores an asset to full capability.</t>
  </si>
  <si>
    <t>Other operating costs not covered by table 4D lines 5 and 6.</t>
  </si>
  <si>
    <t>The cost of local authority rates. This should include both the local authority rates and cumulo rates.</t>
  </si>
  <si>
    <t>Total operating costs excluding third party services.   The sum of table 4D lines 1 to 8.</t>
  </si>
  <si>
    <t>Operating expenditure for providing third party services. See RAG 4 appendix 1.</t>
  </si>
  <si>
    <t>Total operating expenditure for the wholesale business only within each business category. The sum of table 4D lines 9 and 10. This should reconcile to wholesale operating expenditure in table 2A line 3 and tabl 2B line 11.</t>
  </si>
  <si>
    <t>Any capital expenditure on infrastructure assets other than defined in table 4D line 12 or 16 excluding third party capex.</t>
  </si>
  <si>
    <t>Any capital expenditure on non-infrastructure assets other than defined in table 4D line 13 or 16 excluding third party capex.</t>
  </si>
  <si>
    <t>Capital expenditure for the provision of new infrastructure network assets or enhanced capacity in existing infrastructure network assets such as water mains, tanks, service reservoirs,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</si>
  <si>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  the sum of table 4D lines 12 to 16.</t>
  </si>
  <si>
    <t>Capital expenditure for providing third party services. See RAG 4 appendix 1.</t>
  </si>
  <si>
    <t>The sum of table 4D lines 17 and 18.</t>
  </si>
  <si>
    <t>All grants and contributions. E.g. from connection charges, infrastructure charges, requisitions and other contributions. Adopted assets should not be included.
This should agree to line 2B.20. Input as a positive number.</t>
  </si>
  <si>
    <t>The sum of table 4D lines 11 and 19 minus 20.</t>
  </si>
  <si>
    <t>Other cash items not including in the accounting charge.</t>
  </si>
  <si>
    <t>The sum of table 4D lines 21 to 23.</t>
  </si>
  <si>
    <t>Units. See service level guidance in part 2 RAG 4 – ‘Disaggregation of wholesale activities – upstream services’</t>
  </si>
  <si>
    <t>4E.26</t>
  </si>
  <si>
    <t>Unit cost. This is equal to total operating expenditure (table 4D line 11) divided by the unit for the column (table 4D line 25).</t>
  </si>
  <si>
    <t>4E.27</t>
  </si>
  <si>
    <t>Resident population in billed households and billed non-households. The population should be obtained from most recent ONS or local authority estimates, or the company's update of these estimates.</t>
  </si>
  <si>
    <t>4E.28</t>
  </si>
  <si>
    <t>Unit cost. This is equal to total operating expenditure (table 4D line 11) divided by table 4D line 27.</t>
  </si>
  <si>
    <t>4E - Wholesale totex analysis - wastewater</t>
  </si>
  <si>
    <t>Network+ Sewage collection</t>
  </si>
  <si>
    <t>Network + Sewage treatment</t>
  </si>
  <si>
    <t>Foul</t>
  </si>
  <si>
    <t>Surface water drainage</t>
  </si>
  <si>
    <t>Highway drainage</t>
  </si>
  <si>
    <t>Sewage treatment and disposal</t>
  </si>
  <si>
    <t>Imported sludge liquor treatment</t>
  </si>
  <si>
    <t>Sludge transport</t>
  </si>
  <si>
    <t>Sludge treatment</t>
  </si>
  <si>
    <t>Sludge disposal</t>
  </si>
  <si>
    <t>4E.1</t>
  </si>
  <si>
    <t>BM402F</t>
  </si>
  <si>
    <t>BM402SWD</t>
  </si>
  <si>
    <t>BM402HD</t>
  </si>
  <si>
    <t>BM502STD</t>
  </si>
  <si>
    <t>BM502SLT</t>
  </si>
  <si>
    <t>BM602STP</t>
  </si>
  <si>
    <t>BM602SDT</t>
  </si>
  <si>
    <t>BM602SDD</t>
  </si>
  <si>
    <t>BM802TAS</t>
  </si>
  <si>
    <t>4E.2</t>
  </si>
  <si>
    <t>BM836F</t>
  </si>
  <si>
    <t>BM836SWD</t>
  </si>
  <si>
    <t>BM836HD</t>
  </si>
  <si>
    <t>BM836STD</t>
  </si>
  <si>
    <t>BM836SLT</t>
  </si>
  <si>
    <t>BM836STP</t>
  </si>
  <si>
    <t>BM836SDT</t>
  </si>
  <si>
    <t>BM836SDD</t>
  </si>
  <si>
    <t>BM836TAS</t>
  </si>
  <si>
    <t>4E.3</t>
  </si>
  <si>
    <t>Discharge consents</t>
  </si>
  <si>
    <t>BM131F</t>
  </si>
  <si>
    <t>BM131SWD</t>
  </si>
  <si>
    <t>BM131HD</t>
  </si>
  <si>
    <t>BM231STD</t>
  </si>
  <si>
    <t>BM231SLT</t>
  </si>
  <si>
    <t>BM631STP</t>
  </si>
  <si>
    <t>BM631SDT</t>
  </si>
  <si>
    <t>BM631SDD</t>
  </si>
  <si>
    <t>BM831TAS</t>
  </si>
  <si>
    <t>4E.4</t>
  </si>
  <si>
    <t>Bulk discharge</t>
  </si>
  <si>
    <t>BM140F</t>
  </si>
  <si>
    <t>BM140SWD</t>
  </si>
  <si>
    <t>BM140HD</t>
  </si>
  <si>
    <t>BM140STD</t>
  </si>
  <si>
    <t>BM140SLT</t>
  </si>
  <si>
    <t>BM140STP</t>
  </si>
  <si>
    <t>BM140SDT</t>
  </si>
  <si>
    <t>BM140SDD</t>
  </si>
  <si>
    <t>BM140TAS</t>
  </si>
  <si>
    <t>4E.5</t>
  </si>
  <si>
    <t>BM839FIR</t>
  </si>
  <si>
    <t>BM839SWDIR</t>
  </si>
  <si>
    <t>BM839HDIR</t>
  </si>
  <si>
    <t>BM839STDIR</t>
  </si>
  <si>
    <t>BM839SLTIR</t>
  </si>
  <si>
    <t>BM839STPIR</t>
  </si>
  <si>
    <t>BM839SDTIR</t>
  </si>
  <si>
    <t>BM839SDDIR</t>
  </si>
  <si>
    <t>BM839TASIR</t>
  </si>
  <si>
    <t>4E.6</t>
  </si>
  <si>
    <t>BM839FNIR</t>
  </si>
  <si>
    <t>BM839SWDNIR</t>
  </si>
  <si>
    <t>BM839HDNIR</t>
  </si>
  <si>
    <t>BM839STDNIR</t>
  </si>
  <si>
    <t>BM839SLTNIR</t>
  </si>
  <si>
    <t>BM839STPNIR</t>
  </si>
  <si>
    <t>BM839SDTNIR</t>
  </si>
  <si>
    <t>BM839SDDNIR</t>
  </si>
  <si>
    <t>BM839TASNIR</t>
  </si>
  <si>
    <t>4E.7</t>
  </si>
  <si>
    <t>BM839FER</t>
  </si>
  <si>
    <t>BM839SWDER</t>
  </si>
  <si>
    <t>BM839HDER</t>
  </si>
  <si>
    <t>BM839STDER</t>
  </si>
  <si>
    <t>BM839SLTER</t>
  </si>
  <si>
    <t>BM839STPER</t>
  </si>
  <si>
    <t>BM839SDTER</t>
  </si>
  <si>
    <t>BM839SDDER</t>
  </si>
  <si>
    <t>BM839TASER</t>
  </si>
  <si>
    <t>4E.8</t>
  </si>
  <si>
    <t>Local authority rates and Cumulo rates</t>
  </si>
  <si>
    <t>BM817F</t>
  </si>
  <si>
    <t>BM817SWD</t>
  </si>
  <si>
    <t>BM817HD</t>
  </si>
  <si>
    <t>BM817STD</t>
  </si>
  <si>
    <t>BM817SLT</t>
  </si>
  <si>
    <t>BM817STP</t>
  </si>
  <si>
    <t>BM817SDT</t>
  </si>
  <si>
    <t>BM817SDD</t>
  </si>
  <si>
    <t>BM817TAS</t>
  </si>
  <si>
    <t>4E.9</t>
  </si>
  <si>
    <t>BM844F</t>
  </si>
  <si>
    <t>BM844SWD</t>
  </si>
  <si>
    <t>BM844HD</t>
  </si>
  <si>
    <t>BM844STD</t>
  </si>
  <si>
    <t>BM844SLT</t>
  </si>
  <si>
    <t>BM844STP</t>
  </si>
  <si>
    <t>BM844SDT</t>
  </si>
  <si>
    <t>BM844SDD</t>
  </si>
  <si>
    <t>BM844TAS</t>
  </si>
  <si>
    <t>4E.10</t>
  </si>
  <si>
    <t>BM823F</t>
  </si>
  <si>
    <t>BM823SWD</t>
  </si>
  <si>
    <t>BM823HD</t>
  </si>
  <si>
    <t>BM823STD</t>
  </si>
  <si>
    <t>BM823SLT</t>
  </si>
  <si>
    <t>BM823STP</t>
  </si>
  <si>
    <t>BM823SDT</t>
  </si>
  <si>
    <t>BM823SDD</t>
  </si>
  <si>
    <t>BM823TAS</t>
  </si>
  <si>
    <t>4E.11</t>
  </si>
  <si>
    <t>BM850F</t>
  </si>
  <si>
    <t>BM850SWD</t>
  </si>
  <si>
    <t>BM850HD</t>
  </si>
  <si>
    <t>BM850STD</t>
  </si>
  <si>
    <t>BM850SLT</t>
  </si>
  <si>
    <t>BM850STP</t>
  </si>
  <si>
    <t>BM850SDT</t>
  </si>
  <si>
    <t>BM850SDD</t>
  </si>
  <si>
    <t>BM850TAS</t>
  </si>
  <si>
    <t>4E.12</t>
  </si>
  <si>
    <t>BC30945F</t>
  </si>
  <si>
    <t>BC30945SWD</t>
  </si>
  <si>
    <t>BC30945HD</t>
  </si>
  <si>
    <t>BC30945STD</t>
  </si>
  <si>
    <t>BC30945SLT</t>
  </si>
  <si>
    <t>BC30945STP</t>
  </si>
  <si>
    <t>BC30945SDT</t>
  </si>
  <si>
    <t>BC30945SDD</t>
  </si>
  <si>
    <t>BC30945</t>
  </si>
  <si>
    <t>4E.13</t>
  </si>
  <si>
    <t>CS00036F</t>
  </si>
  <si>
    <t>CS00036SWD</t>
  </si>
  <si>
    <t>CS00036HD</t>
  </si>
  <si>
    <t>CS00036STD</t>
  </si>
  <si>
    <t>CS00036SLT</t>
  </si>
  <si>
    <t>CS00036STP</t>
  </si>
  <si>
    <t>CS00036SDT</t>
  </si>
  <si>
    <t>CS00036SDD</t>
  </si>
  <si>
    <t>CS00036</t>
  </si>
  <si>
    <t>4E.14</t>
  </si>
  <si>
    <t>BC30944F</t>
  </si>
  <si>
    <t>BC30944SWD</t>
  </si>
  <si>
    <t>BC30944HD</t>
  </si>
  <si>
    <t>BC30944STD</t>
  </si>
  <si>
    <t>BC30944SLT</t>
  </si>
  <si>
    <t>BC30944STP</t>
  </si>
  <si>
    <t>BC30944SDT</t>
  </si>
  <si>
    <t>BC30944SDD</t>
  </si>
  <si>
    <t>BC30944TAS</t>
  </si>
  <si>
    <t>4E.15</t>
  </si>
  <si>
    <t>CS00037F</t>
  </si>
  <si>
    <t>CS00037SWD</t>
  </si>
  <si>
    <t>CS00037HD</t>
  </si>
  <si>
    <t>CS00037STD</t>
  </si>
  <si>
    <t>CS00037SLT</t>
  </si>
  <si>
    <t>CS00037STP</t>
  </si>
  <si>
    <t>CS00037SDT</t>
  </si>
  <si>
    <t>CS00037SDD</t>
  </si>
  <si>
    <t>CS00037TAS</t>
  </si>
  <si>
    <t>4E.16</t>
  </si>
  <si>
    <t>BC30849F</t>
  </si>
  <si>
    <t>BC30849SWD</t>
  </si>
  <si>
    <t>BC30849HD</t>
  </si>
  <si>
    <t>BC30849STD</t>
  </si>
  <si>
    <t>BC30849SLT</t>
  </si>
  <si>
    <t>BC30849STP</t>
  </si>
  <si>
    <t>BC30849SDT</t>
  </si>
  <si>
    <t>BC30849SDD</t>
  </si>
  <si>
    <t>BC30849</t>
  </si>
  <si>
    <t>4E.17</t>
  </si>
  <si>
    <t>Total gross capital expenditure (excluding third party services)</t>
  </si>
  <si>
    <t>BC30998F</t>
  </si>
  <si>
    <t>BC30998SWD</t>
  </si>
  <si>
    <t>BC30998HD</t>
  </si>
  <si>
    <t>BC30998STD</t>
  </si>
  <si>
    <t>BC30998SLT</t>
  </si>
  <si>
    <t>BC30998STP</t>
  </si>
  <si>
    <t>BC30998SDT</t>
  </si>
  <si>
    <t>BC30998SDD</t>
  </si>
  <si>
    <t>BC30998TAS</t>
  </si>
  <si>
    <t>4E.18</t>
  </si>
  <si>
    <t>BM833F</t>
  </si>
  <si>
    <t>BM833SWD</t>
  </si>
  <si>
    <t>BM833HD</t>
  </si>
  <si>
    <t>BM833STD</t>
  </si>
  <si>
    <t>BM833SLT</t>
  </si>
  <si>
    <t>BM833STP</t>
  </si>
  <si>
    <t>BM833SDT</t>
  </si>
  <si>
    <t>BM833SDD</t>
  </si>
  <si>
    <t>BM833TAS</t>
  </si>
  <si>
    <t>4E.19</t>
  </si>
  <si>
    <t>BA2120F</t>
  </si>
  <si>
    <t>BA2120SWD</t>
  </si>
  <si>
    <t>BA2120HD</t>
  </si>
  <si>
    <t>BA2120STD</t>
  </si>
  <si>
    <t>BA2120SLT</t>
  </si>
  <si>
    <t>BA2120STP</t>
  </si>
  <si>
    <t>BA2120SDT</t>
  </si>
  <si>
    <t>BA2120SDD</t>
  </si>
  <si>
    <t>BA2120TAS</t>
  </si>
  <si>
    <t>4E.20</t>
  </si>
  <si>
    <t>The total column of line 4E.20 should equal the total column of line 2E.14</t>
  </si>
  <si>
    <t>BA2121F</t>
  </si>
  <si>
    <t>BA2121SWD</t>
  </si>
  <si>
    <t>BA2121HD</t>
  </si>
  <si>
    <t>BA2121STD</t>
  </si>
  <si>
    <t>BA2121SLT</t>
  </si>
  <si>
    <t>BA2121STP</t>
  </si>
  <si>
    <t>BA2121SDT</t>
  </si>
  <si>
    <t>BA2121SDD</t>
  </si>
  <si>
    <t>BA2121TAS</t>
  </si>
  <si>
    <t>4E.21</t>
  </si>
  <si>
    <t>BM825F</t>
  </si>
  <si>
    <t>BM825SWD</t>
  </si>
  <si>
    <t>BM825HD</t>
  </si>
  <si>
    <t>BM825STD</t>
  </si>
  <si>
    <t>BM825SLT</t>
  </si>
  <si>
    <t>BM825STP</t>
  </si>
  <si>
    <t>BM825SDT</t>
  </si>
  <si>
    <t>BM825SDD</t>
  </si>
  <si>
    <t>BM825TAS</t>
  </si>
  <si>
    <t>4E.22</t>
  </si>
  <si>
    <t>CR00559F</t>
  </si>
  <si>
    <t>CR00559SWD</t>
  </si>
  <si>
    <t>CR00559HD</t>
  </si>
  <si>
    <t>CR00559STD</t>
  </si>
  <si>
    <t>CR00559SLT</t>
  </si>
  <si>
    <t>CR00559STP</t>
  </si>
  <si>
    <t>CR00559SDT</t>
  </si>
  <si>
    <t>CR00559SDD</t>
  </si>
  <si>
    <t>CR00559TOT</t>
  </si>
  <si>
    <t>4E.23</t>
  </si>
  <si>
    <t>CR00562F</t>
  </si>
  <si>
    <t>CR00562SWD</t>
  </si>
  <si>
    <t>CR00562HD</t>
  </si>
  <si>
    <t>CR00562STD</t>
  </si>
  <si>
    <t>CR00562SLT</t>
  </si>
  <si>
    <t>CR00562STP</t>
  </si>
  <si>
    <t>CR00562SDT</t>
  </si>
  <si>
    <t>CR00562SDD</t>
  </si>
  <si>
    <t>CR00562TOT</t>
  </si>
  <si>
    <t>4E.24</t>
  </si>
  <si>
    <t>S3040F</t>
  </si>
  <si>
    <t>S3040SWD</t>
  </si>
  <si>
    <t>S3040HD</t>
  </si>
  <si>
    <t>S3040STD</t>
  </si>
  <si>
    <t>S3040SLT</t>
  </si>
  <si>
    <t>S3040STP</t>
  </si>
  <si>
    <t>S3040SDT</t>
  </si>
  <si>
    <t>S3040SDD</t>
  </si>
  <si>
    <t>S3040TOT</t>
  </si>
  <si>
    <t>4E.25</t>
  </si>
  <si>
    <t>Volume collected</t>
  </si>
  <si>
    <t>CRASF005</t>
  </si>
  <si>
    <t>CRASSWD005</t>
  </si>
  <si>
    <t>CRASHD005</t>
  </si>
  <si>
    <t>Biochemical Oxygen Demand (BOD)</t>
  </si>
  <si>
    <t>Tonnes</t>
  </si>
  <si>
    <t>CRSTSERV01D</t>
  </si>
  <si>
    <t>CRASLT005</t>
  </si>
  <si>
    <t>Volume transported</t>
  </si>
  <si>
    <t>m3</t>
  </si>
  <si>
    <t>CRASST005</t>
  </si>
  <si>
    <t>Dried solid mass treated</t>
  </si>
  <si>
    <t>ttds</t>
  </si>
  <si>
    <t>CRASSTS005</t>
  </si>
  <si>
    <t>Dried solid mass disposed</t>
  </si>
  <si>
    <t>CRSDSERV01D</t>
  </si>
  <si>
    <t>£/unit</t>
  </si>
  <si>
    <t>CRASF006</t>
  </si>
  <si>
    <t>CRASSWD006</t>
  </si>
  <si>
    <t>CRASHD006</t>
  </si>
  <si>
    <t>CRSTSERV01C</t>
  </si>
  <si>
    <t>CRASLT006</t>
  </si>
  <si>
    <t>CRASST006</t>
  </si>
  <si>
    <t>CRASSTS006</t>
  </si>
  <si>
    <t>CRSDSERV01C</t>
  </si>
  <si>
    <t>BN2630F</t>
  </si>
  <si>
    <t>BN2630SWD</t>
  </si>
  <si>
    <t>BN2630HD</t>
  </si>
  <si>
    <t>BN2630STD</t>
  </si>
  <si>
    <t>BN2630SLT</t>
  </si>
  <si>
    <t>BN2630STP</t>
  </si>
  <si>
    <t>BN2630SDT</t>
  </si>
  <si>
    <t>BN2630SDD</t>
  </si>
  <si>
    <t>BN2631F</t>
  </si>
  <si>
    <t>BN2631SWD</t>
  </si>
  <si>
    <t>BN2631HD</t>
  </si>
  <si>
    <t>BN2631STD</t>
  </si>
  <si>
    <t>BN2631SLT</t>
  </si>
  <si>
    <t>BN2631STP</t>
  </si>
  <si>
    <t>BN2631SDT</t>
  </si>
  <si>
    <t>BN2631SDD</t>
  </si>
  <si>
    <t>Income received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arrangements such as the National Grid ‘STOR’, “frequency response” and “dynamic demand”.
Bio-methane gas sales to the National Grid.
Sludge and sludge products such as cake, granules etc. to external parties.</t>
  </si>
  <si>
    <t>Total cost of discharge consents by the environment agency or canal &amp; river trust.</t>
  </si>
  <si>
    <t>Total payments for bulk discharges.</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</si>
  <si>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problems and restores an asset to full capability.</t>
  </si>
  <si>
    <t>Other operating costs not covered by table 4E line 5 and 6.</t>
  </si>
  <si>
    <t>Total operating costs excluding third party services.   The sum of table 4E lines 1 to 8.</t>
  </si>
  <si>
    <t>Operating expenditure for providing third party services. See appendix 1.</t>
  </si>
  <si>
    <t>Total operating expenditure for the wholesale business only within each business category. The sum of table 4E lines 9 and 10. This should reconcile to operating expenditure in table 2A line 3 and table 2B line 11.</t>
  </si>
  <si>
    <t>Any capital expenditure on infrastructure assets other than defined in table 4E line 12 or 16 excluding third party capex.</t>
  </si>
  <si>
    <t>Any capital expenditure on non-infrastructure assets other than defined in table 4E line 13 or 16 excluding third party capex.</t>
  </si>
  <si>
    <t>Capital expenditure for the provision of new infrastructure network assets or enhanced capacity in existing infrastructure network assets such as sewers and pumping stations,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</si>
  <si>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  the sum of table 4E lines 12 to 16.</t>
  </si>
  <si>
    <t>Capital expenditure for providing third party services. See RAG 4 appendix 1</t>
  </si>
  <si>
    <t>The sum of table 4E lines 17 and 18.</t>
  </si>
  <si>
    <t>All grants and contributions. E.g. from connection charges, infrastructure charges, requisitions and other contributions. Adopted assets should not be included. This should agree to table 2B line 20. Input as a positive number.</t>
  </si>
  <si>
    <t>The sum of table 4E lines 11 and 19 minus line 20.</t>
  </si>
  <si>
    <t>The sum of table 4E lines 21 to 23.</t>
  </si>
  <si>
    <t>Unit cost. This is equal to total operating expenditure (table 4E line 11) divided by the unit for the column (table 4E line 25).</t>
  </si>
  <si>
    <t>Unit cost. This is equal to total operating expenditure (table 4E line 11) divided by table 4E line 27.</t>
  </si>
  <si>
    <t>4F - Cost analysis - household retail</t>
  </si>
  <si>
    <t>Household unmeasured</t>
  </si>
  <si>
    <t>Household measured</t>
  </si>
  <si>
    <t>Water only</t>
  </si>
  <si>
    <t>Wastewater only</t>
  </si>
  <si>
    <t>Water and wastewater</t>
  </si>
  <si>
    <t>4F.1</t>
  </si>
  <si>
    <t>BM9030UWO</t>
  </si>
  <si>
    <t>BM9030USO</t>
  </si>
  <si>
    <t>BM9030UWS</t>
  </si>
  <si>
    <t>BM9030UTOT</t>
  </si>
  <si>
    <t>BM9030MWO</t>
  </si>
  <si>
    <t>BM9030MSO</t>
  </si>
  <si>
    <t>BM9030MWS</t>
  </si>
  <si>
    <t>BM9030MTOT</t>
  </si>
  <si>
    <t>BM9030</t>
  </si>
  <si>
    <t>4F.2</t>
  </si>
  <si>
    <t>BM9002UWO</t>
  </si>
  <si>
    <t>BM9002USO</t>
  </si>
  <si>
    <t>BM9002UWS</t>
  </si>
  <si>
    <t>BM9002UTOT</t>
  </si>
  <si>
    <t>BM9002MWO</t>
  </si>
  <si>
    <t>BM9002MSO</t>
  </si>
  <si>
    <t>BM9002MWS</t>
  </si>
  <si>
    <t>BM9002MTOT</t>
  </si>
  <si>
    <t>BM9002</t>
  </si>
  <si>
    <t>4F.3</t>
  </si>
  <si>
    <t>BM9003UWO</t>
  </si>
  <si>
    <t>BM9003USO</t>
  </si>
  <si>
    <t>BM9003UWS</t>
  </si>
  <si>
    <t>BM9003UTOT</t>
  </si>
  <si>
    <t>BM9003MWO</t>
  </si>
  <si>
    <t>BM9003MSO</t>
  </si>
  <si>
    <t>BM9003MWS</t>
  </si>
  <si>
    <t>BM9003MTOT</t>
  </si>
  <si>
    <t>BM9003</t>
  </si>
  <si>
    <t>4F.4</t>
  </si>
  <si>
    <t>BM9007MWO</t>
  </si>
  <si>
    <t>BM9007MSO</t>
  </si>
  <si>
    <t>BM9007MWS</t>
  </si>
  <si>
    <t>BM9007MTOT</t>
  </si>
  <si>
    <t>BM9007</t>
  </si>
  <si>
    <t>4F.5</t>
  </si>
  <si>
    <t>BM9033UWO</t>
  </si>
  <si>
    <t>BM9033USO</t>
  </si>
  <si>
    <t>BM9033UWS</t>
  </si>
  <si>
    <t>BM9033UTOT</t>
  </si>
  <si>
    <t>BM9033MWO</t>
  </si>
  <si>
    <t>BM9033MSO</t>
  </si>
  <si>
    <t>BM9033MWS</t>
  </si>
  <si>
    <t>BM9033MTOT</t>
  </si>
  <si>
    <t>BM9033</t>
  </si>
  <si>
    <t>4F.6</t>
  </si>
  <si>
    <t>The total of line 4F.6 should equal the household total of line 2C.7</t>
  </si>
  <si>
    <t>BM9021UWO</t>
  </si>
  <si>
    <t>BM9021USO</t>
  </si>
  <si>
    <t>BM9021UWS</t>
  </si>
  <si>
    <t>BM9021UTOT</t>
  </si>
  <si>
    <t>BM9021MWO</t>
  </si>
  <si>
    <t>BM9021MSO</t>
  </si>
  <si>
    <t>BM9021MWS</t>
  </si>
  <si>
    <t>BM9021MTOT</t>
  </si>
  <si>
    <t>BM9021</t>
  </si>
  <si>
    <t>4F.7</t>
  </si>
  <si>
    <t>BM9022UWO</t>
  </si>
  <si>
    <t>BM9022USO</t>
  </si>
  <si>
    <t>BM9022UWS</t>
  </si>
  <si>
    <t>BM9022UTOT</t>
  </si>
  <si>
    <t>BM9022MWO</t>
  </si>
  <si>
    <t>BM9022MSO</t>
  </si>
  <si>
    <t>BM9022MWS</t>
  </si>
  <si>
    <t>BM9022MTOT</t>
  </si>
  <si>
    <t>BM9022</t>
  </si>
  <si>
    <t>4F.8</t>
  </si>
  <si>
    <t>The total of line 4F.8 should equal the household total of line 2C.9</t>
  </si>
  <si>
    <t>BM9023UWO</t>
  </si>
  <si>
    <t>BM9023USO</t>
  </si>
  <si>
    <t>BM9023UWS</t>
  </si>
  <si>
    <t>BM9023UTOT</t>
  </si>
  <si>
    <t>BM9023MWO</t>
  </si>
  <si>
    <t>BM9023MSO</t>
  </si>
  <si>
    <t>BM9023MWS</t>
  </si>
  <si>
    <t>BM9023MTOT</t>
  </si>
  <si>
    <t>BM9023</t>
  </si>
  <si>
    <t>4F.9</t>
  </si>
  <si>
    <t>Depreciation - tangible fixed assets (on assets existing at 31 March 2015)</t>
  </si>
  <si>
    <t>BM4290EXUWO</t>
  </si>
  <si>
    <t>BM4290EXUSO</t>
  </si>
  <si>
    <t>BM4290EXUWS</t>
  </si>
  <si>
    <t>BM4290EXUTOT</t>
  </si>
  <si>
    <t>BM4290EXMWO</t>
  </si>
  <si>
    <t>BM4290EXMSO</t>
  </si>
  <si>
    <t>BM4290EXMWS</t>
  </si>
  <si>
    <t>BM4290EXMTOT</t>
  </si>
  <si>
    <t>BM4290EX</t>
  </si>
  <si>
    <t>4F.10</t>
  </si>
  <si>
    <t>Depreciation - tangible fixed assets (on assets acquired since 1 April 2015)</t>
  </si>
  <si>
    <t>BM4290AQUWO</t>
  </si>
  <si>
    <t>BM4290AQUSO</t>
  </si>
  <si>
    <t>BM4290AQUWS</t>
  </si>
  <si>
    <t>BM4290AQUTOT</t>
  </si>
  <si>
    <t>BM4290AQMWO</t>
  </si>
  <si>
    <t>BM4290AQMSO</t>
  </si>
  <si>
    <t>BM4290AQMWS</t>
  </si>
  <si>
    <t>BM4290AQMTOT</t>
  </si>
  <si>
    <t>BM4290AQ</t>
  </si>
  <si>
    <t>4F.11</t>
  </si>
  <si>
    <t>Amortisation - intangible fixed assets (on assets existing at 31 March 2015)</t>
  </si>
  <si>
    <t>BM9027EXUWO</t>
  </si>
  <si>
    <t>BM9027EXUSO</t>
  </si>
  <si>
    <t>BM9027EXUWS</t>
  </si>
  <si>
    <t>BM9027EXUTOT</t>
  </si>
  <si>
    <t>BM9027EXMWO</t>
  </si>
  <si>
    <t>BM9027EXMSO</t>
  </si>
  <si>
    <t>BM9027EXMWS</t>
  </si>
  <si>
    <t>BM9027EXMTOT</t>
  </si>
  <si>
    <t>BM9027EX</t>
  </si>
  <si>
    <t>4F.12</t>
  </si>
  <si>
    <t>Amortisation - intangible fixed assets (on assets acquired since 1 April 2015)</t>
  </si>
  <si>
    <t>BM9027AQUWO</t>
  </si>
  <si>
    <t>BM9027AQUSO</t>
  </si>
  <si>
    <t>BM9027AQUWS</t>
  </si>
  <si>
    <t>BM9027AQUTOT</t>
  </si>
  <si>
    <t>BM9027AQMWO</t>
  </si>
  <si>
    <t>BM9027AQMSO</t>
  </si>
  <si>
    <t>BM9027AQMWS</t>
  </si>
  <si>
    <t>BM9027AQMTOT</t>
  </si>
  <si>
    <t>BM9027AQ</t>
  </si>
  <si>
    <t>4F.13</t>
  </si>
  <si>
    <t>The total of line 4F.13 should equal the household total of line 2C.12</t>
  </si>
  <si>
    <t>BM9029UWO</t>
  </si>
  <si>
    <t>BM9029USO</t>
  </si>
  <si>
    <t>BM9029UWS</t>
  </si>
  <si>
    <t>BM9029UTOT</t>
  </si>
  <si>
    <t>BM9029MWO</t>
  </si>
  <si>
    <t>BM9029MSO</t>
  </si>
  <si>
    <t>BM9029MWS</t>
  </si>
  <si>
    <t>BM9029MTOT</t>
  </si>
  <si>
    <t>BM9029</t>
  </si>
  <si>
    <t>4F.14</t>
  </si>
  <si>
    <t>BM4017UWO</t>
  </si>
  <si>
    <t>BM4017USO</t>
  </si>
  <si>
    <t>BM4017UWS</t>
  </si>
  <si>
    <t>BM4017UTOT</t>
  </si>
  <si>
    <t>BM4017MWO</t>
  </si>
  <si>
    <t>BM4017MSO</t>
  </si>
  <si>
    <t>BM4017MWS</t>
  </si>
  <si>
    <t>BM4017MTOT</t>
  </si>
  <si>
    <t>BM4017</t>
  </si>
  <si>
    <t>Demand-side efficiency and customer-side leaks analysis - Household</t>
  </si>
  <si>
    <t>4F.15</t>
  </si>
  <si>
    <t>Demand-side water efficiency - gross expenditure</t>
  </si>
  <si>
    <t>R3006</t>
  </si>
  <si>
    <t>4F.16</t>
  </si>
  <si>
    <t>Demand-side water efficiency - expenditure funded by wholesale</t>
  </si>
  <si>
    <t>R3007</t>
  </si>
  <si>
    <t>4F.17</t>
  </si>
  <si>
    <t>Demand-side water efficiency - net retail expenditure</t>
  </si>
  <si>
    <t>R3008</t>
  </si>
  <si>
    <t>4F.18</t>
  </si>
  <si>
    <t>Customer-side leak repairs - gross expenditure</t>
  </si>
  <si>
    <t>R3009</t>
  </si>
  <si>
    <t>4F.19</t>
  </si>
  <si>
    <t>Customer-side leak repairs - expenditure funded by wholesale</t>
  </si>
  <si>
    <t>R3010</t>
  </si>
  <si>
    <t>4F.20</t>
  </si>
  <si>
    <t>Customer-side leak repairs - net retail expenditure</t>
  </si>
  <si>
    <t>R3011</t>
  </si>
  <si>
    <t>Households unmeasured</t>
  </si>
  <si>
    <t>Households measured</t>
  </si>
  <si>
    <t>The costs associated with providing activities/services as defined in table 2C line 1 to household unmeasured customers in receipt of water only, sewerage only and combined water and sewerage services respectively from the company</t>
  </si>
  <si>
    <t>The costs associated with providing activities/services as defined in table 2C line 1 to household measured customers in receipt of water only, sewerage only and combined water and sewerage services respectively from the company</t>
  </si>
  <si>
    <t>The costs associated with providing debt management activities/services as defined in table 2C line 2 to household unmeasured customers in receipt of water only, sewerage only and combined water and sewerage services respectively from the company</t>
  </si>
  <si>
    <t>The costs associated with providing debt management activities/services as defined in table 2C line 2 to household measured customers in receipt of water only, sewerage only and combined water and sewerage services respectively from the company</t>
  </si>
  <si>
    <t>The charge for bad and doubtful debts for household unmeasured customers (as reported in table 2C line 3) in receipt of water only, sewerage only and combined water and sewerage services respectively from the company</t>
  </si>
  <si>
    <t>The charge for bad and doubtful debts for household measured customers (as reported in table 2C line 3) in receipt of water only, sewerage only and combined water and sewerage services respectively from the company</t>
  </si>
  <si>
    <t>Not applicable for unmeasured</t>
  </si>
  <si>
    <t>The costs associated with providing meter reading services (as defined in table 2C line 4) for household measured customers in receipt of water only, sewerage only and combined water and sewerage services respectively from the company</t>
  </si>
  <si>
    <t>Any other operating expenditure (as defined in table 2C line 6) incurred in serving household unmeasured customers in receipt of water only, sewerage only and combined water and sewerage services respectively from the company</t>
  </si>
  <si>
    <t>Any other operating costs (as defined in table 2C line 6) incurred in serving household measured customers in receipt of water only, sewerage only and combined water and sewerage services respectively from the company</t>
  </si>
  <si>
    <t>Total retail operating expenditure (excluding third party services) for unmeasured households in receipt of water only, sewerage only and combined water and sewerage services
respectively from the company The sum of table 4F lines 1 to 5.</t>
  </si>
  <si>
    <t>Total retail operating expenditure (excluding third party services) for measured households in receipt of water only, sewerage only and combined water and sewerage services
respectively from the company The sum of table 4F lines 1 to 5.</t>
  </si>
  <si>
    <t>The operating costs of providing appointed household unmeasured retail services to third parties.</t>
  </si>
  <si>
    <t>The operating costs of providing appointed household measured retail services to third parties.</t>
  </si>
  <si>
    <t>Total operating expenditure in respect of the household retail business for unmeasured water only, sewerage only and water and sewerage customers. The sum of table 4F lines 6 and 7.</t>
  </si>
  <si>
    <t>Total operating expenditure in respect of the household retail business for measured water only, sewerage only and water and sewerage customers. The sum of table 4F lines 6 and 7.</t>
  </si>
  <si>
    <t>Total depreciation charge on legacy assets that were commissioned before 1 April 2015 for the household retail business split between household unmeasured customers in receipt of water only, sewerage only and combined water and sewerage services respectively from the company.</t>
  </si>
  <si>
    <t>Total depreciation charge on legacy assets that were commissioned before 1 April 2015 for the household retail business split between household measured customers in receipt of water only, sewerage only and combined water and sewerage services respectively from the company.</t>
  </si>
  <si>
    <t>Total depreciation on assets commissioned since 1 April 2015 for the household retail business split between household unmeasured customers in receipt of water only, sewerage only and combined water and sewerage services respectively from the company.</t>
  </si>
  <si>
    <t>Total depreciation on assets commissioned since 1 April 2015 for the household retail business split between household measured customers in receipt of water only, sewerage only and combined water and sewerage services respectively from the company.</t>
  </si>
  <si>
    <t>Amortisation of intangible assets commissioned at 31 March 2015 used for the household retail business split between household unmeasured customers in receipt of water only, sewerage only and combined water and sewerage services respectively from the company.</t>
  </si>
  <si>
    <t>Amortisation of intangible assets commissioned at 31 March 2015 used for the household retail business split between household measured customers in receipt of water only, sewerage only and combined water and sewerage services respectively from the company.</t>
  </si>
  <si>
    <t>Amortisation of intangible assets commissioned since 1 April 2015 used for the household retail business split between household unmeasured customers in receipt of water only, sewerage only and combined water and sewerage services respectively from the company.</t>
  </si>
  <si>
    <t>Amortisation of intangible assets commissioned since 1 April 2015 used for the household retail business split between household measured customers in receipt of water only, sewerage only and combined water and sewerage services respectively from the company.</t>
  </si>
  <si>
    <t>Total operating costs in respect of the household retail business for unmeasured water only, sewerage only and water and sewerage customers. The sum of table 4F lines 8 to 12.</t>
  </si>
  <si>
    <t>Total operating costs respect of the household retail business for measured water only, sewerage only and water and sewerage customers. The sum of table 4F lines 8 to 12.</t>
  </si>
  <si>
    <t>Household element of capital expenditure on assets principally used by retail, split between household unmeasured customers in receipt of water only, sewerage only and combined water and sewerage services respectively from the company.</t>
  </si>
  <si>
    <t>Household element of capital expenditure on assets principally used by retail, split between household measured customers in receipt of water only, sewerage only and combined water and sewerage services respectively from the company.</t>
  </si>
  <si>
    <t>The total retail operating costs of providing water efficiency services to household customers, including: 
• Promotion of water saving initiatives - Production of customer literature and customer awareness campaigns; 
• Retro-fitting of water saving devices – Provision of advice and devices to customers; 
• Water efficiency audits – water and energy conservation, optimisation of systems, advice and investigations into usage; 
• Data logging</t>
  </si>
  <si>
    <t>The retail operating costs of providing water efficiency services (as defined in table 4F line 15) to household customers that are funded by the wholesale business</t>
  </si>
  <si>
    <t>The retail operating costs of providing water efficiency services (as defined in table 4F line 15) to household customers net of any operating costs that are funded by the wholesale business table  4F line 15 less line 16.</t>
  </si>
  <si>
    <t>The total retail operating costs associated with household customer side leaks, to include:
• Investigations - Activities from enquiries relating to customer-side leaks, including site visits, the use of pipe locating equipment and any attendance on sites during excavations;
• Resolution – Activities comprising pipe repairs and replacement;
• Free leak repairs</t>
  </si>
  <si>
    <t>The retail operating costs associated with household customer side leaks (as defined in table 4F line 18) that are funded by the wholesale business</t>
  </si>
  <si>
    <t>The retail operating costs associated with household customer side leaks (as defined in table 4F line 18) net of any operating costs that are funded by the wholesale business table 4F line 18 less line 19.</t>
  </si>
  <si>
    <t>4G - Wholesale current cost financial performance</t>
  </si>
  <si>
    <t>4G.1</t>
  </si>
  <si>
    <t>W9010</t>
  </si>
  <si>
    <t>S9010</t>
  </si>
  <si>
    <t>S9010TTT</t>
  </si>
  <si>
    <t>T9010</t>
  </si>
  <si>
    <t>4G.2</t>
  </si>
  <si>
    <t>BM351TASN</t>
  </si>
  <si>
    <t>BM850TASN</t>
  </si>
  <si>
    <t>BM850TTTN</t>
  </si>
  <si>
    <t>BM924TAS</t>
  </si>
  <si>
    <t>4G.3</t>
  </si>
  <si>
    <t>Capital maintenance charges</t>
  </si>
  <si>
    <t>BM349TAS</t>
  </si>
  <si>
    <t>BM815TAS</t>
  </si>
  <si>
    <t>BM815TASTTT</t>
  </si>
  <si>
    <t>BM915TAS</t>
  </si>
  <si>
    <t>4G.4</t>
  </si>
  <si>
    <t>A10005</t>
  </si>
  <si>
    <t>4G.5</t>
  </si>
  <si>
    <t>Current cost operating profit</t>
  </si>
  <si>
    <t>BO3166WPL</t>
  </si>
  <si>
    <t>BO3166SPL</t>
  </si>
  <si>
    <t>BO3166SPLTTT</t>
  </si>
  <si>
    <t>BO3166PL</t>
  </si>
  <si>
    <t>4G.6</t>
  </si>
  <si>
    <t>A10007WW</t>
  </si>
  <si>
    <t>A10007WS</t>
  </si>
  <si>
    <t>A10007WSTTT</t>
  </si>
  <si>
    <t>A10007</t>
  </si>
  <si>
    <t>4G.7</t>
  </si>
  <si>
    <t>Total should equal to line 1A.6 on the assumption that there is no material debt in retail business.</t>
  </si>
  <si>
    <t>A10008WW</t>
  </si>
  <si>
    <t>A10008WS</t>
  </si>
  <si>
    <t>A10008WSTTT</t>
  </si>
  <si>
    <t>A10008</t>
  </si>
  <si>
    <t>4G.8</t>
  </si>
  <si>
    <t>Total should equal to line 1A.7 on the assumption that there is no material debt in retail business.</t>
  </si>
  <si>
    <t>A10009WW</t>
  </si>
  <si>
    <t>A10009WS</t>
  </si>
  <si>
    <t>A10009WSTTT</t>
  </si>
  <si>
    <t>A10009</t>
  </si>
  <si>
    <t>4G.9</t>
  </si>
  <si>
    <t>Other interest expense</t>
  </si>
  <si>
    <t>Total should equal to line 1A.8 on the assumption that there is no material debt in retail business.</t>
  </si>
  <si>
    <t>A10010WW</t>
  </si>
  <si>
    <t>A10010WS</t>
  </si>
  <si>
    <t>A10010WSTTT</t>
  </si>
  <si>
    <t>A10010</t>
  </si>
  <si>
    <t>4G.10</t>
  </si>
  <si>
    <t>Current cost profit before tax and fair value movements</t>
  </si>
  <si>
    <t>A10011WW</t>
  </si>
  <si>
    <t>A10011WS</t>
  </si>
  <si>
    <t>A10011WSTTT</t>
  </si>
  <si>
    <t>A10011</t>
  </si>
  <si>
    <t>4G.11</t>
  </si>
  <si>
    <t>Total should equal to line 1A.10 on the assumption that there is no material debt in retail business.</t>
  </si>
  <si>
    <t>A10012WW</t>
  </si>
  <si>
    <t>A10012WS</t>
  </si>
  <si>
    <t>A10012WSTTT</t>
  </si>
  <si>
    <t>A10012</t>
  </si>
  <si>
    <t>4G.12</t>
  </si>
  <si>
    <t>Current cost profit before tax</t>
  </si>
  <si>
    <t>A10013WW</t>
  </si>
  <si>
    <t>A10013WS</t>
  </si>
  <si>
    <t>A10013WSTTT</t>
  </si>
  <si>
    <t>A10013</t>
  </si>
  <si>
    <t>Appointed – Total wholesale revenue that is within the scope of the price control, together with revenue that is outside of the price control.
The totals for water and wastewater will agree to table 2A lines 1 and 2 for each control.</t>
  </si>
  <si>
    <t>Total operating expenditure. 
The totals for water and wastewater will agree to the respective totals of table 2B line 11.</t>
  </si>
  <si>
    <t>Capital maintenance charge of a similar magnitude to that previously reported for current cost depreciation for above ground assets and infrastructure renewals charges for below ground assets. Please see RAG1 section 2 for more information on how to calculate this.</t>
  </si>
  <si>
    <t>Other operating income split over the four price controls. This should agree to table 2A line 6 for each control.</t>
  </si>
  <si>
    <t>The sum of table 4G lines 1 to 4.</t>
  </si>
  <si>
    <t>Equal to table 1A line 5, less any income attributable to the retail business.</t>
  </si>
  <si>
    <t>Equal to table 1A line 6.</t>
  </si>
  <si>
    <t>Equal to table 1A line 7.</t>
  </si>
  <si>
    <t>Equal to table 1A line 8.</t>
  </si>
  <si>
    <t>The sum of table 4G lines 5 to 9</t>
  </si>
  <si>
    <t>Equal to table 1A line 10.</t>
  </si>
  <si>
    <t>The sum of table 4G lines 10 to 11</t>
  </si>
  <si>
    <t>4H - Financial metrics</t>
  </si>
  <si>
    <t>AMP to date</t>
  </si>
  <si>
    <t>Financial indicators</t>
  </si>
  <si>
    <t>4H.1</t>
  </si>
  <si>
    <t>Net debt</t>
  </si>
  <si>
    <t>4H.2</t>
  </si>
  <si>
    <t>Regulated equity</t>
  </si>
  <si>
    <t>RCT00600</t>
  </si>
  <si>
    <t>4H.3</t>
  </si>
  <si>
    <t>Regulated gearing</t>
  </si>
  <si>
    <t>4H.4</t>
  </si>
  <si>
    <t>Post tax return on regulated equity</t>
  </si>
  <si>
    <t>T19004PT</t>
  </si>
  <si>
    <t>4H.5</t>
  </si>
  <si>
    <t>RORE (return on regulated equity)</t>
  </si>
  <si>
    <t>T19004</t>
  </si>
  <si>
    <t>T19004AMP</t>
  </si>
  <si>
    <t>4H.6</t>
  </si>
  <si>
    <t>Dividend yield</t>
  </si>
  <si>
    <t>CR1050</t>
  </si>
  <si>
    <t>4H.7</t>
  </si>
  <si>
    <t>Retail profit margin - Household</t>
  </si>
  <si>
    <t>N/A</t>
  </si>
  <si>
    <t>(The sum of lines 2I.9 and 2I.13 less line 2C.9 less line 2I.4 less line 2I.9) / (The sum of lines 2I.9 and 2I.13), expressed as a percentage</t>
  </si>
  <si>
    <t>R5004HH</t>
  </si>
  <si>
    <t>4H.8</t>
  </si>
  <si>
    <t>Retail profit margin - Non household</t>
  </si>
  <si>
    <t>(The sum of lines 2I.9 and 2I.13 less line 2C.9 less line 2I.4 less line 2I. 9) / (The sum of lines 2I.9 and 2I.13), expressed as a percentage</t>
  </si>
  <si>
    <t>R5004NH</t>
  </si>
  <si>
    <t>4H.9</t>
  </si>
  <si>
    <t>Credit rating</t>
  </si>
  <si>
    <t>Text</t>
  </si>
  <si>
    <t>n/a</t>
  </si>
  <si>
    <t>A8012FM</t>
  </si>
  <si>
    <t>4H.10</t>
  </si>
  <si>
    <t>Return on RCV</t>
  </si>
  <si>
    <t>CR19006</t>
  </si>
  <si>
    <t>4H.11</t>
  </si>
  <si>
    <t>Dividend cover</t>
  </si>
  <si>
    <t>dec</t>
  </si>
  <si>
    <t>CR2610</t>
  </si>
  <si>
    <t>4H.12</t>
  </si>
  <si>
    <t>Funds from operations (FFO)</t>
  </si>
  <si>
    <t>A14025</t>
  </si>
  <si>
    <t>4H.13</t>
  </si>
  <si>
    <t>Interest cover (cash)</t>
  </si>
  <si>
    <t>CR1051</t>
  </si>
  <si>
    <t>4H.14</t>
  </si>
  <si>
    <t>Adjusted interest cover (cash)</t>
  </si>
  <si>
    <t>CR1052</t>
  </si>
  <si>
    <t>4H.15</t>
  </si>
  <si>
    <t>FFO/Debt</t>
  </si>
  <si>
    <t>CR1053</t>
  </si>
  <si>
    <t>4H.16</t>
  </si>
  <si>
    <t>Effective tax rate</t>
  </si>
  <si>
    <t>CR1054</t>
  </si>
  <si>
    <t>4H.17</t>
  </si>
  <si>
    <t>RCF</t>
  </si>
  <si>
    <t>CR1055</t>
  </si>
  <si>
    <t>4H.18</t>
  </si>
  <si>
    <t>RCF/capex</t>
  </si>
  <si>
    <t>CR1056</t>
  </si>
  <si>
    <t>Revenue and earnings</t>
  </si>
  <si>
    <t>4H.19</t>
  </si>
  <si>
    <t>Revenue (actual)</t>
  </si>
  <si>
    <t>4H.20</t>
  </si>
  <si>
    <t>EBITDA (actual)</t>
  </si>
  <si>
    <t>CR1057</t>
  </si>
  <si>
    <t>Movement in RORE</t>
  </si>
  <si>
    <t>4H.21</t>
  </si>
  <si>
    <t>Base return</t>
  </si>
  <si>
    <t>CR1066</t>
  </si>
  <si>
    <t>CR1076</t>
  </si>
  <si>
    <t>4H.22</t>
  </si>
  <si>
    <t>CR1067</t>
  </si>
  <si>
    <t>CR1077</t>
  </si>
  <si>
    <t>4H.23</t>
  </si>
  <si>
    <t>Retail cost out / (under) performance</t>
  </si>
  <si>
    <t>CR1068</t>
  </si>
  <si>
    <t>CR1078</t>
  </si>
  <si>
    <t>4H.24</t>
  </si>
  <si>
    <t>CR1069</t>
  </si>
  <si>
    <t>CR1079</t>
  </si>
  <si>
    <t>4H.25</t>
  </si>
  <si>
    <t>Financing out / (under) performance</t>
  </si>
  <si>
    <t>CR1070</t>
  </si>
  <si>
    <t>CR1080</t>
  </si>
  <si>
    <t>4H.26</t>
  </si>
  <si>
    <t>Other factors</t>
  </si>
  <si>
    <t>CR1073</t>
  </si>
  <si>
    <t>CR1083</t>
  </si>
  <si>
    <t>4H.27</t>
  </si>
  <si>
    <t>Regulatory return for the year</t>
  </si>
  <si>
    <t>Current year to equal line 4H.5</t>
  </si>
  <si>
    <t>CR1071</t>
  </si>
  <si>
    <t>CR1081</t>
  </si>
  <si>
    <t>4H.28</t>
  </si>
  <si>
    <t>Proportion of borrowings which are fixed rate</t>
  </si>
  <si>
    <t>CR1058</t>
  </si>
  <si>
    <t>4H.29</t>
  </si>
  <si>
    <t>Proportion of borrowings which are floating rate</t>
  </si>
  <si>
    <t>CR1059</t>
  </si>
  <si>
    <t>4H.30</t>
  </si>
  <si>
    <t>Proportion of borrowings which are index linked</t>
  </si>
  <si>
    <t>The total of lines 4H.21 to 4H.23 should equal 100%</t>
  </si>
  <si>
    <t>CR1060</t>
  </si>
  <si>
    <t>4H.31</t>
  </si>
  <si>
    <t>Proportion of borrowings due within 1 year or less</t>
  </si>
  <si>
    <t>CR1061</t>
  </si>
  <si>
    <t>4H.32</t>
  </si>
  <si>
    <t>Proportion of borrowings due in more than 1 year but no more than 2 years</t>
  </si>
  <si>
    <t>CR1062</t>
  </si>
  <si>
    <t>4H.33</t>
  </si>
  <si>
    <t>Proportion of borrowings due in more than 2 years but but no more than 5 years</t>
  </si>
  <si>
    <t>CR1063</t>
  </si>
  <si>
    <t>4H.34</t>
  </si>
  <si>
    <t>Proportion of borrowings due in more than 5 years but no more than 20 years</t>
  </si>
  <si>
    <t>CR1064</t>
  </si>
  <si>
    <t>4H.35</t>
  </si>
  <si>
    <t>Proportion of borrowings due in more than 20 years</t>
  </si>
  <si>
    <t>The total of lines 4H.24 to 4H.28 should equal 100%</t>
  </si>
  <si>
    <t>CR1065</t>
  </si>
  <si>
    <t xml:space="preserve">We are asking companies to report this suite of financial metrics to enable us to  monitor the finanical stability of the water and wastewater companies in England and Wales and to provide us with enhanced visibility of  company financing and capital structures.
</t>
  </si>
  <si>
    <t>4H - Table guidance</t>
  </si>
  <si>
    <t>Table 4H requires companies to provide a RORE figure for the period from the start of the AMP to the reporting date.
We previously provided guidance as to the approach that companies should use when calculating an annual RORE figure. 
Consistent with the approach that we used at PR14 companies should calculate an annual RORE figure for each year and the figure that they should then provide in table 4H is an arithmetic average of the annual RORE for each year since the start of the AMP.
In addition, when translating between real and nominal figures companies should be using the Fisher equation.   (1 + nominal) = (1 + real)  x (1 + inflation)</t>
  </si>
  <si>
    <t xml:space="preserve">The sum of table 1E lines 3 to 5. Equal to table 1E line 6. </t>
  </si>
  <si>
    <t>Regulated equity is calculated as year-end regulated capital value (RCV) less net debt at the period end. Equal to table 4C line 5 less table 1E line 6.</t>
  </si>
  <si>
    <t>Regulatory gearing calculated as net debt in table 1E line 6 divided by RCV in table 4C line 5. Equal to table 1E line 7.</t>
  </si>
  <si>
    <t>Profit after current tax for the appointed business for the year as a % of average regulatory equity. Profit after current tax should exclude any fair value gains losses on financial derivatives (table 1A line 9 less line 12). For this metric average regulatory equity is a simple average of the regulatory equity at the start and end of the year. Regulatory equity at each year end is calculated in table 4H line 2. The opening regulatory equity at 31 March 2015 should be calculated after the impact of any midnight adjustment to RCV.</t>
  </si>
  <si>
    <t xml:space="preserve">1
2
3
</t>
  </si>
  <si>
    <t>RORE calculates the returns on a regulatory basis by reference to the notional gearing level of 62.5% and average RCV for each year. Where a regulated business ceases to undertake a particular activity (e.g. exiting the non-household retail market), then a note should be included setting out how this has impacted on the RORE compared to the base RORE set at FD.
The base RORE set at the final determination should be adjusted for the following factors net of any tax impact. 1) 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2) The company share of any out or underperformance on retail costs. 3) The impact of any ODI or SIM penalties or rewards earned in the year, even if they are not payable/receivable until the following AMP. 4) 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5) The impact of tax on the above should be calculated using the headline tax rate.
RORE should be presented:
• for the year under report;
• on an average basis (calculated as an arithmetic average of the annual figures in the AMP to date) and should recognise gains and losses made in the period from the start of the AMP to the date of the APR.
The Fisher equation should be used to translate from nominal to real interest rates; (1+n)=(1+r)*(1+i)</t>
  </si>
  <si>
    <t>1
2
3
4
5
6
7
8
9
10
11
12
13
14
15
16</t>
  </si>
  <si>
    <t>Calculated as the total appointee dividend for the year (as would be included in the statement of changes in equity) less any dividends paid to a holding company solely to enable that company to pay interest on an intergroup loan from the appointee/ divided by actual year end regulated equity (table 4H line 2)</t>
  </si>
  <si>
    <t>The retail profit margins should be calculated as earnings before interest and tax (after deducting wholesale charges) divided by total revenue charged to household or non-household customers respectively.</t>
  </si>
  <si>
    <t>Credit rating (corporate family where available) issued by a recognised credit rating agency. This should be the credit rating that is linked to each company's licence where applicable. If companies are rated by more than one credit rating agency then only the lowest rating needs to be included.
Companies should also provide details of the “Outlook/Watch” status of the rating</t>
  </si>
  <si>
    <t>Calculated as profit before interest less current tax (table 1A line 4 plus table 1A line 5 less table 1A line 12) divided by the average RCV for the year. This can be sourced from the annual OFWAT RCV publication. It should be used in the year average price base for the year as it appears on the website. This is after the impact of any midnight adjustment to RCV from the previous price control period.</t>
  </si>
  <si>
    <t>Profits of the appointed business for the year before dividends (table 1A line 14) divided by total appointee dividend for the year ((as would be included in the statement of changes in equity) less any dividends paid to a holding company solely to enable that company to pay interest on an intergroup loan from the appointee).</t>
  </si>
  <si>
    <t>Funds from operations (FFO) is net cash generated from operating activities adjusted to remove the changes in working capital. We acknowledge that our approach to calculating this differs from some of the methodologies applied by the credit rating agencies.</t>
  </si>
  <si>
    <t>Interest cover (cash) equal to (FFO as calculated above plus interest paid on borrowings)/ interest paid on borrowings. Interest paid on borrowings excludes any accretion of interest linked debt which is a non cash item.</t>
  </si>
  <si>
    <t>Adjusted interest cover (cash) equal to (FFO as calculated above plus interest paid on borrowings less regulatory depreciation)/ interest paid on borrowings. Interest paid on borrowings excludes any accretion of interest linked debt which is a non cash item. Regulatory depreciation is defined in the final determinations and should be adjusted to the year-end price base. The regulatory depreciation figures are published by Ofwat each year.</t>
  </si>
  <si>
    <t>Ratio of FFO to net debt. We acknowledge that our approach to calculating this differs from some of the methodologies applied by the credit rating agencies.</t>
  </si>
  <si>
    <t>Effective tax rate is the current tax charge for the appointed business before any adjustments in respect of prior period, as a % of the profit before tax and fair value movements for the appointed business.</t>
  </si>
  <si>
    <t>Equal to table 4H line 12 less table 1D line 19.</t>
  </si>
  <si>
    <t>Equal to table 4H line 17 divided by table 1D line 13.</t>
  </si>
  <si>
    <t>Equal to table 2A line 1.</t>
  </si>
  <si>
    <t>EBITDA (earnings before interest, tax, depreciation and amortisation) should be calculated using the price control revenue as set out in table 4H line 19 and the associated costs. It should include only amounts which are relevant to the price control.</t>
  </si>
  <si>
    <t>The base RORE set at the final determination.
This is as set out in the line definition for 4H.5.</t>
  </si>
  <si>
    <t>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This is as set out in the line definition for 4H.5.</t>
  </si>
  <si>
    <t>The company share of any out or underperformance on retail costs.
This is as set out in the line definition for 4H.5.</t>
  </si>
  <si>
    <t>The impact of any ODI or SIM outperformance payment or underperformance payment earned in the year, even if they are not payable/receivable until the following AMP.
This is as set out in the line definition for 4H.5.</t>
  </si>
  <si>
    <t>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The impact of tax on the above should be calculated using the headline tax rate.
This is as set out in the line definition for 4H.5.</t>
  </si>
  <si>
    <t>Sum of 4H.21 to 4H.25. Equal to 4H.5.</t>
  </si>
  <si>
    <t>Equal to table 1E line 1 (fixed rate) plus table 1E line 2 divided by table 1E line 3.</t>
  </si>
  <si>
    <t>4H.30-34</t>
  </si>
  <si>
    <t>In these lines please provide details of the % of borrowings (table 1E line 3) which fall into each category.</t>
  </si>
  <si>
    <t>4J - Atypical expenditure by business unit - Wholesale water</t>
  </si>
  <si>
    <t>Company commentary (if required)</t>
  </si>
  <si>
    <t>Operating expenditure (excl. atypicals)</t>
  </si>
  <si>
    <t>4J.1</t>
  </si>
  <si>
    <t>WS1001AL</t>
  </si>
  <si>
    <t>WS1001RWA</t>
  </si>
  <si>
    <t>WS1001RWT</t>
  </si>
  <si>
    <t>WS1001RWS</t>
  </si>
  <si>
    <t>WS1001WT</t>
  </si>
  <si>
    <t>WS1001TWD</t>
  </si>
  <si>
    <t>WS1001CAW</t>
  </si>
  <si>
    <t>4J.2</t>
  </si>
  <si>
    <t>WS1002AL</t>
  </si>
  <si>
    <t>WS1002RWA</t>
  </si>
  <si>
    <t>WS1002RWT</t>
  </si>
  <si>
    <t>WS1002RWS</t>
  </si>
  <si>
    <t>WS1002WT</t>
  </si>
  <si>
    <t>WS1002TWD</t>
  </si>
  <si>
    <t>WS1002CAW</t>
  </si>
  <si>
    <t>4J.3</t>
  </si>
  <si>
    <t>WS1003AL</t>
  </si>
  <si>
    <t>WS1003RWA</t>
  </si>
  <si>
    <t>WS1003RWT</t>
  </si>
  <si>
    <t>WS1003RWS</t>
  </si>
  <si>
    <t>WS1003WT</t>
  </si>
  <si>
    <t>WS1003TWD</t>
  </si>
  <si>
    <t>WS1003CAW</t>
  </si>
  <si>
    <t>4J.4</t>
  </si>
  <si>
    <t>WS1004AL</t>
  </si>
  <si>
    <t>WS1004RWA</t>
  </si>
  <si>
    <t>WS1004RWT</t>
  </si>
  <si>
    <t>WS1004RWS</t>
  </si>
  <si>
    <t>WS1004WT</t>
  </si>
  <si>
    <t>WS1004TWD</t>
  </si>
  <si>
    <t>WS1004CAW</t>
  </si>
  <si>
    <t>4J.5</t>
  </si>
  <si>
    <t>- Renewals expensed in year (Infrastructure)</t>
  </si>
  <si>
    <t>WS1005AL</t>
  </si>
  <si>
    <t>WS1005RWA</t>
  </si>
  <si>
    <t>WS1005RWT</t>
  </si>
  <si>
    <t>WS1005RWS</t>
  </si>
  <si>
    <t>WS1005WT</t>
  </si>
  <si>
    <t>WS1005TWD</t>
  </si>
  <si>
    <t>WS1005CAW</t>
  </si>
  <si>
    <t>4J.6</t>
  </si>
  <si>
    <t>- Renewals expensed in year (Non-Infrastructure)</t>
  </si>
  <si>
    <t>WS1006AL</t>
  </si>
  <si>
    <t>WS1006RWA</t>
  </si>
  <si>
    <t>WS1006RWT</t>
  </si>
  <si>
    <t>WS1006RWS</t>
  </si>
  <si>
    <t>WS1006WT</t>
  </si>
  <si>
    <t>WS1006TWD</t>
  </si>
  <si>
    <t>WS1006CAW</t>
  </si>
  <si>
    <t>4J.7</t>
  </si>
  <si>
    <t>- Other operating expenditure excluding renewals</t>
  </si>
  <si>
    <t>WS1007AL</t>
  </si>
  <si>
    <t>WS1007RWA</t>
  </si>
  <si>
    <t>WS1007RWT</t>
  </si>
  <si>
    <t>WS1007RWS</t>
  </si>
  <si>
    <t>WS1007WT</t>
  </si>
  <si>
    <t>WS1007TWD</t>
  </si>
  <si>
    <t>WS1007CAW</t>
  </si>
  <si>
    <t>4J.8</t>
  </si>
  <si>
    <t>WS1008AL</t>
  </si>
  <si>
    <t>WS1008RWA</t>
  </si>
  <si>
    <t>WS1008RWT</t>
  </si>
  <si>
    <t>WS1008RWS</t>
  </si>
  <si>
    <t>WS1008WT</t>
  </si>
  <si>
    <t>WS1008TWD</t>
  </si>
  <si>
    <t>WS1008CAW</t>
  </si>
  <si>
    <t>4J.9</t>
  </si>
  <si>
    <t>Total operating expenditure (excluding third party services)</t>
  </si>
  <si>
    <t>WS1009AL</t>
  </si>
  <si>
    <t>WS1009RWA</t>
  </si>
  <si>
    <t>WS1009RWT</t>
  </si>
  <si>
    <t>WS1009RWS</t>
  </si>
  <si>
    <t>WS1009WT</t>
  </si>
  <si>
    <t>WS1009TWD</t>
  </si>
  <si>
    <t>WS1009CAW</t>
  </si>
  <si>
    <t>4J.10</t>
  </si>
  <si>
    <t>WS1010AL</t>
  </si>
  <si>
    <t>WS1010RWA</t>
  </si>
  <si>
    <t>WS1010RWT</t>
  </si>
  <si>
    <t>WS1010RWS</t>
  </si>
  <si>
    <t>WS1010WT</t>
  </si>
  <si>
    <t>WS1010TWD</t>
  </si>
  <si>
    <t>WS1010CAW</t>
  </si>
  <si>
    <t>4J.11</t>
  </si>
  <si>
    <t>WS1011AL</t>
  </si>
  <si>
    <t>WS1011RWA</t>
  </si>
  <si>
    <t>WS1011RWT</t>
  </si>
  <si>
    <t>WS1011RWS</t>
  </si>
  <si>
    <t>WS1011WT</t>
  </si>
  <si>
    <t>WS1011TWD</t>
  </si>
  <si>
    <t>WS1011CAW</t>
  </si>
  <si>
    <t>Capital expenditure (excl. atypicals)</t>
  </si>
  <si>
    <t>4J.12</t>
  </si>
  <si>
    <t>WS1012AL</t>
  </si>
  <si>
    <t>WS1012RWA</t>
  </si>
  <si>
    <t>WS1012RWT</t>
  </si>
  <si>
    <t>WS1012RWS</t>
  </si>
  <si>
    <t>WS1012WT</t>
  </si>
  <si>
    <t>WS1012TWD</t>
  </si>
  <si>
    <t>WS1012CAW</t>
  </si>
  <si>
    <t>4J.13</t>
  </si>
  <si>
    <t>WS1013AL</t>
  </si>
  <si>
    <t>WS1013RWA</t>
  </si>
  <si>
    <t>WS1013RWT</t>
  </si>
  <si>
    <t>WS1013RWS</t>
  </si>
  <si>
    <t>WS1013WT</t>
  </si>
  <si>
    <t>WS1013TWD</t>
  </si>
  <si>
    <t>WS1013CAW</t>
  </si>
  <si>
    <t>4J.14</t>
  </si>
  <si>
    <t>WS1014AL</t>
  </si>
  <si>
    <t>WS1014RWA</t>
  </si>
  <si>
    <t>WS1014RWT</t>
  </si>
  <si>
    <t>WS1014RWS</t>
  </si>
  <si>
    <t>WS1014WT</t>
  </si>
  <si>
    <t>WS1014TWD</t>
  </si>
  <si>
    <t>WS1014CAW</t>
  </si>
  <si>
    <t>4J.15</t>
  </si>
  <si>
    <t>WS1015AL</t>
  </si>
  <si>
    <t>WS1015RWA</t>
  </si>
  <si>
    <t>WS1015RWT</t>
  </si>
  <si>
    <t>WS1015RWS</t>
  </si>
  <si>
    <t>WS1015WT</t>
  </si>
  <si>
    <t>WS1015TWD</t>
  </si>
  <si>
    <t>WS1015CAW</t>
  </si>
  <si>
    <t>4J.16</t>
  </si>
  <si>
    <t>WS1016AL</t>
  </si>
  <si>
    <t>WS1016RWA</t>
  </si>
  <si>
    <t>WS1016RWT</t>
  </si>
  <si>
    <t>WS1016RWS</t>
  </si>
  <si>
    <t>WS1016WT</t>
  </si>
  <si>
    <t>WS1016TWD</t>
  </si>
  <si>
    <t>WS1016CAW</t>
  </si>
  <si>
    <t>4J.17</t>
  </si>
  <si>
    <t>WS1017AL</t>
  </si>
  <si>
    <t>WS1017RWA</t>
  </si>
  <si>
    <t>WS1017RWT</t>
  </si>
  <si>
    <t>WS1017RWS</t>
  </si>
  <si>
    <t>WS1017WT</t>
  </si>
  <si>
    <t>WS1017TWD</t>
  </si>
  <si>
    <t>WS1017CAW</t>
  </si>
  <si>
    <t>4J.18</t>
  </si>
  <si>
    <t>WS1018AL</t>
  </si>
  <si>
    <t>WS1018RWA</t>
  </si>
  <si>
    <t>WS1018RWT</t>
  </si>
  <si>
    <t>WS1018RWS</t>
  </si>
  <si>
    <t>WS1018WT</t>
  </si>
  <si>
    <t>WS1018TWD</t>
  </si>
  <si>
    <t>WS1018CAW</t>
  </si>
  <si>
    <t>4J.19</t>
  </si>
  <si>
    <t>WS1019AL</t>
  </si>
  <si>
    <t>WS1019RWA</t>
  </si>
  <si>
    <t>WS1019RWT</t>
  </si>
  <si>
    <t>WS1019RWS</t>
  </si>
  <si>
    <t>WS1019WT</t>
  </si>
  <si>
    <t>WS1019TWD</t>
  </si>
  <si>
    <t>WS1019CAW</t>
  </si>
  <si>
    <t>4J.20</t>
  </si>
  <si>
    <t>Table 4J does not equal table 2B, please provide reasoning and reconciliation in your commentary</t>
  </si>
  <si>
    <t>WS1020AL</t>
  </si>
  <si>
    <t>WS1020RWA</t>
  </si>
  <si>
    <t>WS1020RWT</t>
  </si>
  <si>
    <t>WS1020RWS</t>
  </si>
  <si>
    <t>WS1020WT</t>
  </si>
  <si>
    <t>WS1020TWD</t>
  </si>
  <si>
    <t>WS1020CAW</t>
  </si>
  <si>
    <t>4J.21</t>
  </si>
  <si>
    <t>WS1021AL</t>
  </si>
  <si>
    <t>WS1021RWA</t>
  </si>
  <si>
    <t>WS1021RWT</t>
  </si>
  <si>
    <t>WS1021RWS</t>
  </si>
  <si>
    <t>WS1021WT</t>
  </si>
  <si>
    <t>WS1021TWD</t>
  </si>
  <si>
    <t>WS1021CAW</t>
  </si>
  <si>
    <t>Cash expenditure (excl. atypicals)</t>
  </si>
  <si>
    <t>4J.22</t>
  </si>
  <si>
    <t>WS1022AL</t>
  </si>
  <si>
    <t>WS1022RWA</t>
  </si>
  <si>
    <t>WS1022RWT</t>
  </si>
  <si>
    <t>WS1022RWS</t>
  </si>
  <si>
    <t>WS1022WT</t>
  </si>
  <si>
    <t>WS1022TWD</t>
  </si>
  <si>
    <t>WS1022CAW</t>
  </si>
  <si>
    <t>4J.23</t>
  </si>
  <si>
    <t>WS1023AL</t>
  </si>
  <si>
    <t>WS1023RWA</t>
  </si>
  <si>
    <t>WS1023RWT</t>
  </si>
  <si>
    <t>WS1023RWS</t>
  </si>
  <si>
    <t>WS1023WT</t>
  </si>
  <si>
    <t>WS1023TWD</t>
  </si>
  <si>
    <t>WS1023CAW</t>
  </si>
  <si>
    <t>4J.24</t>
  </si>
  <si>
    <t>WS1024AL</t>
  </si>
  <si>
    <t>WS1024RWA</t>
  </si>
  <si>
    <t>WS1024RWT</t>
  </si>
  <si>
    <t>WS1024RWS</t>
  </si>
  <si>
    <t>WS1024WT</t>
  </si>
  <si>
    <t>WS1024TWD</t>
  </si>
  <si>
    <t>WS1024CAW</t>
  </si>
  <si>
    <t>Atypical expenditure</t>
  </si>
  <si>
    <t>4J.25</t>
  </si>
  <si>
    <t>Item 1</t>
  </si>
  <si>
    <t>Provide description in column C for data entered</t>
  </si>
  <si>
    <t>BP3357001AL</t>
  </si>
  <si>
    <t>BP3357001RWA</t>
  </si>
  <si>
    <t>BP3357001RWT</t>
  </si>
  <si>
    <t>BP3357001RWS</t>
  </si>
  <si>
    <t>BP3357001WT</t>
  </si>
  <si>
    <t>BP3357001TWD</t>
  </si>
  <si>
    <t>BP3357001CAW</t>
  </si>
  <si>
    <t>4J.26</t>
  </si>
  <si>
    <t>Item 2</t>
  </si>
  <si>
    <t>BP3357002AL</t>
  </si>
  <si>
    <t>BP3357002RWA</t>
  </si>
  <si>
    <t>BP3357002RWT</t>
  </si>
  <si>
    <t>BP3357002RWS</t>
  </si>
  <si>
    <t>BP3357002WT</t>
  </si>
  <si>
    <t>BP3357002TWD</t>
  </si>
  <si>
    <t>BP3357002CAW</t>
  </si>
  <si>
    <t>4J.27</t>
  </si>
  <si>
    <t>Item 3</t>
  </si>
  <si>
    <t>BP3357003AL</t>
  </si>
  <si>
    <t>BP3357003RWA</t>
  </si>
  <si>
    <t>BP3357003RWT</t>
  </si>
  <si>
    <t>BP3357003RWS</t>
  </si>
  <si>
    <t>BP3357003WT</t>
  </si>
  <si>
    <t>BP3357003TWD</t>
  </si>
  <si>
    <t>BP3357003CAW</t>
  </si>
  <si>
    <t>4J.28</t>
  </si>
  <si>
    <t>Item 4</t>
  </si>
  <si>
    <t>BP3357004AL</t>
  </si>
  <si>
    <t>BP3357004RWA</t>
  </si>
  <si>
    <t>BP3357004RWT</t>
  </si>
  <si>
    <t>BP3357004RWS</t>
  </si>
  <si>
    <t>BP3357004WT</t>
  </si>
  <si>
    <t>BP3357004TWD</t>
  </si>
  <si>
    <t>BP3357004CAW</t>
  </si>
  <si>
    <t>4J.29</t>
  </si>
  <si>
    <t>Item 5</t>
  </si>
  <si>
    <t>BP3357005AL</t>
  </si>
  <si>
    <t>BP3357005RWA</t>
  </si>
  <si>
    <t>BP3357005RWT</t>
  </si>
  <si>
    <t>BP3357005RWS</t>
  </si>
  <si>
    <t>BP3357005WT</t>
  </si>
  <si>
    <t>BP3357005TWD</t>
  </si>
  <si>
    <t>BP3357005CAW</t>
  </si>
  <si>
    <t>4J.30</t>
  </si>
  <si>
    <t>Item 6</t>
  </si>
  <si>
    <t>BP3357006AL</t>
  </si>
  <si>
    <t>BP3357006RWA</t>
  </si>
  <si>
    <t>BP3357006RWT</t>
  </si>
  <si>
    <t>BP3357006RWS</t>
  </si>
  <si>
    <t>BP3357006WT</t>
  </si>
  <si>
    <t>BP3357006TWD</t>
  </si>
  <si>
    <t>BP3357006CAW</t>
  </si>
  <si>
    <t>4J.31</t>
  </si>
  <si>
    <t>Item 7</t>
  </si>
  <si>
    <t>BP3357007AL</t>
  </si>
  <si>
    <t>BP3357007RWA</t>
  </si>
  <si>
    <t>BP3357007RWT</t>
  </si>
  <si>
    <t>BP3357007RWS</t>
  </si>
  <si>
    <t>BP3357007WT</t>
  </si>
  <si>
    <t>BP3357007TWD</t>
  </si>
  <si>
    <t>BP3357007CAW</t>
  </si>
  <si>
    <t>4J.32</t>
  </si>
  <si>
    <t>Item 8</t>
  </si>
  <si>
    <t>BP3357008AL</t>
  </si>
  <si>
    <t>BP3357008RWA</t>
  </si>
  <si>
    <t>BP3357008RWT</t>
  </si>
  <si>
    <t>BP3357008RWS</t>
  </si>
  <si>
    <t>BP3357008WT</t>
  </si>
  <si>
    <t>BP3357008TWD</t>
  </si>
  <si>
    <t>BP3357008CAW</t>
  </si>
  <si>
    <t>4J.33</t>
  </si>
  <si>
    <t>Item 9</t>
  </si>
  <si>
    <t>BP3357009AL</t>
  </si>
  <si>
    <t>BP3357009RWA</t>
  </si>
  <si>
    <t>BP3357009RWT</t>
  </si>
  <si>
    <t>BP3357009RWS</t>
  </si>
  <si>
    <t>BP3357009WT</t>
  </si>
  <si>
    <t>BP3357009TWD</t>
  </si>
  <si>
    <t>BP3357009CAW</t>
  </si>
  <si>
    <t>4J.34</t>
  </si>
  <si>
    <t>Item 10</t>
  </si>
  <si>
    <t>BP3357010AL</t>
  </si>
  <si>
    <t>BP3357010RWA</t>
  </si>
  <si>
    <t>BP3357010RWT</t>
  </si>
  <si>
    <t>BP3357010RWS</t>
  </si>
  <si>
    <t>BP3357010WT</t>
  </si>
  <si>
    <t>BP3357010TWD</t>
  </si>
  <si>
    <t>BP3357010CAW</t>
  </si>
  <si>
    <t>4J.35</t>
  </si>
  <si>
    <t>Total atypical expenditure</t>
  </si>
  <si>
    <t>BP3357020AL</t>
  </si>
  <si>
    <t>BP3357020RWA</t>
  </si>
  <si>
    <t>BP3357020RWT</t>
  </si>
  <si>
    <t>BP3357020RWS</t>
  </si>
  <si>
    <t>BP3357020WT</t>
  </si>
  <si>
    <t>BP3357020TWD</t>
  </si>
  <si>
    <t>BP3357020CAW</t>
  </si>
  <si>
    <t xml:space="preserve">Total expenditure </t>
  </si>
  <si>
    <t>4J.36</t>
  </si>
  <si>
    <t>Total expenditure</t>
  </si>
  <si>
    <t>Table 4J does not equal table 4D, please provide reasoning and reconciliation in your commentary</t>
  </si>
  <si>
    <t>W3026TEAL</t>
  </si>
  <si>
    <t>W3026TERWA</t>
  </si>
  <si>
    <t>W3026TERWT</t>
  </si>
  <si>
    <t>W3026TERWS</t>
  </si>
  <si>
    <t>W3026TEWT</t>
  </si>
  <si>
    <t>W3026TETWD</t>
  </si>
  <si>
    <t>W3026TECAW</t>
  </si>
  <si>
    <t xml:space="preserve">                                                                    </t>
  </si>
  <si>
    <t>All energy costs, including the climate change levy and the carbon reduction commitment.  Any cost savings from power generated internally should be netted off these costs.</t>
  </si>
  <si>
    <t xml:space="preserve">Income received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the National Grid ‘STOR’
</t>
  </si>
  <si>
    <t>Total cost of service charges (abstraction licences and permits to discharge) by the Environment Agency or Canal and River Trust.</t>
  </si>
  <si>
    <t>Other operating costs not covered by 4J lines 5 and 6.</t>
  </si>
  <si>
    <t>The cost of local authority rates. This should include both the local authority rates and cumulo rates</t>
  </si>
  <si>
    <t>Total operating costs excluding third party services. The sum of 4J lines 1 to 8.</t>
  </si>
  <si>
    <t>Operating expenditure for providing third party services. See appendix 1of RAG 4.</t>
  </si>
  <si>
    <t xml:space="preserve">Total operating expenditure for the wholesale business only within each business category. The sum of 4J lines 9 and 10. </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</si>
  <si>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</si>
  <si>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</si>
  <si>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Any capital expenditure on infrastructure assets other than defined in 4J line 12 excluding third party capex.</t>
  </si>
  <si>
    <t>Any capital expenditure on non-infrastructure assets other than defined in 4J line 13 excluding third party capex.</t>
  </si>
  <si>
    <t>Infrastructure network reinforcement  - A water or sewerage undertaker’s 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a water or sewerage undertaker’s existing network assets beyond the nearest practicable point where the connection to the water or sewerage undertaker’s network has, or will been made.  Capital Expenditure in this line should be the same categories of expenditure that was used to calculate a water or sewage undertakers infrastructure charges</t>
  </si>
  <si>
    <t>Total gross capital expenditure excluding third party services -  the sum of 4J lines 12 to 16.</t>
  </si>
  <si>
    <t>Capital expenditure for providing third party services. See appendix 1 RAG 4.</t>
  </si>
  <si>
    <t>The sum of 4J lines 17 and 18.</t>
  </si>
  <si>
    <t>All grants and contributions. E.g. from connection charges, infrastructure charges, requisitions and other contributions. Adopted assets should not be included. This should agree to line 2B.20. Input as a positive number.</t>
  </si>
  <si>
    <t>The sum of 4J lines 11  and 19 minus 20.</t>
  </si>
  <si>
    <t>The sum of 4J lines 21 to 23.</t>
  </si>
  <si>
    <t>25-34</t>
  </si>
  <si>
    <t>Please specify atypical items in the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</si>
  <si>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Total atypical expenditure. Calculated as the sum of 4J lines 25 to 34.</t>
  </si>
  <si>
    <t>Total expenditure. Calculated as the sum of 4J lines 24 and 35.</t>
  </si>
  <si>
    <t>Additional guidance</t>
  </si>
  <si>
    <t xml:space="preserve">This table is closely associated with pro forma 4D in the APR (as per RAG4).  </t>
  </si>
  <si>
    <t>4K - Atypical expenditure by business unit - Wholesale wastewater</t>
  </si>
  <si>
    <t>Network+       Sewage Collection</t>
  </si>
  <si>
    <t>Network+       Sewage Treatment</t>
  </si>
  <si>
    <t>Item description</t>
  </si>
  <si>
    <t>Sludge liquor treatment</t>
  </si>
  <si>
    <t>4K.1</t>
  </si>
  <si>
    <t>WWS1001FL</t>
  </si>
  <si>
    <t>WWS1001SWD</t>
  </si>
  <si>
    <t>WWS1001HD</t>
  </si>
  <si>
    <t>WWS1001STD</t>
  </si>
  <si>
    <t>WWS1001SLT</t>
  </si>
  <si>
    <t>WWS1001STP</t>
  </si>
  <si>
    <t>WWS1001SDT</t>
  </si>
  <si>
    <t>WWS1001SDD</t>
  </si>
  <si>
    <t>WWS1001CAS</t>
  </si>
  <si>
    <t>4K.2</t>
  </si>
  <si>
    <t>WWS1002FL</t>
  </si>
  <si>
    <t>WWS1002SWD</t>
  </si>
  <si>
    <t>WWS1002HD</t>
  </si>
  <si>
    <t>WWS1002STD</t>
  </si>
  <si>
    <t>WWS1002SLT</t>
  </si>
  <si>
    <t>WWS1002STP</t>
  </si>
  <si>
    <t>WWS1002SDT</t>
  </si>
  <si>
    <t>WWS1002SDD</t>
  </si>
  <si>
    <t>WWS1002CAS</t>
  </si>
  <si>
    <t>4K.3</t>
  </si>
  <si>
    <t>Discharge Consents</t>
  </si>
  <si>
    <t>WWS1003FL</t>
  </si>
  <si>
    <t>WWS1003SWD</t>
  </si>
  <si>
    <t>WWS1003HD</t>
  </si>
  <si>
    <t>WWS1003STD</t>
  </si>
  <si>
    <t>WWS1003SLT</t>
  </si>
  <si>
    <t>WWS1003STP</t>
  </si>
  <si>
    <t>WWS1003SDT</t>
  </si>
  <si>
    <t>WWS1003SDD</t>
  </si>
  <si>
    <t>WWS1003CAS</t>
  </si>
  <si>
    <t>4K.4</t>
  </si>
  <si>
    <t>WWS1004FL</t>
  </si>
  <si>
    <t>WWS1004SWD</t>
  </si>
  <si>
    <t>WWS1004HD</t>
  </si>
  <si>
    <t>WWS1004STD</t>
  </si>
  <si>
    <t>WWS1004SLT</t>
  </si>
  <si>
    <t>WWS1004STP</t>
  </si>
  <si>
    <t>WWS1004SDT</t>
  </si>
  <si>
    <t>WWS1004SDD</t>
  </si>
  <si>
    <t>WWS1004CAS</t>
  </si>
  <si>
    <t>4K.5</t>
  </si>
  <si>
    <t>WWS1005FL</t>
  </si>
  <si>
    <t>WWS1005SWD</t>
  </si>
  <si>
    <t>WWS1005HD</t>
  </si>
  <si>
    <t>WWS1005STD</t>
  </si>
  <si>
    <t>WWS1005SLT</t>
  </si>
  <si>
    <t>WWS1005STP</t>
  </si>
  <si>
    <t>WWS1005SDT</t>
  </si>
  <si>
    <t>WWS1005SDD</t>
  </si>
  <si>
    <t>WWS1005CAS</t>
  </si>
  <si>
    <t>4K.6</t>
  </si>
  <si>
    <t>WWS1006FL</t>
  </si>
  <si>
    <t>WWS1006SWD</t>
  </si>
  <si>
    <t>WWS1006HD</t>
  </si>
  <si>
    <t>WWS1006STD</t>
  </si>
  <si>
    <t>WWS1006SLT</t>
  </si>
  <si>
    <t>WWS1006STP</t>
  </si>
  <si>
    <t>WWS1006SDT</t>
  </si>
  <si>
    <t>WWS1006SDD</t>
  </si>
  <si>
    <t>WWS1006CAS</t>
  </si>
  <si>
    <t>4K.7</t>
  </si>
  <si>
    <t>WWS1007FL</t>
  </si>
  <si>
    <t>WWS1007SWD</t>
  </si>
  <si>
    <t>WWS1007HD</t>
  </si>
  <si>
    <t>WWS1007STD</t>
  </si>
  <si>
    <t>WWS1007SLT</t>
  </si>
  <si>
    <t>WWS1007STP</t>
  </si>
  <si>
    <t>WWS1007SDT</t>
  </si>
  <si>
    <t>WWS1007SDD</t>
  </si>
  <si>
    <t>WWS1007CAS</t>
  </si>
  <si>
    <t>4K.8</t>
  </si>
  <si>
    <t>WWS1008FL</t>
  </si>
  <si>
    <t>WWS1008SWD</t>
  </si>
  <si>
    <t>WWS1008HD</t>
  </si>
  <si>
    <t>WWS1008STD</t>
  </si>
  <si>
    <t>WWS1008SLT</t>
  </si>
  <si>
    <t>WWS1008STP</t>
  </si>
  <si>
    <t>WWS1008SDT</t>
  </si>
  <si>
    <t>WWS1008SDD</t>
  </si>
  <si>
    <t>WWS1008CAS</t>
  </si>
  <si>
    <t>4K.9</t>
  </si>
  <si>
    <t>WWS1009FL</t>
  </si>
  <si>
    <t>WWS1009SWD</t>
  </si>
  <si>
    <t>WWS1009HD</t>
  </si>
  <si>
    <t>WWS1009STD</t>
  </si>
  <si>
    <t>WWS1009SLT</t>
  </si>
  <si>
    <t>WWS1009STP</t>
  </si>
  <si>
    <t>WWS1009SDT</t>
  </si>
  <si>
    <t>WWS1009SDD</t>
  </si>
  <si>
    <t>WWS1009CAS</t>
  </si>
  <si>
    <t>4K.10</t>
  </si>
  <si>
    <t>WWS1010FL</t>
  </si>
  <si>
    <t>WWS1010SWD</t>
  </si>
  <si>
    <t>WWS1010HD</t>
  </si>
  <si>
    <t>WWS1010STD</t>
  </si>
  <si>
    <t>WWS1010SLT</t>
  </si>
  <si>
    <t>WWS1010STP</t>
  </si>
  <si>
    <t>WWS1010SDT</t>
  </si>
  <si>
    <t>WWS1010SDD</t>
  </si>
  <si>
    <t>WWS1010CAS</t>
  </si>
  <si>
    <t>4K.11</t>
  </si>
  <si>
    <t>WWS1011FL</t>
  </si>
  <si>
    <t>WWS1011SWD</t>
  </si>
  <si>
    <t>WWS1011HD</t>
  </si>
  <si>
    <t>WWS1011STD</t>
  </si>
  <si>
    <t>WWS1011SLT</t>
  </si>
  <si>
    <t>WWS1011STP</t>
  </si>
  <si>
    <t>WWS1011SDT</t>
  </si>
  <si>
    <t>WWS1011SDD</t>
  </si>
  <si>
    <t>WWS1011CAS</t>
  </si>
  <si>
    <t>4K.12</t>
  </si>
  <si>
    <t>WWS1012FL</t>
  </si>
  <si>
    <t>WWS1012SWD</t>
  </si>
  <si>
    <t>WWS1012HD</t>
  </si>
  <si>
    <t>WWS1012STD</t>
  </si>
  <si>
    <t>WWS1012SLT</t>
  </si>
  <si>
    <t>WWS1012STP</t>
  </si>
  <si>
    <t>WWS1012SDT</t>
  </si>
  <si>
    <t>WWS1012SDD</t>
  </si>
  <si>
    <t>WWS1012CAS</t>
  </si>
  <si>
    <t>4K.13</t>
  </si>
  <si>
    <t>WWS1013FL</t>
  </si>
  <si>
    <t>WWS1013SWD</t>
  </si>
  <si>
    <t>WWS1013HD</t>
  </si>
  <si>
    <t>WWS1013STD</t>
  </si>
  <si>
    <t>WWS1013SLT</t>
  </si>
  <si>
    <t>WWS1013STP</t>
  </si>
  <si>
    <t>WWS1013SDT</t>
  </si>
  <si>
    <t>WWS1013SDD</t>
  </si>
  <si>
    <t>WWS1013CAS</t>
  </si>
  <si>
    <t>4K.14</t>
  </si>
  <si>
    <t>WWS1014FL</t>
  </si>
  <si>
    <t>WWS1014SWD</t>
  </si>
  <si>
    <t>WWS1014HD</t>
  </si>
  <si>
    <t>WWS1014STD</t>
  </si>
  <si>
    <t>WWS1014SLT</t>
  </si>
  <si>
    <t>WWS1014STP</t>
  </si>
  <si>
    <t>WWS1014SDT</t>
  </si>
  <si>
    <t>WWS1014SDD</t>
  </si>
  <si>
    <t>WWS1014CAS</t>
  </si>
  <si>
    <t>4K.15</t>
  </si>
  <si>
    <t>WWS1015FL</t>
  </si>
  <si>
    <t>WWS1015SWD</t>
  </si>
  <si>
    <t>WWS1015HD</t>
  </si>
  <si>
    <t>WWS1015STD</t>
  </si>
  <si>
    <t>WWS1015SLT</t>
  </si>
  <si>
    <t>WWS1015STP</t>
  </si>
  <si>
    <t>WWS1015SDT</t>
  </si>
  <si>
    <t>WWS1015SDD</t>
  </si>
  <si>
    <t>WWS1015CAS</t>
  </si>
  <si>
    <t>4K.16</t>
  </si>
  <si>
    <t>WWS1016FL</t>
  </si>
  <si>
    <t>WWS1016SWD</t>
  </si>
  <si>
    <t>WWS1016HD</t>
  </si>
  <si>
    <t>WWS1016STD</t>
  </si>
  <si>
    <t>WWS1016SLT</t>
  </si>
  <si>
    <t>WWS1016STP</t>
  </si>
  <si>
    <t>WWS1016SDT</t>
  </si>
  <si>
    <t>WWS1016SDD</t>
  </si>
  <si>
    <t>WWS1016CAS</t>
  </si>
  <si>
    <t>4K.17</t>
  </si>
  <si>
    <t>WWS1017FL</t>
  </si>
  <si>
    <t>WWS1017SWD</t>
  </si>
  <si>
    <t>WWS1017HD</t>
  </si>
  <si>
    <t>WWS1017STD</t>
  </si>
  <si>
    <t>WWS1017SLT</t>
  </si>
  <si>
    <t>WWS1017STP</t>
  </si>
  <si>
    <t>WWS1017SDT</t>
  </si>
  <si>
    <t>WWS1017SDD</t>
  </si>
  <si>
    <t>WWS1017CAS</t>
  </si>
  <si>
    <t>4K.18</t>
  </si>
  <si>
    <t>WWS1018FL</t>
  </si>
  <si>
    <t>WWS1018SWD</t>
  </si>
  <si>
    <t>WWS1018HD</t>
  </si>
  <si>
    <t>WWS1018STD</t>
  </si>
  <si>
    <t>WWS1018SLT</t>
  </si>
  <si>
    <t>WWS1018STP</t>
  </si>
  <si>
    <t>WWS1018SDT</t>
  </si>
  <si>
    <t>WWS1018SDD</t>
  </si>
  <si>
    <t>WWS1018CAS</t>
  </si>
  <si>
    <t>4K.19</t>
  </si>
  <si>
    <t>WWS1019FL</t>
  </si>
  <si>
    <t>WWS1019SWD</t>
  </si>
  <si>
    <t>WWS1019HD</t>
  </si>
  <si>
    <t>WWS1019STD</t>
  </si>
  <si>
    <t>WWS1019SLT</t>
  </si>
  <si>
    <t>WWS1019STP</t>
  </si>
  <si>
    <t>WWS1019SDT</t>
  </si>
  <si>
    <t>WWS1019SDD</t>
  </si>
  <si>
    <t>WWS1019CAS</t>
  </si>
  <si>
    <t>4K.20</t>
  </si>
  <si>
    <t xml:space="preserve">Grants and contributions </t>
  </si>
  <si>
    <t>If table 4K does not equal table 2B, please provide reasoning and reconciliation in your commentary</t>
  </si>
  <si>
    <t>WWS1020FL</t>
  </si>
  <si>
    <t>WWS1020SWD</t>
  </si>
  <si>
    <t>WWS1020HD</t>
  </si>
  <si>
    <t>WWS1020STD</t>
  </si>
  <si>
    <t>WWS1020SLT</t>
  </si>
  <si>
    <t>WWS1020STP</t>
  </si>
  <si>
    <t>WWS1020SDT</t>
  </si>
  <si>
    <t>WWS1020SDD</t>
  </si>
  <si>
    <t>WWS1020CAS</t>
  </si>
  <si>
    <t>4K.21</t>
  </si>
  <si>
    <t>WWS1021FL</t>
  </si>
  <si>
    <t>WWS1021SWD</t>
  </si>
  <si>
    <t>WWS1021HD</t>
  </si>
  <si>
    <t>WWS1021STD</t>
  </si>
  <si>
    <t>WWS1021SLT</t>
  </si>
  <si>
    <t>WWS1021STP</t>
  </si>
  <si>
    <t>WWS1021SDT</t>
  </si>
  <si>
    <t>WWS1021SDD</t>
  </si>
  <si>
    <t>WWS1021CAS</t>
  </si>
  <si>
    <t>4K.22</t>
  </si>
  <si>
    <t>WWS1022FL</t>
  </si>
  <si>
    <t>WWS1022SWD</t>
  </si>
  <si>
    <t>WWS1022HD</t>
  </si>
  <si>
    <t>WWS1022STD</t>
  </si>
  <si>
    <t>WWS1022SLT</t>
  </si>
  <si>
    <t>WWS1022STP</t>
  </si>
  <si>
    <t>WWS1022SDT</t>
  </si>
  <si>
    <t>WWS1022SDD</t>
  </si>
  <si>
    <t>WWS1022CAS</t>
  </si>
  <si>
    <t>4K.23</t>
  </si>
  <si>
    <t>WWS1023FL</t>
  </si>
  <si>
    <t>WWS1023SWD</t>
  </si>
  <si>
    <t>WWS1023HD</t>
  </si>
  <si>
    <t>WWS1023STD</t>
  </si>
  <si>
    <t>WWS1023SLT</t>
  </si>
  <si>
    <t>WWS1023STP</t>
  </si>
  <si>
    <t>WWS1023SDT</t>
  </si>
  <si>
    <t>WWS1023SDD</t>
  </si>
  <si>
    <t>WWS1023CAS</t>
  </si>
  <si>
    <t>4K.24</t>
  </si>
  <si>
    <t>WWS1024FL</t>
  </si>
  <si>
    <t>WWS1024SWD</t>
  </si>
  <si>
    <t>WWS1024HD</t>
  </si>
  <si>
    <t>WWS1024STD</t>
  </si>
  <si>
    <t>WWS1024SLT</t>
  </si>
  <si>
    <t>WWS1024STP</t>
  </si>
  <si>
    <t>WWS1024SDT</t>
  </si>
  <si>
    <t>WWS1024SDD</t>
  </si>
  <si>
    <t>WWS1024CAS</t>
  </si>
  <si>
    <t>4K.25</t>
  </si>
  <si>
    <t>BP3357001FL</t>
  </si>
  <si>
    <t>BP3357001SWD</t>
  </si>
  <si>
    <t>BP3357001HD</t>
  </si>
  <si>
    <t>BP3357001STD</t>
  </si>
  <si>
    <t>BP3357001SLT</t>
  </si>
  <si>
    <t>BP3357001STP</t>
  </si>
  <si>
    <t>BP3357001SDT</t>
  </si>
  <si>
    <t>BP3357001SDD</t>
  </si>
  <si>
    <t>BP3357001CAS</t>
  </si>
  <si>
    <t>4K.26</t>
  </si>
  <si>
    <t>BP3357002FL</t>
  </si>
  <si>
    <t>BP3357002SWD</t>
  </si>
  <si>
    <t>BP3357002HD</t>
  </si>
  <si>
    <t>BP3357002STD</t>
  </si>
  <si>
    <t>BP3357002SLT</t>
  </si>
  <si>
    <t>BP3357002STP</t>
  </si>
  <si>
    <t>BP3357002SDT</t>
  </si>
  <si>
    <t>BP3357002SDD</t>
  </si>
  <si>
    <t>BP3357002CAS</t>
  </si>
  <si>
    <t>4K.27</t>
  </si>
  <si>
    <t>BP3357003FL</t>
  </si>
  <si>
    <t>BP3357003SWD</t>
  </si>
  <si>
    <t>BP3357003HD</t>
  </si>
  <si>
    <t>BP3357003STD</t>
  </si>
  <si>
    <t>BP3357003SLT</t>
  </si>
  <si>
    <t>BP3357003STP</t>
  </si>
  <si>
    <t>BP3357003SDT</t>
  </si>
  <si>
    <t>BP3357003SDD</t>
  </si>
  <si>
    <t>BP3357003CAS</t>
  </si>
  <si>
    <t>4K.28</t>
  </si>
  <si>
    <t>BP3357004FL</t>
  </si>
  <si>
    <t>BP3357004SWD</t>
  </si>
  <si>
    <t>BP3357004HD</t>
  </si>
  <si>
    <t>BP3357004STD</t>
  </si>
  <si>
    <t>BP3357004SLT</t>
  </si>
  <si>
    <t>BP3357004STP</t>
  </si>
  <si>
    <t>BP3357004SDT</t>
  </si>
  <si>
    <t>BP3357004SDD</t>
  </si>
  <si>
    <t>BP3357004CAS</t>
  </si>
  <si>
    <t>4K.29</t>
  </si>
  <si>
    <t>BP3357005FL</t>
  </si>
  <si>
    <t>BP3357005SWD</t>
  </si>
  <si>
    <t>BP3357005HD</t>
  </si>
  <si>
    <t>BP3357005STD</t>
  </si>
  <si>
    <t>BP3357005SLT</t>
  </si>
  <si>
    <t>BP3357005STP</t>
  </si>
  <si>
    <t>BP3357005SDT</t>
  </si>
  <si>
    <t>BP3357005SDD</t>
  </si>
  <si>
    <t>BP3357005CAS</t>
  </si>
  <si>
    <t>4K.30</t>
  </si>
  <si>
    <t>BP3357006FL</t>
  </si>
  <si>
    <t>BP3357006SWD</t>
  </si>
  <si>
    <t>BP3357006HD</t>
  </si>
  <si>
    <t>BP3357006STD</t>
  </si>
  <si>
    <t>BP3357006SLT</t>
  </si>
  <si>
    <t>BP3357006STP</t>
  </si>
  <si>
    <t>BP3357006SDT</t>
  </si>
  <si>
    <t>BP3357006SDD</t>
  </si>
  <si>
    <t>BP3357006CAS</t>
  </si>
  <si>
    <t>4K.31</t>
  </si>
  <si>
    <t>BP3357007FL</t>
  </si>
  <si>
    <t>BP3357007SWD</t>
  </si>
  <si>
    <t>BP3357007HD</t>
  </si>
  <si>
    <t>BP3357007STD</t>
  </si>
  <si>
    <t>BP3357007SLT</t>
  </si>
  <si>
    <t>BP3357007STP</t>
  </si>
  <si>
    <t>BP3357007SDT</t>
  </si>
  <si>
    <t>BP3357007SDD</t>
  </si>
  <si>
    <t>BP3357007CAS</t>
  </si>
  <si>
    <t>4K.32</t>
  </si>
  <si>
    <t>BP3357008FL</t>
  </si>
  <si>
    <t>BP3357008SWD</t>
  </si>
  <si>
    <t>BP3357008HD</t>
  </si>
  <si>
    <t>BP3357008STD</t>
  </si>
  <si>
    <t>BP3357008SLT</t>
  </si>
  <si>
    <t>BP3357008STP</t>
  </si>
  <si>
    <t>BP3357008SDT</t>
  </si>
  <si>
    <t>BP3357008SDD</t>
  </si>
  <si>
    <t>BP3357008CAS</t>
  </si>
  <si>
    <t>4K.33</t>
  </si>
  <si>
    <t>BP3357009FL</t>
  </si>
  <si>
    <t>BP3357009SWD</t>
  </si>
  <si>
    <t>BP3357009HD</t>
  </si>
  <si>
    <t>BP3357009STD</t>
  </si>
  <si>
    <t>BP3357009SLT</t>
  </si>
  <si>
    <t>BP3357009STP</t>
  </si>
  <si>
    <t>BP3357009SDT</t>
  </si>
  <si>
    <t>BP3357009SDD</t>
  </si>
  <si>
    <t>BP3357009CAS</t>
  </si>
  <si>
    <t>4K.34</t>
  </si>
  <si>
    <t>BP3357010FL</t>
  </si>
  <si>
    <t>BP3357010SWD</t>
  </si>
  <si>
    <t>BP3357010HD</t>
  </si>
  <si>
    <t>BP3357010STD</t>
  </si>
  <si>
    <t>BP3357010SLT</t>
  </si>
  <si>
    <t>BP3357010STP</t>
  </si>
  <si>
    <t>BP3357010SDT</t>
  </si>
  <si>
    <t>BP3357010SDD</t>
  </si>
  <si>
    <t>BP3357010CAS</t>
  </si>
  <si>
    <t>4K.35</t>
  </si>
  <si>
    <t>BP3357020FL</t>
  </si>
  <si>
    <t>BP3357020SWD</t>
  </si>
  <si>
    <t>BP3357020HD</t>
  </si>
  <si>
    <t>BP3357020STD</t>
  </si>
  <si>
    <t>BP3357020SLT</t>
  </si>
  <si>
    <t>BP3357020STP</t>
  </si>
  <si>
    <t>BP3357020SDT</t>
  </si>
  <si>
    <t>BP3357020SDD</t>
  </si>
  <si>
    <t>BP3357020CAS</t>
  </si>
  <si>
    <t>4K.36</t>
  </si>
  <si>
    <t>If table 4K does not equal 4E, please provide reasoning and reconciliation in your commentary</t>
  </si>
  <si>
    <t>S3040TCAFL</t>
  </si>
  <si>
    <t>S3040TCASWD</t>
  </si>
  <si>
    <t>S3040TCAHD</t>
  </si>
  <si>
    <t>S3040TCASTD</t>
  </si>
  <si>
    <t>S3040TCASLT</t>
  </si>
  <si>
    <t>S3040TCASTP</t>
  </si>
  <si>
    <t>S3040TCASDT</t>
  </si>
  <si>
    <t>S3040TCASDD</t>
  </si>
  <si>
    <t>S3040TCACAS</t>
  </si>
  <si>
    <t>Calculated value</t>
  </si>
  <si>
    <t>Income received from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the National Grid ‘STOR’.
Bio-methane gas sales to the National Grid.
Sludge and sludge products such as cake, granules etc. to external parties.</t>
  </si>
  <si>
    <t>Infrastructure Renewals which are expensed rather than capitalised in statutory accounts. ‘Renewals’ are generally planned activities to replace significant lengths of pipework or parts of an asset. These are targeted at improving network performance or solving ongoing problems and restores an asset to full capability.</t>
  </si>
  <si>
    <t>Non Infrastructure Renewals which are expensed rather than capitalised in statutory accounts. ‘Renewals’ are generally planned activities targeted at improving network performance or solving ongoing problems and restores an asset to full capability.</t>
  </si>
  <si>
    <t>Any other operating costs not covered by 4K lines 5 and 6.</t>
  </si>
  <si>
    <t>Total operating costs excluding third party services. Calculated as the sum of 4K lines 1 to 8.</t>
  </si>
  <si>
    <t>Operating expenditure for providing third party services. See appendix 1 of RAG 4.</t>
  </si>
  <si>
    <t xml:space="preserve">Total operating expenditure for the wholesale business only within each business category. Calculated as the sum of 4K lines 9 and 10. </t>
  </si>
  <si>
    <t>Any capital expenditure on infrastructure assets other than defined in 4K line 12 excluding third party capex.</t>
  </si>
  <si>
    <t>Any capital expenditure on non-infrastructure assets other than defined in 4K line 13 excluding third party capex.</t>
  </si>
  <si>
    <t>Total gross capital expenditure excluding third party services. Calculated as the sum of 4K lines 12 to 16.</t>
  </si>
  <si>
    <t>Capital expenditure for providing third party services. See appendix 1</t>
  </si>
  <si>
    <t>Total gross capital expenditure. Calculated as the sum of 4K lines 17 and 18.</t>
  </si>
  <si>
    <t>All grants and contributions. E.g. from connection charges, infrastructure charges, requisitions and other contributions. Adopted assets should not be included.</t>
  </si>
  <si>
    <t>Totex. Calculated as the sum of 4K lines 11 and 19 minus line 20.</t>
  </si>
  <si>
    <t>Totex including cash items. Calculated as the sum of 4K lines 21 to 23.</t>
  </si>
  <si>
    <t>Please specify atypical items in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</si>
  <si>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Total atypical expenditure. Calculated as the sum of 4K lines 25 to 34.</t>
  </si>
  <si>
    <t>Total expenditure. Calculated as the sum of 4K lines 24 and 35.</t>
  </si>
  <si>
    <t>Additional guidance to this table:</t>
  </si>
  <si>
    <t xml:space="preserve">This table is closely associated with pro forma 4E in the APR (as per RAG4.08).  </t>
  </si>
  <si>
    <t>4L - Enhancement expenditure by purpose - Wholesale water</t>
  </si>
  <si>
    <t>Expenditure in report year</t>
  </si>
  <si>
    <t>Cumulative expenditure on schemes completed in the report year</t>
  </si>
  <si>
    <t>Enhancement expenditure by purpose</t>
  </si>
  <si>
    <t>4L.1</t>
  </si>
  <si>
    <t>NEP - Making ecological improvements at abstractions (Habitats Directive, SSSI, NERC, BAPs)</t>
  </si>
  <si>
    <t>W3001AL</t>
  </si>
  <si>
    <t>W3001RWA</t>
  </si>
  <si>
    <t>W3001RWT</t>
  </si>
  <si>
    <t>W3001RWS</t>
  </si>
  <si>
    <t>W3001WT</t>
  </si>
  <si>
    <t>W3001TWD</t>
  </si>
  <si>
    <t>W3001CAW</t>
  </si>
  <si>
    <t>W3001ALCUM</t>
  </si>
  <si>
    <t>W3001RWACUM</t>
  </si>
  <si>
    <t>W3001RWTCUM</t>
  </si>
  <si>
    <t>W3001RWSCUM</t>
  </si>
  <si>
    <t>W3001WTCUM</t>
  </si>
  <si>
    <t>W3001TWDCUM</t>
  </si>
  <si>
    <t>W3001CAWCUM</t>
  </si>
  <si>
    <t>4L.2</t>
  </si>
  <si>
    <t>NEP - Eels Regulations (measures at intakes)</t>
  </si>
  <si>
    <t>WS2002AL</t>
  </si>
  <si>
    <t>WS2002RWA</t>
  </si>
  <si>
    <t>WS2002RWT</t>
  </si>
  <si>
    <t>WS2002RWS</t>
  </si>
  <si>
    <t>WS2002WT</t>
  </si>
  <si>
    <t>WS2002TWD</t>
  </si>
  <si>
    <t>WS2002CAW</t>
  </si>
  <si>
    <t>WS2002ALCUM</t>
  </si>
  <si>
    <t>WS2002RWACUM</t>
  </si>
  <si>
    <t>WS2002RWTCUM</t>
  </si>
  <si>
    <t>WS2002RWSCUM</t>
  </si>
  <si>
    <t>WS2002WTCUM</t>
  </si>
  <si>
    <t>WS2002TWDCUM</t>
  </si>
  <si>
    <t>WS2002CAWCUM</t>
  </si>
  <si>
    <t>4L.3</t>
  </si>
  <si>
    <t>NEP - Invasive Non Native Species</t>
  </si>
  <si>
    <t>WS2003AL</t>
  </si>
  <si>
    <t>WS2003RWA</t>
  </si>
  <si>
    <t>WS2003RWT</t>
  </si>
  <si>
    <t>WS2003RWS</t>
  </si>
  <si>
    <t>WS2003WT</t>
  </si>
  <si>
    <t>WS2003TWD</t>
  </si>
  <si>
    <t>WS2003CAW</t>
  </si>
  <si>
    <t>WS2003ALCUM</t>
  </si>
  <si>
    <t>WS2003RWACUM</t>
  </si>
  <si>
    <t>WS2003RWTCUM</t>
  </si>
  <si>
    <t>WS2003RWSCUM</t>
  </si>
  <si>
    <t>WS2003WTCUM</t>
  </si>
  <si>
    <t>WS2003TWDCUM</t>
  </si>
  <si>
    <t>WS2003CAWCUM</t>
  </si>
  <si>
    <t>4L.4</t>
  </si>
  <si>
    <t>Addressing low pressure</t>
  </si>
  <si>
    <t>W3002AL</t>
  </si>
  <si>
    <t>W3002RWA</t>
  </si>
  <si>
    <t>W3002RWT</t>
  </si>
  <si>
    <t>W3002RWS</t>
  </si>
  <si>
    <t>W3002WT</t>
  </si>
  <si>
    <t>W3002TWD</t>
  </si>
  <si>
    <t>W3002CAW</t>
  </si>
  <si>
    <t>W3002ALCUM</t>
  </si>
  <si>
    <t>W3002RWACUM</t>
  </si>
  <si>
    <t>W3002RWTCUM</t>
  </si>
  <si>
    <t>W3002RWSCUM</t>
  </si>
  <si>
    <t>W3002WTCUM</t>
  </si>
  <si>
    <t>W3002TWDCUM</t>
  </si>
  <si>
    <t>W3002CAWCUM</t>
  </si>
  <si>
    <t>4L.5</t>
  </si>
  <si>
    <t>Improving taste / odour / colour</t>
  </si>
  <si>
    <t>W3003AL</t>
  </si>
  <si>
    <t>W3003RWA</t>
  </si>
  <si>
    <t>W3003RWT</t>
  </si>
  <si>
    <t>W3003RWS</t>
  </si>
  <si>
    <t>W3003WT</t>
  </si>
  <si>
    <t>W3003TWD</t>
  </si>
  <si>
    <t>W3003CAW</t>
  </si>
  <si>
    <t>W3003ALCUM</t>
  </si>
  <si>
    <t>W3003RWACUM</t>
  </si>
  <si>
    <t>W3003RWTCUM</t>
  </si>
  <si>
    <t>W3003RWSCUM</t>
  </si>
  <si>
    <t>W3003WTCUM</t>
  </si>
  <si>
    <t>W3003TWDCUM</t>
  </si>
  <si>
    <t>W3003CAWCUM</t>
  </si>
  <si>
    <t>4L.6</t>
  </si>
  <si>
    <t>Meeting lead standards</t>
  </si>
  <si>
    <t>W3006AL</t>
  </si>
  <si>
    <t>W3006RWA</t>
  </si>
  <si>
    <t>W3006RWT</t>
  </si>
  <si>
    <t>W3006RWS</t>
  </si>
  <si>
    <t>W3006WT</t>
  </si>
  <si>
    <t>W3006TWD</t>
  </si>
  <si>
    <t>W3006CAW</t>
  </si>
  <si>
    <t>W3006ALCUM</t>
  </si>
  <si>
    <t>W3006RWACUM</t>
  </si>
  <si>
    <t>W3006RWTCUM</t>
  </si>
  <si>
    <t>W3006RWSCUM</t>
  </si>
  <si>
    <t>W3006WTCUM</t>
  </si>
  <si>
    <t>W3006TWDCUM</t>
  </si>
  <si>
    <t>W3006CAWCUM</t>
  </si>
  <si>
    <t>4L.7</t>
  </si>
  <si>
    <t>Supply side enhancements to the supply/demand balance (dry year critical / peak conditions)</t>
  </si>
  <si>
    <t>W3007SAL</t>
  </si>
  <si>
    <t>W3007SRWA</t>
  </si>
  <si>
    <t>W3007SRWT</t>
  </si>
  <si>
    <t>W3007SRWS</t>
  </si>
  <si>
    <t>W3007SWT</t>
  </si>
  <si>
    <t>W3007STWD</t>
  </si>
  <si>
    <t>W3007SCAW</t>
  </si>
  <si>
    <t>W3007SALCUM</t>
  </si>
  <si>
    <t>W3007SRWACUM</t>
  </si>
  <si>
    <t>W3007SRWTCUM</t>
  </si>
  <si>
    <t>W3007SRWSCUM</t>
  </si>
  <si>
    <t>W3007SWTCUM</t>
  </si>
  <si>
    <t>W3007STWDCUM</t>
  </si>
  <si>
    <t>W3007SCAWCUM</t>
  </si>
  <si>
    <t>4L.8</t>
  </si>
  <si>
    <t>Supply side enhancements to the supply/demand balance (dry year annual average conditions)</t>
  </si>
  <si>
    <t>W3008SAL</t>
  </si>
  <si>
    <t>W3008SRWA</t>
  </si>
  <si>
    <t>W3008SRWT</t>
  </si>
  <si>
    <t>W3008SRWS</t>
  </si>
  <si>
    <t>W3008SWT</t>
  </si>
  <si>
    <t>W3008STWD</t>
  </si>
  <si>
    <t>W3008SCAW</t>
  </si>
  <si>
    <t>W3008SALCUM</t>
  </si>
  <si>
    <t>W3008SRWACUM</t>
  </si>
  <si>
    <t>W3008SRWTCUM</t>
  </si>
  <si>
    <t>W3008SRWSCUM</t>
  </si>
  <si>
    <t>W3008SWTCUM</t>
  </si>
  <si>
    <t>W3008STWDCUM</t>
  </si>
  <si>
    <t>W3008SCAWCUM</t>
  </si>
  <si>
    <t>4L.9</t>
  </si>
  <si>
    <t>Demand side enhancements to the supply/demand balance (dry year critical / peak conditions)</t>
  </si>
  <si>
    <t>W3007DAL</t>
  </si>
  <si>
    <t>W3007DRWA</t>
  </si>
  <si>
    <t>W3007DRWT</t>
  </si>
  <si>
    <t>W3007DRWS</t>
  </si>
  <si>
    <t>W3007DWT</t>
  </si>
  <si>
    <t>W3007DTWD</t>
  </si>
  <si>
    <t>W3007DCAW</t>
  </si>
  <si>
    <t>W3007DALCUM</t>
  </si>
  <si>
    <t>W3007DRWACUM</t>
  </si>
  <si>
    <t>W3007DRWTCUM</t>
  </si>
  <si>
    <t>W3007DRWSCUM</t>
  </si>
  <si>
    <t>W3007DWTCUM</t>
  </si>
  <si>
    <t>W3007DTWDCUM</t>
  </si>
  <si>
    <t>W3007DCAWCUM</t>
  </si>
  <si>
    <t>4L.10</t>
  </si>
  <si>
    <t>Demand side enhancements to the supply/demand balance (dry year annual average conditions)</t>
  </si>
  <si>
    <t>W3008DAL</t>
  </si>
  <si>
    <t>W3008DRWA</t>
  </si>
  <si>
    <t>W3008DRWT</t>
  </si>
  <si>
    <t>W3008DRWS</t>
  </si>
  <si>
    <t>W3008DWT</t>
  </si>
  <si>
    <t>W3008DTWD</t>
  </si>
  <si>
    <t>W3008DCAW</t>
  </si>
  <si>
    <t>W3008DALCUM</t>
  </si>
  <si>
    <t>W3008DRWACUM</t>
  </si>
  <si>
    <t>W3008DRWTCUM</t>
  </si>
  <si>
    <t>W3008DRWSCUM</t>
  </si>
  <si>
    <t>W3008DWTCUM</t>
  </si>
  <si>
    <t>W3008DTWDCUM</t>
  </si>
  <si>
    <t>W3008DCAWCUM</t>
  </si>
  <si>
    <t>4L.11</t>
  </si>
  <si>
    <t>New developments</t>
  </si>
  <si>
    <t>W3009AL</t>
  </si>
  <si>
    <t>W3009RWA</t>
  </si>
  <si>
    <t>W3009RWT</t>
  </si>
  <si>
    <t>W3009RWS</t>
  </si>
  <si>
    <t>W3009WT</t>
  </si>
  <si>
    <t>W3009TWD</t>
  </si>
  <si>
    <t>W3009CAW</t>
  </si>
  <si>
    <t>W3009ALCUM</t>
  </si>
  <si>
    <t>W3009RWACUM</t>
  </si>
  <si>
    <t>W3009RWTCUM</t>
  </si>
  <si>
    <t>W3009RWSCUM</t>
  </si>
  <si>
    <t>W3009WTCUM</t>
  </si>
  <si>
    <t>W3009TWDCUM</t>
  </si>
  <si>
    <t>W3009CAWCUM</t>
  </si>
  <si>
    <t>4L.12</t>
  </si>
  <si>
    <t>New connections element of new development (CPs, meters)</t>
  </si>
  <si>
    <t>WS2004AL</t>
  </si>
  <si>
    <t>WS2004RWA</t>
  </si>
  <si>
    <t>WS2004RWT</t>
  </si>
  <si>
    <t>WS2004RWS</t>
  </si>
  <si>
    <t>WS2004WT</t>
  </si>
  <si>
    <t>WS2004TWD</t>
  </si>
  <si>
    <t>WS2004CAW</t>
  </si>
  <si>
    <t>WS2004ALCUM</t>
  </si>
  <si>
    <t>WS2004RWACUM</t>
  </si>
  <si>
    <t>WS2004RWTCUM</t>
  </si>
  <si>
    <t>WS2004RWSCUM</t>
  </si>
  <si>
    <t>WS2004WTCUM</t>
  </si>
  <si>
    <t>WS2004TWDCUM</t>
  </si>
  <si>
    <t>WS2004CAWCUM</t>
  </si>
  <si>
    <t>4L.13</t>
  </si>
  <si>
    <t>Investment to address raw water deterioration (THM, nitrates, Crypto, pesticides, others)</t>
  </si>
  <si>
    <t>W3010AL</t>
  </si>
  <si>
    <t>W3010RWA</t>
  </si>
  <si>
    <t>W3010RWT</t>
  </si>
  <si>
    <t>W3010RWS</t>
  </si>
  <si>
    <t>W3010WT</t>
  </si>
  <si>
    <t>W3010TWD</t>
  </si>
  <si>
    <t>W3010CAW</t>
  </si>
  <si>
    <t>W3010ALCUM</t>
  </si>
  <si>
    <t>W3010RWACUM</t>
  </si>
  <si>
    <t>W3010RWTCUM</t>
  </si>
  <si>
    <t>W3010RWSCUM</t>
  </si>
  <si>
    <t>W3010WTCUM</t>
  </si>
  <si>
    <t>W3010TWDCUM</t>
  </si>
  <si>
    <t>W3010CAWCUM</t>
  </si>
  <si>
    <t>4L.14</t>
  </si>
  <si>
    <t>Resilience</t>
  </si>
  <si>
    <t>W3011AL</t>
  </si>
  <si>
    <t>W3011RWA</t>
  </si>
  <si>
    <t>W3011RWT</t>
  </si>
  <si>
    <t>W3011RWS</t>
  </si>
  <si>
    <t>W3011WT</t>
  </si>
  <si>
    <t>W3011TWD</t>
  </si>
  <si>
    <t>W3011CAW</t>
  </si>
  <si>
    <t>W3011ALCUM</t>
  </si>
  <si>
    <t>W3011RWACUM</t>
  </si>
  <si>
    <t>W3011RWTCUM</t>
  </si>
  <si>
    <t>W3011RWSCUM</t>
  </si>
  <si>
    <t>W3011WTCUM</t>
  </si>
  <si>
    <t>W3011TWDCUM</t>
  </si>
  <si>
    <t>W3011CAWCUM</t>
  </si>
  <si>
    <t>4L.15</t>
  </si>
  <si>
    <t>SEMD</t>
  </si>
  <si>
    <t>W3012AL</t>
  </si>
  <si>
    <t>W3012RWA</t>
  </si>
  <si>
    <t>W3012RWT</t>
  </si>
  <si>
    <t>W3012RWS</t>
  </si>
  <si>
    <t>W3012WT</t>
  </si>
  <si>
    <t>W3012TWD</t>
  </si>
  <si>
    <t>W3012CAW</t>
  </si>
  <si>
    <t>W3012ALCUM</t>
  </si>
  <si>
    <t>W3012RWACUM</t>
  </si>
  <si>
    <t>W3012RWTCUM</t>
  </si>
  <si>
    <t>W3012RWSCUM</t>
  </si>
  <si>
    <t>W3012WTCUM</t>
  </si>
  <si>
    <t>W3012TWDCUM</t>
  </si>
  <si>
    <t>W3012CAWCUM</t>
  </si>
  <si>
    <t>4L.16</t>
  </si>
  <si>
    <t>NEP - Drinking Water Protected Areas (schemes)</t>
  </si>
  <si>
    <t>WS2006AL</t>
  </si>
  <si>
    <t>WS2006RWA</t>
  </si>
  <si>
    <t>WS2006RWT</t>
  </si>
  <si>
    <t>WS2006RWS</t>
  </si>
  <si>
    <t>WS2006WT</t>
  </si>
  <si>
    <t>WS2006TWD</t>
  </si>
  <si>
    <t>WS2006CAW</t>
  </si>
  <si>
    <t>WS2006ALCUM</t>
  </si>
  <si>
    <t>WS2006RWACUM</t>
  </si>
  <si>
    <t>WS2006RWTCUM</t>
  </si>
  <si>
    <t>WS2006RWSCUM</t>
  </si>
  <si>
    <t>WS2006WTCUM</t>
  </si>
  <si>
    <t>WS2006TWDCUM</t>
  </si>
  <si>
    <t>WS2006CAWCUM</t>
  </si>
  <si>
    <t>4L.17</t>
  </si>
  <si>
    <t>NEP - Water Framework Directive measure</t>
  </si>
  <si>
    <t>WS2007AL</t>
  </si>
  <si>
    <t>WS2007RWA</t>
  </si>
  <si>
    <t>WS2007RWT</t>
  </si>
  <si>
    <t>WS2007RWS</t>
  </si>
  <si>
    <t>WS2007WT</t>
  </si>
  <si>
    <t>WS2007TWD</t>
  </si>
  <si>
    <t>WS2007CAW</t>
  </si>
  <si>
    <t>WS2007ALCUM</t>
  </si>
  <si>
    <t>WS2007RWACUM</t>
  </si>
  <si>
    <t>WS2007RWTCUM</t>
  </si>
  <si>
    <t>WS2007RWSCUM</t>
  </si>
  <si>
    <t>WS2007WTCUM</t>
  </si>
  <si>
    <t>WS2007TWDCUM</t>
  </si>
  <si>
    <t>WS2007CAWCUM</t>
  </si>
  <si>
    <t>4L.18</t>
  </si>
  <si>
    <t>NEP - Investigations</t>
  </si>
  <si>
    <t>WS2008AL</t>
  </si>
  <si>
    <t>WS2008RWA</t>
  </si>
  <si>
    <t>WS2008RWT</t>
  </si>
  <si>
    <t>WS2008RWS</t>
  </si>
  <si>
    <t>WS2008WT</t>
  </si>
  <si>
    <t>WS2008TWD</t>
  </si>
  <si>
    <t>WS2008CAW</t>
  </si>
  <si>
    <t>WS2008ALCUM</t>
  </si>
  <si>
    <t>WS2008RWACUM</t>
  </si>
  <si>
    <t>WS2008RWTCUM</t>
  </si>
  <si>
    <t>WS2008RWSCUM</t>
  </si>
  <si>
    <t>WS2008WTCUM</t>
  </si>
  <si>
    <t>WS2008TWDCUM</t>
  </si>
  <si>
    <t>WS2008CAWCUM</t>
  </si>
  <si>
    <t>4L.19</t>
  </si>
  <si>
    <t>Improvements to river flows</t>
  </si>
  <si>
    <t>W3027AL</t>
  </si>
  <si>
    <t>W3027RWA</t>
  </si>
  <si>
    <t>W3027RWT</t>
  </si>
  <si>
    <t>W3027RWS</t>
  </si>
  <si>
    <t>W3027WT</t>
  </si>
  <si>
    <t>W3027TWD</t>
  </si>
  <si>
    <t>W3027CAW</t>
  </si>
  <si>
    <t>W3027ALCUM</t>
  </si>
  <si>
    <t>W3027RWACUM</t>
  </si>
  <si>
    <t>W3027RWTCUM</t>
  </si>
  <si>
    <t>W3027RWSCUM</t>
  </si>
  <si>
    <t>W3027WTCUM</t>
  </si>
  <si>
    <t>W3027TWDCUM</t>
  </si>
  <si>
    <t>W3027CAWCUM</t>
  </si>
  <si>
    <t>4L.20</t>
  </si>
  <si>
    <t>Metering (excluding cost of providing metering to new service connections) - meters requested by optants</t>
  </si>
  <si>
    <t>W3028OPTAL</t>
  </si>
  <si>
    <t>W3028OPTRWA</t>
  </si>
  <si>
    <t>W3028OPTRWT</t>
  </si>
  <si>
    <t>W3028OPTRWS</t>
  </si>
  <si>
    <t>W3028OPTWT</t>
  </si>
  <si>
    <t>W3028OPTTWD</t>
  </si>
  <si>
    <t>W3028OPTCAW</t>
  </si>
  <si>
    <t>W3028OPTALCUM</t>
  </si>
  <si>
    <t>W3028OPTRWACUM</t>
  </si>
  <si>
    <t>W3028OPTRWTCUM</t>
  </si>
  <si>
    <t>W3028OPTRWSCUM</t>
  </si>
  <si>
    <t>W3028OPTWTCUM</t>
  </si>
  <si>
    <t>W3028OPTTWDCUM</t>
  </si>
  <si>
    <t>W3028OPTCAWCUM</t>
  </si>
  <si>
    <t>4L.21</t>
  </si>
  <si>
    <t>Metering (excluding cost of providing metering to new service connections)- meters introduced by companies</t>
  </si>
  <si>
    <t>W3028COMAL</t>
  </si>
  <si>
    <t>W3028COMRWA</t>
  </si>
  <si>
    <t>W3028COMRWT</t>
  </si>
  <si>
    <t>W3028COMRWS</t>
  </si>
  <si>
    <t>W3028COMWT</t>
  </si>
  <si>
    <t>W3028COMTWD</t>
  </si>
  <si>
    <t>W3028COMCAW</t>
  </si>
  <si>
    <t>W3028COMALCUM</t>
  </si>
  <si>
    <t>W3028COMRWACUM</t>
  </si>
  <si>
    <t>W3028COMRWTCUM</t>
  </si>
  <si>
    <t>W3028COMRWSCUM</t>
  </si>
  <si>
    <t>W3028COMWTCUM</t>
  </si>
  <si>
    <t>W3028COMTWDCUM</t>
  </si>
  <si>
    <t>W3028COMCAWCUM</t>
  </si>
  <si>
    <t>4L.22</t>
  </si>
  <si>
    <t>Metering (excluding cost of providing metering to new service connections) - other</t>
  </si>
  <si>
    <t>W3028NHOAL</t>
  </si>
  <si>
    <t>W3028NHORWA</t>
  </si>
  <si>
    <t>W3028NHORWT</t>
  </si>
  <si>
    <t>W3028NHORWS</t>
  </si>
  <si>
    <t>W3028NHOWT</t>
  </si>
  <si>
    <t>W3028NHOTWD</t>
  </si>
  <si>
    <t>W3028NHOCAW</t>
  </si>
  <si>
    <t>W3028NHOALCUM</t>
  </si>
  <si>
    <t>W3028NHORWACUM</t>
  </si>
  <si>
    <t>W3028NHORWTCUM</t>
  </si>
  <si>
    <t>W3028NHORWSCUM</t>
  </si>
  <si>
    <t>W3028NHOWTCUM</t>
  </si>
  <si>
    <t>W3028NHOTWDCUM</t>
  </si>
  <si>
    <t>W3028NHOCAWCUM</t>
  </si>
  <si>
    <t>4L.23</t>
  </si>
  <si>
    <t>Capital expenditure purpose - WATER additional line 1 [Other categories]</t>
  </si>
  <si>
    <t>W3A00001AL</t>
  </si>
  <si>
    <t>W3A00001RWA</t>
  </si>
  <si>
    <t>W3A00001RWT</t>
  </si>
  <si>
    <t>W3A00001RWS</t>
  </si>
  <si>
    <t>W3A00001WT</t>
  </si>
  <si>
    <t>W3A00001TWD</t>
  </si>
  <si>
    <t>W3A00001CAW</t>
  </si>
  <si>
    <t>W3A00001ALCUM</t>
  </si>
  <si>
    <t>W3A00001RWACUM</t>
  </si>
  <si>
    <t>W3A00001RWTCUM</t>
  </si>
  <si>
    <t>W3A00001RWSCUM</t>
  </si>
  <si>
    <t>W3A00001WTCUM</t>
  </si>
  <si>
    <t>W3A00001TWDCUM</t>
  </si>
  <si>
    <t>W3A00001CAWCUM</t>
  </si>
  <si>
    <t>4L.24</t>
  </si>
  <si>
    <t>Capital expenditure purpose - WATER additional line 2 [Other categories]</t>
  </si>
  <si>
    <t>W3A00002AL</t>
  </si>
  <si>
    <t>W3A00002RWA</t>
  </si>
  <si>
    <t>W3A00002RWT</t>
  </si>
  <si>
    <t>W3A00002RWS</t>
  </si>
  <si>
    <t>W3A00002WT</t>
  </si>
  <si>
    <t>W3A00002TWD</t>
  </si>
  <si>
    <t>W3A00002CAW</t>
  </si>
  <si>
    <t>W3A00002ALCUM</t>
  </si>
  <si>
    <t>W3A00002RWACUM</t>
  </si>
  <si>
    <t>W3A00002RWTCUM</t>
  </si>
  <si>
    <t>W3A00002RWSCUM</t>
  </si>
  <si>
    <t>W3A00002WTCUM</t>
  </si>
  <si>
    <t>W3A00002TWDCUM</t>
  </si>
  <si>
    <t>W3A00002CAWCUM</t>
  </si>
  <si>
    <t>4L.25</t>
  </si>
  <si>
    <t>Capital expenditure purpose - WATER additional line 3 [Other categories]</t>
  </si>
  <si>
    <t>W3A00003AL</t>
  </si>
  <si>
    <t>W3A00003RWA</t>
  </si>
  <si>
    <t>W3A00003RWT</t>
  </si>
  <si>
    <t>W3A00003RWS</t>
  </si>
  <si>
    <t>W3A00003WT</t>
  </si>
  <si>
    <t>W3A00003TWD</t>
  </si>
  <si>
    <t>W3A00003CAW</t>
  </si>
  <si>
    <t>W3A00003ALCUM</t>
  </si>
  <si>
    <t>W3A00003RWACUM</t>
  </si>
  <si>
    <t>W3A00003RWTCUM</t>
  </si>
  <si>
    <t>W3A00003RWSCUM</t>
  </si>
  <si>
    <t>W3A00003WTCUM</t>
  </si>
  <si>
    <t>W3A00003TWDCUM</t>
  </si>
  <si>
    <t>W3A00003CAWCUM</t>
  </si>
  <si>
    <t>4L.26</t>
  </si>
  <si>
    <t>Capital expenditure purpose - WATER additional line 4 [Other categories]</t>
  </si>
  <si>
    <t>W3A00004AL</t>
  </si>
  <si>
    <t>W3A00004RWA</t>
  </si>
  <si>
    <t>W3A00004RWT</t>
  </si>
  <si>
    <t>W3A00004RWS</t>
  </si>
  <si>
    <t>W3A00004WT</t>
  </si>
  <si>
    <t>W3A00004TWD</t>
  </si>
  <si>
    <t>W3A00004CAW</t>
  </si>
  <si>
    <t>W3A00004ALCUM</t>
  </si>
  <si>
    <t>W3A00004RWACUM</t>
  </si>
  <si>
    <t>W3A00004RWTCUM</t>
  </si>
  <si>
    <t>W3A00004RWSCUM</t>
  </si>
  <si>
    <t>W3A00004WTCUM</t>
  </si>
  <si>
    <t>W3A00004TWDCUM</t>
  </si>
  <si>
    <t>W3A00004CAWCUM</t>
  </si>
  <si>
    <t>4L.27</t>
  </si>
  <si>
    <t>Capital expenditure purpose - WATER additional line 5 [Other categories]</t>
  </si>
  <si>
    <t>W3A00005AL</t>
  </si>
  <si>
    <t>W3A00005RWA</t>
  </si>
  <si>
    <t>W3A00005RWT</t>
  </si>
  <si>
    <t>W3A00005RWS</t>
  </si>
  <si>
    <t>W3A00005WT</t>
  </si>
  <si>
    <t>W3A00005TWD</t>
  </si>
  <si>
    <t>W3A00005CAW</t>
  </si>
  <si>
    <t>W3A00005ALCUM</t>
  </si>
  <si>
    <t>W3A00005RWACUM</t>
  </si>
  <si>
    <t>W3A00005RWTCUM</t>
  </si>
  <si>
    <t>W3A00005RWSCUM</t>
  </si>
  <si>
    <t>W3A00005WTCUM</t>
  </si>
  <si>
    <t>W3A00005TWDCUM</t>
  </si>
  <si>
    <t>W3A00005CAWCUM</t>
  </si>
  <si>
    <t>4L.28</t>
  </si>
  <si>
    <t>Capital expenditure purpose - WATER additional line 6 [Other categories]</t>
  </si>
  <si>
    <t>W3A00006AL</t>
  </si>
  <si>
    <t>W3A00006RWA</t>
  </si>
  <si>
    <t>W3A00006RWT</t>
  </si>
  <si>
    <t>W3A00006RWS</t>
  </si>
  <si>
    <t>W3A00006WT</t>
  </si>
  <si>
    <t>W3A00006TWD</t>
  </si>
  <si>
    <t>W3A00006CAW</t>
  </si>
  <si>
    <t>W3A00006ALCUM</t>
  </si>
  <si>
    <t>W3A00006RWACUM</t>
  </si>
  <si>
    <t>W3A00006RWTCUM</t>
  </si>
  <si>
    <t>W3A00006RWSCUM</t>
  </si>
  <si>
    <t>W3A00006WTCUM</t>
  </si>
  <si>
    <t>W3A00006TWDCUM</t>
  </si>
  <si>
    <t>W3A00006CAWCUM</t>
  </si>
  <si>
    <t>4L.29</t>
  </si>
  <si>
    <t>Capital expenditure purpose - WATER additional line 7 [Other categories]</t>
  </si>
  <si>
    <t>W3A00007AL</t>
  </si>
  <si>
    <t>W3A00007RWA</t>
  </si>
  <si>
    <t>W3A00007RWT</t>
  </si>
  <si>
    <t>W3A00007RWS</t>
  </si>
  <si>
    <t>W3A00007WT</t>
  </si>
  <si>
    <t>W3A00007TWD</t>
  </si>
  <si>
    <t>W3A00007CAW</t>
  </si>
  <si>
    <t>W3A00007ALCUM</t>
  </si>
  <si>
    <t>W3A00007RWACUM</t>
  </si>
  <si>
    <t>W3A00007RWTCUM</t>
  </si>
  <si>
    <t>W3A00007RWSCUM</t>
  </si>
  <si>
    <t>W3A00007WTCUM</t>
  </si>
  <si>
    <t>W3A00007TWDCUM</t>
  </si>
  <si>
    <t>W3A00007CAWCUM</t>
  </si>
  <si>
    <t>4L.30</t>
  </si>
  <si>
    <t>Capital expenditure purpose - WATER additional line 8 [Other categories]</t>
  </si>
  <si>
    <t>W3A00008AL</t>
  </si>
  <si>
    <t>W3A00008RWA</t>
  </si>
  <si>
    <t>W3A00008RWT</t>
  </si>
  <si>
    <t>W3A00008RWS</t>
  </si>
  <si>
    <t>W3A00008WT</t>
  </si>
  <si>
    <t>W3A00008TWD</t>
  </si>
  <si>
    <t>W3A00008CAW</t>
  </si>
  <si>
    <t>W3A00008ALCUM</t>
  </si>
  <si>
    <t>W3A00008RWACUM</t>
  </si>
  <si>
    <t>W3A00008RWTCUM</t>
  </si>
  <si>
    <t>W3A00008RWSCUM</t>
  </si>
  <si>
    <t>W3A00008WTCUM</t>
  </si>
  <si>
    <t>W3A00008TWDCUM</t>
  </si>
  <si>
    <t>W3A00008CAWCUM</t>
  </si>
  <si>
    <t>4L.31</t>
  </si>
  <si>
    <t>Capital expenditure purpose - WATER additional line 9 [Other categories]</t>
  </si>
  <si>
    <t>W3A00009AL</t>
  </si>
  <si>
    <t>W3A00009RWA</t>
  </si>
  <si>
    <t>W3A00009RWT</t>
  </si>
  <si>
    <t>W3A00009RWS</t>
  </si>
  <si>
    <t>W3A00009WT</t>
  </si>
  <si>
    <t>W3A00009TWD</t>
  </si>
  <si>
    <t>W3A00009CAW</t>
  </si>
  <si>
    <t>W3A00009ALCUM</t>
  </si>
  <si>
    <t>W3A00009RWACUM</t>
  </si>
  <si>
    <t>W3A00009RWTCUM</t>
  </si>
  <si>
    <t>W3A00009RWSCUM</t>
  </si>
  <si>
    <t>W3A00009WTCUM</t>
  </si>
  <si>
    <t>W3A00009TWDCUM</t>
  </si>
  <si>
    <t>W3A00009CAWCUM</t>
  </si>
  <si>
    <t>4L.32</t>
  </si>
  <si>
    <t>Capital expenditure purpose - WATER additional line 10 [Other categories]</t>
  </si>
  <si>
    <t>W3A00010AL</t>
  </si>
  <si>
    <t>W3A00010RWA</t>
  </si>
  <si>
    <t>W3A00010RWT</t>
  </si>
  <si>
    <t>W3A00010RWS</t>
  </si>
  <si>
    <t>W3A00010WT</t>
  </si>
  <si>
    <t>W3A00010TWD</t>
  </si>
  <si>
    <t>W3A00010CAW</t>
  </si>
  <si>
    <t>W3A00010ALCUM</t>
  </si>
  <si>
    <t>W3A00010RWACUM</t>
  </si>
  <si>
    <t>W3A00010RWTCUM</t>
  </si>
  <si>
    <t>W3A00010RWSCUM</t>
  </si>
  <si>
    <t>W3A00010WTCUM</t>
  </si>
  <si>
    <t>W3A00010TWDCUM</t>
  </si>
  <si>
    <t>W3A00010CAWCUM</t>
  </si>
  <si>
    <t>4L.33</t>
  </si>
  <si>
    <t>Capital expenditure purpose - WATER additional line 11 [Other categories]</t>
  </si>
  <si>
    <t>W3A00011AL</t>
  </si>
  <si>
    <t>W3A00011RWA</t>
  </si>
  <si>
    <t>W3A00011RWT</t>
  </si>
  <si>
    <t>W3A00011RWS</t>
  </si>
  <si>
    <t>W3A00011WT</t>
  </si>
  <si>
    <t>W3A00011TWD</t>
  </si>
  <si>
    <t>W3A00011CAW</t>
  </si>
  <si>
    <t>W3A00011ALCUM</t>
  </si>
  <si>
    <t>W3A00011RWACUM</t>
  </si>
  <si>
    <t>W3A00011RWTCUM</t>
  </si>
  <si>
    <t>W3A00011RWSCUM</t>
  </si>
  <si>
    <t>W3A00011WTCUM</t>
  </si>
  <si>
    <t>W3A00011TWDCUM</t>
  </si>
  <si>
    <t>W3A00011CAWCUM</t>
  </si>
  <si>
    <t>4L.34</t>
  </si>
  <si>
    <t>Capital expenditure purpose - WATER additional line 12 [Other categories]</t>
  </si>
  <si>
    <t>W3A00012AL</t>
  </si>
  <si>
    <t>W3A00012RWA</t>
  </si>
  <si>
    <t>W3A00012RWT</t>
  </si>
  <si>
    <t>W3A00012RWS</t>
  </si>
  <si>
    <t>W3A00012WT</t>
  </si>
  <si>
    <t>W3A00012TWD</t>
  </si>
  <si>
    <t>W3A00012CAW</t>
  </si>
  <si>
    <t>W3A00012ALCUM</t>
  </si>
  <si>
    <t>W3A00012RWACUM</t>
  </si>
  <si>
    <t>W3A00012RWTCUM</t>
  </si>
  <si>
    <t>W3A00012RWSCUM</t>
  </si>
  <si>
    <t>W3A00012WTCUM</t>
  </si>
  <si>
    <t>W3A00012TWDCUM</t>
  </si>
  <si>
    <t>W3A00012CAWCUM</t>
  </si>
  <si>
    <t>4L.35</t>
  </si>
  <si>
    <t>Capital expenditure purpose - WATER additional line 13 [Other categories]</t>
  </si>
  <si>
    <t>W3A00013AL</t>
  </si>
  <si>
    <t>W3A00013RWA</t>
  </si>
  <si>
    <t>W3A00013RWT</t>
  </si>
  <si>
    <t>W3A00013RWS</t>
  </si>
  <si>
    <t>W3A00013WT</t>
  </si>
  <si>
    <t>W3A00013TWD</t>
  </si>
  <si>
    <t>W3A00013CAW</t>
  </si>
  <si>
    <t>W3A00013ALCUM</t>
  </si>
  <si>
    <t>W3A00013RWACUM</t>
  </si>
  <si>
    <t>W3A00013RWTCUM</t>
  </si>
  <si>
    <t>W3A00013RWSCUM</t>
  </si>
  <si>
    <t>W3A00013WTCUM</t>
  </si>
  <si>
    <t>W3A00013TWDCUM</t>
  </si>
  <si>
    <t>W3A00013CAWCUM</t>
  </si>
  <si>
    <t>4L.36</t>
  </si>
  <si>
    <t>Capital expenditure purpose - WATER additional line 14 [Other categories]</t>
  </si>
  <si>
    <t>W3A00014AL</t>
  </si>
  <si>
    <t>W3A00014RWA</t>
  </si>
  <si>
    <t>W3A00014RWT</t>
  </si>
  <si>
    <t>W3A00014RWS</t>
  </si>
  <si>
    <t>W3A00014WT</t>
  </si>
  <si>
    <t>W3A00014TWD</t>
  </si>
  <si>
    <t>W3A00014CAW</t>
  </si>
  <si>
    <t>W3A00014ALCUM</t>
  </si>
  <si>
    <t>W3A00014RWACUM</t>
  </si>
  <si>
    <t>W3A00014RWTCUM</t>
  </si>
  <si>
    <t>W3A00014RWSCUM</t>
  </si>
  <si>
    <t>W3A00014WTCUM</t>
  </si>
  <si>
    <t>W3A00014TWDCUM</t>
  </si>
  <si>
    <t>W3A00014CAWCUM</t>
  </si>
  <si>
    <t>4L.37</t>
  </si>
  <si>
    <t>Capital expenditure purpose - WATER additional line 15 [Other categories]</t>
  </si>
  <si>
    <t>W3A00015AL</t>
  </si>
  <si>
    <t>W3A00015RWA</t>
  </si>
  <si>
    <t>W3A00015RWT</t>
  </si>
  <si>
    <t>W3A00015RWS</t>
  </si>
  <si>
    <t>W3A00015WT</t>
  </si>
  <si>
    <t>W3A00015TWD</t>
  </si>
  <si>
    <t>W3A00015CAW</t>
  </si>
  <si>
    <t>W3A00015ALCUM</t>
  </si>
  <si>
    <t>W3A00015RWACUM</t>
  </si>
  <si>
    <t>W3A00015RWTCUM</t>
  </si>
  <si>
    <t>W3A00015RWSCUM</t>
  </si>
  <si>
    <t>W3A00015WTCUM</t>
  </si>
  <si>
    <t>W3A00015TWDCUM</t>
  </si>
  <si>
    <t>W3A00015CAWCUM</t>
  </si>
  <si>
    <t>4L.38</t>
  </si>
  <si>
    <t xml:space="preserve">Total enhancement capital expenditure </t>
  </si>
  <si>
    <t>Table 4L does not equal table 4D, please provide reasoning and reconciliation in your commentary</t>
  </si>
  <si>
    <t>BA2070AL</t>
  </si>
  <si>
    <t>BA2070RWA</t>
  </si>
  <si>
    <t>BA2070RWT</t>
  </si>
  <si>
    <t>BA2070RWS</t>
  </si>
  <si>
    <t>BA2070WT</t>
  </si>
  <si>
    <t>BA2070TWD</t>
  </si>
  <si>
    <t>BA2070CAW</t>
  </si>
  <si>
    <t>BA2070ALCUM</t>
  </si>
  <si>
    <t>BA2070RWACUM</t>
  </si>
  <si>
    <t>BA2070RWTCUM</t>
  </si>
  <si>
    <t>BA2070RWSCUM</t>
  </si>
  <si>
    <t>BA2070WTCUM</t>
  </si>
  <si>
    <t>BA2070TWDCUM</t>
  </si>
  <si>
    <t>BA2070CAWCUM</t>
  </si>
  <si>
    <t>Table 4L does not equal table 4J, please provide reasoning and reconciliation in your commentary</t>
  </si>
  <si>
    <t>Capital expenditure to deliver projects required to deal with the environmental impact of water abstraction during the report year.</t>
  </si>
  <si>
    <t>Capital expenditure on quality enhancement schemes listed in the NEP (or WINEP) to improve intakes to prevent the entrainment of fish to meet the requirements of the Eels Regulations.</t>
  </si>
  <si>
    <t>Capital expenditure on schemes listed in the NEP required to deal with invasive non native species.</t>
  </si>
  <si>
    <t>Capital expenditure to reduce the number of properties with low pressure.</t>
  </si>
  <si>
    <t>Capital expenditure to deliver improvements to consumer acceptability of the drinking water (relating to colour, taste and odour)</t>
  </si>
  <si>
    <t xml:space="preserve">Capital expenditure to meet lead standards. This includes expenditure to deal with the conditioning of water before entering distribution to reduce plumbosolvency, expenditure on replacing lead communication pipes owned by the company and any other lead related work including investigations.
[Refers to expenditure to deliver the outputs included in the water quality enhancement schedule (annex 4 of the company supplementary report 2009) covered by PR09 driver codes 5WA2 and 5WA10]
</t>
  </si>
  <si>
    <t>Capital expenditure to enhance the supply/demand balance. Includes expenditure associated with schemes to deliver supply side (resource and production options) enhancements to supply demand capacity in dry year critical / peak conditions</t>
  </si>
  <si>
    <t>Capital expenditure to enhance the supply/demand balance. Includes expenditure associated with schemes to deliver supply side (resource and production options) enhancements to supply demand capacity in dry year annual average conditions.</t>
  </si>
  <si>
    <t>Capital expenditure to enhance the supply/demand balance. Includes expenditure associated with schemes to deliver demand side (distribution and customer options) enhancements to supply demand capacity in dry year critical / peak conditions</t>
  </si>
  <si>
    <t>Capital expenditure to enhance the supply / demand balance. Includes expenditure associated with schemes to deliver demand side (distribution and customer options) enhancements to supply demand capacity in dry year annual average conditions</t>
  </si>
  <si>
    <t xml:space="preserve">Capital expenditure associated with the provision of local distribution infrastructure and non-infrastructure assets for water service to provide for new customers with no net deterioration of existing levels of service. The capital cost of connecting a new property (including the cost of a meter, communication pipe and boundary stop tap valve etc) should be recovered through the connection charge and should not be included in this line.
</t>
  </si>
  <si>
    <t>The capital cost of connecting a new property (including the cost of a meter, communication pipe and boundary stop tap valve etc)</t>
  </si>
  <si>
    <t>Capital expenditure to address raw water deterioration.</t>
  </si>
  <si>
    <t>Capital expenditure to improve resilience. This relates to expenditure to manage the risk of giving consumers an appropriate level of service protection in the face of extreme events caused by hazards that are beyond their control.</t>
  </si>
  <si>
    <t>Capital expenditure to comply with the requirements of Security and Emergency Measures Direction (SEMD).</t>
  </si>
  <si>
    <t>Capital expenditure on schemes to either avoid additional treatment or reduce current treatment (surface and groundwaters) and is associated with Drinking Water Protected Areas under Article 7 of the Water Framework Directive.</t>
  </si>
  <si>
    <t>Capital expenditure on Water Framework Directive – driven measures to improve, protect or ensure no deterioration in the status or potential of surface water or groundwater where the measures arise from PR14 investigations or sustainable abstraction work.</t>
  </si>
  <si>
    <t>Capital expenditure on environmental investigations and options appraisals listed in the NEP for AMP5 or AMP6.</t>
  </si>
  <si>
    <t>Capital expenditure relating to reducing abstraction licenses</t>
  </si>
  <si>
    <t>Metering - Metering (excluding cost of providing metering to new service connections) for meters requested by optants</t>
  </si>
  <si>
    <t>Metering - Metering (excluding cost of providing metering to new service connections) for meters introduced by companies (irrespective of whether these meters are used for charging).</t>
  </si>
  <si>
    <t>Metering - Metering (excluding cost of providing metering to new service connections) for businesses and other</t>
  </si>
  <si>
    <t>23-37</t>
  </si>
  <si>
    <t>Other capital expenditure by purpose. Regard should be had for the desirability of maintaining consistency with corresponding lines in previous data submissions when using these lines.</t>
  </si>
  <si>
    <t>Total of 4L lines 1 to 37</t>
  </si>
  <si>
    <t>Additional Guidance</t>
  </si>
  <si>
    <t>Where a quality enhancement scheme (or the proportionally allocated component of a quality enhancement scheme) has more than one cost driver, companies should allocate the expenditure attributable to the primary driver to the relevant 4L lines 1 to 37.  Any net additional cost for delivering any further drivers should be included in the relevant line.</t>
  </si>
  <si>
    <t>4M - Enhancement expenditure by purpose - Wholesale wastewater</t>
  </si>
  <si>
    <t>Network+Sewage Collection</t>
  </si>
  <si>
    <t>Network+Sewage Treatment</t>
  </si>
  <si>
    <t>Enhancement capital expenditure by purpose</t>
  </si>
  <si>
    <t>4M.1</t>
  </si>
  <si>
    <t>First time sewerage (s101A)</t>
  </si>
  <si>
    <t>BC31379FL</t>
  </si>
  <si>
    <t>BC31379SWD</t>
  </si>
  <si>
    <t>BC31379HD</t>
  </si>
  <si>
    <t>BC31379STD</t>
  </si>
  <si>
    <t>BC31379SLT</t>
  </si>
  <si>
    <t>BC31379STP</t>
  </si>
  <si>
    <t>BC31379SDT</t>
  </si>
  <si>
    <t>BC31379SDD</t>
  </si>
  <si>
    <t>BC31379CAS</t>
  </si>
  <si>
    <t>BC31379FLCUM</t>
  </si>
  <si>
    <t>BC31379SWDCUM</t>
  </si>
  <si>
    <t>BC31379HDCUM</t>
  </si>
  <si>
    <t>BC31379STDCUM</t>
  </si>
  <si>
    <t>BC31379SLTCUM</t>
  </si>
  <si>
    <t>BC31379STPCUM</t>
  </si>
  <si>
    <t>BC31379SDTCUM</t>
  </si>
  <si>
    <t>BC31379SDDCUM</t>
  </si>
  <si>
    <t>BC31379CASCUM</t>
  </si>
  <si>
    <t>4M.2</t>
  </si>
  <si>
    <t>Sludge enhancement (quality)</t>
  </si>
  <si>
    <t>S3035QFL</t>
  </si>
  <si>
    <t>S3035QSWD</t>
  </si>
  <si>
    <t>S3035QHD</t>
  </si>
  <si>
    <t>S3035QSTD</t>
  </si>
  <si>
    <t>S3035QSLT</t>
  </si>
  <si>
    <t>S3035QSTP</t>
  </si>
  <si>
    <t>S3035QSDT</t>
  </si>
  <si>
    <t>S3035QSDD</t>
  </si>
  <si>
    <t>S3035QCAS</t>
  </si>
  <si>
    <t>S3035QFLCUM</t>
  </si>
  <si>
    <t>S3035QSWDCUM</t>
  </si>
  <si>
    <t>S3035QHDCUM</t>
  </si>
  <si>
    <t>S3035QSTDCUM</t>
  </si>
  <si>
    <t>S3035QSLTCUM</t>
  </si>
  <si>
    <t>S3035QSTPCUM</t>
  </si>
  <si>
    <t>S3035QSDTCUM</t>
  </si>
  <si>
    <t>S3035QSDDCUM</t>
  </si>
  <si>
    <t>S3035QCASCUM</t>
  </si>
  <si>
    <t>4M.3</t>
  </si>
  <si>
    <t>Sludge enhancement (growth)</t>
  </si>
  <si>
    <t>S3036GFL</t>
  </si>
  <si>
    <t>S3036GSWD</t>
  </si>
  <si>
    <t>S3036GHD</t>
  </si>
  <si>
    <t>S3036GSTD</t>
  </si>
  <si>
    <t>S3036GSLT</t>
  </si>
  <si>
    <t>S3036GSTP</t>
  </si>
  <si>
    <t>S3036GSDT</t>
  </si>
  <si>
    <t>S3036GSDD</t>
  </si>
  <si>
    <t>S3036GCAS</t>
  </si>
  <si>
    <t>S3036GFLCUM</t>
  </si>
  <si>
    <t>S3036GSWDCUM</t>
  </si>
  <si>
    <t>S3036GHDCUM</t>
  </si>
  <si>
    <t>S3036GSTDCUM</t>
  </si>
  <si>
    <t>S3036GSLTCUM</t>
  </si>
  <si>
    <t>S3036GSTPCUM</t>
  </si>
  <si>
    <t>S3036GSDTCUM</t>
  </si>
  <si>
    <t>S3036GSDDCUM</t>
  </si>
  <si>
    <t>S3036GCASCUM</t>
  </si>
  <si>
    <t>4M.4</t>
  </si>
  <si>
    <t>NEP - Conservation drivers</t>
  </si>
  <si>
    <t>S3004FL</t>
  </si>
  <si>
    <t>S3004SWD</t>
  </si>
  <si>
    <t>S3004HD</t>
  </si>
  <si>
    <t>S3004STD</t>
  </si>
  <si>
    <t>S3004SLT</t>
  </si>
  <si>
    <t>S3004STP</t>
  </si>
  <si>
    <t>S3004SDT</t>
  </si>
  <si>
    <t>S3004SDD</t>
  </si>
  <si>
    <t>S3004CAS</t>
  </si>
  <si>
    <t>S3004FLCUM</t>
  </si>
  <si>
    <t>S3004SWDCUM</t>
  </si>
  <si>
    <t>S3004HDCUM</t>
  </si>
  <si>
    <t>S3004STDCUM</t>
  </si>
  <si>
    <t>S3004SLTCUM</t>
  </si>
  <si>
    <t>S3004STPCUM</t>
  </si>
  <si>
    <t>S3004SDTCUM</t>
  </si>
  <si>
    <t>S3004SDDCUM</t>
  </si>
  <si>
    <t>S3004CASCUM</t>
  </si>
  <si>
    <t>4M.5</t>
  </si>
  <si>
    <t>NEP - Eels Regulations (measures at outfalls)</t>
  </si>
  <si>
    <t>WWS2001FL</t>
  </si>
  <si>
    <t>WWS2001SWD</t>
  </si>
  <si>
    <t>WWS2001HD</t>
  </si>
  <si>
    <t>WWS2001STD</t>
  </si>
  <si>
    <t>WWS2001SLT</t>
  </si>
  <si>
    <t>WWS2001STP</t>
  </si>
  <si>
    <t>WWS2001SDT</t>
  </si>
  <si>
    <t>WWS2001SDD</t>
  </si>
  <si>
    <t>WWS2001CAS</t>
  </si>
  <si>
    <t>WWS2001FLCUM</t>
  </si>
  <si>
    <t>WWS2001SWDCUM</t>
  </si>
  <si>
    <t>WWS2001HDCUM</t>
  </si>
  <si>
    <t>WWS2001STDCUM</t>
  </si>
  <si>
    <t>WWS2001SLTCUM</t>
  </si>
  <si>
    <t>WWS2001STPCUM</t>
  </si>
  <si>
    <t>WWS2001SDTCUM</t>
  </si>
  <si>
    <t>WWS2001SDDCUM</t>
  </si>
  <si>
    <t>WWS2001CASCUM</t>
  </si>
  <si>
    <t>4M.6</t>
  </si>
  <si>
    <t>NEP - Event Duration Monitoring at intermittent discharges</t>
  </si>
  <si>
    <t>S3005FL</t>
  </si>
  <si>
    <t>S3005SWD</t>
  </si>
  <si>
    <t>S3005HD</t>
  </si>
  <si>
    <t>S3005STD</t>
  </si>
  <si>
    <t>S3005SLT</t>
  </si>
  <si>
    <t>S3005STP</t>
  </si>
  <si>
    <t>S3005SDT</t>
  </si>
  <si>
    <t>S3005SDD</t>
  </si>
  <si>
    <t>S3005CAS</t>
  </si>
  <si>
    <t>S3005FLCUM</t>
  </si>
  <si>
    <t>S3005SWDCUM</t>
  </si>
  <si>
    <t>S3005HDCUM</t>
  </si>
  <si>
    <t>S3005STDCUM</t>
  </si>
  <si>
    <t>S3005SLTCUM</t>
  </si>
  <si>
    <t>S3005STPCUM</t>
  </si>
  <si>
    <t>S3005SDTCUM</t>
  </si>
  <si>
    <t>S3005SDDCUM</t>
  </si>
  <si>
    <t>S3005CASCUM</t>
  </si>
  <si>
    <t>4M.7</t>
  </si>
  <si>
    <t>NEP - Flow monitoring at sewage treatment works</t>
  </si>
  <si>
    <t>S3006FL</t>
  </si>
  <si>
    <t>S3006SWD</t>
  </si>
  <si>
    <t>S3006HD</t>
  </si>
  <si>
    <t>S3006STD</t>
  </si>
  <si>
    <t>S3006SLT</t>
  </si>
  <si>
    <t>S3006STP</t>
  </si>
  <si>
    <t>S3006SDT</t>
  </si>
  <si>
    <t>S3006SDD</t>
  </si>
  <si>
    <t>S3006CAS</t>
  </si>
  <si>
    <t>S3006FLCUM</t>
  </si>
  <si>
    <t>S3006SWDCUM</t>
  </si>
  <si>
    <t>S3006HDCUM</t>
  </si>
  <si>
    <t>S3006STDCUM</t>
  </si>
  <si>
    <t>S3006SLTCUM</t>
  </si>
  <si>
    <t>S3006STPCUM</t>
  </si>
  <si>
    <t>S3006SDTCUM</t>
  </si>
  <si>
    <t>S3006SDDCUM</t>
  </si>
  <si>
    <t>S3006CASCUM</t>
  </si>
  <si>
    <t>4M.8</t>
  </si>
  <si>
    <t>NEP - Monitoring of pass forward flows at CSOs</t>
  </si>
  <si>
    <t>S3007FL</t>
  </si>
  <si>
    <t>S3007SWD</t>
  </si>
  <si>
    <t>S3007HD</t>
  </si>
  <si>
    <t>S3007STD</t>
  </si>
  <si>
    <t>S3007SLT</t>
  </si>
  <si>
    <t>S3007STP</t>
  </si>
  <si>
    <t>S3007SDT</t>
  </si>
  <si>
    <t>S3007SDD</t>
  </si>
  <si>
    <t>S3007CAS</t>
  </si>
  <si>
    <t>S3007FLCUM</t>
  </si>
  <si>
    <t>S3007SWDCUM</t>
  </si>
  <si>
    <t>S3007HDCUM</t>
  </si>
  <si>
    <t>S3007STDCUM</t>
  </si>
  <si>
    <t>S3007SLTCUM</t>
  </si>
  <si>
    <t>S3007STPCUM</t>
  </si>
  <si>
    <t>S3007SDTCUM</t>
  </si>
  <si>
    <t>S3007SDDCUM</t>
  </si>
  <si>
    <t>S3007CASCUM</t>
  </si>
  <si>
    <t>4M.9</t>
  </si>
  <si>
    <t>NEP - Schemes to increase flow to full treatment</t>
  </si>
  <si>
    <t>WWS2002FL</t>
  </si>
  <si>
    <t>WWS2002SWD</t>
  </si>
  <si>
    <t>WWS2002HD</t>
  </si>
  <si>
    <t>WWS2002STD</t>
  </si>
  <si>
    <t>WWS2002SLT</t>
  </si>
  <si>
    <t>WWS2002STP</t>
  </si>
  <si>
    <t>WWS2002SDT</t>
  </si>
  <si>
    <t>WWS2002SDD</t>
  </si>
  <si>
    <t>WWS2002CAS</t>
  </si>
  <si>
    <t>WWS2002FLCUM</t>
  </si>
  <si>
    <t>WWS2002SWDCUM</t>
  </si>
  <si>
    <t>WWS2002HDCUM</t>
  </si>
  <si>
    <t>WWS2002STDCUM</t>
  </si>
  <si>
    <t>WWS2002SLTCUM</t>
  </si>
  <si>
    <t>WWS2002STPCUM</t>
  </si>
  <si>
    <t>WWS2002SDTCUM</t>
  </si>
  <si>
    <t>WWS2002SDDCUM</t>
  </si>
  <si>
    <t>WWS2002CASCUM</t>
  </si>
  <si>
    <t>4M.10</t>
  </si>
  <si>
    <t>NEP - Schemes to increase storm tank capacity</t>
  </si>
  <si>
    <t>WWS2003FL</t>
  </si>
  <si>
    <t>WWS2003SWD</t>
  </si>
  <si>
    <t>WWS2003HD</t>
  </si>
  <si>
    <t>WWS2003STD</t>
  </si>
  <si>
    <t>WWS2003SLT</t>
  </si>
  <si>
    <t>WWS2003STP</t>
  </si>
  <si>
    <t>WWS2003SDT</t>
  </si>
  <si>
    <t>WWS2003SDD</t>
  </si>
  <si>
    <t>WWS2003CAS</t>
  </si>
  <si>
    <t>WWS2003FLCUM</t>
  </si>
  <si>
    <t>WWS2003SWDCUM</t>
  </si>
  <si>
    <t>WWS2003HDCUM</t>
  </si>
  <si>
    <t>WWS2003STDCUM</t>
  </si>
  <si>
    <t>WWS2003SLTCUM</t>
  </si>
  <si>
    <t>WWS2003STPCUM</t>
  </si>
  <si>
    <t>WWS2003SDTCUM</t>
  </si>
  <si>
    <t>WWS2003SDDCUM</t>
  </si>
  <si>
    <t>WWS2003CASCUM</t>
  </si>
  <si>
    <t>4M.11</t>
  </si>
  <si>
    <t>NEP - Storage schemes to reduce spill frequency at CSOs, storm tanks, etc</t>
  </si>
  <si>
    <t>S3008FL</t>
  </si>
  <si>
    <t>S3008SWD</t>
  </si>
  <si>
    <t>S3008HD</t>
  </si>
  <si>
    <t>S3008STD</t>
  </si>
  <si>
    <t>S3008SLT</t>
  </si>
  <si>
    <t>S3008STP</t>
  </si>
  <si>
    <t>S3008SDT</t>
  </si>
  <si>
    <t>S3008SDD</t>
  </si>
  <si>
    <t>S3008CAS</t>
  </si>
  <si>
    <t>S3008FLCUM</t>
  </si>
  <si>
    <t>S3008SWDCUM</t>
  </si>
  <si>
    <t>S3008HDCUM</t>
  </si>
  <si>
    <t>S3008STDCUM</t>
  </si>
  <si>
    <t>S3008SLTCUM</t>
  </si>
  <si>
    <t>S3008STPCUM</t>
  </si>
  <si>
    <t>S3008SDTCUM</t>
  </si>
  <si>
    <t>S3008SDDCUM</t>
  </si>
  <si>
    <t>S3008CASCUM</t>
  </si>
  <si>
    <t>4M.12</t>
  </si>
  <si>
    <t>NEP - Chemicals monitoring/ investigations/ options appraisals</t>
  </si>
  <si>
    <t>S3009FL</t>
  </si>
  <si>
    <t>S3009SWD</t>
  </si>
  <si>
    <t>S3009HD</t>
  </si>
  <si>
    <t>S3009STD</t>
  </si>
  <si>
    <t>S3009SLT</t>
  </si>
  <si>
    <t>S3009STP</t>
  </si>
  <si>
    <t>S3009SDT</t>
  </si>
  <si>
    <t>S3009SDD</t>
  </si>
  <si>
    <t>S3009CAS</t>
  </si>
  <si>
    <t>S3009FLCUM</t>
  </si>
  <si>
    <t>S3009SWDCUM</t>
  </si>
  <si>
    <t>S3009HDCUM</t>
  </si>
  <si>
    <t>S3009STDCUM</t>
  </si>
  <si>
    <t>S3009SLTCUM</t>
  </si>
  <si>
    <t>S3009STPCUM</t>
  </si>
  <si>
    <t>S3009SDTCUM</t>
  </si>
  <si>
    <t>S3009SDDCUM</t>
  </si>
  <si>
    <t>S3009CASCUM</t>
  </si>
  <si>
    <t>4M.13</t>
  </si>
  <si>
    <t>NEP - National phosphorus removal technology investigations</t>
  </si>
  <si>
    <t>WWS2007FL</t>
  </si>
  <si>
    <t>WWS2007SWD</t>
  </si>
  <si>
    <t>WWS2007HD</t>
  </si>
  <si>
    <t>WWS2007STD</t>
  </si>
  <si>
    <t>WWS2007SLT</t>
  </si>
  <si>
    <t>WWS2007STP</t>
  </si>
  <si>
    <t>WWS2007SDT</t>
  </si>
  <si>
    <t>WWS2007SDD</t>
  </si>
  <si>
    <t>WWS2007CAS</t>
  </si>
  <si>
    <t>WWS2007FLCUM</t>
  </si>
  <si>
    <t>WWS2007SWDCUM</t>
  </si>
  <si>
    <t>WWS2007HDCUM</t>
  </si>
  <si>
    <t>WWS2007STDCUM</t>
  </si>
  <si>
    <t>WWS2007SLTCUM</t>
  </si>
  <si>
    <t>WWS2007STPCUM</t>
  </si>
  <si>
    <t>WWS2007SDTCUM</t>
  </si>
  <si>
    <t>WWS2007SDDCUM</t>
  </si>
  <si>
    <t>WWS2007CASCUM</t>
  </si>
  <si>
    <t>4M.14</t>
  </si>
  <si>
    <t>NEP - Groundwater schemes</t>
  </si>
  <si>
    <t>S3010FL</t>
  </si>
  <si>
    <t>S3010SWD</t>
  </si>
  <si>
    <t>S3010HD</t>
  </si>
  <si>
    <t>S3010STD</t>
  </si>
  <si>
    <t>S3010SLT</t>
  </si>
  <si>
    <t>S3010STP</t>
  </si>
  <si>
    <t>S3010SDT</t>
  </si>
  <si>
    <t>S3010SDD</t>
  </si>
  <si>
    <t>S3010CAS</t>
  </si>
  <si>
    <t>S3010FLCUM</t>
  </si>
  <si>
    <t>S3010SWDCUM</t>
  </si>
  <si>
    <t>S3010HDCUM</t>
  </si>
  <si>
    <t>S3010STDCUM</t>
  </si>
  <si>
    <t>S3010SLTCUM</t>
  </si>
  <si>
    <t>S3010STPCUM</t>
  </si>
  <si>
    <t>S3010SDTCUM</t>
  </si>
  <si>
    <t>S3010SDDCUM</t>
  </si>
  <si>
    <t>S3010CASCUM</t>
  </si>
  <si>
    <t>4M.15</t>
  </si>
  <si>
    <t>S3011FL</t>
  </si>
  <si>
    <t>S3011SWD</t>
  </si>
  <si>
    <t>S3011HD</t>
  </si>
  <si>
    <t>S3011STD</t>
  </si>
  <si>
    <t>S3011SLT</t>
  </si>
  <si>
    <t>S3011STP</t>
  </si>
  <si>
    <t>S3011SDT</t>
  </si>
  <si>
    <t>S3011SDD</t>
  </si>
  <si>
    <t>S3011CAS</t>
  </si>
  <si>
    <t>S3011FLCUM</t>
  </si>
  <si>
    <t>S3011SWDCUM</t>
  </si>
  <si>
    <t>S3011HDCUM</t>
  </si>
  <si>
    <t>S3011STDCUM</t>
  </si>
  <si>
    <t>S3011SLTCUM</t>
  </si>
  <si>
    <t>S3011STPCUM</t>
  </si>
  <si>
    <t>S3011SDTCUM</t>
  </si>
  <si>
    <t>S3011SDDCUM</t>
  </si>
  <si>
    <t>S3011CASCUM</t>
  </si>
  <si>
    <t>4M.16</t>
  </si>
  <si>
    <t>NEP - Nutrients (N removal)</t>
  </si>
  <si>
    <t>S3012FL</t>
  </si>
  <si>
    <t>S3012SWD</t>
  </si>
  <si>
    <t>S3012HD</t>
  </si>
  <si>
    <t>S3012STD</t>
  </si>
  <si>
    <t>S3012SLT</t>
  </si>
  <si>
    <t>S3012STP</t>
  </si>
  <si>
    <t>S3012SDT</t>
  </si>
  <si>
    <t>S3012SDD</t>
  </si>
  <si>
    <t>S3012CAS</t>
  </si>
  <si>
    <t>S3012FLCUM</t>
  </si>
  <si>
    <t>S3012SWDCUM</t>
  </si>
  <si>
    <t>S3012HDCUM</t>
  </si>
  <si>
    <t>S3012STDCUM</t>
  </si>
  <si>
    <t>S3012SLTCUM</t>
  </si>
  <si>
    <t>S3012STPCUM</t>
  </si>
  <si>
    <t>S3012SDTCUM</t>
  </si>
  <si>
    <t>S3012SDDCUM</t>
  </si>
  <si>
    <t>S3012CASCUM</t>
  </si>
  <si>
    <t>4M.17</t>
  </si>
  <si>
    <t>NEP - Nutrients (P removal at activated sludge STWs)</t>
  </si>
  <si>
    <t>S3013FL</t>
  </si>
  <si>
    <t>S3013SWD</t>
  </si>
  <si>
    <t>S3013HD</t>
  </si>
  <si>
    <t>S3013STD</t>
  </si>
  <si>
    <t>S3013SLT</t>
  </si>
  <si>
    <t>S3013STP</t>
  </si>
  <si>
    <t>S3013SDT</t>
  </si>
  <si>
    <t>S3013SDD</t>
  </si>
  <si>
    <t>S3013CAS</t>
  </si>
  <si>
    <t>S3013FLCUM</t>
  </si>
  <si>
    <t>S3013SWDCUM</t>
  </si>
  <si>
    <t>S3013HDCUM</t>
  </si>
  <si>
    <t>S3013STDCUM</t>
  </si>
  <si>
    <t>S3013SLTCUM</t>
  </si>
  <si>
    <t>S3013STPCUM</t>
  </si>
  <si>
    <t>S3013SDTCUM</t>
  </si>
  <si>
    <t>S3013SDDCUM</t>
  </si>
  <si>
    <t>S3013CASCUM</t>
  </si>
  <si>
    <t>4M.18</t>
  </si>
  <si>
    <t>NEP - Nutrients (P removal at filter bed STWs)</t>
  </si>
  <si>
    <t>S3014FL</t>
  </si>
  <si>
    <t>S3014SWD</t>
  </si>
  <si>
    <t>S3014HD</t>
  </si>
  <si>
    <t>S3014STD</t>
  </si>
  <si>
    <t>S3014SLT</t>
  </si>
  <si>
    <t>S3014STP</t>
  </si>
  <si>
    <t>S3014SDT</t>
  </si>
  <si>
    <t>S3014SDD</t>
  </si>
  <si>
    <t>S3014CAS</t>
  </si>
  <si>
    <t>S3014FLCUM</t>
  </si>
  <si>
    <t>S3014SWDCUM</t>
  </si>
  <si>
    <t>S3014HDCUM</t>
  </si>
  <si>
    <t>S3014STDCUM</t>
  </si>
  <si>
    <t>S3014SLTCUM</t>
  </si>
  <si>
    <t>S3014STPCUM</t>
  </si>
  <si>
    <t>S3014SDTCUM</t>
  </si>
  <si>
    <t>S3014SDDCUM</t>
  </si>
  <si>
    <t>S3014CASCUM</t>
  </si>
  <si>
    <t>4M.19</t>
  </si>
  <si>
    <t>NEP - Reduction of sanitary parameters</t>
  </si>
  <si>
    <t>S3015FL</t>
  </si>
  <si>
    <t>S3015SWD</t>
  </si>
  <si>
    <t>S3015HD</t>
  </si>
  <si>
    <t>S3015STD</t>
  </si>
  <si>
    <t>S3015SLT</t>
  </si>
  <si>
    <t>S3015STP</t>
  </si>
  <si>
    <t>S3015SDT</t>
  </si>
  <si>
    <t>S3015SDD</t>
  </si>
  <si>
    <t>S3015CAS</t>
  </si>
  <si>
    <t>S3015FLCUM</t>
  </si>
  <si>
    <t>S3015SWDCUM</t>
  </si>
  <si>
    <t>S3015HDCUM</t>
  </si>
  <si>
    <t>S3015STDCUM</t>
  </si>
  <si>
    <t>S3015SLTCUM</t>
  </si>
  <si>
    <t>S3015STPCUM</t>
  </si>
  <si>
    <t>S3015SDTCUM</t>
  </si>
  <si>
    <t>S3015SDDCUM</t>
  </si>
  <si>
    <t>S3015CASCUM</t>
  </si>
  <si>
    <t>4M.20</t>
  </si>
  <si>
    <t>NEP - UV disinfection (or similar)</t>
  </si>
  <si>
    <t>S3016FL</t>
  </si>
  <si>
    <t>S3016SWD</t>
  </si>
  <si>
    <t>S3016HD</t>
  </si>
  <si>
    <t>S3016STD</t>
  </si>
  <si>
    <t>S3016SLT</t>
  </si>
  <si>
    <t>S3016STP</t>
  </si>
  <si>
    <t>S3016SDT</t>
  </si>
  <si>
    <t>S3016SDD</t>
  </si>
  <si>
    <t>S3016CAS</t>
  </si>
  <si>
    <t>S3016FLCUM</t>
  </si>
  <si>
    <t>S3016SWDCUM</t>
  </si>
  <si>
    <t>S3016HDCUM</t>
  </si>
  <si>
    <t>S3016STDCUM</t>
  </si>
  <si>
    <t>S3016SLTCUM</t>
  </si>
  <si>
    <t>S3016STPCUM</t>
  </si>
  <si>
    <t>S3016SDTCUM</t>
  </si>
  <si>
    <t>S3016SDDCUM</t>
  </si>
  <si>
    <t>S3016CASCUM</t>
  </si>
  <si>
    <t>4M.21</t>
  </si>
  <si>
    <t>NEP - Discharge relocation</t>
  </si>
  <si>
    <t>S3017FL</t>
  </si>
  <si>
    <t>S3017SWD</t>
  </si>
  <si>
    <t>S3017HD</t>
  </si>
  <si>
    <t>S3017STD</t>
  </si>
  <si>
    <t>S3017SLT</t>
  </si>
  <si>
    <t>S3017STP</t>
  </si>
  <si>
    <t>S3017SDT</t>
  </si>
  <si>
    <t>S3017SDD</t>
  </si>
  <si>
    <t>S3017CAS</t>
  </si>
  <si>
    <t>S3017FLCUM</t>
  </si>
  <si>
    <t>S3017SWDCUM</t>
  </si>
  <si>
    <t>S3017HDCUM</t>
  </si>
  <si>
    <t>S3017STDCUM</t>
  </si>
  <si>
    <t>S3017SLTCUM</t>
  </si>
  <si>
    <t>S3017STPCUM</t>
  </si>
  <si>
    <t>S3017SDTCUM</t>
  </si>
  <si>
    <t>S3017SDDCUM</t>
  </si>
  <si>
    <t>S3017CASCUM</t>
  </si>
  <si>
    <t>4M.22</t>
  </si>
  <si>
    <t>NEP - Flow 1 schemes</t>
  </si>
  <si>
    <t>S3018FL</t>
  </si>
  <si>
    <t>S3018SWD</t>
  </si>
  <si>
    <t>S3018HD</t>
  </si>
  <si>
    <t>S3018STD</t>
  </si>
  <si>
    <t>S3018SLT</t>
  </si>
  <si>
    <t>S3018STP</t>
  </si>
  <si>
    <t>S3018SDT</t>
  </si>
  <si>
    <t>S3018SDD</t>
  </si>
  <si>
    <t>S3018CAS</t>
  </si>
  <si>
    <t>S3018FLCUM</t>
  </si>
  <si>
    <t>S3018SWDCUM</t>
  </si>
  <si>
    <t>S3018HDCUM</t>
  </si>
  <si>
    <t>S3018STDCUM</t>
  </si>
  <si>
    <t>S3018SLTCUM</t>
  </si>
  <si>
    <t>S3018STPCUM</t>
  </si>
  <si>
    <t>S3018SDTCUM</t>
  </si>
  <si>
    <t>S3018SDDCUM</t>
  </si>
  <si>
    <t>S3018CASCUM</t>
  </si>
  <si>
    <t>4M.23</t>
  </si>
  <si>
    <t>Odour</t>
  </si>
  <si>
    <t>S3019FL</t>
  </si>
  <si>
    <t>S3019SWD</t>
  </si>
  <si>
    <t>S3019HD</t>
  </si>
  <si>
    <t>S3019STD</t>
  </si>
  <si>
    <t>S3019SLT</t>
  </si>
  <si>
    <t>S3019STP</t>
  </si>
  <si>
    <t>S3019SDT</t>
  </si>
  <si>
    <t>S3019SDD</t>
  </si>
  <si>
    <t>S3019CAS</t>
  </si>
  <si>
    <t>S3019FLCUM</t>
  </si>
  <si>
    <t>S3019SWDCUM</t>
  </si>
  <si>
    <t>S3019HDCUM</t>
  </si>
  <si>
    <t>S3019STDCUM</t>
  </si>
  <si>
    <t>S3019SLTCUM</t>
  </si>
  <si>
    <t>S3019STPCUM</t>
  </si>
  <si>
    <t>S3019SDTCUM</t>
  </si>
  <si>
    <t>S3019SDDCUM</t>
  </si>
  <si>
    <t>S3019CASCUM</t>
  </si>
  <si>
    <t>4M.24</t>
  </si>
  <si>
    <t>New development and growth</t>
  </si>
  <si>
    <t>S3020FL</t>
  </si>
  <si>
    <t>S3020SWD</t>
  </si>
  <si>
    <t>S3020HD</t>
  </si>
  <si>
    <t>S3020STD</t>
  </si>
  <si>
    <t>S3020SLT</t>
  </si>
  <si>
    <t>S3020STP</t>
  </si>
  <si>
    <t>S3020SDT</t>
  </si>
  <si>
    <t>S3020SDD</t>
  </si>
  <si>
    <t>S3020CAS</t>
  </si>
  <si>
    <t>S3020FLCUM</t>
  </si>
  <si>
    <t>S3020SWDCUM</t>
  </si>
  <si>
    <t>S3020HDCUM</t>
  </si>
  <si>
    <t>S3020STDCUM</t>
  </si>
  <si>
    <t>S3020SLTCUM</t>
  </si>
  <si>
    <t>S3020STPCUM</t>
  </si>
  <si>
    <t>S3020SDTCUM</t>
  </si>
  <si>
    <t>S3020SDDCUM</t>
  </si>
  <si>
    <t>S3020CASCUM</t>
  </si>
  <si>
    <t>4M.25</t>
  </si>
  <si>
    <t>Growth at sewage treatment works (excluding sludge treatment)</t>
  </si>
  <si>
    <t>S3021FL</t>
  </si>
  <si>
    <t>S3021SWD</t>
  </si>
  <si>
    <t>S3021HD</t>
  </si>
  <si>
    <t>S3021STD</t>
  </si>
  <si>
    <t>S3021SLT</t>
  </si>
  <si>
    <t>S3021STP</t>
  </si>
  <si>
    <t>S3021SDT</t>
  </si>
  <si>
    <t>S3021SDD</t>
  </si>
  <si>
    <t>S3021CAS</t>
  </si>
  <si>
    <t>S3021FLCUM</t>
  </si>
  <si>
    <t>S3021SWDCUM</t>
  </si>
  <si>
    <t>S3021HDCUM</t>
  </si>
  <si>
    <t>S3021STDCUM</t>
  </si>
  <si>
    <t>S3021SLTCUM</t>
  </si>
  <si>
    <t>S3021STPCUM</t>
  </si>
  <si>
    <t>S3021SDTCUM</t>
  </si>
  <si>
    <t>S3021SDDCUM</t>
  </si>
  <si>
    <t>S3021CASCUM</t>
  </si>
  <si>
    <t>4M.26</t>
  </si>
  <si>
    <t>S3022FL</t>
  </si>
  <si>
    <t>S3022SWD</t>
  </si>
  <si>
    <t>S3022HD</t>
  </si>
  <si>
    <t>S3022STD</t>
  </si>
  <si>
    <t>S3022SLT</t>
  </si>
  <si>
    <t>S3022STP</t>
  </si>
  <si>
    <t>S3022SDT</t>
  </si>
  <si>
    <t>S3022SDD</t>
  </si>
  <si>
    <t>S3022CAS</t>
  </si>
  <si>
    <t>S3022FLCUM</t>
  </si>
  <si>
    <t>S3022SWDCUM</t>
  </si>
  <si>
    <t>S3022HDCUM</t>
  </si>
  <si>
    <t>S3022STDCUM</t>
  </si>
  <si>
    <t>S3022SLTCUM</t>
  </si>
  <si>
    <t>S3022STPCUM</t>
  </si>
  <si>
    <t>S3022SDTCUM</t>
  </si>
  <si>
    <t>S3022SDDCUM</t>
  </si>
  <si>
    <t>S3022CASCUM</t>
  </si>
  <si>
    <t>4M.27</t>
  </si>
  <si>
    <t>BC31785FL</t>
  </si>
  <si>
    <t>BC31785SWD</t>
  </si>
  <si>
    <t>BC31785HD</t>
  </si>
  <si>
    <t>BC31785STD</t>
  </si>
  <si>
    <t>BC31785SLT</t>
  </si>
  <si>
    <t>BC31785STP</t>
  </si>
  <si>
    <t>BC31785SDT</t>
  </si>
  <si>
    <t>BC31785SDD</t>
  </si>
  <si>
    <t>BC31785CAS</t>
  </si>
  <si>
    <t>BC31785FLCUM</t>
  </si>
  <si>
    <t>BC31785SWDCUM</t>
  </si>
  <si>
    <t>BC31785HDCUM</t>
  </si>
  <si>
    <t>BC31785STDCUM</t>
  </si>
  <si>
    <t>BC31785SLTCUM</t>
  </si>
  <si>
    <t>BC31785STPCUM</t>
  </si>
  <si>
    <t>BC31785SDTCUM</t>
  </si>
  <si>
    <t>BC31785SDDCUM</t>
  </si>
  <si>
    <t>BC31785CASCUM</t>
  </si>
  <si>
    <t>4M.28</t>
  </si>
  <si>
    <t>Reduce flooding risk for properties</t>
  </si>
  <si>
    <t>S3023FL</t>
  </si>
  <si>
    <t>S3023SWD</t>
  </si>
  <si>
    <t>S3023HD</t>
  </si>
  <si>
    <t>S3023STD</t>
  </si>
  <si>
    <t>S3023SLT</t>
  </si>
  <si>
    <t>S3023STP</t>
  </si>
  <si>
    <t>S3023SDT</t>
  </si>
  <si>
    <t>S3023SDD</t>
  </si>
  <si>
    <t>S3023CAS</t>
  </si>
  <si>
    <t>S3023FLCUM</t>
  </si>
  <si>
    <t>S3023SWDCUM</t>
  </si>
  <si>
    <t>S3023HDCUM</t>
  </si>
  <si>
    <t>S3023STDCUM</t>
  </si>
  <si>
    <t>S3023SLTCUM</t>
  </si>
  <si>
    <t>S3023STPCUM</t>
  </si>
  <si>
    <t>S3023SDTCUM</t>
  </si>
  <si>
    <t>S3023SDDCUM</t>
  </si>
  <si>
    <t>S3023CASCUM</t>
  </si>
  <si>
    <t>4M.29</t>
  </si>
  <si>
    <t>Transferred private sewers and pumping stations</t>
  </si>
  <si>
    <t>S3024FL</t>
  </si>
  <si>
    <t>S3024SWD</t>
  </si>
  <si>
    <t>S3024HD</t>
  </si>
  <si>
    <t>S3024STD</t>
  </si>
  <si>
    <t>S3024SLT</t>
  </si>
  <si>
    <t>S3024STP</t>
  </si>
  <si>
    <t>S3024SDT</t>
  </si>
  <si>
    <t>S3024SDD</t>
  </si>
  <si>
    <t>S3024CAS</t>
  </si>
  <si>
    <t>S3024FLCUM</t>
  </si>
  <si>
    <t>S3024SWDCUM</t>
  </si>
  <si>
    <t>S3024HDCUM</t>
  </si>
  <si>
    <t>S3024STDCUM</t>
  </si>
  <si>
    <t>S3024SLTCUM</t>
  </si>
  <si>
    <t>S3024STPCUM</t>
  </si>
  <si>
    <t>S3024SDTCUM</t>
  </si>
  <si>
    <t>S3024SDDCUM</t>
  </si>
  <si>
    <t>S3024CASCUM</t>
  </si>
  <si>
    <t>4M.30</t>
  </si>
  <si>
    <t>Capital expenditure purpose - WASTEWATER additional line 1 [Other categories]</t>
  </si>
  <si>
    <t>S3A00001FL</t>
  </si>
  <si>
    <t>S3A00001SWD</t>
  </si>
  <si>
    <t>S3A00001HD</t>
  </si>
  <si>
    <t>S3A00001STD</t>
  </si>
  <si>
    <t>S3A00001SLT</t>
  </si>
  <si>
    <t>S3A00001STP</t>
  </si>
  <si>
    <t>S3A00001SDT</t>
  </si>
  <si>
    <t>S3A00001SDD</t>
  </si>
  <si>
    <t>S3A00001CAS</t>
  </si>
  <si>
    <t>S3A00001FLCUM</t>
  </si>
  <si>
    <t>S3A00001SWDCUM</t>
  </si>
  <si>
    <t>S3A00001HDCUM</t>
  </si>
  <si>
    <t>S3A00001STDCUM</t>
  </si>
  <si>
    <t>S3A00001SLTCUM</t>
  </si>
  <si>
    <t>S3A00001STPCUM</t>
  </si>
  <si>
    <t>S3A00001SDTCUM</t>
  </si>
  <si>
    <t>S3A00001SDDCUM</t>
  </si>
  <si>
    <t>S3A00001CASCUM</t>
  </si>
  <si>
    <t>4M.31</t>
  </si>
  <si>
    <t>Capital expenditure purpose - WASTEWATER additional line 2 [Other categories]</t>
  </si>
  <si>
    <t>S3A00002FL</t>
  </si>
  <si>
    <t>S3A00002SWD</t>
  </si>
  <si>
    <t>S3A00002HD</t>
  </si>
  <si>
    <t>S3A00002STD</t>
  </si>
  <si>
    <t>S3A00002SLT</t>
  </si>
  <si>
    <t>S3A00002STP</t>
  </si>
  <si>
    <t>S3A00002SDT</t>
  </si>
  <si>
    <t>S3A00002SDD</t>
  </si>
  <si>
    <t>S3A00002CAS</t>
  </si>
  <si>
    <t>S3A00002FLCUM</t>
  </si>
  <si>
    <t>S3A00002SWDCUM</t>
  </si>
  <si>
    <t>S3A00002HDCUM</t>
  </si>
  <si>
    <t>S3A00002STDCUM</t>
  </si>
  <si>
    <t>S3A00002SLTCUM</t>
  </si>
  <si>
    <t>S3A00002STPCUM</t>
  </si>
  <si>
    <t>S3A00002SDTCUM</t>
  </si>
  <si>
    <t>S3A00002SDDCUM</t>
  </si>
  <si>
    <t>S3A00002CASCUM</t>
  </si>
  <si>
    <t>4M.32</t>
  </si>
  <si>
    <t>Capital expenditure purpose - WASTEWATER additional line 3 [Other categories]</t>
  </si>
  <si>
    <t>S3A00003FL</t>
  </si>
  <si>
    <t>S3A00003SWD</t>
  </si>
  <si>
    <t>S3A00003HD</t>
  </si>
  <si>
    <t>S3A00003STD</t>
  </si>
  <si>
    <t>S3A00003SLT</t>
  </si>
  <si>
    <t>S3A00003STP</t>
  </si>
  <si>
    <t>S3A00003SDT</t>
  </si>
  <si>
    <t>S3A00003SDD</t>
  </si>
  <si>
    <t>S3A00003CAS</t>
  </si>
  <si>
    <t>S3A00003FLCUM</t>
  </si>
  <si>
    <t>S3A00003SWDCUM</t>
  </si>
  <si>
    <t>S3A00003HDCUM</t>
  </si>
  <si>
    <t>S3A00003STDCUM</t>
  </si>
  <si>
    <t>S3A00003SLTCUM</t>
  </si>
  <si>
    <t>S3A00003STPCUM</t>
  </si>
  <si>
    <t>S3A00003SDTCUM</t>
  </si>
  <si>
    <t>S3A00003SDDCUM</t>
  </si>
  <si>
    <t>S3A00003CASCUM</t>
  </si>
  <si>
    <t>4M.33</t>
  </si>
  <si>
    <t>Capital expenditure purpose - WASTEWATER additional line 4 [Other categories]</t>
  </si>
  <si>
    <t>S3A00004FL</t>
  </si>
  <si>
    <t>S3A00004SWD</t>
  </si>
  <si>
    <t>S3A00004HD</t>
  </si>
  <si>
    <t>S3A00004STD</t>
  </si>
  <si>
    <t>S3A00004SLT</t>
  </si>
  <si>
    <t>S3A00004STP</t>
  </si>
  <si>
    <t>S3A00004SDT</t>
  </si>
  <si>
    <t>S3A00004SDD</t>
  </si>
  <si>
    <t>S3A00004CAS</t>
  </si>
  <si>
    <t>S3A00004FLCUM</t>
  </si>
  <si>
    <t>S3A00004SWDCUM</t>
  </si>
  <si>
    <t>S3A00004HDCUM</t>
  </si>
  <si>
    <t>S3A00004STDCUM</t>
  </si>
  <si>
    <t>S3A00004SLTCUM</t>
  </si>
  <si>
    <t>S3A00004STPCUM</t>
  </si>
  <si>
    <t>S3A00004SDTCUM</t>
  </si>
  <si>
    <t>S3A00004SDDCUM</t>
  </si>
  <si>
    <t>S3A00004CASCUM</t>
  </si>
  <si>
    <t>4M.34</t>
  </si>
  <si>
    <t>Capital expenditure purpose - WASTEWATER additional line 5 [Other categories]</t>
  </si>
  <si>
    <t>S3A00005FL</t>
  </si>
  <si>
    <t>S3A00005SWD</t>
  </si>
  <si>
    <t>S3A00005HD</t>
  </si>
  <si>
    <t>S3A00005STD</t>
  </si>
  <si>
    <t>S3A00005SLT</t>
  </si>
  <si>
    <t>S3A00005STP</t>
  </si>
  <si>
    <t>S3A00005SDT</t>
  </si>
  <si>
    <t>S3A00005SDD</t>
  </si>
  <si>
    <t>S3A00005CAS</t>
  </si>
  <si>
    <t>S3A00005FLCUM</t>
  </si>
  <si>
    <t>S3A00005SWDCUM</t>
  </si>
  <si>
    <t>S3A00005HDCUM</t>
  </si>
  <si>
    <t>S3A00005STDCUM</t>
  </si>
  <si>
    <t>S3A00005SLTCUM</t>
  </si>
  <si>
    <t>S3A00005STPCUM</t>
  </si>
  <si>
    <t>S3A00005SDTCUM</t>
  </si>
  <si>
    <t>S3A00005SDDCUM</t>
  </si>
  <si>
    <t>S3A00005CASCUM</t>
  </si>
  <si>
    <t>4M.35</t>
  </si>
  <si>
    <t>Capital expenditure purpose - WASTEWATER additional line 6 [Other categories]</t>
  </si>
  <si>
    <t>S3A00006FL</t>
  </si>
  <si>
    <t>S3A00006SWD</t>
  </si>
  <si>
    <t>S3A00006HD</t>
  </si>
  <si>
    <t>S3A00006STD</t>
  </si>
  <si>
    <t>S3A00006SLT</t>
  </si>
  <si>
    <t>S3A00006STP</t>
  </si>
  <si>
    <t>S3A00006SDT</t>
  </si>
  <si>
    <t>S3A00006SDD</t>
  </si>
  <si>
    <t>S3A00006CAS</t>
  </si>
  <si>
    <t>S3A00006FLCUM</t>
  </si>
  <si>
    <t>S3A00006SWDCUM</t>
  </si>
  <si>
    <t>S3A00006HDCUM</t>
  </si>
  <si>
    <t>S3A00006STDCUM</t>
  </si>
  <si>
    <t>S3A00006SLTCUM</t>
  </si>
  <si>
    <t>S3A00006STPCUM</t>
  </si>
  <si>
    <t>S3A00006SDTCUM</t>
  </si>
  <si>
    <t>S3A00006SDDCUM</t>
  </si>
  <si>
    <t>S3A00006CASCUM</t>
  </si>
  <si>
    <t>4M.36</t>
  </si>
  <si>
    <t>Capital expenditure purpose - WASTEWATER additional line 7 [Other categories]</t>
  </si>
  <si>
    <t>S3A00007FL</t>
  </si>
  <si>
    <t>S3A00007SWD</t>
  </si>
  <si>
    <t>S3A00007HD</t>
  </si>
  <si>
    <t>S3A00007STD</t>
  </si>
  <si>
    <t>S3A00007SLT</t>
  </si>
  <si>
    <t>S3A00007STP</t>
  </si>
  <si>
    <t>S3A00007SDT</t>
  </si>
  <si>
    <t>S3A00007SDD</t>
  </si>
  <si>
    <t>S3A00007CAS</t>
  </si>
  <si>
    <t>S3A00007FLCUM</t>
  </si>
  <si>
    <t>S3A00007SWDCUM</t>
  </si>
  <si>
    <t>S3A00007HDCUM</t>
  </si>
  <si>
    <t>S3A00007STDCUM</t>
  </si>
  <si>
    <t>S3A00007SLTCUM</t>
  </si>
  <si>
    <t>S3A00007STPCUM</t>
  </si>
  <si>
    <t>S3A00007SDTCUM</t>
  </si>
  <si>
    <t>S3A00007SDDCUM</t>
  </si>
  <si>
    <t>S3A00007CASCUM</t>
  </si>
  <si>
    <t>4M.37</t>
  </si>
  <si>
    <t>Capital expenditure purpose - WASTEWATER additional line 8 [Other categories]</t>
  </si>
  <si>
    <t>S3A00008FL</t>
  </si>
  <si>
    <t>S3A00008SWD</t>
  </si>
  <si>
    <t>S3A00008HD</t>
  </si>
  <si>
    <t>S3A00008STD</t>
  </si>
  <si>
    <t>S3A00008SLT</t>
  </si>
  <si>
    <t>S3A00008STP</t>
  </si>
  <si>
    <t>S3A00008SDT</t>
  </si>
  <si>
    <t>S3A00008SDD</t>
  </si>
  <si>
    <t>S3A00008CAS</t>
  </si>
  <si>
    <t>S3A00008FLCUM</t>
  </si>
  <si>
    <t>S3A00008SWDCUM</t>
  </si>
  <si>
    <t>S3A00008HDCUM</t>
  </si>
  <si>
    <t>S3A00008STDCUM</t>
  </si>
  <si>
    <t>S3A00008SLTCUM</t>
  </si>
  <si>
    <t>S3A00008STPCUM</t>
  </si>
  <si>
    <t>S3A00008SDTCUM</t>
  </si>
  <si>
    <t>S3A00008SDDCUM</t>
  </si>
  <si>
    <t>S3A00008CASCUM</t>
  </si>
  <si>
    <t>4M.38</t>
  </si>
  <si>
    <t>Capital expenditure purpose - WASTEWATER additional line 9 [Other categories]</t>
  </si>
  <si>
    <t>S3A00009FL</t>
  </si>
  <si>
    <t>S3A00009SWD</t>
  </si>
  <si>
    <t>S3A00009HD</t>
  </si>
  <si>
    <t>S3A00009STD</t>
  </si>
  <si>
    <t>S3A00009SLT</t>
  </si>
  <si>
    <t>S3A00009STP</t>
  </si>
  <si>
    <t>S3A00009SDT</t>
  </si>
  <si>
    <t>S3A00009SDD</t>
  </si>
  <si>
    <t>S3A00009CAS</t>
  </si>
  <si>
    <t>S3A00009FLCUM</t>
  </si>
  <si>
    <t>S3A00009SWDCUM</t>
  </si>
  <si>
    <t>S3A00009HDCUM</t>
  </si>
  <si>
    <t>S3A00009STDCUM</t>
  </si>
  <si>
    <t>S3A00009SLTCUM</t>
  </si>
  <si>
    <t>S3A00009STPCUM</t>
  </si>
  <si>
    <t>S3A00009SDTCUM</t>
  </si>
  <si>
    <t>S3A00009SDDCUM</t>
  </si>
  <si>
    <t>S3A00009CASCUM</t>
  </si>
  <si>
    <t>4M.39</t>
  </si>
  <si>
    <t>Capital expenditure purpose - WASTEWATER additional line 10 [Other categories]</t>
  </si>
  <si>
    <t>S3A00010FL</t>
  </si>
  <si>
    <t>S3A00010SWD</t>
  </si>
  <si>
    <t>S3A00010HD</t>
  </si>
  <si>
    <t>S3A00010STD</t>
  </si>
  <si>
    <t>S3A00010SLT</t>
  </si>
  <si>
    <t>S3A00010STP</t>
  </si>
  <si>
    <t>S3A00010SDT</t>
  </si>
  <si>
    <t>S3A00010SDD</t>
  </si>
  <si>
    <t>S3A00010CAS</t>
  </si>
  <si>
    <t>S3A00010FLCUM</t>
  </si>
  <si>
    <t>S3A00010SWDCUM</t>
  </si>
  <si>
    <t>S3A00010HDCUM</t>
  </si>
  <si>
    <t>S3A00010STDCUM</t>
  </si>
  <si>
    <t>S3A00010SLTCUM</t>
  </si>
  <si>
    <t>S3A00010STPCUM</t>
  </si>
  <si>
    <t>S3A00010SDTCUM</t>
  </si>
  <si>
    <t>S3A00010SDDCUM</t>
  </si>
  <si>
    <t>S3A00010CASCUM</t>
  </si>
  <si>
    <t>4M.40</t>
  </si>
  <si>
    <t>Capital expenditure purpose - WASTEWATER additional line 11 [Other categories]</t>
  </si>
  <si>
    <t>S3A00011FL</t>
  </si>
  <si>
    <t>S3A00011SWD</t>
  </si>
  <si>
    <t>S3A00011HD</t>
  </si>
  <si>
    <t>S3A00011STD</t>
  </si>
  <si>
    <t>S3A00011SLT</t>
  </si>
  <si>
    <t>S3A00011STP</t>
  </si>
  <si>
    <t>S3A00011SDT</t>
  </si>
  <si>
    <t>S3A00011SDD</t>
  </si>
  <si>
    <t>S3A00011CAS</t>
  </si>
  <si>
    <t>S3A00011FLCUM</t>
  </si>
  <si>
    <t>S3A00011SWDCUM</t>
  </si>
  <si>
    <t>S3A00011HDCUM</t>
  </si>
  <si>
    <t>S3A00011STDCUM</t>
  </si>
  <si>
    <t>S3A00011SLTCUM</t>
  </si>
  <si>
    <t>S3A00011STPCUM</t>
  </si>
  <si>
    <t>S3A00011SDTCUM</t>
  </si>
  <si>
    <t>S3A00011SDDCUM</t>
  </si>
  <si>
    <t>S3A00011CASCUM</t>
  </si>
  <si>
    <t>4M.41</t>
  </si>
  <si>
    <t>Capital expenditure purpose - WASTEWATER additional line 12 [Other categories]</t>
  </si>
  <si>
    <t>S3A00012FL</t>
  </si>
  <si>
    <t>S3A00012SWD</t>
  </si>
  <si>
    <t>S3A00012HD</t>
  </si>
  <si>
    <t>S3A00012STD</t>
  </si>
  <si>
    <t>S3A00012SLT</t>
  </si>
  <si>
    <t>S3A00012STP</t>
  </si>
  <si>
    <t>S3A00012SDT</t>
  </si>
  <si>
    <t>S3A00012SDD</t>
  </si>
  <si>
    <t>S3A00012CAS</t>
  </si>
  <si>
    <t>S3A00012FLCUM</t>
  </si>
  <si>
    <t>S3A00012SWDCUM</t>
  </si>
  <si>
    <t>S3A00012HDCUM</t>
  </si>
  <si>
    <t>S3A00012STDCUM</t>
  </si>
  <si>
    <t>S3A00012SLTCUM</t>
  </si>
  <si>
    <t>S3A00012STPCUM</t>
  </si>
  <si>
    <t>S3A00012SDTCUM</t>
  </si>
  <si>
    <t>S3A00012SDDCUM</t>
  </si>
  <si>
    <t>S3A00012CASCUM</t>
  </si>
  <si>
    <t>4M.42</t>
  </si>
  <si>
    <t>Capital expenditure purpose - WASTEWATER additional line 13 [Other categories]</t>
  </si>
  <si>
    <t>S3A00013FL</t>
  </si>
  <si>
    <t>S3A00013SWD</t>
  </si>
  <si>
    <t>S3A00013HD</t>
  </si>
  <si>
    <t>S3A00013STD</t>
  </si>
  <si>
    <t>S3A00013SLT</t>
  </si>
  <si>
    <t>S3A00013STP</t>
  </si>
  <si>
    <t>S3A00013SDT</t>
  </si>
  <si>
    <t>S3A00013SDD</t>
  </si>
  <si>
    <t>S3A00013CAS</t>
  </si>
  <si>
    <t>S3A00013FLCUM</t>
  </si>
  <si>
    <t>S3A00013SWDCUM</t>
  </si>
  <si>
    <t>S3A00013HDCUM</t>
  </si>
  <si>
    <t>S3A00013STDCUM</t>
  </si>
  <si>
    <t>S3A00013SLTCUM</t>
  </si>
  <si>
    <t>S3A00013STPCUM</t>
  </si>
  <si>
    <t>S3A00013SDTCUM</t>
  </si>
  <si>
    <t>S3A00013SDDCUM</t>
  </si>
  <si>
    <t>S3A00013CASCUM</t>
  </si>
  <si>
    <t>4M.43</t>
  </si>
  <si>
    <t>Capital expenditure purpose - WASTEWATER additional line 14 [Other categories]</t>
  </si>
  <si>
    <t>S3A00014FL</t>
  </si>
  <si>
    <t>S3A00014SWD</t>
  </si>
  <si>
    <t>S3A00014HD</t>
  </si>
  <si>
    <t>S3A00014STD</t>
  </si>
  <si>
    <t>S3A00014SLT</t>
  </si>
  <si>
    <t>S3A00014STP</t>
  </si>
  <si>
    <t>S3A00014SDT</t>
  </si>
  <si>
    <t>S3A00014SDD</t>
  </si>
  <si>
    <t>S3A00014CAS</t>
  </si>
  <si>
    <t>S3A00014FLCUM</t>
  </si>
  <si>
    <t>S3A00014SWDCUM</t>
  </si>
  <si>
    <t>S3A00014HDCUM</t>
  </si>
  <si>
    <t>S3A00014STDCUM</t>
  </si>
  <si>
    <t>S3A00014SLTCUM</t>
  </si>
  <si>
    <t>S3A00014STPCUM</t>
  </si>
  <si>
    <t>S3A00014SDTCUM</t>
  </si>
  <si>
    <t>S3A00014SDDCUM</t>
  </si>
  <si>
    <t>S3A00014CASCUM</t>
  </si>
  <si>
    <t>4M.44</t>
  </si>
  <si>
    <t>Capital expenditure purpose - WASTEWATER additional line 15 [Other categories]</t>
  </si>
  <si>
    <t>S3A00015FL</t>
  </si>
  <si>
    <t>S3A00015SWD</t>
  </si>
  <si>
    <t>S3A00015HD</t>
  </si>
  <si>
    <t>S3A00015STD</t>
  </si>
  <si>
    <t>S3A00015SLT</t>
  </si>
  <si>
    <t>S3A00015STP</t>
  </si>
  <si>
    <t>S3A00015SDT</t>
  </si>
  <si>
    <t>S3A00015SDD</t>
  </si>
  <si>
    <t>S3A00015CAS</t>
  </si>
  <si>
    <t>S3A00015FLCUM</t>
  </si>
  <si>
    <t>S3A00015SWDCUM</t>
  </si>
  <si>
    <t>S3A00015HDCUM</t>
  </si>
  <si>
    <t>S3A00015STDCUM</t>
  </si>
  <si>
    <t>S3A00015SLTCUM</t>
  </si>
  <si>
    <t>S3A00015STPCUM</t>
  </si>
  <si>
    <t>S3A00015SDTCUM</t>
  </si>
  <si>
    <t>S3A00015SDDCUM</t>
  </si>
  <si>
    <t>S3A00015CASCUM</t>
  </si>
  <si>
    <t>4M.45</t>
  </si>
  <si>
    <t>Table 4M does not equal table 4E, please provide reasoning and reconciliation in your commentary</t>
  </si>
  <si>
    <t>S3025ENHFL</t>
  </si>
  <si>
    <t>S3025ENHSWD</t>
  </si>
  <si>
    <t>S3025ENHHD</t>
  </si>
  <si>
    <t>S3025ENHSTD</t>
  </si>
  <si>
    <t>S3025ENHSLT</t>
  </si>
  <si>
    <t>S3025ENHSTP</t>
  </si>
  <si>
    <t>S3025ENHSDT</t>
  </si>
  <si>
    <t>S3025ENHSDD</t>
  </si>
  <si>
    <t>S3025ENHCAS</t>
  </si>
  <si>
    <t>S3025ENHFLCUM</t>
  </si>
  <si>
    <t>S3025ENHSWDCUM</t>
  </si>
  <si>
    <t>S3025ENHHDCUM</t>
  </si>
  <si>
    <t>S3025ENHSTDCUM</t>
  </si>
  <si>
    <t>S3025ENHSLTCUM</t>
  </si>
  <si>
    <t>S3025ENHSTPCUM</t>
  </si>
  <si>
    <t>S3025ENHSDTCUM</t>
  </si>
  <si>
    <t>S3025ENHSDDCUM</t>
  </si>
  <si>
    <t>S3025ENHCASCUM</t>
  </si>
  <si>
    <t>Table 4M does not equal table 4K, please provide reasoning and reconciliation in your commentary</t>
  </si>
  <si>
    <t>Definition</t>
  </si>
  <si>
    <t>Capital expenditure for new and additional sewage treatment and sewerage assets for first time sewerage schemes to meet the duty under s101A of the Water Industry Act 1991.</t>
  </si>
  <si>
    <t>Capital expenditure on sludge treatment and disposal assets and associated biogas treatment for meeting new environmental obligations listed in the NEP. This is for both infrastructure and non-infrastructure assets.</t>
  </si>
  <si>
    <t>Capital expenditure on sludge treatment and disposal assets and associated biogas treatment for providing new capacity for growth. This is for both infrastructure and non-infrastructure assets.</t>
  </si>
  <si>
    <t>Capital expenditure on the primary cost driver at quality enhancement schemes listed in the NEP for AMP5 or AMP6 where the objective of the primary driver is to meet the requirements of conservation drivers (the Habitats and Birds Directives, the CRoW Act and the UK Biodiversity Action Plan) over and above that on schemes and investigations for which expenditure is required to be reported elsewhere in this table (principally 4M lines 15 to 19).</t>
  </si>
  <si>
    <t>Capital expenditure on quality enhancement schemes listed in the NEP to improve outfalls to prevent the entrainment of fish to meet the requirements of the Eels Regulations.</t>
  </si>
  <si>
    <t>Capital expenditure on quality enhancement schemes listed in the NEP for AMP5 or AMP6 to provide event and duration monitoring of intermittent discharges.  For AMP5 this is the capital expenditure to deliver the outputs included in the sewerage service quality enhancement schedule (Annex 4 – S) driven by the revised EU Bathing Water or Shellfish Waters Directives (driver codes rB5 and S8 respectively). For AMP6 these are the outputs required by the Environment Agency (or Natural Resources Wales) under driver codes rB5, S8, EDM1, EDM2 and EDMW.</t>
  </si>
  <si>
    <t>Capital expenditure on quality enhancement schemes listed in the NEP for AMP6 to provide flow monitoring at sewage treatment works (driver code Flow3).</t>
  </si>
  <si>
    <t>Capital expenditure on quality enhancement schemes listed in the NEP for AMP6 to provide monitoring of pass forward flows at CSOs (driver code Flow4).</t>
  </si>
  <si>
    <t>Capital expenditure on quality enhancement schemes listed in the NEP to increase the flow to full treatment to 3PG+I+3E</t>
  </si>
  <si>
    <t>Capital expenditure on quality enhancement schemes listed in the NEP to increase the storm tank capacity to 68 l/hd or to 2 hours retention at max flow into the tanks.</t>
  </si>
  <si>
    <t>Capital expenditure on the primary cost driver of quality enhancement schemes listed in the NEP for AMP5 or AMP6 where the objective of the primary cost driver is to meet new or tightened spill frequency objectives at network assets, eg CSOs, (whether or not there is an explicit spill frequency requirement) reduce spill frequency of CSOs, storm tank overflows etc by the provision of new or additional storage volume.</t>
  </si>
  <si>
    <t>Capital expenditure on monitoring, investigations, feasibility studies and improvements listed in the NEP (or WINEP) as part of the national Chemicals Investigation Programme (driver codes C1 - C3 in AMP5 and C4 - C7 in AMP6).</t>
  </si>
  <si>
    <t>Capital expenditure on monitoring, investigations, feasibility studies and improvements listed in the NEP (or WINEP) as part of the national AMP6 Phosphorus removal technology investigations programme (driver codes P1 - Px).</t>
  </si>
  <si>
    <t>Capital expenditure on the primary cost driver of quality enhancement schemes listed in the NEP for AMP5 or AMP6 where the objective of the primary cost driver is to meet one or more requirements of the EU Groundwater Directive.  For AMP5 this is the capital expenditure to deliver the outputs included in the sewerage service quality enhancement schedule (Annex 4 – S) associated with driver codes G1, G2 and G3. (Expenditure associated with driver code G4 should be included in 4M line 11).</t>
  </si>
  <si>
    <t>Check desc in RAG '151' &gt; '11'</t>
  </si>
  <si>
    <t>Capital expenditure on investigations listed in the NEP for AMP5 or AMP6 over and above that on investigations for which expenditure is required to be reported elsewhere in this table (principally 4M lines 12 and 13).</t>
  </si>
  <si>
    <t>Check desc in RAG line nos?</t>
  </si>
  <si>
    <t>Capital expenditure on the primary cost driver of quality enhancement schemes listed in the NEP for AMP5 or AMP6 where the objective of the primary cost driver is to meet new or tightened consent conditions for nitrogen.</t>
  </si>
  <si>
    <t>Capital expenditure on the primary cost driver of quality enhancement schemes listed in the NEP for AMP5 or AMP6 where the objective of the primary cost driver is to meet new or tightened consent conditions for phosphorus at an activated sludge STW.</t>
  </si>
  <si>
    <t>Capital expenditure on the primary cost driver of quality enhancement schemes listed in the NEP for AMP5 or AMP6 where the objective of the primary cost driver is to meet new or tightened consent conditions for phosphorus at a biological filter STW.</t>
  </si>
  <si>
    <t>Capital expenditure on the primary cost driver of quality enhancement schemes listed in the NEP for AMP5 or AMP6 where the objective of the primary cost driver is to meet new or tightened consent conditions for one or more of the sanitary parameters.</t>
  </si>
  <si>
    <t>Capital expenditure on the primary cost driver at quality enhancement schemes listed in the NEP for AMP5 or AMP6 where the objective of the primary cost driver is to meet new or tightened consent conditions for microbiological parameters to meet the requirements of the EU Shellfish Waters or revised Bathing Water Directives. Such schemes will typically involve UV disinfection but may involve alternative technologies eg membrane filtration.</t>
  </si>
  <si>
    <t>Capital expenditure on the primary cost driver at quality enhancement schemes listed in the NEP for AMP5 or AMP6 where the objective of the primary cost driver is to meet the requirements of the Habitats Directive or the CRoW Act (2000) by relocating the discharge to controlled waters.</t>
  </si>
  <si>
    <t>Capital expenditure on the primary cost driver of quality enhancement schemes listed in the NEP for AMP5 where the objective of the primary driver is to ensure no deterioration in the current classification of the receiving waters as a result of increased volumes of discharge (historic) - (driver code Flow1)</t>
  </si>
  <si>
    <t>Capital expenditure on schemes where the primary objective is to effect a step change improvement in odour control above base standards.</t>
  </si>
  <si>
    <t>Capital expenditure associated with the provision of new development and growth in sewerage services.  Includes capital expenditure associated with the provision of local network assets for sewerage services to provide for new customers with no net deterioration of existing levels of service (new development) and capital expenditure associated with changes in sewage collected from new and existing customers whilst maintaining existing levels of service (growth). This should exclude capital expenditure for the purpose of reducing the risk to properties and external areas of flooding from sewers that should be reported in 4M line 29, unless an increase in risk is clearly the result of new development.</t>
  </si>
  <si>
    <t>Capital expenditure associated with meeting or offsetting changes in demand from new and existing customers at sewage treatment works but excluding sludge treatment centres. Expenditure at sludge treatment centres should be reported in 4M line 3.</t>
  </si>
  <si>
    <t>Capital expenditure to improve resilience. This relates to expenditure to manage the risk of failing to give consumers an appropriate level of service protection in the face of extreme events caused by hazards that are beyond their control.  For AMP5 this is the capital expenditure to deliver the outputs included in the supplementary report for improving resilience (e.g. under driver code ESL04).</t>
  </si>
  <si>
    <t>Capital expenditure on schemes to protect assets and assessments of potential further improvements to comply with the Security and Emergency Measures Direction 1998 including associated Advice Notes.  For AMP5 this is the capital expenditure to deliver the outputs included in the sewerage service quality enhancement schedule (Annex 4 - S) to comply with the SEMD (driver code SEMD).</t>
  </si>
  <si>
    <t>Capital expenditure for the purpose of enhancing the public sewerage system to reduce the risk to properties and external areas of flooding from sewers. Exclude infrastructure renewals expenditure that should be reported in Table 4K line 12 and expenditure associated with the provision of new sewers for new development and such other expenditure required in consequence of the new development that should be reported in 4M line 24.</t>
  </si>
  <si>
    <t>Capital expenditure on infrastructure and non-infrastructure assets falling within the scope of the transfer of private gravity sewers and lateral drains effected by schemes made by the Secretary of State/Welsh Ministers under the Water Industry (Schemes for Adoption of Private Sewers) Regulations 2011. Expenditure should be reported even if for accounting purposes companies may be treating it as maintenance (rather than enhancement).</t>
  </si>
  <si>
    <t>30-44</t>
  </si>
  <si>
    <t>Other capital expenditure purpose [Company to insert other purposes as required and explain in commentary]. Regard should be had for the desirability of maintaining consistency with corresponding lines in previous data submissions when using these lines.</t>
  </si>
  <si>
    <t>Total enhancement capital expenditure. Calculated as the sum of 4M lines 1 to 44 inclusive.</t>
  </si>
  <si>
    <t>4N - Sewage treatment - Functional expenditure</t>
  </si>
  <si>
    <t>Please complete cell in column G</t>
  </si>
  <si>
    <t>Costs of STWs in size bands 1 to 5</t>
  </si>
  <si>
    <t>4N.1</t>
  </si>
  <si>
    <t>Direct costs of STWs in size band 1</t>
  </si>
  <si>
    <t>STWF011</t>
  </si>
  <si>
    <t>4N.2</t>
  </si>
  <si>
    <t>Direct costs of STWs in size band 2</t>
  </si>
  <si>
    <t>STWF025</t>
  </si>
  <si>
    <t>4N.3</t>
  </si>
  <si>
    <t>Direct costs of STWs in size band 3</t>
  </si>
  <si>
    <t>STWF039</t>
  </si>
  <si>
    <t>4N.4</t>
  </si>
  <si>
    <t>Direct costs of STWs in size band 4</t>
  </si>
  <si>
    <t>STWF053</t>
  </si>
  <si>
    <t>4N.5</t>
  </si>
  <si>
    <t>Direct costs of STWs in size band 5</t>
  </si>
  <si>
    <t>STWF067</t>
  </si>
  <si>
    <t>4N.6</t>
  </si>
  <si>
    <t>General &amp; support costs of STWs in size bands 1 to 5</t>
  </si>
  <si>
    <t>S3026</t>
  </si>
  <si>
    <t>4N.7</t>
  </si>
  <si>
    <t>Functional expenditure of STWs in size bands 1 to 5</t>
  </si>
  <si>
    <t>STWF012</t>
  </si>
  <si>
    <t>Costs of STWs in size band 6</t>
  </si>
  <si>
    <t>4N.8</t>
  </si>
  <si>
    <t>Service charges for STWs in size band 6</t>
  </si>
  <si>
    <t>STWB040TOT</t>
  </si>
  <si>
    <t>4N.9</t>
  </si>
  <si>
    <t>Estimated terminal pumping costs size band 6 works</t>
  </si>
  <si>
    <t>STWB038TOT</t>
  </si>
  <si>
    <t>4N.10</t>
  </si>
  <si>
    <t>Other direct costs of STWs in size band 6</t>
  </si>
  <si>
    <t>STWB041TOT</t>
  </si>
  <si>
    <t>4N.11</t>
  </si>
  <si>
    <t>Direct costs of STWs in size band 6</t>
  </si>
  <si>
    <t>STWB033TOT</t>
  </si>
  <si>
    <t>4N.12</t>
  </si>
  <si>
    <t>General &amp; support costs of STWs in size band 6</t>
  </si>
  <si>
    <t>STWB036TOT</t>
  </si>
  <si>
    <t>4N.13</t>
  </si>
  <si>
    <t>Functional expenditure of STWs in size band 6</t>
  </si>
  <si>
    <t>STWB042TOT</t>
  </si>
  <si>
    <t>4N.14</t>
  </si>
  <si>
    <t>Total Functional expenditure for Sewage treatment</t>
  </si>
  <si>
    <t>STWB043TOT</t>
  </si>
  <si>
    <t>input cell</t>
  </si>
  <si>
    <r>
      <rPr>
        <b/>
        <sz val="10"/>
        <rFont val="Arial"/>
        <family val="2"/>
      </rPr>
      <t>Functional expenditure</t>
    </r>
    <r>
      <rPr>
        <sz val="10"/>
        <rFont val="Arial"/>
        <family val="2"/>
      </rPr>
      <t xml:space="preserve">
Functional expenditure is defined as operating expenditure excluding both third party costs and Local authority and cumulo rates. This is also presented in table 4W.
</t>
    </r>
    <r>
      <rPr>
        <b/>
        <sz val="10"/>
        <rFont val="Arial"/>
        <family val="2"/>
      </rPr>
      <t xml:space="preserve">Treatment works size:
</t>
    </r>
    <r>
      <rPr>
        <sz val="10"/>
        <rFont val="Arial"/>
        <family val="2"/>
      </rPr>
      <t xml:space="preserve"> 
For the purpose of these tables, STW size is defined by the load received by the works, expressed as mass (i.e. kilograms [kg]) of BOD</t>
    </r>
    <r>
      <rPr>
        <vertAlign val="subscript"/>
        <sz val="10"/>
        <rFont val="Arial"/>
        <family val="2"/>
      </rPr>
      <t>5</t>
    </r>
    <r>
      <rPr>
        <sz val="10"/>
        <rFont val="Arial"/>
        <family val="2"/>
      </rPr>
      <t xml:space="preserve"> per day. In calculating the size of a works, companies should assume that resident connected population contribute 60g BOD</t>
    </r>
    <r>
      <rPr>
        <vertAlign val="subscript"/>
        <sz val="10"/>
        <rFont val="Arial"/>
        <family val="2"/>
      </rPr>
      <t>5</t>
    </r>
    <r>
      <rPr>
        <sz val="10"/>
        <rFont val="Arial"/>
        <family val="2"/>
      </rPr>
      <t>/head/day and add the trade effluent load (total COD) using a conversion factor of COD:BOD of 2:1. 
No allowance should be made for non-resident population when classifying the size band of a works. 
Companies must include non-resident population when reporting loads and costs.
Under this classification scheme, large works are defined as those with an average daily loading &gt;1,500kg BOD</t>
    </r>
    <r>
      <rPr>
        <vertAlign val="subscript"/>
        <sz val="10"/>
        <rFont val="Arial"/>
        <family val="2"/>
      </rPr>
      <t>5</t>
    </r>
    <r>
      <rPr>
        <sz val="10"/>
        <rFont val="Arial"/>
        <family val="2"/>
      </rPr>
      <t>/day, and small works are those with an average loading &lt;=1,500kg BOD</t>
    </r>
    <r>
      <rPr>
        <vertAlign val="subscript"/>
        <sz val="10"/>
        <rFont val="Arial"/>
        <family val="2"/>
      </rPr>
      <t>5</t>
    </r>
    <r>
      <rPr>
        <sz val="10"/>
        <rFont val="Arial"/>
        <family val="2"/>
      </rPr>
      <t xml:space="preserve">/day.
</t>
    </r>
    <r>
      <rPr>
        <b/>
        <sz val="10"/>
        <rFont val="Arial"/>
        <family val="2"/>
      </rPr>
      <t xml:space="preserve"> Small works</t>
    </r>
    <r>
      <rPr>
        <sz val="10"/>
        <rFont val="Arial"/>
        <family val="2"/>
      </rPr>
      <t xml:space="preserve">
• size band 1 &lt;= 15kg BOD</t>
    </r>
    <r>
      <rPr>
        <vertAlign val="subscript"/>
        <sz val="10"/>
        <rFont val="Arial"/>
        <family val="2"/>
      </rPr>
      <t>5</t>
    </r>
    <r>
      <rPr>
        <sz val="10"/>
        <rFont val="Arial"/>
        <family val="2"/>
      </rPr>
      <t>/day  (population equivalent: 0 - 250)
• size band 2 &gt;15 but &lt;= 30kg BOD</t>
    </r>
    <r>
      <rPr>
        <vertAlign val="subscript"/>
        <sz val="10"/>
        <rFont val="Arial"/>
        <family val="2"/>
      </rPr>
      <t>5</t>
    </r>
    <r>
      <rPr>
        <sz val="10"/>
        <rFont val="Arial"/>
        <family val="2"/>
      </rPr>
      <t>/day (population equivalent: 250 - 500)
• size band 3 &gt;30 but &lt;= 120kg BOD</t>
    </r>
    <r>
      <rPr>
        <vertAlign val="subscript"/>
        <sz val="10"/>
        <rFont val="Arial"/>
        <family val="2"/>
      </rPr>
      <t>5</t>
    </r>
    <r>
      <rPr>
        <sz val="10"/>
        <rFont val="Arial"/>
        <family val="2"/>
      </rPr>
      <t>/day (population equivalent: 500 – 2,000)
• size band 4 &gt;120 but &lt;= 600kg BOD</t>
    </r>
    <r>
      <rPr>
        <vertAlign val="subscript"/>
        <sz val="10"/>
        <rFont val="Arial"/>
        <family val="2"/>
      </rPr>
      <t>5</t>
    </r>
    <r>
      <rPr>
        <sz val="10"/>
        <rFont val="Arial"/>
        <family val="2"/>
      </rPr>
      <t>/day (population equivalent: 2,000 –10,000)
• size band 5 &gt;600 but &lt;= 1,500kg BOD</t>
    </r>
    <r>
      <rPr>
        <vertAlign val="subscript"/>
        <sz val="10"/>
        <rFont val="Arial"/>
        <family val="2"/>
      </rPr>
      <t>5</t>
    </r>
    <r>
      <rPr>
        <sz val="10"/>
        <rFont val="Arial"/>
        <family val="2"/>
      </rPr>
      <t xml:space="preserve">/day (population equivalent: 10,000 – 25,000)
</t>
    </r>
    <r>
      <rPr>
        <b/>
        <sz val="10"/>
        <rFont val="Arial"/>
        <family val="2"/>
      </rPr>
      <t xml:space="preserve">
Large works</t>
    </r>
    <r>
      <rPr>
        <sz val="10"/>
        <rFont val="Arial"/>
        <family val="2"/>
      </rPr>
      <t xml:space="preserve">
• size band 6 &gt; 1,500kg BOD</t>
    </r>
    <r>
      <rPr>
        <vertAlign val="subscript"/>
        <sz val="10"/>
        <rFont val="Arial"/>
        <family val="2"/>
      </rPr>
      <t>5</t>
    </r>
    <r>
      <rPr>
        <sz val="10"/>
        <rFont val="Arial"/>
        <family val="2"/>
      </rPr>
      <t>/day (population equivalent: &gt;25,000)</t>
    </r>
  </si>
  <si>
    <t>4O - Large sewage treatment works - Wholesale wastewater</t>
  </si>
  <si>
    <t>STWNAMED01</t>
  </si>
  <si>
    <t>STWNAMED02</t>
  </si>
  <si>
    <t>STWNAMED03</t>
  </si>
  <si>
    <t>STWNAMED04</t>
  </si>
  <si>
    <t>STWNAMED05</t>
  </si>
  <si>
    <t>STWNAMED06</t>
  </si>
  <si>
    <t>STWNAMED07</t>
  </si>
  <si>
    <t>STWNAMED08</t>
  </si>
  <si>
    <t>STWNAMED09</t>
  </si>
  <si>
    <t>STWNAMED10</t>
  </si>
  <si>
    <t>STWNAMED11</t>
  </si>
  <si>
    <t>STWNAMED12</t>
  </si>
  <si>
    <t>STWNAMED13</t>
  </si>
  <si>
    <t>STWNAMED14</t>
  </si>
  <si>
    <t>STWNAMED15</t>
  </si>
  <si>
    <t>STWNAMED16</t>
  </si>
  <si>
    <t>STWNAMED17</t>
  </si>
  <si>
    <t>STWNAMED18</t>
  </si>
  <si>
    <t>STWNAMED19</t>
  </si>
  <si>
    <t>STWNAMED20</t>
  </si>
  <si>
    <t>STWNAMED21</t>
  </si>
  <si>
    <t>STWNAMED22</t>
  </si>
  <si>
    <t>STWNAMED23</t>
  </si>
  <si>
    <t>STWNAMED24</t>
  </si>
  <si>
    <t>STWNAMED25</t>
  </si>
  <si>
    <t>STWNAMED26</t>
  </si>
  <si>
    <t>STWNAMED27</t>
  </si>
  <si>
    <t>STWNAMED28</t>
  </si>
  <si>
    <t>STWNAMED29</t>
  </si>
  <si>
    <t>STWNAMED30</t>
  </si>
  <si>
    <t>STWNAMED31</t>
  </si>
  <si>
    <t>STWNAMED32</t>
  </si>
  <si>
    <t>STWNAMED33</t>
  </si>
  <si>
    <t>STWNAMED34</t>
  </si>
  <si>
    <t>STWNAMED35</t>
  </si>
  <si>
    <t>STWNAMED36</t>
  </si>
  <si>
    <t>STWNAMED37</t>
  </si>
  <si>
    <t>STWNAMED38</t>
  </si>
  <si>
    <t>STWNAMED39</t>
  </si>
  <si>
    <t>STWNAMED40</t>
  </si>
  <si>
    <t>STWNAMED41</t>
  </si>
  <si>
    <t>STWNAMED42</t>
  </si>
  <si>
    <t>STWNAMED43</t>
  </si>
  <si>
    <t>STWNAMED44</t>
  </si>
  <si>
    <t>STWNAMED45</t>
  </si>
  <si>
    <t>STWNAMED46</t>
  </si>
  <si>
    <t>STWNAMED47</t>
  </si>
  <si>
    <t>STWNAMED48</t>
  </si>
  <si>
    <t>STWNAMED49</t>
  </si>
  <si>
    <t>STWNAMED50</t>
  </si>
  <si>
    <t>STWNAMED51</t>
  </si>
  <si>
    <t>STWNAMED52</t>
  </si>
  <si>
    <t>STWNAMED53</t>
  </si>
  <si>
    <t>STWNAMED54</t>
  </si>
  <si>
    <t>STWNAMED55</t>
  </si>
  <si>
    <t>STWNAMED56</t>
  </si>
  <si>
    <t>STWNAMED57</t>
  </si>
  <si>
    <t>STWNAMED58</t>
  </si>
  <si>
    <t>STWNAMED59</t>
  </si>
  <si>
    <t>STWNAMED60</t>
  </si>
  <si>
    <t>STWNAMED61</t>
  </si>
  <si>
    <t>STWNAMED62</t>
  </si>
  <si>
    <t>STWNAMED63</t>
  </si>
  <si>
    <t>STWNAMED64</t>
  </si>
  <si>
    <t>STWNAMED65</t>
  </si>
  <si>
    <t>STWNAMED66</t>
  </si>
  <si>
    <t>STWNAMED67</t>
  </si>
  <si>
    <t>STWNAMED68</t>
  </si>
  <si>
    <t>STWNAMED69</t>
  </si>
  <si>
    <t>STWNAMED70</t>
  </si>
  <si>
    <t>STWNAMED71</t>
  </si>
  <si>
    <t>STWNAMED72</t>
  </si>
  <si>
    <t>STWNAMED73</t>
  </si>
  <si>
    <t>STWNAMED74</t>
  </si>
  <si>
    <t>STWNAMED75</t>
  </si>
  <si>
    <t>STWNAMED76</t>
  </si>
  <si>
    <t>STWNAMED77</t>
  </si>
  <si>
    <t>STWNAMED78</t>
  </si>
  <si>
    <t>STWNAMED79</t>
  </si>
  <si>
    <t>STWNAMED80</t>
  </si>
  <si>
    <t>Sewage treatment works - Explanatory variables</t>
  </si>
  <si>
    <t>4O.1</t>
  </si>
  <si>
    <t>Works name</t>
  </si>
  <si>
    <t>STWNAME01</t>
  </si>
  <si>
    <t>4O.2</t>
  </si>
  <si>
    <t>Classification of treatment works</t>
  </si>
  <si>
    <t>STWB045</t>
  </si>
  <si>
    <t>4O.3</t>
  </si>
  <si>
    <t>Population equivalent of total load received</t>
  </si>
  <si>
    <t>STWB005</t>
  </si>
  <si>
    <t>000</t>
  </si>
  <si>
    <t>4O.4</t>
  </si>
  <si>
    <t>Suspended solids consent</t>
  </si>
  <si>
    <t>STWB011</t>
  </si>
  <si>
    <t>mg/l</t>
  </si>
  <si>
    <t>4O.5</t>
  </si>
  <si>
    <r>
      <t>BOD</t>
    </r>
    <r>
      <rPr>
        <vertAlign val="subscript"/>
        <sz val="10"/>
        <color indexed="8"/>
        <rFont val="Gill Sans MT"/>
        <family val="2"/>
      </rPr>
      <t>5</t>
    </r>
    <r>
      <rPr>
        <sz val="10"/>
        <color indexed="8"/>
        <rFont val="Gill Sans MT"/>
        <family val="2"/>
      </rPr>
      <t xml:space="preserve"> consent</t>
    </r>
  </si>
  <si>
    <t>STWB012</t>
  </si>
  <si>
    <t>4O.6</t>
  </si>
  <si>
    <t>Ammonia consent</t>
  </si>
  <si>
    <t>STWB014</t>
  </si>
  <si>
    <t>4O.7</t>
  </si>
  <si>
    <t>Phosphorus consent</t>
  </si>
  <si>
    <t>STWB015</t>
  </si>
  <si>
    <t>4O.8</t>
  </si>
  <si>
    <t>UV consent</t>
  </si>
  <si>
    <t>STWB016</t>
  </si>
  <si>
    <r>
      <t>mW/s/cm</t>
    </r>
    <r>
      <rPr>
        <vertAlign val="superscript"/>
        <sz val="8"/>
        <rFont val="Gill Sans MT"/>
        <family val="2"/>
      </rPr>
      <t>2</t>
    </r>
  </si>
  <si>
    <t>4O.9</t>
  </si>
  <si>
    <t>Load received by STW</t>
  </si>
  <si>
    <t>STWB017</t>
  </si>
  <si>
    <r>
      <t>kgBOD</t>
    </r>
    <r>
      <rPr>
        <vertAlign val="subscript"/>
        <sz val="8"/>
        <rFont val="Gill Sans MT"/>
        <family val="2"/>
      </rPr>
      <t>5</t>
    </r>
    <r>
      <rPr>
        <sz val="8"/>
        <rFont val="Gill Sans MT"/>
        <family val="2"/>
      </rPr>
      <t>/d</t>
    </r>
  </si>
  <si>
    <t>4O.10</t>
  </si>
  <si>
    <t>Flow passed to full treatment</t>
  </si>
  <si>
    <t>STWB018</t>
  </si>
  <si>
    <r>
      <t>m</t>
    </r>
    <r>
      <rPr>
        <vertAlign val="superscript"/>
        <sz val="8"/>
        <rFont val="Arial"/>
        <family val="2"/>
      </rPr>
      <t>3</t>
    </r>
    <r>
      <rPr>
        <sz val="8"/>
        <rFont val="Arial"/>
        <family val="2"/>
      </rPr>
      <t>/d</t>
    </r>
  </si>
  <si>
    <t>Sewage treatment works - Functional expenditure</t>
  </si>
  <si>
    <t>4O.11</t>
  </si>
  <si>
    <t>Service charges</t>
  </si>
  <si>
    <t>STWB040</t>
  </si>
  <si>
    <t>4O.12</t>
  </si>
  <si>
    <t>Estimated terminal pumping expenditure</t>
  </si>
  <si>
    <t>STWB038</t>
  </si>
  <si>
    <t>4O.13</t>
  </si>
  <si>
    <t>Other direct expenditure</t>
  </si>
  <si>
    <t>STWB033</t>
  </si>
  <si>
    <t>4O.14</t>
  </si>
  <si>
    <t>Total direct expenditure</t>
  </si>
  <si>
    <t>4O.15</t>
  </si>
  <si>
    <t>General and support expenditure</t>
  </si>
  <si>
    <t>STWB036</t>
  </si>
  <si>
    <t>4O.16</t>
  </si>
  <si>
    <t>Functional expenditure</t>
  </si>
  <si>
    <t>STWB037</t>
  </si>
  <si>
    <t>Additional guidance on completion of Table 4O:
Please do not amend or delete the names of wastewate treatment works in row 6.
Any listed WTW not required should have the rows 7 to 22 left blank
Any new WTW  can be added to the blank columns at the end of the WTW listed.</t>
  </si>
  <si>
    <t>In accordance with RAG 4.08 (Appendix 1), tankered waste is not part of the appointed business and should therefore be excluded from consideration when completing line 3.</t>
  </si>
  <si>
    <r>
      <rPr>
        <b/>
        <sz val="10"/>
        <rFont val="Gill Sans MT"/>
        <family val="2"/>
      </rPr>
      <t>Direct costs</t>
    </r>
    <r>
      <rPr>
        <sz val="10"/>
        <rFont val="Gill Sans MT"/>
        <family val="2"/>
      </rPr>
      <t xml:space="preserve"> - Direct costs are the costs directly attributable to each of the individually identified service</t>
    </r>
  </si>
  <si>
    <r>
      <rPr>
        <b/>
        <sz val="10"/>
        <rFont val="Gill Sans MT"/>
        <family val="2"/>
      </rPr>
      <t>General and Support expenditure</t>
    </r>
    <r>
      <rPr>
        <sz val="10"/>
        <rFont val="Gill Sans MT"/>
        <family val="2"/>
      </rPr>
      <t xml:space="preserve"> - The aggregate direct cost of general and support activities is termed general and support expenditure.
RAG2 sets out how costs should be divided across that price control units. In this table, general and support costs may, where they cannot be directly attributed, require allocation so that the network+ element can be identified.
Companies should follow the guidance in RAG2 table 2.4.1 to source appropriate cost drivers for allocation. </t>
    </r>
  </si>
  <si>
    <t>General and support activity</t>
  </si>
  <si>
    <t>Cost driver </t>
  </si>
  <si>
    <t>Administrative services</t>
  </si>
  <si>
    <r>
      <t>1.</t>
    </r>
    <r>
      <rPr>
        <sz val="7"/>
        <color indexed="8"/>
        <rFont val="Times New Roman"/>
        <family val="1"/>
      </rPr>
      <t xml:space="preserve">      </t>
    </r>
    <r>
      <rPr>
        <sz val="10"/>
        <color indexed="8"/>
        <rFont val="Arial"/>
        <family val="2"/>
      </rPr>
      <t>Analysis of staff time determined by hierarchy detailed above under employment costs
2.      Number of full time equivalents (FTEs)</t>
    </r>
  </si>
  <si>
    <t>Planning liaison</t>
  </si>
  <si>
    <t>Financial services</t>
  </si>
  <si>
    <t>Management services</t>
  </si>
  <si>
    <t>Property management services</t>
  </si>
  <si>
    <t>Legal services</t>
  </si>
  <si>
    <t>Research and development</t>
  </si>
  <si>
    <t>Audit services</t>
  </si>
  <si>
    <t xml:space="preserve">Operational and technical support </t>
  </si>
  <si>
    <t>Human resources and personnel services</t>
  </si>
  <si>
    <r>
      <t>1.</t>
    </r>
    <r>
      <rPr>
        <sz val="7"/>
        <color indexed="8"/>
        <rFont val="Times New Roman"/>
        <family val="1"/>
      </rPr>
      <t xml:space="preserve">      </t>
    </r>
    <r>
      <rPr>
        <sz val="10"/>
        <color indexed="8"/>
        <rFont val="Arial"/>
        <family val="2"/>
      </rPr>
      <t>Analysis of staff time determined by hierarchy detailed above under employment costs
2.      Headcount of employees</t>
    </r>
  </si>
  <si>
    <t xml:space="preserve">IT and data processing </t>
  </si>
  <si>
    <r>
      <t>1.</t>
    </r>
    <r>
      <rPr>
        <sz val="7"/>
        <color indexed="8"/>
        <rFont val="Times New Roman"/>
        <family val="1"/>
      </rPr>
      <t xml:space="preserve">        </t>
    </r>
    <r>
      <rPr>
        <sz val="10"/>
        <color indexed="8"/>
        <rFont val="Arial"/>
        <family val="2"/>
      </rPr>
      <t>Usage of mainframe by system type
2.        Number of computers
3.        Number of full time equivalents (FTEs)</t>
    </r>
  </si>
  <si>
    <t xml:space="preserve">Vehicles and plant </t>
  </si>
  <si>
    <r>
      <t>1.</t>
    </r>
    <r>
      <rPr>
        <sz val="7"/>
        <color indexed="8"/>
        <rFont val="Times New Roman"/>
        <family val="1"/>
      </rPr>
      <t xml:space="preserve">      </t>
    </r>
    <r>
      <rPr>
        <sz val="10"/>
        <color indexed="8"/>
        <rFont val="Arial"/>
        <family val="2"/>
      </rPr>
      <t>Pro rata to direct allocation of vehicles and plant</t>
    </r>
  </si>
  <si>
    <t xml:space="preserve">Electrical and mechanical maintenance </t>
  </si>
  <si>
    <r>
      <t>1.</t>
    </r>
    <r>
      <rPr>
        <sz val="7"/>
        <color indexed="8"/>
        <rFont val="Times New Roman"/>
        <family val="1"/>
      </rPr>
      <t xml:space="preserve">      </t>
    </r>
    <r>
      <rPr>
        <sz val="10"/>
        <color indexed="8"/>
        <rFont val="Arial"/>
        <family val="2"/>
      </rPr>
      <t>Pro rata to direct allocation of electrical and mechanical maintenance</t>
    </r>
  </si>
  <si>
    <t xml:space="preserve">Land and property maintenance </t>
  </si>
  <si>
    <r>
      <t>1.</t>
    </r>
    <r>
      <rPr>
        <sz val="7"/>
        <color indexed="8"/>
        <rFont val="Times New Roman"/>
        <family val="1"/>
      </rPr>
      <t xml:space="preserve">      </t>
    </r>
    <r>
      <rPr>
        <sz val="10"/>
        <color indexed="8"/>
        <rFont val="Arial"/>
        <family val="2"/>
      </rPr>
      <t>Pro rata to direct allocation of land and property maintenance
2.      Analysis of staff time determined by hierarchy detailed above under employment costs</t>
    </r>
  </si>
  <si>
    <t>Materials storage</t>
  </si>
  <si>
    <t>1. Pro rata to direct allocation of materials and consumables</t>
  </si>
  <si>
    <r>
      <rPr>
        <b/>
        <sz val="9"/>
        <rFont val="Arial"/>
        <family val="2"/>
      </rPr>
      <t>Sludge costs</t>
    </r>
    <r>
      <rPr>
        <sz val="9"/>
        <rFont val="Arial"/>
        <family val="2"/>
      </rPr>
      <t>: expenditure above should not include any sludge costs</t>
    </r>
  </si>
  <si>
    <t>4P - Non-financial data for WR, WT and WD - Wholesale water</t>
  </si>
  <si>
    <t>4P.1</t>
  </si>
  <si>
    <t>Proportion of distribution input derived from impounding reservoirs</t>
  </si>
  <si>
    <t>BN4833</t>
  </si>
  <si>
    <t>Propn 0 to 1</t>
  </si>
  <si>
    <t>4P.2</t>
  </si>
  <si>
    <t>Proportion of distribution input derived from pumped storage reservoirs</t>
  </si>
  <si>
    <t>BN4834</t>
  </si>
  <si>
    <t>4P.3</t>
  </si>
  <si>
    <t>Proportion of distribution input derived from river abstractions</t>
  </si>
  <si>
    <t>BN4838</t>
  </si>
  <si>
    <t>4P.4</t>
  </si>
  <si>
    <t>Proportion of distribution input derived from groundwater works,excluding managed aquifer recharge (MAR) water supply schemes</t>
  </si>
  <si>
    <t>BN4848</t>
  </si>
  <si>
    <t>4P.5</t>
  </si>
  <si>
    <t>Proportion of distribution input derived from artificial recharge (AR) water supply schemes</t>
  </si>
  <si>
    <t>BN4846</t>
  </si>
  <si>
    <t>4P.6</t>
  </si>
  <si>
    <t>Proportion of distribution input derived from aquifer storage and recovery (ASR) water supply schemes</t>
  </si>
  <si>
    <t>BN4847</t>
  </si>
  <si>
    <t>4P.7</t>
  </si>
  <si>
    <t>Proportion of distribution input derived from saline abstractions</t>
  </si>
  <si>
    <t>BN4854</t>
  </si>
  <si>
    <t>4P.8</t>
  </si>
  <si>
    <t>Proportion of distribution input derived from water reuse schemes</t>
  </si>
  <si>
    <t>BN4855</t>
  </si>
  <si>
    <t>Total of lines 4P.1 to 4P.8 do not equal 1.</t>
  </si>
  <si>
    <t>4P.9</t>
  </si>
  <si>
    <t>Number of impounding reservoirs</t>
  </si>
  <si>
    <t>BN4830</t>
  </si>
  <si>
    <t>4P.10</t>
  </si>
  <si>
    <t>Number of pumped storage reservoirs</t>
  </si>
  <si>
    <t>BN4849</t>
  </si>
  <si>
    <t>4P.11</t>
  </si>
  <si>
    <t>Number of river abstractions</t>
  </si>
  <si>
    <t>BN4835</t>
  </si>
  <si>
    <t>4P.12</t>
  </si>
  <si>
    <t>Number of groundwater works excluding managed aquifer recharge (MAR) water supply schemes</t>
  </si>
  <si>
    <t>BN4851</t>
  </si>
  <si>
    <t>4P.13</t>
  </si>
  <si>
    <t>Number of artificial recharge (AR) water supply schemes</t>
  </si>
  <si>
    <t>BN4852</t>
  </si>
  <si>
    <t>4P.14</t>
  </si>
  <si>
    <t>Number of aquifer storage and recovery (ASR) water supply schemes</t>
  </si>
  <si>
    <t>BN4853</t>
  </si>
  <si>
    <t>4P.15</t>
  </si>
  <si>
    <t>Number of saline abstraction schemes</t>
  </si>
  <si>
    <t>BN4856</t>
  </si>
  <si>
    <t>4P.16</t>
  </si>
  <si>
    <t>Total number of sources</t>
  </si>
  <si>
    <t>BN4843</t>
  </si>
  <si>
    <t>4P.17</t>
  </si>
  <si>
    <t>Number of reuse schemes</t>
  </si>
  <si>
    <t>BN4857</t>
  </si>
  <si>
    <t>4P.18</t>
  </si>
  <si>
    <t>Total number of water reservoirs</t>
  </si>
  <si>
    <t>BN10190</t>
  </si>
  <si>
    <t>4P.19</t>
  </si>
  <si>
    <t>Total capacity of water reservoirs</t>
  </si>
  <si>
    <t>BN10191</t>
  </si>
  <si>
    <t>4P.20</t>
  </si>
  <si>
    <t>Total number of intake and source pumping stations</t>
  </si>
  <si>
    <t>W5003</t>
  </si>
  <si>
    <t>4P.21</t>
  </si>
  <si>
    <t>Total number of raw water transport stations</t>
  </si>
  <si>
    <t>WR001</t>
  </si>
  <si>
    <t>4P.22</t>
  </si>
  <si>
    <t>Total capacity of intake and source pumping stations</t>
  </si>
  <si>
    <t>W5003CAP</t>
  </si>
  <si>
    <t>kW</t>
  </si>
  <si>
    <t>4P.23</t>
  </si>
  <si>
    <t>Total capacity of raw water transfer pumping stations</t>
  </si>
  <si>
    <t>WR002</t>
  </si>
  <si>
    <t>4P.24</t>
  </si>
  <si>
    <t>Total length of raw water abstraction mains and other conveyors</t>
  </si>
  <si>
    <t>BN10290</t>
  </si>
  <si>
    <t>km</t>
  </si>
  <si>
    <t>4P.25</t>
  </si>
  <si>
    <t>Average pumping head – raw water abstraction</t>
  </si>
  <si>
    <t>BN4861</t>
  </si>
  <si>
    <t>m.hd</t>
  </si>
  <si>
    <t>4P.26</t>
  </si>
  <si>
    <t>Average pumping head – raw water transport</t>
  </si>
  <si>
    <t>BN4862</t>
  </si>
  <si>
    <t>4P.27</t>
  </si>
  <si>
    <t>Total length of raw and pre-treated (non-potable) water transport mains</t>
  </si>
  <si>
    <t>BN4858</t>
  </si>
  <si>
    <t>4P.28</t>
  </si>
  <si>
    <t>Water resources capacity (measured using water resources yield)</t>
  </si>
  <si>
    <t>BN4859</t>
  </si>
  <si>
    <t>4P.29</t>
  </si>
  <si>
    <t>Total water treated at all SW simple disinfection works</t>
  </si>
  <si>
    <t>CPMW0098</t>
  </si>
  <si>
    <t>4P.30</t>
  </si>
  <si>
    <t>Total water treated at all SW1 works</t>
  </si>
  <si>
    <t>CPMW0104</t>
  </si>
  <si>
    <t>4P.31</t>
  </si>
  <si>
    <t>Total water treated at all SW2 works</t>
  </si>
  <si>
    <t>CPMW0110</t>
  </si>
  <si>
    <t>4P.32</t>
  </si>
  <si>
    <t>Total water treated at all SW3 works</t>
  </si>
  <si>
    <t>CPMW0116</t>
  </si>
  <si>
    <t>4P.33</t>
  </si>
  <si>
    <t>Total water treated at all SW4 works</t>
  </si>
  <si>
    <t>CPMW0165</t>
  </si>
  <si>
    <t>4P.34</t>
  </si>
  <si>
    <t>Total water treated at all SW5 works</t>
  </si>
  <si>
    <t>CPMW0166</t>
  </si>
  <si>
    <t>4P.35</t>
  </si>
  <si>
    <t>Total water treated at all SW6 works</t>
  </si>
  <si>
    <t>CPMW0167</t>
  </si>
  <si>
    <t>4P.36</t>
  </si>
  <si>
    <t>Total water treated at all GW simple disinfection works</t>
  </si>
  <si>
    <t>CPMW0027</t>
  </si>
  <si>
    <t>4P.37</t>
  </si>
  <si>
    <t>Total water treated at all GW1 works</t>
  </si>
  <si>
    <t>CPMW0033</t>
  </si>
  <si>
    <t>4P.38</t>
  </si>
  <si>
    <t>Total water treated at all GW2 works</t>
  </si>
  <si>
    <t>CPMW0039</t>
  </si>
  <si>
    <t>4P.39</t>
  </si>
  <si>
    <t>Total water treated at all GW3 works</t>
  </si>
  <si>
    <t>CPMW0045</t>
  </si>
  <si>
    <t>4P.40</t>
  </si>
  <si>
    <t>Total water treated at all GW4 works</t>
  </si>
  <si>
    <t>CPMW0185</t>
  </si>
  <si>
    <t>4P.41</t>
  </si>
  <si>
    <t>Total water treated at all GW5 works</t>
  </si>
  <si>
    <t>CPMW0197</t>
  </si>
  <si>
    <t>4P.42</t>
  </si>
  <si>
    <t>Total water treated at all GW6 works</t>
  </si>
  <si>
    <t>CPMW0198</t>
  </si>
  <si>
    <t>4P.43</t>
  </si>
  <si>
    <t>Total water treated at more than one type of works</t>
  </si>
  <si>
    <t>CPMW001A</t>
  </si>
  <si>
    <t>4P.44</t>
  </si>
  <si>
    <t>Total number of SW simple disinfection works</t>
  </si>
  <si>
    <t>CPMW0015</t>
  </si>
  <si>
    <t>4P.45</t>
  </si>
  <si>
    <t>Total number of SW1 works</t>
  </si>
  <si>
    <t>BN10491</t>
  </si>
  <si>
    <t>4P.46</t>
  </si>
  <si>
    <t>Total number of SW2 works</t>
  </si>
  <si>
    <t>BN10490</t>
  </si>
  <si>
    <t>4P.47</t>
  </si>
  <si>
    <t>Total number of SW3 works</t>
  </si>
  <si>
    <t>BN10590</t>
  </si>
  <si>
    <t>4P.48</t>
  </si>
  <si>
    <t>Total number of SW4 works</t>
  </si>
  <si>
    <t>BN10597</t>
  </si>
  <si>
    <t>4P.49</t>
  </si>
  <si>
    <t>Total number of SW5 works</t>
  </si>
  <si>
    <t>BN10598</t>
  </si>
  <si>
    <t>4P.50</t>
  </si>
  <si>
    <t>Total number of SW6 works</t>
  </si>
  <si>
    <t>BN10599</t>
  </si>
  <si>
    <t>4P.51</t>
  </si>
  <si>
    <t>Total number of GW simple disinfection works</t>
  </si>
  <si>
    <t>CPMW0021</t>
  </si>
  <si>
    <t>4P.52</t>
  </si>
  <si>
    <t>Total number of GW1 works</t>
  </si>
  <si>
    <t>BN10791</t>
  </si>
  <si>
    <t>4P.53</t>
  </si>
  <si>
    <t>Total number of GW2 works</t>
  </si>
  <si>
    <t>BN10790</t>
  </si>
  <si>
    <t>4P.54</t>
  </si>
  <si>
    <t>Total number of GW3 works</t>
  </si>
  <si>
    <t>BN10890</t>
  </si>
  <si>
    <t>4P.55</t>
  </si>
  <si>
    <t>Total number of GW4 works</t>
  </si>
  <si>
    <t>BN10897</t>
  </si>
  <si>
    <t>4P.56</t>
  </si>
  <si>
    <t>Total number of GW5 works</t>
  </si>
  <si>
    <t>BN10898</t>
  </si>
  <si>
    <t>4P.57</t>
  </si>
  <si>
    <t>Total number of GW6 works</t>
  </si>
  <si>
    <t>BN10899</t>
  </si>
  <si>
    <t>4P.58</t>
  </si>
  <si>
    <t>Number of treatment works requiring remedial action because of raw water deterioration</t>
  </si>
  <si>
    <t>W4005</t>
  </si>
  <si>
    <t>4P.59</t>
  </si>
  <si>
    <t>Zonal population receiving water treated with orthophosphate</t>
  </si>
  <si>
    <t>BN10901</t>
  </si>
  <si>
    <t>4P.60</t>
  </si>
  <si>
    <t>Average pumping head – water treatment</t>
  </si>
  <si>
    <t>BN10902</t>
  </si>
  <si>
    <t>Water distribution</t>
  </si>
  <si>
    <t>4P.61</t>
  </si>
  <si>
    <t>Total length of potable mains as at 31 March</t>
  </si>
  <si>
    <t>BN1100</t>
  </si>
  <si>
    <t>4P.62</t>
  </si>
  <si>
    <t>Total length of potable mains relined</t>
  </si>
  <si>
    <t>BN1204</t>
  </si>
  <si>
    <t>4P.63</t>
  </si>
  <si>
    <t>Total length of potable mains renewed</t>
  </si>
  <si>
    <t>BN1200</t>
  </si>
  <si>
    <t>4P.64</t>
  </si>
  <si>
    <t>Total length of new potable mains</t>
  </si>
  <si>
    <t>BN1208</t>
  </si>
  <si>
    <t>4P.65</t>
  </si>
  <si>
    <t>Total length of potable water mains (&lt;=320mm)</t>
  </si>
  <si>
    <t>BN14990</t>
  </si>
  <si>
    <t>4P.66</t>
  </si>
  <si>
    <t>Total length of potable water mains &gt;320mm - &lt;=450mm</t>
  </si>
  <si>
    <t>BN14890</t>
  </si>
  <si>
    <t>4P.67</t>
  </si>
  <si>
    <t>Total length of potable water mains &gt;450mm - &lt;=610mm</t>
  </si>
  <si>
    <t>BN14790</t>
  </si>
  <si>
    <t>4P.68</t>
  </si>
  <si>
    <t>Total length of potable water mains  &gt; 610mm</t>
  </si>
  <si>
    <t>BN14690</t>
  </si>
  <si>
    <t>4P.69</t>
  </si>
  <si>
    <t>Capacity of booster pumping stations</t>
  </si>
  <si>
    <t>BN11300CAP</t>
  </si>
  <si>
    <t>4P.70</t>
  </si>
  <si>
    <t>Capacity of service reservoirs</t>
  </si>
  <si>
    <t>BN10900CAP</t>
  </si>
  <si>
    <t>4P.71</t>
  </si>
  <si>
    <t>Capacity of water towers</t>
  </si>
  <si>
    <t>BN11030CAP</t>
  </si>
  <si>
    <t>4P.72</t>
  </si>
  <si>
    <t>4P.73</t>
  </si>
  <si>
    <t>Water delivered (non-potable)</t>
  </si>
  <si>
    <t>BN2350</t>
  </si>
  <si>
    <t>4P.74</t>
  </si>
  <si>
    <t>Water delivered (potable)</t>
  </si>
  <si>
    <t>BN2330</t>
  </si>
  <si>
    <t>4P.75</t>
  </si>
  <si>
    <t>Water delivered (billed measured residential)</t>
  </si>
  <si>
    <t>BN2000</t>
  </si>
  <si>
    <t>4P.76</t>
  </si>
  <si>
    <t>Water delivered (billed measured business)</t>
  </si>
  <si>
    <t>BN2010</t>
  </si>
  <si>
    <t>4P.77</t>
  </si>
  <si>
    <t>Total leakage</t>
  </si>
  <si>
    <t>BN2345</t>
  </si>
  <si>
    <t>4P.78</t>
  </si>
  <si>
    <t>Distribution losses</t>
  </si>
  <si>
    <t>BN2340</t>
  </si>
  <si>
    <t>4P.79</t>
  </si>
  <si>
    <t>Water taken unbilled</t>
  </si>
  <si>
    <t>BN2327</t>
  </si>
  <si>
    <t>4P.80</t>
  </si>
  <si>
    <t>Number of lead communication pipes</t>
  </si>
  <si>
    <t>BN11600</t>
  </si>
  <si>
    <t>4P.81</t>
  </si>
  <si>
    <t>Number of galvanised iron communication pipes</t>
  </si>
  <si>
    <t>BN11610</t>
  </si>
  <si>
    <t>4P.82</t>
  </si>
  <si>
    <t>Number of other communication pipes</t>
  </si>
  <si>
    <t>BN11620</t>
  </si>
  <si>
    <t>4P.83</t>
  </si>
  <si>
    <t>Number of booster pumping stations</t>
  </si>
  <si>
    <t>BN11390</t>
  </si>
  <si>
    <t>4P.84</t>
  </si>
  <si>
    <t>Total number of service reservoirs</t>
  </si>
  <si>
    <t>BN10990</t>
  </si>
  <si>
    <t>4P.85</t>
  </si>
  <si>
    <t>Number of water towers</t>
  </si>
  <si>
    <t>BN11090</t>
  </si>
  <si>
    <t>4P.86</t>
  </si>
  <si>
    <t>Total length of potable mains laid or structurally refurbished pre-1880</t>
  </si>
  <si>
    <t>BB13000</t>
  </si>
  <si>
    <t>4P.87</t>
  </si>
  <si>
    <t>Total length of potable mains laid or structurally refurbished between 1881 and 1900</t>
  </si>
  <si>
    <t>BB13010</t>
  </si>
  <si>
    <t>4P.88</t>
  </si>
  <si>
    <t>Total length of potable mains laid or structurally refurbished between 1901 and 1920</t>
  </si>
  <si>
    <t>BB13020</t>
  </si>
  <si>
    <t>4P.89</t>
  </si>
  <si>
    <t>Total length of potable mains laid or structurally refurbished between 1921 and 1940</t>
  </si>
  <si>
    <t>BB13030</t>
  </si>
  <si>
    <t>4P.90</t>
  </si>
  <si>
    <t>Total length of potable mains laid or structurally refurbished between 1941 and 1960</t>
  </si>
  <si>
    <t>BB13040</t>
  </si>
  <si>
    <t>4P.91</t>
  </si>
  <si>
    <t>Total length of potable mains laid or structurally refurbished between 1961 and 1980</t>
  </si>
  <si>
    <t>BB13050</t>
  </si>
  <si>
    <t>4P.92</t>
  </si>
  <si>
    <t>Total length of potable mains laid or structurally refurbished between 1981 and 2000</t>
  </si>
  <si>
    <t>BB13060</t>
  </si>
  <si>
    <t>4P.93</t>
  </si>
  <si>
    <t>Total length of potable mains laid or structurally refurbished post 2001</t>
  </si>
  <si>
    <t>BB13070</t>
  </si>
  <si>
    <t>4P.94</t>
  </si>
  <si>
    <t>Average pumping head – treated water distribution</t>
  </si>
  <si>
    <t>BN4870</t>
  </si>
  <si>
    <t>Band Disclosure (nr)</t>
  </si>
  <si>
    <t>4P.95</t>
  </si>
  <si>
    <t>WTWs in size band 1</t>
  </si>
  <si>
    <t>WTW001NR</t>
  </si>
  <si>
    <t>Nr</t>
  </si>
  <si>
    <t>4P.96</t>
  </si>
  <si>
    <t>WTWs in size band 2</t>
  </si>
  <si>
    <t>WTW002NR</t>
  </si>
  <si>
    <t>4P.97</t>
  </si>
  <si>
    <t>WTWs in size band 3</t>
  </si>
  <si>
    <t>WTW003NR</t>
  </si>
  <si>
    <t>4P.98</t>
  </si>
  <si>
    <t>WTWs in size band 4</t>
  </si>
  <si>
    <t>WTW004NR</t>
  </si>
  <si>
    <t>4P.99</t>
  </si>
  <si>
    <t>WTWs in size band 5</t>
  </si>
  <si>
    <t>WTW005NR</t>
  </si>
  <si>
    <t>4P.100</t>
  </si>
  <si>
    <t>WTWs in size band 6</t>
  </si>
  <si>
    <t>WTW006NR</t>
  </si>
  <si>
    <t>4P.101</t>
  </si>
  <si>
    <t>WTWs in size band 7</t>
  </si>
  <si>
    <t>WTW007NR</t>
  </si>
  <si>
    <t>4P.102</t>
  </si>
  <si>
    <t>WTWs in size band 8</t>
  </si>
  <si>
    <t>WTW008NR</t>
  </si>
  <si>
    <t>Band Disclosure (%)</t>
  </si>
  <si>
    <t>4P.103</t>
  </si>
  <si>
    <t>Proportion of Total DI band 1</t>
  </si>
  <si>
    <t>WTW001PN</t>
  </si>
  <si>
    <t>4P.104</t>
  </si>
  <si>
    <t>Proportion of Total DI band 2</t>
  </si>
  <si>
    <t>WTW002PN</t>
  </si>
  <si>
    <t>4P.105</t>
  </si>
  <si>
    <t>Proportion of Total DI band 3</t>
  </si>
  <si>
    <t>WTW003PN</t>
  </si>
  <si>
    <t>4P.106</t>
  </si>
  <si>
    <t>Proportion of Total DI band 4</t>
  </si>
  <si>
    <t>WTW004PN</t>
  </si>
  <si>
    <t>4P.107</t>
  </si>
  <si>
    <t>Proportion of Total DI band 5</t>
  </si>
  <si>
    <t>WTW005PN</t>
  </si>
  <si>
    <t>4P.108</t>
  </si>
  <si>
    <t>Proportion of Total DI band 6</t>
  </si>
  <si>
    <t>WTW006PN</t>
  </si>
  <si>
    <t>4P.109</t>
  </si>
  <si>
    <t>Proportion of Total DI band 7</t>
  </si>
  <si>
    <t>WTW007PN</t>
  </si>
  <si>
    <t>4P.110</t>
  </si>
  <si>
    <t>Proportion of Total DI band 8</t>
  </si>
  <si>
    <t>WTW008PN</t>
  </si>
  <si>
    <t>Proportion of distribution input derived from impounding (gravity fed) reservoirs, including bulk supply. Operational sources from which no water has been obtained in the report year should not be included in the number of sources</t>
  </si>
  <si>
    <t xml:space="preserve">Proportion of distribution input derived from pumped storage reservoirs including bulk supply. Operational sources from which no water has been obtained in the report year should not be included in the number of sources. Please refer to additional guidance relating to number of sources.
Pumped storage reservoirs will receive an element of gravity flow.  If this flow makes a material contribution (&gt;20%) to the volume of the reservoir the distribution input from this source should be allocated proportionally between the two reservoir types.  When reporting source numbers the source should be allocated according to the type of flow that delivers the larger part of the reservoir’s input.  For example, if 60% of the reservoir’s volume is pumped river water the source should be counted as a pumped storage source. </t>
  </si>
  <si>
    <t>Proportion of distribution input derived from river abstractions including bulk supply. Operational sources from which no water has been obtained in the report year should not be included in the number of sources. Please refer to additional guidance relating to number of sources</t>
  </si>
  <si>
    <t>Proportion of distribution input derived from groundwater works including bulk supply, but excluding managed aquifer recharge (MAR) water supply schemes. Operational sources from which no water has been obtained in the report year should not be included in the number of sources.  Please refer to additional guidance relating to number of sources.</t>
  </si>
  <si>
    <t>Proportion of distribution input derived from AR supply schemes including bulk supply. AR schemes are a subset of managed aquifer recharge (MAR) schemes, which functions by recharging an aquifer before or after abstraction.  The water abstracted is not necessarily the water that  has been recharged, so the water can be of natural quality and require more complex treatment. This excludes aquifer storage and recovery (ASR) water supply schemes (see line below)</t>
  </si>
  <si>
    <t>Proportion of distribution input derived from ASR supply schemes including bulk supply. ASR schemes are a subset of managed aquifer recharge (MAR) schemes, which functions by recharging an aquifer, storing that water and maintaining its quality.  The aim is to enable simple and less costly treatment of the re-abstracted water, and that the water recharged is predominantly the water that is re-abstracted. This excludes artificial recharge (AR) water supply schemes (see line above)</t>
  </si>
  <si>
    <t>Proportion of distribution input derived from saline abstractions including bulk supply. Operational sources from which no water has been obtained in the report year should not be included in the number of sources.</t>
  </si>
  <si>
    <t>Proportion of distribution input derived from reuse schemes. Direct effluent reuse, not returned to the environment.</t>
  </si>
  <si>
    <t>Number of sources of impounding reservoirs. Please refer to additional guidance in line 16 relating to number of sources</t>
  </si>
  <si>
    <t xml:space="preserve">Number of sources of pumped storage reservoirs. Please refer to additional guidance in line 16 relating to number of sources.
Pumped storage reservoirs will receive an element of gravity flow. The source should be allocated according to the type of flow that delivers the larger part of the reservoir’s input.  For example, if 60% of the reservoir’s volume is pumped river water the source should be counted as a pumped storage source. </t>
  </si>
  <si>
    <t>Number of sources of river abstractions. Please refer to additional guidance in line 16 relating to number of sources</t>
  </si>
  <si>
    <t>Number of sources of groundwater works, excluding MAR water supply schemes. Please refer to additional guidance in line 16 relating to number of sources. For detailed definitions of water supply schemes, see associated data lines for distribution input.</t>
  </si>
  <si>
    <t>Number of sources of AR water supply schemes. Please refer to additional guidance in line 16 relating to number of sources. For detailed definitions of water supply schemes, see associated data lines for distribution input.</t>
  </si>
  <si>
    <t>Number of sources of ASR water supply schemes. Please refer to additional guidance in line 16 relating to number of sources. For detailed definitions of water supply schemes, see associated data lines for distribution input.</t>
  </si>
  <si>
    <t>Total number of sources of saline abstraction schemes. Please refer to additional guidance in line 4P.16 relating to number of sources</t>
  </si>
  <si>
    <t>The total number of sources operated by a company. This should equal the sum of lines 9 to 15.
Subject to the relevant appendix in RAG4 a source is defined as an independent raw water supply that directly supplies a treatment works, such as impounding reservoirs, river abstractions and groundwater works. Standby or mothballed sources from which no water has been obtained in the year should not be included.</t>
  </si>
  <si>
    <t>Total number of reuse schemes. Do not include in number of sources (line 16).</t>
  </si>
  <si>
    <t>All reservoirs used for holding raw water. This line shall include impounding reservoirs, pumped storage reservoirs and bank side storage facilities.</t>
  </si>
  <si>
    <t>Total design/construction capacity of all reservoirs used for holding raw water. This line shall include impounding reservoirs, pumped storage reservoirs and bank side storage facilities.</t>
  </si>
  <si>
    <t>The total number of intake, raw water transport and source pumping stations associated with potable, non-potable and raw water systems. For the avoidance of doubt this is the number of sites as opposed to the number of individual pumps.</t>
  </si>
  <si>
    <t>Total number of number of raw water transport stations. For the avoidance of doubt this is the number of sites as opposed to the number of individual pumps.</t>
  </si>
  <si>
    <t>Total kW's of all abstraction pumpsets (duty, assist and standby - irrespective of the number that may be working at any one time) associated with Raw water abstraction. Refer to RAG 2 Appendix 2 for proportional allocation.</t>
  </si>
  <si>
    <t>Total kW's of all transfer pumpsets (duty, assist and standby - irrespective of the number that may be working at any one time) associated with Raw water transfer.</t>
  </si>
  <si>
    <t>The length of all mains or other conveyors associated with raw water abstraction either between water resources defined assets (eg a river intake pumping station and a surface water reservoir) or between the sources or from source and the first water resource asset. Include all green coloured pipework in the examples given in Appendix 2 of RAG4.07.</t>
  </si>
  <si>
    <t>Average pumping head for the raw water abstraction business unit as defined in RAG 4 and RAG 2. This is to be calculated using actual pumping head rather than the rating of the pumps.</t>
  </si>
  <si>
    <t>Average pumping head for the raw water transport business unit as defined in RAG 4 and RAG 2. This is to be calculated using actual pumping head rather than the rating of the pumps.</t>
  </si>
  <si>
    <t>The length of all raw and pre-treated (non-potable) water mains. Include i) all amber coloured pipework in the examples given in Appendix 2 of RAG4.07, ii) raw water and pre-treated (non-potable) mains which deliver non-potable water to the end customer or a 3rd party water company, and iii) partially treated water mains which deliver non-potable water to the end customer (eg industrial process water and fire-fighting mains) or a 3rd party water company. Exclude raw water abstraction mains and other conveyors reported in 4P.24 and raw and partially treated water mains that are situated within the boundaries of the water treatment service.</t>
  </si>
  <si>
    <t>The company level water resources capacity, which should be the sum of all company water resource zones (WRZs) across all of its licensed areas.
Capacity is measured in terms of water resources yield which captures the average volume of water available from the environment and constrained by water resources control assets. See RAG 4.08 Appendix 2 for guidance on the calculation of water resources yield.</t>
  </si>
  <si>
    <t>The average daily distribution input derived from surface water works providing simple disinfection and pre-aeration only. Bulk supplies received should be included and bulk exports should be omitted.</t>
  </si>
  <si>
    <t>The average daily distribution input derived from surface water works providing simple physical treatment only. Bulk supplies received should be included and bulk exports should be omitted.</t>
  </si>
  <si>
    <t>The average daily distribution input derived from surface water works providing single stage complex physical or chemical treatment but excluding processes in W4, W5 &amp; W6. Bulk supplies received should be included and bulk exports should be omitted.</t>
  </si>
  <si>
    <t>The average daily distribution input derived from surface water works providing more than one stage of complex treatment but excluding processes in W4, W5 &amp; W6. Bulk supplies received should be included and bulk exports should be omitted.</t>
  </si>
  <si>
    <t>The average daily distribution input derived from surface water works providing one of the processes with very high operating costs. Bulk supplies received should be included and bulk exports should be omitted.</t>
  </si>
  <si>
    <t>The average daily distribution input derived from surface water works providing two or more of the processes with very high operating costs. Bulk supplies received should be included and bulk exports should be omitted.</t>
  </si>
  <si>
    <t>The average daily distribution input derived from surface water works providing processes with extremely high operating costs. Bulk supplies received should be included and bulk exports should be omitted.</t>
  </si>
  <si>
    <t>The average daily distribution input derived from ground water works providing simple physical treatment only. Bulk supplies received should be included and bulk exports should be omitted.</t>
  </si>
  <si>
    <t>The average daily distribution input derived from ground water works providing single stage complex physical or chemical treatment but excluding processes in W4, W5 &amp; W6. Bulk supplies received should be included and bulk exports should be omitted.</t>
  </si>
  <si>
    <t>The average daily distribution input derived from ground water works providing more than one stage of complex treatment but excluding processes in W4, W5 &amp; W6. Bulk supplies received should be included and bulk exports should be omitted.</t>
  </si>
  <si>
    <t>The average daily distribution input derived from ground water works providing one of the processes with very high operating costs. Bulk supplies received should be included and bulk exports should be omitted.</t>
  </si>
  <si>
    <t>The average daily distribution input derived from ground water works providing two or more of the processes with very high operating costs. Bulk supplies received should be included and bulk exports should be omitted.</t>
  </si>
  <si>
    <t>The average daily distribution input derived from ground water works providing processes with extremely high operating costs. Bulk supplies received should be included and bulk exports should be omitted.</t>
  </si>
  <si>
    <t>Where water is treated at more than one type of works shown in lines 24 to 37 above, the average daily input which is recorded more than once in rows 24 to 37 above, entered as a negative.</t>
  </si>
  <si>
    <t>Total number of surface water works providing simple disinfection and pre-aeration only</t>
  </si>
  <si>
    <t>Total number of surface water works providing simple physical treatment only</t>
  </si>
  <si>
    <t>Total number of surface water works providing single stage complex physical or chemical treatment but excluding processes in W4, W5 &amp; W6</t>
  </si>
  <si>
    <t>Total number of surface water works providing more than one stage of complex treatment but excluding processes in W4, W5 &amp; W6</t>
  </si>
  <si>
    <t>Total number of surface water works providing one of the processes with very high operating costs</t>
  </si>
  <si>
    <t>Total number of surface water works providing two or more of the processes with very high operating costs</t>
  </si>
  <si>
    <t>Total number of surface water works providing processes with extremely high operating costs</t>
  </si>
  <si>
    <t>Total number of ground water works providing simple disinfection and pre-aeration only</t>
  </si>
  <si>
    <t>Total number of ground water works providing simple physical treatment only</t>
  </si>
  <si>
    <t>Total number of ground water works providing single stage complex physical or chemical treatment but excluding processes in W4, W5 &amp; W6</t>
  </si>
  <si>
    <t>Total number of ground water works providing more than one stage of complex treatment but excluding processes in W4, W5 &amp; W6</t>
  </si>
  <si>
    <t>Total number of ground water works providing one of the processes with very high operating costs</t>
  </si>
  <si>
    <t>Total number of ground water works providing two or more of the processes with very high operating costs</t>
  </si>
  <si>
    <t>Total number of ground water works providing processes with extremely high operating costs</t>
  </si>
  <si>
    <t>The number of water treatment works that require remedial action because of raw water deterioration. All works should be supported by the drinking water inspectorate (DWI) or in the case of planned activity be proposed to the DWI. The works should be included in the year the substantive activity is planned to take place.</t>
  </si>
  <si>
    <t>Zonal population receiving water treated with orthophosphate, in thousands</t>
  </si>
  <si>
    <t>Average pumping head for the Treatment business unit as defined in RAG 4 and RAG 2. This is to be calculated using actual pumping head rather than the rating of the pumps.</t>
  </si>
  <si>
    <t>Treatment type guidance</t>
  </si>
  <si>
    <t xml:space="preserve">This section covers the proportion of distribution input derived from works falling into each category of water treatment and the numbers of works in each category as detailed in the table. </t>
  </si>
  <si>
    <t>The proportions entered in lines 1 to 8 should sum to unity. The proportion of water in each source category is a measure of how difficult a company's water is to treat. When classifying the water into one of the categories, the following guidelines should be followed.
• Water abstracted from boreholes or springs and pumped directly to a treatment works should be classified as borehole water.
• Water abstracted from a river and transported directly to a treatment works (either by pumping or by gravity) should be classified as river water.
• Water that is transported directly to a treatment works from a reservoir which has been filled by a river should be classified as water from reservoirs (this is because, in general, while the water is stored in the reservoir, sediments will settle making the water easier to treat).
• Water that is transported from a reservoir, via a river, to a treatment works should be classified as water from a river.
If multiple sources feed a works (for example a river and a number of boreholes) and the flow from these sources is combined prior to treatment, then all of the flow entering the works can be categorised as the more difficult to treat water. (In this example, all of the water would be categorised as river water.)</t>
  </si>
  <si>
    <t>For Water Treatment, rows 29 to 60:</t>
  </si>
  <si>
    <t xml:space="preserve">For both groundwater and surface water, a works is here defined as an individual location which receives raw or partially treated water for treatment (excluding secondary disinfection) and direct delivery to customers. 
For the avoidance of doubt:
• if the output of a site needs to be blended so as to be come potable, then that site in itself is not defined as a works. However, where the total treatment process is split between a number of sites, The DI entering treated distribution should be split pro rata between bands based on the volumes treated at the individual sites. </t>
  </si>
  <si>
    <t>• the pre-aeration of deep borehole water is included in category SD,correction</t>
  </si>
  <si>
    <t>• Companies should include in Lines 44-57 water treatment works that have not been used in the year but have not been decommissioned and state in their commentary any instances where this is the case.</t>
  </si>
  <si>
    <t>The total length of potable water mains on 31 March of report year</t>
  </si>
  <si>
    <t>Total length of potable mains relined in report year. Include all spray applied lining.</t>
  </si>
  <si>
    <t>Total length of potable mains renewed in report year. Include mains whose prime purpose is renewal of an existing main, even where existing main remains in service (i.e. is not abandoned immediately on commissioning of new main). Include mains sleeving/pipe cracking/sliplining where used for this category of work.</t>
  </si>
  <si>
    <t>Total length of new potable mains laid in report year. Include new mains and mains renewals involving upsizing, whose prime justification is the requirement for additional capacity.</t>
  </si>
  <si>
    <t>The length of all potable water mains less than or equal to 320mm. Include all elements of trunk and distribution assets and system ancillaries. Include facilities intended for standby and emergency supplies.</t>
  </si>
  <si>
    <t>The length of all potable water mains greater than 320mm up to and including 450mm Include all elements of trunk and distribution assets and system ancillaries. Include facilities intended for standby and emergency supplies.</t>
  </si>
  <si>
    <t>The length of all potable water mains greater than 450mm up to and including 610mm Include all elements of trunk and distribution assets and system ancillaries. Include facilities intended for standby and emergency supplies.</t>
  </si>
  <si>
    <t>The length of all potable water mains greater than 610mm. Include all elements of trunk and distribution assets and system ancillaries. Include facilities intended for standby and emergency supplies.</t>
  </si>
  <si>
    <t>Total kW's of all treated water pumpsets (duty, assist and standby - irrespective of the number that may be working at any one time) associated with Treated water distribution (into and within). Refer to RAG 2 Appendix 2 for proportional allocation.</t>
  </si>
  <si>
    <t>The installed design/constructed capacity of treated water service reservoirs within the water supply system including treated water reservoirs at water treatment works and any secondary disinfection plant on reservoir sites. Include break pressure tanks. Exclude decommissioned assets.</t>
  </si>
  <si>
    <t>The installed design/constructed capacity of treated water storage towers within the water supply system. Exclude decommissioned assets.</t>
  </si>
  <si>
    <t>Distribution input is the average amount of potable water entering the distribution system. Please refer to the additional guidance for a diagrammatic representation of what this should include.</t>
  </si>
  <si>
    <t>All non-potable water supplied as part of the appointed business. Include all non-potable water charged at standard and non-standard rates.</t>
  </si>
  <si>
    <t xml:space="preserve">All potable water supplied as part of the appointed business. This includes:                                                                                                                                                                                                    
a) the average volume of water delivered for billed measured residential and businesses;
b) the estimated volume of water delivered for billed unmeasured residential and businesses;
c) supply pipe leakage; 
meter under registration for water delivered which is measured
d) unbilled water taken legally for legitimate purposes (public supplies for which no charge is made e.g. some sewer flushing etc, uncharged church supplies, fire training and fire-fighting supplies where these are not charged irrespective of whether or not they are metered). Do not include volumes associated with leakage allowance rebates to metered customers;
e) water taken illegally providing it is based on actual occurrences using sound and auditable identification and recording procedures (if not this should be treated as distribution losses and excluded from this line). </t>
  </si>
  <si>
    <t>Check para lettering in RAG 4.08</t>
  </si>
  <si>
    <t>Average volume of water delivered to residential properties which is measured (Ml/d). This is to include supply pipe leakage and meter under-registration. Additional meters fitted to measured residential properties for ancillary supplies (e.g. external hosepipes) which are non-commercial are to be included, as should any fitted to unmeasured residential properties if this is how revenue is allocated. Exclude miscellaneous use (Distribution system operational use, Water taken legally unbilled and Water taken illegally unbilled).</t>
  </si>
  <si>
    <t>Average volume of water delivered to businesses which is measured (Ml/d). This is to include supply pipe leakage and meter under-registration. Additional meters fitted to measured businesses for ancillary supplies (e.g. external hosepipes) which are non-commercial are to be included, as should any fitted to unmeasured businesses if this is how revenue is allocated. Exclude miscellaneous use (Distribution system operational use, Water taken legally unbilled and Water taken illegally unbilled).</t>
  </si>
  <si>
    <t>Total leakage measures the sum of distribution losses and supply pipe losses in megalitres per day (Ml/d). It includes any uncontrolled losses between the treatment works and the customer’s stop tap. It does not include internal plumbing losses.</t>
  </si>
  <si>
    <t xml:space="preserve">Distribution losses represent the losses on the company's potable water distribution system and so excludes supply pipe leakage. </t>
  </si>
  <si>
    <t>Total water taken unbilled (whether legally or illegally). Water used by the company for mains tests, flushing, washouts, running to waste, or incurred through burst mains or other leakage should be excluded.</t>
  </si>
  <si>
    <t>The total number of lead communication pipes within the undertaker's supply area.</t>
  </si>
  <si>
    <t>The total number of galvanised iron communication pipes within the undertaker's supply area.</t>
  </si>
  <si>
    <t>The total number of other (excluding lead &amp; galvanised iron) communication pipes within the undertaker's supply area.</t>
  </si>
  <si>
    <t>The number of booster pumping stations within the distribution system (potable only). Include those relating to peak network capacity provision and those designed to provide resilience and back up for pump failure.</t>
  </si>
  <si>
    <t>RAG 4.08 description appears incomplete</t>
  </si>
  <si>
    <t>The number of treated water service reservoirs within the water supply system including treated water reservoirs at water treatment works and any secondary disinfection plant on reservoir sites. Include break pressure tanks. Exclude decommissioned assets. A single structure divided into separate cells counts as one reservoir.</t>
  </si>
  <si>
    <t>The number of treated water service towers within the water supply system. Exclude decommissioned assets.</t>
  </si>
  <si>
    <t>Total length of mains laid or structurally refurbished pre-1880</t>
  </si>
  <si>
    <t>Total length of mains laid or structurally refurbished between 1881 and 1900</t>
  </si>
  <si>
    <t>Total length of mains laid or structurally refurbished between 1901 and 1920</t>
  </si>
  <si>
    <t>Total length of mains laid or structurally refurbished between 1921 and 1940</t>
  </si>
  <si>
    <t>Total length of mains laid or structurally refurbished between 1941 and 1960</t>
  </si>
  <si>
    <t>Total length of mains laid or structurally refurbished between 1961 and 1980</t>
  </si>
  <si>
    <t>Total length of mains laid or structurally refurbished between 1981 and 2000</t>
  </si>
  <si>
    <t>Total length of mains laid or structurally refurbished post 2001</t>
  </si>
  <si>
    <t>Average pumping head for the treated water distribution business unit as defined in RAG 4 and RAG 2 This is to be calculated using actual pumping head rather than the rating of the pumps.</t>
  </si>
  <si>
    <t>95 - 102</t>
  </si>
  <si>
    <t>Please disclose the number of WTW for each banding. See Additional Guidance.</t>
  </si>
  <si>
    <t>103 - 110</t>
  </si>
  <si>
    <t>Please disclose the the proportion (%) of Total DI for each banding. See Additional Guidance</t>
  </si>
  <si>
    <t>The categories of treatment types are:</t>
  </si>
  <si>
    <t>Examples</t>
  </si>
  <si>
    <t>SD: Works providing simple disinfection only;</t>
  </si>
  <si>
    <r>
      <rPr>
        <sz val="10"/>
        <color indexed="8"/>
        <rFont val="Symbol"/>
        <family val="1"/>
        <charset val="2"/>
      </rPr>
      <t>·</t>
    </r>
    <r>
      <rPr>
        <sz val="7"/>
        <color indexed="8"/>
        <rFont val="Times New Roman"/>
        <family val="1"/>
      </rPr>
      <t xml:space="preserve">   </t>
    </r>
    <r>
      <rPr>
        <sz val="10"/>
        <color indexed="8"/>
        <rFont val="Arial"/>
        <family val="2"/>
      </rPr>
      <t xml:space="preserve">Marginal chlorination
</t>
    </r>
    <r>
      <rPr>
        <sz val="10"/>
        <color indexed="8"/>
        <rFont val="Symbol"/>
        <family val="1"/>
        <charset val="2"/>
      </rPr>
      <t>·</t>
    </r>
    <r>
      <rPr>
        <sz val="10"/>
        <color indexed="8"/>
        <rFont val="Arial"/>
        <family val="2"/>
      </rPr>
      <t>   Pre-aeration</t>
    </r>
  </si>
  <si>
    <t xml:space="preserve">W1:  Simple disinfection plus simple physical treatment only;   </t>
  </si>
  <si>
    <r>
      <rPr>
        <sz val="10"/>
        <color indexed="8"/>
        <rFont val="Symbol"/>
        <family val="1"/>
        <charset val="2"/>
      </rPr>
      <t>·</t>
    </r>
    <r>
      <rPr>
        <sz val="7"/>
        <color indexed="8"/>
        <rFont val="Times New Roman"/>
        <family val="1"/>
      </rPr>
      <t>   </t>
    </r>
    <r>
      <rPr>
        <sz val="10"/>
        <color indexed="8"/>
        <rFont val="Arial"/>
        <family val="2"/>
      </rPr>
      <t xml:space="preserve">Rapid gravity filtration
</t>
    </r>
    <r>
      <rPr>
        <sz val="10"/>
        <color indexed="8"/>
        <rFont val="Symbol"/>
        <family val="1"/>
        <charset val="2"/>
      </rPr>
      <t>·</t>
    </r>
    <r>
      <rPr>
        <sz val="10"/>
        <color indexed="8"/>
        <rFont val="Arial"/>
        <family val="2"/>
      </rPr>
      <t xml:space="preserve">   Slow sand filtration
</t>
    </r>
    <r>
      <rPr>
        <sz val="10"/>
        <color indexed="8"/>
        <rFont val="Symbol"/>
        <family val="1"/>
        <charset val="2"/>
      </rPr>
      <t>·</t>
    </r>
    <r>
      <rPr>
        <sz val="10"/>
        <color indexed="8"/>
        <rFont val="Arial"/>
        <family val="2"/>
      </rPr>
      <t>   Pressure filtration</t>
    </r>
  </si>
  <si>
    <t>W2: Single stage complex physical or chemical treatment;
W3: More than one stage of complex treatment; but excluding processes in W4, W5 or W6.</t>
  </si>
  <si>
    <r>
      <rPr>
        <sz val="9"/>
        <color indexed="8"/>
        <rFont val="Symbol"/>
        <family val="1"/>
        <charset val="2"/>
      </rPr>
      <t>·</t>
    </r>
    <r>
      <rPr>
        <sz val="9"/>
        <color indexed="8"/>
        <rFont val="Arial"/>
        <family val="2"/>
      </rPr>
      <t xml:space="preserve"> </t>
    </r>
    <r>
      <rPr>
        <sz val="7"/>
        <color indexed="8"/>
        <rFont val="Times New Roman"/>
        <family val="1"/>
      </rPr>
      <t>  </t>
    </r>
    <r>
      <rPr>
        <sz val="10"/>
        <color indexed="8"/>
        <rFont val="Arial"/>
        <family val="2"/>
      </rPr>
      <t xml:space="preserve">Super chlorination
</t>
    </r>
    <r>
      <rPr>
        <sz val="10"/>
        <color indexed="8"/>
        <rFont val="Symbol"/>
        <family val="1"/>
        <charset val="2"/>
      </rPr>
      <t>·</t>
    </r>
    <r>
      <rPr>
        <sz val="10"/>
        <color indexed="8"/>
        <rFont val="Arial"/>
        <family val="2"/>
      </rPr>
      <t xml:space="preserve">   Coagulation
</t>
    </r>
    <r>
      <rPr>
        <sz val="10"/>
        <color indexed="8"/>
        <rFont val="Symbol"/>
        <family val="1"/>
        <charset val="2"/>
      </rPr>
      <t>·</t>
    </r>
    <r>
      <rPr>
        <sz val="10"/>
        <color indexed="8"/>
        <rFont val="Arial"/>
        <family val="2"/>
      </rPr>
      <t xml:space="preserve">   Flocculation
</t>
    </r>
    <r>
      <rPr>
        <sz val="10"/>
        <color indexed="8"/>
        <rFont val="Symbol"/>
        <family val="1"/>
        <charset val="2"/>
      </rPr>
      <t>·</t>
    </r>
    <r>
      <rPr>
        <sz val="10"/>
        <color indexed="8"/>
        <rFont val="Arial"/>
        <family val="2"/>
      </rPr>
      <t xml:space="preserve">   Biofiltration
</t>
    </r>
    <r>
      <rPr>
        <sz val="10"/>
        <color indexed="8"/>
        <rFont val="Symbol"/>
        <family val="1"/>
        <charset val="2"/>
      </rPr>
      <t>·</t>
    </r>
    <r>
      <rPr>
        <sz val="10"/>
        <color indexed="8"/>
        <rFont val="Arial"/>
        <family val="2"/>
      </rPr>
      <t xml:space="preserve">   pH correction
</t>
    </r>
    <r>
      <rPr>
        <sz val="10"/>
        <color indexed="8"/>
        <rFont val="Symbol"/>
        <family val="1"/>
        <charset val="2"/>
      </rPr>
      <t>·</t>
    </r>
    <r>
      <rPr>
        <sz val="10"/>
        <color indexed="8"/>
        <rFont val="Arial"/>
        <family val="2"/>
      </rPr>
      <t>   Softening</t>
    </r>
  </si>
  <si>
    <t>W4: Single stage complex physical or chemical treatment with significantly higher operating costs than in W2/W3;
W5: More than one stage of complex, high cost treatment;</t>
  </si>
  <si>
    <r>
      <rPr>
        <sz val="6.3"/>
        <color indexed="8"/>
        <rFont val="Symbol"/>
        <family val="1"/>
        <charset val="2"/>
      </rPr>
      <t>·</t>
    </r>
    <r>
      <rPr>
        <sz val="9"/>
        <color indexed="8"/>
        <rFont val="Arial"/>
        <family val="2"/>
      </rPr>
      <t xml:space="preserve">   Membrane filtration (excluding desalination)
</t>
    </r>
    <r>
      <rPr>
        <sz val="9"/>
        <color indexed="8"/>
        <rFont val="Symbol"/>
        <family val="1"/>
        <charset val="2"/>
      </rPr>
      <t>·</t>
    </r>
    <r>
      <rPr>
        <sz val="9"/>
        <color indexed="8"/>
        <rFont val="Arial"/>
        <family val="2"/>
      </rPr>
      <t xml:space="preserve">   Ozone addition
</t>
    </r>
    <r>
      <rPr>
        <sz val="9"/>
        <color indexed="8"/>
        <rFont val="Symbol"/>
        <family val="1"/>
        <charset val="2"/>
      </rPr>
      <t>·</t>
    </r>
    <r>
      <rPr>
        <sz val="9"/>
        <color indexed="8"/>
        <rFont val="Arial"/>
        <family val="2"/>
      </rPr>
      <t xml:space="preserve">   Activated carbon / pesticide removal
</t>
    </r>
    <r>
      <rPr>
        <sz val="9"/>
        <color indexed="8"/>
        <rFont val="Symbol"/>
        <family val="1"/>
        <charset val="2"/>
      </rPr>
      <t>·</t>
    </r>
    <r>
      <rPr>
        <sz val="9"/>
        <color indexed="8"/>
        <rFont val="Arial"/>
        <family val="2"/>
      </rPr>
      <t xml:space="preserve">   UV treatment
</t>
    </r>
    <r>
      <rPr>
        <sz val="9"/>
        <color indexed="8"/>
        <rFont val="Symbol"/>
        <family val="1"/>
        <charset val="2"/>
      </rPr>
      <t>·</t>
    </r>
    <r>
      <rPr>
        <sz val="9"/>
        <color indexed="8"/>
        <rFont val="Arial"/>
        <family val="2"/>
      </rPr>
      <t xml:space="preserve">   Arsenic removal
</t>
    </r>
    <r>
      <rPr>
        <sz val="9"/>
        <color indexed="8"/>
        <rFont val="Symbol"/>
        <family val="1"/>
        <charset val="2"/>
      </rPr>
      <t>·</t>
    </r>
    <r>
      <rPr>
        <sz val="9"/>
        <color indexed="8"/>
        <rFont val="Arial"/>
        <family val="2"/>
      </rPr>
      <t>   Nitrate removal</t>
    </r>
  </si>
  <si>
    <t>W6: Works with one or more very high cost processes;</t>
  </si>
  <si>
    <r>
      <rPr>
        <sz val="9"/>
        <color indexed="8"/>
        <rFont val="Symbol"/>
        <family val="1"/>
        <charset val="2"/>
      </rPr>
      <t>·</t>
    </r>
    <r>
      <rPr>
        <sz val="7"/>
        <color indexed="8"/>
        <rFont val="Times New Roman"/>
        <family val="1"/>
      </rPr>
      <t>   </t>
    </r>
    <r>
      <rPr>
        <sz val="10"/>
        <color indexed="8"/>
        <rFont val="Arial"/>
        <family val="2"/>
      </rPr>
      <t xml:space="preserve">Desalination 
</t>
    </r>
    <r>
      <rPr>
        <sz val="10"/>
        <color indexed="8"/>
        <rFont val="Symbol"/>
        <family val="1"/>
        <charset val="2"/>
      </rPr>
      <t>·</t>
    </r>
    <r>
      <rPr>
        <sz val="10"/>
        <color indexed="8"/>
        <rFont val="Arial"/>
        <family val="2"/>
      </rPr>
      <t>   Re-use</t>
    </r>
  </si>
  <si>
    <t>Band Guidance</t>
  </si>
  <si>
    <t xml:space="preserve">Size Band </t>
  </si>
  <si>
    <t>Distributed Input MI/d</t>
  </si>
  <si>
    <t>Band 1</t>
  </si>
  <si>
    <t>&lt; 2</t>
  </si>
  <si>
    <t>Band 2</t>
  </si>
  <si>
    <t>≤ 2 &amp; &lt;4</t>
  </si>
  <si>
    <t>Band 3</t>
  </si>
  <si>
    <t>≤ 4 &amp; &lt; 8</t>
  </si>
  <si>
    <t>Band 4</t>
  </si>
  <si>
    <t>≤ 8 &amp; &lt; 16</t>
  </si>
  <si>
    <t>Band 5</t>
  </si>
  <si>
    <t>≤ 16 &amp; &lt; 32</t>
  </si>
  <si>
    <t>Band 6</t>
  </si>
  <si>
    <t>≤ 32 &amp; &lt; 64</t>
  </si>
  <si>
    <t>Band 7</t>
  </si>
  <si>
    <t>≤ 64 &amp; &lt; 128</t>
  </si>
  <si>
    <t>Band 8</t>
  </si>
  <si>
    <t>≥ 128</t>
  </si>
  <si>
    <t>4Q - Non-financial data - Properties, population and other - Wholesale water</t>
  </si>
  <si>
    <t>Properties and population</t>
  </si>
  <si>
    <t>4Q.1</t>
  </si>
  <si>
    <t>Residential properties billed for measured water (external meter)</t>
  </si>
  <si>
    <t>BN2110</t>
  </si>
  <si>
    <t>4Q.2</t>
  </si>
  <si>
    <t>Residential properties billed for measured water (not external meter)</t>
  </si>
  <si>
    <t>BN2115</t>
  </si>
  <si>
    <t>4Q.3</t>
  </si>
  <si>
    <t>Business properties billed measured water</t>
  </si>
  <si>
    <t>BN2210</t>
  </si>
  <si>
    <t>4Q.4</t>
  </si>
  <si>
    <t>Residential properties billed for unmeasured water</t>
  </si>
  <si>
    <t>BN2100</t>
  </si>
  <si>
    <t>4Q.5</t>
  </si>
  <si>
    <t>Business properties billed unmeasured water</t>
  </si>
  <si>
    <t>BN2200</t>
  </si>
  <si>
    <t>4Q.6</t>
  </si>
  <si>
    <t>Total business connected properties at year end</t>
  </si>
  <si>
    <t>BN2221</t>
  </si>
  <si>
    <t>4Q.7</t>
  </si>
  <si>
    <t>Total residential connected properties at year end</t>
  </si>
  <si>
    <t>BN2161</t>
  </si>
  <si>
    <t>4Q.8</t>
  </si>
  <si>
    <t>Total connected properties at year end</t>
  </si>
  <si>
    <t>BN1001</t>
  </si>
  <si>
    <t>4Q.9</t>
  </si>
  <si>
    <t>Number of residential meters renewed</t>
  </si>
  <si>
    <t>BN1765</t>
  </si>
  <si>
    <t>4Q.10</t>
  </si>
  <si>
    <t>Number of business meters renewed</t>
  </si>
  <si>
    <t>BN1767</t>
  </si>
  <si>
    <t>4Q.11</t>
  </si>
  <si>
    <t>Number of meters installed at request of optants</t>
  </si>
  <si>
    <t>BN1715</t>
  </si>
  <si>
    <t>4Q.12</t>
  </si>
  <si>
    <t>Number of selective meters installed</t>
  </si>
  <si>
    <t>BN1711</t>
  </si>
  <si>
    <t>4Q.13</t>
  </si>
  <si>
    <t>Total number of new business connections</t>
  </si>
  <si>
    <t>BP3405</t>
  </si>
  <si>
    <t>4Q.14</t>
  </si>
  <si>
    <r>
      <t xml:space="preserve">Total number of new </t>
    </r>
    <r>
      <rPr>
        <sz val="10"/>
        <rFont val="Arial"/>
        <family val="2"/>
      </rPr>
      <t>residential</t>
    </r>
    <r>
      <rPr>
        <sz val="10"/>
        <color indexed="8"/>
        <rFont val="Arial"/>
        <family val="2"/>
      </rPr>
      <t xml:space="preserve"> connections</t>
    </r>
  </si>
  <si>
    <t>BP3400</t>
  </si>
  <si>
    <t>4Q.15</t>
  </si>
  <si>
    <t>Total population served</t>
  </si>
  <si>
    <t>BN2590</t>
  </si>
  <si>
    <t>4Q.16</t>
  </si>
  <si>
    <t>Number of business meters (billed properties)</t>
  </si>
  <si>
    <t>BN11630</t>
  </si>
  <si>
    <t>4Q.17</t>
  </si>
  <si>
    <t>Number of residential meters (billed properties)</t>
  </si>
  <si>
    <t>BN11640</t>
  </si>
  <si>
    <t>4Q.18</t>
  </si>
  <si>
    <t>Company area</t>
  </si>
  <si>
    <t>SYS03</t>
  </si>
  <si>
    <t>km2</t>
  </si>
  <si>
    <t>4Q.19</t>
  </si>
  <si>
    <t>Number of lead communication pipes replaced for water quality</t>
  </si>
  <si>
    <t>BN1231</t>
  </si>
  <si>
    <t>4Q.20</t>
  </si>
  <si>
    <t>Total supply side enhancements to the supply demand balance (dry year critical / peak conditions)</t>
  </si>
  <si>
    <t>W3007SO</t>
  </si>
  <si>
    <t>4Q.21</t>
  </si>
  <si>
    <t>Total supply side enhancements to the supply demand balance (dry year annual average conditions)</t>
  </si>
  <si>
    <t>W3008SO</t>
  </si>
  <si>
    <t>4Q.22</t>
  </si>
  <si>
    <t>Total demand side enhancements to the supply demand balance (dry year critical / peak conditions)</t>
  </si>
  <si>
    <t>W3007DO</t>
  </si>
  <si>
    <t>4Q.23</t>
  </si>
  <si>
    <t>Total demand side enhancements to the supply demand balance (dry year annual average conditions)</t>
  </si>
  <si>
    <t>W3008DO</t>
  </si>
  <si>
    <t>4Q.24</t>
  </si>
  <si>
    <t>Energy consumption - network plus</t>
  </si>
  <si>
    <t>BM902ECNP</t>
  </si>
  <si>
    <t>MWh</t>
  </si>
  <si>
    <t>4Q.25</t>
  </si>
  <si>
    <t>Energy consumption - water resources</t>
  </si>
  <si>
    <t>BM902ECWR</t>
  </si>
  <si>
    <t>4Q.26</t>
  </si>
  <si>
    <t>Energy consumption - wholesale</t>
  </si>
  <si>
    <t>BM102ECWW</t>
  </si>
  <si>
    <t>4Q.27</t>
  </si>
  <si>
    <t>Mean Zonal Compliance</t>
  </si>
  <si>
    <t>QEBW0180</t>
  </si>
  <si>
    <t>4Q.28</t>
  </si>
  <si>
    <t>Compliance Risk Index</t>
  </si>
  <si>
    <t>QEBW0183</t>
  </si>
  <si>
    <t>Event Risk Index</t>
  </si>
  <si>
    <t>QEBW0184</t>
  </si>
  <si>
    <t>4Q.30</t>
  </si>
  <si>
    <t>Volume of Leakage above or below the sustainable economic Level</t>
  </si>
  <si>
    <t>BN2341</t>
  </si>
  <si>
    <t>Average number of billed metered residential properties with external meters. An external meter is one located underground on the customer's underground supply pipe. Closeness to the property boundary is not important. Exclude void properties.</t>
  </si>
  <si>
    <t>Average number of billed metered residential properties (not externally metered). An internal meter is one located inside the customer's property or attached to the property at above ground level in a box or cabinet. All other meters should be classed as external. Exclude void properties.</t>
  </si>
  <si>
    <t>Average number of business properties billed for measured water within the supply area. Exclude miscellaneous users</t>
  </si>
  <si>
    <t xml:space="preserve">Average number of residential properties billed for unmeasured water within the supply area.  Exclude void properties. </t>
  </si>
  <si>
    <t>Average number of business billed for unmeasured water within the supply area.  Exclude miscellaneous users.</t>
  </si>
  <si>
    <t>The total number of  business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</si>
  <si>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residential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</si>
  <si>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properties (residential and business) connected to the distribution system at the end of the report year. This must include properties which are connected but not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</si>
  <si>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meters renewed at residential properties during the report year.</t>
  </si>
  <si>
    <t>The total number of meters renewed at  business properties during the report year.</t>
  </si>
  <si>
    <t>The total number of meters installed at the request of the  optants at existing residential properties during the year (Including where a company has installed a meter for social tariff purposes). Include meters installed at residential properties fitted in any location (e.g. internal, external in garden, external at boundary etc). Exclude all meters installed at the company's behest. For clarity and to avoid possible double counting, this should exclude meters installed at properties where the resident subsequently becomes an optant by virtue of switching to measured charges. These meters should have already been reported in line 12.</t>
  </si>
  <si>
    <t>The number of meters installed during the year at existing billed residential properties at the behest of the company. Include meters installed at household properties fitted in any location (e.g. internal, external in garden, external at boundary etc). Exclude all meters installed for meter optants or following property conversions.</t>
  </si>
  <si>
    <t>Total number of new business connections to a company's area of supply during the report year. This will cover the number of new business properties added for each year that were previously not connected for water supply. Exclude separation of common services, or other reconnections.</t>
  </si>
  <si>
    <t>Total number of new residential connections to a company's area of supply during the report year. This will cover the number of new residential properties added for each year that were previously not connected for water supply. Exclude separation of common services, or other reconnections.</t>
  </si>
  <si>
    <t>Total resident population served. This should include billed households supplied with unmeasured and measured water and billed business supplied with unmeasured and measured water. Please provide commentary on how you have calculated population and household growth including how you have taken account of the 2011 Census.</t>
  </si>
  <si>
    <t>The total number of business meters at billed properties within the company's area supply, exclude void properties and meters at properties that are charged on an unmeasured basis.</t>
  </si>
  <si>
    <t>The total number of residential meters at billed properties within the company's area of supply, exclude void properties and meters at properties that are charged on an unmeasured basis.</t>
  </si>
  <si>
    <t>Area of company in km2</t>
  </si>
  <si>
    <t>The total number of lead communication pipes replaced for quality reasons (as a result of the lead quality programme to deal with the revised Drinking Water Regulations). All replacement activity under quality, must have been confirmed by DWI in the schedule of works attached to a legally binding instrument of works. This must be consistent with the programme of work funded under the PR14 water quality enhancement programme (annex 4). Include all lead communication pipes which are replaced at customers' request under Regulation 30(1) of the Water Supply (Water Quality) Regulations 2016.</t>
  </si>
  <si>
    <t xml:space="preserve">Incremental supply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Supply side enhancements should include all resource and production options.
Interpretation of resource and production options, dycp and dyaa should align with water resources management plan guidance.                                                            </t>
  </si>
  <si>
    <t>Incremental supply side improvements delivered during the reporting year to the dry year annual average supply demand balance as at the start of the reporting year. The reported value should account for all water resource zones. 
Supply side enhancements should include all resource and production options.  
Interpretation of resource and production options, dycp and dyaa should align with water resources management plan guidance</t>
  </si>
  <si>
    <t xml:space="preserve">Incremental demand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</si>
  <si>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 xml:space="preserve">Incremental supply  demand side improvements delivered during the reporting year to the dry year annual average period supply demand balance as at the start of the reporting year. The reported value should account for all water resource zones.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</si>
  <si>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</si>
  <si>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Measure of energy usage (electricity, gas, liquid fuels) by the water resource business units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</si>
  <si>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Energy consumption – wholesale water business. Calculated as the sum of 4Q lines 24 and 25.</t>
  </si>
  <si>
    <t>DWI measure</t>
  </si>
  <si>
    <t>DWI measure of Compliance Risk.</t>
  </si>
  <si>
    <t>DWI measure of Event Risk.</t>
  </si>
  <si>
    <t>The variance between actual leakage and sustainable economic level of leakage. Leakage below the economic level will have a negative value. To be disclosed as MI/d.</t>
  </si>
  <si>
    <t>Lines 22 and 23 should exclude any costs incurred by the retail business unit. All demand management savings delivered in the reporting year should be included (whether funded as enhancement or maintenance).</t>
  </si>
  <si>
    <t>Lines 24, 25 and 26 relate to the energy costs associated with operating costs only. For consistency with the APR (Line 2B.1) this line should include all energy costs (including electricity, gas and fuel for vehicles, plant and machinery). These lines are intended to capture energy consumed; energy exported should not be included. Energy consumption should be allocated between lines 25 and 26 in a way that is consistent with the accounting separation units, i.e. 'network +' includes raw water distribution, water treatment and treated water distribution (in line with Ofwat's Water 2020 decisions document (May 2016)).</t>
  </si>
  <si>
    <t>4I - Financial derivatives</t>
  </si>
  <si>
    <t>BBn Code</t>
  </si>
  <si>
    <t>Nominal value by maturity (net)</t>
  </si>
  <si>
    <t>Total value at 31 March 2020</t>
  </si>
  <si>
    <t>Total accretion at 31 March 2020</t>
  </si>
  <si>
    <t>Interest rate
(weighted average for 12 months to 31 March 2020)</t>
  </si>
  <si>
    <t>Completion &amp; consistency</t>
  </si>
  <si>
    <t>1 to 2 years</t>
  </si>
  <si>
    <t>2 to 5 years</t>
  </si>
  <si>
    <t>Over 5 years</t>
  </si>
  <si>
    <t>Nominal value (net)</t>
  </si>
  <si>
    <t>Mark to Market</t>
  </si>
  <si>
    <t>Payable</t>
  </si>
  <si>
    <t>Receivable</t>
  </si>
  <si>
    <t>N1</t>
  </si>
  <si>
    <t>N2</t>
  </si>
  <si>
    <t>N5</t>
  </si>
  <si>
    <t>N6</t>
  </si>
  <si>
    <t>MM</t>
  </si>
  <si>
    <t>TA</t>
  </si>
  <si>
    <t>RP</t>
  </si>
  <si>
    <t>RR</t>
  </si>
  <si>
    <t>Derivative type</t>
  </si>
  <si>
    <t>Interest rate swap (sterling)</t>
  </si>
  <si>
    <t>4I.1</t>
  </si>
  <si>
    <t>Floating to fixed rate</t>
  </si>
  <si>
    <t>CR2021N1</t>
  </si>
  <si>
    <t>CR2021N2</t>
  </si>
  <si>
    <t>CR2021N5</t>
  </si>
  <si>
    <t>CR2021N6</t>
  </si>
  <si>
    <t>CR2021MM</t>
  </si>
  <si>
    <t>CR2021TA</t>
  </si>
  <si>
    <t>CR2021IRP</t>
  </si>
  <si>
    <t>CR2021IRR</t>
  </si>
  <si>
    <t>4I.2</t>
  </si>
  <si>
    <t>Floating from fixed rate</t>
  </si>
  <si>
    <t>CR2022N1</t>
  </si>
  <si>
    <t>CR2022N2</t>
  </si>
  <si>
    <t>CR2022N5</t>
  </si>
  <si>
    <t>CR2022N6</t>
  </si>
  <si>
    <t>CR2022MM</t>
  </si>
  <si>
    <t>CR2022TA</t>
  </si>
  <si>
    <t>CR2022IRP</t>
  </si>
  <si>
    <t>CR2022IRR</t>
  </si>
  <si>
    <t>4I.3</t>
  </si>
  <si>
    <t>Floating to index linked</t>
  </si>
  <si>
    <t>CR2023N1</t>
  </si>
  <si>
    <t>CR2023N2</t>
  </si>
  <si>
    <t>CR2023N5</t>
  </si>
  <si>
    <t>CR2023N6</t>
  </si>
  <si>
    <t>CR2023MM</t>
  </si>
  <si>
    <t>CR2023TA</t>
  </si>
  <si>
    <t>CR2023IRP</t>
  </si>
  <si>
    <t>CR2023IRR</t>
  </si>
  <si>
    <t>4I.4</t>
  </si>
  <si>
    <t>Floating from index linked</t>
  </si>
  <si>
    <t>CR2024N1</t>
  </si>
  <si>
    <t>CR2024N2</t>
  </si>
  <si>
    <t>CR2024N5</t>
  </si>
  <si>
    <t>CR2024N6</t>
  </si>
  <si>
    <t>CR2024MM</t>
  </si>
  <si>
    <t>CR2024TA</t>
  </si>
  <si>
    <t>CR2024IRP</t>
  </si>
  <si>
    <t>CR2024IRR</t>
  </si>
  <si>
    <t>4I.5</t>
  </si>
  <si>
    <t>Fixed to index-linked</t>
  </si>
  <si>
    <t>CR2025N1</t>
  </si>
  <si>
    <t>CR2025N2</t>
  </si>
  <si>
    <t>CR2025N5</t>
  </si>
  <si>
    <t>CR2025N6</t>
  </si>
  <si>
    <t>CR2025MM</t>
  </si>
  <si>
    <t>CR2025TA</t>
  </si>
  <si>
    <t>CR2025IRP</t>
  </si>
  <si>
    <t>CR2025IRR</t>
  </si>
  <si>
    <t>4I.6</t>
  </si>
  <si>
    <t>Fixed from index-linked</t>
  </si>
  <si>
    <t>CR2026N1</t>
  </si>
  <si>
    <t>CR2026N2</t>
  </si>
  <si>
    <t>CR2026N5</t>
  </si>
  <si>
    <t>CR2026N6</t>
  </si>
  <si>
    <t>CR2026MM</t>
  </si>
  <si>
    <t>CR2026TA</t>
  </si>
  <si>
    <t>CR2026IRP</t>
  </si>
  <si>
    <t>CR2026IRR</t>
  </si>
  <si>
    <t>4I.7</t>
  </si>
  <si>
    <t>CR2027N1</t>
  </si>
  <si>
    <t>CR2027N2</t>
  </si>
  <si>
    <t>CR2027N5</t>
  </si>
  <si>
    <t>CR2027N6</t>
  </si>
  <si>
    <t>CR2027MM</t>
  </si>
  <si>
    <t>CR2027TA</t>
  </si>
  <si>
    <t>Foreign Exchange</t>
  </si>
  <si>
    <t>4I.8</t>
  </si>
  <si>
    <t>Cross currency swap USD</t>
  </si>
  <si>
    <t xml:space="preserve">£m </t>
  </si>
  <si>
    <t>CR2005N1</t>
  </si>
  <si>
    <t>CR2005N2</t>
  </si>
  <si>
    <t>CR2005N5</t>
  </si>
  <si>
    <t>CR2005N6</t>
  </si>
  <si>
    <t>CR2005MM</t>
  </si>
  <si>
    <t>CR2005TA</t>
  </si>
  <si>
    <t>CR2005IRP</t>
  </si>
  <si>
    <t>CR2005IRR</t>
  </si>
  <si>
    <t>4I.9</t>
  </si>
  <si>
    <t>Cross currency swap EUR</t>
  </si>
  <si>
    <t>CR2006N1</t>
  </si>
  <si>
    <t>CR2006N2</t>
  </si>
  <si>
    <t>CR2006N5</t>
  </si>
  <si>
    <t>CR2006N6</t>
  </si>
  <si>
    <t>CR2006MM</t>
  </si>
  <si>
    <t>CR2006TA</t>
  </si>
  <si>
    <t>CR2006IRP</t>
  </si>
  <si>
    <t>CR2006IRR</t>
  </si>
  <si>
    <t>4I.10</t>
  </si>
  <si>
    <t>Cross currency swap YEN</t>
  </si>
  <si>
    <t>CR2007N1</t>
  </si>
  <si>
    <t>CR2007N2</t>
  </si>
  <si>
    <t>CR2007N5</t>
  </si>
  <si>
    <t>CR2007N6</t>
  </si>
  <si>
    <t>CR2007MM</t>
  </si>
  <si>
    <t>CR2007TA</t>
  </si>
  <si>
    <t>CR2007IRP</t>
  </si>
  <si>
    <t>CR2007IRR</t>
  </si>
  <si>
    <t>4I.11</t>
  </si>
  <si>
    <t>Cross currency swap Other</t>
  </si>
  <si>
    <t>CR2008N1</t>
  </si>
  <si>
    <t>CR2008N2</t>
  </si>
  <si>
    <t>CR2008N5</t>
  </si>
  <si>
    <t>CR2008N6</t>
  </si>
  <si>
    <t>CR2008MM</t>
  </si>
  <si>
    <t>CR2008TA</t>
  </si>
  <si>
    <t>CR2008IRP</t>
  </si>
  <si>
    <t>CR2008IRR</t>
  </si>
  <si>
    <t>4I.12</t>
  </si>
  <si>
    <t>CR2009N1</t>
  </si>
  <si>
    <t>CR2009N2</t>
  </si>
  <si>
    <t>CR2009N5</t>
  </si>
  <si>
    <t>CR2009N6</t>
  </si>
  <si>
    <t>CR2009MM</t>
  </si>
  <si>
    <t>CR2009TA</t>
  </si>
  <si>
    <t xml:space="preserve">Currency interest rate </t>
  </si>
  <si>
    <t>4I.13</t>
  </si>
  <si>
    <t>Currency interest rate swaps USD</t>
  </si>
  <si>
    <t>CR20010N1</t>
  </si>
  <si>
    <t>CR20010N2</t>
  </si>
  <si>
    <t>CR20010N5</t>
  </si>
  <si>
    <t>CR20010N6</t>
  </si>
  <si>
    <t>CR20010MM</t>
  </si>
  <si>
    <t>CR20010TA</t>
  </si>
  <si>
    <t>CR20010IRP</t>
  </si>
  <si>
    <t>CR20010IRR</t>
  </si>
  <si>
    <t>4I.14</t>
  </si>
  <si>
    <t>Currency interest rate swaps EUR</t>
  </si>
  <si>
    <t>CR20011N1</t>
  </si>
  <si>
    <t>CR20011N2</t>
  </si>
  <si>
    <t>CR20011N5</t>
  </si>
  <si>
    <t>CR20011N6</t>
  </si>
  <si>
    <t>CR20011MM</t>
  </si>
  <si>
    <t>CR20011TA</t>
  </si>
  <si>
    <t>CR20011IRP</t>
  </si>
  <si>
    <t>CR20011IRR</t>
  </si>
  <si>
    <t>4I.15</t>
  </si>
  <si>
    <t>Currency interest rate swaps YEN</t>
  </si>
  <si>
    <t>CR20012N1</t>
  </si>
  <si>
    <t>CR20012N2</t>
  </si>
  <si>
    <t>CR20012N5</t>
  </si>
  <si>
    <t>CR20012N6</t>
  </si>
  <si>
    <t>CR20012MM</t>
  </si>
  <si>
    <t>CR20012TA</t>
  </si>
  <si>
    <t>CR20012IRP</t>
  </si>
  <si>
    <t>CR20012IRR</t>
  </si>
  <si>
    <t>4I.16</t>
  </si>
  <si>
    <t>Currency interest rate swaps Other</t>
  </si>
  <si>
    <t>CR20013N1</t>
  </si>
  <si>
    <t>CR20013N2</t>
  </si>
  <si>
    <t>CR20013N5</t>
  </si>
  <si>
    <t>CR20013N6</t>
  </si>
  <si>
    <t>CR20013MM</t>
  </si>
  <si>
    <t>CR20013TA</t>
  </si>
  <si>
    <t>CR20013IRP</t>
  </si>
  <si>
    <t>CR20013IRR</t>
  </si>
  <si>
    <t>4I.17</t>
  </si>
  <si>
    <t>CR20014N1</t>
  </si>
  <si>
    <t>CR20014N2</t>
  </si>
  <si>
    <t>CR20014N5</t>
  </si>
  <si>
    <t>CR20014N6</t>
  </si>
  <si>
    <t>CR20014MM</t>
  </si>
  <si>
    <t>CR20014TA</t>
  </si>
  <si>
    <t>Forward currency contracts</t>
  </si>
  <si>
    <t>4I.18</t>
  </si>
  <si>
    <t>Forward currency contracts USD</t>
  </si>
  <si>
    <t>CR20015N1</t>
  </si>
  <si>
    <t>CR20015N2</t>
  </si>
  <si>
    <t>CR20015N5</t>
  </si>
  <si>
    <t>CR20015N6</t>
  </si>
  <si>
    <t>CR20015MM</t>
  </si>
  <si>
    <t>CR20015TA</t>
  </si>
  <si>
    <t>CR20015IRP</t>
  </si>
  <si>
    <t>CR20015IRR</t>
  </si>
  <si>
    <t>4I.19</t>
  </si>
  <si>
    <t>Forward currency contracts EUR</t>
  </si>
  <si>
    <t>CR20016N1</t>
  </si>
  <si>
    <t>CR20016N2</t>
  </si>
  <si>
    <t>CR20016N5</t>
  </si>
  <si>
    <t>CR20016N6</t>
  </si>
  <si>
    <t>CR20016MM</t>
  </si>
  <si>
    <t>CR20016TA</t>
  </si>
  <si>
    <t>CR20016IRP</t>
  </si>
  <si>
    <t>CR20016IRR</t>
  </si>
  <si>
    <t>4I.20</t>
  </si>
  <si>
    <t>Forward currency contracts YEN</t>
  </si>
  <si>
    <t>CR20017N1</t>
  </si>
  <si>
    <t>CR20017N2</t>
  </si>
  <si>
    <t>CR20017N5</t>
  </si>
  <si>
    <t>CR20017N6</t>
  </si>
  <si>
    <t>CR20017MM</t>
  </si>
  <si>
    <t>CR20017TA</t>
  </si>
  <si>
    <t>CR20017IRP</t>
  </si>
  <si>
    <t>CR20017IRR</t>
  </si>
  <si>
    <t>4I.21</t>
  </si>
  <si>
    <t>Forward currency contracts CAD</t>
  </si>
  <si>
    <t>CR2029</t>
  </si>
  <si>
    <t>4I.22</t>
  </si>
  <si>
    <t>Forward currency contracts AUD</t>
  </si>
  <si>
    <t>CR2030</t>
  </si>
  <si>
    <t>4I.23</t>
  </si>
  <si>
    <t>Forward currency contracts HKD</t>
  </si>
  <si>
    <t>CR2031</t>
  </si>
  <si>
    <t>4I.24</t>
  </si>
  <si>
    <t>Forward currency contracts Other</t>
  </si>
  <si>
    <t>CR20018N1</t>
  </si>
  <si>
    <t>CR20018N2</t>
  </si>
  <si>
    <t>CR20018N5</t>
  </si>
  <si>
    <t>CR20018N6</t>
  </si>
  <si>
    <t>CR20018MM</t>
  </si>
  <si>
    <t>CR20018TA</t>
  </si>
  <si>
    <t>CR20018IRP</t>
  </si>
  <si>
    <t>CR20018IRR</t>
  </si>
  <si>
    <t>4I.25</t>
  </si>
  <si>
    <t>CR20019N1</t>
  </si>
  <si>
    <t>CR20019N2</t>
  </si>
  <si>
    <t>CR20019N5</t>
  </si>
  <si>
    <t>CR20019N6</t>
  </si>
  <si>
    <t>CR20019MM</t>
  </si>
  <si>
    <t>CR20019TA</t>
  </si>
  <si>
    <t>Other financial derivatives</t>
  </si>
  <si>
    <t>4I.26</t>
  </si>
  <si>
    <t>CR2028N1</t>
  </si>
  <si>
    <t>CR2028N2</t>
  </si>
  <si>
    <t>CR2028N5</t>
  </si>
  <si>
    <t>CR2028N6</t>
  </si>
  <si>
    <t>CR2028MM</t>
  </si>
  <si>
    <t>CR2028TA</t>
  </si>
  <si>
    <t>CR2028IRP</t>
  </si>
  <si>
    <t>CR2028IRR</t>
  </si>
  <si>
    <t>4I.27</t>
  </si>
  <si>
    <t>Total financial derivatives</t>
  </si>
  <si>
    <t>Please provide explanation why 'Mark to Market' does not equal the 'Financial instruments' totals from table 1C.</t>
  </si>
  <si>
    <t>CR20020N1</t>
  </si>
  <si>
    <t>CR20020N2</t>
  </si>
  <si>
    <t>CR20020N5</t>
  </si>
  <si>
    <t>CR20020N6</t>
  </si>
  <si>
    <t>CR20020MM</t>
  </si>
  <si>
    <t>CR20020TA</t>
  </si>
  <si>
    <t xml:space="preserve"> </t>
  </si>
  <si>
    <t>Financial instruments through which floating interest rate liabilities are converted into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</si>
  <si>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</si>
  <si>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</si>
  <si>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</si>
  <si>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</si>
  <si>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</si>
  <si>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The total of the interest rate swaps. The sum of table 4I lines 1 to 6.</t>
  </si>
  <si>
    <t>Financial instruments which convert debt liabilities from US Dollars into Pounds Sterling</t>
  </si>
  <si>
    <t>Financial instruments which convert debt liabilities from Euro into Pounds Sterling</t>
  </si>
  <si>
    <t>Financial instruments which convert debt liabilities from Yen into Pounds Sterling</t>
  </si>
  <si>
    <t>Financial instruments which convert debt liabilities from currencies other than US Dollars, Euro or Yen into Pounds Sterling</t>
  </si>
  <si>
    <t>Total of currency swap financial instruments. The sum of table 4I lines 8 to 11.</t>
  </si>
  <si>
    <t>Financial instruments which convert currency in which interest is paid or payable from US Dollars into Pounds Sterling</t>
  </si>
  <si>
    <t>Financial instruments which convert currency in which interest is paid or payable from Euro into Pounds Sterling</t>
  </si>
  <si>
    <t>Financial instruments which convert currency in which interest is paid or payable from Yen into Pounds Sterling</t>
  </si>
  <si>
    <t>Financial instruments which convert currency in which interest is paid or payable from currencies other than US Dollars, Euro or Yen into Pounds Sterling</t>
  </si>
  <si>
    <t>Total of instruments which convert the currency in which interest is paid between sterling and another currency. The sum of table 4I lines 13 to 16.</t>
  </si>
  <si>
    <t>Forward contracts which convert future debt obligations from US Dollars into Pounds Sterling</t>
  </si>
  <si>
    <t>Forward contracts which convert future debt obligations from Euro into Pounds Sterling</t>
  </si>
  <si>
    <t>Forward contracts which convert future debt obligations from Yen into Pounds Sterling</t>
  </si>
  <si>
    <t>Forward contracts which convert future debt obligations from Canadian dollars into Pounds Sterling</t>
  </si>
  <si>
    <t>Forward contracts which convert future debt obligations from Australian dollars into Pounds Sterling</t>
  </si>
  <si>
    <t>Forward contracts which convert future debt obligations from Hong Kong dollars into Pounds Sterling</t>
  </si>
  <si>
    <t>Forward contracts which convert future debt obligations from currencies other than US Dollars, Euro or Yen into Pounds Sterling</t>
  </si>
  <si>
    <t>Total of forward contracts which convert debt between currencies. The sum of table 4I lines 18 to 21.</t>
  </si>
  <si>
    <t>Other financial derivatives (e.g. power) not already included in table 4I lines 1 to 22.</t>
  </si>
  <si>
    <t>The sum of table 4I lines 7, 12, 17, 22 and 23. The 'Mark to Market' should equal the 'Financial instruments' totals from table 1C (i.e. the sum of lines 1C.5, 1C.10, 1C.16 and 1C.23).</t>
  </si>
  <si>
    <t>4R - Non-financial data - Wastewater network and sludge - Wholesale wastewater</t>
  </si>
  <si>
    <t>Wastewater network</t>
  </si>
  <si>
    <t>4R.1</t>
  </si>
  <si>
    <t>Connectable properties served by s101A schemes completed in the report year</t>
  </si>
  <si>
    <t>S4002</t>
  </si>
  <si>
    <t>4R.2</t>
  </si>
  <si>
    <t>Number of s101A schemes completed in the report year</t>
  </si>
  <si>
    <t>S4002A</t>
  </si>
  <si>
    <t>4R.3</t>
  </si>
  <si>
    <t>Total pumping station capacity</t>
  </si>
  <si>
    <t>S4029</t>
  </si>
  <si>
    <t>4R.4</t>
  </si>
  <si>
    <t>Number of network pumping stations</t>
  </si>
  <si>
    <t>S6019</t>
  </si>
  <si>
    <t>4R.5</t>
  </si>
  <si>
    <t>Total number of sewer blockages</t>
  </si>
  <si>
    <t>BN13522</t>
  </si>
  <si>
    <t>4R.6</t>
  </si>
  <si>
    <t>Total number of gravity sewer collapses</t>
  </si>
  <si>
    <t>BN13521</t>
  </si>
  <si>
    <t>4R.7</t>
  </si>
  <si>
    <t>Total number of sewer rising main bursts / collapses</t>
  </si>
  <si>
    <t>BN13520</t>
  </si>
  <si>
    <t>4R.8</t>
  </si>
  <si>
    <t>Number of combined sewer overflows</t>
  </si>
  <si>
    <t>CPMS2005</t>
  </si>
  <si>
    <t>4R.9</t>
  </si>
  <si>
    <t>Number of emergency overflows</t>
  </si>
  <si>
    <t>CPMS2004</t>
  </si>
  <si>
    <t>4R.10</t>
  </si>
  <si>
    <t xml:space="preserve">Number of settled storm overflows </t>
  </si>
  <si>
    <t>CPMS2014</t>
  </si>
  <si>
    <t>4R.11</t>
  </si>
  <si>
    <r>
      <t xml:space="preserve">Sewer age </t>
    </r>
    <r>
      <rPr>
        <sz val="10"/>
        <rFont val="Gill Sans MT"/>
        <family val="2"/>
      </rPr>
      <t>profile (constructed post 2001)</t>
    </r>
  </si>
  <si>
    <t>BB2370</t>
  </si>
  <si>
    <t>4R.12</t>
  </si>
  <si>
    <t xml:space="preserve">Volume of trade effluent </t>
  </si>
  <si>
    <t>CPMS2012</t>
  </si>
  <si>
    <t>Ml/yr</t>
  </si>
  <si>
    <t>4R.13</t>
  </si>
  <si>
    <t>Volume of wastewater receiving treatment at sewage treatment works</t>
  </si>
  <si>
    <t>CPMS2015</t>
  </si>
  <si>
    <t>4R.14</t>
  </si>
  <si>
    <t>Length of gravity sewers rehabilitated</t>
  </si>
  <si>
    <t>BN13519</t>
  </si>
  <si>
    <t>4R.15</t>
  </si>
  <si>
    <t>Length of rising mains replaced or structurally refurbished</t>
  </si>
  <si>
    <t>BN13523</t>
  </si>
  <si>
    <t>4R.16</t>
  </si>
  <si>
    <t>Length of foul (only) public sewers</t>
  </si>
  <si>
    <t>BN13524</t>
  </si>
  <si>
    <t>4R.17</t>
  </si>
  <si>
    <t>Length of surface water (only) public sewers</t>
  </si>
  <si>
    <t>BN13525</t>
  </si>
  <si>
    <t>4R.18</t>
  </si>
  <si>
    <t>Length of combined public sewers</t>
  </si>
  <si>
    <t>BN13526</t>
  </si>
  <si>
    <t>4R.19</t>
  </si>
  <si>
    <t>Length of rising mains</t>
  </si>
  <si>
    <t>BN13527</t>
  </si>
  <si>
    <t>4R.20</t>
  </si>
  <si>
    <t>Length of other wastewater network pipework</t>
  </si>
  <si>
    <t>BN13534</t>
  </si>
  <si>
    <t>Km</t>
  </si>
  <si>
    <t>4R.21</t>
  </si>
  <si>
    <t>Total length of "legacy" public sewers as at 31 March</t>
  </si>
  <si>
    <t>BN13535</t>
  </si>
  <si>
    <t>4R.22</t>
  </si>
  <si>
    <t>Length of formerly private sewers and lateral drains (s105A sewers)</t>
  </si>
  <si>
    <t>BN13528</t>
  </si>
  <si>
    <t>4R.23</t>
  </si>
  <si>
    <t>Total sewage sludge produced, treated by incumbents</t>
  </si>
  <si>
    <t>BP05613</t>
  </si>
  <si>
    <t>ttds/ year</t>
  </si>
  <si>
    <t>4R.24</t>
  </si>
  <si>
    <t>Total sewage sludge produced, treated by 3rd party sludge service provider</t>
  </si>
  <si>
    <t>MP05614</t>
  </si>
  <si>
    <t>4R.25</t>
  </si>
  <si>
    <t xml:space="preserve">Total sewage sludge produced </t>
  </si>
  <si>
    <t>MP05611</t>
  </si>
  <si>
    <t>4R.26</t>
  </si>
  <si>
    <t>Total sewage sludge produced from non-appointed liquid waste treatment</t>
  </si>
  <si>
    <t>MP05613</t>
  </si>
  <si>
    <t>4R.27</t>
  </si>
  <si>
    <t>Percentage of sludge produced and treated at a site of STW and STC co-location</t>
  </si>
  <si>
    <t>MP05615</t>
  </si>
  <si>
    <t>4R.28</t>
  </si>
  <si>
    <t>Total sewage sludge disposed by incumbents</t>
  </si>
  <si>
    <t>BN1623</t>
  </si>
  <si>
    <t>4R.29</t>
  </si>
  <si>
    <t>Total sewage sludge disposed by 3rd party sludge service provider</t>
  </si>
  <si>
    <t>BN1622</t>
  </si>
  <si>
    <t>4R.30</t>
  </si>
  <si>
    <t>Total sewage sludge disposed</t>
  </si>
  <si>
    <t>BN1621</t>
  </si>
  <si>
    <t>4R.31</t>
  </si>
  <si>
    <t>Total measure of intersiting 'work' done by pipeline</t>
  </si>
  <si>
    <t>BN1640</t>
  </si>
  <si>
    <t>ttds*km/year</t>
  </si>
  <si>
    <t>4R.32</t>
  </si>
  <si>
    <t>Total measure of intersiting 'work' done by tanker</t>
  </si>
  <si>
    <t>BN1641</t>
  </si>
  <si>
    <t>4R.33</t>
  </si>
  <si>
    <t>Total measure of intersiting 'work' done by truck</t>
  </si>
  <si>
    <t>BN1642</t>
  </si>
  <si>
    <t>4R.34</t>
  </si>
  <si>
    <t>Total measure of intersiting 'work' done (all forms of transportation)</t>
  </si>
  <si>
    <t>BN1643</t>
  </si>
  <si>
    <t>4R.35</t>
  </si>
  <si>
    <t>Total measure of intersiting 'work' done by tanker (by volume transported)</t>
  </si>
  <si>
    <t>BN1644</t>
  </si>
  <si>
    <t>m3*km/year</t>
  </si>
  <si>
    <t>4R.36</t>
  </si>
  <si>
    <t>Total measure of 'work' done in sludge disposal operations by pipeline</t>
  </si>
  <si>
    <t>BN1648</t>
  </si>
  <si>
    <t>4R.37</t>
  </si>
  <si>
    <t>Total measure of 'work' done in sludge disposal operations by tanker</t>
  </si>
  <si>
    <t>BN1645</t>
  </si>
  <si>
    <t>4R.38</t>
  </si>
  <si>
    <t>Total measure of 'work' done in sludge disposal operations by truck</t>
  </si>
  <si>
    <t>BN1646</t>
  </si>
  <si>
    <t>4R.39</t>
  </si>
  <si>
    <t>Total measure of 'work' done in sludge disposal operations (all forms of transportation)</t>
  </si>
  <si>
    <t>BN1647</t>
  </si>
  <si>
    <t>4R.40</t>
  </si>
  <si>
    <t>Total measure of 'work' done by tanker in sludge disposal operations (by volume transported)</t>
  </si>
  <si>
    <t>BN1649</t>
  </si>
  <si>
    <t>4R.41</t>
  </si>
  <si>
    <t>Chemical P sludge as percentage of sludge produced at STWs</t>
  </si>
  <si>
    <t>MP05616</t>
  </si>
  <si>
    <t>The number of connectable properties (either identified as "polluting" or "likely to pollute") associated with s101A schemes completed in the report year and for which the capital costs are reported in Table 4M.</t>
  </si>
  <si>
    <t>The number of s101A schemes completed in the report year and for which the capital costs are reported in Table 4M.</t>
  </si>
  <si>
    <t>Total installed pumping capacity of all sewage pumping stations (including standby pumps).  Include foul, combined, stormwater and terminal pumping stations. Exclude inter-stage pumping within a sewage treatment works or sludge treatment centre. Report capacity of all installed pumps (irrespective of the number that may be working at any one time.)</t>
  </si>
  <si>
    <t>Number of pumping stations on sewerage network on 31 March of the reporting year. Pumping stations transferred into the incumbent's ownership by 31 March of the reporting year as a result of schemes made by the Secretary of State / Welsh Ministers under the Water Industry (Schemes for Adoption of Private Sewers) Regulations 2011 should be included.</t>
  </si>
  <si>
    <t>Total number of sewer blockages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</si>
  <si>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gravity sewer collapses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</si>
  <si>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rising mains bursts / collapses on the current network (ie. the sewerage network including private sewers and lateral drains transferred as a result of schemes made by the Secretary of State / Welsh Ministers under the Water Industry (Schemes for Adoption of Private Sewers) Regulations 2011.</t>
  </si>
  <si>
    <t>The total number of combined sewer overflows - a storm overflow (with no significant settlement) on a gravity sewer, a pumping station or STW inlet.</t>
  </si>
  <si>
    <t>The total number of emergency overflows at sewage pumping stations - an emergency overflow does not normally operate in storm conditions but is designed to operate in the event of asset failure i.e. electrical power failure, mechanical breakdown, rising main failure or blockage downstream. Must not be included if already counted as a CSO in line 8 (some overflows are permitted to operate as both an EO and a CSO) i.e. no overflows should be double counted. All emergency overflows at pumping stations should be included irrespective of whether they are located on the network or at a sewage treatment works.</t>
  </si>
  <si>
    <t>The total number of storm tank overflows - a storm overflow with significant settlement at a STW.</t>
  </si>
  <si>
    <t>Total length of sewer (including rising mains) laid or structurally refurbished post 2001. Reported length should include both legacy assets and formerly private sewers and lateral drains transferred into the company's ownership on (or in the case of rising mains, from) 1 October 2011.</t>
  </si>
  <si>
    <t>Total volume of trade effluent</t>
  </si>
  <si>
    <t>Calculated as the flow receiving treatment at sewage treatment works reported to the EA in the annual OMA report plus an estimate for the additional flow for all remaining works (typically those with a population equivalent of less than 250). This will include foul flows, surface and highway drainage and infiltration.</t>
  </si>
  <si>
    <t>Total length of sewer renovated or replaced in the report year.</t>
  </si>
  <si>
    <t>Total length of sewer rising mains replaced or structurally refurbished in the report year. The term 'structurally refurbished' is intended to capture any pipeline rehabilitation technique which results in an improvement in the structural integrity of the pipe such that its expected service life has been materially extended. The term has been used in the definition of data items in previous submissions (eg. Table S5 Line 15 of the 2013 business plan) and companies should interpret the term in a way that is consistent with such submissions. However, for the avoidance of uncertainty, companies are invited to clarify the way in which they've interpreted the term 'structurally refurbished' in the accompanying commentary.  If a company is unable to identify the actual length of rising main that has been replaced / structurally refurbished, then it should submit an estimate and fully explain the methodology used and the assumptions made in the accompanying commentary.</t>
  </si>
  <si>
    <t>Length of gravity foul (only) public sewers on 31 March of report year excluding formerly private sewers transferred into the company's ownership on 1 October 2011.</t>
  </si>
  <si>
    <t>Length of gravity surface water (only) public sewers on 31 March of report year excluding formerly private sewers transferred into the company's ownership on 1 October 2011.</t>
  </si>
  <si>
    <t>Length of gravity combined public sewers on 31 March of report year excluding formerly private sewers transferred into the company's ownership on 1 October 2011.</t>
  </si>
  <si>
    <t>Length of rising mains on 31 March of report year excluding formerly private sewers transferred into the company's ownership from 1 October 2011.</t>
  </si>
  <si>
    <t>Length of other wastewater network pipework on 31 March of report year excluding formerly private sewers transferred into the company's ownership on 1 October 2011 that are not captured in 4R lines 16 to 19 (eg sludge mains, overflow pipes, etc).</t>
  </si>
  <si>
    <t>Total length of "legacy" public sewers as at 31 March. Calculated as the sum of 4R lines 16 to 20 inclusive.</t>
  </si>
  <si>
    <t>Total length of formerly private sewers and lateral drains (s105A sewers) transferred into the company's ownership on (or in the case of rising mains, from) 1 October 2011.</t>
  </si>
  <si>
    <t>WWW Sludge  - Line definitions</t>
  </si>
  <si>
    <t>This is a measure of all the untreated sewage sludge (primary, secondary, tertiary) produced by in-area wastewater treatment processes in the report year which is either treated by the incumbent or remains untreated prior to disposal. Grit and screenings removed through preliminary treatment processes should be excluded. Cross-border imports should be excluded.    Sludge treated by managed contractors should be included; sludge treated by separate 3rd party service providers should be reported in 4R line 24.</t>
  </si>
  <si>
    <t>Definition for line 18 to 24 are repeated in RAG 4.08</t>
  </si>
  <si>
    <t>This is a measure of all the untreated sewage sludge (primary, secondary, tertiary) produced by in-area wastewater treatment processes in the report year which is treated by a 3rd party sludge service provider. Grit and screenings removed through preliminary treatment processes should be excluded. Cross-border imports should be excluded.  Sludge treated by managed contractors (as opposed to separate 3rd party service providers) should be excluded; instead it should be reported in 4R line 23.</t>
  </si>
  <si>
    <t>Calculated as the sum of 4R lines 23 and 24.</t>
  </si>
  <si>
    <t>This is an estimate of all the untreated sewage sludge (primary, secondary, tertiary) produced by in-area wastewater treatment processes in the report year, and which is produced as a result of treating non-appointed liquid wastes through appointed wastewater treatment assets. Because this sludge is generated at in-area wastewater treatment sites we expect this quantity to be included in the total given in 4R line 25 above. We expect companies to explain the basis of this estimate.</t>
  </si>
  <si>
    <t>The percentage of the sludge quantity reported in 4R.25 that is produced at co-located sites. For the purposes of this definition:
i) "co-located" includes sites where the STC is physically separate but the sludge is transferred from a wastewater treatment site by pipeline, and ii) STC means any site where thickening to &gt;10%DS, and/or dewatering and or microbial reduction (eg digestion, lime stabilisation etc) is undertaken.</t>
  </si>
  <si>
    <t>The total amount of sewage sludge treated and disposed of during the report year by the incumbent expressed in thousands of tonnes of dry solids of sludge disposed by the whole service. This should include disposal to farmland (irrespective of whether spreading is undertaken by the 3rd party service provider or the farmer), landfill, incineration, composting and other routes. This will be different from sewage sludge produced due to:
- quantities of lime used in lime treated sludge, 
- losses of volatile solids in the treatment process, and
- changes in the amount of sludge stockpiled at sludge treatment centres.
Sludge disposed of by managed contractors should be included; sludge disposed of by separate 3rd party service providers should be reported in 4R line 29.</t>
  </si>
  <si>
    <t>The total amount of sewage sludge treated and disposed of during the report year by a 3rd party sludge service provider expressed in thousands of tonnes of dry solids of sludge produced by the whole service. This should include recycling to farmland (irrespective of whether spreading is undertaken by the 3rd party service provider or the farmer) and disposal to landfill, incineration, land restoration/ reclamation, composting and other routes.. This may be different from sewage sludge produced due to:
- quantities of lime used in lime treated sludge, 
- losses of volatile solids in the treatment process, and
- changes in the amount of sludge stockpiled at sludge treatment centres.
Sludge disposed of by managed contractors (as opposed to separate 3rd party service providers) should be excluded; instead it should be reported in 4R line 28.</t>
  </si>
  <si>
    <t>Calculated as the sum of 4R lines 28 and 29.</t>
  </si>
  <si>
    <t>Total work done in intersiting sludge operations by pipeline during the report year measured as the product of sludge mass (in ttds) multiplied by distance conveyed (in km). Based on actual length of pipeline from sludge holding tanks to STC, not straight line distance. This measure should not include sludge transported between STWs via a gravity sewer, the operating costs of which are allocated to Network+.
(km1*tds1)+(km2*tds2)+…...(kmN*tdsN)</t>
  </si>
  <si>
    <t xml:space="preserve">Total work done in intersiting sludge operations carried out by road tanker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Work done by other forms of transport of liquid sludge (eg tractors) should be included in this line. This measure should exclude the distance travelled by vehicles to the sewage treatment works to collect the sludge. 
(km1*tds1)+(km2*tds2)+…...(kmN*tdsN)
</t>
  </si>
  <si>
    <t>Total work done in intersiting sludge operations carried out by truck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This measure should exclude the distance travelled by vehicles to the sewage treatment works to collect the sludge.
(km1*tds1)+(km2*tds2)+…...(kmN*tdsN)</t>
  </si>
  <si>
    <t>Calculated as the sum of 4R lines 31, 32  and 33.</t>
  </si>
  <si>
    <r>
      <t>Total work done in intersiting sludge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sludge holding tanks to STC, not straight line distance. If actual road distances aren't available please estimate this road distance and state in commentary if this is the case. Work done by other forms of transport of liquid sludge (eg tractors) should be included in this line. This measure should exclude the distance travelled by vehicles to the sewage treatment works to collect the sludge.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</si>
  <si>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t xml:space="preserve">Total work done in sludge disposal operations carried out by pipeline (eg transport to an incinerator) during the report year measured as the product of sludge mass (in ttds) multiplied by distance travelled (in km). Based on actual distance travelled from the STC to the landbank, landfill site, land reclamation site or incinerator as appropriate, not straight line distance. 
(km1*tds1)+(km2*tds2)+…...(kmN*tdsN)
</t>
  </si>
  <si>
    <t>Total work done in sludge disposal operations carried out by road tanker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(km1*tds1)+(km2*tds2)+…...(kmN*tdsN)</t>
  </si>
  <si>
    <t xml:space="preserve">Total work done in sludge disposal operations carried out by truck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(km1*tds1)+(km2*tds2)+…...(kmN*tdsN)
</t>
  </si>
  <si>
    <t>Calculated as the sum of 4R lines 36, 37 and 38.</t>
  </si>
  <si>
    <r>
      <t>Total work done in sludge disposal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</si>
  <si>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t>The total quantity of sludge produced at wastewater treatment works which use chemical dosing for phosphorous removal expressed as a percentage of total sludge produced at all in area wastewater treatment works (ie 4R Line 25)</t>
  </si>
  <si>
    <t>For the purposes of reporting quantities of sludge produced (lines 4R 23 to 25), this is measured ideally at the boundary between the Network plus and Bioresources business units as defined in RAG 4 or if not, at the point of treatment. There should be continuous measurement via instrumentation rather than by composite or spot sampling. 
Where both the incumbent and a 3rd party service provider undertake different stages of sludge treatment eg dewatering followed by lime stabilisation, sludge quantities should not be doubled-counted and should be reported either in 4R line 23 or 4R line 24, not both. Where this situation occurs the company should report on the quantity involved and the line to which it has been allocated in the commentary. 
For the purposes of reporting against 4R lines 27 and 28, sludge disposal operations for sludge recycled to farmland are assumed to end upon arrival at the field. Accordingly, no account need be taken of changes in the quantity of sludge stored in field piles when completing these lines.</t>
  </si>
  <si>
    <t>4S - Non-financial data - sewage treatment - Wholesale wastewater</t>
  </si>
  <si>
    <t>Treatment categories</t>
  </si>
  <si>
    <t>Treatment works consents</t>
  </si>
  <si>
    <t>Primary</t>
  </si>
  <si>
    <t>Secondary</t>
  </si>
  <si>
    <t>Tertiary</t>
  </si>
  <si>
    <t>Phosphorus</t>
  </si>
  <si>
    <r>
      <t>BOD</t>
    </r>
    <r>
      <rPr>
        <b/>
        <vertAlign val="subscript"/>
        <sz val="10"/>
        <color indexed="30"/>
        <rFont val="Gill Sans MT"/>
        <family val="2"/>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</si>
  <si>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</si>
  <si>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</si>
  <si>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</si>
  <si>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</si>
  <si>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</si>
  <si>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</si>
  <si>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</si>
  <si>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</si>
  <si>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</si>
  <si>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</si>
  <si>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</si>
  <si>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</si>
  <si>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</si>
  <si>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</si>
  <si>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</si>
  <si>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</si>
  <si>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</si>
  <si>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</si>
  <si>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</si>
  <si>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 in 2019-20</t>
  </si>
  <si>
    <t>4S.1</t>
  </si>
  <si>
    <t>Load received by STWs in size band 1</t>
  </si>
  <si>
    <r>
      <t>kg BOD</t>
    </r>
    <r>
      <rPr>
        <vertAlign val="subscript"/>
        <sz val="10"/>
        <color indexed="8"/>
        <rFont val="Gill Sans MT"/>
        <family val="2"/>
      </rPr>
      <t>5</t>
    </r>
    <r>
      <rPr>
        <sz val="10"/>
        <color indexed="8"/>
        <rFont val="Gill Sans MT"/>
        <family val="2"/>
      </rPr>
      <t>/day</t>
    </r>
  </si>
  <si>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</si>
  <si>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</si>
  <si>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</si>
  <si>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</si>
  <si>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</si>
  <si>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</si>
  <si>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</si>
  <si>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</si>
  <si>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</si>
  <si>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</si>
  <si>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</si>
  <si>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</si>
  <si>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</si>
  <si>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</si>
  <si>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</si>
  <si>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</si>
  <si>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</si>
  <si>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</si>
  <si>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</si>
  <si>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</si>
  <si>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</si>
  <si>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</si>
  <si>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</si>
  <si>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</si>
  <si>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</si>
  <si>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4S.2</t>
  </si>
  <si>
    <t>Load received by STWs in size band 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</si>
  <si>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</si>
  <si>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</si>
  <si>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</si>
  <si>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</si>
  <si>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</si>
  <si>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</si>
  <si>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</si>
  <si>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</si>
  <si>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</si>
  <si>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</si>
  <si>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</si>
  <si>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</si>
  <si>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</si>
  <si>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</si>
  <si>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</si>
  <si>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</si>
  <si>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</si>
  <si>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</si>
  <si>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</si>
  <si>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</si>
  <si>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</si>
  <si>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</si>
  <si>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</si>
  <si>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</si>
  <si>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</si>
  <si>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4S.3</t>
  </si>
  <si>
    <t>Load received by STWs in size band 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</si>
  <si>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</si>
  <si>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</si>
  <si>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</si>
  <si>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</si>
  <si>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</si>
  <si>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</si>
  <si>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</si>
  <si>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</si>
  <si>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</si>
  <si>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</si>
  <si>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</si>
  <si>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</si>
  <si>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</si>
  <si>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</si>
  <si>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</si>
  <si>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</si>
  <si>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</si>
  <si>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</si>
  <si>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</si>
  <si>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</si>
  <si>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</si>
  <si>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</si>
  <si>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</si>
  <si>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</si>
  <si>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</si>
  <si>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4S.4</t>
  </si>
  <si>
    <t>Load received by STWs in size band 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</si>
  <si>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</si>
  <si>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</si>
  <si>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</si>
  <si>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</si>
  <si>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</si>
  <si>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</si>
  <si>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</si>
  <si>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</si>
  <si>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</si>
  <si>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</si>
  <si>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</si>
  <si>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</si>
  <si>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</si>
  <si>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</si>
  <si>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</si>
  <si>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</si>
  <si>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</si>
  <si>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</si>
  <si>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</si>
  <si>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</si>
  <si>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</si>
  <si>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</si>
  <si>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</si>
  <si>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</si>
  <si>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</si>
  <si>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4S.5</t>
  </si>
  <si>
    <t>Load received by STWs in size band 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</si>
  <si>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</si>
  <si>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</si>
  <si>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</si>
  <si>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</si>
  <si>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</si>
  <si>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</si>
  <si>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</si>
  <si>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</si>
  <si>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</si>
  <si>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</si>
  <si>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</si>
  <si>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</si>
  <si>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</si>
  <si>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</si>
  <si>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</si>
  <si>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</si>
  <si>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</si>
  <si>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</si>
  <si>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</si>
  <si>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</si>
  <si>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</si>
  <si>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</si>
  <si>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</si>
  <si>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</si>
  <si>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</si>
  <si>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4S.6</t>
  </si>
  <si>
    <t>Load received by STWs above size band 5</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</si>
  <si>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</si>
  <si>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</si>
  <si>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</si>
  <si>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</si>
  <si>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</si>
  <si>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</si>
  <si>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</si>
  <si>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</si>
  <si>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</si>
  <si>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</si>
  <si>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</si>
  <si>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</si>
  <si>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</si>
  <si>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</si>
  <si>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</si>
  <si>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</si>
  <si>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</si>
  <si>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</si>
  <si>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</si>
  <si>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</si>
  <si>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</si>
  <si>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</si>
  <si>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</si>
  <si>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</si>
  <si>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</si>
  <si>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4S.7</t>
  </si>
  <si>
    <t>Total load received</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</si>
  <si>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</si>
  <si>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</si>
  <si>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</si>
  <si>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</si>
  <si>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</si>
  <si>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</si>
  <si>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</si>
  <si>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</si>
  <si>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</si>
  <si>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</si>
  <si>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</si>
  <si>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</si>
  <si>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</si>
  <si>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</si>
  <si>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</si>
  <si>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</si>
  <si>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</si>
  <si>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</si>
  <si>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</si>
  <si>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</si>
  <si>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</si>
  <si>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</si>
  <si>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</si>
  <si>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</si>
  <si>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</si>
  <si>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4S.8</t>
  </si>
  <si>
    <t xml:space="preserve">Load received from trade effluent customers at treatment works </t>
  </si>
  <si>
    <t>STWD130</t>
  </si>
  <si>
    <t>Number of sewage treatment works at 31 March 2020</t>
  </si>
  <si>
    <t>4S.9</t>
  </si>
  <si>
    <t>STWs in size band 1</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</si>
  <si>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</si>
  <si>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</si>
  <si>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</si>
  <si>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</si>
  <si>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</si>
  <si>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</si>
  <si>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</si>
  <si>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</si>
  <si>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</si>
  <si>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</si>
  <si>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</si>
  <si>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</si>
  <si>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</si>
  <si>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</si>
  <si>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</si>
  <si>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</si>
  <si>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</si>
  <si>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</si>
  <si>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</si>
  <si>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</si>
  <si>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</si>
  <si>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</si>
  <si>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</si>
  <si>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</si>
  <si>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</si>
  <si>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4S.10</t>
  </si>
  <si>
    <t>STWs in size band 2</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</si>
  <si>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</si>
  <si>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</si>
  <si>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</si>
  <si>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</si>
  <si>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</si>
  <si>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</si>
  <si>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</si>
  <si>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</si>
  <si>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</si>
  <si>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</si>
  <si>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</si>
  <si>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</si>
  <si>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</si>
  <si>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</si>
  <si>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</si>
  <si>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</si>
  <si>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</si>
  <si>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</si>
  <si>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</si>
  <si>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</si>
  <si>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</si>
  <si>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</si>
  <si>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</si>
  <si>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</si>
  <si>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</si>
  <si>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4S.11</t>
  </si>
  <si>
    <t>STWs in size band 3</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</si>
  <si>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</si>
  <si>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</si>
  <si>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</si>
  <si>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</si>
  <si>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</si>
  <si>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</si>
  <si>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</si>
  <si>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</si>
  <si>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</si>
  <si>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</si>
  <si>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</si>
  <si>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</si>
  <si>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</si>
  <si>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</si>
  <si>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</si>
  <si>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</si>
  <si>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</si>
  <si>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</si>
  <si>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</si>
  <si>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</si>
  <si>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</si>
  <si>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</si>
  <si>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</si>
  <si>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</si>
  <si>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</si>
  <si>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4S.12</t>
  </si>
  <si>
    <t>STWs in size band 4</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</si>
  <si>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</si>
  <si>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</si>
  <si>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</si>
  <si>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</si>
  <si>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</si>
  <si>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</si>
  <si>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</si>
  <si>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</si>
  <si>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</si>
  <si>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</si>
  <si>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</si>
  <si>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</si>
  <si>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</si>
  <si>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</si>
  <si>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</si>
  <si>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</si>
  <si>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</si>
  <si>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</si>
  <si>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</si>
  <si>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</si>
  <si>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</si>
  <si>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</si>
  <si>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</si>
  <si>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</si>
  <si>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</si>
  <si>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4S.13</t>
  </si>
  <si>
    <t>STWs in size band 5</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</si>
  <si>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</si>
  <si>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</si>
  <si>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</si>
  <si>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</si>
  <si>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</si>
  <si>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</si>
  <si>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</si>
  <si>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</si>
  <si>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</si>
  <si>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</si>
  <si>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</si>
  <si>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</si>
  <si>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</si>
  <si>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</si>
  <si>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</si>
  <si>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</si>
  <si>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</si>
  <si>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</si>
  <si>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</si>
  <si>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</si>
  <si>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</si>
  <si>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</si>
  <si>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</si>
  <si>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</si>
  <si>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</si>
  <si>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4S.14</t>
  </si>
  <si>
    <t>STWs above size band 5</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</si>
  <si>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</si>
  <si>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</si>
  <si>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</si>
  <si>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</si>
  <si>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</si>
  <si>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</si>
  <si>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</si>
  <si>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</si>
  <si>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</si>
  <si>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</si>
  <si>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</si>
  <si>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</si>
  <si>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</si>
  <si>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</si>
  <si>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</si>
  <si>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</si>
  <si>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</si>
  <si>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</si>
  <si>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</si>
  <si>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</si>
  <si>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</si>
  <si>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</si>
  <si>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</si>
  <si>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</si>
  <si>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</si>
  <si>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4S.15</t>
  </si>
  <si>
    <t>Total number of works</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</si>
  <si>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</si>
  <si>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</si>
  <si>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</si>
  <si>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</si>
  <si>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</si>
  <si>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</si>
  <si>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</si>
  <si>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</si>
  <si>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</si>
  <si>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</si>
  <si>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</si>
  <si>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</si>
  <si>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</si>
  <si>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</si>
  <si>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</si>
  <si>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</si>
  <si>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</si>
  <si>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</si>
  <si>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</si>
  <si>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</si>
  <si>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</si>
  <si>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</si>
  <si>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</si>
  <si>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</si>
  <si>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</si>
  <si>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BoN Code</t>
  </si>
  <si>
    <t>Population equivalent</t>
  </si>
  <si>
    <t>4S.16</t>
  </si>
  <si>
    <t>Current population equivalent served by STWs</t>
  </si>
  <si>
    <t>BN1603</t>
  </si>
  <si>
    <t>4S.17</t>
  </si>
  <si>
    <t>Current population equivalent served by discharge relocation schemes</t>
  </si>
  <si>
    <t>S4019</t>
  </si>
  <si>
    <t>4S.18</t>
  </si>
  <si>
    <t>Current population equivalent served by filter bed STWs with tightened/new P consents</t>
  </si>
  <si>
    <t>S4020</t>
  </si>
  <si>
    <t>4S.19</t>
  </si>
  <si>
    <t>Current population equivalent served by activated sludge STWs with tightened/new P consents</t>
  </si>
  <si>
    <t>S4018</t>
  </si>
  <si>
    <t>4S.20</t>
  </si>
  <si>
    <t>Current population equivalent served by groundwater protection schemes</t>
  </si>
  <si>
    <t>S4021</t>
  </si>
  <si>
    <t>4S.21</t>
  </si>
  <si>
    <t>Current population equivalent served by STWs with a Flow1 driver scheme</t>
  </si>
  <si>
    <t>S4022</t>
  </si>
  <si>
    <t>4S.22</t>
  </si>
  <si>
    <t>Current population equivalent served by STWs with tightened/new N consents</t>
  </si>
  <si>
    <t>S4023</t>
  </si>
  <si>
    <t>4S.23</t>
  </si>
  <si>
    <t>Current population equivalent served by STWs with tightened/new sanitary parameter consents</t>
  </si>
  <si>
    <t>S4024</t>
  </si>
  <si>
    <t>4S.24</t>
  </si>
  <si>
    <t>Current population equivalent served by STWs with tightened/new UV consents</t>
  </si>
  <si>
    <t>S4025</t>
  </si>
  <si>
    <t>4S.25</t>
  </si>
  <si>
    <t>Population equivalent treatment capacity enhancement</t>
  </si>
  <si>
    <t>S4027</t>
  </si>
  <si>
    <r>
      <t>Average daily pollution loads in kg BOD</t>
    </r>
    <r>
      <rPr>
        <vertAlign val="subscript"/>
        <sz val="10"/>
        <color indexed="8"/>
        <rFont val="Arial"/>
        <family val="2"/>
      </rPr>
      <t>5</t>
    </r>
    <r>
      <rPr>
        <sz val="10"/>
        <color indexed="8"/>
        <rFont val="Arial"/>
        <family val="2"/>
      </rPr>
      <t xml:space="preserve"> received by sewage treatment works of size band 1.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</si>
  <si>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2.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</si>
  <si>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3.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</si>
  <si>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4.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</si>
  <si>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5.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</si>
  <si>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above size band 5. (See additional guidance). The reported value in line 6 should agree with those reported in Table 4O line 9.</t>
    </r>
  </si>
  <si>
    <r>
      <t>Average daily pollution loads in kg BOD</t>
    </r>
    <r>
      <rPr>
        <vertAlign val="subscript"/>
        <sz val="10"/>
        <color indexed="8"/>
        <rFont val="Arial"/>
        <family val="2"/>
      </rPr>
      <t>5</t>
    </r>
    <r>
      <rPr>
        <sz val="10"/>
        <color indexed="8"/>
        <rFont val="Arial"/>
        <family val="2"/>
      </rPr>
      <t xml:space="preserve"> received by sewage treatment works of all sizes. Calculated as sum of 4S lines 1 to 6.</t>
    </r>
  </si>
  <si>
    <r>
      <t>Average daily pollution load  in kg BOD</t>
    </r>
    <r>
      <rPr>
        <vertAlign val="subscript"/>
        <sz val="10"/>
        <color indexed="8"/>
        <rFont val="Arial"/>
        <family val="2"/>
      </rPr>
      <t>5</t>
    </r>
    <r>
      <rPr>
        <sz val="10"/>
        <color indexed="8"/>
        <rFont val="Arial"/>
        <family val="2"/>
      </rPr>
      <t xml:space="preserve"> received by sewage treatment works of all sizes from trade effluent customers.</t>
    </r>
  </si>
  <si>
    <t>Number of sewage treatment works of size band 1. (See additional guidance)</t>
  </si>
  <si>
    <t>Number of sewage treatment works of size band 2. (See additional guidance)</t>
  </si>
  <si>
    <t>Number of sewage treatment works of size band 3. (See additional guidance)</t>
  </si>
  <si>
    <t>Number of sewage treatment works of size band 4. (See additional guidance)</t>
  </si>
  <si>
    <t>Number of sewage treatment works of size band 5. (See additional guidance)</t>
  </si>
  <si>
    <t>Number of sewage treatment works of size band above size band 5. (See additional guidance)</t>
  </si>
  <si>
    <t>Total number of sewage treatment works of all sizes. Calculated as sum of 4S lines 9 to 14.</t>
  </si>
  <si>
    <r>
      <t>Population equivalent (resident) connected to sewage treatment works. Equivalent population should be calculated on the basis of 60g BOD</t>
    </r>
    <r>
      <rPr>
        <vertAlign val="subscript"/>
        <sz val="10"/>
        <color indexed="8"/>
        <rFont val="Arial"/>
        <family val="2"/>
      </rPr>
      <t>5</t>
    </r>
    <r>
      <rPr>
        <sz val="10"/>
        <color indexed="8"/>
        <rFont val="Arial"/>
        <family val="2"/>
      </rPr>
      <t xml:space="preserve"> per capita per day. Imported effluents should be included in calculation. No account should be taken of holiday population.</t>
    </r>
  </si>
  <si>
    <t xml:space="preserve">Population equivalent served by schemes to relocate the discharge to receiving waters, delivered in the report year and for which capital costs are reported in Table 4M line 21. Exclude population equivalent served where the output has primarily been met through opex rather than capex solutions. </t>
  </si>
  <si>
    <t>Population equivalent served by biological filter STWs at which there are new or tightened consent conditions for phosphorus, delivered in the report year and for which capital costs are reported in Table 4M line 18. Exclude population equivalent served where the output has primarily been met through opex rather than capex solutions.</t>
  </si>
  <si>
    <t xml:space="preserve">Population equivalent served by activated sludge STWs at which there are new or tightened consent conditions for phosphorus, delivered in the report year and for which capital costs are reported in Table 4M line 17. Exclude population equivalent served where the output has primarily been met through opex rather than capex solutions.  </t>
  </si>
  <si>
    <t>Population equivalent served by schemes to deliver improvements driven by the EU Groundwater Directive, delivered in the report. and for which capital costs are reported in Table 4M line 14. Exclude population equivalent served where the output has primarily been met through opex rather than capex solutions.</t>
  </si>
  <si>
    <t>Current population equivalent served by STWs with a Flow1 driver code, delivered in the report and for which capital costs are reported in Table 4M line 22. Exclude population equivalent served where the output has primarily been met through opex rather than capex solutions.</t>
  </si>
  <si>
    <t>Population equivalent served by STWs at which there are new or tightened consent conditions for nitrogen, delivered in the report and for which capital costs are reported in Table 4M line 16. Exclude population equivalent served where the output has primarily been met through opex rather than capex solutions.</t>
  </si>
  <si>
    <t>Population equivalent served by STWs at which there are new or tightened consent conditions for one or more sanitary parameters, delivered in the report year and for which capital costs are reported in Table 4M line 19. Exclude population equivalent served where the output has primarily been met through opex rather than capex solutions.</t>
  </si>
  <si>
    <t>Population equivalent served by STWs at which there are new or tightened consent conditions for microbiological parameters to meet the requirements of the EU Shellfish Waters or revised Bathing Water Directives, delivered in the report year and for which capital costs are reported in Table 4M line 20. Exclude population equivalent served where the output has primarily been met through opex rather than capex solutions.</t>
  </si>
  <si>
    <t>The increase in treatment capacity, from company action, measured in population equivalent. The increase must be measured from the previous year’s capacity of existing sewage treatment works and the previous capacity at each works must be the higher of the then current design capacity or the company's revised understanding of actual capacity before the company’s action.</t>
  </si>
  <si>
    <t>Additional information on definitions</t>
  </si>
  <si>
    <t>Primary sewage treatment works</t>
  </si>
  <si>
    <t>Treatment methods are restricted to primary treatment (screening, comminution, maceration, grit and detritus removal, pre-aeration and grease removal, storm tanks, plus primary sedimentation, including where assisted by the addition of chemicals e.g. Clariflow).</t>
  </si>
  <si>
    <t>Secondary activated works</t>
  </si>
  <si>
    <t>Sewage treatment works providing secondary activated sludge treatment methods whose treatment methods include those for primary works plus works whose treatment methods include activated sludge (including diffused air aeration, coarse bubble aeration, mechanical aeration, oxygen injection, submerged filters) and other equivalent techniques including deep shaft process, extended aeration (single, double and triple ditches) and biological aerated filters as secondary treatment.</t>
  </si>
  <si>
    <t>Secondary biological works</t>
  </si>
  <si>
    <t>Sewage treatment works providing secondary biological treatment methods whose treatment methods include those for primary works plus works whose treatment methods include rotating biological contractors and biological filtration (including conventional filtration, high rate filtration, alternating double filtration and double filtration, root zone treatment (where used as a secondary treatment stage).</t>
  </si>
  <si>
    <t>Tertiary activated works</t>
  </si>
  <si>
    <t>A1 - Works with a secondary activated sludge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A2 - Works with a secondary activated sludge process whose treatment methods also include rapid-gravity sand filters, moving bed filters, pressure filters, nutrient removal control using physico-chemical and biological methods, disinfection, hard COD and colour removal, where used a s a tertiary treatment stage.</t>
  </si>
  <si>
    <t>Tertiary biological works</t>
  </si>
  <si>
    <t>B1 - Works with a secondary stage biological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B2 - Works with a secondary biological process whose treatment methods also include rapid-gravity sand filters, moving bed filters, pressure filters, nutrient removal control using physico-chemical and biological methods, disinfection, hard COD and colour removal, where used as a tertiary treatment stage.</t>
  </si>
  <si>
    <r>
      <t>The average daily load received (in kg of BOD</t>
    </r>
    <r>
      <rPr>
        <vertAlign val="subscript"/>
        <sz val="10"/>
        <color indexed="8"/>
        <rFont val="Arial"/>
        <family val="2"/>
      </rPr>
      <t>5</t>
    </r>
    <r>
      <rPr>
        <sz val="10"/>
        <color indexed="8"/>
        <rFont val="Arial"/>
        <family val="2"/>
      </rPr>
      <t>/day) by STWs of size band 1 (&lt;= 15kg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</si>
  <si>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2 (15 - 30kg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</si>
  <si>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3 (30 - 120kg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</si>
  <si>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4 (120 - 600kg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</si>
  <si>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5 (600 - 1500kg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</si>
  <si>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above size band 5 (&gt;1500kg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</si>
  <si>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t>In accordance with RAG 4 (Appendix 1), tankered waste is not part of the appointed business and should therefore be excluded from consideration when completing lines 4S.1 to 4S.7 (and lines 4O.3 and 4O.9).</t>
  </si>
  <si>
    <t>4T - Non-financial data - sludge treatment - Wholesale wastewater</t>
  </si>
  <si>
    <t>by Incumbent</t>
  </si>
  <si>
    <t>by 3rd party sludge service providers</t>
  </si>
  <si>
    <t>INC</t>
  </si>
  <si>
    <t>TPS</t>
  </si>
  <si>
    <t xml:space="preserve">Sludge treatment process  </t>
  </si>
  <si>
    <t>4T.1</t>
  </si>
  <si>
    <t>% Sludge - untreated</t>
  </si>
  <si>
    <t>BN5611</t>
  </si>
  <si>
    <t>4T.2</t>
  </si>
  <si>
    <t>% Sludge treatment process - raw sludge liming</t>
  </si>
  <si>
    <t>BN5612</t>
  </si>
  <si>
    <t>4T.3</t>
  </si>
  <si>
    <t>% Sludge treatment process - conventional AD</t>
  </si>
  <si>
    <t>BN5613</t>
  </si>
  <si>
    <t>4T.4</t>
  </si>
  <si>
    <t>% Sludge treatment process- advanced AD</t>
  </si>
  <si>
    <t>BN5614</t>
  </si>
  <si>
    <t>4T.5</t>
  </si>
  <si>
    <t>% Sludge treatment process - incineration of raw sludge</t>
  </si>
  <si>
    <t>BN5615</t>
  </si>
  <si>
    <t>4T.6</t>
  </si>
  <si>
    <t>% Sludge treatment process - incineration of digested sludge</t>
  </si>
  <si>
    <t>BN5616</t>
  </si>
  <si>
    <t>4T.7</t>
  </si>
  <si>
    <t>% Sludge treatment process - phyto-conditioning/composting</t>
  </si>
  <si>
    <t>BN5617</t>
  </si>
  <si>
    <t>4T.8</t>
  </si>
  <si>
    <t>% Sludge treatment process - other (specify)</t>
  </si>
  <si>
    <t>BN5618</t>
  </si>
  <si>
    <t>4T.9</t>
  </si>
  <si>
    <t>% Sludge treatment process - Total</t>
  </si>
  <si>
    <t>BN5619</t>
  </si>
  <si>
    <t>Total of lines 4T.1 to 4T.8 do not equal 100%.</t>
  </si>
  <si>
    <t>(Un-incinerated) sludge disposal route</t>
  </si>
  <si>
    <t>4T.10</t>
  </si>
  <si>
    <t>% Sludge disposal route - landfill, raw</t>
  </si>
  <si>
    <t>BN5620</t>
  </si>
  <si>
    <t>4T.11</t>
  </si>
  <si>
    <t>% Sludge disposal route - landfill, partly treated</t>
  </si>
  <si>
    <t>BN5621</t>
  </si>
  <si>
    <t>4T.12</t>
  </si>
  <si>
    <t>% Sludge disposal route - land restoration / reclamation</t>
  </si>
  <si>
    <t>BN5622</t>
  </si>
  <si>
    <t>4T.13</t>
  </si>
  <si>
    <t>% Sludge disposal route - sludge recycled to farmland</t>
  </si>
  <si>
    <t>BN5623</t>
  </si>
  <si>
    <t>4T.14</t>
  </si>
  <si>
    <t>% Sludge disposal route - other (specify)</t>
  </si>
  <si>
    <t>BN5624</t>
  </si>
  <si>
    <t>4T.15</t>
  </si>
  <si>
    <t>% Sludge disposal route - Total</t>
  </si>
  <si>
    <t>BN5625</t>
  </si>
  <si>
    <t>Total of lines 4T.10 to 4T.14 do not equal 100%.</t>
  </si>
  <si>
    <t>Percentage of sludge produced which is untreated prior to disposal</t>
  </si>
  <si>
    <t>Percentage of sludge produced which is untreated other than by liming</t>
  </si>
  <si>
    <t>Percentage of sludge produced which is treated by conventional AD (with or without liming)</t>
  </si>
  <si>
    <t>Percentage of sludge produced which is treated by advanced AD (with or without liming). (THP, EH, two-stage + PAS and APD)</t>
  </si>
  <si>
    <t>Percentage of sludge produced which is untreated other than by incineration</t>
  </si>
  <si>
    <t>Percentage of sludge produced which is digested and then incinerated</t>
  </si>
  <si>
    <t>Percentage of sludge produced which is phyto-conditioned or composted</t>
  </si>
  <si>
    <t>Percentage of sludge produced by other treatment type(s) (to be specified)</t>
  </si>
  <si>
    <t xml:space="preserve">Calculated as the sum of lines 1 to 8. The totals for the incumbent and 3rd party service provider columns should sum to 100% </t>
  </si>
  <si>
    <t>Percentage of (un-incinerated) sludge by disposal route - landfill, raw</t>
  </si>
  <si>
    <t>Percentage of (un-incinerated) sludge by disposal route - landfill, partly treated</t>
  </si>
  <si>
    <t>Percentage of (un-incinerated) sludge by disposal route - land restoration / reclamation</t>
  </si>
  <si>
    <t>Percentage of (un-incinerated) sludge by disposal route - recycled to farmland</t>
  </si>
  <si>
    <t>Percentage of (un-incinerated) sludge by disposal route - other (specify)</t>
  </si>
  <si>
    <t xml:space="preserve">Calculated as the sum of lines 10 to 14. The totals for the incumbent and 3rd party service provider columns should sum to 100% </t>
  </si>
  <si>
    <t xml:space="preserve">The quantity of sludge produced to which the percentages reported in lines 1 to 9 (inclusive) relate should be that reported in Table 4R, line 25. </t>
  </si>
  <si>
    <t>4U - Non-financial data - Properties, population and other - Wholesale wastewater</t>
  </si>
  <si>
    <t>4U.1</t>
  </si>
  <si>
    <t>Residential properties connected during the year</t>
  </si>
  <si>
    <t>BP3410</t>
  </si>
  <si>
    <t>4U.2</t>
  </si>
  <si>
    <t>Business properties connected during the year</t>
  </si>
  <si>
    <t>BP3415</t>
  </si>
  <si>
    <t>4U.3</t>
  </si>
  <si>
    <t>Residential properties billed unmeasured sewage</t>
  </si>
  <si>
    <t>BN2130</t>
  </si>
  <si>
    <t>4U.4</t>
  </si>
  <si>
    <t>Residential properties billed measured sewage</t>
  </si>
  <si>
    <t>BN2140</t>
  </si>
  <si>
    <t>4U.5</t>
  </si>
  <si>
    <t>Residential properties billed for sewage</t>
  </si>
  <si>
    <t>BN2150</t>
  </si>
  <si>
    <t>4U.6</t>
  </si>
  <si>
    <t>Business properties billed unmeasured sewage</t>
  </si>
  <si>
    <t>BN2250</t>
  </si>
  <si>
    <t>4U.7</t>
  </si>
  <si>
    <t>Business properties billed measured sewage</t>
  </si>
  <si>
    <t>BN2260</t>
  </si>
  <si>
    <t>4U.8</t>
  </si>
  <si>
    <t>Business properties billed for sewage</t>
  </si>
  <si>
    <t>BN2270</t>
  </si>
  <si>
    <t>4U.9</t>
  </si>
  <si>
    <t>Void properties</t>
  </si>
  <si>
    <t>BN2285</t>
  </si>
  <si>
    <t>4U.10</t>
  </si>
  <si>
    <t>Total number of properties</t>
  </si>
  <si>
    <t>BN1178</t>
  </si>
  <si>
    <t>4U.11</t>
  </si>
  <si>
    <t>Resident population</t>
  </si>
  <si>
    <t>BN2630</t>
  </si>
  <si>
    <t>4U.12</t>
  </si>
  <si>
    <t>Non-resident population</t>
  </si>
  <si>
    <t>BN2620</t>
  </si>
  <si>
    <t>4U.13</t>
  </si>
  <si>
    <t>BM902ECNPS</t>
  </si>
  <si>
    <t>4U.14</t>
  </si>
  <si>
    <t>Energy consumption - sludge</t>
  </si>
  <si>
    <t>BM602EC</t>
  </si>
  <si>
    <t>4U.15</t>
  </si>
  <si>
    <t>BM902ECWS</t>
  </si>
  <si>
    <t>4U.16</t>
  </si>
  <si>
    <t>Population resident in National Parks, SSSIs and Areas of Outstanding Natural Beauty (AONBs)</t>
  </si>
  <si>
    <t>BN1609</t>
  </si>
  <si>
    <t>4U.17</t>
  </si>
  <si>
    <t>Total sewerage catchment area</t>
  </si>
  <si>
    <t>BN1176CA</t>
  </si>
  <si>
    <t>4U.18</t>
  </si>
  <si>
    <t>Designated bathing waters</t>
  </si>
  <si>
    <t>BN1615</t>
  </si>
  <si>
    <t>4U.19</t>
  </si>
  <si>
    <t>Number of intermittent discharge sites with event duration monitoring</t>
  </si>
  <si>
    <t>S4016</t>
  </si>
  <si>
    <t>4U.20</t>
  </si>
  <si>
    <t>Number of monitors for flow monitoring at STWs</t>
  </si>
  <si>
    <t>STWM001</t>
  </si>
  <si>
    <t>4U.21</t>
  </si>
  <si>
    <t>Number of odour related complaints</t>
  </si>
  <si>
    <t>S4017</t>
  </si>
  <si>
    <t>4U.22</t>
  </si>
  <si>
    <t>Volume of storage provided at CSOs, storm tanks, etc to meet spill frequency objectives</t>
  </si>
  <si>
    <t>S4026</t>
  </si>
  <si>
    <t>4U.23</t>
  </si>
  <si>
    <t xml:space="preserve">Total volume of network storage </t>
  </si>
  <si>
    <t>CPMS2016</t>
  </si>
  <si>
    <t>The number of new residential properties added for each period within the company's sewerage area during the report year.</t>
  </si>
  <si>
    <t>The number of new business properties added for each period within the company's sewerage area during the report year. This should be the number of new connections; disconnections and demolished properties should not be netted off.</t>
  </si>
  <si>
    <t>Average number of residential properties billed for unmeasured sewerage within the undertaker's area. Exclude void properties.</t>
  </si>
  <si>
    <t>Average number of residential properties billed for measured sewerage within the undertaker's area. Exclude void properties. Include residential properties billed for measured water supply where sewerage bills are based on value of water supplied.</t>
  </si>
  <si>
    <t>Residential properties billed for sewage. Calculated as the sum of 4U lines 3 and 4.</t>
  </si>
  <si>
    <t>Average number of business properties billed for unmeasured sewerage. Exclude void properties.</t>
  </si>
  <si>
    <t>Average number of business properties billed for measured sewerage, include trade effluent customers. Exclude void properties.</t>
  </si>
  <si>
    <t>Business properties billed for sewage. Calculated as the sum of 4U lines 6 and 7.</t>
  </si>
  <si>
    <t>Average number of properties (residential and business) within the undertaker's area which are connected to the sewerage system but do not receive a charge as there are no occupants. This should not include properties that do not receive a bill because it would be uneconomical to do so.</t>
  </si>
  <si>
    <t>Total number of connected properties. Calculated as the sum of 4U lines 5, 8 and 9.</t>
  </si>
  <si>
    <t>The annual average resident population connected to the sewerage system.</t>
  </si>
  <si>
    <t>The annual average holiday and tourist population connected to the sewerage system. Do not include daily commuters or day visitors.</t>
  </si>
  <si>
    <t>Non-resident population (reported in line 12)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</si>
  <si>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t>
  </si>
  <si>
    <t xml:space="preserve">Measure of energy usage (electricity, gas, liquid fuels) by the sludge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 </t>
  </si>
  <si>
    <t>Energy consumption – wholesale wastewater business. Calculated as the sum of 4U Lines 13 and 14.</t>
  </si>
  <si>
    <t xml:space="preserve">Population resident within National Parks, SSSIs and Areas of Outstanding Natural Beauty designated by Natural England or by Natural Resources Wales. Population resident within areas designated under more than one category eg an SSSI within a National Park, should only be counted once. All relevant designations in a company's operating area should be included, not just those on land owned by the company. </t>
  </si>
  <si>
    <t xml:space="preserve">Total area of sewered catchments. Note: This will be less than the operating area within which company as the sewerage undertaker is licensed to provide sewerage services (owing to the exclusion of unsewered areas). </t>
  </si>
  <si>
    <t>Number of EU designated coastal bathing waters within the company's operating area. Inland bathing waters should be excluded unless i) bathing water quality is impacted by any water company discharge and ii) their designation has resulted in a tightening of the permit conditions of the discharge.</t>
  </si>
  <si>
    <t>Number of intermittent discharge sites at which event duration monitors are installed during the report year. The associated capital costs are reported in Table 4M, line 6. For AMP5 these are the outputs included in the sewerage service quality enhancement schedule (Annex 4-S) driven by the revised EU Bathing Water or Shellfish Waters Directives (driver codes rB5 and S8 respectively). For AMP6 these are the outputs required by the Environment Agency (or Natural Resources Wales) under driver codes rB5, S8, EDM1, EDM2 and EDMW.</t>
  </si>
  <si>
    <t>Number of STWs at which NEP flow monitoring schemes under driver code Flow3 have been delivered in the report year and for which the associated capital costs are reported in Table 4M, Line 9.</t>
  </si>
  <si>
    <t>The total number of complaints received in any format during the year relating to odour from sewerage service assets.</t>
  </si>
  <si>
    <t xml:space="preserve">Volume of new or additional storage provided to meet new or tightened spill frequency objectives at CSOs, storm tank overflows etc, delivered in the report year and for which the associated capital costs are reported in Table 4M, Line 11. Storage volumes associated with non-NEP schemes (eg that provided for the prevention of sewer flooding to properties) should be excluded.
The volume reported should be the volume required to meet the permit conditions (most commonly the storage volume that must be filled before any discharge takes place), rather than what was actually constructed (which may be different due to factors related to the design or construction).
</t>
  </si>
  <si>
    <t>Total of all storage facilities across company network. Total volume of network storage should include the volume enclosed by the length of pipework reported in Table 4R Lines 21 and 22 plus the usable volume of on-line and off-line storage tanks below the level of overflow weirs. The volume of manholes should be excluded.</t>
  </si>
  <si>
    <t>Non-resident population (4U Line 12)
Non-resident population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</si>
  <si>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Where companies have followed a different methodology, they should provide details of the approach in their commentary.</t>
  </si>
  <si>
    <t xml:space="preserve">4V - Operating cost analysis - water resources </t>
  </si>
  <si>
    <t>Impounding Reservoir</t>
  </si>
  <si>
    <t>Pumped Storage</t>
  </si>
  <si>
    <t>River Abstractions</t>
  </si>
  <si>
    <t>Groundwater, excluding MAR water supply schemes</t>
  </si>
  <si>
    <t>Artificial Recharge (AR) water supply schemes</t>
  </si>
  <si>
    <t>Aquifer Storage and Recovery (ASR) water supply schemes</t>
  </si>
  <si>
    <t>PS</t>
  </si>
  <si>
    <t>RS</t>
  </si>
  <si>
    <t>ASR</t>
  </si>
  <si>
    <t>WROT</t>
  </si>
  <si>
    <t>WRTOT</t>
  </si>
  <si>
    <t>Opex analysis</t>
  </si>
  <si>
    <t>4V.1</t>
  </si>
  <si>
    <t>BM102</t>
  </si>
  <si>
    <t>4V.2</t>
  </si>
  <si>
    <t>Income Treated as negative expenditure</t>
  </si>
  <si>
    <t>BM836</t>
  </si>
  <si>
    <t>4V.3</t>
  </si>
  <si>
    <t>WS1003</t>
  </si>
  <si>
    <t>4V.4</t>
  </si>
  <si>
    <t>BM240</t>
  </si>
  <si>
    <t>WS1004</t>
  </si>
  <si>
    <t>4V.5</t>
  </si>
  <si>
    <t>WS1005</t>
  </si>
  <si>
    <t>4V.6</t>
  </si>
  <si>
    <t>WS1006</t>
  </si>
  <si>
    <t>4V.7</t>
  </si>
  <si>
    <t>- Other operating expenditure excluding renewals - direct</t>
  </si>
  <si>
    <t>BM108</t>
  </si>
  <si>
    <t>4V.8</t>
  </si>
  <si>
    <t>- Other operating expenditure excluding renewals - indirect</t>
  </si>
  <si>
    <t>BM110</t>
  </si>
  <si>
    <t>4V.9</t>
  </si>
  <si>
    <t>Total functional expenditure</t>
  </si>
  <si>
    <t>BM816</t>
  </si>
  <si>
    <t>4V.10</t>
  </si>
  <si>
    <t>BM817</t>
  </si>
  <si>
    <t>4V.11</t>
  </si>
  <si>
    <t>Total operating expenditure (excluding 3rd party)</t>
  </si>
  <si>
    <t>BM316</t>
  </si>
  <si>
    <t>Line 4V.11 does not equal line 4D.9 for water resources, please provide reasoning and reconciliation in your commentary</t>
  </si>
  <si>
    <t>4V.12</t>
  </si>
  <si>
    <t>FT00865</t>
  </si>
  <si>
    <t>4V.13</t>
  </si>
  <si>
    <t>Total operating costs (excluding 3rd party)</t>
  </si>
  <si>
    <t>BM319</t>
  </si>
  <si>
    <t>BON code</t>
  </si>
  <si>
    <t>Raw water distribution</t>
  </si>
  <si>
    <t>WR</t>
  </si>
  <si>
    <t>RWD</t>
  </si>
  <si>
    <t>WT</t>
  </si>
  <si>
    <t>TWD</t>
  </si>
  <si>
    <t>CAW</t>
  </si>
  <si>
    <t>Other expenditure - wholesale water</t>
  </si>
  <si>
    <t>4V.14</t>
  </si>
  <si>
    <t>Employment costs - directly allocated</t>
  </si>
  <si>
    <t>BM3010</t>
  </si>
  <si>
    <t>4V.15</t>
  </si>
  <si>
    <t>Employment costs - indirectly allocated</t>
  </si>
  <si>
    <t>BM3011</t>
  </si>
  <si>
    <t>4V.16</t>
  </si>
  <si>
    <t>Number FTEs consistent - directly allocated</t>
  </si>
  <si>
    <t>W3030</t>
  </si>
  <si>
    <t>Number FTEs consistent with 4V.9 above</t>
  </si>
  <si>
    <t>4V.17</t>
  </si>
  <si>
    <t>Number FTEs consistent - indirectly allocated</t>
  </si>
  <si>
    <t>W3031</t>
  </si>
  <si>
    <t>Number FTEs consistent with 4V.10 above</t>
  </si>
  <si>
    <t>4V.18</t>
  </si>
  <si>
    <t>Costs associated with Traffic Management Act</t>
  </si>
  <si>
    <t>W3032</t>
  </si>
  <si>
    <t>4V.19</t>
  </si>
  <si>
    <t>Canal &amp; River Trust service charges and discharge consents</t>
  </si>
  <si>
    <t>W3033</t>
  </si>
  <si>
    <t>4V.20</t>
  </si>
  <si>
    <t>Environment Agency service charges/ discharge consents</t>
  </si>
  <si>
    <t>W3034</t>
  </si>
  <si>
    <t>4V.21</t>
  </si>
  <si>
    <t>Other abstraction charges/ discharge consents</t>
  </si>
  <si>
    <t>W3035</t>
  </si>
  <si>
    <t>Lines 4V.19 to 4V.21 do not equal Table 4D.3 for Service charges, please provide reasoning and reconciliation in your commentary</t>
  </si>
  <si>
    <t>Other service charges / permits</t>
  </si>
  <si>
    <t>4V.22</t>
  </si>
  <si>
    <t>Statutory water softening</t>
  </si>
  <si>
    <t>W3036</t>
  </si>
  <si>
    <r>
      <rPr>
        <b/>
        <sz val="11"/>
        <rFont val="Arial"/>
        <family val="2"/>
      </rPr>
      <t>Additional guidance to this table:</t>
    </r>
    <r>
      <rPr>
        <sz val="11"/>
        <rFont val="Arial"/>
        <family val="2"/>
      </rPr>
      <t xml:space="preserve">
Artificial recharge (AR) schemes are a subset of managed aquifer recharge (MAR) schemes, which function by recharging an aquifer before or after abstraction. The water abstracted is not necessarily the water that has been recharged, so the water can be of natural quality and require more complex treatment.
Aquifer storage and recovery (ASR) schemes are a subset of managed aquifer recharge (MAR) schemes, which function by recharging an aquifer, storing that water and maintaining its quality. The aim is to enable simple and less costly treatment of the re-abstracted water, and that the water recharged is predominantly the water that is re-abstracted.</t>
    </r>
  </si>
  <si>
    <t>Other Direct Costs not included in previous lines 4V.5 to 4V.6</t>
  </si>
  <si>
    <t>Other Indirect Costs not included in previous lines 4V.5 to 4V.6</t>
  </si>
  <si>
    <t>The sum of lines 4V.1 to 4V.8</t>
  </si>
  <si>
    <t>Total operating expenditure excluding 3rd party costs recorded in table 4D. The sum of lines 4V.9 to 4V.10.</t>
  </si>
  <si>
    <t>Historcial Deprection charge for relevant fixed asset</t>
  </si>
  <si>
    <t>Total operating expenditure for the wholesale business only within each business category. The sum of 4V lines 11 to 12.</t>
  </si>
  <si>
    <t>The gross salaries and wages of all employees directly attributable to the water service (water resources, raw water distribution, water treatment and treated water distribution),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To be entered as £m.</t>
  </si>
  <si>
    <t>The gross salaries and wages of all general and support (G&amp;S) employees indirectly attributed the 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Supports costs is provided in Table 4O. To be entered as £m.</t>
  </si>
  <si>
    <t xml:space="preserve">Number of full time equivalents consistent with the employment costs reported in 4V line 14 and averaged over the year.  </t>
  </si>
  <si>
    <t>Number of full time equivalents consistent with the employment costs reported in 4V line 15 and averaged over the year.</t>
  </si>
  <si>
    <t>Costs associated with the impact of the introduction of permit schemes made pursuant to the Traffic Management Act and excluding penalties or fines incurred by the company.  To be entered as £</t>
  </si>
  <si>
    <t>Costs associated with Canal &amp; River Trust service charges and discharge consents. To be entered as £.</t>
  </si>
  <si>
    <t>Costs associated with Environment Agency service charges / discharge consents. To be entered as £.</t>
  </si>
  <si>
    <t>Costs associated with other service charges / discharge consents. To be entered as £.</t>
  </si>
  <si>
    <t>Costs associated with statutory requirements for the softening of water as directed by the relevant legislation. To be entered as £.</t>
  </si>
  <si>
    <t>4W - Operating cost analysis - sludge transport, treatment and disposal</t>
  </si>
  <si>
    <t>4W - Operating cost analysis - sludge treatment</t>
  </si>
  <si>
    <t>Pipeline</t>
  </si>
  <si>
    <t>Tanker</t>
  </si>
  <si>
    <t>Truck</t>
  </si>
  <si>
    <t>STPPP</t>
  </si>
  <si>
    <t>STPTK</t>
  </si>
  <si>
    <t>STPTR</t>
  </si>
  <si>
    <t>STPTOT</t>
  </si>
  <si>
    <t>Sludge transport method</t>
  </si>
  <si>
    <t>4W.1</t>
  </si>
  <si>
    <t>WWS1001</t>
  </si>
  <si>
    <t>4W.2</t>
  </si>
  <si>
    <t>WWS1002</t>
  </si>
  <si>
    <t>4W.3</t>
  </si>
  <si>
    <t>WWS1003</t>
  </si>
  <si>
    <t>4W.4</t>
  </si>
  <si>
    <t>WWS1004</t>
  </si>
  <si>
    <t>4W.5</t>
  </si>
  <si>
    <t>WWS1005</t>
  </si>
  <si>
    <t>4W.6</t>
  </si>
  <si>
    <t>WWS1006</t>
  </si>
  <si>
    <t>4W.7</t>
  </si>
  <si>
    <t xml:space="preserve"> - Other operating expenditure excluding renewals - direct</t>
  </si>
  <si>
    <t>WWS1007DI</t>
  </si>
  <si>
    <t>4W.8</t>
  </si>
  <si>
    <t xml:space="preserve"> - Other operating expenditure excluding renewals - indirect</t>
  </si>
  <si>
    <t>WWS1007IN</t>
  </si>
  <si>
    <t>4W.9</t>
  </si>
  <si>
    <t>4W.10</t>
  </si>
  <si>
    <t>WWS1008</t>
  </si>
  <si>
    <t>4W.11</t>
  </si>
  <si>
    <t>Line 4W.11 does not equal line 4E.9 for sludge transport, please provide reasoning and reconciliation in your commentary</t>
  </si>
  <si>
    <t>WWS1009</t>
  </si>
  <si>
    <t>4W.12</t>
  </si>
  <si>
    <t>4W.13</t>
  </si>
  <si>
    <t>STUTS</t>
  </si>
  <si>
    <t>STRSL</t>
  </si>
  <si>
    <t>STCAD</t>
  </si>
  <si>
    <t>STAD</t>
  </si>
  <si>
    <t>STIRS</t>
  </si>
  <si>
    <t>STIDS</t>
  </si>
  <si>
    <t>STPCC</t>
  </si>
  <si>
    <t>STSLOT</t>
  </si>
  <si>
    <t>STTOT</t>
  </si>
  <si>
    <t>Sludge treatment type</t>
  </si>
  <si>
    <t>Untreated sludge</t>
  </si>
  <si>
    <t>Raw sludge liming</t>
  </si>
  <si>
    <t>Conventional AD</t>
  </si>
  <si>
    <t>Advanced AD</t>
  </si>
  <si>
    <t>Incineration of raw sludge</t>
  </si>
  <si>
    <t>Incineration of digested Sludge</t>
  </si>
  <si>
    <t>Photo-conditioning / composting</t>
  </si>
  <si>
    <t>4W.14</t>
  </si>
  <si>
    <t>BM402</t>
  </si>
  <si>
    <t>BM402STUTS</t>
  </si>
  <si>
    <t>BM402STRSL</t>
  </si>
  <si>
    <t>BM402STCAD</t>
  </si>
  <si>
    <t>BM402STAD</t>
  </si>
  <si>
    <t>BM402STIRS</t>
  </si>
  <si>
    <t>BM402STIDS</t>
  </si>
  <si>
    <t>BM402STPCC</t>
  </si>
  <si>
    <t>BM402STSLOT</t>
  </si>
  <si>
    <t>BM402STTOT</t>
  </si>
  <si>
    <t>4W.15</t>
  </si>
  <si>
    <t>BM836STUTS</t>
  </si>
  <si>
    <t>BM836STRSL</t>
  </si>
  <si>
    <t>BM836STCAD</t>
  </si>
  <si>
    <t>BM836STAD</t>
  </si>
  <si>
    <t>BM836STIRS</t>
  </si>
  <si>
    <t>BM836STIDS</t>
  </si>
  <si>
    <t>BM836STPCC</t>
  </si>
  <si>
    <t>BM836STSLOT</t>
  </si>
  <si>
    <t>BM836STTOT</t>
  </si>
  <si>
    <t>4W.16</t>
  </si>
  <si>
    <t>4W.17</t>
  </si>
  <si>
    <t>4W.18</t>
  </si>
  <si>
    <t>4W.19</t>
  </si>
  <si>
    <t>4W.20</t>
  </si>
  <si>
    <t>Other direct operating expenditure</t>
  </si>
  <si>
    <t>BM408</t>
  </si>
  <si>
    <t>BM408STUTS</t>
  </si>
  <si>
    <t>BM408STRSL</t>
  </si>
  <si>
    <t>BM408STCAD</t>
  </si>
  <si>
    <t>BM408STAD</t>
  </si>
  <si>
    <t>BM408STIRS</t>
  </si>
  <si>
    <t>BM408STIDS</t>
  </si>
  <si>
    <t>BM408STPCC</t>
  </si>
  <si>
    <t>BM408STSLOT</t>
  </si>
  <si>
    <t>BM408STTOT</t>
  </si>
  <si>
    <t>4W.21</t>
  </si>
  <si>
    <t>Other indirect operating expenditure</t>
  </si>
  <si>
    <t>BM410</t>
  </si>
  <si>
    <t>BM410STUTS</t>
  </si>
  <si>
    <t>BM410STRSL</t>
  </si>
  <si>
    <t>BM410STCAD</t>
  </si>
  <si>
    <t>BM410STAD</t>
  </si>
  <si>
    <t>BM410STIRS</t>
  </si>
  <si>
    <t>BM410STIDS</t>
  </si>
  <si>
    <t>BM410STPCC</t>
  </si>
  <si>
    <t>BM410STSLOT</t>
  </si>
  <si>
    <t>BM410STTOT</t>
  </si>
  <si>
    <t>4W.22</t>
  </si>
  <si>
    <t>4W.23</t>
  </si>
  <si>
    <t>BM817STUTS</t>
  </si>
  <si>
    <t>BM817STRSL</t>
  </si>
  <si>
    <t>BM817STCAD</t>
  </si>
  <si>
    <t>BM817STAD</t>
  </si>
  <si>
    <t>BM817STIRS</t>
  </si>
  <si>
    <t>BM817STIDS</t>
  </si>
  <si>
    <t>BM817STPCC</t>
  </si>
  <si>
    <t>BM817STSLOT</t>
  </si>
  <si>
    <t>BM817STTOT</t>
  </si>
  <si>
    <t>4W.24</t>
  </si>
  <si>
    <t>Line 4W.24 does not equal line 4E.9 for sludge treatment, please provide reasoning and reconciliation in your commentary</t>
  </si>
  <si>
    <t>BM8390</t>
  </si>
  <si>
    <t>BM8390STUTS</t>
  </si>
  <si>
    <t>BM8390STRSL</t>
  </si>
  <si>
    <t>BM8390STCAD</t>
  </si>
  <si>
    <t>BM8390STAD</t>
  </si>
  <si>
    <t>BM8390STIRS</t>
  </si>
  <si>
    <t>BM8390STIDS</t>
  </si>
  <si>
    <t>BM8390STPCC</t>
  </si>
  <si>
    <t>BM8390STSLOT</t>
  </si>
  <si>
    <t>BM8390STTOT</t>
  </si>
  <si>
    <t>4W.25</t>
  </si>
  <si>
    <t>FT00865STUTS</t>
  </si>
  <si>
    <t>FT00865STRSL</t>
  </si>
  <si>
    <t>FT00865STCAD</t>
  </si>
  <si>
    <t>FT00865STAD</t>
  </si>
  <si>
    <t>FT00865STIRS</t>
  </si>
  <si>
    <t>FT00865STIDS</t>
  </si>
  <si>
    <t>FT00865STPCC</t>
  </si>
  <si>
    <t>FT00865STSLOT</t>
  </si>
  <si>
    <t>FT00865STTOT</t>
  </si>
  <si>
    <t>4W.26</t>
  </si>
  <si>
    <t>BM319STUTS</t>
  </si>
  <si>
    <t>BM319STRSL</t>
  </si>
  <si>
    <t>BM319STCAD</t>
  </si>
  <si>
    <t>BM319STAD</t>
  </si>
  <si>
    <t>BM319STIRS</t>
  </si>
  <si>
    <t>BM319STIDS</t>
  </si>
  <si>
    <t>BM319STPCC</t>
  </si>
  <si>
    <t>BM319STSLOT</t>
  </si>
  <si>
    <t>BM319STTOT</t>
  </si>
  <si>
    <t>SDLFR</t>
  </si>
  <si>
    <t>SDLFP</t>
  </si>
  <si>
    <t>SDLRR</t>
  </si>
  <si>
    <t>SDRTF</t>
  </si>
  <si>
    <t>SDSOT</t>
  </si>
  <si>
    <t>SDTOT</t>
  </si>
  <si>
    <t>Sludge disposal route</t>
  </si>
  <si>
    <t>Landfill, raw</t>
  </si>
  <si>
    <t>Landfill, partly treated</t>
  </si>
  <si>
    <t>Land restoration / reclamation</t>
  </si>
  <si>
    <t>Sludge recycled to farmland</t>
  </si>
  <si>
    <t>4W.27</t>
  </si>
  <si>
    <t>4W.28</t>
  </si>
  <si>
    <t>4W.29</t>
  </si>
  <si>
    <t>4W.30</t>
  </si>
  <si>
    <t>4W.31</t>
  </si>
  <si>
    <t>4W.32</t>
  </si>
  <si>
    <t>4W.33</t>
  </si>
  <si>
    <t>4W.34</t>
  </si>
  <si>
    <t>4W.35</t>
  </si>
  <si>
    <t>4W.36</t>
  </si>
  <si>
    <t>4W.37</t>
  </si>
  <si>
    <t>Line 4W.37 does not equal line 4E.9 for sludge disposal, please provide reasoning and reconciliation in your commentary</t>
  </si>
  <si>
    <t>4W.38</t>
  </si>
  <si>
    <t>4W.39</t>
  </si>
  <si>
    <t>Other expenditure - Wholesale wastewater</t>
  </si>
  <si>
    <t>Network plus  sewage collection</t>
  </si>
  <si>
    <t>Network plus  sewage treatment</t>
  </si>
  <si>
    <t>4W.40</t>
  </si>
  <si>
    <t>BM3010NPSC</t>
  </si>
  <si>
    <t>BM3010NPST</t>
  </si>
  <si>
    <t>BM3010SL</t>
  </si>
  <si>
    <t>BM3010OTHTOT</t>
  </si>
  <si>
    <t>4W.41</t>
  </si>
  <si>
    <t>BM3011NPSC</t>
  </si>
  <si>
    <t>BM3011NPST</t>
  </si>
  <si>
    <t>BM3011SL</t>
  </si>
  <si>
    <t>BM3011OTHTOT</t>
  </si>
  <si>
    <t>4W.42</t>
  </si>
  <si>
    <t>Number FTEs - directly allocated</t>
  </si>
  <si>
    <t>W3030NPSC</t>
  </si>
  <si>
    <t>W3030NPST</t>
  </si>
  <si>
    <t>W3030SL</t>
  </si>
  <si>
    <t>W3030OTHTOT</t>
  </si>
  <si>
    <t>4W.43</t>
  </si>
  <si>
    <t>Number FTEs - indirectly allocated</t>
  </si>
  <si>
    <t>W3031NPSC</t>
  </si>
  <si>
    <t>W3031NPST</t>
  </si>
  <si>
    <t>W3031SL</t>
  </si>
  <si>
    <t>W3031OTHTOT</t>
  </si>
  <si>
    <t>4W.44</t>
  </si>
  <si>
    <t>Costs asscociated with Traffic Management Act</t>
  </si>
  <si>
    <t>W3032NPSC</t>
  </si>
  <si>
    <t>W3032NPST</t>
  </si>
  <si>
    <t>W3032SL</t>
  </si>
  <si>
    <t>W3032OTHTOT</t>
  </si>
  <si>
    <t>4W.45</t>
  </si>
  <si>
    <t>Costs associated with Industrial Emissions Directive</t>
  </si>
  <si>
    <t>W3036NPSC</t>
  </si>
  <si>
    <t>W3036NPST</t>
  </si>
  <si>
    <t>W3036SL</t>
  </si>
  <si>
    <t>W3036OTHTOT</t>
  </si>
  <si>
    <t>4W.46</t>
  </si>
  <si>
    <t>W3033NPSC</t>
  </si>
  <si>
    <t>W3033NPST</t>
  </si>
  <si>
    <t>W3033SL</t>
  </si>
  <si>
    <t>W3033OTHTOT</t>
  </si>
  <si>
    <t>4W.47</t>
  </si>
  <si>
    <t>Environment Agency service charges / discharge consents</t>
  </si>
  <si>
    <t>W3034NPSC</t>
  </si>
  <si>
    <t>W3034NPST</t>
  </si>
  <si>
    <t>W3034SL</t>
  </si>
  <si>
    <t>W3034OTHTOT</t>
  </si>
  <si>
    <t>4W.48</t>
  </si>
  <si>
    <t>Lines 4W.23 to 4W.25 do not equal line 4E.3 please provide reasoning and reconciliation in your commentary</t>
  </si>
  <si>
    <t>W3035NPSC</t>
  </si>
  <si>
    <t>W3035NPST</t>
  </si>
  <si>
    <t>W3035SL</t>
  </si>
  <si>
    <t>W3035OTHTOT</t>
  </si>
  <si>
    <t>1, 14, 27</t>
  </si>
  <si>
    <t>2, 15, 28</t>
  </si>
  <si>
    <t>3, 16, 29</t>
  </si>
  <si>
    <t>4, 17, 30</t>
  </si>
  <si>
    <t>5, 18, 31</t>
  </si>
  <si>
    <t xml:space="preserve">6, 19, 32 </t>
  </si>
  <si>
    <t>7, 20, 33</t>
  </si>
  <si>
    <t>Other Direct costs not included in previous lines;
• 4W.1 to 4W.6 (S tran)
• 4W.14 to 4W.19 (S treat)
• 4W.27 to 4W.32 (S disp)</t>
  </si>
  <si>
    <t>8, 21, 34</t>
  </si>
  <si>
    <t>Other Indirect costs not included in previous lines;
• 4W.1 to 4W.6 (S tran)
• 4W.14 to 4W.19 (S treat)
• 4W.27 to 4W.32 (S disp)</t>
  </si>
  <si>
    <t>9, 22, 35</t>
  </si>
  <si>
    <t>The sum of lines;
• 4W.1 to 4W.8 (S tran)
• 4W.14 to 4W.21 (S treat)
• 4W.27 to 4W.34 (S disp)</t>
  </si>
  <si>
    <t>10, 23, 36</t>
  </si>
  <si>
    <t>11, 24, 37</t>
  </si>
  <si>
    <t>Total operating expenditure excluding 3rd party costs recorded in table 4E. The sum of lines;
• 4W.9 to 4W.10 (S tran)
• 4W.22 to 4W.23 (S treat)
• 4W.35 to 4W.36 (S disp)</t>
  </si>
  <si>
    <t>12, 25, 38</t>
  </si>
  <si>
    <t>Historical Deprecation charge for relevant fixed asset.</t>
  </si>
  <si>
    <t>13, 26, 39</t>
  </si>
  <si>
    <t>Total of operating expenditure (excluding 3rd party costs) and depreciation costs. The sum of lines;
• 4W.11 to 4W.12 (S tran)
• 4W.24 to 4W.25 (S treat)
• 4W.37 to 4W.38 (S disp)</t>
  </si>
  <si>
    <t>The gross salaries and wages of all employees directly attributable to the wastewater service (sludge, sewage treatment and sewage collection),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t>
  </si>
  <si>
    <t>The gross salaries and wages of all general and support (G&amp;S) employees indirectly attributed the wastewater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 costs is provided in Table 4O.</t>
  </si>
  <si>
    <t>Number of full time equivalents consistent with the employment costs reported in line 4W.40 and averaged over the year.</t>
  </si>
  <si>
    <t>Number of full time equivalents consistent with the employment costs reported in line 4W.41 and averaged over the year.</t>
  </si>
  <si>
    <t>Costs associated with the impact of the introduction of permit schemes made pursuant to the Traffic Management Act and excluding penalties or fines incurred by the company.  To be entered as £.</t>
  </si>
  <si>
    <t>Costs associated with industrial emissions directive</t>
  </si>
  <si>
    <t>Costs associated with Canal &amp; River Trust service charges and discharge consents.</t>
  </si>
  <si>
    <t>Costs associated with Environment Agency service charges / discharge consents.</t>
  </si>
  <si>
    <t>Costs associated with other service charges / discharge consents.</t>
  </si>
  <si>
    <t>Bidding activity: bioresources market</t>
  </si>
  <si>
    <t>Summary of market activity</t>
  </si>
  <si>
    <t>Total number of contracts held with a third party at end of the financial year</t>
  </si>
  <si>
    <t>CR3001BIOM</t>
  </si>
  <si>
    <t>Total amount paid on contracts during the financial year</t>
  </si>
  <si>
    <t>CR3002BIOM</t>
  </si>
  <si>
    <t>A3</t>
  </si>
  <si>
    <t>Number of different suppliers at the year end</t>
  </si>
  <si>
    <t>CR3003BIOM</t>
  </si>
  <si>
    <t>A4</t>
  </si>
  <si>
    <t>Number of contracts ended during the year</t>
  </si>
  <si>
    <t>CR3004BIOM</t>
  </si>
  <si>
    <t>A5</t>
  </si>
  <si>
    <t>Number of contracts renewed during the year</t>
  </si>
  <si>
    <t>CR3005BIOM</t>
  </si>
  <si>
    <t>A6</t>
  </si>
  <si>
    <t>Number of new contracts that have been agreed during the year</t>
  </si>
  <si>
    <t>CR3006BIOM</t>
  </si>
  <si>
    <t>Formal tender process</t>
  </si>
  <si>
    <t xml:space="preserve">Number of formal tenders you issued during the year </t>
  </si>
  <si>
    <t>CR3007BIOM</t>
  </si>
  <si>
    <t>Total number of bids received on all your tenders</t>
  </si>
  <si>
    <t>CR3008BIOM</t>
  </si>
  <si>
    <t>B3</t>
  </si>
  <si>
    <t>Number of tenders you awarded during the year</t>
  </si>
  <si>
    <t>CR3009BIOM</t>
  </si>
  <si>
    <t>Informal bidding process</t>
  </si>
  <si>
    <t>C1</t>
  </si>
  <si>
    <t>Number of offers made by a third party outside the formal tender process during the financial year</t>
  </si>
  <si>
    <t>CR3010BIOM</t>
  </si>
  <si>
    <t>C2</t>
  </si>
  <si>
    <t>The number of successful offers</t>
  </si>
  <si>
    <t>CR3011BIOM</t>
  </si>
  <si>
    <t>Treatment of sludge</t>
  </si>
  <si>
    <t>D1</t>
  </si>
  <si>
    <t xml:space="preserve">Total quantity of sludge produced in performance of the company’s functions as a sewerage undertaker </t>
  </si>
  <si>
    <t>CR3012BIOM</t>
  </si>
  <si>
    <t>D2</t>
  </si>
  <si>
    <t>Quantity of sludge treated in-house</t>
  </si>
  <si>
    <t>CR3013BIOM</t>
  </si>
  <si>
    <t>D3</t>
  </si>
  <si>
    <t>Quantity of sludge treated by a third party</t>
  </si>
  <si>
    <t>CR3014BIOM</t>
  </si>
  <si>
    <t>D4</t>
  </si>
  <si>
    <t>Number of contracts to provide sludge treatment</t>
  </si>
  <si>
    <t>CR3015BIOM</t>
  </si>
  <si>
    <t>D5</t>
  </si>
  <si>
    <t>Number of suppliers with contracts for sludge treatment</t>
  </si>
  <si>
    <t>CR3016BIOM</t>
  </si>
  <si>
    <t>Sludge transported</t>
  </si>
  <si>
    <t>E1</t>
  </si>
  <si>
    <t>Total quantity of sludge transported by road</t>
  </si>
  <si>
    <t>CR3017BIOM</t>
  </si>
  <si>
    <t>E2</t>
  </si>
  <si>
    <t>Quantity of sludge transported by road in-house by your own bioresources service</t>
  </si>
  <si>
    <t>CR3018BIOM</t>
  </si>
  <si>
    <t>E3</t>
  </si>
  <si>
    <t>Quantity of sludge transported by road by a third party</t>
  </si>
  <si>
    <t>CR3019BIOM</t>
  </si>
  <si>
    <t>E4</t>
  </si>
  <si>
    <t>Number of contracts to provide sludge transport services</t>
  </si>
  <si>
    <t>CR3020BIOM</t>
  </si>
  <si>
    <t>E5</t>
  </si>
  <si>
    <t>Number of suppliers with contracts for sludge transportation</t>
  </si>
  <si>
    <t>CR3021BIOM</t>
  </si>
  <si>
    <t>Sludge recycled or disposed</t>
  </si>
  <si>
    <t>F1</t>
  </si>
  <si>
    <t>Total quantity of sludge recycled or disposed</t>
  </si>
  <si>
    <t>CR3022BIOM</t>
  </si>
  <si>
    <t>F2</t>
  </si>
  <si>
    <t>Quantity of sludge recycled or disposed in-house by your own bioresources service</t>
  </si>
  <si>
    <t>CR3023BIOM</t>
  </si>
  <si>
    <t>F3</t>
  </si>
  <si>
    <t>Quantity of sludge recycled by a third party</t>
  </si>
  <si>
    <t>CR3024BIOM</t>
  </si>
  <si>
    <t>F4</t>
  </si>
  <si>
    <t>Number of contracts held to provide sludge recycling or disposal services</t>
  </si>
  <si>
    <t>CR3025BIOM</t>
  </si>
  <si>
    <t>F5</t>
  </si>
  <si>
    <t>Number of suppliers with contracts for sludge recycling or disposal</t>
  </si>
  <si>
    <t>CR3026BIOM</t>
  </si>
  <si>
    <t>The number of current contracts held with third parties to provide a bioresources service (treatment, transport, recycling) at the end of the financial year. Where a contract covers more than one service (transport, treatment and/or recycling) companies should record this as a single contract. Companies should not include contracts that they hold with joint ventures, associated companies or where they retain ownership of assets or equipment being used by contractors on their behalf.</t>
  </si>
  <si>
    <t xml:space="preserve">The total amount paid to third parties on bioresources service contracts during the financial year. This is for all contracts. It includes any amount of money paid out on contracts that ended during the year. 
</t>
  </si>
  <si>
    <t xml:space="preserve">The number of different suppliers with contracts held with the company to provide a bioresources service. A company’s own bioresources business should not be counted as a supplier. </t>
  </si>
  <si>
    <t>The number of contracts that have either been terminated in the year or have come to the end of the contract.  Where a contract has been terminated the company should provide details in an accompanying commentary for the reason for its termination.</t>
  </si>
  <si>
    <t>The number of contracts renewed during the financial year to provide a bioresources service.</t>
  </si>
  <si>
    <t>The number of new contracts that have been agreed during the financial year to provide a bioresources service.</t>
  </si>
  <si>
    <t xml:space="preserve">The number of formal tenders issued during the financial year asking for bids by a third party to provide bioresources services. </t>
  </si>
  <si>
    <t xml:space="preserve">Total number of bids received for all formal tenders issued during the year. For instance if a company received 6 bids for one project, the company should count all six bids. </t>
  </si>
  <si>
    <t xml:space="preserve">Number of contracts awarded during the year through the formal tendering process. The company should provide an explanation where the number of tenders awarded is different from the number of formal tenders issued during the financial year. For example differences may occur where the financial tender was issued the financial year before the contract was awarded, or where no bids were received for a tender. </t>
  </si>
  <si>
    <t>The number of offers or bids received by the company outside of any formal tendering process. We expect that an offer of services would include some financial and contractual detail, similar to what might be provided through an ‘Expression of Interest’ in a tendering process. We do not expect a company to count every speculative contact made either in writing or by phone.</t>
  </si>
  <si>
    <t>The number of offers or bids that have resulted in a contract being agreed during the financial year.</t>
  </si>
  <si>
    <t xml:space="preserve">Total quantity of sludge produced by the network plus function. This figure should be given as thousand tonnes of dry solids in the financial year.  </t>
  </si>
  <si>
    <t xml:space="preserve">Thousand tonnes of dry solids treated in-house by your own bioresources business in the financial year.  </t>
  </si>
  <si>
    <t>Thousand tonnes of dry solids treated by a third-party in the financial year.</t>
  </si>
  <si>
    <t>The number of current contracts held with third parties to provide sludge treatment.</t>
  </si>
  <si>
    <t xml:space="preserve">The number of different third-party suppliers that hold contracts to treat sludge as at the end of the financial year. The company should not include its own bioresources business as a supplier.  </t>
  </si>
  <si>
    <t>Total thousand tonnes dry solids of sludge transported by road. This includes sludge transported from the network plus function to the sludge treatment centre (STC) as well as sludge from the (STC) to either a disposal site or for recycling to land.</t>
  </si>
  <si>
    <t xml:space="preserve">Thousand tonnes of dry solids transported by your own bioresources business in the financial year.  </t>
  </si>
  <si>
    <t>Thousand tonnes of dry solids transported by a third party in the financial year.</t>
  </si>
  <si>
    <t>The number of current contracts held with third parties to provide sludge transportation.</t>
  </si>
  <si>
    <t xml:space="preserve">The number of different third-party suppliers that hold contracts to transport sludge as at the end of the financial year. The company should not include its own bioresources business as a supplier.  </t>
  </si>
  <si>
    <t xml:space="preserve">Total thousand tonnes dry solids of sludge that is either disposed of or taken to land for recycling. This figure is reported in thousand tonnes dry solids for the financial year. </t>
  </si>
  <si>
    <t>Thousand tonnes of dry solids disposed or recycled by your own bioresources business in the financial year.</t>
  </si>
  <si>
    <t>Thousand tonnes of dry solids disposed or recycled by a third-party in the financial year.</t>
  </si>
  <si>
    <t>The number of current contracts held with third parties to provide sludge recycling or disposal services.</t>
  </si>
  <si>
    <t xml:space="preserve">The number of different third-party suppliers that hold contracts to dispose of or recycle sludge at the end of the financial year. The company should not include its own bioresources business as a supplier.  </t>
  </si>
  <si>
    <t>APR_2019-20</t>
  </si>
  <si>
    <t>Acronym</t>
  </si>
  <si>
    <t>Reference</t>
  </si>
  <si>
    <t>Model</t>
  </si>
  <si>
    <t>Description_input</t>
  </si>
  <si>
    <t>Cyclical Foundation</t>
  </si>
  <si>
    <t>Group entry</t>
  </si>
  <si>
    <t>Abstraction sites</t>
  </si>
  <si>
    <t>AIM performance (Ml)</t>
  </si>
  <si>
    <t>Normalised AIM performance</t>
  </si>
  <si>
    <t>Cumulative AIM performance (Ml)</t>
  </si>
  <si>
    <t>Cumulative normalised AIM performance</t>
  </si>
  <si>
    <t>Contextual information relating to AIM performance</t>
  </si>
  <si>
    <t>Lists etc</t>
  </si>
  <si>
    <t>Fountain name</t>
  </si>
  <si>
    <t>Name</t>
  </si>
  <si>
    <t>WaSC or Woc</t>
  </si>
  <si>
    <t>Table 3A drop down lists</t>
  </si>
  <si>
    <t>WaSC</t>
  </si>
  <si>
    <t>Anglian Water Services</t>
  </si>
  <si>
    <t>Anglian Water</t>
  </si>
  <si>
    <t>ANH</t>
  </si>
  <si>
    <t>Column H</t>
  </si>
  <si>
    <t>Dwr Cymru Cyfyngedig (Welsh)</t>
  </si>
  <si>
    <t>Dŵr Cymru</t>
  </si>
  <si>
    <t>WSH</t>
  </si>
  <si>
    <t>Northumbrian Water Ltd</t>
  </si>
  <si>
    <t>Northumbrian Water</t>
  </si>
  <si>
    <t>NES</t>
  </si>
  <si>
    <t>Severn Trent Water Ltd</t>
  </si>
  <si>
    <t>Severn Trent Water</t>
  </si>
  <si>
    <t>SVT</t>
  </si>
  <si>
    <t>South West Water (including Bournemouth)</t>
  </si>
  <si>
    <t>South West Water</t>
  </si>
  <si>
    <t>SWB</t>
  </si>
  <si>
    <t>South West Water Ltd</t>
  </si>
  <si>
    <t>South West Water – South West area</t>
  </si>
  <si>
    <t>SWT</t>
  </si>
  <si>
    <t>Column I &amp; K</t>
  </si>
  <si>
    <t>Southern Water Services Ltd</t>
  </si>
  <si>
    <t>Southern Water</t>
  </si>
  <si>
    <t>SRN</t>
  </si>
  <si>
    <t>Outperformance payment</t>
  </si>
  <si>
    <t>Thames Water Utilities Ltd</t>
  </si>
  <si>
    <t>Thames Water</t>
  </si>
  <si>
    <t>TMS</t>
  </si>
  <si>
    <t>Outperformance payment deadband</t>
  </si>
  <si>
    <t>United Utilities Water Plc</t>
  </si>
  <si>
    <t>United Utilities</t>
  </si>
  <si>
    <t>NWT</t>
  </si>
  <si>
    <t>Underperformance payment</t>
  </si>
  <si>
    <t>Wessex Water Services Ltd</t>
  </si>
  <si>
    <t>Wessex Water</t>
  </si>
  <si>
    <t>WSX</t>
  </si>
  <si>
    <t>Underperformance payment deadband</t>
  </si>
  <si>
    <t>Yorkshire Water Services Ltd</t>
  </si>
  <si>
    <t>Yorkshire Water</t>
  </si>
  <si>
    <t>YKY</t>
  </si>
  <si>
    <t>Affinity Water</t>
  </si>
  <si>
    <t>afw</t>
  </si>
  <si>
    <t>WoC</t>
  </si>
  <si>
    <t>Bristol Water plc</t>
  </si>
  <si>
    <t>Bristol Water</t>
  </si>
  <si>
    <t>brl</t>
  </si>
  <si>
    <t>Dee Valley Water Plc</t>
  </si>
  <si>
    <t>Dee Valley Water</t>
  </si>
  <si>
    <t>dvw</t>
  </si>
  <si>
    <t>Not applicable</t>
  </si>
  <si>
    <t>Portsmouth Water Ltd</t>
  </si>
  <si>
    <t>Portsmouth Water</t>
  </si>
  <si>
    <t>prt</t>
  </si>
  <si>
    <t>Bournemouth Water</t>
  </si>
  <si>
    <t>South West Water – Bournemouth area</t>
  </si>
  <si>
    <t>sbw</t>
  </si>
  <si>
    <t>South East Water Ltd</t>
  </si>
  <si>
    <t>South East Water</t>
  </si>
  <si>
    <t>sew</t>
  </si>
  <si>
    <t>South Staffordshire Cambridge</t>
  </si>
  <si>
    <t>South Staffordshire / Cambridge Water</t>
  </si>
  <si>
    <t>ssc</t>
  </si>
  <si>
    <t>Sutton &amp; East Surrey Water Ltd</t>
  </si>
  <si>
    <t>Sutton &amp; East Surrey Water</t>
  </si>
  <si>
    <t>ses</t>
  </si>
  <si>
    <t>Thames Tideway Tunnel</t>
  </si>
  <si>
    <t>Bazalgette Tunnel Ltd (Tideway)</t>
  </si>
  <si>
    <t>Hafren Dyfrdwy Cyfyngedig</t>
  </si>
  <si>
    <t>Hafren Dyfrdwy</t>
  </si>
  <si>
    <t>HDD</t>
  </si>
  <si>
    <t>Severn Trent Water Ltd (England)</t>
  </si>
  <si>
    <t>Severn Trent Water (England)</t>
  </si>
  <si>
    <t>SVE</t>
  </si>
  <si>
    <t>&lt;-----------   AMP6 performance commitment levels   -------------&gt;</t>
  </si>
  <si>
    <t>&lt;-----------  PR14 comparative assessments  -----------&gt;</t>
  </si>
  <si>
    <t>Financial ODI/milestone may accrue or apply</t>
  </si>
  <si>
    <t>Underperformance penalty collar</t>
  </si>
  <si>
    <t>Underperformance penalty deadband</t>
  </si>
  <si>
    <t>Outperformance payment cap</t>
  </si>
  <si>
    <t>Underperformance penalty 1</t>
  </si>
  <si>
    <t>Underperformance penalty 2</t>
  </si>
  <si>
    <t>Underperformance penalty 3</t>
  </si>
  <si>
    <t>Underperformance penalty 4</t>
  </si>
  <si>
    <t>Outperformance payment 1</t>
  </si>
  <si>
    <t>Outperformance payment 2</t>
  </si>
  <si>
    <r>
      <t>2016 APR submission data</t>
    </r>
    <r>
      <rPr>
        <sz val="9"/>
        <color theme="1"/>
        <rFont val="Arial"/>
        <family val="2"/>
      </rPr>
      <t xml:space="preserve"> (monetary amounts in 2012-13 prices)</t>
    </r>
  </si>
  <si>
    <r>
      <t>2017 APR submission data</t>
    </r>
    <r>
      <rPr>
        <sz val="9"/>
        <color theme="1"/>
        <rFont val="Arial"/>
        <family val="2"/>
      </rPr>
      <t xml:space="preserve"> (monetary amounts in 2012-13 prices)</t>
    </r>
  </si>
  <si>
    <r>
      <t>2018 APR submission data</t>
    </r>
    <r>
      <rPr>
        <sz val="9"/>
        <color theme="1"/>
        <rFont val="Arial"/>
        <family val="2"/>
      </rPr>
      <t xml:space="preserve"> (monetary amounts in 2012-13 prices)</t>
    </r>
  </si>
  <si>
    <r>
      <t>2019 APR submission data</t>
    </r>
    <r>
      <rPr>
        <sz val="9"/>
        <color theme="1"/>
        <rFont val="Arial"/>
        <family val="2"/>
      </rPr>
      <t xml:space="preserve"> (monetary amounts in 2012-13 prices)</t>
    </r>
  </si>
  <si>
    <t>Company</t>
  </si>
  <si>
    <t>Company type</t>
  </si>
  <si>
    <t>Element</t>
  </si>
  <si>
    <t>Element acronym</t>
  </si>
  <si>
    <t>Outcome</t>
  </si>
  <si>
    <t>PC ref.
(company)</t>
  </si>
  <si>
    <t>Annex 4 order</t>
  </si>
  <si>
    <t>ODI type</t>
  </si>
  <si>
    <t>ODI form</t>
  </si>
  <si>
    <t>In-period ODI</t>
  </si>
  <si>
    <t>Standard ('vanilla') financial ODI</t>
  </si>
  <si>
    <t>Primary category</t>
  </si>
  <si>
    <t>PC unit</t>
  </si>
  <si>
    <t>PC unit description</t>
  </si>
  <si>
    <t>Direction of improving performance</t>
  </si>
  <si>
    <t>2014-15
starting level
(PR14 FD)</t>
  </si>
  <si>
    <t>2015-16
PCL</t>
  </si>
  <si>
    <t>2016-17
PCL</t>
  </si>
  <si>
    <t>2017-18
PCL</t>
  </si>
  <si>
    <t>2018-19
PCL</t>
  </si>
  <si>
    <t>2019-20
PCL</t>
  </si>
  <si>
    <t>Drinking water quality compliance</t>
  </si>
  <si>
    <t>Water quality contacts</t>
  </si>
  <si>
    <t>Supply interruptions (&gt;3 hours)</t>
  </si>
  <si>
    <t>Pollution incidents (cat 3)</t>
  </si>
  <si>
    <t>Internal sewer flooding</t>
  </si>
  <si>
    <t>Scheme specific factors
(all or part)</t>
  </si>
  <si>
    <t>Asset health/ resilience
(all or part)</t>
  </si>
  <si>
    <t>NEP
(all or part)</t>
  </si>
  <si>
    <t>AIM</t>
  </si>
  <si>
    <t>No. of
sub-measures</t>
  </si>
  <si>
    <t>2015-16</t>
  </si>
  <si>
    <t>incentive rate
(£m)</t>
  </si>
  <si>
    <t>Standard ODI operand</t>
  </si>
  <si>
    <t>Standard ODI operand note</t>
  </si>
  <si>
    <t>2014-15 performance level
- actual</t>
  </si>
  <si>
    <t>2015-16 performance level
- actual</t>
  </si>
  <si>
    <t>2015-16
PCL met?</t>
  </si>
  <si>
    <t>2015-16
outperformance payment or underperformance penalty
in-period ODIs</t>
  </si>
  <si>
    <t>2015-16
outperformance payment or underperformance penalty
in-period ODIs (£m)</t>
  </si>
  <si>
    <t>2015-16 notional
outperformance payment or underperformance penalty
accrued at 31 March 2016</t>
  </si>
  <si>
    <t>2015-16 notional
outperformance payment or underperformance penalty
accrued at 31 March 2016 (£m)</t>
  </si>
  <si>
    <t>2016-17 performance level
- actual</t>
  </si>
  <si>
    <t>2016-17
PCL met?</t>
  </si>
  <si>
    <t>2016-17
outperformance payment or underperformance penalty
in-period ODIs</t>
  </si>
  <si>
    <t>2016-17
outperformance payment or underperformance penalty
in-period ODIs (£m)</t>
  </si>
  <si>
    <t>2016-17 notional outperformance payment or underperformance penalty accrued at 31 March 2017</t>
  </si>
  <si>
    <t>2016-17 notional outperformance payment or underperformance penalty accrued at 31 March 2017 (£m)</t>
  </si>
  <si>
    <t>2017-18 performance level
- actual</t>
  </si>
  <si>
    <t>2017-18
PCL met?</t>
  </si>
  <si>
    <t>2017-18
outperformance payment or underperformance penalty
in-period ODIs</t>
  </si>
  <si>
    <t>2017-18
outperformance payment or underperformance penalty
in-period ODIs (£m)</t>
  </si>
  <si>
    <t>2017-18 notional outperformance payment or underperformance penalty accrued at 31 March 2018</t>
  </si>
  <si>
    <t>2017-18 notional outperformance payment or underperformance penalty accrued at 31 March 2018 (£m)</t>
  </si>
  <si>
    <t>2018-19 performance level
- actual</t>
  </si>
  <si>
    <t>2018-19
PCL met?</t>
  </si>
  <si>
    <t>2018-19
outperformance payment or underperformance penalty
in-period ODIs</t>
  </si>
  <si>
    <t>2018-19
outperformance payment or underperformance penalty
in-period ODIs (£m)</t>
  </si>
  <si>
    <t>2018-19 notional outperformance payment or underperformance penalty accrued at 31 March 2019</t>
  </si>
  <si>
    <t>2018-19 notional outperformance payment or underperformance penalty accrued at 31 March 2019 (£m)</t>
  </si>
  <si>
    <t>AFW</t>
  </si>
  <si>
    <t>PR14AFWWSW_W-A1</t>
  </si>
  <si>
    <t>WSW</t>
  </si>
  <si>
    <t>Making sure our customers have enough water, whilst leaving more water in the environment</t>
  </si>
  <si>
    <t>W-A1</t>
  </si>
  <si>
    <t>AFW-01</t>
  </si>
  <si>
    <t>W-A1: Leakage</t>
  </si>
  <si>
    <t>Out &amp; under</t>
  </si>
  <si>
    <t xml:space="preserve">Revenue </t>
  </si>
  <si>
    <t>Megalitres per day (Ml/d)</t>
  </si>
  <si>
    <t>Down</t>
  </si>
  <si>
    <t>na</t>
  </si>
  <si>
    <t/>
  </si>
  <si>
    <t>AFW  W-A1: Leakage</t>
  </si>
  <si>
    <t>PR14AFWWSW_W-A2</t>
  </si>
  <si>
    <t>W-A2</t>
  </si>
  <si>
    <t>AFW-02</t>
  </si>
  <si>
    <t>W-A2: Average water use</t>
  </si>
  <si>
    <t>Under</t>
  </si>
  <si>
    <t>Water consumption</t>
  </si>
  <si>
    <t>Litres per person per day (l/p/d)</t>
  </si>
  <si>
    <t>AFW  W-A2: Average water use</t>
  </si>
  <si>
    <t>PR14AFWWSW_W-A3</t>
  </si>
  <si>
    <t>W-A3</t>
  </si>
  <si>
    <t>AFW-03</t>
  </si>
  <si>
    <t>W-A3: Water available for use</t>
  </si>
  <si>
    <t>Security of supply</t>
  </si>
  <si>
    <t>AFW  W-A3: Water available for use</t>
  </si>
  <si>
    <t>PR14AFWWSW_W-A4</t>
  </si>
  <si>
    <t>W-A4</t>
  </si>
  <si>
    <t>AFW-04</t>
  </si>
  <si>
    <t>W-A4: Sustainable abstraction reductions</t>
  </si>
  <si>
    <t>Water resources/ abstraction</t>
  </si>
  <si>
    <t>AFW  W-A4: Sustainable abstraction reductions</t>
  </si>
  <si>
    <t>PR14AFWWSW_W-A5</t>
  </si>
  <si>
    <t>W-A5</t>
  </si>
  <si>
    <t>AFW-05</t>
  </si>
  <si>
    <t>W-A5: Abstraction incentive mechanism (AIM)</t>
  </si>
  <si>
    <t>NFI</t>
  </si>
  <si>
    <t>TBC</t>
  </si>
  <si>
    <t>AFW  W-A5: Abstraction incentive mechanism (AIM)</t>
  </si>
  <si>
    <t>PR14AFWWSW_W-B1</t>
  </si>
  <si>
    <t>Supplying high quality water you can trust</t>
  </si>
  <si>
    <t>W-B1</t>
  </si>
  <si>
    <t>AFW-06</t>
  </si>
  <si>
    <t>W-B1: Compliance with water quality standards (mean zonal compliance)</t>
  </si>
  <si>
    <t>Water quality compliance</t>
  </si>
  <si>
    <t>Mean zonal compliance (%)</t>
  </si>
  <si>
    <t>Up</t>
  </si>
  <si>
    <t>AFW  W-B1: Compliance with water quality standards (mean zonal compliance)</t>
  </si>
  <si>
    <t>PR14AFWWSW_W-B2</t>
  </si>
  <si>
    <t>W-B2</t>
  </si>
  <si>
    <t>AFW-07</t>
  </si>
  <si>
    <t>W-B2: Customer contacts for discolouration</t>
  </si>
  <si>
    <t>No. per 1,000 population</t>
  </si>
  <si>
    <t>AFW  W-B2: Customer contacts for discolouration</t>
  </si>
  <si>
    <t>PR14AFWWSW_W-C1</t>
  </si>
  <si>
    <t>Minimising disruption to you and your community</t>
  </si>
  <si>
    <t>W-C1</t>
  </si>
  <si>
    <t>AFW-08</t>
  </si>
  <si>
    <t>W-C1: Unplanned interruptions to supply over 12 hours</t>
  </si>
  <si>
    <t>No. of properties</t>
  </si>
  <si>
    <t>Underperformance penalty</t>
  </si>
  <si>
    <t>AFW  W-C1: Unplanned interruptions to supply over 12 hours</t>
  </si>
  <si>
    <t>PR14AFWWSW_W-C2</t>
  </si>
  <si>
    <t>W-C2</t>
  </si>
  <si>
    <t>AFW-09</t>
  </si>
  <si>
    <t>W-C2: Number of burst mains</t>
  </si>
  <si>
    <t>Asset health - water</t>
  </si>
  <si>
    <t>No. of burst mains per year</t>
  </si>
  <si>
    <t>AFW  W-C2: Number of burst mains</t>
  </si>
  <si>
    <t>PR14AFWWSW_W-C3</t>
  </si>
  <si>
    <t>W-C3</t>
  </si>
  <si>
    <t>AFW-10</t>
  </si>
  <si>
    <t>W-C3: Affected customers not notified of planned interruptions</t>
  </si>
  <si>
    <t>No. of GSS events</t>
  </si>
  <si>
    <t>AFW  W-C3: Affected customers not notified of planned interruptions</t>
  </si>
  <si>
    <t>PR14AFWWSW_W-C4</t>
  </si>
  <si>
    <t>W-C4</t>
  </si>
  <si>
    <t>AFW-11</t>
  </si>
  <si>
    <t>W-C4: Planned work taking longer to complete than notified</t>
  </si>
  <si>
    <t>AFW  W-C4: Planned work taking longer to complete than notified</t>
  </si>
  <si>
    <t>PR14AFWHHR_R-A1</t>
  </si>
  <si>
    <t>Retail (HH)</t>
  </si>
  <si>
    <t>HHR</t>
  </si>
  <si>
    <t>Providing a value for money service</t>
  </si>
  <si>
    <t>R-A1</t>
  </si>
  <si>
    <t>AFW-12</t>
  </si>
  <si>
    <t>R-A1: SIM service score</t>
  </si>
  <si>
    <t>SIM</t>
  </si>
  <si>
    <t>score</t>
  </si>
  <si>
    <t>Service incentive mechanism (SIM) score</t>
  </si>
  <si>
    <t>OM</t>
  </si>
  <si>
    <t>AFW  R-A1: SIM service score</t>
  </si>
  <si>
    <t>PR14AFWHHR_R-A2</t>
  </si>
  <si>
    <t>R-A2</t>
  </si>
  <si>
    <t>AFW-13</t>
  </si>
  <si>
    <t>R-A2: Value for money survey</t>
  </si>
  <si>
    <t>Billing, debt, vfm, affordability</t>
  </si>
  <si>
    <t>Score out of 100</t>
  </si>
  <si>
    <t>69.5</t>
  </si>
  <si>
    <t>AFW  R-A2: Value for money survey</t>
  </si>
  <si>
    <t>PR14ANHWSW_W-A2</t>
  </si>
  <si>
    <t>Satisfied customers</t>
  </si>
  <si>
    <t>ANH-01</t>
  </si>
  <si>
    <t>W-A2: Water supply interruptions</t>
  </si>
  <si>
    <t>time</t>
  </si>
  <si>
    <t>Minutes / property / year</t>
  </si>
  <si>
    <t>ANH  W-A2: Water supply interruptions</t>
  </si>
  <si>
    <t>PR14ANHWSW_W-A3</t>
  </si>
  <si>
    <t>ANH-02</t>
  </si>
  <si>
    <t>W-A3: Properties at risk of persistent low pressure</t>
  </si>
  <si>
    <t>Water pressure</t>
  </si>
  <si>
    <t>ANH  W-A3: Properties at risk of persistent low pressure</t>
  </si>
  <si>
    <t>PR14ANHWSW_W-A4</t>
  </si>
  <si>
    <t>ANH-03</t>
  </si>
  <si>
    <t>W-A4: Water quality contacts</t>
  </si>
  <si>
    <t>ANH  W-A4: Water quality contacts</t>
  </si>
  <si>
    <t>PR14ANHWSW_W-B1</t>
  </si>
  <si>
    <t>Fair charges</t>
  </si>
  <si>
    <t>ANH-04</t>
  </si>
  <si>
    <t>W-B1: Value for money perception - variation from baseline against WaSCs (water)</t>
  </si>
  <si>
    <t>% variation from WaSC baseline</t>
  </si>
  <si>
    <t>ANH  W-B1: Value for money perception - variation from baseline against WaSCs (water)</t>
  </si>
  <si>
    <t>PR14ANHWSW_W-C1</t>
  </si>
  <si>
    <t>Resilient supplies</t>
  </si>
  <si>
    <t>ANH-05</t>
  </si>
  <si>
    <t>W-C1: Percentage of population supplied by single supply system</t>
  </si>
  <si>
    <t>% population with single supply system</t>
  </si>
  <si>
    <t>x 5 years</t>
  </si>
  <si>
    <t>ANH  W-C1: Percentage of population supplied by single supply system</t>
  </si>
  <si>
    <t>PR14ANHWSW_W-C2</t>
  </si>
  <si>
    <t>ANH-06</t>
  </si>
  <si>
    <t>W-C2: Frequency of service level restrictions (hosepipe bans)</t>
  </si>
  <si>
    <t>Supply restrictions</t>
  </si>
  <si>
    <t>No. (frequency) per 10 years</t>
  </si>
  <si>
    <t>ANH  W-C2: Frequency of service level restrictions (hosepipe bans)</t>
  </si>
  <si>
    <t>PR14ANHWSW_W-D1</t>
  </si>
  <si>
    <t>Supply meets demand</t>
  </si>
  <si>
    <t>W-D1</t>
  </si>
  <si>
    <t>ANH-07</t>
  </si>
  <si>
    <t>W-D1: Security of Supply Index (SoSI) - dry year annual average</t>
  </si>
  <si>
    <t>Security of Supply Index (SOSI)</t>
  </si>
  <si>
    <t>ANH  W-D1: Security of Supply Index (SoSI) - dry year annual average</t>
  </si>
  <si>
    <t>PR14ANHWSW_W-D2</t>
  </si>
  <si>
    <t>W-D2</t>
  </si>
  <si>
    <t>ANH-08</t>
  </si>
  <si>
    <t>W-D2: Security of Supply Index (SoSI) - critical period (peak) demand</t>
  </si>
  <si>
    <t>ANH  W-D2: Security of Supply Index (SoSI) - critical period (peak) demand</t>
  </si>
  <si>
    <t>PR14ANHWSW_W-D3</t>
  </si>
  <si>
    <t>W-D3</t>
  </si>
  <si>
    <t>ANH-09</t>
  </si>
  <si>
    <t>W-D3: Per property consumption (PPC) (litres/household/day reduction)</t>
  </si>
  <si>
    <t>Litres per household per day (l/hh/d)</t>
  </si>
  <si>
    <t>ANH  W-D3: Per property consumption (PPC) (litres/household/day reduction)</t>
  </si>
  <si>
    <t>PR14ANHWSW_W-D4</t>
  </si>
  <si>
    <t>W-D4</t>
  </si>
  <si>
    <t>ANH-10</t>
  </si>
  <si>
    <t>W-D4: Leakage - three-year average</t>
  </si>
  <si>
    <t>ANH  W-D4: Leakage - three-year average</t>
  </si>
  <si>
    <t>PR14ANHWSW_W-E1</t>
  </si>
  <si>
    <t>Flourishing environment</t>
  </si>
  <si>
    <t>W-E1</t>
  </si>
  <si>
    <t>ANH-11</t>
  </si>
  <si>
    <t>W-E1: Percentage of SSSIs (by area) with favourable status</t>
  </si>
  <si>
    <t>Biodiversity/SSSIs</t>
  </si>
  <si>
    <t>% SSSIs with favourable status</t>
  </si>
  <si>
    <t>ANH  W-E1: Percentage of SSSIs (by area) with favourable status</t>
  </si>
  <si>
    <t>PR14ANHWSW_W-E2</t>
  </si>
  <si>
    <t>W-E2</t>
  </si>
  <si>
    <t>ANH-12</t>
  </si>
  <si>
    <t>W-E2: Environmental compliance (water)</t>
  </si>
  <si>
    <t>Environmental</t>
  </si>
  <si>
    <t>No. of obligations delivered</t>
  </si>
  <si>
    <t>ANH  W-E2: Environmental compliance (water)</t>
  </si>
  <si>
    <t>PR14ANHWSW_W-F1</t>
  </si>
  <si>
    <t>A smaller footprint</t>
  </si>
  <si>
    <t>W-F1</t>
  </si>
  <si>
    <t>ANH-13</t>
  </si>
  <si>
    <t>W-F1: Operational carbon (% reduction from 2015 baseline)</t>
  </si>
  <si>
    <t>Energy/emissions</t>
  </si>
  <si>
    <t>% reduction from 2015 baseline</t>
  </si>
  <si>
    <t>ANH  W-F1: Operational carbon (% reduction from 2015 baseline)</t>
  </si>
  <si>
    <t>PR14ANHWSW_W-F2</t>
  </si>
  <si>
    <t>W-F2</t>
  </si>
  <si>
    <t>ANH-14</t>
  </si>
  <si>
    <t>W-F2: Embodied carbon (% reduction from 2010 baseline)</t>
  </si>
  <si>
    <t>% reduction from 2010 baseline</t>
  </si>
  <si>
    <t>ANH  W-F2: Embodied carbon (% reduction from 2010 baseline)</t>
  </si>
  <si>
    <t>PR14ANHWSW_W-G1</t>
  </si>
  <si>
    <t>Caring for communities</t>
  </si>
  <si>
    <t>W-G1</t>
  </si>
  <si>
    <t>ANH-15</t>
  </si>
  <si>
    <t>W-G1: Survey of community perception</t>
  </si>
  <si>
    <t>Customer satisfaction (exc. bills)</t>
  </si>
  <si>
    <t>% customer satisfaction</t>
  </si>
  <si>
    <t>Not available</t>
  </si>
  <si>
    <t>ANH  W-G1: Survey of community perception</t>
  </si>
  <si>
    <t>PR14ANHWSW_W-H1</t>
  </si>
  <si>
    <t>Investing for tomorrow</t>
  </si>
  <si>
    <t>W-H1</t>
  </si>
  <si>
    <t>ANH-16</t>
  </si>
  <si>
    <t>W-H1: Water infrastructure</t>
  </si>
  <si>
    <t>category</t>
  </si>
  <si>
    <t>Asset health indicator (RAG)</t>
  </si>
  <si>
    <t>Stable</t>
  </si>
  <si>
    <t>ANH  W-H1: Water infrastructure</t>
  </si>
  <si>
    <t>PR14ANHWSW_W-H2</t>
  </si>
  <si>
    <t>W-H2</t>
  </si>
  <si>
    <t>ANH-17</t>
  </si>
  <si>
    <t>W-H2: Water non-infrastructure</t>
  </si>
  <si>
    <t>ANH  W-H2: Water non-infrastructure</t>
  </si>
  <si>
    <t>PR14ANHWSW_W-I1</t>
  </si>
  <si>
    <t>Safe, clean water</t>
  </si>
  <si>
    <t>W-I1</t>
  </si>
  <si>
    <t>ANH-18</t>
  </si>
  <si>
    <t>W-I1: Mean zonal compliance (MZC)</t>
  </si>
  <si>
    <t>ANH  W-I1: Mean zonal compliance (MZC)</t>
  </si>
  <si>
    <t>PR14ANHWSWW_S-A2</t>
  </si>
  <si>
    <t>WSWW</t>
  </si>
  <si>
    <t>S-A2</t>
  </si>
  <si>
    <t>ANH-19</t>
  </si>
  <si>
    <t>S-A2: Properties flooded internally from sewers - three-year average (reduction)</t>
  </si>
  <si>
    <t>Sewer flooding/collapses etc</t>
  </si>
  <si>
    <t>No. of properties flooded internally (reduction)</t>
  </si>
  <si>
    <t>ANH  S-A2: Properties flooded internally from sewers - three-year average (reduction)</t>
  </si>
  <si>
    <t>PR14ANHWSWW_S-A3</t>
  </si>
  <si>
    <t>S-A3</t>
  </si>
  <si>
    <t>ANH-20</t>
  </si>
  <si>
    <t>S-A3: Properties flooded externally from sewers - three-year average (reduction)</t>
  </si>
  <si>
    <t>No. of properties flooded externally (reduction)</t>
  </si>
  <si>
    <t>ANH  S-A3: Properties flooded externally from sewers - three-year average (reduction)</t>
  </si>
  <si>
    <t>PR14ANHWSWW_S-A4</t>
  </si>
  <si>
    <t>S-A4</t>
  </si>
  <si>
    <t>ANH-21</t>
  </si>
  <si>
    <t>S-A4: Percentage of sewerage capacity schemes incorporating sustainable solutions</t>
  </si>
  <si>
    <t>Sustainability/innovation</t>
  </si>
  <si>
    <t>% sustainable sewerage capacity schemes</t>
  </si>
  <si>
    <t>ANH  S-A4: Percentage of sewerage capacity schemes incorporating sustainable solutions</t>
  </si>
  <si>
    <t>PR14ANHWSWW_S-B1</t>
  </si>
  <si>
    <t>S-B1</t>
  </si>
  <si>
    <t>ANH-22</t>
  </si>
  <si>
    <t>S-B1: Value for money perception variation from baseline against WaSCs (wastewater)</t>
  </si>
  <si>
    <t>ANH  S-B1: Value for money perception variation from baseline against WaSCs (wastewater)</t>
  </si>
  <si>
    <t>PR14ANHWSWW_S-C1</t>
  </si>
  <si>
    <t>S-C1</t>
  </si>
  <si>
    <t>ANH-23</t>
  </si>
  <si>
    <t>S-C1: Percentage of bathing waters attaining excellent status</t>
  </si>
  <si>
    <t>% bathing waters - excellent status</t>
  </si>
  <si>
    <t>ANH  S-C1: Percentage of bathing waters attaining excellent status</t>
  </si>
  <si>
    <t>PR14ANHWSWW_S-C2</t>
  </si>
  <si>
    <t>S-C2</t>
  </si>
  <si>
    <t>ANH-24</t>
  </si>
  <si>
    <t>S-C2: Percentage of SSSIs (by area) with favourable status</t>
  </si>
  <si>
    <t>ANH  S-C2: Percentage of SSSIs (by area) with favourable status</t>
  </si>
  <si>
    <t>PR14ANHWSWW_S-C3</t>
  </si>
  <si>
    <t>S-C3</t>
  </si>
  <si>
    <t>ANH-25</t>
  </si>
  <si>
    <t>S-C3: Pollution incidents (category 3)</t>
  </si>
  <si>
    <t>Pollution incidents</t>
  </si>
  <si>
    <t>No. of pollution incidents (cat 3)</t>
  </si>
  <si>
    <t>ANH  S-C3: Pollution incidents (category 3)</t>
  </si>
  <si>
    <t>PR14ANHWSWW_S-C4</t>
  </si>
  <si>
    <t>S-C4</t>
  </si>
  <si>
    <t>ANH-26</t>
  </si>
  <si>
    <t>S-C4: Environmental compliance (wastewater)</t>
  </si>
  <si>
    <t>ANH  S-C4: Environmental compliance (wastewater)</t>
  </si>
  <si>
    <t>PR14ANHWSWW_S-D1</t>
  </si>
  <si>
    <t>S-D1</t>
  </si>
  <si>
    <t>ANH-27</t>
  </si>
  <si>
    <t>S-D1: Operational carbon (% reduction from 2015 baseline)</t>
  </si>
  <si>
    <t>ANH  S-D1: Operational carbon (% reduction from 2015 baseline)</t>
  </si>
  <si>
    <t>PR14ANHWSWW_S-D2</t>
  </si>
  <si>
    <t>S-D2</t>
  </si>
  <si>
    <t>ANH-28</t>
  </si>
  <si>
    <t>S-D2: Embodied carbon (% reduction from 2010 baseline)</t>
  </si>
  <si>
    <t>ANH  S-D2: Embodied carbon (% reduction from 2010 baseline)</t>
  </si>
  <si>
    <t>PR14ANHWSWW_S-E1</t>
  </si>
  <si>
    <t>S-E1</t>
  </si>
  <si>
    <t>ANH-29</t>
  </si>
  <si>
    <t>S-E1: Survey of community perception</t>
  </si>
  <si>
    <t>ANH  S-E1: Survey of community perception</t>
  </si>
  <si>
    <t>PR14ANHWSWW_S-F1</t>
  </si>
  <si>
    <t>S-F1</t>
  </si>
  <si>
    <t>ANH-30</t>
  </si>
  <si>
    <t>S-F1: Sewerage infrastructure</t>
  </si>
  <si>
    <t>Asset health - wastewater</t>
  </si>
  <si>
    <t>ANH  S-F1: Sewerage infrastructure</t>
  </si>
  <si>
    <t>PR14ANHWSWW_S-F2</t>
  </si>
  <si>
    <t>S-F2</t>
  </si>
  <si>
    <t>ANH-31</t>
  </si>
  <si>
    <t>S-F2: Sewerage non-infrastructure</t>
  </si>
  <si>
    <t>ANH  S-F2: Sewerage non-infrastructure</t>
  </si>
  <si>
    <t>PR14ANHHHR_R-A1</t>
  </si>
  <si>
    <t>ANH-32</t>
  </si>
  <si>
    <t>R-A1: Qualitative service incentive mechanism (SIM) score</t>
  </si>
  <si>
    <t>text</t>
  </si>
  <si>
    <t>Service incentive mechanism (SIM) score ranking (WaSCs)</t>
  </si>
  <si>
    <t>3rd+</t>
  </si>
  <si>
    <t>3rd among the 10 WaSCs</t>
  </si>
  <si>
    <t>6th among the 10 WaSCs</t>
  </si>
  <si>
    <t>1st among the 10 WaSCs</t>
  </si>
  <si>
    <t>ANH  R-A1: Qualitative service incentive mechanism (SIM) score</t>
  </si>
  <si>
    <t>PR14ANHHHR_R-A2</t>
  </si>
  <si>
    <t>ANH-33</t>
  </si>
  <si>
    <t>R-A2: Service incentive mechanism (SIM)</t>
  </si>
  <si>
    <t>ANH  R-A2: Service incentive mechanism (SIM)</t>
  </si>
  <si>
    <t>PR14ANHHHR_R-A3</t>
  </si>
  <si>
    <t>R-A3</t>
  </si>
  <si>
    <t>ANH-34</t>
  </si>
  <si>
    <t>R-A3: Customer Satisfaction Index prepared by UK Institute of Customer Service</t>
  </si>
  <si>
    <t>rank</t>
  </si>
  <si>
    <t>UK ICS Customer Satisfaction Index score ranking among utility companies</t>
  </si>
  <si>
    <t>9/19</t>
  </si>
  <si>
    <t>UQ utility</t>
  </si>
  <si>
    <t>9/15</t>
  </si>
  <si>
    <t>9/23</t>
  </si>
  <si>
    <t>6/25</t>
  </si>
  <si>
    <t>14/28</t>
  </si>
  <si>
    <t>ANH  R-A3: Customer Satisfaction Index prepared by UK Institute of Customer Service</t>
  </si>
  <si>
    <t>PR14ANHHHR_R-B1</t>
  </si>
  <si>
    <t>R-B1</t>
  </si>
  <si>
    <t>ANH-35</t>
  </si>
  <si>
    <t>R-B1: Fairness of bills perception - variation from baseline against WaSCs</t>
  </si>
  <si>
    <t>ANH  R-B1: Fairness of bills perception - variation from baseline against WaSCs</t>
  </si>
  <si>
    <t>PR14ANHHHR_R-B2</t>
  </si>
  <si>
    <t>R-B2</t>
  </si>
  <si>
    <t>ANH-36</t>
  </si>
  <si>
    <t>R-B2: Affordability perception - variation from baseline against WaSCs</t>
  </si>
  <si>
    <t>ANH  R-B2: Affordability perception - variation from baseline against WaSCs</t>
  </si>
  <si>
    <t>PR14ANHHHR_R-C1</t>
  </si>
  <si>
    <t>R-C1</t>
  </si>
  <si>
    <t>ANH-37</t>
  </si>
  <si>
    <t>R-C1: Operational carbon (% reduction from 2015 baseline)</t>
  </si>
  <si>
    <t>ANH  R-C1: Operational carbon (% reduction from 2015 baseline)</t>
  </si>
  <si>
    <t>PR14ANHHHR_R-C2</t>
  </si>
  <si>
    <t>R-C2</t>
  </si>
  <si>
    <t>ANH-38</t>
  </si>
  <si>
    <t>R-C2: Embodied carbon (% reduction from 2010 baseline)</t>
  </si>
  <si>
    <t>ANH  R-C2: Embodied carbon (% reduction from 2010 baseline)</t>
  </si>
  <si>
    <t>PR14ANHHHR_R-D1</t>
  </si>
  <si>
    <t>R-D1</t>
  </si>
  <si>
    <t>ANH-39</t>
  </si>
  <si>
    <t>R-D1: Survey of community perception</t>
  </si>
  <si>
    <t>ANH  R-D1: Survey of community perception</t>
  </si>
  <si>
    <t>BRL</t>
  </si>
  <si>
    <t>PR14BRLWSW_A1</t>
  </si>
  <si>
    <t>Reliable supply</t>
  </si>
  <si>
    <t>BRL-01</t>
  </si>
  <si>
    <t>A1: Unplanned customer minutes lost</t>
  </si>
  <si>
    <t>BRL  A1: Unplanned customer minutes lost</t>
  </si>
  <si>
    <t>PR14BRLWSW_A2</t>
  </si>
  <si>
    <t>BRL-02</t>
  </si>
  <si>
    <t>A2: Asset reliability - infrastructure</t>
  </si>
  <si>
    <t>RCV</t>
  </si>
  <si>
    <t>Asset health indicator</t>
  </si>
  <si>
    <t>Deteriorating</t>
  </si>
  <si>
    <t>Marginal</t>
  </si>
  <si>
    <t>BRL  A2: Asset reliability - infrastructure</t>
  </si>
  <si>
    <t>PR14BRLWSW_A3</t>
  </si>
  <si>
    <t>BRL-03</t>
  </si>
  <si>
    <t>A3: Asset reliability - non-infrastructure</t>
  </si>
  <si>
    <t>BRL  A3: Asset reliability - non-infrastructure</t>
  </si>
  <si>
    <t>PR14BRLWSW_B1</t>
  </si>
  <si>
    <t>Resilient supply</t>
  </si>
  <si>
    <t>BRL-04</t>
  </si>
  <si>
    <t>B1: Population in centres &gt;25,000 at risk from asset failure</t>
  </si>
  <si>
    <t>No. of people (population)</t>
  </si>
  <si>
    <t>BRL  B1: Population in centres &gt;25,000 at risk from asset failure</t>
  </si>
  <si>
    <t>PR14BRLWSW_C1</t>
  </si>
  <si>
    <t>Sufficient supply</t>
  </si>
  <si>
    <t>BRL-05</t>
  </si>
  <si>
    <t>C1: Security of supply index (SOSI)</t>
  </si>
  <si>
    <t>BRL  C1: Security of supply index (SOSI)</t>
  </si>
  <si>
    <t>PR14BRLWSW_C2</t>
  </si>
  <si>
    <t>BRL-06</t>
  </si>
  <si>
    <t>C2: Hosepipe ban frequency</t>
  </si>
  <si>
    <t>No. of expected days that water restrictions are placed</t>
  </si>
  <si>
    <t>BRL  C2: Hosepipe ban frequency</t>
  </si>
  <si>
    <t>PR14BRLWSW_D1</t>
  </si>
  <si>
    <t>Safe drinking water</t>
  </si>
  <si>
    <t>BRL-07</t>
  </si>
  <si>
    <t>D1: Mean zonal compliance (MZC)</t>
  </si>
  <si>
    <t>0.01%</t>
  </si>
  <si>
    <t>BRL  D1: Mean zonal compliance (MZC)</t>
  </si>
  <si>
    <t>PR14BRLWSW_E1</t>
  </si>
  <si>
    <t>Water is good to drink</t>
  </si>
  <si>
    <t>BRL-09</t>
  </si>
  <si>
    <t>E1: Negative water quality contacts</t>
  </si>
  <si>
    <t>No. of contacts per year</t>
  </si>
  <si>
    <t>BRL  E1: Negative water quality contacts</t>
  </si>
  <si>
    <t>PR14BRLWSW_F1</t>
  </si>
  <si>
    <t>Efficient use of resources by company</t>
  </si>
  <si>
    <t>BRL-10</t>
  </si>
  <si>
    <t>F1: Leakage</t>
  </si>
  <si>
    <t>BRL  F1: Leakage</t>
  </si>
  <si>
    <t>PR14BRLWSW_G1</t>
  </si>
  <si>
    <t>Efficient use of resources by customers</t>
  </si>
  <si>
    <t>G1</t>
  </si>
  <si>
    <t>BRL-11</t>
  </si>
  <si>
    <t>G1: Meter penetration</t>
  </si>
  <si>
    <t>Metering</t>
  </si>
  <si>
    <t xml:space="preserve">% metered supplies </t>
  </si>
  <si>
    <t>BRL  G1: Meter penetration</t>
  </si>
  <si>
    <t>PR14BRLWSW_H1</t>
  </si>
  <si>
    <t>Sustainable environmental impact</t>
  </si>
  <si>
    <t>H1</t>
  </si>
  <si>
    <t>BRL-12</t>
  </si>
  <si>
    <t>H1: Total carbon emissions</t>
  </si>
  <si>
    <t>kgCO2e per person</t>
  </si>
  <si>
    <t>BRL  H1: Total carbon emissions</t>
  </si>
  <si>
    <t>PR14BRLWSW_H2</t>
  </si>
  <si>
    <t>H2</t>
  </si>
  <si>
    <t>BRL-13</t>
  </si>
  <si>
    <t>H2: Raw water quality of sources</t>
  </si>
  <si>
    <t>Raw water quality indicator
(reported as deteriorating, marginal, stable or improving)</t>
  </si>
  <si>
    <t>BRL  H2: Raw water quality of sources</t>
  </si>
  <si>
    <t>PR14BRLWSW_H3</t>
  </si>
  <si>
    <t>H3</t>
  </si>
  <si>
    <t>BRL-14</t>
  </si>
  <si>
    <t>H3: Biodiversity index</t>
  </si>
  <si>
    <t>Biodiversity index</t>
  </si>
  <si>
    <t>TBC (under development)</t>
  </si>
  <si>
    <t>TBC (improving)</t>
  </si>
  <si>
    <t>Improving</t>
  </si>
  <si>
    <t>BRL  H3: Biodiversity index</t>
  </si>
  <si>
    <t>PR14BRLWSW_H4</t>
  </si>
  <si>
    <t>H4</t>
  </si>
  <si>
    <t>BRL-15</t>
  </si>
  <si>
    <t>H4: Waste disposal compliance</t>
  </si>
  <si>
    <t>Waste disposal</t>
  </si>
  <si>
    <t>% waste disposal compliance</t>
  </si>
  <si>
    <t>BRL  H4: Waste disposal compliance</t>
  </si>
  <si>
    <t>PR14BRLHHR_G2</t>
  </si>
  <si>
    <t>G2</t>
  </si>
  <si>
    <t>BRL-16</t>
  </si>
  <si>
    <t>G2: Per capita consumption (PCC), measured as litres per head per day (l/h/d)</t>
  </si>
  <si>
    <t>Litres per head per day (l/h/d)</t>
  </si>
  <si>
    <t>BRL  G2: Per capita consumption (PCC), measured as litres per head per day (l/h/d)</t>
  </si>
  <si>
    <t>PR14BRLHHR_I1</t>
  </si>
  <si>
    <t>Affordable bills</t>
  </si>
  <si>
    <t>I1</t>
  </si>
  <si>
    <t>BRL-17</t>
  </si>
  <si>
    <t>I1: Percentage of customers in water poverty</t>
  </si>
  <si>
    <t>% customers in water poverty</t>
  </si>
  <si>
    <t>BRL  I1: Percentage of customers in water poverty</t>
  </si>
  <si>
    <t>PR14BRLHHR_J1</t>
  </si>
  <si>
    <t>J1</t>
  </si>
  <si>
    <t>BRL-18</t>
  </si>
  <si>
    <t>J1: Service incentive mechanism (SIM)</t>
  </si>
  <si>
    <t>Service incentive mechanism (SIM) score ranking</t>
  </si>
  <si>
    <t>Top 5</t>
  </si>
  <si>
    <t>BRL  J1: Service incentive mechanism (SIM)</t>
  </si>
  <si>
    <t>PR14BRLHHR_J2</t>
  </si>
  <si>
    <t>J2</t>
  </si>
  <si>
    <t>BRL-19</t>
  </si>
  <si>
    <t>J2: General satisfaction from surveys</t>
  </si>
  <si>
    <t>&gt;93</t>
  </si>
  <si>
    <t>BRL  J2: General satisfaction from surveys</t>
  </si>
  <si>
    <t>PR14BRLHHR_J3</t>
  </si>
  <si>
    <t>J3</t>
  </si>
  <si>
    <t>BRL-20</t>
  </si>
  <si>
    <t>J3: Value for money</t>
  </si>
  <si>
    <t>BRL  J3: Value for money</t>
  </si>
  <si>
    <t>PR14BRLHHR_K1</t>
  </si>
  <si>
    <t>Easy to contact</t>
  </si>
  <si>
    <t>K1</t>
  </si>
  <si>
    <t>BRL-21</t>
  </si>
  <si>
    <t>K1: Ease of contact from surveys</t>
  </si>
  <si>
    <t>&gt;96.5</t>
  </si>
  <si>
    <t>BRL  K1: Ease of contact from surveys</t>
  </si>
  <si>
    <t>PR14BRLHHR_L1</t>
  </si>
  <si>
    <t>Bills are accurate and easy to understand</t>
  </si>
  <si>
    <t>L1</t>
  </si>
  <si>
    <t>BRL-22</t>
  </si>
  <si>
    <t>L1: Negative billing contacts</t>
  </si>
  <si>
    <t>BRL  L1: Negative billing contacts</t>
  </si>
  <si>
    <t>DVW</t>
  </si>
  <si>
    <t>PR14DVWWSW_A1</t>
  </si>
  <si>
    <t>Provide excellent water quality</t>
  </si>
  <si>
    <t>DVW-01</t>
  </si>
  <si>
    <t>A1: Discoloured water contacts</t>
  </si>
  <si>
    <t>DVW  A1: Discoloured water contacts</t>
  </si>
  <si>
    <t>PR14DVWWSW_A2</t>
  </si>
  <si>
    <t>DVW-02</t>
  </si>
  <si>
    <t>A2: Mean zonal compliance (MZC)</t>
  </si>
  <si>
    <t>DVW  A2: Mean zonal compliance (MZC)</t>
  </si>
  <si>
    <t>PR14DVWWSW_A3</t>
  </si>
  <si>
    <t>DVW-03</t>
  </si>
  <si>
    <t>A3: Delivery of the outcomes of the Legacy water treatment works (south west Wrexham) major scheme</t>
  </si>
  <si>
    <t>Pass/fail (until completion)</t>
  </si>
  <si>
    <t>Complete</t>
  </si>
  <si>
    <t>Pass</t>
  </si>
  <si>
    <t>DVW  A3: Delivery of the outcomes of the Legacy water treatment works (south west Wrexham) major scheme</t>
  </si>
  <si>
    <t>PR14DVWWSW_A4</t>
  </si>
  <si>
    <t>DVW-04</t>
  </si>
  <si>
    <t>A4: Delivery of the outcomes of the service reservoir water quality risk management schemes</t>
  </si>
  <si>
    <t>Pass/fail (for each scheme)</t>
  </si>
  <si>
    <t>Milestone</t>
  </si>
  <si>
    <t>4 schemes complete</t>
  </si>
  <si>
    <t>DVW  A4: Delivery of the outcomes of the service reservoir water quality risk management schemes</t>
  </si>
  <si>
    <t>PR14DVWWSW_B1</t>
  </si>
  <si>
    <t>Provide reliable and high quality customer service</t>
  </si>
  <si>
    <t>DVW-05</t>
  </si>
  <si>
    <t>B1: Average duration of interruptions - 3 hours or longer (planned and unplanned interruptions)</t>
  </si>
  <si>
    <t>Hours / property / year</t>
  </si>
  <si>
    <t>0.01 hours</t>
  </si>
  <si>
    <t>DVW  B1: Average duration of interruptions - 3 hours or longer (planned and unplanned interruptions)</t>
  </si>
  <si>
    <t>PR14DVWWSW_B2</t>
  </si>
  <si>
    <t>DVW-06</t>
  </si>
  <si>
    <t>B2: Sustainable economic level of leakage</t>
  </si>
  <si>
    <t>Litres per property per day (l/prop/day)</t>
  </si>
  <si>
    <t>DVW  B2: Sustainable economic level of leakage</t>
  </si>
  <si>
    <t>PR14DVWWSW_B3</t>
  </si>
  <si>
    <t>DVW-07</t>
  </si>
  <si>
    <t>B3: Security of supply index (SOSI)</t>
  </si>
  <si>
    <t>DVW  B3: Security of supply index (SOSI)</t>
  </si>
  <si>
    <t>PR14DVWWSW_B4</t>
  </si>
  <si>
    <t>B4</t>
  </si>
  <si>
    <t>DVW-08</t>
  </si>
  <si>
    <t>B4: Number of bursts</t>
  </si>
  <si>
    <t>DVW  B4: Number of bursts</t>
  </si>
  <si>
    <t>PR14DVWWSW_C1</t>
  </si>
  <si>
    <t>Minimise the environmental impact</t>
  </si>
  <si>
    <t>DVW-09</t>
  </si>
  <si>
    <t>C1: Gross operational greenhouse gas emissions</t>
  </si>
  <si>
    <t>tCO2e</t>
  </si>
  <si>
    <t>DVW  C1: Gross operational greenhouse gas emissions</t>
  </si>
  <si>
    <t>PR14DVWWSW_D1</t>
  </si>
  <si>
    <t>Provide a value for money service</t>
  </si>
  <si>
    <t>DVW-10</t>
  </si>
  <si>
    <t>D1: Customers’ perception based on market research</t>
  </si>
  <si>
    <t>Improved</t>
  </si>
  <si>
    <t>DVW  D1: Customers’ perception based on market research</t>
  </si>
  <si>
    <t>PR14DVWNHHR_F1</t>
  </si>
  <si>
    <t>Retail (NH)</t>
  </si>
  <si>
    <t>NHHR</t>
  </si>
  <si>
    <t>Provide reliable and high quality customer service (non-household customers)</t>
  </si>
  <si>
    <t>DVW-13</t>
  </si>
  <si>
    <t>F1: Non-household Service incentive mechanism (SIM)</t>
  </si>
  <si>
    <t>DVW  F1: Non-household Service incentive mechanism (SIM)</t>
  </si>
  <si>
    <t>PR14DVWHHR_E1</t>
  </si>
  <si>
    <t>Provide reliable and high quality customer service (household customers)</t>
  </si>
  <si>
    <t>DVW-11</t>
  </si>
  <si>
    <t>E1: Per capita consumption and water efficiency</t>
  </si>
  <si>
    <t>Litres per capita per day</t>
  </si>
  <si>
    <t>DVW  E1: Per capita consumption and water efficiency</t>
  </si>
  <si>
    <t>PR14DVWHHR_E2</t>
  </si>
  <si>
    <t>DVW-12</t>
  </si>
  <si>
    <t>E2: Service incentive mechanism (SIM)</t>
  </si>
  <si>
    <t>DVW  E2: Service incentive mechanism (SIM)</t>
  </si>
  <si>
    <t>PR14NESWSW_W-A1</t>
  </si>
  <si>
    <t>We deliver water and sewerage services that meet the needs of current and future generations in a changing world</t>
  </si>
  <si>
    <t>NES-01</t>
  </si>
  <si>
    <t>W-A1: Asset health measures - water</t>
  </si>
  <si>
    <t>N/A (measured in separate PCs)</t>
  </si>
  <si>
    <t>NES  W-A1: Asset health measures - water</t>
  </si>
  <si>
    <t>PR14NESWSW_W-B1</t>
  </si>
  <si>
    <t>We supply clean, clear drinking water that tastes good</t>
  </si>
  <si>
    <t>NES-02</t>
  </si>
  <si>
    <t>W-B1: Satisfaction with taste and odour of tap water</t>
  </si>
  <si>
    <t>No. of complaints per year</t>
  </si>
  <si>
    <t>&gt;1534</t>
  </si>
  <si>
    <t>&gt;1032</t>
  </si>
  <si>
    <t>&gt;1405</t>
  </si>
  <si>
    <t>&gt;903</t>
  </si>
  <si>
    <t>&lt;903</t>
  </si>
  <si>
    <t>&lt;645</t>
  </si>
  <si>
    <t xml:space="preserve"> &lt;645</t>
  </si>
  <si>
    <t>NES  W-B1: Satisfaction with taste and odour of tap water</t>
  </si>
  <si>
    <t>PR14NESWSW_W-B2</t>
  </si>
  <si>
    <t>NES-03</t>
  </si>
  <si>
    <t>W-B2: Overall drinking water compliance (3-year average)</t>
  </si>
  <si>
    <t>&gt;99.94</t>
  </si>
  <si>
    <t>&lt;99.910</t>
  </si>
  <si>
    <t>&lt;99.913</t>
  </si>
  <si>
    <t>&lt;99.917</t>
  </si>
  <si>
    <t>&lt;99.920</t>
  </si>
  <si>
    <t>&lt;99.940</t>
  </si>
  <si>
    <t>&lt;99.943</t>
  </si>
  <si>
    <t>&lt;99.947</t>
  </si>
  <si>
    <t>&lt;99.950</t>
  </si>
  <si>
    <t>NES  W-B2: Overall drinking water compliance (3-year average)</t>
  </si>
  <si>
    <t>PR14NESWSW_W-B3</t>
  </si>
  <si>
    <t>W-B3</t>
  </si>
  <si>
    <t>NES-04</t>
  </si>
  <si>
    <t>W-B3: Discoloured water complaints (3-year average)</t>
  </si>
  <si>
    <t>&gt;5544</t>
  </si>
  <si>
    <t>&gt;4998</t>
  </si>
  <si>
    <t>&gt;4452</t>
  </si>
  <si>
    <t>&gt;3906</t>
  </si>
  <si>
    <t>&gt;4600</t>
  </si>
  <si>
    <t>&gt;4054</t>
  </si>
  <si>
    <t>&gt;3508</t>
  </si>
  <si>
    <t>&gt;2962</t>
  </si>
  <si>
    <t>&lt;2962</t>
  </si>
  <si>
    <t>&lt;2759</t>
  </si>
  <si>
    <t>NES  W-B3: Discoloured water complaints (3-year average)</t>
  </si>
  <si>
    <t>PR14NESWSW_W-C1</t>
  </si>
  <si>
    <t>We provide a reliable and sufficient supply of water</t>
  </si>
  <si>
    <t>NES-05</t>
  </si>
  <si>
    <t>W-C1: Interruptions to water supply for more than 3 hours (average time per property per year)</t>
  </si>
  <si>
    <t>Mins:secs per property per year</t>
  </si>
  <si>
    <t>mins:secs</t>
  </si>
  <si>
    <t>&gt;12:17</t>
  </si>
  <si>
    <t>&gt;11:45</t>
  </si>
  <si>
    <t>&gt;11:14</t>
  </si>
  <si>
    <t>&gt;10:42</t>
  </si>
  <si>
    <t>&gt;10:08</t>
  </si>
  <si>
    <t>&gt;11:38</t>
  </si>
  <si>
    <t>&gt;11:11</t>
  </si>
  <si>
    <t>&gt;10:44</t>
  </si>
  <si>
    <t>&gt;10:17</t>
  </si>
  <si>
    <t>&gt;09:48</t>
  </si>
  <si>
    <t>&lt;06:50</t>
  </si>
  <si>
    <t>&lt;06:23</t>
  </si>
  <si>
    <t>&lt;05:56</t>
  </si>
  <si>
    <t>&lt;05:29</t>
  </si>
  <si>
    <t>&lt;05:00</t>
  </si>
  <si>
    <t>&lt;03:05</t>
  </si>
  <si>
    <t>02:26</t>
  </si>
  <si>
    <t>NES  W-C1: Interruptions to water supply for more than 3 hours (average time per property per year)</t>
  </si>
  <si>
    <t>PR14NESWSW_W-C2</t>
  </si>
  <si>
    <t>NES-06</t>
  </si>
  <si>
    <t>W-C2: Properties experiencing poor water pressure (3-year average)</t>
  </si>
  <si>
    <t>&gt;257</t>
  </si>
  <si>
    <t>&gt;236</t>
  </si>
  <si>
    <t>&lt;175</t>
  </si>
  <si>
    <t>NES  W-C2: Properties experiencing poor water pressure (3-year average)</t>
  </si>
  <si>
    <t>PR14NESWSW_W-C3</t>
  </si>
  <si>
    <t>NES-07</t>
  </si>
  <si>
    <t>W-C3: Water mains bursts (3-year average)</t>
  </si>
  <si>
    <t>&gt;5366</t>
  </si>
  <si>
    <t>&gt;4976</t>
  </si>
  <si>
    <t>NES  W-C3: Water mains bursts (3-year average)</t>
  </si>
  <si>
    <t>PR14NESWSW_W-C4</t>
  </si>
  <si>
    <t>NES-08</t>
  </si>
  <si>
    <t>W-C4: Leakage (Ml/d) Northumbrian area</t>
  </si>
  <si>
    <t>&gt;162</t>
  </si>
  <si>
    <t>&gt;160</t>
  </si>
  <si>
    <t>&gt;142</t>
  </si>
  <si>
    <t>&gt;140</t>
  </si>
  <si>
    <t>&lt;131</t>
  </si>
  <si>
    <t>&lt;111</t>
  </si>
  <si>
    <t>NES  W-C4: Leakage (Ml/d) Northumbrian area</t>
  </si>
  <si>
    <t>PR14NESWSW_W-C5</t>
  </si>
  <si>
    <t>W-C5</t>
  </si>
  <si>
    <t>NES-09</t>
  </si>
  <si>
    <t>W-C5: Leakage (Ml/d) Essex &amp; Suffolk area</t>
  </si>
  <si>
    <t>&gt;77</t>
  </si>
  <si>
    <t>&gt;67</t>
  </si>
  <si>
    <t>&lt;56</t>
  </si>
  <si>
    <t>&lt;46</t>
  </si>
  <si>
    <t>NES  W-C5: Leakage (Ml/d) Essex &amp; Suffolk area</t>
  </si>
  <si>
    <t>PR14NESWSW_W-D1</t>
  </si>
  <si>
    <t>We provide excellent service and impress our customers</t>
  </si>
  <si>
    <t>NES-10</t>
  </si>
  <si>
    <t>W-D1: NWL independent overall customer satisfaction score</t>
  </si>
  <si>
    <t>Score between 0 and 10</t>
  </si>
  <si>
    <t>NES  W-D1: NWL independent overall customer satisfaction score</t>
  </si>
  <si>
    <t>PR14NESWSW_W-D2</t>
  </si>
  <si>
    <t>NES-11</t>
  </si>
  <si>
    <t>W-D2: Service incentive mechanism (SIM)</t>
  </si>
  <si>
    <t>NES  W-D2: Service incentive mechanism (SIM)</t>
  </si>
  <si>
    <t>PR14NESWSW_W-D3</t>
  </si>
  <si>
    <t>NES-12</t>
  </si>
  <si>
    <t>W-D3: Domestic customer satisfaction, net promoter score</t>
  </si>
  <si>
    <t>NES  W-D3: Domestic customer satisfaction, net promoter score</t>
  </si>
  <si>
    <t>PR14NESWSW_W-E1</t>
  </si>
  <si>
    <t>Our customers are well informed about the services they receive and the value of water</t>
  </si>
  <si>
    <t>NES-13</t>
  </si>
  <si>
    <t>W-E1: NWL independent survey on keeping customers informed</t>
  </si>
  <si>
    <t>New measure</t>
  </si>
  <si>
    <t>TBC 2017</t>
  </si>
  <si>
    <t>NES  W-E1: NWL independent survey on keeping customers informed</t>
  </si>
  <si>
    <t>PR14NESWSW_W-F1</t>
  </si>
  <si>
    <t>We protect and enhance the environment in delivering services, leading by example</t>
  </si>
  <si>
    <t>NES-14</t>
  </si>
  <si>
    <t>W-F1: Greenhouse gas emissions</t>
  </si>
  <si>
    <t>ktCO2e</t>
  </si>
  <si>
    <t>NES  W-F1: Greenhouse gas emissions</t>
  </si>
  <si>
    <t>PR14NESWSW_W-F2</t>
  </si>
  <si>
    <t>NES-15</t>
  </si>
  <si>
    <t>W-F2: Annual environmental performance report</t>
  </si>
  <si>
    <t>CRAG report publication</t>
  </si>
  <si>
    <t>Report publication</t>
  </si>
  <si>
    <t xml:space="preserve">Report published </t>
  </si>
  <si>
    <t>Report published</t>
  </si>
  <si>
    <t>The Forums have prepared their statement and it will be published in the Our Contribution document.</t>
  </si>
  <si>
    <t>Our Contribution report published</t>
  </si>
  <si>
    <t>NES  W-F2: Annual environmental performance report</t>
  </si>
  <si>
    <t>PR14NESWSWW_S-A1</t>
  </si>
  <si>
    <t>S-A1</t>
  </si>
  <si>
    <t>NES-16</t>
  </si>
  <si>
    <t>S-A1: Asset health measures - wastewater</t>
  </si>
  <si>
    <t>NES  S-A1: Asset health measures - wastewater</t>
  </si>
  <si>
    <t>PR14NESWSWW_S-B1</t>
  </si>
  <si>
    <t>We provide a sewerage service that deals effectively with sewage and heavy rainfall</t>
  </si>
  <si>
    <t>NES-17</t>
  </si>
  <si>
    <t>S-B1: Properties flooded externally</t>
  </si>
  <si>
    <t>No. of properties per year</t>
  </si>
  <si>
    <t>&gt;1,664</t>
  </si>
  <si>
    <t>&gt;1,497</t>
  </si>
  <si>
    <t>&lt;1,139</t>
  </si>
  <si>
    <t>&lt;639</t>
  </si>
  <si>
    <t>NES  S-B1: Properties flooded externally</t>
  </si>
  <si>
    <t>PR14NESWSWW_S-B2</t>
  </si>
  <si>
    <t>S-B2</t>
  </si>
  <si>
    <t>NES-18</t>
  </si>
  <si>
    <t>S-B2: Properties flooded internally</t>
  </si>
  <si>
    <t>No. of properties flooded internally per year</t>
  </si>
  <si>
    <t>NES  S-B2: Properties flooded internally</t>
  </si>
  <si>
    <t>PR14NESWSWW_S-B3</t>
  </si>
  <si>
    <t>S-B3</t>
  </si>
  <si>
    <t>NES-19</t>
  </si>
  <si>
    <t>S-B3: Repeat sewer flooding (3-year average)</t>
  </si>
  <si>
    <t>&gt;761</t>
  </si>
  <si>
    <t>&gt;620</t>
  </si>
  <si>
    <t>&lt;237</t>
  </si>
  <si>
    <t>&lt;140</t>
  </si>
  <si>
    <t>NES  S-B3: Repeat sewer flooding (3-year average)</t>
  </si>
  <si>
    <t>PR14NESWSWW_S-B4</t>
  </si>
  <si>
    <t>S-B4</t>
  </si>
  <si>
    <t>NES-20</t>
  </si>
  <si>
    <t>S-B4: Sewer collapses (3-year average)</t>
  </si>
  <si>
    <t>No. of sewer collapses per year - excluding TDSs</t>
  </si>
  <si>
    <t>&gt;80</t>
  </si>
  <si>
    <t>&gt;70</t>
  </si>
  <si>
    <t>NES  S-B4: Sewer collapses (3-year average)</t>
  </si>
  <si>
    <t>PR14NESWSWW_S-B5</t>
  </si>
  <si>
    <t>S-B5</t>
  </si>
  <si>
    <t>NES-21</t>
  </si>
  <si>
    <t>S-B5: Transferred drains and sewers - internal sewer flooding</t>
  </si>
  <si>
    <t>&gt;381</t>
  </si>
  <si>
    <t>&gt;298</t>
  </si>
  <si>
    <t>&lt;158</t>
  </si>
  <si>
    <t>&lt;61</t>
  </si>
  <si>
    <t>NES  S-B5: Transferred drains and sewers - internal sewer flooding</t>
  </si>
  <si>
    <t>PR14NESWSWW_S-B6</t>
  </si>
  <si>
    <t>S-B6</t>
  </si>
  <si>
    <t>NES-22</t>
  </si>
  <si>
    <t>S-B6: Transferred drains and sewers - external sewer flooding</t>
  </si>
  <si>
    <t>&gt;3548</t>
  </si>
  <si>
    <t>&gt;3381</t>
  </si>
  <si>
    <t>&lt;2481</t>
  </si>
  <si>
    <t>&lt;1981</t>
  </si>
  <si>
    <t>NES  S-B6: Transferred drains and sewers - external sewer flooding</t>
  </si>
  <si>
    <t>PR14NESWSWW_S-B7</t>
  </si>
  <si>
    <t>S-B7</t>
  </si>
  <si>
    <t>NES-23</t>
  </si>
  <si>
    <t>S-B7: Transferred drains and sewers - sewer collapses</t>
  </si>
  <si>
    <t>No. of sewer collapses per year - TDSs</t>
  </si>
  <si>
    <t>NES  S-B7: Transferred drains and sewers - sewer collapses</t>
  </si>
  <si>
    <t>PR14NESWSWW_S-C1</t>
  </si>
  <si>
    <t>We help to improve the quality of rivers and coastal waters for the benefit of people, the environment and wildlife</t>
  </si>
  <si>
    <t>NES-24</t>
  </si>
  <si>
    <t>S-C1: Sewage treatment works discharge compliance (3-year average)</t>
  </si>
  <si>
    <t>No. discharge permit condition failures per year</t>
  </si>
  <si>
    <t>&gt;2</t>
  </si>
  <si>
    <t>&gt;1</t>
  </si>
  <si>
    <t>NES  S-C1: Sewage treatment works discharge compliance (3-year average)</t>
  </si>
  <si>
    <t>PR14NESWSWW_S-C2</t>
  </si>
  <si>
    <t>NES-25</t>
  </si>
  <si>
    <t>S-C2: Pollution incidents - category 3 (3-year average)</t>
  </si>
  <si>
    <t>&gt;191</t>
  </si>
  <si>
    <t>&gt;181</t>
  </si>
  <si>
    <t>&gt;170</t>
  </si>
  <si>
    <t>&gt;153</t>
  </si>
  <si>
    <t>&gt;143</t>
  </si>
  <si>
    <t>&gt;132</t>
  </si>
  <si>
    <t>&gt;122</t>
  </si>
  <si>
    <t>&lt;77</t>
  </si>
  <si>
    <t>&lt;57</t>
  </si>
  <si>
    <t>NES  S-C2: Pollution incidents - category 3 (3-year average)</t>
  </si>
  <si>
    <t>PR14NESWSWW_S-C3</t>
  </si>
  <si>
    <t>NES-26</t>
  </si>
  <si>
    <t>S-C3: Bathing water compliance</t>
  </si>
  <si>
    <t>No. of bathing waters per year</t>
  </si>
  <si>
    <t>&lt;31</t>
  </si>
  <si>
    <t>&lt;32</t>
  </si>
  <si>
    <t>&lt;33</t>
  </si>
  <si>
    <t>NES  S-C3: Bathing water compliance</t>
  </si>
  <si>
    <t>PR14NESWSWW_S-C4</t>
  </si>
  <si>
    <t>NES-27</t>
  </si>
  <si>
    <t>S-C4: Whitburn combined sewer overflow (CSO) scheme</t>
  </si>
  <si>
    <t>Delivery / non-delivery</t>
  </si>
  <si>
    <t>Non-delivery</t>
  </si>
  <si>
    <t>Delivery</t>
  </si>
  <si>
    <t>Delivered</t>
  </si>
  <si>
    <t>NES  S-C4: Whitburn combined sewer overflow (CSO) scheme</t>
  </si>
  <si>
    <t>PR14NESWSWW_S-D1</t>
  </si>
  <si>
    <t>NES-28</t>
  </si>
  <si>
    <t>S-D1: NWL independent overall customer satisfaction score</t>
  </si>
  <si>
    <t>Customer satisfaction score out of 10</t>
  </si>
  <si>
    <t>NES  S-D1: NWL independent overall customer satisfaction score</t>
  </si>
  <si>
    <t>PR14NESWSWW_S-D2</t>
  </si>
  <si>
    <t>NES-29</t>
  </si>
  <si>
    <t>S-D2: Service incentive mechanism (SIM)</t>
  </si>
  <si>
    <t>NES  S-D2: Service incentive mechanism (SIM)</t>
  </si>
  <si>
    <t>PR14NESWSWW_S-D3</t>
  </si>
  <si>
    <t>S-D3</t>
  </si>
  <si>
    <t>NES-30</t>
  </si>
  <si>
    <t>S-D3: Domestic customer satisfaction, net promoter score</t>
  </si>
  <si>
    <t>NES  S-D3: Domestic customer satisfaction, net promoter score</t>
  </si>
  <si>
    <t>PR14NESWSWW_S-E1</t>
  </si>
  <si>
    <t>NES-31</t>
  </si>
  <si>
    <t>S-E1: NWL independent survey on keeping customers informed</t>
  </si>
  <si>
    <t>NES  S-E1: NWL independent survey on keeping customers informed</t>
  </si>
  <si>
    <t>PR14NESWSWW_S-F1</t>
  </si>
  <si>
    <t>We protect and enhance the environment in delivering our services, leading by example</t>
  </si>
  <si>
    <t>NES-32</t>
  </si>
  <si>
    <t>S-F1: Greenhouse gas emissions</t>
  </si>
  <si>
    <t>NES  S-F1: Greenhouse gas emissions</t>
  </si>
  <si>
    <t>PR14NESWSWW_S-F2</t>
  </si>
  <si>
    <t>NES-33</t>
  </si>
  <si>
    <t>S-F2: Annual environmental performance report</t>
  </si>
  <si>
    <t>NES  S-F2: Annual environmental performance report</t>
  </si>
  <si>
    <t>PR14NESHHR_R-B1</t>
  </si>
  <si>
    <t>NES-34</t>
  </si>
  <si>
    <t>R-B1: NWL independent overall customer satisfaction score</t>
  </si>
  <si>
    <t>NES  R-B1: NWL independent overall customer satisfaction score</t>
  </si>
  <si>
    <t>PR14NESHHR_R-B2</t>
  </si>
  <si>
    <t>NES-35</t>
  </si>
  <si>
    <t>R-B2: Service incentive mechanism (SIM)</t>
  </si>
  <si>
    <t>NES  R-B2: Service incentive mechanism (SIM)</t>
  </si>
  <si>
    <t>PR14NESHHR_R-B3</t>
  </si>
  <si>
    <t>R-B3</t>
  </si>
  <si>
    <t>NES-36</t>
  </si>
  <si>
    <t>R-B3: Domestic customer satisfaction, net promoter score</t>
  </si>
  <si>
    <t>NES  R-B3: Domestic customer satisfaction, net promoter score</t>
  </si>
  <si>
    <t>PR14NESHHR_R-C1</t>
  </si>
  <si>
    <t>Our customers consider the services they receive to be value for money</t>
  </si>
  <si>
    <t>NES-37</t>
  </si>
  <si>
    <t>R-C1: NWL independent value for money survey</t>
  </si>
  <si>
    <t>NES  R-C1: NWL independent value for money survey</t>
  </si>
  <si>
    <t>PR14NESHHR_R-C2</t>
  </si>
  <si>
    <t>NES-38</t>
  </si>
  <si>
    <t>R-C2: Satisfied with value for money of water services - Northumbrian region (CCWater research)</t>
  </si>
  <si>
    <t>NES  R-C2: Satisfied with value for money of water services - Northumbrian region (CCWater research)</t>
  </si>
  <si>
    <t>PR14NESHHR_R-C3</t>
  </si>
  <si>
    <t>R-C3</t>
  </si>
  <si>
    <t>NES-39</t>
  </si>
  <si>
    <t>R-C3: Satisfied with value for money of sewerage services - Northumbrian region (CCWater research)</t>
  </si>
  <si>
    <t>NES  R-C3: Satisfied with value for money of sewerage services - Northumbrian region (CCWater research)</t>
  </si>
  <si>
    <t>PR14NESHHR_R-C4</t>
  </si>
  <si>
    <t>R-C4</t>
  </si>
  <si>
    <t>NES-40</t>
  </si>
  <si>
    <t>R-C4: Satisfied with value for money of water services - Essex &amp; Suffolk region (CCWater research)</t>
  </si>
  <si>
    <t>NES  R-C4: Satisfied with value for money of water services - Essex &amp; Suffolk region (CCWater research)</t>
  </si>
  <si>
    <t>PR14NESHHR_R-D1</t>
  </si>
  <si>
    <t>NES-41</t>
  </si>
  <si>
    <t>R-D1: NWL independent survey on keeping customers informed</t>
  </si>
  <si>
    <t>NES  R-D1: NWL independent survey on keeping customers informed</t>
  </si>
  <si>
    <t>PR14NESHHR_R-E1</t>
  </si>
  <si>
    <t>R-E1</t>
  </si>
  <si>
    <t>NES-42</t>
  </si>
  <si>
    <t>R-E1: Greenhouse gas emissions</t>
  </si>
  <si>
    <t>NES  R-E1: Greenhouse gas emissions</t>
  </si>
  <si>
    <t>PR14NESHHR_R-E2</t>
  </si>
  <si>
    <t>R-E2</t>
  </si>
  <si>
    <t>NES-43</t>
  </si>
  <si>
    <t>R-E2: Annual environmental performance report</t>
  </si>
  <si>
    <t>NES  R-E2: Annual environmental performance report</t>
  </si>
  <si>
    <t>PR14NESHHR_R-F1</t>
  </si>
  <si>
    <t>We are an efficient and innovative company</t>
  </si>
  <si>
    <t>R-F1</t>
  </si>
  <si>
    <t>NES-44</t>
  </si>
  <si>
    <t>R-F1: Delivering a consolidated Customer Information and Billing (CIB) system</t>
  </si>
  <si>
    <t>£ million cumulative depreciation</t>
  </si>
  <si>
    <t>See comment</t>
  </si>
  <si>
    <t>Delivered late</t>
  </si>
  <si>
    <t>NES  R-F1: Delivering a consolidated Customer Information and Billing (CIB) system</t>
  </si>
  <si>
    <t>PRT</t>
  </si>
  <si>
    <t>PR14PRTWSW_A1</t>
  </si>
  <si>
    <t>Safe, secure and reliable drinking water</t>
  </si>
  <si>
    <t>PRT-01</t>
  </si>
  <si>
    <t>A1: Bursts</t>
  </si>
  <si>
    <t>PRT  A1: Bursts</t>
  </si>
  <si>
    <t>PR14PRTWSW_A2</t>
  </si>
  <si>
    <t>PRT-02</t>
  </si>
  <si>
    <t>A2: Water quality standards</t>
  </si>
  <si>
    <t>PRT  A2: Water quality standards</t>
  </si>
  <si>
    <t>PR14PRTWSW_A3</t>
  </si>
  <si>
    <t>PRT-03</t>
  </si>
  <si>
    <t>A3: Water quality contacts</t>
  </si>
  <si>
    <t>No. contacts per 1,000 population served</t>
  </si>
  <si>
    <t>0.01 contacts</t>
  </si>
  <si>
    <t>PRT  A3: Water quality contacts</t>
  </si>
  <si>
    <t>PR14PRTWSW_A4</t>
  </si>
  <si>
    <t>PRT-04</t>
  </si>
  <si>
    <t>A4: Temporary usage bans</t>
  </si>
  <si>
    <t>No. of temporary usage bans per year</t>
  </si>
  <si>
    <t>PRT  A4: Temporary usage bans</t>
  </si>
  <si>
    <t>PR14PRTWSW_B1</t>
  </si>
  <si>
    <t>Less water lost through leakage</t>
  </si>
  <si>
    <t>PRT-05</t>
  </si>
  <si>
    <t>B1: Leakage</t>
  </si>
  <si>
    <t>PRT  B1: Leakage</t>
  </si>
  <si>
    <t>PR14PRTWSW_C1</t>
  </si>
  <si>
    <t>High quality service</t>
  </si>
  <si>
    <t>PRT-06</t>
  </si>
  <si>
    <t>C1: Interruptions to supply</t>
  </si>
  <si>
    <t>8 min 44 secs</t>
  </si>
  <si>
    <t>3 min 30 secs</t>
  </si>
  <si>
    <t>4 min 9 secs</t>
  </si>
  <si>
    <t>4 min 17 secs</t>
  </si>
  <si>
    <t>3 mins 54 secs</t>
  </si>
  <si>
    <t>PRT  C1: Interruptions to supply</t>
  </si>
  <si>
    <t>PR14PRTWSW_D1</t>
  </si>
  <si>
    <t>An improved environment supporting biodiversity</t>
  </si>
  <si>
    <t>PRT-07</t>
  </si>
  <si>
    <t>D1: Biodiversity</t>
  </si>
  <si>
    <t>% (completion of agreed actions)</t>
  </si>
  <si>
    <t>10%</t>
  </si>
  <si>
    <t>PRT  D1: Biodiversity</t>
  </si>
  <si>
    <t>PR14PRTWSW_D2</t>
  </si>
  <si>
    <t>PRT-08</t>
  </si>
  <si>
    <t>D2: Water Framework Directive (WFD)</t>
  </si>
  <si>
    <t>Programme completion</t>
  </si>
  <si>
    <t>Target date</t>
  </si>
  <si>
    <t>Progress as planned</t>
  </si>
  <si>
    <t>Completed and signed off by EA</t>
  </si>
  <si>
    <t>PRT  D2: Water Framework Directive (WFD)</t>
  </si>
  <si>
    <t>PR14PRTWSW_D3</t>
  </si>
  <si>
    <t>PRT-09</t>
  </si>
  <si>
    <t>D3: Carbon</t>
  </si>
  <si>
    <t>Energy sourced from renewables (% increase)</t>
  </si>
  <si>
    <t>&gt; 95%</t>
  </si>
  <si>
    <t>PRT  D3: Carbon</t>
  </si>
  <si>
    <t>PR14PRTWSW_E1</t>
  </si>
  <si>
    <t>Health and safety culture</t>
  </si>
  <si>
    <t>PRT-10</t>
  </si>
  <si>
    <t>E1: RoSPA Health and Safety accreditation</t>
  </si>
  <si>
    <t>Health &amp; safety</t>
  </si>
  <si>
    <t>RoSPA Gold award</t>
  </si>
  <si>
    <t>Awarded</t>
  </si>
  <si>
    <t>PRT  E1: RoSPA Health and Safety accreditation</t>
  </si>
  <si>
    <t>PR14PRTHHR_A1</t>
  </si>
  <si>
    <t>PRT-11</t>
  </si>
  <si>
    <t>A1: Service incentive mechanism (SIM)</t>
  </si>
  <si>
    <t>UQ</t>
  </si>
  <si>
    <t>PRT  A1: Service incentive mechanism (SIM)</t>
  </si>
  <si>
    <t>PR14PRTHHR_B1</t>
  </si>
  <si>
    <t>PRT-12</t>
  </si>
  <si>
    <t>B1: Reducing per capita consumption (PCC)</t>
  </si>
  <si>
    <t>PRT  B1: Reducing per capita consumption (PCC)</t>
  </si>
  <si>
    <t>PR14PRTHHR_C1</t>
  </si>
  <si>
    <t>Supporting the community</t>
  </si>
  <si>
    <t>PRT-13</t>
  </si>
  <si>
    <t>C1: Survey of developers</t>
  </si>
  <si>
    <t>Satisfaction rate (%)</t>
  </si>
  <si>
    <t>PRT  C1: Survey of developers</t>
  </si>
  <si>
    <t>SBW</t>
  </si>
  <si>
    <t>PR14SBWWSW_A1</t>
  </si>
  <si>
    <t>Safe and wholesome water</t>
  </si>
  <si>
    <t>SBW-01</t>
  </si>
  <si>
    <t>A1: Customer contacts: taste and appearance (water quality contacts)</t>
  </si>
  <si>
    <t>SBW  A1: Customer contacts: taste and appearance (water quality contacts)</t>
  </si>
  <si>
    <t>PR14SBWWSW_A2</t>
  </si>
  <si>
    <t>SBW-02</t>
  </si>
  <si>
    <t>A2: WS (WQ) regulation compliance - mean zonal compliance (compliance with DWI regulations)</t>
  </si>
  <si>
    <t>SBW  A2: WS (WQ) regulation compliance - mean zonal compliance (compliance with DWI regulations)</t>
  </si>
  <si>
    <t>PR14SBWWSW_B1</t>
  </si>
  <si>
    <t>Reliable water supply</t>
  </si>
  <si>
    <t>SBW-03</t>
  </si>
  <si>
    <t>B1: Reduce leakage (to less than or equal to 20.00 Ml/d by 2020)</t>
  </si>
  <si>
    <t>0.1Ml/d</t>
  </si>
  <si>
    <t>SBW  B1: Reduce leakage (to less than or equal to 20.00 Ml/d by 2020)</t>
  </si>
  <si>
    <t>PR14SBWWSW_B2</t>
  </si>
  <si>
    <t>SBW-04</t>
  </si>
  <si>
    <t>B2: Large scale interruptions (minimise risk of large scale interruption to 12,000 properties)</t>
  </si>
  <si>
    <t>1,000 properties</t>
  </si>
  <si>
    <t>SBW  B2: Large scale interruptions (minimise risk of large scale interruption to 12,000 properties)</t>
  </si>
  <si>
    <t>PR14SBWWSW_B3</t>
  </si>
  <si>
    <t>SBW-05</t>
  </si>
  <si>
    <t>B3: Decreasing average interruptions &gt;3 hours</t>
  </si>
  <si>
    <t>SBW  B3: Decreasing average interruptions &gt;3 hours</t>
  </si>
  <si>
    <t>PR14SBWWSW_B4</t>
  </si>
  <si>
    <t>SBW-06</t>
  </si>
  <si>
    <t>B4: Maintain serviceable assets</t>
  </si>
  <si>
    <t>SBW  B4: Maintain serviceable assets</t>
  </si>
  <si>
    <t>PR14SBWWSW_B5</t>
  </si>
  <si>
    <t>B5</t>
  </si>
  <si>
    <t>SBW-07</t>
  </si>
  <si>
    <t>B5: Metering - continue current strategy</t>
  </si>
  <si>
    <t>No. of additional meters installed</t>
  </si>
  <si>
    <t>SBW  B5: Metering - continue current strategy</t>
  </si>
  <si>
    <t>PR14SBWWSW_B6</t>
  </si>
  <si>
    <t>B6</t>
  </si>
  <si>
    <t>SBW-08</t>
  </si>
  <si>
    <t>B6: Reduce per capita consumption (PCC) to 140 litres/head/day by March 2020</t>
  </si>
  <si>
    <t>SBW  B6: Reduce per capita consumption (PCC) to 136 litres/head/day by March 2020</t>
  </si>
  <si>
    <t>PR14SBWWSW_C1</t>
  </si>
  <si>
    <t>Providing an excellent customer experience</t>
  </si>
  <si>
    <t>SBW-09</t>
  </si>
  <si>
    <t>C1: Repair visible leaks</t>
  </si>
  <si>
    <t>% visible leaks repaired within 7 days</t>
  </si>
  <si>
    <t>SBW  C1: Repair visible leaks</t>
  </si>
  <si>
    <t>PR14SBWWSW_D1</t>
  </si>
  <si>
    <t>Environmentally sustainable operations</t>
  </si>
  <si>
    <t>SBW-10</t>
  </si>
  <si>
    <t>D1: Reduce energy used in water delivery</t>
  </si>
  <si>
    <t>kWh/Ml (kilowatt hours per megalitre)</t>
  </si>
  <si>
    <t>SBW  D1: Reduce energy used in water delivery</t>
  </si>
  <si>
    <t>PR14SBWWSW_D2</t>
  </si>
  <si>
    <t>SBW-11</t>
  </si>
  <si>
    <t>D2: Help support a natural healthy water environment (in addition to NEP statutory obligation work)</t>
  </si>
  <si>
    <t>Annual review of environmental work</t>
  </si>
  <si>
    <t>Annual review</t>
  </si>
  <si>
    <t>Ann review</t>
  </si>
  <si>
    <t>Annual report</t>
  </si>
  <si>
    <t>Met</t>
  </si>
  <si>
    <t>SBW  D2: Help support a natural healthy water environment (in addition to NEP statutory obligation work)</t>
  </si>
  <si>
    <t>PR14SBWWSW_E1</t>
  </si>
  <si>
    <t>Engage well with our community and customers</t>
  </si>
  <si>
    <t>SBW-12</t>
  </si>
  <si>
    <t>E1: Contribute to our community (increase educational visits to schools, and working days for volunteer and charity work)</t>
  </si>
  <si>
    <t>Community/partnerships</t>
  </si>
  <si>
    <t>No. of working days</t>
  </si>
  <si>
    <t>SBW  E1: Contribute to our community (increase educational visits to schools, and working days for volunteer and charity work)</t>
  </si>
  <si>
    <t>PR14SBWHHR_A1</t>
  </si>
  <si>
    <t>SBW-13</t>
  </si>
  <si>
    <t>Service incentive mechanism (SIM) score (average)</t>
  </si>
  <si>
    <t>SBW  A1: Service incentive mechanism (SIM)</t>
  </si>
  <si>
    <t>PR14SBWHHR_A2</t>
  </si>
  <si>
    <t>SBW-14</t>
  </si>
  <si>
    <t>A2: New customer relationship management (CRM) system</t>
  </si>
  <si>
    <t>SBW  A2: New customer relationship management (CRM) system</t>
  </si>
  <si>
    <t>PR14SBWHHR_B1</t>
  </si>
  <si>
    <t>A financially stable business</t>
  </si>
  <si>
    <t>SBW-15</t>
  </si>
  <si>
    <t>B1: Fair customer bills (efficient debt management: % of average bill)</t>
  </si>
  <si>
    <t>% of average bill</t>
  </si>
  <si>
    <t>3.00 - 3.75</t>
  </si>
  <si>
    <t>SBW  B1: Fair customer bills (efficient debt management: % of average bill)</t>
  </si>
  <si>
    <t>SES</t>
  </si>
  <si>
    <t>PR14SESWSW_A1</t>
  </si>
  <si>
    <t>Provide a reliable and sufficient supply of safe, high quality drinking water</t>
  </si>
  <si>
    <t>SES-01</t>
  </si>
  <si>
    <t>A1: Security of supply index (SoSI) dry year average</t>
  </si>
  <si>
    <t>1 breach/AMP</t>
  </si>
  <si>
    <t>SES  A1: Security of supply index (SoSI) dry year average</t>
  </si>
  <si>
    <t>PR14SESWSW_A2</t>
  </si>
  <si>
    <t>SES-02</t>
  </si>
  <si>
    <t>A2: Security of supply index (SoSI) critical period</t>
  </si>
  <si>
    <t>SES  A2: Security of supply index (SoSI) critical period</t>
  </si>
  <si>
    <t>PR14SESWSW_A3</t>
  </si>
  <si>
    <t>SES-03</t>
  </si>
  <si>
    <t>A3: Supply interruptions &gt;3 hours</t>
  </si>
  <si>
    <t>SES  A3: Supply interruptions &gt;3 hours</t>
  </si>
  <si>
    <t>PR14SESWSW_A4</t>
  </si>
  <si>
    <t>SES-04</t>
  </si>
  <si>
    <t>A4: Condition and reliability of the mains network - number of burst pipes a year</t>
  </si>
  <si>
    <t>SES  A4: Condition and reliability of the mains network - number of burst pipes a year</t>
  </si>
  <si>
    <t>PR14SESWSW_A5</t>
  </si>
  <si>
    <t>SES-05</t>
  </si>
  <si>
    <t>A5: Drinking Water Inspectorate’s (DWI) index of water quality</t>
  </si>
  <si>
    <t>SES  A5: Drinking Water Inspectorate’s (DWI) index of water quality</t>
  </si>
  <si>
    <t>PR14SESWSW_A6</t>
  </si>
  <si>
    <t>SES-06</t>
  </si>
  <si>
    <t>A6: Taste, odour and discolouration (number of contacts received)</t>
  </si>
  <si>
    <t>SES  A6: Taste, odour and discolouration (number of contacts received)</t>
  </si>
  <si>
    <t>PR14SESWSW_A7</t>
  </si>
  <si>
    <t>A7</t>
  </si>
  <si>
    <t>SES-07</t>
  </si>
  <si>
    <t>A7: Water softening programme</t>
  </si>
  <si>
    <t>Programme delivery</t>
  </si>
  <si>
    <t>SES  A7: Water softening programme</t>
  </si>
  <si>
    <t>PR14SESWSW_C1</t>
  </si>
  <si>
    <t>Increasing the resilience of our network to drought, flooding and equipment failure</t>
  </si>
  <si>
    <t>SES-08</t>
  </si>
  <si>
    <t>C1: The number of times on average the Company has to impose restrictions on the use of water</t>
  </si>
  <si>
    <t>No. of restrictions in last 10 years</t>
  </si>
  <si>
    <t>SES  C1: The number of times on average the Company has to impose restrictions on the use of water</t>
  </si>
  <si>
    <t>PR14SESWSW_C2</t>
  </si>
  <si>
    <t>SES-09</t>
  </si>
  <si>
    <t>C2: Percentage of properties that are connected to more than one treatment works (resilience measure)</t>
  </si>
  <si>
    <t>% props can be supplied from &gt;1 WTW</t>
  </si>
  <si>
    <t>SES  C2: Percentage of properties that are connected to more than one treatment works (resilience measure)</t>
  </si>
  <si>
    <t>PR14SESWSW_E1</t>
  </si>
  <si>
    <t>Reducing our impact on the environment while seeking to make a positive contribution to its quality</t>
  </si>
  <si>
    <t>SES-10</t>
  </si>
  <si>
    <t>E1: Level of leakage measured in megalitres per day (including customer supply pipe leakage)</t>
  </si>
  <si>
    <t>SES  E1: Level of leakage measured in megalitres per day (including customer supply pipe leakage)</t>
  </si>
  <si>
    <t>PR14SESWSW_E2</t>
  </si>
  <si>
    <t>SES-11</t>
  </si>
  <si>
    <t>E2: Per capita consumption (PCC), measured in litres per head per day (l/h/d)</t>
  </si>
  <si>
    <t>SES  E2: Per capita consumption (PCC), measured in litres per head per day (l/h/d)</t>
  </si>
  <si>
    <t>PR14SESWSW_E3</t>
  </si>
  <si>
    <t>SES-12</t>
  </si>
  <si>
    <t>E3: The number of children and adults engaged in environmental education activities</t>
  </si>
  <si>
    <t>Customer education/awareness</t>
  </si>
  <si>
    <t>No. people the company engages with</t>
  </si>
  <si>
    <t>&gt;10,000</t>
  </si>
  <si>
    <t>SES  E3: The number of children and adults engaged in environmental education activities</t>
  </si>
  <si>
    <t>PR14SESWSW_E4</t>
  </si>
  <si>
    <t>SES-13</t>
  </si>
  <si>
    <t>E4: Greenhouse gas emissions per million litres of water supplied</t>
  </si>
  <si>
    <t>kgCO2e/Ml</t>
  </si>
  <si>
    <t>SES  E4: Greenhouse gas emissions per million litres of water supplied</t>
  </si>
  <si>
    <t>PR14SESWSW_E5</t>
  </si>
  <si>
    <t>SES-14</t>
  </si>
  <si>
    <t>E5: Number of severe pollution incidents (category 3 or worse, as reported by the Environment Agency)</t>
  </si>
  <si>
    <t>No. of pollution incidents (cats 1, 2 and 3)</t>
  </si>
  <si>
    <t>SES  E5: Number of severe pollution incidents (category 3 or worse, as reported by the Environment Agency)</t>
  </si>
  <si>
    <t>PR14SESWSW_E6</t>
  </si>
  <si>
    <t>E6</t>
  </si>
  <si>
    <t>SES-15</t>
  </si>
  <si>
    <t>E6: Environmental investigations or catchment management schemes carried out as part of the NEP</t>
  </si>
  <si>
    <t>No. of NEP schemes</t>
  </si>
  <si>
    <t>SES  E6: Environmental investigations or catchment management schemes carried out as part of the NEP</t>
  </si>
  <si>
    <t>PR14SESHHR_B1</t>
  </si>
  <si>
    <t>Offering good value for money and keeping bills at a fair and reasonable level</t>
  </si>
  <si>
    <t>SES-16</t>
  </si>
  <si>
    <t>B1: Number of customers that are in water poverty and receiving assistance</t>
  </si>
  <si>
    <t>No. of customers</t>
  </si>
  <si>
    <t>SES  B1: Number of customers that are in water poverty and receiving assistance</t>
  </si>
  <si>
    <t>PR14SESHHR_B2</t>
  </si>
  <si>
    <t>SES-17</t>
  </si>
  <si>
    <t>B2: Effectiveness of bad debt recovery (bad debt expressed as a percentage of turnover)</t>
  </si>
  <si>
    <t>Bad debt as % of total turnover</t>
  </si>
  <si>
    <t>&lt;1.00</t>
  </si>
  <si>
    <t>SES  B2: Effectiveness of bad debt recovery (bad debt expressed as a percentage of turnover)</t>
  </si>
  <si>
    <t>PR14SESHHR_B3</t>
  </si>
  <si>
    <t>SES-18</t>
  </si>
  <si>
    <t>B3: Customer perception of value for money</t>
  </si>
  <si>
    <t>&lt;15</t>
  </si>
  <si>
    <t>SES  B3: Customer perception of value for money</t>
  </si>
  <si>
    <t>PR14SESHHR_D1</t>
  </si>
  <si>
    <t>Delivering consistently high levels of service</t>
  </si>
  <si>
    <t>SES-19</t>
  </si>
  <si>
    <t>D1: Customer satisfaction (level of satisfaction in response to the tracker survey (overall quality score))</t>
  </si>
  <si>
    <t>SES  D1: Customer satisfaction (level of satisfaction in response to the tracker survey (overall quality score))</t>
  </si>
  <si>
    <t>PR14SESHHR_D2</t>
  </si>
  <si>
    <t>SES-20</t>
  </si>
  <si>
    <t>D2: Service incentive mechanism (SIM)</t>
  </si>
  <si>
    <t>SES  D2: Service incentive mechanism (SIM)</t>
  </si>
  <si>
    <t>PR14SESHHR_D3</t>
  </si>
  <si>
    <t>SES-21</t>
  </si>
  <si>
    <t>D3: Total number of complaints</t>
  </si>
  <si>
    <t>No. per 1,000 billed properties</t>
  </si>
  <si>
    <t>SES  D3: Total number of complaints</t>
  </si>
  <si>
    <t>SEW</t>
  </si>
  <si>
    <t>PR14SEWWSW_A1</t>
  </si>
  <si>
    <t>Customers consider the appearance of their water to be acceptable</t>
  </si>
  <si>
    <t>SEW-01</t>
  </si>
  <si>
    <t>A1: Customer satisfaction - appearance of water</t>
  </si>
  <si>
    <t>Customer satisfaction score out of 5</t>
  </si>
  <si>
    <t>0.1 index point</t>
  </si>
  <si>
    <t>SEW  A1: Customer satisfaction - appearance of water</t>
  </si>
  <si>
    <t>PR14SEWWSW_B1</t>
  </si>
  <si>
    <t>Customers consider the taste and odour of their water to be acceptable</t>
  </si>
  <si>
    <t>SEW-02</t>
  </si>
  <si>
    <t>B1: Customer satisfaction - taste and odour of water</t>
  </si>
  <si>
    <t>SEW  B1: Customer satisfaction - taste and odour of water</t>
  </si>
  <si>
    <t>PR14SEWWSW_C1</t>
  </si>
  <si>
    <t>Customers consider the level of leakage to be acceptable</t>
  </si>
  <si>
    <t>SEW-03</t>
  </si>
  <si>
    <t>C1: Customer satisfaction - level of leakage</t>
  </si>
  <si>
    <t>SEW  C1: Customer satisfaction - level of leakage</t>
  </si>
  <si>
    <t>PR14SEWWSW_C2</t>
  </si>
  <si>
    <t>SEW-04</t>
  </si>
  <si>
    <t>C2: Leakage (actual reported leakage per Ml/d per year)</t>
  </si>
  <si>
    <t>SEW  C2: Leakage (actual reported leakage per Ml/d per year)</t>
  </si>
  <si>
    <t>PR14SEWWSW_D1</t>
  </si>
  <si>
    <t>Customers consider their direct interaction experience to be positive</t>
  </si>
  <si>
    <t>SEW-05</t>
  </si>
  <si>
    <t>D1: Customer satisfaction - direct interaction experience</t>
  </si>
  <si>
    <t>SEW  D1: Customer satisfaction - direct interaction experience</t>
  </si>
  <si>
    <t>PR14SEWWSW_D2</t>
  </si>
  <si>
    <t>SEW-06</t>
  </si>
  <si>
    <t>D2: Service Incentive Mechanism (SIM)</t>
  </si>
  <si>
    <t>SEW  D2: Service Incentive Mechanism (SIM)</t>
  </si>
  <si>
    <t>PR14SEWWSW_E1</t>
  </si>
  <si>
    <t>Customers consider their bills to be value for money and affordable</t>
  </si>
  <si>
    <t>SEW-07</t>
  </si>
  <si>
    <t>E1: Customer satisfaction - bills are value for money and affordable</t>
  </si>
  <si>
    <t>SEW  E1: Customer satisfaction - bills are value for money and affordable</t>
  </si>
  <si>
    <t>PR14SEWWSW_F1</t>
  </si>
  <si>
    <t>Customers consider the water supply is of sufficient pressure</t>
  </si>
  <si>
    <t>SEW-08</t>
  </si>
  <si>
    <t>F1: Customer satisfaction - water supply is of sufficient pressure</t>
  </si>
  <si>
    <t>SEW  F1: Customer satisfaction - water supply is of sufficient pressure</t>
  </si>
  <si>
    <t>PR14SEWWSW_F2</t>
  </si>
  <si>
    <t>SEW-09</t>
  </si>
  <si>
    <t>F2: Number of properties at risk of low pressure, as recorded on the DG2 register</t>
  </si>
  <si>
    <t>No. of properties on DG2 register</t>
  </si>
  <si>
    <t>SEW  F2: Number of properties at risk of low pressure, as recorded on the DG2 register</t>
  </si>
  <si>
    <t>PR14SEWWSW_G1</t>
  </si>
  <si>
    <t>Customers consider the frequency and duration of supply interruptions is acceptable</t>
  </si>
  <si>
    <t>SEW-10</t>
  </si>
  <si>
    <t>G1: Customer satisfaction - frequency and duration of supply interruptions</t>
  </si>
  <si>
    <t>SEW  G1: Customer satisfaction - frequency and duration of supply interruptions</t>
  </si>
  <si>
    <t>PR14SEWWSW_G2</t>
  </si>
  <si>
    <t>SEW-11</t>
  </si>
  <si>
    <t>G2: Average time lost per property (measured in minutes, per property served)</t>
  </si>
  <si>
    <t>SEW  G2: Average time lost per property (measured in minutes, per property served)</t>
  </si>
  <si>
    <t>PR14SEWWSW_H1</t>
  </si>
  <si>
    <t>Customers consider the frequency of water use restrictions to be acceptable</t>
  </si>
  <si>
    <t>SEW-12</t>
  </si>
  <si>
    <t>H1: Customer satisfaction - frequency of water use restrictions</t>
  </si>
  <si>
    <t>SEW  H1: Customer satisfaction - frequency of water use restrictions</t>
  </si>
  <si>
    <t>PR14SEWWSW_H2</t>
  </si>
  <si>
    <t>SEW-13</t>
  </si>
  <si>
    <t>H2: Meeting the water resource deficit</t>
  </si>
  <si>
    <t>Pass/fail</t>
  </si>
  <si>
    <t>SEW  H2: Meeting the water resource deficit</t>
  </si>
  <si>
    <t>PR14SEWWSW_I1</t>
  </si>
  <si>
    <t>We are compliant with water quality regulations</t>
  </si>
  <si>
    <t>SEW-14</t>
  </si>
  <si>
    <t>I1: Mean zonal compliance (MZC)</t>
  </si>
  <si>
    <t>SEW  I1: Mean zonal compliance (MZC)</t>
  </si>
  <si>
    <t>PR14SEWWSW_J1</t>
  </si>
  <si>
    <t>We are compliant with environmental obligations</t>
  </si>
  <si>
    <t>SEW-15</t>
  </si>
  <si>
    <t>J1: Number of breaches of abstraction licences, discharge consents and environmental permits</t>
  </si>
  <si>
    <t>No. of breaches</t>
  </si>
  <si>
    <t>SEW  J1: Number of breaches of abstraction licences, discharge consents and environmental permits</t>
  </si>
  <si>
    <t>PR14SEWWSW_J2</t>
  </si>
  <si>
    <t>SEW-16</t>
  </si>
  <si>
    <t>J2: Number of pollution incidents (category 1-2)</t>
  </si>
  <si>
    <t>No. of pollution incidents (cat 1 and 2)</t>
  </si>
  <si>
    <t>SEW  J2: Number of pollution incidents (category 1-2)</t>
  </si>
  <si>
    <t>PR14SEWWSW_K1</t>
  </si>
  <si>
    <t>We are compliant with health and safety regulations</t>
  </si>
  <si>
    <t>SEW-17</t>
  </si>
  <si>
    <t>K1: Number of breaches of health and safety regulations, as defined by the Health and Safety Executive</t>
  </si>
  <si>
    <t>No. of H&amp;S regulation breaches</t>
  </si>
  <si>
    <t>SEW  K1: Number of breaches of health and safety regulations, as defined by the Health and Safety Executive</t>
  </si>
  <si>
    <t>PR14SEWWSW_L1</t>
  </si>
  <si>
    <t>We are compliant with National Security obligations</t>
  </si>
  <si>
    <t>SEW-18</t>
  </si>
  <si>
    <t>L1: Number of breaches of National Security obligations (Security and Emergency Measures Direction)</t>
  </si>
  <si>
    <t>No. of SEMD compliance breaches</t>
  </si>
  <si>
    <t>SEW  L1: Number of breaches of National Security obligations (Security and Emergency Measures Direction)</t>
  </si>
  <si>
    <t>PR14SEWWSW_M1</t>
  </si>
  <si>
    <t>We are compliant with other statutory obligations and licence conditions</t>
  </si>
  <si>
    <t>M1</t>
  </si>
  <si>
    <t>SEW-19</t>
  </si>
  <si>
    <t>M1: Number of compliance breaches with statutory obligations and licence conditions, not already reported in performance on outcomes I through to K</t>
  </si>
  <si>
    <t>No. of other compliance breaches</t>
  </si>
  <si>
    <t>SEW  M1: Number of compliance breaches with statutory obligations and licence conditions, not already reported in performance on outcomes I through to K</t>
  </si>
  <si>
    <t>PR14SEWWSW_N1</t>
  </si>
  <si>
    <t>Our assets are capable of delivering outcomes in the future</t>
  </si>
  <si>
    <t>SEW-20</t>
  </si>
  <si>
    <t>N1: Discolouration contacts</t>
  </si>
  <si>
    <t>SEW  N1: Discolouration contacts</t>
  </si>
  <si>
    <t>PR14SEWWSW_N2</t>
  </si>
  <si>
    <t>SEW-21</t>
  </si>
  <si>
    <t>N2: Above ground asset performance assessment</t>
  </si>
  <si>
    <t>See FD appendix</t>
  </si>
  <si>
    <t>SEW  N2: Above ground asset performance assessment</t>
  </si>
  <si>
    <t>PR14SEWWSW_N3</t>
  </si>
  <si>
    <t>N3</t>
  </si>
  <si>
    <t>SEW-22</t>
  </si>
  <si>
    <t>N3: Number of company sites at risk of flooding</t>
  </si>
  <si>
    <t>No. of SEW sites at risk of flooding</t>
  </si>
  <si>
    <t>SEW  N3: Number of company sites at risk of flooding</t>
  </si>
  <si>
    <t>PR14SEWWSW_N4</t>
  </si>
  <si>
    <t>N4</t>
  </si>
  <si>
    <t>SEW-23</t>
  </si>
  <si>
    <t>N4: Water mains bursts</t>
  </si>
  <si>
    <t>SEW  N4: Water mains bursts</t>
  </si>
  <si>
    <t>PR14SEWWSW_O1</t>
  </si>
  <si>
    <t>We will reduce our impact on the environment</t>
  </si>
  <si>
    <t>O1</t>
  </si>
  <si>
    <t>SEW-24</t>
  </si>
  <si>
    <t>O1: Kg of carbon emissions per customer per year</t>
  </si>
  <si>
    <t>Kg of carbon emissions per customer per year</t>
  </si>
  <si>
    <t>SEW  O1: Kg of carbon emissions per customer per year</t>
  </si>
  <si>
    <t>PR14SEWWSW_O2</t>
  </si>
  <si>
    <t>O2</t>
  </si>
  <si>
    <t>SEW-25</t>
  </si>
  <si>
    <t>O2: We will monitor our abstractions at low flows at environmentally sensitive sites (in line with AIM)</t>
  </si>
  <si>
    <t>TBC (in line with AIM)</t>
  </si>
  <si>
    <t>SEW  O2: We will monitor our abstractions at low flows at environmentally sensitive sites (in line with AIM)</t>
  </si>
  <si>
    <t>PR14SEWHHR_A1</t>
  </si>
  <si>
    <t>SEW-26</t>
  </si>
  <si>
    <t>PR14SEWHHR_B1</t>
  </si>
  <si>
    <t>SEW-27</t>
  </si>
  <si>
    <t>PR14SEWHHR_C1</t>
  </si>
  <si>
    <t>SEW-28</t>
  </si>
  <si>
    <t>PR14SEWHHR_D1</t>
  </si>
  <si>
    <t>SEW-29</t>
  </si>
  <si>
    <t>PR14SEWHHR_D2</t>
  </si>
  <si>
    <t>SEW-30</t>
  </si>
  <si>
    <t>PR14SEWHHR_E1</t>
  </si>
  <si>
    <t>SEW-31</t>
  </si>
  <si>
    <t>PR14SEWHHR_F1</t>
  </si>
  <si>
    <t>SEW-32</t>
  </si>
  <si>
    <t>PR14SEWHHR_G1</t>
  </si>
  <si>
    <t>SEW-33</t>
  </si>
  <si>
    <t>PR14SEWHHR_H1</t>
  </si>
  <si>
    <t>SEW-34</t>
  </si>
  <si>
    <t>PR14SRNWSW_1</t>
  </si>
  <si>
    <t>A constant supply of high quality drinking water</t>
  </si>
  <si>
    <t>SRN-01</t>
  </si>
  <si>
    <t>1: Water asset health (mains bursts, TIM, WSW &amp; WSR coliform compliance, turbidity compliance)</t>
  </si>
  <si>
    <t>SRN  1: Water asset health (mains bursts, TIM, WSW &amp; WSR coliform compliance, turbidity compliance)</t>
  </si>
  <si>
    <t>PR14SRNWSW_2</t>
  </si>
  <si>
    <t>SRN-02</t>
  </si>
  <si>
    <t>2: Water use restrictions</t>
  </si>
  <si>
    <t>No. of properties affected per ban</t>
  </si>
  <si>
    <t>SRN  2: Water use restrictions</t>
  </si>
  <si>
    <t>PR14SRNWSW_3</t>
  </si>
  <si>
    <t>SRN-03</t>
  </si>
  <si>
    <t>3: Leakage (including customer supply-pipe leakage) - five-year average target</t>
  </si>
  <si>
    <t>SRN  3: Leakage (including customer supply-pipe leakage) - five-year average target</t>
  </si>
  <si>
    <t>PR14SRNWSW_4</t>
  </si>
  <si>
    <t>SRN-04</t>
  </si>
  <si>
    <t>4: Interruptions to supply</t>
  </si>
  <si>
    <t>SRN  4: Interruptions to supply</t>
  </si>
  <si>
    <t>PR14SRNWSW_5</t>
  </si>
  <si>
    <t>SRN-05</t>
  </si>
  <si>
    <t>5: Mean Zonal Compliance (MZC)</t>
  </si>
  <si>
    <t>SRN  5: Mean Zonal Compliance (MZC)</t>
  </si>
  <si>
    <t>PR14SRNWSW_5a</t>
  </si>
  <si>
    <t>SRN-06</t>
  </si>
  <si>
    <t>5a: Drinking water quality - discolouration contacts</t>
  </si>
  <si>
    <t>SRN  5a: Drinking water quality - discolouration contacts</t>
  </si>
  <si>
    <t>PR14SRNWSW_6</t>
  </si>
  <si>
    <t>SRN-07</t>
  </si>
  <si>
    <t>6: Water pressure (number of properties on the DG2 low water pressure register)</t>
  </si>
  <si>
    <t>SRN  6: Water pressure (number of properties on the DG2 low water pressure register)</t>
  </si>
  <si>
    <t>PR14SRNWSW_7</t>
  </si>
  <si>
    <t>Looking after the environment</t>
  </si>
  <si>
    <t>SRN-08</t>
  </si>
  <si>
    <t>7: Distribution input</t>
  </si>
  <si>
    <t>SRN  7: Distribution input</t>
  </si>
  <si>
    <t>PR14SRNWSW_8</t>
  </si>
  <si>
    <t>Better information and advice</t>
  </si>
  <si>
    <t>SRN-09</t>
  </si>
  <si>
    <t>8: Per capita consumption (PCC) - five-year average target</t>
  </si>
  <si>
    <t>SRN  8: Per capita consumption (PCC) - five-year average target</t>
  </si>
  <si>
    <t>PR14SRNWSWW_1</t>
  </si>
  <si>
    <t>A reliable wastewater service</t>
  </si>
  <si>
    <t>SRN-10</t>
  </si>
  <si>
    <t>1: Wastewater asset health (sewer collapses, WwTW PE compliance, external flooding - other causes)</t>
  </si>
  <si>
    <t>SRN  1: Wastewater asset health (sewer collapses, WwTW PE compliance, external flooding - other causes)</t>
  </si>
  <si>
    <t>PR14SRNWSWW_1a</t>
  </si>
  <si>
    <t>SRN-11</t>
  </si>
  <si>
    <t>1a: Category 3 pollution incidents (including transferred assets and excluding private pumping stations)</t>
  </si>
  <si>
    <t>SRN  1a: Category 3 pollution incidents (including transferred assets and excluding private pumping stations)</t>
  </si>
  <si>
    <t>PR14SRNWSWW_2</t>
  </si>
  <si>
    <t>SRN-12</t>
  </si>
  <si>
    <t>2: Internal flooding incidents</t>
  </si>
  <si>
    <t>No. of internal sewer flooding incidents</t>
  </si>
  <si>
    <t>SRN  2: Internal flooding incidents</t>
  </si>
  <si>
    <t>PR14SRNWSWW_3</t>
  </si>
  <si>
    <t>SRN-13</t>
  </si>
  <si>
    <t>3: External flooding incidents</t>
  </si>
  <si>
    <t>No. of external sewer flooding incidents</t>
  </si>
  <si>
    <t>SRN  3: External flooding incidents</t>
  </si>
  <si>
    <t>PR14SRNWSWW_4</t>
  </si>
  <si>
    <t>SRN-14</t>
  </si>
  <si>
    <t>4: Sewer blockages</t>
  </si>
  <si>
    <t>No. of sewer blockages per km</t>
  </si>
  <si>
    <t>SRN  4: Sewer blockages</t>
  </si>
  <si>
    <t>PR14SRNWSWW_5</t>
  </si>
  <si>
    <t>SRN-15</t>
  </si>
  <si>
    <t>5: Odour complaints (Portswood and Tonbridge treatment works)</t>
  </si>
  <si>
    <t>WwTW odour</t>
  </si>
  <si>
    <t>No. of odour complaints</t>
  </si>
  <si>
    <t>SRN  5: Odour complaints (Portswood and Tonbridge treatment works)</t>
  </si>
  <si>
    <t>PR14SRNWSWW_6</t>
  </si>
  <si>
    <t>SRN-16</t>
  </si>
  <si>
    <t>6: Wastewater treatment works numeric compliance</t>
  </si>
  <si>
    <t>% compliance with WwTW regulations</t>
  </si>
  <si>
    <t>0.1%</t>
  </si>
  <si>
    <t>SRN  6: Wastewater treatment works numeric compliance</t>
  </si>
  <si>
    <t>PR14SRNWSWW_7</t>
  </si>
  <si>
    <t>SRN-17</t>
  </si>
  <si>
    <t>7: Proportion of energy from renewable sources</t>
  </si>
  <si>
    <t>% energy from renewable sources</t>
  </si>
  <si>
    <t>SRN  7: Proportion of energy from renewable sources</t>
  </si>
  <si>
    <t>PR14SRNWSWW_8</t>
  </si>
  <si>
    <t>SRN-18</t>
  </si>
  <si>
    <t>8: Bathing waters with ‘excellent’ water quality (part 1)</t>
  </si>
  <si>
    <t>No. of bathing waters</t>
  </si>
  <si>
    <t>SRN  8: Bathing waters with ‘excellent’ water quality (part 1)</t>
  </si>
  <si>
    <t>PR14SRNWSWW_9</t>
  </si>
  <si>
    <t>SRN-19</t>
  </si>
  <si>
    <t>9: Bathing waters with ‘excellent’ water quality (part 2)</t>
  </si>
  <si>
    <t>SRN  9: Bathing waters with ‘excellent’ water quality (part 2)</t>
  </si>
  <si>
    <t>PR14SRNWSWW_10</t>
  </si>
  <si>
    <t>SRN-20</t>
  </si>
  <si>
    <t>10: Bathing waters with ‘excellent’ water quality (part 3)</t>
  </si>
  <si>
    <t>£ million estimated scheme costs</t>
  </si>
  <si>
    <t>SRN  10: Bathing waters with ‘excellent’ water quality (part 3)</t>
  </si>
  <si>
    <t>PR14SRNWSWW_11</t>
  </si>
  <si>
    <t>SRN-21</t>
  </si>
  <si>
    <t>11: Serious pollution incidents (category 1 and 2 pollution incidents, as reported by the EA on MD109)</t>
  </si>
  <si>
    <t>No. of pollution incidents (cats 1 and 2)</t>
  </si>
  <si>
    <t>SRN  11: Serious pollution incidents (category 1 and 2 pollution incidents, as reported by the EA on MD109)</t>
  </si>
  <si>
    <t>PR14SRNWSWW_12</t>
  </si>
  <si>
    <t>SRN-22</t>
  </si>
  <si>
    <t>12: Avoiding blocked drains</t>
  </si>
  <si>
    <t>% customers aware of avoidance measures</t>
  </si>
  <si>
    <t>SRN  12: Avoiding blocked drains</t>
  </si>
  <si>
    <t>PR14SRNWSWW_13</t>
  </si>
  <si>
    <t>Scheme ODIs</t>
  </si>
  <si>
    <t>SRN-23</t>
  </si>
  <si>
    <t>13: Thanet sewers</t>
  </si>
  <si>
    <t>Scheme delivery</t>
  </si>
  <si>
    <t>Not delivered</t>
  </si>
  <si>
    <t>SRN  13: Thanet sewers</t>
  </si>
  <si>
    <t>PR14SRNWSWW_14</t>
  </si>
  <si>
    <t>SRN-24</t>
  </si>
  <si>
    <t>14: Woolston STW</t>
  </si>
  <si>
    <t>SRN  14: Woolston STW</t>
  </si>
  <si>
    <t>PR14SRNWSWW_15</t>
  </si>
  <si>
    <t>SRN-25</t>
  </si>
  <si>
    <t>15: Millbrook sludge</t>
  </si>
  <si>
    <t>Tonnes of dry solids removed</t>
  </si>
  <si>
    <t>SRN  15: Millbrook sludge</t>
  </si>
  <si>
    <t>PR14SRNHHR_1</t>
  </si>
  <si>
    <t>Responsive customer service</t>
  </si>
  <si>
    <t>SRN-26</t>
  </si>
  <si>
    <t>1: First time resolution of customer contacts</t>
  </si>
  <si>
    <t>% customer contacts resolved 1st time</t>
  </si>
  <si>
    <t>Improve</t>
  </si>
  <si>
    <t>SRN  1: First time resolution of customer contacts</t>
  </si>
  <si>
    <t>PR14SRNHHR_2</t>
  </si>
  <si>
    <t>SRN-27</t>
  </si>
  <si>
    <t>2: Dealing with customers’ individual needs</t>
  </si>
  <si>
    <t>% customers agreeing with survey statement</t>
  </si>
  <si>
    <t>SRN  2: Dealing with customers’ individual needs</t>
  </si>
  <si>
    <t>PR14SRNHHR_3</t>
  </si>
  <si>
    <t>SRN-28</t>
  </si>
  <si>
    <t>3: Awareness of water hardness measures</t>
  </si>
  <si>
    <t>% customers aware of water hardness measures</t>
  </si>
  <si>
    <t>SRN  3: Awareness of water hardness measures</t>
  </si>
  <si>
    <t>PR14SRNHHR_4</t>
  </si>
  <si>
    <t>SRN-29</t>
  </si>
  <si>
    <t>4: Where your money goes</t>
  </si>
  <si>
    <t>% customers aware of where money goes</t>
  </si>
  <si>
    <t>SRN  4: Where your money goes</t>
  </si>
  <si>
    <t>PR14SRNHHR_5</t>
  </si>
  <si>
    <t>SRN-30</t>
  </si>
  <si>
    <t>5: Billing queries</t>
  </si>
  <si>
    <t>No. of billing queries</t>
  </si>
  <si>
    <t>Decrease</t>
  </si>
  <si>
    <t>SRN  5: Billing queries</t>
  </si>
  <si>
    <t>PR14SRNHHR_6</t>
  </si>
  <si>
    <t>SRN-31</t>
  </si>
  <si>
    <t>6: Take up of assistance schemes (number of customers who are receiving support through one of our financial assistance schemes)</t>
  </si>
  <si>
    <t>No. of assistance scheme customers</t>
  </si>
  <si>
    <t>SRN  6: Take up of assistance schemes (number of customers who are receiving support through one of our financial assistance schemes)</t>
  </si>
  <si>
    <t>PR14SRNHHR_7</t>
  </si>
  <si>
    <t>SRN-32</t>
  </si>
  <si>
    <t>7: Value-for-money</t>
  </si>
  <si>
    <t>% of customers who feel they get vfm</t>
  </si>
  <si>
    <t>SRN  7: Value-for-money</t>
  </si>
  <si>
    <t>PR14SRNHHR_8</t>
  </si>
  <si>
    <t>SRN-33</t>
  </si>
  <si>
    <t>8: Service Incentive Mechanism (SIM)</t>
  </si>
  <si>
    <t>SRN  8: Service Incentive Mechanism (SIM)</t>
  </si>
  <si>
    <t>SSC</t>
  </si>
  <si>
    <t>PR14SSCWSW_1.1</t>
  </si>
  <si>
    <t>Excellent water quality now and in the future</t>
  </si>
  <si>
    <t>SSC-01</t>
  </si>
  <si>
    <t>1.1: Mean zonal compliance (MZC, combined company)</t>
  </si>
  <si>
    <t>SSC  1.1: Mean zonal compliance (MZC, combined company)</t>
  </si>
  <si>
    <t>PR14SSCWSW_1.2</t>
  </si>
  <si>
    <t>SSC-02</t>
  </si>
  <si>
    <t>1.2: Acceptability of water to customers (combined company)</t>
  </si>
  <si>
    <t>No. of contacts per 1,000 population</t>
  </si>
  <si>
    <t>0.1 nr</t>
  </si>
  <si>
    <t>SSC  1.2: Acceptability of water to customers (combined company)</t>
  </si>
  <si>
    <t>PR14SSCWSW_2.1</t>
  </si>
  <si>
    <t>Secure and reliable supplies now and in the future</t>
  </si>
  <si>
    <t>SSC-03</t>
  </si>
  <si>
    <t>2.1: Interruptions to supply (combined company)</t>
  </si>
  <si>
    <t>SSC  2.1: Interruptions to supply (combined company)</t>
  </si>
  <si>
    <t>PR14SSCWSW_2.2</t>
  </si>
  <si>
    <t>SSC-04</t>
  </si>
  <si>
    <t>2.2: Serviceability infrastructure (combined company)</t>
  </si>
  <si>
    <t>SSC  2.2: Serviceability infrastructure (combined company)</t>
  </si>
  <si>
    <t>PR14SSCWSW_2.3</t>
  </si>
  <si>
    <t>SSC-05</t>
  </si>
  <si>
    <t>2.3: Serviceability non-infrastructure (combined company)</t>
  </si>
  <si>
    <t>SSC  2.3: Serviceability non-infrastructure (combined company)</t>
  </si>
  <si>
    <t>PR14SSCWSW_4.1</t>
  </si>
  <si>
    <t>Operations which are environmentally sustainable</t>
  </si>
  <si>
    <t>SSC-09</t>
  </si>
  <si>
    <t>4.1: Leakage (South Staffordshire operating region)</t>
  </si>
  <si>
    <t>SSC  4.1: Leakage (South Staffordshire operating region)</t>
  </si>
  <si>
    <t>PR14SSCWSW_4.2</t>
  </si>
  <si>
    <t>SSC-10</t>
  </si>
  <si>
    <t>4.2: Leakage (Cambridge operating region)</t>
  </si>
  <si>
    <t>SSC  4.2: Leakage (Cambridge operating region)</t>
  </si>
  <si>
    <t>PR14SSCWSW_4.3</t>
  </si>
  <si>
    <t>SSC-11</t>
  </si>
  <si>
    <t>4.3: Water efficiency (household per capita consumption (PCC) reported annually, combined company)</t>
  </si>
  <si>
    <t>SSC  4.3: Water efficiency (household per capita consumption (PCC) reported annually, combined company)</t>
  </si>
  <si>
    <t>PR14SSCWSW_4.4</t>
  </si>
  <si>
    <t>SSC-12</t>
  </si>
  <si>
    <t>4.4: Biodiversity (cumulative total hectares of land under management per year, combined company)</t>
  </si>
  <si>
    <t>Cumulative total hectares of land</t>
  </si>
  <si>
    <t>SSC  4.4: Biodiversity (cumulative total hectares of land under management per year, combined company)</t>
  </si>
  <si>
    <t>PR14SSCWSW_4.5</t>
  </si>
  <si>
    <t>SSC-13</t>
  </si>
  <si>
    <t>4.5: Carbon emissions from power consumption (tonnes, combined company)</t>
  </si>
  <si>
    <t>tCO2e (tonnes CO2e) in real savings</t>
  </si>
  <si>
    <t>Baseline year = 0</t>
  </si>
  <si>
    <t>SSC  4.5: Carbon emissions from power consumption (tonnes, combined company)</t>
  </si>
  <si>
    <t>PR14SSCWSW_5.1</t>
  </si>
  <si>
    <t>Fair customer bills and fair investor returns</t>
  </si>
  <si>
    <t>SSC-14</t>
  </si>
  <si>
    <t>5.1: Independent customer surveys of value for money and affordability (combined company)</t>
  </si>
  <si>
    <t>% customers satisfied with vfm &amp; affordability</t>
  </si>
  <si>
    <t>Not reported</t>
  </si>
  <si>
    <t>SSC  5.1: Independent customer surveys of value for money and affordability (combined company)</t>
  </si>
  <si>
    <t>PR14SSCWSW_5.2</t>
  </si>
  <si>
    <t>SSC-15</t>
  </si>
  <si>
    <t>5.2: Support for customers in debt (combined company)</t>
  </si>
  <si>
    <t>No. of customers engaged with on debt</t>
  </si>
  <si>
    <t>SSC  5.2: Support for customers in debt (combined company)</t>
  </si>
  <si>
    <t>PR14SSCHHR_3.1</t>
  </si>
  <si>
    <t>An excellent customer experience to customers and the community</t>
  </si>
  <si>
    <t>SSC-06</t>
  </si>
  <si>
    <t>3.1: Service incentive mechanism (SIM, combined company)</t>
  </si>
  <si>
    <t>SSC  3.1: Service incentive mechanism (SIM, combined company)</t>
  </si>
  <si>
    <t>PR14SSCHHR_3.2</t>
  </si>
  <si>
    <t>SSC-07</t>
  </si>
  <si>
    <t>3.2: Customer satisfaction surveys (combined company)</t>
  </si>
  <si>
    <t>SSC  3.2: Customer satisfaction surveys (combined company)</t>
  </si>
  <si>
    <t>PR14SSCHHR_3.3</t>
  </si>
  <si>
    <t>SSC-08</t>
  </si>
  <si>
    <t>3.3: Community engagement (combined company)</t>
  </si>
  <si>
    <t>No. of employee days per year</t>
  </si>
  <si>
    <t>SSC  3.3: Community engagement (combined company)</t>
  </si>
  <si>
    <t>PR14SVTWSW_W-A1</t>
  </si>
  <si>
    <t>We provide water that is good to drink</t>
  </si>
  <si>
    <t>SVT-01</t>
  </si>
  <si>
    <t>W-A1: Number of complaints about drinking water quality</t>
  </si>
  <si>
    <t>No. of water quality complaints</t>
  </si>
  <si>
    <t>SVT  W-A1: Number of complaints about drinking water quality</t>
  </si>
  <si>
    <t>PR14SVTWSW_W-A2</t>
  </si>
  <si>
    <t>SVT-02</t>
  </si>
  <si>
    <t>W-A2: Compliance with drinking water quality standards</t>
  </si>
  <si>
    <t>SVT  W-A2: Compliance with drinking water quality standards</t>
  </si>
  <si>
    <t>PR14SVTWSW_W-A3</t>
  </si>
  <si>
    <t>SVT-03</t>
  </si>
  <si>
    <t>W-A3: Asset stewardship - number of sites with coliform failures (WTWs)</t>
  </si>
  <si>
    <t>No. of sites with coliform failures per year</t>
  </si>
  <si>
    <t>&lt;8</t>
  </si>
  <si>
    <t>&lt;6</t>
  </si>
  <si>
    <t>SVT  W-A3: Asset stewardship - number of sites with coliform failures (WTWs)</t>
  </si>
  <si>
    <t>PR14SVTWSW_W-A4</t>
  </si>
  <si>
    <t>SVT-04</t>
  </si>
  <si>
    <t>W-A4: Number of successful catchment management schemes</t>
  </si>
  <si>
    <t>Catchment management</t>
  </si>
  <si>
    <t>No. catchment management schemes</t>
  </si>
  <si>
    <t>SVT  W-A4: Number of successful catchment management schemes</t>
  </si>
  <si>
    <t>PR14SVTWSW_W-B1</t>
  </si>
  <si>
    <t>We will ensure water is always there when you need it</t>
  </si>
  <si>
    <t>SVT-05</t>
  </si>
  <si>
    <t>W-B1: Resource efficiency (distribution input per customer) - amount of water taken out of the environment</t>
  </si>
  <si>
    <t>SVT  W-B1: Resource efficiency (distribution input per customer) - amount of water taken out of the environment</t>
  </si>
  <si>
    <t>PR14SVTWSW_W-B2</t>
  </si>
  <si>
    <t>SVT-06</t>
  </si>
  <si>
    <t>W-B2: Leakage levels</t>
  </si>
  <si>
    <t>SVT  W-B2: Leakage levels</t>
  </si>
  <si>
    <t>PR14SVTWSW_W-B3</t>
  </si>
  <si>
    <t>SVT-07</t>
  </si>
  <si>
    <t>W-B3: Speed of response in repairing leaks (% fixed within 24 hours)</t>
  </si>
  <si>
    <t>% visible leaks fixed within 24 hours</t>
  </si>
  <si>
    <t>SVT  W-B3: Speed of response in repairing leaks (% fixed within 24 hours)</t>
  </si>
  <si>
    <t>PR14SVTWSW_W-B4</t>
  </si>
  <si>
    <t>W-B4</t>
  </si>
  <si>
    <t>SVT-08</t>
  </si>
  <si>
    <t>W-B4: Number of minutes customers go without supply each year (interruptions to supply &gt; 3 hours)</t>
  </si>
  <si>
    <t>SVT  W-B4: Number of minutes customers go without supply each year (interruptions to supply &gt; 3 hours)</t>
  </si>
  <si>
    <t>PR14SVTWSW_W-B5</t>
  </si>
  <si>
    <t>W-B5</t>
  </si>
  <si>
    <t>SVT-09</t>
  </si>
  <si>
    <t>W-B5: % of customers with resilient supplies (those that benefit from a second source of supply)</t>
  </si>
  <si>
    <t>% customers with 2nd supply source</t>
  </si>
  <si>
    <t>SVT  W-B5: % of customers with resilient supplies (those that benefit from a second source of supply)</t>
  </si>
  <si>
    <t>PR14SVTWSW_W-B6</t>
  </si>
  <si>
    <t>W-B6</t>
  </si>
  <si>
    <t>SVT-10</t>
  </si>
  <si>
    <t>W-B6: Asset stewardship - mains bursts</t>
  </si>
  <si>
    <t>&lt;6,905</t>
  </si>
  <si>
    <t>SVT  W-B6: Asset stewardship - mains bursts</t>
  </si>
  <si>
    <t>PR14SVTWSW_W-B7</t>
  </si>
  <si>
    <t>W-B7</t>
  </si>
  <si>
    <t>SVT-11</t>
  </si>
  <si>
    <t>W-B7: Customers at risk of low pressure</t>
  </si>
  <si>
    <t>No. customers at risk of low pressure</t>
  </si>
  <si>
    <t>SVT  W-B7: Customers at risk of low pressure</t>
  </si>
  <si>
    <t>PR14SVTWSW_W-B8</t>
  </si>
  <si>
    <t>W-B8</t>
  </si>
  <si>
    <t>SVT-12</t>
  </si>
  <si>
    <t>W-B8: Restrictions on water use</t>
  </si>
  <si>
    <t>No. water restrictions in five-year period</t>
  </si>
  <si>
    <t>SVT  W-B8: Restrictions on water use</t>
  </si>
  <si>
    <t>PR14SVTWSW_W-B9</t>
  </si>
  <si>
    <t>W-B9</t>
  </si>
  <si>
    <t>SVT-13</t>
  </si>
  <si>
    <t>W-B9: Timing delays on Birmingham resilience scheme</t>
  </si>
  <si>
    <t>Scheme delivery (3 components)</t>
  </si>
  <si>
    <t>3 milestones</t>
  </si>
  <si>
    <t>3 complete</t>
  </si>
  <si>
    <t>NA</t>
  </si>
  <si>
    <t>On track</t>
  </si>
  <si>
    <t>SVT  W-B9: Timing delays on Birmingham resilience scheme</t>
  </si>
  <si>
    <t>PR14SVTWSW_W-B10</t>
  </si>
  <si>
    <t>W-B10</t>
  </si>
  <si>
    <t>SVT-14</t>
  </si>
  <si>
    <t>W-B10: Non-delivery of the outcome of the Birmingham resilience scheme</t>
  </si>
  <si>
    <t>SVT  W-B10: Non-delivery of the outcome of the Birmingham resilience scheme</t>
  </si>
  <si>
    <t>PR14SVTWSW_W-B11</t>
  </si>
  <si>
    <t>W-B11</t>
  </si>
  <si>
    <t>SVT-15</t>
  </si>
  <si>
    <t>W-B11: Timing delays on community risk schemes</t>
  </si>
  <si>
    <t>2 complete</t>
  </si>
  <si>
    <t>1 complete</t>
  </si>
  <si>
    <t>SVT  W-B11: Timing delays on community risk schemes</t>
  </si>
  <si>
    <t>PR14SVTWSW_W-B12</t>
  </si>
  <si>
    <t>W-B12</t>
  </si>
  <si>
    <t>SVT-16</t>
  </si>
  <si>
    <t>W-B12: Non-delivery of the community risk schemes</t>
  </si>
  <si>
    <t>SVT  W-B12: Non-delivery of the community risk schemes</t>
  </si>
  <si>
    <t>PR14SVTWSW_W-B13</t>
  </si>
  <si>
    <t>W-B13</t>
  </si>
  <si>
    <t>SVT-17</t>
  </si>
  <si>
    <t xml:space="preserve">W-B13: Timing delays on Elan Valley Aqueduct (EVA) maintenance </t>
  </si>
  <si>
    <t>Milestone complete</t>
  </si>
  <si>
    <t xml:space="preserve">SVT  W-B13: Timing delays on Elan Valley Aqueduct (EVA) maintenance </t>
  </si>
  <si>
    <t>PR14SVTWSW_W-B14</t>
  </si>
  <si>
    <t>W-B14</t>
  </si>
  <si>
    <t>SVT-18</t>
  </si>
  <si>
    <t>W-B14: Non-delivery of the Elan Valley Aqueduct (EVA) maintenance</t>
  </si>
  <si>
    <t>SVT  W-B14: Non-delivery of the Elan Valley Aqueduct (EVA) maintenance</t>
  </si>
  <si>
    <t>PR14SVTWSW_W-C1</t>
  </si>
  <si>
    <t>We will have the lowest possible charges</t>
  </si>
  <si>
    <t>SVT-19</t>
  </si>
  <si>
    <t>W-C1: Customers rating our services as good value for money (based on tracker survey)</t>
  </si>
  <si>
    <t>SVT  W-C1: Customers rating our services as good value for money (based on tracker survey)</t>
  </si>
  <si>
    <t>PR14SVTWSW_W-D1</t>
  </si>
  <si>
    <t>We will protect our local environment</t>
  </si>
  <si>
    <t>SVT-20</t>
  </si>
  <si>
    <t>W-D1: Improvements in river water quality against WFD criteria</t>
  </si>
  <si>
    <t>No. WFD classification improvements</t>
  </si>
  <si>
    <t>SVT  W-D1: Improvements in river water quality against WFD criteria</t>
  </si>
  <si>
    <t>PR14SVTWSW_W-D2</t>
  </si>
  <si>
    <t>SVT-21</t>
  </si>
  <si>
    <t>W-D2: Asset stewardship - environmental compliance</t>
  </si>
  <si>
    <t>% environmental compliance</t>
  </si>
  <si>
    <t>SVT  W-D2: Asset stewardship - environmental compliance</t>
  </si>
  <si>
    <t>PR14SVTWSW_W-D3</t>
  </si>
  <si>
    <t>SVT-22</t>
  </si>
  <si>
    <t>W-D3: Biodiversity</t>
  </si>
  <si>
    <t>No. of hectares improved</t>
  </si>
  <si>
    <t>SVT  W-D3: Biodiversity</t>
  </si>
  <si>
    <t>PR14SVTWSW_W-D4</t>
  </si>
  <si>
    <t>SVT-23</t>
  </si>
  <si>
    <t>W-D4: Sites with eel protection at intakes</t>
  </si>
  <si>
    <t>No. sites with eel protection at intakes</t>
  </si>
  <si>
    <t>SVT  W-D4: Sites with eel protection at intakes</t>
  </si>
  <si>
    <t>PR14SVTWSW_W-E1</t>
  </si>
  <si>
    <t>We will protect the wider environment</t>
  </si>
  <si>
    <t>SVT-24</t>
  </si>
  <si>
    <t>W-E1: Size of our carbon footprint</t>
  </si>
  <si>
    <t>SVT  W-E1: Size of our carbon footprint</t>
  </si>
  <si>
    <t>PR14SVTWSW_W-F1</t>
  </si>
  <si>
    <t>We will make a positive difference in the community</t>
  </si>
  <si>
    <t>SVT-25</t>
  </si>
  <si>
    <t>W-F1: Improved understanding of our services through education</t>
  </si>
  <si>
    <t>No. of people - education programme</t>
  </si>
  <si>
    <t>SVT  W-F1: Improved understanding of our services through education</t>
  </si>
  <si>
    <t>PR14SVTWSWW_S-A1</t>
  </si>
  <si>
    <t>We will safely take your waste away</t>
  </si>
  <si>
    <t>SVT-26</t>
  </si>
  <si>
    <t>S-A1: Number of internal sewer flooding incidents</t>
  </si>
  <si>
    <t>SVT  S-A1: Number of internal sewer flooding incidents</t>
  </si>
  <si>
    <t>PR14SVTWSWW_S-A2</t>
  </si>
  <si>
    <t>SVT-27</t>
  </si>
  <si>
    <t>S-A2: Number of external sewer flooding incidents</t>
  </si>
  <si>
    <t>SVT  S-A2: Number of external sewer flooding incidents</t>
  </si>
  <si>
    <t>PR14SVTWSWW_S-A3</t>
  </si>
  <si>
    <t>SVT-28</t>
  </si>
  <si>
    <t>S-A3: Partnership working</t>
  </si>
  <si>
    <t>No. of partnership working projects</t>
  </si>
  <si>
    <t>SVT  S-A3: Partnership working</t>
  </si>
  <si>
    <t>PR14SVTWSWW_S-A4</t>
  </si>
  <si>
    <t>SVT-29</t>
  </si>
  <si>
    <t>S-A4: Asset stewardship - blockages</t>
  </si>
  <si>
    <t>No. of sewer blockages per year</t>
  </si>
  <si>
    <t>&lt;50,470</t>
  </si>
  <si>
    <t>&lt;50,078</t>
  </si>
  <si>
    <t>&lt;49,685</t>
  </si>
  <si>
    <t>&lt;49,293</t>
  </si>
  <si>
    <t>&lt;48,900</t>
  </si>
  <si>
    <t>SVT  S-A4: Asset stewardship - blockages</t>
  </si>
  <si>
    <t>PR14SVTWSWW_S-A5</t>
  </si>
  <si>
    <t>S-A5</t>
  </si>
  <si>
    <t>SVT-30</t>
  </si>
  <si>
    <t>S-A5: Statutory obligations (Section 101A schemes)</t>
  </si>
  <si>
    <t>No. of connectable properties, identified as polluting or likely to pollute, associated with new Section 101A schemes</t>
  </si>
  <si>
    <t>SVT  S-A5: Statutory obligations (Section 101A schemes)</t>
  </si>
  <si>
    <t>PR14SVTWSWW_S-B1</t>
  </si>
  <si>
    <t>SVT-31</t>
  </si>
  <si>
    <t>S-B1: Customers rating our services as good value for money (based on tracker survey)</t>
  </si>
  <si>
    <t>SVT  S-B1: Customers rating our services as good value for money (based on tracker survey)</t>
  </si>
  <si>
    <t>PR14SVTWSWW_S-C1</t>
  </si>
  <si>
    <t>SVT-32</t>
  </si>
  <si>
    <t>S-C1: Improvements in river water quality against WFD criteria</t>
  </si>
  <si>
    <t>No. of WFD classification improvements</t>
  </si>
  <si>
    <t>SVT  S-C1: Improvements in river water quality against WFD criteria</t>
  </si>
  <si>
    <t>PR14SVTWSWW_S-C2</t>
  </si>
  <si>
    <t>SVT-33</t>
  </si>
  <si>
    <t>S-C2: The number of category 3 pollution incidents</t>
  </si>
  <si>
    <t>SVT  S-C2: The number of category 3 pollution incidents</t>
  </si>
  <si>
    <t>PR14SVTWSWW_S-C3</t>
  </si>
  <si>
    <t>SVT-34</t>
  </si>
  <si>
    <t>S-C3: Asset stewardship - environmental compliance (basket of measures)</t>
  </si>
  <si>
    <t>SVT  S-C3: Asset stewardship - environmental compliance (basket of measures)</t>
  </si>
  <si>
    <t>PR14SVTWSWW_S-C4</t>
  </si>
  <si>
    <t>SVT-35</t>
  </si>
  <si>
    <t>S-C4: Biodiversity</t>
  </si>
  <si>
    <t>SVT  S-C4: Biodiversity</t>
  </si>
  <si>
    <t>PR14SVTWSWW_S-C5</t>
  </si>
  <si>
    <t>S-C5</t>
  </si>
  <si>
    <t>SVT-36</t>
  </si>
  <si>
    <t>S-C5: Sustainable sewage treatment</t>
  </si>
  <si>
    <t>Out</t>
  </si>
  <si>
    <t>No. of WwTWs avoiding investment</t>
  </si>
  <si>
    <t>SVT  S-C5: Sustainable sewage treatment</t>
  </si>
  <si>
    <t>PR14SVTWSWW_S-C6</t>
  </si>
  <si>
    <t>S-C6</t>
  </si>
  <si>
    <t>SVT-37</t>
  </si>
  <si>
    <t>S-C6: Serious pollution incidents</t>
  </si>
  <si>
    <t>SVT  S-C6: Serious pollution incidents</t>
  </si>
  <si>
    <t>PR14SVTWSWW_S-C7</t>
  </si>
  <si>
    <t>S-C7</t>
  </si>
  <si>
    <t>SVT-38</t>
  </si>
  <si>
    <t>S-C7: Overall environmental performance (basket of environmental measures)</t>
  </si>
  <si>
    <t>No. of environmental targets met</t>
  </si>
  <si>
    <t>Calculated in 2018/19</t>
  </si>
  <si>
    <t>Cannot be calculated until APR19</t>
  </si>
  <si>
    <t>SVT  S-C7: Overall environmental performance (basket of environmental measures)</t>
  </si>
  <si>
    <t>PR14SVTWSWW_S-C8</t>
  </si>
  <si>
    <t>S-C8</t>
  </si>
  <si>
    <t>SVT-39</t>
  </si>
  <si>
    <t>S-C8: The number of category 4 pollution incidents</t>
  </si>
  <si>
    <t>No. of pollution incidents (cat 4)</t>
  </si>
  <si>
    <t>SVT  S-C8: The number of category 4 pollution incidents</t>
  </si>
  <si>
    <t>PR14SVTWSWW_S-D1</t>
  </si>
  <si>
    <t>SVT-40</t>
  </si>
  <si>
    <t>S-D1: Size of our carbon footprint</t>
  </si>
  <si>
    <t>SVT  S-D1: Size of our carbon footprint</t>
  </si>
  <si>
    <t>PR14SVTWSWW_S-E1</t>
  </si>
  <si>
    <t>SVT-41</t>
  </si>
  <si>
    <t>S-E1: Improved understanding of our services through education</t>
  </si>
  <si>
    <t>SVT  S-E1: Improved understanding of our services through education</t>
  </si>
  <si>
    <t>PR14SVTHHR_R-A1</t>
  </si>
  <si>
    <t>We will provide you with excellent customer service</t>
  </si>
  <si>
    <t>SVT-42</t>
  </si>
  <si>
    <t>R-A1: Customer satisfaction with their service (based on a survey)</t>
  </si>
  <si>
    <t>Customer satisfaction ranking</t>
  </si>
  <si>
    <t>Median</t>
  </si>
  <si>
    <t>Upper quartile</t>
  </si>
  <si>
    <t>SVT  R-A1: Customer satisfaction with their service (based on a survey)</t>
  </si>
  <si>
    <t>PR14SVTHHR_R-A2</t>
  </si>
  <si>
    <t>SVT-43</t>
  </si>
  <si>
    <t>R-A2: Customers' experience of dealing with us (based on Ofwat's SIM)</t>
  </si>
  <si>
    <t>SVT  R-A2: Customers' experience of dealing with us (based on Ofwat's SIM)</t>
  </si>
  <si>
    <t>PR14SVTHHR_R-B1</t>
  </si>
  <si>
    <t>We will help you if you struggle</t>
  </si>
  <si>
    <t>SVT-44</t>
  </si>
  <si>
    <t>R-B1: Customers helped by a review of their tariff &amp; water usage &amp;/or supported by SVT social fund</t>
  </si>
  <si>
    <t>SVT  R-B1: Customers helped by a review of their tariff &amp; water usage &amp;/or supported by SVT social fund</t>
  </si>
  <si>
    <t>PR14SVTHHR_R-B2</t>
  </si>
  <si>
    <t>SVT-45</t>
  </si>
  <si>
    <t>R-B2: Percentage of customers who do not pay (household bad debt divided by total household revenue)</t>
  </si>
  <si>
    <t>% of customers who do not pay</t>
  </si>
  <si>
    <t>SVT  R-B2: Percentage of customers who do not pay (household bad debt divided by total household revenue)</t>
  </si>
  <si>
    <t>PR14SWTWSW_W-A1</t>
  </si>
  <si>
    <t>Clean, safe and reliable supply of drinking water</t>
  </si>
  <si>
    <t>SWT-01</t>
  </si>
  <si>
    <t>W-A1: Compliance with water quality standard</t>
  </si>
  <si>
    <t>SWT  W-A1: Compliance with water quality standard</t>
  </si>
  <si>
    <t>PR14SWTWSW_W-A2</t>
  </si>
  <si>
    <t>SWT-02</t>
  </si>
  <si>
    <t>W-A2: Taste, smell and colour contacts</t>
  </si>
  <si>
    <t>SWT  W-A2: Taste, smell and colour contacts</t>
  </si>
  <si>
    <t>PR14SWTWSW_W-A3</t>
  </si>
  <si>
    <t>SWT-03</t>
  </si>
  <si>
    <t>W-A3: Asset reliability (pipes)</t>
  </si>
  <si>
    <t>SWT  W-A3: Asset reliability (pipes)</t>
  </si>
  <si>
    <t>PR14SWTWSW_W-A4</t>
  </si>
  <si>
    <t>SWT-04</t>
  </si>
  <si>
    <t>W-A4: Asset reliability (process)</t>
  </si>
  <si>
    <t>SWT  W-A4: Asset reliability (process)</t>
  </si>
  <si>
    <t>PR14SWTWSW_W-A5</t>
  </si>
  <si>
    <t>SWT-05</t>
  </si>
  <si>
    <t>W-A5: Duration of interruptions in supply (hours/property)</t>
  </si>
  <si>
    <t>SWT  W-A5: Duration of interruptions in supply (hours/property)</t>
  </si>
  <si>
    <t>PR14SWTWSW_W-B1</t>
  </si>
  <si>
    <t>Available and sufficient water resources</t>
  </si>
  <si>
    <t>SWT-06</t>
  </si>
  <si>
    <t>W-B1: Water restrictions placed on customers (number)</t>
  </si>
  <si>
    <t>No. of water restrictions</t>
  </si>
  <si>
    <t>SWT  W-B1: Water restrictions placed on customers (number)</t>
  </si>
  <si>
    <t>PR14SWTWSW_W-B2</t>
  </si>
  <si>
    <t>SWT-07</t>
  </si>
  <si>
    <t>W-B2: Ability to move water around the network</t>
  </si>
  <si>
    <t>Limited / partial / increased / substantial</t>
  </si>
  <si>
    <t>Partial</t>
  </si>
  <si>
    <t>Increased</t>
  </si>
  <si>
    <t>SWT  W-B2: Ability to move water around the network</t>
  </si>
  <si>
    <t>PR14SWTWSW_W-B3</t>
  </si>
  <si>
    <t>SWT-08</t>
  </si>
  <si>
    <t>W-B3: Leakage levels (megalitres a day, Ml/d)</t>
  </si>
  <si>
    <t>SWT  W-B3: Leakage levels (megalitres a day, Ml/d)</t>
  </si>
  <si>
    <t>PR14SWTWSW_W-B4</t>
  </si>
  <si>
    <t>SWT-09</t>
  </si>
  <si>
    <t>W-B4: Time taken to fix significant leaks (days)</t>
  </si>
  <si>
    <t>No. of days taken to fix significant leaks</t>
  </si>
  <si>
    <t>&lt;3</t>
  </si>
  <si>
    <t>&lt;2</t>
  </si>
  <si>
    <t>SWT  W-B4: Time taken to fix significant leaks (days)</t>
  </si>
  <si>
    <t>PR14SWTWSW_W-B5</t>
  </si>
  <si>
    <t>SWT-10</t>
  </si>
  <si>
    <t>W-B5: Security of supply index (SoSI)</t>
  </si>
  <si>
    <t>SWT  W-B5: Security of supply index (SoSI)</t>
  </si>
  <si>
    <t>PR14SWTWSW_W-C1</t>
  </si>
  <si>
    <t>Resilience in extreme conditions</t>
  </si>
  <si>
    <t>SWT-11</t>
  </si>
  <si>
    <t>W-C1: Supplies interrupted due to flooded South West Water sites</t>
  </si>
  <si>
    <t>No. of events over AMP6</t>
  </si>
  <si>
    <t>SWT  W-C1: Supplies interrupted due to flooded South West Water sites</t>
  </si>
  <si>
    <t>PR14SWTWSW_W-D1</t>
  </si>
  <si>
    <t>Responsive to customers</t>
  </si>
  <si>
    <t>SWT-12</t>
  </si>
  <si>
    <t>W-D1: Operational customer contacts resolved first time (%)</t>
  </si>
  <si>
    <t>SWT  W-D1: Operational customer contacts resolved first time (%)</t>
  </si>
  <si>
    <t>PR14SWTWSW_W-E1</t>
  </si>
  <si>
    <t>Protecting the environment</t>
  </si>
  <si>
    <t>SWT-13</t>
  </si>
  <si>
    <t>W-E1: Sustainable abstractions (EA/WFD classification)</t>
  </si>
  <si>
    <t>No. sites where improvement required</t>
  </si>
  <si>
    <t>SWT  W-E1: Sustainable abstractions (EA/WFD classification)</t>
  </si>
  <si>
    <t>PR14SWTWSW_W-E2</t>
  </si>
  <si>
    <t>SWT-14</t>
  </si>
  <si>
    <t>W-E2: Sustainable abstractions (Environment Agency water stress status)</t>
  </si>
  <si>
    <t>Water scarcity status (defined by EA)</t>
  </si>
  <si>
    <t>Moderate</t>
  </si>
  <si>
    <t>Severe</t>
  </si>
  <si>
    <t>Not serious</t>
  </si>
  <si>
    <t>SWT  W-E2: Sustainable abstractions (Environment Agency water stress status)</t>
  </si>
  <si>
    <t>PR14SWTWSW_W-E3a</t>
  </si>
  <si>
    <t>W-E3a</t>
  </si>
  <si>
    <t>SWT-15a</t>
  </si>
  <si>
    <t>W-E3a: Catchment management (number of acres)</t>
  </si>
  <si>
    <t>No. of acres (cumulative)</t>
  </si>
  <si>
    <t>SWT  W-E3a: Catchment management (number of acres)</t>
  </si>
  <si>
    <t>PR14SWTWSW_W-E3b</t>
  </si>
  <si>
    <t>W-E3b</t>
  </si>
  <si>
    <t>SWT-15b</t>
  </si>
  <si>
    <t>W-E3b: Catchment management (number of farms)</t>
  </si>
  <si>
    <t>No. of farms (cumulative)</t>
  </si>
  <si>
    <t>SWT  W-E3b: Catchment management (number of farms)</t>
  </si>
  <si>
    <t>PR14SWTWSW_W-E4</t>
  </si>
  <si>
    <t>W-E4</t>
  </si>
  <si>
    <t>SWT-16</t>
  </si>
  <si>
    <t>W-E4: Pollution incidents (category 1 and 2)</t>
  </si>
  <si>
    <t>SWT  W-E4: Pollution incidents (category 1 and 2)</t>
  </si>
  <si>
    <t>PR14SWTWSW_W-E5</t>
  </si>
  <si>
    <t>W-E5</t>
  </si>
  <si>
    <t>SWT-17</t>
  </si>
  <si>
    <t>W-E5: Pollution incidents (category 3 and 4)</t>
  </si>
  <si>
    <t>No. of pollution incidents (cats 3 and 4)</t>
  </si>
  <si>
    <t>SWT  W-E5: Pollution incidents (category 3 and 4)</t>
  </si>
  <si>
    <t>PR14SWTWSW_W-E6</t>
  </si>
  <si>
    <t>W-E6</t>
  </si>
  <si>
    <t>SWT-18</t>
  </si>
  <si>
    <t>W-E6: Operational carbon emissions (ktCO2e)</t>
  </si>
  <si>
    <t>SWT  W-E6: Operational carbon emissions (ktCO2e)</t>
  </si>
  <si>
    <t>PR14SWTWSW_W-E7</t>
  </si>
  <si>
    <t>W-E7</t>
  </si>
  <si>
    <t>SWT-19</t>
  </si>
  <si>
    <t>W-E7: Energy from renewable sources (%)</t>
  </si>
  <si>
    <t>SWT  W-E7: Energy from renewable sources (%)</t>
  </si>
  <si>
    <t>PR14SWTWSW_W-F1</t>
  </si>
  <si>
    <t>Fair charging</t>
  </si>
  <si>
    <t>SWT-20</t>
  </si>
  <si>
    <t>W-F1: Customers paying a metered bill</t>
  </si>
  <si>
    <t>% domestic customers with metered bill</t>
  </si>
  <si>
    <t>SWT  W-F1: Customers paying a metered bill</t>
  </si>
  <si>
    <t>PR14SWTWSWW_S-A1</t>
  </si>
  <si>
    <t>Reliable wastewater service</t>
  </si>
  <si>
    <t>SWT-21</t>
  </si>
  <si>
    <t>S-A1: Internal sewer flooding incidents</t>
  </si>
  <si>
    <t>SWT  S-A1: Internal sewer flooding incidents</t>
  </si>
  <si>
    <t>PR14SWTWSWW_S-A2</t>
  </si>
  <si>
    <t>SWT-22</t>
  </si>
  <si>
    <t>S-A2: External sewer flooding incidents</t>
  </si>
  <si>
    <t>SWT  S-A2: External sewer flooding incidents</t>
  </si>
  <si>
    <t>PR14SWTWSWW_S-A3</t>
  </si>
  <si>
    <t>SWT-23</t>
  </si>
  <si>
    <t>S-A3: Odour contacts (wastewater treatment works)</t>
  </si>
  <si>
    <t>No. of odour contacts (WwTWs)</t>
  </si>
  <si>
    <t>SWT  S-A3: Odour contacts (wastewater treatment works)</t>
  </si>
  <si>
    <t>PR14SWTWSWW_S-A4</t>
  </si>
  <si>
    <t>SWT-24</t>
  </si>
  <si>
    <t>S-A4: Asset reliability (pipes)</t>
  </si>
  <si>
    <t>SWT  S-A4: Asset reliability (pipes)</t>
  </si>
  <si>
    <t>PR14SWTWSWW_S-A5</t>
  </si>
  <si>
    <t>SWT-25</t>
  </si>
  <si>
    <t>S-A5: Asset reliability (process)</t>
  </si>
  <si>
    <t>SWT  S-A5: Asset reliability (process)</t>
  </si>
  <si>
    <t>PR14SWTWSWW_S-A6</t>
  </si>
  <si>
    <t>S-A6</t>
  </si>
  <si>
    <t>SWT-26</t>
  </si>
  <si>
    <t>S-A6: Compliance with sludge standard (%)</t>
  </si>
  <si>
    <t>% satisfactory sludge disposal compliance</t>
  </si>
  <si>
    <t>SWT  S-A6: Compliance with sludge standard (%)</t>
  </si>
  <si>
    <t>PR14SWTWSWW_S-B1</t>
  </si>
  <si>
    <t>SWT-27</t>
  </si>
  <si>
    <t>S-B1: Operational customer contacts resolved first time (%)</t>
  </si>
  <si>
    <t>SWT  S-B1: Operational customer contacts resolved first time (%)</t>
  </si>
  <si>
    <t>PR14SWTWSWW_S-C1</t>
  </si>
  <si>
    <t>SWT-28</t>
  </si>
  <si>
    <t>S-C1: Wastewater treatment numeric compliance (%)</t>
  </si>
  <si>
    <t>% wastewater treatment numeric compliance</t>
  </si>
  <si>
    <t>SWT  S-C1: Wastewater treatment numeric compliance (%)</t>
  </si>
  <si>
    <t>PR14SWTWSWW_S-C2</t>
  </si>
  <si>
    <t>SWT-29</t>
  </si>
  <si>
    <t>S-C2: Wastewater population equivalent sanitary compliance (%)</t>
  </si>
  <si>
    <t>% wastewater p.e. sanitary compliance</t>
  </si>
  <si>
    <t>SWT  S-C2: Wastewater population equivalent sanitary compliance (%)</t>
  </si>
  <si>
    <t>PR14SWTWSWW_S-C3</t>
  </si>
  <si>
    <t>SWT-30</t>
  </si>
  <si>
    <t>S-C3: Wastewater descriptive works permit compliance (%)</t>
  </si>
  <si>
    <t>% wastewater desc works permit compliance</t>
  </si>
  <si>
    <t>&lt;95</t>
  </si>
  <si>
    <t>SWT  S-C3: Wastewater descriptive works permit compliance (%)</t>
  </si>
  <si>
    <t>PR14SWTWSWW_S-C4</t>
  </si>
  <si>
    <t>SWT-31</t>
  </si>
  <si>
    <t>S-C4: Pollution incidents (category 1 and 2)</t>
  </si>
  <si>
    <t>SWT  S-C4: Pollution incidents (category 1 and 2)</t>
  </si>
  <si>
    <t>PR14SWTWSWW_S-C5</t>
  </si>
  <si>
    <t>SWT-32</t>
  </si>
  <si>
    <t>S-C5: Pollution incidents (category 3 and 4)</t>
  </si>
  <si>
    <t>SWT  S-C5: Pollution incidents (category 3 and 4)</t>
  </si>
  <si>
    <t>PR14SWTWSWW_S-C6</t>
  </si>
  <si>
    <t>SWT-33</t>
  </si>
  <si>
    <t>S-C6: Operational carbon emissions (ktCO2e)</t>
  </si>
  <si>
    <t>SWT  S-C6: Operational carbon emissions (ktCO2e)</t>
  </si>
  <si>
    <t>PR14SWTWSWW_S-C7</t>
  </si>
  <si>
    <t>SWT-34</t>
  </si>
  <si>
    <t>S-C7: Energy from renewable sources (%)</t>
  </si>
  <si>
    <t>SWT  S-C7: Energy from renewable sources (%)</t>
  </si>
  <si>
    <t>PR14SWTWSWW_S-D1</t>
  </si>
  <si>
    <t>Benefiting the community</t>
  </si>
  <si>
    <t>SWT-35</t>
  </si>
  <si>
    <t>S-D1: Bathing water quality</t>
  </si>
  <si>
    <t>No. of bathing waters meeting or exceeding agreed standard</t>
  </si>
  <si>
    <t>SWT  S-D1: Bathing water quality</t>
  </si>
  <si>
    <t>PR14SWTWSWW_S-D2</t>
  </si>
  <si>
    <t>SWT-36</t>
  </si>
  <si>
    <t>S-D2: Combined sewer overflow spills (number)</t>
  </si>
  <si>
    <t>No. of combined sewer overflow (CSO) spills per year</t>
  </si>
  <si>
    <t>Post 2020 incentive</t>
  </si>
  <si>
    <t>Post 2020</t>
  </si>
  <si>
    <t>SWT  S-D2: Combined sewer overflow spills (number)</t>
  </si>
  <si>
    <t>PR14SWTWSWW_S-D3</t>
  </si>
  <si>
    <t>SWT-37</t>
  </si>
  <si>
    <t>S-D3: River water quality improved (km)</t>
  </si>
  <si>
    <t>Kilometres (km) of river water quality improved</t>
  </si>
  <si>
    <t>SWT  S-D3: River water quality improved (km)</t>
  </si>
  <si>
    <t>PR14SWTHHR_R-A1</t>
  </si>
  <si>
    <t>SWT-38</t>
  </si>
  <si>
    <t>R-A1: Customer overall satisfaction (%)</t>
  </si>
  <si>
    <t>SWT  R-A1: Customer overall satisfaction (%)</t>
  </si>
  <si>
    <t>PR14SWTHHR_R-A2</t>
  </si>
  <si>
    <t>SWT-39</t>
  </si>
  <si>
    <t>SWT  R-A2: Service incentive mechanism (SIM)</t>
  </si>
  <si>
    <t>PR14SWTHHR_R-A3</t>
  </si>
  <si>
    <t>SWT-40</t>
  </si>
  <si>
    <t>R-A3: Customer satisfaction with value for money</t>
  </si>
  <si>
    <t>SWT  R-A3: Customer satisfaction with value for money</t>
  </si>
  <si>
    <t>PR14SWTHHR_R-B1</t>
  </si>
  <si>
    <t>SWT-41</t>
  </si>
  <si>
    <t>R-B1: Customers assisted by water poverty initiatives</t>
  </si>
  <si>
    <t>No. of customers assisted by water poverty initiatives</t>
  </si>
  <si>
    <t>SWT  R-B1: Customers assisted by water poverty initiatives</t>
  </si>
  <si>
    <t>PR14TMSWSW_WA1</t>
  </si>
  <si>
    <t>Demonstrate to our customers and stakeholders that they can trust us, that we are easy to do business with and that we care</t>
  </si>
  <si>
    <t>WA1</t>
  </si>
  <si>
    <t>TMS-01</t>
  </si>
  <si>
    <t>WA1: Improve handling of written complaints by increasing 1st time resolution</t>
  </si>
  <si>
    <t>% written complaints resolved 1st time</t>
  </si>
  <si>
    <t>TMS  WA1: Improve handling of written complaints by increasing 1st time resolution</t>
  </si>
  <si>
    <t>PR14TMSWSW_WA2</t>
  </si>
  <si>
    <t>WA2</t>
  </si>
  <si>
    <t>TMS-02</t>
  </si>
  <si>
    <t>WA2: Number of written complaints per 10,000 connected properties</t>
  </si>
  <si>
    <t>No. written complaints / 10,000 properties</t>
  </si>
  <si>
    <t>TMS  WA2: Number of written complaints per 10,000 connected properties</t>
  </si>
  <si>
    <t>PR14TMSWSW_WA3</t>
  </si>
  <si>
    <t>WA3</t>
  </si>
  <si>
    <t>TMS-03</t>
  </si>
  <si>
    <t>WA3: Customer satisfaction surveys (internal CSAT monitor)</t>
  </si>
  <si>
    <t>TW internal Customer satisfaction score (mean score out of 5)</t>
  </si>
  <si>
    <t>TMS  WA3: Customer satisfaction surveys (internal CSAT monitor)</t>
  </si>
  <si>
    <t>PR14TMSWSW_WA4</t>
  </si>
  <si>
    <t>WA4</t>
  </si>
  <si>
    <t>TMS-04</t>
  </si>
  <si>
    <t>WA4: Reduced water consumption from issuing water efficiency devices to customers</t>
  </si>
  <si>
    <t>Ml/d reduced water consumption (cumulative)</t>
  </si>
  <si>
    <t>TMS  WA4: Reduced water consumption from issuing water efficiency devices to customers</t>
  </si>
  <si>
    <t>PR14TMSWSW_WA5</t>
  </si>
  <si>
    <t>WA5</t>
  </si>
  <si>
    <t>TMS-05</t>
  </si>
  <si>
    <t>WA5: Provide a free repair service for customers with a customer side leak outside of the property</t>
  </si>
  <si>
    <t>Number against target above annual baseline no.</t>
  </si>
  <si>
    <t>10,000 baseline</t>
  </si>
  <si>
    <t>TMS  WA5: Provide a free repair service for customers with a customer side leak outside of the property</t>
  </si>
  <si>
    <t>PR14TMSWSW_WB1</t>
  </si>
  <si>
    <t>We will provide a safe and reliable water service that complies with all necessary standards and is available when our customers require it</t>
  </si>
  <si>
    <t>WB1</t>
  </si>
  <si>
    <t>TMS-06</t>
  </si>
  <si>
    <t>WB1: Asset health water infrastructure</t>
  </si>
  <si>
    <t>TMS  WB1: Asset health water infrastructure</t>
  </si>
  <si>
    <t>PR14TMSWSW_WB2</t>
  </si>
  <si>
    <t>WB2</t>
  </si>
  <si>
    <t>TMS-07</t>
  </si>
  <si>
    <t>WB2: Asset health water non-infrastructure</t>
  </si>
  <si>
    <t>TMS  WB2: Asset health water non-infrastructure</t>
  </si>
  <si>
    <t>PR14TMSWSW_WB3</t>
  </si>
  <si>
    <t>WB3</t>
  </si>
  <si>
    <t>TMS-08</t>
  </si>
  <si>
    <t>WB3: Compliance with drinking water quality standards (MZC) - Ofwat/ DWI KPI</t>
  </si>
  <si>
    <t>TMS  WB3: Compliance with drinking water quality standards (MZC) - Ofwat/ DWI KPI</t>
  </si>
  <si>
    <t>PR14TMSWSW_WB4</t>
  </si>
  <si>
    <t>WB4</t>
  </si>
  <si>
    <t>TMS-09</t>
  </si>
  <si>
    <t>WB4: Properties experiencing chronic low pressure (DG2)</t>
  </si>
  <si>
    <t>No. of properties with low pressure (DG2) at the end of the reporting year</t>
  </si>
  <si>
    <t>TMS  WB4: Properties experiencing chronic low pressure (DG2)</t>
  </si>
  <si>
    <t>PR14TMSWSW_WB5</t>
  </si>
  <si>
    <t>WB5</t>
  </si>
  <si>
    <t>TMS-10</t>
  </si>
  <si>
    <t>WB5: Average hours lost supply per property served, due to interruptions &gt; 4 hours</t>
  </si>
  <si>
    <t>Hours lost supply per property served</t>
  </si>
  <si>
    <t>TMS  WB5: Average hours lost supply per property served, due to interruptions &gt; 4 hours</t>
  </si>
  <si>
    <t>PR14TMSWSW_WB6</t>
  </si>
  <si>
    <t>WB6</t>
  </si>
  <si>
    <t>TMS-11</t>
  </si>
  <si>
    <t>WB6: Security of Supply Index - Ofwat KPI</t>
  </si>
  <si>
    <t>TMS  WB6: Security of Supply Index - Ofwat KPI</t>
  </si>
  <si>
    <t>PR14TMSWSW_WB7</t>
  </si>
  <si>
    <t>WB7</t>
  </si>
  <si>
    <t>TMS-12</t>
  </si>
  <si>
    <t>WB7: Compliance with SEMD advice notes (with or without derogation)</t>
  </si>
  <si>
    <t>% compliance with SEMD advice notes</t>
  </si>
  <si>
    <t>TMS  WB7: Compliance with SEMD advice notes (with or without derogation)</t>
  </si>
  <si>
    <t>PR14TMSWSW_WB8</t>
  </si>
  <si>
    <t>WB8</t>
  </si>
  <si>
    <t>TMS-13</t>
  </si>
  <si>
    <t>WB8: Ml/d of sites made resilient to future extreme rainfall events</t>
  </si>
  <si>
    <t>Ml/d of WTWs made resilient (cumulative)</t>
  </si>
  <si>
    <t>TMS  WB8: Ml/d of sites made resilient to future extreme rainfall events</t>
  </si>
  <si>
    <t>PR14TMSWSW_WC1</t>
  </si>
  <si>
    <t>We will limit our impact on the environment and achieve a socially responsible, sustainable business for future generations, including reducing levels of leakage</t>
  </si>
  <si>
    <t>WC1</t>
  </si>
  <si>
    <t>TMS-14</t>
  </si>
  <si>
    <t>WC1: Greenhouse gas emissions from water operations</t>
  </si>
  <si>
    <t>TMS  WC1: Greenhouse gas emissions from water operations</t>
  </si>
  <si>
    <t>PR14TMSWSW_WC2</t>
  </si>
  <si>
    <t>WC2</t>
  </si>
  <si>
    <t>TMS-15</t>
  </si>
  <si>
    <t>WC2: Leakage</t>
  </si>
  <si>
    <t>Megalitres per day (Ml/d) (annual average)</t>
  </si>
  <si>
    <t>TMS  WC2: Leakage</t>
  </si>
  <si>
    <t>PR14TMSWSW_WC3</t>
  </si>
  <si>
    <t>WC3</t>
  </si>
  <si>
    <t>TMS-16</t>
  </si>
  <si>
    <t xml:space="preserve">WC3: Abstraction Incentive Mechanism (AIM) </t>
  </si>
  <si>
    <t>Megalitres per day (Ml/d) abstracted at the relevant site</t>
  </si>
  <si>
    <t>Corrigendum to the Thames Water PR14 final determination company-specific appendix (corrigendum dated 27 November 2017, published 1 December 2017 on the Ofwat website)</t>
  </si>
  <si>
    <t>0 (refer to APR table 3C)</t>
  </si>
  <si>
    <t xml:space="preserve">TMS  WC3: Abstraction Incentive Mechanism (AIM) </t>
  </si>
  <si>
    <t>PR14TMSWSW_WC4</t>
  </si>
  <si>
    <t>WC4</t>
  </si>
  <si>
    <t>TMS-17</t>
  </si>
  <si>
    <t>WC4: We will educate our existing and future customers</t>
  </si>
  <si>
    <t>No. of children directly engaged</t>
  </si>
  <si>
    <t>TMS  WC4: We will educate our existing and future customers</t>
  </si>
  <si>
    <t>PR14TMSWSW_WC5</t>
  </si>
  <si>
    <t>WC5</t>
  </si>
  <si>
    <t>TMS-18</t>
  </si>
  <si>
    <t>WC5: Deliver 100% of agreed measures to meet new environmental regulations</t>
  </si>
  <si>
    <t>% of agreed schemes completed</t>
  </si>
  <si>
    <t>TMS  WC5: Deliver 100% of agreed measures to meet new environmental regulations</t>
  </si>
  <si>
    <t>PR14TMSWSW_WD1</t>
  </si>
  <si>
    <t>We will provide the level of customer service our customers require, in the most economic and efficient manner, to ensure that bills are no more than necessary</t>
  </si>
  <si>
    <t>WD1</t>
  </si>
  <si>
    <t>TMS-19</t>
  </si>
  <si>
    <t>WD1: Energy imported less energy exported</t>
  </si>
  <si>
    <t>GWh (gigawatt-hours)</t>
  </si>
  <si>
    <t>TMS  WD1: Energy imported less energy exported</t>
  </si>
  <si>
    <t>PR14TMSWSWW_SA1</t>
  </si>
  <si>
    <t>SA1</t>
  </si>
  <si>
    <t>TMS-20</t>
  </si>
  <si>
    <t>SA1: Improve handling of written complaints by increasing first time resolution</t>
  </si>
  <si>
    <t>TMS  SA1: Improve handling of written complaints by increasing first time resolution</t>
  </si>
  <si>
    <t>PR14TMSWSWW_SA2</t>
  </si>
  <si>
    <t>SA2</t>
  </si>
  <si>
    <t>TMS-21</t>
  </si>
  <si>
    <t>SA2: Number of written complaints per 10,000 connected properties</t>
  </si>
  <si>
    <t>TMS  SA2: Number of written complaints per 10,000 connected properties</t>
  </si>
  <si>
    <t>PR14TMSWSWW_SA3</t>
  </si>
  <si>
    <t>SA3</t>
  </si>
  <si>
    <t>TMS-22</t>
  </si>
  <si>
    <t>SA3: Customer satisfaction surveys (internal CSAT monitor)</t>
  </si>
  <si>
    <t>TMS  SA3: Customer satisfaction surveys (internal CSAT monitor)</t>
  </si>
  <si>
    <t>PR14TMSWSWW_SB1</t>
  </si>
  <si>
    <t>We will provide a safe and reliable wastewater service that complies with all necessary standards and is available when our customers require it</t>
  </si>
  <si>
    <t>SB1</t>
  </si>
  <si>
    <t>TMS-23</t>
  </si>
  <si>
    <t>SB1: Asset health wastewater non-infrastructure</t>
  </si>
  <si>
    <t>TMS  SB1: Asset health wastewater non-infrastructure</t>
  </si>
  <si>
    <t>PR14TMSWSWW_SB2</t>
  </si>
  <si>
    <t>SB2</t>
  </si>
  <si>
    <t>TMS-24</t>
  </si>
  <si>
    <t>SB2: Asset health wastewater infrastructure</t>
  </si>
  <si>
    <t>TMS  SB2: Asset health wastewater infrastructure</t>
  </si>
  <si>
    <t>PR14TMSWSWW_SB3</t>
  </si>
  <si>
    <t>SB3</t>
  </si>
  <si>
    <t>TMS-25</t>
  </si>
  <si>
    <t>SB3: Properties protected from flooding due to rainfall (including Counters Creek project)</t>
  </si>
  <si>
    <t>No. properties protected from flooding due to rainfall</t>
  </si>
  <si>
    <t>TMS  SB3: Properties protected from flooding due to rainfall (including Counters Creek project)</t>
  </si>
  <si>
    <t>PR14TMSWSWW_SB4</t>
  </si>
  <si>
    <t>SB4</t>
  </si>
  <si>
    <t>TMS-26</t>
  </si>
  <si>
    <t>SB4: Number of internal flooding incidents, excluding those due to overloaded sewers (SFOC)</t>
  </si>
  <si>
    <t>No. of internal sewer flooding (other causes) incidents</t>
  </si>
  <si>
    <t>TMS  SB4: Number of internal flooding incidents, excluding those due to overloaded sewers (SFOC)</t>
  </si>
  <si>
    <t>PR14TMSWSWW_SB5</t>
  </si>
  <si>
    <t>SB5</t>
  </si>
  <si>
    <t>TMS-27</t>
  </si>
  <si>
    <t>SB5: Contributing area disconnected from combined sewers by retrofitting sustainable drainage</t>
  </si>
  <si>
    <t>No. of hectares (cumulative)</t>
  </si>
  <si>
    <t>TMS  SB5: Contributing area disconnected from combined sewers by retrofitting sustainable drainage</t>
  </si>
  <si>
    <t>PR14TMSWSWW_SB6</t>
  </si>
  <si>
    <t>SB6</t>
  </si>
  <si>
    <t>TMS-28</t>
  </si>
  <si>
    <t>SB6: Compliance with SEMD advice notes (with or without derogation)</t>
  </si>
  <si>
    <t>TMS  SB6: Compliance with SEMD advice notes (with or without derogation)</t>
  </si>
  <si>
    <t>PR14TMSWSWW_SB7</t>
  </si>
  <si>
    <t>SB7</t>
  </si>
  <si>
    <t>TMS-29</t>
  </si>
  <si>
    <t>SB7: Population equivalent of sites made resilient to future extreme rainfall events</t>
  </si>
  <si>
    <t>Population equivalent (cumulative)</t>
  </si>
  <si>
    <t>TMS  SB7: Population equivalent of sites made resilient to future extreme rainfall events</t>
  </si>
  <si>
    <t>PR14TMSWSWW_SB8</t>
  </si>
  <si>
    <t>SB8</t>
  </si>
  <si>
    <t>TMS-30</t>
  </si>
  <si>
    <t>SB8: Lee Tunnel including Shaft G</t>
  </si>
  <si>
    <t>Non delivery</t>
  </si>
  <si>
    <t>Scheme delivered</t>
  </si>
  <si>
    <t>Scheme delivered 2015-16</t>
  </si>
  <si>
    <t>Scheme delivered 2015/16</t>
  </si>
  <si>
    <t>TMS  SB8: Lee Tunnel including Shaft G</t>
  </si>
  <si>
    <t>PR14TMSWSWW_SB9</t>
  </si>
  <si>
    <t>SB9</t>
  </si>
  <si>
    <t>TMS-31</t>
  </si>
  <si>
    <t>SB9: Deephams Wastewater Treatment Works</t>
  </si>
  <si>
    <t>Performance commitment delivered</t>
  </si>
  <si>
    <t>Scheme delivered 2016/17</t>
  </si>
  <si>
    <t>TMS  SB9: Deephams Wastewater Treatment Works</t>
  </si>
  <si>
    <t>PR14TMSWSWW_SC1</t>
  </si>
  <si>
    <t>SC1</t>
  </si>
  <si>
    <t>TMS-32</t>
  </si>
  <si>
    <t>SC1: Greenhouse gas emissions from wastewater operations</t>
  </si>
  <si>
    <t>TMS  SC1: Greenhouse gas emissions from wastewater operations</t>
  </si>
  <si>
    <t>PR14TMSWSWW_SC2</t>
  </si>
  <si>
    <t>SC2</t>
  </si>
  <si>
    <t>TMS-33</t>
  </si>
  <si>
    <t>SC2: Total category 1-3 pollution incidents from sewage related premises</t>
  </si>
  <si>
    <t>TMS  SC2: Total category 1-3 pollution incidents from sewage related premises</t>
  </si>
  <si>
    <t>PR14TMSWSWW_SC3</t>
  </si>
  <si>
    <t>SC3</t>
  </si>
  <si>
    <t>TMS-34</t>
  </si>
  <si>
    <t>SC3: Sewage treatment works discharge compliance</t>
  </si>
  <si>
    <t>% WwTW discharge compliance</t>
  </si>
  <si>
    <t>TMS  SC3: Sewage treatment works discharge compliance</t>
  </si>
  <si>
    <t>PR14TMSWSWW_SC4</t>
  </si>
  <si>
    <t>SC4</t>
  </si>
  <si>
    <t>TMS-35</t>
  </si>
  <si>
    <t>SC4: Water bodies improved or protected from deterioration as a result of Thames Water's activities</t>
  </si>
  <si>
    <t>No. of water bodies improved or protected by catchment management</t>
  </si>
  <si>
    <t>TMS  SC4: Water bodies improved or protected from deterioration as a result of Thames Water's activities</t>
  </si>
  <si>
    <t>PR14TMSWSWW_SC5</t>
  </si>
  <si>
    <t>SC5</t>
  </si>
  <si>
    <t>TMS-36</t>
  </si>
  <si>
    <t>SC5: Satisfactory sludge disposal compliance</t>
  </si>
  <si>
    <t>TMS  SC5: Satisfactory sludge disposal compliance</t>
  </si>
  <si>
    <t>PR14TMSWSWW_SC6</t>
  </si>
  <si>
    <t>SC6</t>
  </si>
  <si>
    <t>TMS-37</t>
  </si>
  <si>
    <t>SC6: We will educate our existing and future customers</t>
  </si>
  <si>
    <t>TMS  SC6: We will educate our existing and future customers</t>
  </si>
  <si>
    <t>PR14TMSWSWW_SC7</t>
  </si>
  <si>
    <t>SC7</t>
  </si>
  <si>
    <t>TMS-38</t>
  </si>
  <si>
    <t>SC7: Modelled reduction in properties affected by odour</t>
  </si>
  <si>
    <t>No. of properties (modelled cumulative reduction)</t>
  </si>
  <si>
    <t>TMS  SC7: Modelled reduction in properties affected by odour</t>
  </si>
  <si>
    <t>PR14TMSWSWW_SC8</t>
  </si>
  <si>
    <t>SC8</t>
  </si>
  <si>
    <t>TMS-39</t>
  </si>
  <si>
    <t>SC8: Deliver 100% of agreed measures to meet new environmental regulations</t>
  </si>
  <si>
    <t>Non delivery of NEP5</t>
  </si>
  <si>
    <t>TMS  SC8: Deliver 100% of agreed measures to meet new environmental regulations</t>
  </si>
  <si>
    <t>PR14TMSWSWW_SC9</t>
  </si>
  <si>
    <t>SC9</t>
  </si>
  <si>
    <t>TMS-40</t>
  </si>
  <si>
    <t>SC9: Reduce the amount of phosphorus entering rivers to help improve aquatic plant and wildlife</t>
  </si>
  <si>
    <t>Kilograms of phosphorus removed per day</t>
  </si>
  <si>
    <t>TMS  SC9: Reduce the amount of phosphorus entering rivers to help improve aquatic plant and wildlife</t>
  </si>
  <si>
    <t>PR14TMSWSWW_SD1</t>
  </si>
  <si>
    <t>SD1</t>
  </si>
  <si>
    <t>TMS-41</t>
  </si>
  <si>
    <t>SD1: Energy imported less energy exported</t>
  </si>
  <si>
    <t>TMS  SD1: Energy imported less energy exported</t>
  </si>
  <si>
    <t>PR14TMSTTT_T1A</t>
  </si>
  <si>
    <t>Thames Tideway</t>
  </si>
  <si>
    <t>Thames Water is committed to improving outcomes for customers and the environment, notably by intercepting significant sewage discharges into the tidal river Thames, working with the IP to ensure the timely and cost efficient delivery of the TTT project</t>
  </si>
  <si>
    <t>T1A</t>
  </si>
  <si>
    <t>TMS-42</t>
  </si>
  <si>
    <t>T1A: Successful procurement of the Infrastructure Provider (IP)</t>
  </si>
  <si>
    <t>Infrastructure Provider (IP) procurement</t>
  </si>
  <si>
    <t>IP award</t>
  </si>
  <si>
    <t>Delivered 2015-16</t>
  </si>
  <si>
    <t>TMS  T1A: Successful procurement of the Infrastructure Provider (IP)</t>
  </si>
  <si>
    <t>PR14TMSTTT_T1B</t>
  </si>
  <si>
    <t>T1B</t>
  </si>
  <si>
    <t>TMS-43</t>
  </si>
  <si>
    <t>T1B: Thames Water will fulfil its land related commitments in line with the TTT programme requirements</t>
  </si>
  <si>
    <t>Land related commitments</t>
  </si>
  <si>
    <t>Fulfil</t>
  </si>
  <si>
    <t>Additional 13 sites access granted in year.  In line with Tideway requirements</t>
  </si>
  <si>
    <t>TMS  T1B: Thames Water will fulfil its land related commitments in line with the TTT programme requirements</t>
  </si>
  <si>
    <t>PR14TMSTTT_T1C</t>
  </si>
  <si>
    <t>T1C</t>
  </si>
  <si>
    <t>TMS-44</t>
  </si>
  <si>
    <t>T1C: Completion of category 2 and 3 construction works and timely availability of sites to the IP</t>
  </si>
  <si>
    <t>No. of sites (cumulative)</t>
  </si>
  <si>
    <t>TMS  T1C: Completion of category 2 and 3 construction works and timely availability of sites to the IP</t>
  </si>
  <si>
    <t>PR14TMSTTT_T2</t>
  </si>
  <si>
    <t>T2</t>
  </si>
  <si>
    <t>TMS-45</t>
  </si>
  <si>
    <t>T2: Thames Water will engage effectively with the IP, and other stakeholders, both in terms of integration and assurance</t>
  </si>
  <si>
    <t>Effective engagement with IP and stakeholders</t>
  </si>
  <si>
    <t>Engage</t>
  </si>
  <si>
    <t>Engagement effective rating 4.9 / 6.0</t>
  </si>
  <si>
    <t>TMS  T2: Thames Water will engage effectively with the IP, and other stakeholders, both in terms of integration and assurance</t>
  </si>
  <si>
    <t>PR14TMSTTT_T3</t>
  </si>
  <si>
    <t>T3</t>
  </si>
  <si>
    <t>TMS-46</t>
  </si>
  <si>
    <t>T3: Thames Water will engage with its customers to build understanding of the TTT project. Thames Water will liaise with the IP on its surveys of local communities impacted by construction</t>
  </si>
  <si>
    <t>Engagement to build TTT understanding</t>
  </si>
  <si>
    <t xml:space="preserve">Household customers % aware of TTT = 42 % understand project = 35
Non-household customers
No data available
</t>
  </si>
  <si>
    <t xml:space="preserve">Household customers % aware of TTT = 43 % understand project = 35
Non-household customers
% aware of TTT = 36
% understand project = 28
</t>
  </si>
  <si>
    <t>Household customers: % aware of TTT = 36; % understand project = 31.
Non-household customers: % aware of TTT = 36; % understand project = 27.</t>
  </si>
  <si>
    <t xml:space="preserve">No </t>
  </si>
  <si>
    <t>TMS  T3: Thames Water will engage with its customers to build understanding of the TTT project. Thames Water will liaise with the IP on its surveys of local communities impacted by construction</t>
  </si>
  <si>
    <t>PR14TMSHHR_RA1</t>
  </si>
  <si>
    <t>Improving customer service by doing the basics excellently and by getting things 'right first time'</t>
  </si>
  <si>
    <t>RA1</t>
  </si>
  <si>
    <t>TMS-47</t>
  </si>
  <si>
    <t>RA1: Minimise the number of written complaints received from customers (relating to charging and billing)</t>
  </si>
  <si>
    <t>TMS  RA1: Minimise the number of written complaints received from customers (relating to charging and billing)</t>
  </si>
  <si>
    <t>PR14TMSHHR_RA2</t>
  </si>
  <si>
    <t>RA2</t>
  </si>
  <si>
    <t>TMS-48</t>
  </si>
  <si>
    <t>RA2: Improve handling of written complaints by increasing first time resolution - charging and billing</t>
  </si>
  <si>
    <t>TMS  RA2: Improve handling of written complaints by increasing first time resolution - charging and billing</t>
  </si>
  <si>
    <t>PR14TMSHHR_RA3</t>
  </si>
  <si>
    <t>RA3</t>
  </si>
  <si>
    <t>TMS-49</t>
  </si>
  <si>
    <t>RA3: Improve customer satisfaction of retail customers - charging and billing service</t>
  </si>
  <si>
    <t>TMS  RA3: Improve customer satisfaction of retail customers - charging and billing service</t>
  </si>
  <si>
    <t>PR14TMSHHR_RA4</t>
  </si>
  <si>
    <t>RA4</t>
  </si>
  <si>
    <t>TMS-50</t>
  </si>
  <si>
    <t>RA4: Improve customer satisfaction of retail customers - operations contact centre</t>
  </si>
  <si>
    <t>TMS  RA4: Improve customer satisfaction of retail customers - operations contact centre</t>
  </si>
  <si>
    <t>PR14TMSHHR_RA5</t>
  </si>
  <si>
    <t>RA5</t>
  </si>
  <si>
    <t>TMS-51</t>
  </si>
  <si>
    <t>RA5: Increase the number of bills based on actual meter reads (in cycle)</t>
  </si>
  <si>
    <t>% bills based on actual meter reads</t>
  </si>
  <si>
    <t>TMS  RA5: Increase the number of bills based on actual meter reads (in cycle)</t>
  </si>
  <si>
    <t>PR14TMSHHR_RA6</t>
  </si>
  <si>
    <t>RA6</t>
  </si>
  <si>
    <t>TMS-52</t>
  </si>
  <si>
    <t>RA6: Service incentive mechanism (SIM)</t>
  </si>
  <si>
    <t>TMS  RA6: Service incentive mechanism (SIM)</t>
  </si>
  <si>
    <t>PR14TMSHHR_RB1</t>
  </si>
  <si>
    <t>Offer a choice of easy to use contact options</t>
  </si>
  <si>
    <t>RB1</t>
  </si>
  <si>
    <t>TMS-53</t>
  </si>
  <si>
    <t>RB1: Implement new online account management for customers supported by web-chat</t>
  </si>
  <si>
    <t>Delivery status</t>
  </si>
  <si>
    <t>Limited online</t>
  </si>
  <si>
    <t>Not live</t>
  </si>
  <si>
    <t>Limited Online</t>
  </si>
  <si>
    <t xml:space="preserve">New online self serve channel       </t>
  </si>
  <si>
    <t>Online self serve channel</t>
  </si>
  <si>
    <t>TMS  RB1: Implement new online account management for customers supported by web-chat</t>
  </si>
  <si>
    <t>PR14TMSHHR_RC1</t>
  </si>
  <si>
    <t>Improving cash collection from those that can pay and helping those that are struggling to pay</t>
  </si>
  <si>
    <t>RC1</t>
  </si>
  <si>
    <t>TMS-54</t>
  </si>
  <si>
    <t>RC1: Increase the number of customers on payment plans (excluding Thames Tideway Tunnel)</t>
  </si>
  <si>
    <t>% of customers on DD payment plans</t>
  </si>
  <si>
    <t>TMS  RC1: Increase the number of customers on payment plans (excluding Thames Tideway Tunnel)</t>
  </si>
  <si>
    <t>PR14TMSHHR_RC2</t>
  </si>
  <si>
    <t>RC2</t>
  </si>
  <si>
    <t>TMS-55</t>
  </si>
  <si>
    <t>RC2: Increase cash collection rates (excluding Thames Tideway Tunnel)</t>
  </si>
  <si>
    <t>% of cash collected from billing in the year</t>
  </si>
  <si>
    <t>TMS  RC2: Increase cash collection rates (excluding Thames Tideway Tunnel)</t>
  </si>
  <si>
    <t>UU</t>
  </si>
  <si>
    <t>PR14UUWSW_A1</t>
  </si>
  <si>
    <t>Your drinking water is safe and clean</t>
  </si>
  <si>
    <t>UU-01</t>
  </si>
  <si>
    <t>A1: Drinking Water Safety Plan risk score</t>
  </si>
  <si>
    <t>Drinking Water Safety Plan (DWSP) risk score</t>
  </si>
  <si>
    <t>UU  A1: Drinking Water Safety Plan risk score</t>
  </si>
  <si>
    <t>PR14UUWSW_A2</t>
  </si>
  <si>
    <t>UU-02</t>
  </si>
  <si>
    <t>A2: Water quality events DWI category 3 or above</t>
  </si>
  <si>
    <t>RCV or Revenue</t>
  </si>
  <si>
    <t>No. water quality events DWI cat 3 or above</t>
  </si>
  <si>
    <t>UU  A2: Water quality events DWI category 3 or above</t>
  </si>
  <si>
    <t>PR14UUWSW_A3</t>
  </si>
  <si>
    <t>UU-03</t>
  </si>
  <si>
    <t>A3: Water Quality Service Index</t>
  </si>
  <si>
    <t>Water Quality Service Index (UU bespoke)</t>
  </si>
  <si>
    <t>UU  A3: Water Quality Service Index</t>
  </si>
  <si>
    <t>PR14UUWSW_B1</t>
  </si>
  <si>
    <t>You have a reliable supply of water now and in the future</t>
  </si>
  <si>
    <t>UU-04</t>
  </si>
  <si>
    <t>B1: Average minutes supply lost per property (a year)</t>
  </si>
  <si>
    <t>Mins:secs supply lost per property per year</t>
  </si>
  <si>
    <t>13:25</t>
  </si>
  <si>
    <t>16:42</t>
  </si>
  <si>
    <t>13:33</t>
  </si>
  <si>
    <t>UU  B1: Average minutes supply lost per property (a year)</t>
  </si>
  <si>
    <t>PR14UUWSW_B2</t>
  </si>
  <si>
    <t>UU-05</t>
  </si>
  <si>
    <t>B2: Reliable water service index</t>
  </si>
  <si>
    <t>Reliable water service index (UU bespoke)</t>
  </si>
  <si>
    <t>UU  B2: Reliable water service index</t>
  </si>
  <si>
    <t>PR14UUWSW_B3</t>
  </si>
  <si>
    <t>UU-06</t>
  </si>
  <si>
    <t>B3: Security of supply index (SoSI)</t>
  </si>
  <si>
    <t>UU  B3: Security of supply index (SoSI)</t>
  </si>
  <si>
    <t>PR14UUWSW_B4</t>
  </si>
  <si>
    <t>UU-07</t>
  </si>
  <si>
    <t>B4: Total leakage at or below target</t>
  </si>
  <si>
    <t>Megalitres per day (Ml/d) variance from target</t>
  </si>
  <si>
    <t>UU  B4: Total leakage at or below target</t>
  </si>
  <si>
    <t>PR14UUWSW_B5</t>
  </si>
  <si>
    <t>UU-08</t>
  </si>
  <si>
    <t>B5: Resilience of impounding reservoirs</t>
  </si>
  <si>
    <t>Aggregate (cumulative) reduction in risk</t>
  </si>
  <si>
    <t>UU  B5: Resilience of impounding reservoirs</t>
  </si>
  <si>
    <t>PR14UUWSW_B6</t>
  </si>
  <si>
    <t>UU-09</t>
  </si>
  <si>
    <t>B6: Thirlmere transfer into West Cumbria</t>
  </si>
  <si>
    <t>% project complete based on earned value tied to milestones</t>
  </si>
  <si>
    <t>UU  B6: Thirlmere transfer into West Cumbria</t>
  </si>
  <si>
    <t>PR14UUWSW_C1</t>
  </si>
  <si>
    <t>The natural environment is protected and improved in the way we deliver our services</t>
  </si>
  <si>
    <t>UU-10</t>
  </si>
  <si>
    <t>C1: Contribution to rivers improved - water programme (NEP schemes and abstraction changes at 4 AIM sites)</t>
  </si>
  <si>
    <t>Kilometres (km) of river improved (cumulative)</t>
  </si>
  <si>
    <t>UU  C1: Contribution to rivers improved - water programme (NEP schemes and abstraction changes at 4 AIM sites)</t>
  </si>
  <si>
    <t>PR14UUWSW_D1</t>
  </si>
  <si>
    <t>You're highly satisfied with our service and find it easy to do business with us</t>
  </si>
  <si>
    <t>UU-11</t>
  </si>
  <si>
    <t>D1: Delivering our commitments to developers, local authorities and highway authorities</t>
  </si>
  <si>
    <t>% of jobs completed within response times</t>
  </si>
  <si>
    <t>UU  D1: Delivering our commitments to developers, local authorities and highway authorities</t>
  </si>
  <si>
    <t>PR14UUWSW_E1</t>
  </si>
  <si>
    <t>Bills for you and future customers are fair</t>
  </si>
  <si>
    <t>UU-12</t>
  </si>
  <si>
    <t>E1: Number of free water meters installed</t>
  </si>
  <si>
    <t>No. of free water meters installed per year</t>
  </si>
  <si>
    <t>UU  E1: Number of free water meters installed</t>
  </si>
  <si>
    <t>PR14UUWSWW_S-A1</t>
  </si>
  <si>
    <t>Your wastewater is removed and treated without you ever noticing</t>
  </si>
  <si>
    <t>UU-13</t>
  </si>
  <si>
    <t>S-A1: Private sewers service index</t>
  </si>
  <si>
    <t>Private sewers service index (UU bespoke)</t>
  </si>
  <si>
    <t>UU  S-A1: Private sewers service index</t>
  </si>
  <si>
    <t>PR14UUWSWW_S-A2</t>
  </si>
  <si>
    <t>UU-14</t>
  </si>
  <si>
    <t>S-A2: Wastewater network performance index</t>
  </si>
  <si>
    <t>Wastewater network performance index (UU bespoke)</t>
  </si>
  <si>
    <t>UU  S-A2: Wastewater network performance index</t>
  </si>
  <si>
    <t>PR14UUWSWW_S-B1</t>
  </si>
  <si>
    <t>The risk of sewer flooding for homes and businesses is reduced</t>
  </si>
  <si>
    <t>UU-15</t>
  </si>
  <si>
    <t>S-B1: Future flood risk</t>
  </si>
  <si>
    <t>No. of properties at risk</t>
  </si>
  <si>
    <t>UU  S-B1: Future flood risk</t>
  </si>
  <si>
    <t>PR14UUWSWW_S-B2</t>
  </si>
  <si>
    <t>UU-16</t>
  </si>
  <si>
    <t>S-B2: Sewer flooding index</t>
  </si>
  <si>
    <t>Sewer flooding index (UU bespoke)</t>
  </si>
  <si>
    <t>UU  S-B2: Sewer flooding index</t>
  </si>
  <si>
    <t>PR14UUWSWW_S-C1</t>
  </si>
  <si>
    <t>The North West's bathing and shellfish waters are cleaner though our work and that of others</t>
  </si>
  <si>
    <t>UU-17</t>
  </si>
  <si>
    <t>S-C1: Contribution to bathing waters improved (includes NEP phase 3&amp;4 bathing water intermittent discharge projects)</t>
  </si>
  <si>
    <t>Bathing water equivalent (BWE)</t>
  </si>
  <si>
    <t>UU  S-C1: Contribution to bathing waters improved (includes NEP phase 3&amp;4 bathing water intermittent discharge projects)</t>
  </si>
  <si>
    <t>PR14UUWSWW_S-D1</t>
  </si>
  <si>
    <t>UU-18</t>
  </si>
  <si>
    <t>S-D1: Protecting rivers from deterioration due to population growth (includes Davyhulme non-delivery penalty)</t>
  </si>
  <si>
    <t>Kilometers (km) rivers protected from deterioration</t>
  </si>
  <si>
    <t>UU  S-D1: Protecting rivers from deterioration due to population growth (includes Davyhulme non-delivery penalty)</t>
  </si>
  <si>
    <t>PR14UUWSWW_S-D2</t>
  </si>
  <si>
    <t>UU-19</t>
  </si>
  <si>
    <t>S-D2: Maintaining our wastewater treatment works (includes Oldham and Royton WwTWs special cost factor claims)</t>
  </si>
  <si>
    <t>Maintaining WwTWs index (UU bespoke)</t>
  </si>
  <si>
    <t>UU  S-D2: Maintaining our wastewater treatment works (includes Oldham and Royton WwTWs special cost factor claims)</t>
  </si>
  <si>
    <t>PR14UUWSWW_S-D3</t>
  </si>
  <si>
    <t>UU-20</t>
  </si>
  <si>
    <t>S-D3: Contribution to rivers improved - wastewater programme (includes Oldham, Royton and Windermere)</t>
  </si>
  <si>
    <t>UU  S-D3: Contribution to rivers improved - wastewater programme (includes Oldham, Royton and Windermere)</t>
  </si>
  <si>
    <t>PR14UUWSWW_S-D4a</t>
  </si>
  <si>
    <t>S-D4a</t>
  </si>
  <si>
    <t>UU-21</t>
  </si>
  <si>
    <t>S-D4a: Wastewater serious (category 1 and 2) pollution incidents</t>
  </si>
  <si>
    <t>UU  S-D4a: Wastewater serious (category 1 and 2) pollution incidents</t>
  </si>
  <si>
    <t>PR14UUWSWW_S-D4b</t>
  </si>
  <si>
    <t>S-D4b</t>
  </si>
  <si>
    <t>UU-22</t>
  </si>
  <si>
    <t>S-D4b: Wastewater category 3 pollution incidents</t>
  </si>
  <si>
    <t>UU  S-D4b: Wastewater category 3 pollution incidents</t>
  </si>
  <si>
    <t>PR14UUWSWW_S-D5</t>
  </si>
  <si>
    <t>S-D5</t>
  </si>
  <si>
    <t>UU-23</t>
  </si>
  <si>
    <t>S-D5: Satisfactory sludge disposal</t>
  </si>
  <si>
    <t>UU  S-D5: Satisfactory sludge disposal</t>
  </si>
  <si>
    <t>PR14UUHHR_A-1</t>
  </si>
  <si>
    <t>You’re highly satisfied with our service and find it easy to do business with us</t>
  </si>
  <si>
    <t>A-1</t>
  </si>
  <si>
    <t>UU-24</t>
  </si>
  <si>
    <t>A-1: Service incentive mechanism (SIM)</t>
  </si>
  <si>
    <t>UU  A-1: Service incentive mechanism (SIM)</t>
  </si>
  <si>
    <t>PR14UUHHR_R-A2</t>
  </si>
  <si>
    <t>UU-25</t>
  </si>
  <si>
    <t>R-A2: Customer experience programme</t>
  </si>
  <si>
    <t>UU  R-A2: Customer experience programme</t>
  </si>
  <si>
    <t>PR14UUHHR_B1</t>
  </si>
  <si>
    <t>UU-26</t>
  </si>
  <si>
    <t>B1: Customers saying that we offer value for money</t>
  </si>
  <si>
    <t>UU  B1: Customers saying that we offer value for money</t>
  </si>
  <si>
    <t>PR14UUHHR_B2</t>
  </si>
  <si>
    <t>UU-27</t>
  </si>
  <si>
    <t>B2: Per household consumption</t>
  </si>
  <si>
    <t>UU  B2: Per household consumption</t>
  </si>
  <si>
    <t>PR14WSHWSW_A1</t>
  </si>
  <si>
    <t>WSH-01</t>
  </si>
  <si>
    <t>A1: Safety of drinking water</t>
  </si>
  <si>
    <t>WSH  A1: Safety of drinking water</t>
  </si>
  <si>
    <t>PR14WSHWSW_A2</t>
  </si>
  <si>
    <t>WSH-02</t>
  </si>
  <si>
    <t>A2: Customer acceptability (drinking water) - contacts per 1,000 population</t>
  </si>
  <si>
    <t>WSH  A2: Customer acceptability (drinking water) - contacts per 1,000 population</t>
  </si>
  <si>
    <t>PR14WSHWSW_A3</t>
  </si>
  <si>
    <t>WSH-03</t>
  </si>
  <si>
    <t>A3: Reliability of supply - minutes lost per property per year</t>
  </si>
  <si>
    <t>Minutes of supply interruption per property per year</t>
  </si>
  <si>
    <t>WSH  A3: Reliability of supply - minutes lost per property per year</t>
  </si>
  <si>
    <t>PR14WSHWSW_B1</t>
  </si>
  <si>
    <t>Protecting our environment</t>
  </si>
  <si>
    <t>WSH-04</t>
  </si>
  <si>
    <t>B1: Abstraction for water for use - % compliance with abstraction licences, as regulated by NRW</t>
  </si>
  <si>
    <t>% compliance with abstraction licences (NRW regulated)</t>
  </si>
  <si>
    <t>WSH  B1: Abstraction for water for use - % compliance with abstraction licences, as regulated by NRW</t>
  </si>
  <si>
    <t>PR14WSHWSW_C2</t>
  </si>
  <si>
    <t>Responding to climate change</t>
  </si>
  <si>
    <t>WSH-05</t>
  </si>
  <si>
    <t>C2: Carbon footprint - gigawatt-hours (GWh) of renewable energy generated</t>
  </si>
  <si>
    <t>WSH  C2: Carbon footprint - gigawatt-hours (GWh) of renewable energy generated</t>
  </si>
  <si>
    <t>PR14WSHWSW_D1</t>
  </si>
  <si>
    <t>Excellent customer service</t>
  </si>
  <si>
    <t>WSH-06</t>
  </si>
  <si>
    <t>D1: Service incentive mechanism (SIM)</t>
  </si>
  <si>
    <t>WSH  D1: Service incentive mechanism (SIM)</t>
  </si>
  <si>
    <t>PR14WSHWSW_D2</t>
  </si>
  <si>
    <t>WSH-07</t>
  </si>
  <si>
    <t>D2: ‘At risk’ customer services - number of customers who have experienced poor service</t>
  </si>
  <si>
    <t>No. of properties/ incidents on the internal 'at risk' register</t>
  </si>
  <si>
    <t>WSH  D2: ‘At risk’ customer services - number of customers who have experienced poor service</t>
  </si>
  <si>
    <t>PR14WSHWSW_D5</t>
  </si>
  <si>
    <t>WSH-08</t>
  </si>
  <si>
    <t>D5: Earning the trust of customers - % of customers surveyed that say they trust the company</t>
  </si>
  <si>
    <t>WSH  D5: Earning the trust of customers - % of customers surveyed that say they trust the company</t>
  </si>
  <si>
    <t>PR14WSHWSW_E1</t>
  </si>
  <si>
    <t>Affordable prices</t>
  </si>
  <si>
    <t>WSH-09</t>
  </si>
  <si>
    <t>E1: Affordable bills - annual increase</t>
  </si>
  <si>
    <t>% above or below inflation (affordability of bills)</t>
  </si>
  <si>
    <t>Below inflation</t>
  </si>
  <si>
    <t>1% below</t>
  </si>
  <si>
    <t>WSH  E1: Affordable bills - annual increase</t>
  </si>
  <si>
    <t>PR14WSHWSW_F1</t>
  </si>
  <si>
    <t>Asset stewardship</t>
  </si>
  <si>
    <t>WSH-10</t>
  </si>
  <si>
    <t>F1: Asset serviceability</t>
  </si>
  <si>
    <t>WSH  F1: Asset serviceability</t>
  </si>
  <si>
    <t>PR14WSHWSW_F2</t>
  </si>
  <si>
    <t>WSH-11</t>
  </si>
  <si>
    <t>F2: Leakage</t>
  </si>
  <si>
    <t>WSH  F2: Leakage</t>
  </si>
  <si>
    <t>PR14WSHWSW_F3</t>
  </si>
  <si>
    <t>WSH-12</t>
  </si>
  <si>
    <t>F3: Asset resilience - % of critical assets that are resilient against a set of criteria</t>
  </si>
  <si>
    <t>% critical assets that are resilient against a set of criteria</t>
  </si>
  <si>
    <t>WSH  F3: Asset resilience - % of critical assets that are resilient against a set of criteria</t>
  </si>
  <si>
    <t>PR14WSHWSWW_B2</t>
  </si>
  <si>
    <t>WSH-13</t>
  </si>
  <si>
    <t>B2: Treating used water - % compliance of WwTW</t>
  </si>
  <si>
    <t>% compliance against WwTW discharge permits</t>
  </si>
  <si>
    <t>WSH  B2: Treating used water - % compliance of WwTW</t>
  </si>
  <si>
    <t>PR14WSHWSWW_B3</t>
  </si>
  <si>
    <t>WSH-14</t>
  </si>
  <si>
    <t>B3: Preventing pollution - number of category 3 pollution incidents</t>
  </si>
  <si>
    <t>WSH  B3: Preventing pollution - number of category 3 pollution incidents</t>
  </si>
  <si>
    <t>PR14WSHWSWW_C1</t>
  </si>
  <si>
    <t>WSH-15</t>
  </si>
  <si>
    <t>C1: Adapting to climate change - the volume of surface water removed from the system, expressed in number of properties equivalent</t>
  </si>
  <si>
    <t>Surface water removed expressed in no. props equivalent (cumulative)</t>
  </si>
  <si>
    <t>WSH  C1: Adapting to climate change - the volume of surface water removed from the system, expressed in number of properties equivalent</t>
  </si>
  <si>
    <t>PR14WSHWSWW_C2</t>
  </si>
  <si>
    <t>WSH-16</t>
  </si>
  <si>
    <t>PR14WSHWSWW_D1</t>
  </si>
  <si>
    <t>Best in class customer service</t>
  </si>
  <si>
    <t>WSH-17</t>
  </si>
  <si>
    <t>PR14WSHWSWW_D2</t>
  </si>
  <si>
    <t>WSH-18</t>
  </si>
  <si>
    <t>PR14WSHWSWW_D3</t>
  </si>
  <si>
    <t>WSH-19</t>
  </si>
  <si>
    <t>D3: Internal sewer flooding - properties flooded in the year</t>
  </si>
  <si>
    <t>No. of properties subjected to internal sewer flooding</t>
  </si>
  <si>
    <t>WSH  D3: Internal sewer flooding - properties flooded in the year</t>
  </si>
  <si>
    <t>PR14WSHWSWW_D5</t>
  </si>
  <si>
    <t>WSH-20</t>
  </si>
  <si>
    <t>D5: Earning the trust of customers  - % of customers surveyed that say they trust the company</t>
  </si>
  <si>
    <t>WSH  D5: Earning the trust of customers  - % of customers surveyed that say they trust the company</t>
  </si>
  <si>
    <t>PR14WSHWSWW_E1</t>
  </si>
  <si>
    <t>WSH-21</t>
  </si>
  <si>
    <t>PR14WSHWSWW_F1</t>
  </si>
  <si>
    <t>WSH-22</t>
  </si>
  <si>
    <t>PR14WSHWSWW_F3</t>
  </si>
  <si>
    <t>WSH-23</t>
  </si>
  <si>
    <t>PR14WSHNHHR_D1</t>
  </si>
  <si>
    <t>Best in class customer service (business customers)</t>
  </si>
  <si>
    <t>WSH-28</t>
  </si>
  <si>
    <t>PR14WSHNHHR_D4</t>
  </si>
  <si>
    <t>WSH-29</t>
  </si>
  <si>
    <t>D4: Business customer satisfaction</t>
  </si>
  <si>
    <t>WSH  D4: Business customer satisfaction</t>
  </si>
  <si>
    <t>PR14WSHNHHR_D5</t>
  </si>
  <si>
    <t>WSH-30</t>
  </si>
  <si>
    <t>PR14WSHNHHR_E1</t>
  </si>
  <si>
    <t>WSH-31</t>
  </si>
  <si>
    <t>PR14WSHHHR_D1</t>
  </si>
  <si>
    <t>WSH-24</t>
  </si>
  <si>
    <t>PR14WSHHHR_D5</t>
  </si>
  <si>
    <t>WSH-25</t>
  </si>
  <si>
    <t>PR14WSHHHR_E1</t>
  </si>
  <si>
    <t>WSH-26</t>
  </si>
  <si>
    <t>PR14WSHHHR_E2</t>
  </si>
  <si>
    <t>WSH-27</t>
  </si>
  <si>
    <t>E2: Help for disadvantaged customers (customers benefiting from social tariffs)</t>
  </si>
  <si>
    <t>No. of customers benefiting from social tariffs</t>
  </si>
  <si>
    <t>WSH  E2: Help for disadvantaged customers (customers benefiting from social tariffs)</t>
  </si>
  <si>
    <t>PR14WSXWSW_B4</t>
  </si>
  <si>
    <t>Rivers, lakes and estuaries</t>
  </si>
  <si>
    <t>WSX-01</t>
  </si>
  <si>
    <t>B4: Compliance with abstraction licences</t>
  </si>
  <si>
    <t>% compliance with EA abstraction licences</t>
  </si>
  <si>
    <t>WSX  B4: Compliance with abstraction licences</t>
  </si>
  <si>
    <t>PR14WSXWSW_B5</t>
  </si>
  <si>
    <t>WSX-02</t>
  </si>
  <si>
    <t>B5: Abstractions at Mere exported (follows principles of the AIM methodology)</t>
  </si>
  <si>
    <t>Megalitres per annum (Ml/a)</t>
  </si>
  <si>
    <t>WSX  B5: Abstractions at Mere exported (follows principles of the AIM methodology)</t>
  </si>
  <si>
    <t>PR14WSXWSW_B6</t>
  </si>
  <si>
    <t>WSX-03</t>
  </si>
  <si>
    <t>B6: BAP landholding assessed and managed for biodiversity</t>
  </si>
  <si>
    <t>% WSX landholding assessed &amp; managed for biodiversity</t>
  </si>
  <si>
    <t>WSX  B6: BAP landholding assessed and managed for biodiversity</t>
  </si>
  <si>
    <t>PR14WSXWSW_B7</t>
  </si>
  <si>
    <t>B7</t>
  </si>
  <si>
    <t>WSX-04</t>
  </si>
  <si>
    <t>B7: Length of rivers with improved flows</t>
  </si>
  <si>
    <t>Kilometres (km) of river with improved flows (cumulative)</t>
  </si>
  <si>
    <t>WSX  B7: Length of rivers with improved flows</t>
  </si>
  <si>
    <t>PR14WSXWSW_D2</t>
  </si>
  <si>
    <t>Resilient services</t>
  </si>
  <si>
    <t>WSX-05</t>
  </si>
  <si>
    <t>D2: Restrictions on water use (hosepipe bans)</t>
  </si>
  <si>
    <t>No. of hosepipe bans (temporary use ban)</t>
  </si>
  <si>
    <t>WSX  D2: Restrictions on water use (hosepipe bans)</t>
  </si>
  <si>
    <t>PR14WSXWSW_D3</t>
  </si>
  <si>
    <t>WSX-06</t>
  </si>
  <si>
    <t>D3: Water supply interruptions (&gt; 3 hours including planned, unplanned and third party interruptions)</t>
  </si>
  <si>
    <t>WSX  D3: Water supply interruptions (&gt; 3 hours including planned, unplanned and third party interruptions)</t>
  </si>
  <si>
    <t>PR14WSXWSW_D4</t>
  </si>
  <si>
    <t>WSX-07</t>
  </si>
  <si>
    <t>D4: Properties supplied by a single source (including the integrated supply grid)</t>
  </si>
  <si>
    <t>No. of properties supplied by a single source</t>
  </si>
  <si>
    <t>WSX  D4: Properties supplied by a single source (including the integrated supply grid)</t>
  </si>
  <si>
    <t>PR14WSXWSW_D5</t>
  </si>
  <si>
    <t>WSX-08</t>
  </si>
  <si>
    <t>D5: Water main bursts</t>
  </si>
  <si>
    <t>No. of water main bursts per year</t>
  </si>
  <si>
    <t>&lt;1,876</t>
  </si>
  <si>
    <t>&lt;1,993</t>
  </si>
  <si>
    <t>WSX  D5: Water main bursts</t>
  </si>
  <si>
    <t>PR14WSXWSW_F1</t>
  </si>
  <si>
    <t>WSX-09</t>
  </si>
  <si>
    <t>F1: Volume of water leaked</t>
  </si>
  <si>
    <t>WSX  F1: Volume of water leaked</t>
  </si>
  <si>
    <t>PR14WSXWSW_F2</t>
  </si>
  <si>
    <t>WSX-10</t>
  </si>
  <si>
    <t>F2: Customer reported leaks fixed within a day</t>
  </si>
  <si>
    <t>% customer reported leaks fixed within a day</t>
  </si>
  <si>
    <t>WSX  F2: Customer reported leaks fixed within a day</t>
  </si>
  <si>
    <t>PR14WSXWSW_G1</t>
  </si>
  <si>
    <t>Highest quality drinking water</t>
  </si>
  <si>
    <t>WSX-11</t>
  </si>
  <si>
    <t>G1: Customer contacts about drinking water quality</t>
  </si>
  <si>
    <t>No. contacts in the year about drinking water quality</t>
  </si>
  <si>
    <t>WSX  G1: Customer contacts about drinking water quality</t>
  </si>
  <si>
    <t>PR14WSXWSW_G2</t>
  </si>
  <si>
    <t>WSX-12</t>
  </si>
  <si>
    <t>G2: Compliance with drinking water standards (MZC)</t>
  </si>
  <si>
    <t>&lt;99.95</t>
  </si>
  <si>
    <t>WSX  G2: Compliance with drinking water standards (MZC)</t>
  </si>
  <si>
    <t>PR14WSXWSWW_A1</t>
  </si>
  <si>
    <t>Improved bathing waters</t>
  </si>
  <si>
    <t>WSX-13</t>
  </si>
  <si>
    <t>A1: Agreed schemes delivered (named outputs with bathing water drivers in the NEP)</t>
  </si>
  <si>
    <t>% of agreed schemes delivered (NEP bathing water)</t>
  </si>
  <si>
    <t>WSX  A1: Agreed schemes delivered (named outputs with bathing water drivers in the NEP)</t>
  </si>
  <si>
    <t>PR14WSXWSWW_A2</t>
  </si>
  <si>
    <t>WSX-14</t>
  </si>
  <si>
    <t>A2: Beaches passing EU standards</t>
  </si>
  <si>
    <t>% bathing waters meeting the revised BWD standards</t>
  </si>
  <si>
    <t>WSX  A2: Beaches passing EU standards</t>
  </si>
  <si>
    <t>PR14WSXWSWW_B1</t>
  </si>
  <si>
    <t>WSX-15</t>
  </si>
  <si>
    <t>B1: The EA’s Environmental Performance Assessment (ODI based on pollution incidents)</t>
  </si>
  <si>
    <t>EA’s Environmental Performance Assessment standing</t>
  </si>
  <si>
    <t>Industry leading</t>
  </si>
  <si>
    <t>Ind leading</t>
  </si>
  <si>
    <t>Below average</t>
  </si>
  <si>
    <t>Above average</t>
  </si>
  <si>
    <t>0/67</t>
  </si>
  <si>
    <t>0/0</t>
  </si>
  <si>
    <t>Above Average</t>
  </si>
  <si>
    <t>Good</t>
  </si>
  <si>
    <t>WSX  B1: The EA’s Environmental Performance Assessment (ODI based on pollution incidents)</t>
  </si>
  <si>
    <t>PR14WSXWSWW_B2</t>
  </si>
  <si>
    <t>WSX-16</t>
  </si>
  <si>
    <t>B2: Monitoring CSOs</t>
  </si>
  <si>
    <t>% CSOs presenting environmental risk with EDM installed</t>
  </si>
  <si>
    <t>WSX  B2: Monitoring CSOs</t>
  </si>
  <si>
    <t>PR14WSXWSWW_B3</t>
  </si>
  <si>
    <t>WSX-17</t>
  </si>
  <si>
    <t>B3: River water quality improved</t>
  </si>
  <si>
    <t>No. water bodies improved through WwTW investments</t>
  </si>
  <si>
    <t>WSX  B3: River water quality improved</t>
  </si>
  <si>
    <t>PR14WSXWSWW_C1</t>
  </si>
  <si>
    <t>Sewer flooding</t>
  </si>
  <si>
    <t>WSX-18</t>
  </si>
  <si>
    <t>C1: Internal flooding incidents</t>
  </si>
  <si>
    <t>No. of internal sewer flooding incidents / 10,000 properties</t>
  </si>
  <si>
    <t>0.01 nr</t>
  </si>
  <si>
    <t>WSX  C1: Internal flooding incidents</t>
  </si>
  <si>
    <t>PR14WSXWSWW_C2</t>
  </si>
  <si>
    <t>WSX-19</t>
  </si>
  <si>
    <t>C2: Risk of flooding from public sewers due to hydraulic inadequacy</t>
  </si>
  <si>
    <t>Flooding risk as measured by sewer flooding risk grid</t>
  </si>
  <si>
    <t>&gt;60,781</t>
  </si>
  <si>
    <t>WSX  C2: Risk of flooding from public sewers due to hydraulic inadequacy</t>
  </si>
  <si>
    <t>PR14WSXWSWW_C3a</t>
  </si>
  <si>
    <t>C3a</t>
  </si>
  <si>
    <t>WSX-20a</t>
  </si>
  <si>
    <t>C3a: North Bristol Sewer Scheme - Frome catchment</t>
  </si>
  <si>
    <t>Scheme delivery - Frome catchment</t>
  </si>
  <si>
    <t>WSX  C3a: North Bristol Sewer Scheme - Frome catchment</t>
  </si>
  <si>
    <t>PR14WSXWSWW_C3b</t>
  </si>
  <si>
    <t>C3b</t>
  </si>
  <si>
    <t>WSX-20b</t>
  </si>
  <si>
    <t>C3b: North Bristol Sewer Scheme - Trym catchment</t>
  </si>
  <si>
    <t>Scheme delivery - Trym catchment</t>
  </si>
  <si>
    <t>Interim milestone met</t>
  </si>
  <si>
    <t>WSX  C3b: North Bristol Sewer Scheme - Trym catchment</t>
  </si>
  <si>
    <t>PR14WSXWSWW_D1</t>
  </si>
  <si>
    <t>WSX-21</t>
  </si>
  <si>
    <t>D1: Collapses and bursts on sewer network</t>
  </si>
  <si>
    <t>No. of sewer collapses and rising main bursts</t>
  </si>
  <si>
    <t>&lt;300</t>
  </si>
  <si>
    <t>WSX  D1: Collapses and bursts on sewer network</t>
  </si>
  <si>
    <t>PR14WSXWSWW_E1</t>
  </si>
  <si>
    <t>Carbon footprint</t>
  </si>
  <si>
    <t>WSX-22</t>
  </si>
  <si>
    <t>E1: Greenhouse gas emissions (annual greenhouse gas emissions from operational services)</t>
  </si>
  <si>
    <t>WSX  E1: Greenhouse gas emissions (annual greenhouse gas emissions from operational services)</t>
  </si>
  <si>
    <t>PR14WSXWSWW_E2</t>
  </si>
  <si>
    <t>WSX-23</t>
  </si>
  <si>
    <t>E2: Proportion of energy self-generated</t>
  </si>
  <si>
    <t>% of energy (electricity and gas) self-generated</t>
  </si>
  <si>
    <t>WSX  E2: Proportion of energy self-generated</t>
  </si>
  <si>
    <t>PR14WSXHHR_A1</t>
  </si>
  <si>
    <t>Excellent service for customers</t>
  </si>
  <si>
    <t>WSX-24</t>
  </si>
  <si>
    <t>A1: SIM service score</t>
  </si>
  <si>
    <t>&gt;86</t>
  </si>
  <si>
    <t>WSX  A1: SIM service score</t>
  </si>
  <si>
    <t>PR14WSXHHR_A2</t>
  </si>
  <si>
    <t>WSX-25</t>
  </si>
  <si>
    <t>A2: Percentage rating service good/very good</t>
  </si>
  <si>
    <t>&gt;95</t>
  </si>
  <si>
    <t>WSX  A2: Percentage rating service good/very good</t>
  </si>
  <si>
    <t>PR14WSXHHR_A3</t>
  </si>
  <si>
    <t>WSX-26</t>
  </si>
  <si>
    <t>A3: Percentage rating good value for money</t>
  </si>
  <si>
    <t>WSX  A3: Percentage rating good value for money</t>
  </si>
  <si>
    <t>PR14WSXHHR_A4</t>
  </si>
  <si>
    <t>WSX-27</t>
  </si>
  <si>
    <t>A4: Percentage rating ease of resolution</t>
  </si>
  <si>
    <t>Improving trend</t>
  </si>
  <si>
    <t>WSX  A4: Percentage rating ease of resolution</t>
  </si>
  <si>
    <t>PR14WSXHHR_A5</t>
  </si>
  <si>
    <t>WSX-28</t>
  </si>
  <si>
    <t>A5: Accessible communications</t>
  </si>
  <si>
    <t>Meet best practice</t>
  </si>
  <si>
    <t>Best practice met</t>
  </si>
  <si>
    <t>BS18477 &amp; Customer Service Excellence Award</t>
  </si>
  <si>
    <t>Achieved</t>
  </si>
  <si>
    <t>WSX  A5: Accessible communications</t>
  </si>
  <si>
    <t>PR14WSXHHR_B1a</t>
  </si>
  <si>
    <t>B1a</t>
  </si>
  <si>
    <t>WSX-29a</t>
  </si>
  <si>
    <t>B1a: Volume of water used per person</t>
  </si>
  <si>
    <t>WSX  B1a: Volume of water used per person</t>
  </si>
  <si>
    <t>PR14WSXHHR_B1b</t>
  </si>
  <si>
    <t>B1b</t>
  </si>
  <si>
    <t>WSX-29b</t>
  </si>
  <si>
    <t>B1b: Volume of water saved by water efficiency promotion</t>
  </si>
  <si>
    <t>WSX  B1b: Volume of water saved by water efficiency promotion</t>
  </si>
  <si>
    <t>PR14WSXHHR_B2</t>
  </si>
  <si>
    <t>WSX-30</t>
  </si>
  <si>
    <t>B2: Bill as a proportion of disposable income</t>
  </si>
  <si>
    <t>Bill as a proportion (%) of disposable income</t>
  </si>
  <si>
    <t>Reducing trend</t>
  </si>
  <si>
    <t>WSX  B2: Bill as a proportion of disposable income</t>
  </si>
  <si>
    <t>PR14YKYWSW_WA1</t>
  </si>
  <si>
    <t>We provide you with water that is clean and safe to drink</t>
  </si>
  <si>
    <t>YKY-01</t>
  </si>
  <si>
    <t>WA1: Drinking water quality</t>
  </si>
  <si>
    <t>SHLDER</t>
  </si>
  <si>
    <t>YKY  WA1: Drinking water quality</t>
  </si>
  <si>
    <t>PR14YKYWSW_WA2</t>
  </si>
  <si>
    <t>YKY-02</t>
  </si>
  <si>
    <t>WA2: Significant drinking water events which require corrective action</t>
  </si>
  <si>
    <t>No. of corrective actions required by DWI with respect to potentially significant events notified</t>
  </si>
  <si>
    <t>YKY  WA2: Significant drinking water events which require corrective action</t>
  </si>
  <si>
    <t>PR14YKYWSW_WA3</t>
  </si>
  <si>
    <t>YKY-03</t>
  </si>
  <si>
    <t>WA3: Drinking water contacts</t>
  </si>
  <si>
    <t>Revenue or SHLDER</t>
  </si>
  <si>
    <t>No. of contacts (discolouration, taste &amp; odour and illness) in line with DWI reporting</t>
  </si>
  <si>
    <t>YKY  WA3: Drinking water contacts</t>
  </si>
  <si>
    <t>PR14YKYWSW_WA4</t>
  </si>
  <si>
    <t>YKY-04</t>
  </si>
  <si>
    <t>WA4: Water quality stability and reliability factor</t>
  </si>
  <si>
    <t>Up to 10% totex for outcome</t>
  </si>
  <si>
    <t xml:space="preserve">Stable </t>
  </si>
  <si>
    <t>yes</t>
  </si>
  <si>
    <t>YKY  WA4: Water quality stability and reliability factor</t>
  </si>
  <si>
    <t>PR14YKYWSW_WB1</t>
  </si>
  <si>
    <t>We make sure that you always have enough water</t>
  </si>
  <si>
    <t>YKY-05</t>
  </si>
  <si>
    <t>WB1: Leakage</t>
  </si>
  <si>
    <t>YKY  WB1: Leakage</t>
  </si>
  <si>
    <t>PR14YKYWSW_WB2</t>
  </si>
  <si>
    <t>YKY-06</t>
  </si>
  <si>
    <t>WB2: Water supply interruptions</t>
  </si>
  <si>
    <t>Minutes lost per property per year</t>
  </si>
  <si>
    <t>YKY  WB2: Water supply interruptions</t>
  </si>
  <si>
    <t>PR14YKYWSW_WB3</t>
  </si>
  <si>
    <t>YKY-07</t>
  </si>
  <si>
    <t>WB3: Water use</t>
  </si>
  <si>
    <t>YKY  WB3: Water use</t>
  </si>
  <si>
    <t>PR14YKYWSW_WB4</t>
  </si>
  <si>
    <t>YKY-08</t>
  </si>
  <si>
    <t>WB4: Water network stability and reliability factor</t>
  </si>
  <si>
    <t>YKY  WB4: Water network stability and reliability factor</t>
  </si>
  <si>
    <t>PR14YKYWSW_WC1</t>
  </si>
  <si>
    <t>We protect and improve the water environment</t>
  </si>
  <si>
    <t>YKY-09</t>
  </si>
  <si>
    <t>WC1: Length of river improved (note: PC is part of a total commitment at Appointee level - see also SB4)</t>
  </si>
  <si>
    <t>Kilometres (km) of river improved (modelled length)</t>
  </si>
  <si>
    <t>YKY  WC1: Length of river improved (note: PC is part of a total commitment at Appointee level - see also SB4)</t>
  </si>
  <si>
    <t>PR14YKYWSW_WC2</t>
  </si>
  <si>
    <t>YKY-10</t>
  </si>
  <si>
    <t>WC2: Solutions delivered by working with others (note: PC is part of a total commitment at Appointee level - see also SB3)</t>
  </si>
  <si>
    <t>No. of solutions delivered by working with others</t>
  </si>
  <si>
    <t>5% of totex cost of YW cost for each eligible intervention</t>
  </si>
  <si>
    <t>YKY  WC2: Solutions delivered by working with others (note: PC is part of a total commitment at Appointee level - see also SB3)</t>
  </si>
  <si>
    <t>PR14YKYWSW_WC3</t>
  </si>
  <si>
    <t>YKY-11</t>
  </si>
  <si>
    <t>WC3: Amount of land conserved and enhanced (total cumulative area) (note: PC is part of a total commitment at Appointee level - see also SB5)</t>
  </si>
  <si>
    <t>No. of hectares of land conserved &amp; enhanced (cumulative)</t>
  </si>
  <si>
    <t>YKY  WC3: Amount of land conserved and enhanced (total cumulative area) (note: PC is part of a total commitment at Appointee level - see also SB5)</t>
  </si>
  <si>
    <t>PR14YKYWSW_WC4</t>
  </si>
  <si>
    <t>YKY-12</t>
  </si>
  <si>
    <t>WC4: Recreational visitor satisfaction</t>
  </si>
  <si>
    <t>Assessment of customer satisfaction (qualitative survey)</t>
  </si>
  <si>
    <t>Assessment</t>
  </si>
  <si>
    <t xml:space="preserve">Published </t>
  </si>
  <si>
    <t>Published</t>
  </si>
  <si>
    <t>YKY  WC4: Recreational visitor satisfaction</t>
  </si>
  <si>
    <t>PR14YKYWSW_WD1</t>
  </si>
  <si>
    <t>We understand our impact on the wider environment and act responsibly</t>
  </si>
  <si>
    <t>YKY-13</t>
  </si>
  <si>
    <t>WD1: Proportion of energy use generated by renewable technology (note: PC is part of a total commitment at Appointee level - see also SC1 and RC1)</t>
  </si>
  <si>
    <t>% of energy use generated by renewable technology</t>
  </si>
  <si>
    <t>YKY  WD1: Proportion of energy use generated by renewable technology (note: PC is part of a total commitment at Appointee level - see also SC1 and RC1)</t>
  </si>
  <si>
    <t>PR14YKYWSW_WD2</t>
  </si>
  <si>
    <t>WD2</t>
  </si>
  <si>
    <t>YKY-14</t>
  </si>
  <si>
    <t>WD2: Proportion of waste diverted from landfill (re-used and recycled) (note: PC is part of a total commitment at Appointee level - see also SC2 and RC2)</t>
  </si>
  <si>
    <t>% of waste diverted from landfill (re-used and recycled)</t>
  </si>
  <si>
    <t>YKY  WD2: Proportion of waste diverted from landfill (re-used and recycled) (note: PC is part of a total commitment at Appointee level - see also SC2 and RC2)</t>
  </si>
  <si>
    <t>PR14YKYWSWW_SA1</t>
  </si>
  <si>
    <t>We take care of your wastewater and protect you and the environment from sewer flooding</t>
  </si>
  <si>
    <t>YKY-15</t>
  </si>
  <si>
    <t>SA1: Internal sewer flooding incidents</t>
  </si>
  <si>
    <t>YKY  SA1: Internal sewer flooding incidents</t>
  </si>
  <si>
    <t>PR14YKYWSWW_SA2</t>
  </si>
  <si>
    <t>YKY-16</t>
  </si>
  <si>
    <t>SA2: External sewer flooding incidents</t>
  </si>
  <si>
    <t>YKY  SA2: External sewer flooding incidents</t>
  </si>
  <si>
    <t>PR14YKYWSWW_SA3a</t>
  </si>
  <si>
    <t>SA3a</t>
  </si>
  <si>
    <t>YKY-17a</t>
  </si>
  <si>
    <t>SA3a: Pollution incidents - category 1 and 2</t>
  </si>
  <si>
    <t>YKY  SA3a: Pollution incidents - category 1 and 2</t>
  </si>
  <si>
    <t>PR14YKYWSWW_SA3b</t>
  </si>
  <si>
    <t>SA3b</t>
  </si>
  <si>
    <t>YKY-17b</t>
  </si>
  <si>
    <t>SA3b: Pollution incidents - category 3</t>
  </si>
  <si>
    <t>YKY  SA3b: Pollution incidents - category 3</t>
  </si>
  <si>
    <t>PR14YKYWSWW_SA4</t>
  </si>
  <si>
    <t>SA4</t>
  </si>
  <si>
    <t>YKY-18</t>
  </si>
  <si>
    <t>SA4: Sewer network stability and reliability factor</t>
  </si>
  <si>
    <t>YKY  SA4: Sewer network stability and reliability factor</t>
  </si>
  <si>
    <t>PR14YKYWSWW_SB1</t>
  </si>
  <si>
    <t>YKY-19</t>
  </si>
  <si>
    <t>SB1: Number of Yorkshire's designated bathing waters that exceed the required quality standard</t>
  </si>
  <si>
    <t>No. of bathing waters exceeding required standard</t>
  </si>
  <si>
    <t>YKY  SB1: Number of Yorkshire's designated bathing waters that exceed the required quality standard</t>
  </si>
  <si>
    <t>PR14YKYWSWW_SB2</t>
  </si>
  <si>
    <t>YKY-20</t>
  </si>
  <si>
    <t>SB2: Wastewater quality stability and reliability factor</t>
  </si>
  <si>
    <t>YKY  SB2: Wastewater quality stability and reliability factor</t>
  </si>
  <si>
    <t>PR14YKYWSWW_SB3</t>
  </si>
  <si>
    <t>YKY-21</t>
  </si>
  <si>
    <t>SB3: Solutions delivered by working with others (note: PC is part of a total commitment at Appointee level - see also WC2)</t>
  </si>
  <si>
    <t>YKY  SB3: Solutions delivered by working with others (note: PC is part of a total commitment at Appointee level - see also WC2)</t>
  </si>
  <si>
    <t>PR14YKYWSWW_SB4</t>
  </si>
  <si>
    <t>YKY-22</t>
  </si>
  <si>
    <t>SB4: Length of river improved (against WFD component measures) (note: PC is part of a total commitment at Appointee level - see also WC1)</t>
  </si>
  <si>
    <t>YKY  SB4: Length of river improved (against WFD component measures) (note: PC is part of a total commitment at Appointee level - see also WC1)</t>
  </si>
  <si>
    <t>PR14YKYWSWW_SB5</t>
  </si>
  <si>
    <t>YKY-23</t>
  </si>
  <si>
    <t>SB5: Amount of land conserved and enhanced (total cumulative area) (note: PC is part of a total commitment at Appointee level - see also WC3)</t>
  </si>
  <si>
    <t>YKY  SB5: Amount of land conserved and enhanced (total cumulative area) (note: PC is part of a total commitment at Appointee level - see also WC3)</t>
  </si>
  <si>
    <t>PR14YKYWSWW_SC1</t>
  </si>
  <si>
    <t>YKY-24</t>
  </si>
  <si>
    <t>SC1: Proportion of energy use generated by renewable technology (note: PC is part of a total commitment at Appointee level - see also WD1 and RC1)</t>
  </si>
  <si>
    <t>YKY  SC1: Proportion of energy use generated by renewable technology (note: PC is part of a total commitment at Appointee level - see also WD1 and RC1)</t>
  </si>
  <si>
    <t>PR14YKYWSWW_SC2</t>
  </si>
  <si>
    <t>YKY-25</t>
  </si>
  <si>
    <t>SC2: Proportion of waste diverted from landfill (re-used and recycled) (note: PC is part of a total commitment at Appointee level - see also WD2 and RC2)</t>
  </si>
  <si>
    <t>YKY  SC2: Proportion of waste diverted from landfill (re-used and recycled) (note: PC is part of a total commitment at Appointee level - see also WD2 and RC2)</t>
  </si>
  <si>
    <t>PR14YKYHHR_RA1</t>
  </si>
  <si>
    <t>We provide the level of customer service you expect and value</t>
  </si>
  <si>
    <t>YKY-26</t>
  </si>
  <si>
    <t>RA1: Service incentive mechanism (SIM)</t>
  </si>
  <si>
    <t>&gt;2014-15</t>
  </si>
  <si>
    <t>&gt;2015-16</t>
  </si>
  <si>
    <t>&gt;2016-17</t>
  </si>
  <si>
    <t>&gt;2017-18</t>
  </si>
  <si>
    <t>&gt;2018-19</t>
  </si>
  <si>
    <t>YKY  RA1: Service incentive mechanism (SIM)</t>
  </si>
  <si>
    <t>PR14YKYHHR_RA2</t>
  </si>
  <si>
    <t>YKY-27</t>
  </si>
  <si>
    <t>RA2: Service commitment failures</t>
  </si>
  <si>
    <t>No. of GSS (Guaranteed Standards of Service) events</t>
  </si>
  <si>
    <t>Average of 2015-20 performance to be less than average of last 3 years of 2010-15 performance</t>
  </si>
  <si>
    <t>YKY  RA2: Service commitment failures</t>
  </si>
  <si>
    <t>PR14YKYHHR_RA3</t>
  </si>
  <si>
    <t>YKY-28</t>
  </si>
  <si>
    <t>RA3: Overall customer satisfaction (CCWater annual tracking survey)</t>
  </si>
  <si>
    <t>% overall customer satisfaction (CCWater tracking survey)</t>
  </si>
  <si>
    <t>Average of 2015-20 performance to be better than average of 2010-15 performance</t>
  </si>
  <si>
    <t>94% (water), 89% (wastewater)</t>
  </si>
  <si>
    <t>95% (water), 92% (wastewater)</t>
  </si>
  <si>
    <t>93% (water), 91% (wastewater)</t>
  </si>
  <si>
    <t>95% (water), 88% (wastewater)</t>
  </si>
  <si>
    <t>YKY  RA3: Overall customer satisfaction (CCWater annual tracking survey)</t>
  </si>
  <si>
    <t>PR14YKYHHR_RB1</t>
  </si>
  <si>
    <t>We keep your bills as low as possible</t>
  </si>
  <si>
    <t>YKY-29</t>
  </si>
  <si>
    <t>RB1: Cost of bad debt to customers (expressed as proportion of bill)</t>
  </si>
  <si>
    <t>Cost of bad debt as % of average annual bill</t>
  </si>
  <si>
    <t>YKY  RB1: Cost of bad debt to customers (expressed as proportion of bill)</t>
  </si>
  <si>
    <t>PR14YKYHHR_RB2</t>
  </si>
  <si>
    <t>RB2</t>
  </si>
  <si>
    <t>YKY-30</t>
  </si>
  <si>
    <t>RB2: Number of people who we help to pay their bill</t>
  </si>
  <si>
    <t>No. of customers who are assisted to pay their bill</t>
  </si>
  <si>
    <t>Publish data annually on the number of people who have been helped</t>
  </si>
  <si>
    <t>PC assessed at year 5: average of 2015-20 performance to be less than average of 2010-15 performance.
Data published annually on the number of people who have been helped.</t>
  </si>
  <si>
    <t>YKY  RB2: Number of people who we help to pay their bill</t>
  </si>
  <si>
    <t>PR14YKYHHR_RB3</t>
  </si>
  <si>
    <t>RB3</t>
  </si>
  <si>
    <t>YKY-31</t>
  </si>
  <si>
    <t>RB3: Value for money (CCWater annual tracking survey)</t>
  </si>
  <si>
    <t>% customer satisfaction (CCWater tracking survey)</t>
  </si>
  <si>
    <t>Average of 2015-20 performance to better than average of 2010-15 performance</t>
  </si>
  <si>
    <t>76% (water), 77% (wastewater)</t>
  </si>
  <si>
    <t>82% (water), 83% (wastewater)</t>
  </si>
  <si>
    <t>79% (water), 82% (wastewater)</t>
  </si>
  <si>
    <t>76% (water), 79% (wastewater)</t>
  </si>
  <si>
    <t>77% (Water), 79% (wastewater)</t>
  </si>
  <si>
    <t>YKY  RB3: Value for money (CCWater annual tracking survey)</t>
  </si>
  <si>
    <t>PR14YKYHHR_RC1</t>
  </si>
  <si>
    <t>YKY-32</t>
  </si>
  <si>
    <t>RC1: Proportion of energy use generated by renewable technology (note: PC is part of a total commitment at Appointee level - see also WD1 and SC1)</t>
  </si>
  <si>
    <t>YKY  RC1: Proportion of energy use generated by renewable technology (note: PC is part of a total commitment at Appointee level - see also WD1 and SC1)</t>
  </si>
  <si>
    <t>PR14YKYHHR_RC2</t>
  </si>
  <si>
    <t>YKY-33</t>
  </si>
  <si>
    <t>RC2: Proportion of waste diverted from landfill (re-used and recycled) (note: PC is part of a total commitment at Appointee level - see also WD2 and SC2)</t>
  </si>
  <si>
    <t>YKY  RC2: Proportion of waste diverted from landfill (re-used and recycled) (note: PC is part of a total commitment at Appointee level - see also WD2 and SC2)</t>
  </si>
  <si>
    <t>PR14HDDWSW_A1</t>
  </si>
  <si>
    <t>HDD A1: Discoloured water contacts</t>
  </si>
  <si>
    <t>PR14HDDWSW_A2</t>
  </si>
  <si>
    <t>HDD A2: Mean zonal compliance (MZC)</t>
  </si>
  <si>
    <t>PR14HDDWSW_A3</t>
  </si>
  <si>
    <t>HDD A3: Delivery of the outcomes of the Legacy water treatment works (south west Wrexham) major scheme</t>
  </si>
  <si>
    <t>PR14HDDWSW_A4</t>
  </si>
  <si>
    <t>HDD A4: Delivery of the outcomes of the service reservoir water quality risk management schemes</t>
  </si>
  <si>
    <t>PR14HDDWSW_B1</t>
  </si>
  <si>
    <t>HDD B1: Average duration of interruptions - 3 hours or longer (planned and unplanned interruptions)</t>
  </si>
  <si>
    <t>PR14HDDWSW_B2</t>
  </si>
  <si>
    <t>HDD B2: Sustainable economic level of leakage</t>
  </si>
  <si>
    <t>PR14HDDWSW_B3</t>
  </si>
  <si>
    <t>HDD B3: Security of supply index (SOSI)</t>
  </si>
  <si>
    <t>PR14HDDWSW_B4</t>
  </si>
  <si>
    <t>HDD B4: Number of bursts</t>
  </si>
  <si>
    <t>PR14HDDWSW_C1</t>
  </si>
  <si>
    <t>HDD C1: Gross operational greenhouse gas emissions</t>
  </si>
  <si>
    <t>PR14HDDWSW_D1</t>
  </si>
  <si>
    <t>HDD D1: Customers’ perception based on market research</t>
  </si>
  <si>
    <t>PR14HDDNHHR_F1</t>
  </si>
  <si>
    <t>HDD F1: Non-household Service incentive mechanism (SIM)</t>
  </si>
  <si>
    <t>PR14HDDHHR_E1</t>
  </si>
  <si>
    <t>HDD E1: Per capita consumption and water efficiency</t>
  </si>
  <si>
    <t>PR14HDDHHR_E2</t>
  </si>
  <si>
    <t>HDD E2: Service incentive mechanism (SIM)</t>
  </si>
  <si>
    <t>PR14HDDWSW_W-A1</t>
  </si>
  <si>
    <t>HDD W-A1: Number of complaints about drinking water quality</t>
  </si>
  <si>
    <t>PR14HDDWSW_W-A2</t>
  </si>
  <si>
    <t>HDD W-A2: Compliance with drinking water quality standards</t>
  </si>
  <si>
    <t>PR14HDDWSW_W-A3</t>
  </si>
  <si>
    <t>HDD W-A3: Asset stewardship - number of sites with coliform failures (WTWs)</t>
  </si>
  <si>
    <t>PR14HDDWSW_W-B1</t>
  </si>
  <si>
    <t>HDD W-B1: Resource efficiency (distribution input per customer) - amount of water taken out of the environment</t>
  </si>
  <si>
    <t>PR14HDDWSW_W-B2</t>
  </si>
  <si>
    <t>HDD W-B2: Leakage levels</t>
  </si>
  <si>
    <t>PR14HDDWSW_W-B3</t>
  </si>
  <si>
    <t>HDD W-B3: Speed of response in repairing leaks (% fixed within 24 hours)</t>
  </si>
  <si>
    <t>PR14HDDWSW_W-B4</t>
  </si>
  <si>
    <t>HDD W-B4: Number of minutes customers go without supply each year (interruptions to supply &gt; 3 hours)</t>
  </si>
  <si>
    <t>PR14HDDWSW_W-B5</t>
  </si>
  <si>
    <t>HDD W-B5: % of customers with resilient supplies (those that benefit from a second source of supply)</t>
  </si>
  <si>
    <t>PR14HDDWSW_W-B6</t>
  </si>
  <si>
    <t>HDD W-B6: Asset stewardship - mains bursts</t>
  </si>
  <si>
    <t>PR14HDDWSW_W-B7</t>
  </si>
  <si>
    <t>HDD W-B7: Customers at risk of low pressure</t>
  </si>
  <si>
    <t>PR14HDDWSW_W-B8</t>
  </si>
  <si>
    <t>HDD W-B8: Restrictions on water use</t>
  </si>
  <si>
    <t>PR14HDDWSW_W-C1</t>
  </si>
  <si>
    <t>HDD W-C1: Customers rating our services as good value for money (based on tracker survey)</t>
  </si>
  <si>
    <t>PR14HDDWSW_W-D2</t>
  </si>
  <si>
    <t>HDD W-D2: Asset stewardship - environmental compliance</t>
  </si>
  <si>
    <t>PR14HDDWSW_W-E1</t>
  </si>
  <si>
    <t>HDD W-E1: Size of our carbon footprint</t>
  </si>
  <si>
    <t>PR14HDDWSW_W-F1</t>
  </si>
  <si>
    <t>HDD W-F1: Improved understanding of our services through education</t>
  </si>
  <si>
    <t>PR14HDDWSWW_S-A1</t>
  </si>
  <si>
    <t>HDD S-A1: Number of internal sewer flooding incidents</t>
  </si>
  <si>
    <t>PR14HDDWSWW_S-A2</t>
  </si>
  <si>
    <t>HDD S-A2: Number of external sewer flooding incidents</t>
  </si>
  <si>
    <t>PR14HDDWSWW_S-A3</t>
  </si>
  <si>
    <t>HDD S-A3: Partnership working</t>
  </si>
  <si>
    <t>PR14HDDWSWW_S-A4</t>
  </si>
  <si>
    <t>HDD S-A4: Asset stewardship - blockages</t>
  </si>
  <si>
    <t>PR14HDDWSWW_S-A5</t>
  </si>
  <si>
    <t>HDD S-A5: Statutory obligations (Section 101A schemes)</t>
  </si>
  <si>
    <t>PR14HDDWSWW_S-B1</t>
  </si>
  <si>
    <t>HDD S-B1: Customers rating our services as good value for money (based on tracker survey)</t>
  </si>
  <si>
    <t>PR14HDDWSWW_S-C2</t>
  </si>
  <si>
    <t>HDD S-C2: The number of category 3 pollution incidents</t>
  </si>
  <si>
    <t>PR14HDDWSWW_S-C3</t>
  </si>
  <si>
    <t>HDD S-C3: Asset stewardship - environmental compliance (basket of measures)</t>
  </si>
  <si>
    <t>PR14HDDWSWW_S-C5</t>
  </si>
  <si>
    <t>HDD S-C5: Sustainable sewage treatment</t>
  </si>
  <si>
    <t>PR14HDDWSWW_S-C6</t>
  </si>
  <si>
    <t>HDD S-C6: Serious pollution incidents</t>
  </si>
  <si>
    <t>PR14HDDWSWW_S-C7</t>
  </si>
  <si>
    <t>HDD S-C7: Overall environmental performance (basket of environmental measures)</t>
  </si>
  <si>
    <t>PR14HDDWSWW_S-C8</t>
  </si>
  <si>
    <t>HDD S-C8: The number of category 4 pollution incidents</t>
  </si>
  <si>
    <t>PR14HDDWSWW_S-D1</t>
  </si>
  <si>
    <t>HDD S-D1: Size of our carbon footprint</t>
  </si>
  <si>
    <t>PR14HDDWSWW_S-E1</t>
  </si>
  <si>
    <t>HDD S-E1: Improved understanding of our services through education</t>
  </si>
  <si>
    <t>PR14HDDHHR_R-A1</t>
  </si>
  <si>
    <t>Upper Quartile</t>
  </si>
  <si>
    <t>HDD R-A1: Customer satisfaction with their service (based on a survey)</t>
  </si>
  <si>
    <t>PR14HDDHHR_R-A2</t>
  </si>
  <si>
    <t>HDD R-A2: Customers' experience of dealing with us (based on Ofwat's SIM)</t>
  </si>
  <si>
    <t>PR14HDDHHR_R-B1</t>
  </si>
  <si>
    <t>HDD R-B1: Customers helped by a review of their tariff &amp; water usage &amp;/or supported by SVT social fund</t>
  </si>
  <si>
    <t>PR14HDDHHR_R-B2</t>
  </si>
  <si>
    <t>HDD R-B2: Percentage of customers who do not pay (household bad debt divided by total household revenue)</t>
  </si>
  <si>
    <t>PR14SVEWSW_W-A1</t>
  </si>
  <si>
    <t>SVE W-A1: Number of complaints about drinking water quality</t>
  </si>
  <si>
    <t>PR14SVEWSW_W-A2</t>
  </si>
  <si>
    <t>SVE W-A2: Compliance with drinking water quality standards</t>
  </si>
  <si>
    <t>PR14SVEWSW_W-A3</t>
  </si>
  <si>
    <t>SVE W-A3: Asset stewardship - number of sites with coliform failures (WTWs)</t>
  </si>
  <si>
    <t>PR14SVEWSW_W-A4</t>
  </si>
  <si>
    <t>SVE W-A4: Number of successful catchment management schemes</t>
  </si>
  <si>
    <t>PR14SVEWSW_W-B1</t>
  </si>
  <si>
    <t>SVE W-B1: Resource efficiency (distribution input per customer) - amount of water taken out of the environment</t>
  </si>
  <si>
    <t>PR14SVEWSW_W-B2</t>
  </si>
  <si>
    <t>SVE W-B2: Leakage levels</t>
  </si>
  <si>
    <t>PR14SVEWSW_W-B3</t>
  </si>
  <si>
    <t>SVE W-B3: Speed of response in repairing leaks (% fixed within 24 hours)</t>
  </si>
  <si>
    <t>PR14SVEWSW_W-B4</t>
  </si>
  <si>
    <t>SVE W-B4: Number of minutes customers go without supply each year (interruptions to supply &gt; 3 hours)</t>
  </si>
  <si>
    <t>PR14SVEWSW_W-B5</t>
  </si>
  <si>
    <t>SVE W-B5: % of customers with resilient supplies (those that benefit from a second source of supply)</t>
  </si>
  <si>
    <t>PR14SVEWSW_W-B6</t>
  </si>
  <si>
    <t>SVE W-B6: Asset stewardship - mains bursts</t>
  </si>
  <si>
    <t>PR14SVEWSW_W-B7</t>
  </si>
  <si>
    <t>SVE W-B7: Customers at risk of low pressure</t>
  </si>
  <si>
    <t>PR14SVEWSW_W-B8</t>
  </si>
  <si>
    <t>SVE W-B8: Restrictions on water use</t>
  </si>
  <si>
    <t>PR14SVEWSW_W-B9</t>
  </si>
  <si>
    <t>SVE W-B9: Timing delays on Birmingham resilience scheme</t>
  </si>
  <si>
    <t>PR14SVEWSW_W-B10</t>
  </si>
  <si>
    <t>SVE W-B10: Non-delivery of the outcome of the Birmingham resilience scheme</t>
  </si>
  <si>
    <t>PR14SVEWSW_W-B11</t>
  </si>
  <si>
    <t>SVE W-B11: Timing delays on community risk schemes</t>
  </si>
  <si>
    <t>PR14SVEWSW_W-B12</t>
  </si>
  <si>
    <t>SVE W-B12: Non-delivery of the community risk schemes</t>
  </si>
  <si>
    <t>PR14SVEWSW_W-B13</t>
  </si>
  <si>
    <t xml:space="preserve">SVE W-B13: Timing delays on Elan Valley Aqueduct (EVA) maintenance </t>
  </si>
  <si>
    <t>PR14SVEWSW_W-B14</t>
  </si>
  <si>
    <t>SVE W-B14: Non-delivery of the Elan Valley Aqueduct (EVA) maintenance</t>
  </si>
  <si>
    <t>PR14SVEWSW_W-C1</t>
  </si>
  <si>
    <t>SVE W-C1: Customers rating our services as good value for money (based on tracker survey)</t>
  </si>
  <si>
    <t>PR14SVEWSW_W-D1</t>
  </si>
  <si>
    <t>SVE W-D1: Improvements in river water quality against WFD criteria</t>
  </si>
  <si>
    <t>PR14SVEWSW_W-D2</t>
  </si>
  <si>
    <t>SVE W-D2: Asset stewardship - environmental compliance</t>
  </si>
  <si>
    <t>PR14SVEWSW_W-D3</t>
  </si>
  <si>
    <t>SVE W-D3: Biodiversity</t>
  </si>
  <si>
    <t>PR14SVEWSW_W-D4</t>
  </si>
  <si>
    <t>SVE W-D4: Sites with eel protection at intakes</t>
  </si>
  <si>
    <t>PR14SVEWSW_W-E1</t>
  </si>
  <si>
    <t>SVE W-E1: Size of our carbon footprint</t>
  </si>
  <si>
    <t>PR14SVEWSW_W-F1</t>
  </si>
  <si>
    <t>SVE W-F1: Improved understanding of our services through education</t>
  </si>
  <si>
    <t>PR14SVEWSWW_S-A1</t>
  </si>
  <si>
    <t>SVE S-A1: Number of internal sewer flooding incidents</t>
  </si>
  <si>
    <t>PR14SVEWSWW_S-A2</t>
  </si>
  <si>
    <t>SVE S-A2: Number of external sewer flooding incidents</t>
  </si>
  <si>
    <t>PR14SVEWSWW_S-A3</t>
  </si>
  <si>
    <t>SVE S-A3: Partnership working</t>
  </si>
  <si>
    <t>PR14SVEWSWW_S-A4</t>
  </si>
  <si>
    <t>SVE S-A4: Asset stewardship - blockages</t>
  </si>
  <si>
    <t>PR14SVEWSWW_S-A5</t>
  </si>
  <si>
    <t>SVE S-A5: Statutory obligations (Section 101A schemes)</t>
  </si>
  <si>
    <t>PR14SVEWSWW_S-B1</t>
  </si>
  <si>
    <t>SVE S-B1: Customers rating our services as good value for money (based on tracker survey)</t>
  </si>
  <si>
    <t>PR14SVEWSWW_S-C1</t>
  </si>
  <si>
    <t>SVE S-C1: Improvements in river water quality against WFD criteria</t>
  </si>
  <si>
    <t>PR14SVEWSWW_S-C2</t>
  </si>
  <si>
    <t>SVE S-C2: The number of category 3 pollution incidents</t>
  </si>
  <si>
    <t>PR14SVEWSWW_S-C3</t>
  </si>
  <si>
    <t>SVE S-C3: Asset stewardship - environmental compliance (basket of measures)</t>
  </si>
  <si>
    <t>PR14SVEWSWW_S-C4</t>
  </si>
  <si>
    <t>SVE S-C4: Biodiversity</t>
  </si>
  <si>
    <t>PR14SVEWSWW_S-C5</t>
  </si>
  <si>
    <t>SVE S-C5: Sustainable sewage treatment</t>
  </si>
  <si>
    <t>PR14SVEWSWW_S-C6</t>
  </si>
  <si>
    <t>SVE S-C6: Serious pollution incidents</t>
  </si>
  <si>
    <t>PR14SVEWSWW_S-C7</t>
  </si>
  <si>
    <t>SVE S-C7: Overall environmental performance (basket of environmental measures)</t>
  </si>
  <si>
    <t>PR14SVEWSWW_S-C8</t>
  </si>
  <si>
    <t>SVE S-C8: The number of category 4 pollution incidents</t>
  </si>
  <si>
    <t>PR14SVEWSWW_S-D1</t>
  </si>
  <si>
    <t>SVE S-D1: Size of our carbon footprint</t>
  </si>
  <si>
    <t>PR14SVEWSWW_S-E1</t>
  </si>
  <si>
    <t>SVE S-E1: Improved understanding of our services through education</t>
  </si>
  <si>
    <t>PR14SVEHHR_R-A1</t>
  </si>
  <si>
    <t>SVE R-A1: Customer satisfaction with their service (based on a survey)</t>
  </si>
  <si>
    <t>PR14SVEHHR_R-A2</t>
  </si>
  <si>
    <t>SVE R-A2: Customers' experience of dealing with us (based on Ofwat's SIM)</t>
  </si>
  <si>
    <t>PR14SVEHHR_R-B1</t>
  </si>
  <si>
    <t>SVE R-B1: Customers helped by a review of their tariff &amp; water usage &amp;/or supported by SVT social fund</t>
  </si>
  <si>
    <t>PR14SVEHHR_R-B2</t>
  </si>
  <si>
    <t>SVE R-B2: Percentage of customers who do not pay (household bad debt divided by total household revenue)</t>
  </si>
  <si>
    <t>PR14SVEWSW_A1</t>
  </si>
  <si>
    <t>SVE A1: Discoloured water contacts</t>
  </si>
  <si>
    <t>PR14SVEWSW_A2</t>
  </si>
  <si>
    <t>SVE A2: Mean zonal compliance (MZC)</t>
  </si>
  <si>
    <t>PR14SVEWSW_B1</t>
  </si>
  <si>
    <t>SVE B1: Average duration of interruptions - 3 hours or longer (planned and unplanned interruptions)</t>
  </si>
  <si>
    <t>PR14SVEWSW_B2</t>
  </si>
  <si>
    <t>SVE B2: Sustainable economic level of leakage</t>
  </si>
  <si>
    <t>PR14SVEWSW_B3</t>
  </si>
  <si>
    <t>SVE B3: Security of supply index (SOSI)</t>
  </si>
  <si>
    <t>PR14SVEWSW_B4</t>
  </si>
  <si>
    <t>SVE B4: Number of bursts</t>
  </si>
  <si>
    <t>PR14SVEWSW_C1</t>
  </si>
  <si>
    <t>SVE C1: Gross operational greenhouse gas emissions</t>
  </si>
  <si>
    <t>PR14SVEWSW_D1</t>
  </si>
  <si>
    <t>SVE D1: Customers’ perception based on market research</t>
  </si>
  <si>
    <t>PR14SVENHHR_F1</t>
  </si>
  <si>
    <t>SVE F1: Non-household Service incentive mechanism (SIM)</t>
  </si>
  <si>
    <t>PR14SVEHHR_E1</t>
  </si>
  <si>
    <t>SVE E1: Per capita consumption and water efficiency</t>
  </si>
  <si>
    <t>PR14SVEHHR_E2</t>
  </si>
  <si>
    <t>SVE E2: Service incentive mechanism (SIM)</t>
  </si>
  <si>
    <t>AFWDP</t>
  </si>
  <si>
    <t>ANHDP</t>
  </si>
  <si>
    <t>BRLDP</t>
  </si>
  <si>
    <t>DVWDP</t>
  </si>
  <si>
    <t>NESDP</t>
  </si>
  <si>
    <t>PRTDP</t>
  </si>
  <si>
    <t>SBWDP</t>
  </si>
  <si>
    <t>SESDP</t>
  </si>
  <si>
    <t>SEWDP</t>
  </si>
  <si>
    <t>SRNDP</t>
  </si>
  <si>
    <t>SVTDP</t>
  </si>
  <si>
    <t>SWTDP</t>
  </si>
  <si>
    <t>TMSDP</t>
  </si>
  <si>
    <t>NWTDP</t>
  </si>
  <si>
    <t>WSHDP</t>
  </si>
  <si>
    <t>WSXPC</t>
  </si>
  <si>
    <t>WSXDP</t>
  </si>
  <si>
    <t>YKYDP</t>
  </si>
  <si>
    <t>HDDDP</t>
  </si>
  <si>
    <t>SVEDP</t>
  </si>
  <si>
    <t>09:10</t>
  </si>
  <si>
    <t>09:12</t>
  </si>
  <si>
    <t>&lt;----------   AMP6 performance commitment levels   -----------&gt;
(for the main PC)</t>
  </si>
  <si>
    <t>Reference / performance level
(sub-measures)</t>
  </si>
  <si>
    <t>High
(sub-measures)</t>
  </si>
  <si>
    <t>Low
(sub-measures)</t>
  </si>
  <si>
    <t>2014-15 &amp; 2015-16 actual performance levels
(PCs and sub-measures)</t>
  </si>
  <si>
    <t>2016-17 actual performance levels
(PCs and sub-measures)</t>
  </si>
  <si>
    <t>2017-18 actual performance levels
(PCs and sub-measures)</t>
  </si>
  <si>
    <t>2018-19 actual performance levels
(PCs and sub-measures)</t>
  </si>
  <si>
    <t>PC
ODI type</t>
  </si>
  <si>
    <t>PC primary category</t>
  </si>
  <si>
    <t>2015-16
CPL</t>
  </si>
  <si>
    <t>2016-17
CPL</t>
  </si>
  <si>
    <t>2017-18
CPL</t>
  </si>
  <si>
    <t>2018-19
CPL</t>
  </si>
  <si>
    <t>2019-20
CPL</t>
  </si>
  <si>
    <t xml:space="preserve">PC /
sub-measure
ID </t>
  </si>
  <si>
    <t>Sub-measure category</t>
  </si>
  <si>
    <t>Sub-measure weighting</t>
  </si>
  <si>
    <t>Regulatory output during 2010-15
(where applicable)</t>
  </si>
  <si>
    <t>Expected performance
by 2014-15
(where applicable)</t>
  </si>
  <si>
    <t>Failure threshold for AMP6</t>
  </si>
  <si>
    <t>2014-15
performance level
- actual</t>
  </si>
  <si>
    <t>2015-16
performance level
- actual</t>
  </si>
  <si>
    <t>2015-16
performance level met?</t>
  </si>
  <si>
    <t>2016-17
performance level
- actual</t>
  </si>
  <si>
    <t>2016-17
performance level met?</t>
  </si>
  <si>
    <t>2017-18
performance level
- actual</t>
  </si>
  <si>
    <t>2017-18
performance level met?</t>
  </si>
  <si>
    <t>2018-19
performance level
- actual</t>
  </si>
  <si>
    <t>2018-19
performance level met?</t>
  </si>
  <si>
    <t>00</t>
  </si>
  <si>
    <t>ANH W-H1: Water infrastructure</t>
  </si>
  <si>
    <t>01</t>
  </si>
  <si>
    <t>Unplanned interruptions &gt;12 hours</t>
  </si>
  <si>
    <t>Supply interruptions &gt; 12 hours</t>
  </si>
  <si>
    <t>ANH Unplanned interruptions &gt;12 hours</t>
  </si>
  <si>
    <t>02</t>
  </si>
  <si>
    <t>Reactive mains bursts</t>
  </si>
  <si>
    <t>Burst mains</t>
  </si>
  <si>
    <t>+1.8%</t>
  </si>
  <si>
    <t>-10.0%</t>
  </si>
  <si>
    <t>+10.0%</t>
  </si>
  <si>
    <t>ANH Reactive mains bursts</t>
  </si>
  <si>
    <t>03</t>
  </si>
  <si>
    <t>Customer contacts - discolouration</t>
  </si>
  <si>
    <t>Customer contacts (discolouration)</t>
  </si>
  <si>
    <t>ANH Customer contacts - discolouration</t>
  </si>
  <si>
    <t>04</t>
  </si>
  <si>
    <t>Distribution maintenance index</t>
  </si>
  <si>
    <t>Distribution index TIM</t>
  </si>
  <si>
    <t>ANH Distribution maintenance index</t>
  </si>
  <si>
    <t>ANH W-H2: Water non-infrastructure</t>
  </si>
  <si>
    <t>WTW with coliforms detected</t>
  </si>
  <si>
    <t>WTW integrity (eg coliform samples)</t>
  </si>
  <si>
    <t>ANH WTW with coliforms detected</t>
  </si>
  <si>
    <t>Percentage (%) service reservoirs with &gt;5% coliforms</t>
  </si>
  <si>
    <t>SR integrity (eg coliform samples)</t>
  </si>
  <si>
    <t>ANH Percentage (%) service reservoirs with &gt;5% coliforms</t>
  </si>
  <si>
    <t>WTW turbidity</t>
  </si>
  <si>
    <t>ANH WTW turbidity</t>
  </si>
  <si>
    <t>ANH S-F1: Sewerage infrastructure</t>
  </si>
  <si>
    <t>Pollution incidents (ww infra)</t>
  </si>
  <si>
    <t>ANH Pollution incidents</t>
  </si>
  <si>
    <t>Sewer collapses / rising main bursts</t>
  </si>
  <si>
    <t>ANH Sewer collapses</t>
  </si>
  <si>
    <t>Internal flooding (overloaded + other causes)</t>
  </si>
  <si>
    <t>Sewer flooding (internal)</t>
  </si>
  <si>
    <t>ANH Internal flooding (overloaded + other causes)</t>
  </si>
  <si>
    <t>Sewer blockages</t>
  </si>
  <si>
    <t>ANH Sewer blockages</t>
  </si>
  <si>
    <t>ANH S-F2: Sewerage non-infrastructure</t>
  </si>
  <si>
    <t>Population equivalent (PE) WwTW in breach of consent</t>
  </si>
  <si>
    <t>WwTW p.e. (WRA or UWWTD breaches)</t>
  </si>
  <si>
    <t>ANH Population equivalent (PE) WwTW in breach of consent</t>
  </si>
  <si>
    <t>WwTW failing numeric consent</t>
  </si>
  <si>
    <t>WwTW numeric consents</t>
  </si>
  <si>
    <t>ANH WwTW failing numeric consent</t>
  </si>
  <si>
    <t>BRL A2: Asset reliability - infrastructure</t>
  </si>
  <si>
    <t>Total bursts (number)</t>
  </si>
  <si>
    <t>BRL Total bursts (number)</t>
  </si>
  <si>
    <t>DG2: low pressure (number of properties)</t>
  </si>
  <si>
    <t>Low pressure</t>
  </si>
  <si>
    <t>BRL DG2: low pressure (number of properties)</t>
  </si>
  <si>
    <t>BRL A3: Asset reliability - non-infrastructure</t>
  </si>
  <si>
    <t>Turbidity performance at treatment works (number)</t>
  </si>
  <si>
    <t>BRL Turbidity performance at treatment works (number)</t>
  </si>
  <si>
    <t>Unplanned maintenance events (number)</t>
  </si>
  <si>
    <t>Unplanned maintenance (w non-infra)</t>
  </si>
  <si>
    <t>BRL Unplanned maintenance events (number)</t>
  </si>
  <si>
    <t>SBW B4: Maintain serviceable assets</t>
  </si>
  <si>
    <t>Total bursts</t>
  </si>
  <si>
    <t>SBW Total bursts</t>
  </si>
  <si>
    <t>Interruptions &gt; 12 hours</t>
  </si>
  <si>
    <t>SBW Interruptions &gt; 12 hours</t>
  </si>
  <si>
    <t>Iron non-compliance (as 100-Mean Zonal Compliance)</t>
  </si>
  <si>
    <t>Iron</t>
  </si>
  <si>
    <t>SBW Iron non-compliance (as 100-Mean Zonal Compliance)</t>
  </si>
  <si>
    <t>DG2 pressure</t>
  </si>
  <si>
    <t>SBW DG2 pressure</t>
  </si>
  <si>
    <t>05</t>
  </si>
  <si>
    <t>Customer contacts - discolouration (number / 1,000 population)</t>
  </si>
  <si>
    <t>SBW Customer contacts - discolouration (number / 1,000 population)</t>
  </si>
  <si>
    <t>06</t>
  </si>
  <si>
    <t>Water treatment works coliforms non-compliance (%)</t>
  </si>
  <si>
    <t>SBW Water treatment works coliforms non-compliance (%)</t>
  </si>
  <si>
    <t>07</t>
  </si>
  <si>
    <t>Service reservoir coliforms non-compliance (%)</t>
  </si>
  <si>
    <t>SBW Service reservoir coliforms non-compliance (%)</t>
  </si>
  <si>
    <t>08</t>
  </si>
  <si>
    <t>Turbidity (number)</t>
  </si>
  <si>
    <t>SBW Turbidity (number)</t>
  </si>
  <si>
    <t>09</t>
  </si>
  <si>
    <t>Enforcement (incident number)</t>
  </si>
  <si>
    <t>Enforcement</t>
  </si>
  <si>
    <t>SBW Enforcement (incident number)</t>
  </si>
  <si>
    <t>Unplanned maintenance (number)</t>
  </si>
  <si>
    <t>SBW Unplanned maintenance (number)</t>
  </si>
  <si>
    <t>SEW N2: Above ground asset performance assessment</t>
  </si>
  <si>
    <t>WTW coliforms non-compliance</t>
  </si>
  <si>
    <t>SEW WTW coliforms non-compliance</t>
  </si>
  <si>
    <t>Service reservoir coliforms non-compliance</t>
  </si>
  <si>
    <t>SEW Service reservoir coliforms non-compliance</t>
  </si>
  <si>
    <t>Turbidity non-compliance</t>
  </si>
  <si>
    <t>SEW Turbidity non-compliance</t>
  </si>
  <si>
    <t>Enforcement incidents</t>
  </si>
  <si>
    <t>SEW Enforcement incidents</t>
  </si>
  <si>
    <t>1: Water asset health</t>
  </si>
  <si>
    <t>SRN 1: Water asset health</t>
  </si>
  <si>
    <t>Number of mains bursts per year</t>
  </si>
  <si>
    <t>SRN Number of mains bursts per year</t>
  </si>
  <si>
    <t>TIM distribution index</t>
  </si>
  <si>
    <t>SRN TIM distribution index</t>
  </si>
  <si>
    <t>Coliform compliance at WSW</t>
  </si>
  <si>
    <t>SRN Coliform compliance at WSW</t>
  </si>
  <si>
    <t>Coliform compliance at WSR</t>
  </si>
  <si>
    <t>SRN Coliform compliance at WSR</t>
  </si>
  <si>
    <t>Turbidity compliance</t>
  </si>
  <si>
    <t>SRN Turbidity compliance</t>
  </si>
  <si>
    <t>1: Wastewater asset health</t>
  </si>
  <si>
    <t>SRN 1: Wastewater asset health</t>
  </si>
  <si>
    <t>SRN Sewer collapses</t>
  </si>
  <si>
    <t>WwTW population equivalent compliance</t>
  </si>
  <si>
    <t>SRN WwTW population equivalent compliance</t>
  </si>
  <si>
    <t>External flooding - other causes</t>
  </si>
  <si>
    <t>Sewer flooding (external)</t>
  </si>
  <si>
    <t>SRN External flooding - other causes</t>
  </si>
  <si>
    <t>SSC 2.2: Serviceability infrastructure (combined company)</t>
  </si>
  <si>
    <t>SSC Mains bursts</t>
  </si>
  <si>
    <t>SSC Supply interruptions &gt; 12 hours</t>
  </si>
  <si>
    <t>Properties with persistent low pressure</t>
  </si>
  <si>
    <t>SSC Properties with persistent low pressure</t>
  </si>
  <si>
    <t>Discolouration contacts per 1,000 customers</t>
  </si>
  <si>
    <t>SSC Discolouration contacts per 1,000 customers</t>
  </si>
  <si>
    <t>TIM index non-compliance</t>
  </si>
  <si>
    <t>SSC TIM index non-compliance</t>
  </si>
  <si>
    <t>SSC 2.3: Serviceability non-infrastructure (combined company)</t>
  </si>
  <si>
    <t>WTW coliform non-compliance</t>
  </si>
  <si>
    <t>SSC WTW coliform non-compliance</t>
  </si>
  <si>
    <t>Service reservoir coliform non-compliance</t>
  </si>
  <si>
    <t>SSC Service reservoir coliform non-compliance</t>
  </si>
  <si>
    <t>WTW turbidity non-compliance</t>
  </si>
  <si>
    <t>SSC WTW turbidity non-compliance</t>
  </si>
  <si>
    <t>DWI enforcement actions</t>
  </si>
  <si>
    <t>SSC DWI enforcement actions</t>
  </si>
  <si>
    <t>Unplanned maintenance work orders</t>
  </si>
  <si>
    <t>SSC Unplanned maintenance work orders</t>
  </si>
  <si>
    <t>SVT S-C3: Asset stewardship - environmental compliance (basket of measures)</t>
  </si>
  <si>
    <t>% of sewage treatment works passing their numeric consents</t>
  </si>
  <si>
    <t>SVT % of sewage treatment works passing their numeric consents</t>
  </si>
  <si>
    <t>% of actions raised from EA regulatory site audits (actions raised as a % of total site visits)</t>
  </si>
  <si>
    <t>Audits</t>
  </si>
  <si>
    <t>SVT % of actions raised from EA regulatory site audits (actions raised as a % of total site visits)</t>
  </si>
  <si>
    <t>% of sites that do not exceed their 90%ile flow on sewage treatment works or maximum daily flow on water treatment works</t>
  </si>
  <si>
    <t>Flows</t>
  </si>
  <si>
    <t>SVT % of sites that do not exceed their 90%ile flow on sewage treatment works or maximum daily flow on water treatment works</t>
  </si>
  <si>
    <t>% of sites compliant with their abstraction permits</t>
  </si>
  <si>
    <t>Abstraction</t>
  </si>
  <si>
    <t>SVT % of sites compliant with their abstraction permits</t>
  </si>
  <si>
    <t>Calculated in 2018-19</t>
  </si>
  <si>
    <t>SVT S-C7: Overall environmental performance (basket of environmental measures)</t>
  </si>
  <si>
    <t>Improvements in river water quality against WFD criteria</t>
  </si>
  <si>
    <t>River improvements</t>
  </si>
  <si>
    <t>SVT Improvements in river water quality against WFD criteria</t>
  </si>
  <si>
    <t>Asset stewardship - environmental compliance</t>
  </si>
  <si>
    <t>Environmental compliance</t>
  </si>
  <si>
    <t>SVT Asset stewardship - environmental compliance</t>
  </si>
  <si>
    <t>Total number of category 1, 2, and 3 pollution incidents</t>
  </si>
  <si>
    <t>SVT Total number of category 1, 2, and 3 pollution incidents</t>
  </si>
  <si>
    <t>Biodiversity improvements</t>
  </si>
  <si>
    <t>Biodiversity</t>
  </si>
  <si>
    <t>SVT Biodiversity improvements</t>
  </si>
  <si>
    <t>W-A3 Asset reliability (pipes)</t>
  </si>
  <si>
    <t>SWT W-A3 Asset reliability (pipes)</t>
  </si>
  <si>
    <t>SWT Total bursts</t>
  </si>
  <si>
    <t>SWT Interruptions &gt; 12 hours</t>
  </si>
  <si>
    <t>SWT Iron non-compliance (as 100-Mean Zonal Compliance)</t>
  </si>
  <si>
    <t>SWT DG2 pressure</t>
  </si>
  <si>
    <t>SWT Customer contacts - discolouration</t>
  </si>
  <si>
    <t>Distribution Index TIM (as 100-Mean Zonal Compliance)</t>
  </si>
  <si>
    <t>SWT Distribution Index TIM (as 100-Mean Zonal Compliance)</t>
  </si>
  <si>
    <t>W-A4 Asset reliability (process)</t>
  </si>
  <si>
    <t>SWT W-A4 Asset reliability (process)</t>
  </si>
  <si>
    <t>SWT WTW coliforms non-compliance</t>
  </si>
  <si>
    <t>SWT Service reservoir coliforms non-compliance</t>
  </si>
  <si>
    <t>SWT Turbidity non-compliance</t>
  </si>
  <si>
    <t>SWT Enforcement incidents</t>
  </si>
  <si>
    <t>Unplanned maintenance</t>
  </si>
  <si>
    <t>SWT Unplanned maintenance</t>
  </si>
  <si>
    <t>S-A4 Asset reliability (pipes)</t>
  </si>
  <si>
    <t>SWT S-A4 Asset reliability (pipes)</t>
  </si>
  <si>
    <t>SWT Sewer collapses</t>
  </si>
  <si>
    <t>Pollution incidents (CSO + RM + FS)</t>
  </si>
  <si>
    <t>SWT Pollution incidents (CSO + RM + FS)</t>
  </si>
  <si>
    <t>Properties flooded due to other causes</t>
  </si>
  <si>
    <t>SWT Properties flooded due to other causes</t>
  </si>
  <si>
    <t>Properties flooded due to overloaded sewers excluding severe weather</t>
  </si>
  <si>
    <t>SWT Properties flooded due to overloaded sewers excluding severe weather</t>
  </si>
  <si>
    <t>SWT Sewer blockages</t>
  </si>
  <si>
    <t>Equipment failures</t>
  </si>
  <si>
    <t>Equipment failures (ww infra)</t>
  </si>
  <si>
    <t>SWT Equipment failures</t>
  </si>
  <si>
    <t>S-A5 Asset reliability (process)</t>
  </si>
  <si>
    <t>SWT S-A5 Asset reliability (process)</t>
  </si>
  <si>
    <t>Sewage treatment works (STW) non-compliance</t>
  </si>
  <si>
    <t>SWT Sewage treatment works (STW) non-compliance</t>
  </si>
  <si>
    <t>Population equivalent (PE) non-compliance</t>
  </si>
  <si>
    <t>SWT Population equivalent (PE) non-compliance</t>
  </si>
  <si>
    <t>Unplanned maintenance (ww non-infra)</t>
  </si>
  <si>
    <t>TMS WB1: Asset health water infrastructure</t>
  </si>
  <si>
    <t>TMS Total bursts</t>
  </si>
  <si>
    <t>Unplanned interruptions to customer &gt;12 hours (DG3)</t>
  </si>
  <si>
    <t>TMS Unplanned interruptions to customer &gt;12 hours (DG3)</t>
  </si>
  <si>
    <t>Iron mean zonal non-compliance</t>
  </si>
  <si>
    <t>TMS Iron mean zonal non-compliance</t>
  </si>
  <si>
    <t>Inadequate pressure (DG2)</t>
  </si>
  <si>
    <t>TMS Inadequate pressure (DG2)</t>
  </si>
  <si>
    <t>Planned network rehabilitation (kilometres)</t>
  </si>
  <si>
    <t>Planned network rehabilitation (w)</t>
  </si>
  <si>
    <t>TMS Planned network rehabilitation (kilometres)</t>
  </si>
  <si>
    <t>Customer complaints discolouration white water (nr per 1,000 population)</t>
  </si>
  <si>
    <t>TMS Customer complaints discolouration white water (nr per 1,000 population)</t>
  </si>
  <si>
    <t>TMS WB2: Asset health water non-infrastructure</t>
  </si>
  <si>
    <t>Disinfection index (DWI)</t>
  </si>
  <si>
    <t>TMS Disinfection index (DWI)</t>
  </si>
  <si>
    <t>Reservoir integrity index</t>
  </si>
  <si>
    <t>TMS Reservoir integrity index</t>
  </si>
  <si>
    <t>DWQ compliance measures - turbidity (number of sites)</t>
  </si>
  <si>
    <t>TMS DWQ compliance measures - turbidity (number of sites)</t>
  </si>
  <si>
    <t>Process control index</t>
  </si>
  <si>
    <t>WTW process control (company specific)</t>
  </si>
  <si>
    <t>TMS Process control index</t>
  </si>
  <si>
    <t>DWQ compliance measures - enforcement actions</t>
  </si>
  <si>
    <t>TMS DWQ compliance measures - enforcement actions</t>
  </si>
  <si>
    <t>Water quality complaints for chlorine (nr per 1,000 population)</t>
  </si>
  <si>
    <t>Water quality complaints</t>
  </si>
  <si>
    <t>TMS Water quality complaints for chlorine (nr per 1,000 population)</t>
  </si>
  <si>
    <t>Water quality complaints for hardness (nr per 1,000 population)</t>
  </si>
  <si>
    <t>Monitored only</t>
  </si>
  <si>
    <t>TMS Water quality complaints for hardness (nr per 1,000 population)</t>
  </si>
  <si>
    <t>TMS SB1: Asset health wastewater non-infrastructure</t>
  </si>
  <si>
    <t>Unconsented pollution incidents (cat 1, 2 and 3) STWs, storm tanks, pumping stations and other</t>
  </si>
  <si>
    <t>Pollution incidents (ww non-infra)</t>
  </si>
  <si>
    <t>TMS Unconsented pollution incidents (cat 1, 2 and 3) STWs, storm tanks, pumping stations and other</t>
  </si>
  <si>
    <t>Sewage treatment works discharges failing numeric consents %</t>
  </si>
  <si>
    <t>TMS Sewage treatment works discharges failing numeric consents %</t>
  </si>
  <si>
    <t>Total population equivalent served by sewage treatment works failing look-up table consents</t>
  </si>
  <si>
    <t>TMS Total population equivalent served by sewage treatment works failing look-up table consents</t>
  </si>
  <si>
    <t>TMS SB2: Asset health wastewater infrastructure</t>
  </si>
  <si>
    <t>Number of sewer collapses</t>
  </si>
  <si>
    <t>N/A (legacy assets)</t>
  </si>
  <si>
    <t>TMS Number of sewer collapses</t>
  </si>
  <si>
    <t>Number of sewer blockages</t>
  </si>
  <si>
    <t>TMS Number of sewer blockages</t>
  </si>
  <si>
    <t>Pollution incidents (cat 1-3)</t>
  </si>
  <si>
    <t>TMS Pollution incidents (cat 1-3)</t>
  </si>
  <si>
    <t>Properties internally flooded</t>
  </si>
  <si>
    <t>TMS Properties internally flooded</t>
  </si>
  <si>
    <t>UU A3: Water Quality Service Index</t>
  </si>
  <si>
    <t>WTW coliform non-compliance (%)</t>
  </si>
  <si>
    <t>UU WTW coliform non-compliance (%)</t>
  </si>
  <si>
    <t>SR integrity index</t>
  </si>
  <si>
    <t>UU SR integrity index</t>
  </si>
  <si>
    <t>No. of WTW turbidity fails</t>
  </si>
  <si>
    <t>UU No. of WTW turbidity fails</t>
  </si>
  <si>
    <t>Mean Zonal Compliance (MZC)</t>
  </si>
  <si>
    <t>UU Mean Zonal Compliance (MZC)</t>
  </si>
  <si>
    <t>Distribution Maintenance Index (%)</t>
  </si>
  <si>
    <t>UU Distribution Maintenance Index (%)</t>
  </si>
  <si>
    <t>Unwanted customer contacts for water quality (nr per year)</t>
  </si>
  <si>
    <t>Customer contacts (other)</t>
  </si>
  <si>
    <t>UU Unwanted customer contacts for water quality (nr per year)</t>
  </si>
  <si>
    <t>UU B2: Reliable water service index</t>
  </si>
  <si>
    <t>Total bursts (nr/annum)</t>
  </si>
  <si>
    <t>UU Total bursts (nr/annum)</t>
  </si>
  <si>
    <t>Interruptions &gt;12hours (nr of properties/total nr of properties)</t>
  </si>
  <si>
    <t>UU Interruptions &gt;12hours (nr of properties/total nr of properties)</t>
  </si>
  <si>
    <t>Pressure (nr of properties on DG2 register/ total number of properties)</t>
  </si>
  <si>
    <t>UU Pressure (nr of properties on DG2 register/ total number of properties)</t>
  </si>
  <si>
    <t>Customer contacts for water availability (contacts/annum)</t>
  </si>
  <si>
    <t>UU Customer contacts for water availability (contacts/annum)</t>
  </si>
  <si>
    <t>sum / 1315538 * 100</t>
  </si>
  <si>
    <t>UU S-A1: Private sewers service index</t>
  </si>
  <si>
    <t>Blockages</t>
  </si>
  <si>
    <t>UU Blockages</t>
  </si>
  <si>
    <t>Collapses</t>
  </si>
  <si>
    <t>UU Collapses</t>
  </si>
  <si>
    <t>UU Pollution incidents</t>
  </si>
  <si>
    <t>Properties flooded internally</t>
  </si>
  <si>
    <t>UU Properties flooded internally</t>
  </si>
  <si>
    <t>Areas flooded externally</t>
  </si>
  <si>
    <t>UU Areas flooded externally</t>
  </si>
  <si>
    <t>sum / 288266 * 100</t>
  </si>
  <si>
    <t>UU S-A2: Wastewater network performance index</t>
  </si>
  <si>
    <t>Rising main bursts</t>
  </si>
  <si>
    <t>UU Rising main bursts</t>
  </si>
  <si>
    <t>UU Equipment failures</t>
  </si>
  <si>
    <t>sum / 258753 * 100</t>
  </si>
  <si>
    <t>UU S-B2: Sewer flooding index</t>
  </si>
  <si>
    <t>UU Properties flooded due to other causes</t>
  </si>
  <si>
    <t>Properties flooded due to hydraulic overload</t>
  </si>
  <si>
    <t>UU Properties flooded due to hydraulic overload</t>
  </si>
  <si>
    <t>Areas flooded due to other causes</t>
  </si>
  <si>
    <t>UU Areas flooded due to other causes</t>
  </si>
  <si>
    <t>Areas flooded due to hydraulic overload</t>
  </si>
  <si>
    <t>UU Areas flooded due to hydraulic overload</t>
  </si>
  <si>
    <t>Incidents of repeat flooding</t>
  </si>
  <si>
    <t>Sewer flooding (repeat)</t>
  </si>
  <si>
    <t>UU Incidents of repeat flooding</t>
  </si>
  <si>
    <t>S-D2: Maintaining our wastewater treatment works</t>
  </si>
  <si>
    <t>UU S-D2: Maintaining our wastewater treatment works</t>
  </si>
  <si>
    <t>WwTWs failing EA permit - small (size band 1-4)</t>
  </si>
  <si>
    <t>WwTWs at risk or failing EA permit</t>
  </si>
  <si>
    <t>UU WwTWs failing EA permit - small (size band 1-4)</t>
  </si>
  <si>
    <t>WwTWs failing EA permit - medium (size band 5)</t>
  </si>
  <si>
    <t>UU WwTWs failing EA permit - medium (size band 5)</t>
  </si>
  <si>
    <t>WwTWs failing EA permit - large (size band 6a)</t>
  </si>
  <si>
    <t>UU WwTWs failing EA permit - large (size band 6a)</t>
  </si>
  <si>
    <t>WwTWs failing EA permit - large (size band 6b)</t>
  </si>
  <si>
    <t>UU WwTWs failing EA permit - large (size band 6b)</t>
  </si>
  <si>
    <t>WwTWs at high risk of failing EA permit - small (size band 1-4)</t>
  </si>
  <si>
    <t>UU WwTWs at high risk of failing EA permit - small (size band 1-4)</t>
  </si>
  <si>
    <t>WwTWs at high risk of failing EA permit - medium (size band 5)</t>
  </si>
  <si>
    <t>UU WwTWs at high risk of failing EA permit - medium (size band 5)</t>
  </si>
  <si>
    <t>WwTWs at high risk of failing EA permit - large (size band 6)</t>
  </si>
  <si>
    <t>UU WwTWs at high risk of failing EA permit - large (size band 6)</t>
  </si>
  <si>
    <t>WwTWs at medium risk of failing EA permit - small (size band 1-4)</t>
  </si>
  <si>
    <t>UU WwTWs at medium risk of failing EA permit - small (size band 1-4)</t>
  </si>
  <si>
    <t>WwTWs at medium risk of failing EA permit - medium (size band 5)</t>
  </si>
  <si>
    <t>UU WwTWs at medium risk of failing EA permit - medium (size band 5)</t>
  </si>
  <si>
    <t>WwTWs at medium risk of failing EA permit - large (size band 6)</t>
  </si>
  <si>
    <t>UU WwTWs at medium risk of failing EA permit - large (size band 6)</t>
  </si>
  <si>
    <t>WSH F1: Asset serviceability</t>
  </si>
  <si>
    <t>Total bursts (nr)</t>
  </si>
  <si>
    <t>WSH Total bursts (nr)</t>
  </si>
  <si>
    <t>Interruptions &gt;12h (nr)</t>
  </si>
  <si>
    <t>WSH Interruptions &gt;12h (nr)</t>
  </si>
  <si>
    <t>Iron non-compliance (as 100-Mean Zonal Compliance) (%)</t>
  </si>
  <si>
    <t>WSH Iron non-compliance (as 100-Mean Zonal Compliance) (%)</t>
  </si>
  <si>
    <t>DG2 pressure (nr)</t>
  </si>
  <si>
    <t>WSH DG2 pressure (nr)</t>
  </si>
  <si>
    <t>Customer contacts - discolouration  (nr / 1000 population)</t>
  </si>
  <si>
    <t>WSH Customer contacts - discolouration  (nr / 1000 population)</t>
  </si>
  <si>
    <t>Distribution Index TIM (as 100-Mean Zonal Compliance) (%)</t>
  </si>
  <si>
    <t>WSH Distribution Index TIM (as 100-Mean Zonal Compliance) (%)</t>
  </si>
  <si>
    <t>Water Treatment Works Coliforms non-compliance (%)</t>
  </si>
  <si>
    <t>WSH Water Treatment Works Coliforms non-compliance (%)</t>
  </si>
  <si>
    <t>Service Reservoir Coliforms non-compliance (%)</t>
  </si>
  <si>
    <t>WSH Service Reservoir Coliforms non-compliance (%)</t>
  </si>
  <si>
    <t>Turbidity (nr)</t>
  </si>
  <si>
    <t>WSH Turbidity (nr)</t>
  </si>
  <si>
    <t>Enforcement (incidents number)</t>
  </si>
  <si>
    <t>WSH Enforcement (incidents number)</t>
  </si>
  <si>
    <t>Unplanned maintenance (nr)</t>
  </si>
  <si>
    <t>WSH Unplanned maintenance (nr)</t>
  </si>
  <si>
    <t>Sewer collapses (nr)</t>
  </si>
  <si>
    <t>WSH Sewer collapses (nr)</t>
  </si>
  <si>
    <t>Pollution incidents category 1, 2 &amp; 3 (CSO+RM+FS) (nr)</t>
  </si>
  <si>
    <t>WSH Pollution incidents category 1, 2 &amp; 3 (CSO+RM+FS) (nr)</t>
  </si>
  <si>
    <t>Properties flooded due to other causes (nr)</t>
  </si>
  <si>
    <t>WSH Properties flooded due to other causes (nr)</t>
  </si>
  <si>
    <t>Properties flooded due to overloaded sewers excluding severe weather (nr)</t>
  </si>
  <si>
    <t>WSH Properties flooded due to overloaded sewers excluding severe weather (nr)</t>
  </si>
  <si>
    <t>Sewer blockages (nr)</t>
  </si>
  <si>
    <t>WSH Sewer blockages (nr)</t>
  </si>
  <si>
    <t>Equipment failures (nr)</t>
  </si>
  <si>
    <t>WSH Equipment failures (nr)</t>
  </si>
  <si>
    <t>Sewage Treatment Works (STW) % non-compliance</t>
  </si>
  <si>
    <t>WSH Sewage Treatment Works (STW) % non-compliance</t>
  </si>
  <si>
    <t>Population equivalent (PE) % non-compliance</t>
  </si>
  <si>
    <t>WSH Population equivalent (PE) % non-compliance</t>
  </si>
  <si>
    <t>YKY WA4: Water quality stability and reliability factor</t>
  </si>
  <si>
    <t>YKY WTW coliform non-compliance</t>
  </si>
  <si>
    <t>SR coliform non-compliance</t>
  </si>
  <si>
    <t>YKY SR coliform non-compliance</t>
  </si>
  <si>
    <t>Turbidity</t>
  </si>
  <si>
    <t>YKY Turbidity</t>
  </si>
  <si>
    <t>Enforcements</t>
  </si>
  <si>
    <t>YKY Enforcements</t>
  </si>
  <si>
    <t>Reactive equipment failures</t>
  </si>
  <si>
    <t>Equipment failures (w non-infra)</t>
  </si>
  <si>
    <t>YKY Reactive equipment failures</t>
  </si>
  <si>
    <t>YKY WB4: Water network stability and reliability factor</t>
  </si>
  <si>
    <t>YKY Total bursts</t>
  </si>
  <si>
    <t>Interruptions &gt;12 hours</t>
  </si>
  <si>
    <t>YKY Interruptions &gt;12 hours</t>
  </si>
  <si>
    <t>DG2 low pressure</t>
  </si>
  <si>
    <t>YKY DG2 low pressure</t>
  </si>
  <si>
    <t>Customer contacts for discolouration (nr per 1,000 population)</t>
  </si>
  <si>
    <t>YKY Customer contacts for discolouration (nr per 1,000 population)</t>
  </si>
  <si>
    <t>Distribution index TIM (100 - mean zonal compliance)</t>
  </si>
  <si>
    <t>YKY Distribution index TIM (100 - mean zonal compliance)</t>
  </si>
  <si>
    <t>Equipment failures (w infra)</t>
  </si>
  <si>
    <t>YKY SA4: Sewer network stability and reliability factor</t>
  </si>
  <si>
    <t>YKY Sewer collapses</t>
  </si>
  <si>
    <t>Pollution incidents (CSO, RM, FS and SPS)</t>
  </si>
  <si>
    <t>YKY Pollution incidents (CSO, RM, FS and SPS)</t>
  </si>
  <si>
    <t>YKY Properties flooded due to other causes</t>
  </si>
  <si>
    <t>Properties flooded due to overloaded sewers, excluding severe weather</t>
  </si>
  <si>
    <t>YKY Properties flooded due to overloaded sewers, excluding severe weather</t>
  </si>
  <si>
    <t>YKY Sewer blockages</t>
  </si>
  <si>
    <t>YKY SB2: Wastewater quality stability and reliability factor</t>
  </si>
  <si>
    <t>Sewage treatment works non-compliance</t>
  </si>
  <si>
    <t>YKY Sewage treatment works non-compliance</t>
  </si>
  <si>
    <t>Population equivalent non-compliance</t>
  </si>
  <si>
    <t>YKY Population equivalent non-compliance</t>
  </si>
  <si>
    <t>Equipment failures (ww non-infra)</t>
  </si>
  <si>
    <t>HDD % of sewage treatment works passing their numeric consents</t>
  </si>
  <si>
    <t>HDD % of actions raised from EA regulatory site audits (actions raised as a % of total site visits)</t>
  </si>
  <si>
    <t>HDD % of sites that do not exceed their 90%ile flow on sewage treatment works or maximum daily flow on water treatment works</t>
  </si>
  <si>
    <t>HDD % of sites compliant with their abstraction permits</t>
  </si>
  <si>
    <t>SVE % of sewage treatment works passing their numeric consents</t>
  </si>
  <si>
    <t>SVE % of actions raised from EA regulatory site audits (actions raised as a % of total site visits)</t>
  </si>
  <si>
    <t>SVE % of sites that do not exceed their 90%ile flow on sewage treatment works or maximum daily flow on water treatment works</t>
  </si>
  <si>
    <t>SVE % of sites compliant with their abstraction permits</t>
  </si>
  <si>
    <t>Passed</t>
  </si>
  <si>
    <t>SVE Improvements in river water quality against WFD criteria</t>
  </si>
  <si>
    <t>SVE Asset stewardship - environmental compliance</t>
  </si>
  <si>
    <t>SVE Total number of category 1, 2, and 3 pollution incidents</t>
  </si>
  <si>
    <t>SVE Biodiversity improvements</t>
  </si>
  <si>
    <t>AFWID</t>
  </si>
  <si>
    <t>ANHID</t>
  </si>
  <si>
    <t>BRLID</t>
  </si>
  <si>
    <t>DVWID</t>
  </si>
  <si>
    <t>NESID</t>
  </si>
  <si>
    <t>PRTID</t>
  </si>
  <si>
    <t>SBWID</t>
  </si>
  <si>
    <t>SESID</t>
  </si>
  <si>
    <t>SEWID</t>
  </si>
  <si>
    <t>SRNID</t>
  </si>
  <si>
    <t>SSCID</t>
  </si>
  <si>
    <t>SSCDP</t>
  </si>
  <si>
    <t>SVTID</t>
  </si>
  <si>
    <t>SWTID</t>
  </si>
  <si>
    <t>TMSID</t>
  </si>
  <si>
    <t>NWTID</t>
  </si>
  <si>
    <t>WSHID</t>
  </si>
  <si>
    <t>WSXID</t>
  </si>
  <si>
    <t>YKYID</t>
  </si>
  <si>
    <t>HDDID</t>
  </si>
  <si>
    <t>SVEID</t>
  </si>
  <si>
    <t>Customer type</t>
  </si>
  <si>
    <t>Unmeasured (potable water)</t>
  </si>
  <si>
    <t>Band 1 - Water: unmetered</t>
  </si>
  <si>
    <t>Standard Water - Unmetered</t>
  </si>
  <si>
    <t>1 Up to 50 Ml Water Unmetered</t>
  </si>
  <si>
    <t>UM-W; Water unmetered</t>
  </si>
  <si>
    <t>Tariff band 1  ≤50 Ml/a water metered</t>
  </si>
  <si>
    <t>[0 - 500]  [0 - 500m3] [water] [metered]</t>
  </si>
  <si>
    <t>Band A - 250Ml+</t>
  </si>
  <si>
    <t>Tariff band 01 - Unmeasured</t>
  </si>
  <si>
    <t>Water Unmeasured Non-Household</t>
  </si>
  <si>
    <t>Domestic Commercials 0 to 750 m3/a Water Metered</t>
  </si>
  <si>
    <t>[over 250Mla] [water] [metered/unmetered]</t>
  </si>
  <si>
    <t>Unmeasured - South Staffs Region</t>
  </si>
  <si>
    <t>Northern area unmeasured</t>
  </si>
  <si>
    <t>Standard Unmeasured Water</t>
  </si>
  <si>
    <t>Raw Water &lt; 50Ml (Measured)</t>
  </si>
  <si>
    <t>AFW Measured Half Yearly, no volume band, water, metered</t>
  </si>
  <si>
    <t>Cust type 01, Unmeasured, Unmeas Water N, Unmeasured</t>
  </si>
  <si>
    <t>Hartlepool Unmeasured (potable water)</t>
  </si>
  <si>
    <t>Band 2 - Water:  0-10 ml/a - metered</t>
  </si>
  <si>
    <t>Standard 0-1Ml p.a. Water Metered</t>
  </si>
  <si>
    <t>2 Up to 50Ml Water Metered</t>
  </si>
  <si>
    <t>UM-W; Water unmetered mixed use</t>
  </si>
  <si>
    <t>Tariff band 2 &gt; 50 ≤ 250 Ml/a water metered</t>
  </si>
  <si>
    <t>[500 - 1,000]  [500 - 1,000m3] [water] [metered]</t>
  </si>
  <si>
    <t>Band B - 100-250Ml</t>
  </si>
  <si>
    <t>Tariff band 02 - Measured less than 50Ml</t>
  </si>
  <si>
    <t>Water Measured Non-Household &lt; 10Ml</t>
  </si>
  <si>
    <t>Small Commercials 750 to 2000 m3/a Water Metered</t>
  </si>
  <si>
    <t>[50-250Mla [water] [metered]</t>
  </si>
  <si>
    <t>Measured &lt;50 Ml/yr - South Staffs Region</t>
  </si>
  <si>
    <t>Northern area standard user metered</t>
  </si>
  <si>
    <t>Standard Measured Water</t>
  </si>
  <si>
    <t>Partially Treated Water &lt; 50Ml (Measured)</t>
  </si>
  <si>
    <t>AFW Measured Monthly, no volume band, water, metered</t>
  </si>
  <si>
    <t>Cust type 02, Unmeasured, Unmeas Water S, Unmeasured</t>
  </si>
  <si>
    <t>Streamline Green (potable water) - (0.0Ml to 0.5Ml)</t>
  </si>
  <si>
    <t>Band 3 - Water:  10-50 ml/a - metered</t>
  </si>
  <si>
    <t>Standard 1-5Ml pa Water Metered</t>
  </si>
  <si>
    <t>3 &gt; 50Ml water metered</t>
  </si>
  <si>
    <t>M-W-0; 0-1 Ml water metered</t>
  </si>
  <si>
    <t>Tariff band 3  &gt; 250 Ml/a water metered</t>
  </si>
  <si>
    <t>[1,000 - 5,000]  [1,000 - 5,000m3] [water] [metered]</t>
  </si>
  <si>
    <t>Band C - 50-100 Ml</t>
  </si>
  <si>
    <t>Tariff band 03 - Untreated measured less than 50Ml</t>
  </si>
  <si>
    <t>Water Measured Non-Household &gt; 10Ml and &lt; 50Ml</t>
  </si>
  <si>
    <t>Small Medium Commercials 2000 to 4000 m3/a Water Metered</t>
  </si>
  <si>
    <t>[10-50Mla] [water] [metered]</t>
  </si>
  <si>
    <t>Medium User &gt;=50 Ml/yr - South Staffs Region</t>
  </si>
  <si>
    <t>Northern area mid user metered</t>
  </si>
  <si>
    <t>Large &amp; Special User 50-100ML Water</t>
  </si>
  <si>
    <t>Potable Water &lt; 50Ml (Non Household)</t>
  </si>
  <si>
    <t>AFW Unmeasured, no volume band, water, unmetered</t>
  </si>
  <si>
    <t>Cust type 03, Measured, Meas Water N std, Measured</t>
  </si>
  <si>
    <t>Streamline Orange (potable water) - (0.5Ml to 5.0Ml)</t>
  </si>
  <si>
    <t>Band 4 - Water:  50+ ml/a - metered</t>
  </si>
  <si>
    <t>Standard 5-20Ml pa Water Metered</t>
  </si>
  <si>
    <t>4 Up to 50Ml Non-potable Water Metered</t>
  </si>
  <si>
    <t>M-W-0-MX; 0-1Ml water metered mixed use</t>
  </si>
  <si>
    <t>Tariff band 4 water unmetered</t>
  </si>
  <si>
    <t>[5,000 - 20,000]  [5,000 - 20,000m3] [water] [metered]</t>
  </si>
  <si>
    <t>Band D - 15-50 Ml</t>
  </si>
  <si>
    <t>Tariff band 04 - Large user</t>
  </si>
  <si>
    <t>Water Measured Non-Household &gt; 50Ml</t>
  </si>
  <si>
    <t>Large Medium Commercials 4000 to 10000 m3/a Water Metered</t>
  </si>
  <si>
    <t>[5-10Mla] [water] [metered]</t>
  </si>
  <si>
    <t>Large User Up to 350 Ml/yr - South Staffs Region</t>
  </si>
  <si>
    <t>Northern area high user metered</t>
  </si>
  <si>
    <t>Large &amp; Special User 100-250ML Water</t>
  </si>
  <si>
    <t>AFW Assessed, no volume band, water, unmetered</t>
  </si>
  <si>
    <t>Cust type 04, Measured, Meas Water N f20, Measured</t>
  </si>
  <si>
    <t>Streamline Blue (potable water) - (5.0Ml to 10.0Ml)</t>
  </si>
  <si>
    <t>Band 5 - Water:  special agreements - metered</t>
  </si>
  <si>
    <t>Standard 20-100Ml pa Water Metered</t>
  </si>
  <si>
    <t>5 &gt; 50Ml Non-potable Water Metered</t>
  </si>
  <si>
    <t>M-W-1; 1-5Ml water metered</t>
  </si>
  <si>
    <t>[20,000 - 50,000]  [20,000 - 50,000m3] [water] [metered]</t>
  </si>
  <si>
    <t>Band E 5-15Ml</t>
  </si>
  <si>
    <t>Tariff band 05 - Measured 50Ml – 250 Ml</t>
  </si>
  <si>
    <t>High Commercials 10000 to 50,000 m3/a Water Metered</t>
  </si>
  <si>
    <t>[0-5Mla] [water] [metered]</t>
  </si>
  <si>
    <t>Large User Over 350 Ml/yr - South Staffs Region</t>
  </si>
  <si>
    <t>Southern area unmeasured</t>
  </si>
  <si>
    <t>Large &amp; Special User 250+ML Water</t>
  </si>
  <si>
    <t>Raw Treated Water &gt; 50Ml (Measured)</t>
  </si>
  <si>
    <t>AFW Special Agreements, no volume band, water, measured</t>
  </si>
  <si>
    <t>Cust type 05, Measured, Meas Water N fx, Measured</t>
  </si>
  <si>
    <t>Profile (potable water) - (10.0Ml to 25.0Ml)</t>
  </si>
  <si>
    <t>Standard Over 100Ml pa Water Metered</t>
  </si>
  <si>
    <t>15 Water Special Agreements</t>
  </si>
  <si>
    <t>M-W-1-MX; 1-5Ml water metered mixed use</t>
  </si>
  <si>
    <t>[50,000 - 250,000]  [50,000 - 250,000m3] [water] [metered]</t>
  </si>
  <si>
    <t>Band F - 1-5Ml</t>
  </si>
  <si>
    <t>Tariff band 06 - Untreated measured greater than 50Ml</t>
  </si>
  <si>
    <t>Very High Commercials&gt;50,000m3/a Water Metered</t>
  </si>
  <si>
    <t>[water] [unmetered]</t>
  </si>
  <si>
    <t>Measured &gt;=150 Ml/yr - Cambridge region</t>
  </si>
  <si>
    <t>Southern area standard user metered</t>
  </si>
  <si>
    <t>Large &amp; Special User Special Agreements Water</t>
  </si>
  <si>
    <t>Partial Water &gt; 50Ml (Measured)</t>
  </si>
  <si>
    <t>Cust type 06, Measured, Meas Water N f+, Measured</t>
  </si>
  <si>
    <t>Profile Plus (potable water) - (25.0Ml +)</t>
  </si>
  <si>
    <t>M-W-5; 5-25Ml water metered</t>
  </si>
  <si>
    <t>[250,000 +]  [250,000 +m3] [water] [metered]</t>
  </si>
  <si>
    <t>Band G - 0-1Ml</t>
  </si>
  <si>
    <t>SpecialAgreement- water metered</t>
  </si>
  <si>
    <t>Measured &lt;150 Ml/yr - Cambridge region</t>
  </si>
  <si>
    <t>Southern area mid user metered</t>
  </si>
  <si>
    <t>Water Large User 50Ml - 99Ml (Measured)</t>
  </si>
  <si>
    <t>Cust type 07, Measured, Meas Water S std, Measured</t>
  </si>
  <si>
    <t>Profile Interruptible (potable water) - (25.0Ml +)</t>
  </si>
  <si>
    <t>M-W-5-MX; 5-25Ml water metered mixed use</t>
  </si>
  <si>
    <t>[0 - 500 Business Assessed]  [0 - 500m3] [water] [unmetered]</t>
  </si>
  <si>
    <t>Band U</t>
  </si>
  <si>
    <t>Domestic Commercials unmetered</t>
  </si>
  <si>
    <t>Unmeasured BRV - Cambridge region</t>
  </si>
  <si>
    <t>Southern area high user metered</t>
  </si>
  <si>
    <t>Water Large User 100Ml - 249Ml (Measured)</t>
  </si>
  <si>
    <t>Cust type 08, Measured, Meas Water S f20, Measured</t>
  </si>
  <si>
    <t>Hartlepool Commercial (potable water) - (0.0Ml to 50.0Ml)</t>
  </si>
  <si>
    <t>M-W-25; 25-50Ml water metered</t>
  </si>
  <si>
    <t>[500 - 1,000 Business Assessed]  [500 - 1,000m3] [water] [unmetered]</t>
  </si>
  <si>
    <t>Unmeasured student rooms - Cambridge region</t>
  </si>
  <si>
    <t>Special agreement 1 metered</t>
  </si>
  <si>
    <t>Water Large User 250Ml - 499Ml (Measured)</t>
  </si>
  <si>
    <t>Cust type 09, Measured, Meas Water S fx, Measured</t>
  </si>
  <si>
    <t>Hartlepool Profile (potable water) - (50.0Ml +)</t>
  </si>
  <si>
    <t>M-W-50; 50-100Ml water metered</t>
  </si>
  <si>
    <t>[1,000 - 5,000 Business Assessed]  [1,000 - 5,000m3] [water] [unmetered]</t>
  </si>
  <si>
    <t>Unmeasured zero RV - Cambridge region</t>
  </si>
  <si>
    <t>Special agreement 2 metered</t>
  </si>
  <si>
    <t>Water Large User 500Ml - 1000Ml (Measured)</t>
  </si>
  <si>
    <t>Cust type 10, Measured, Meas Water S f+, Measured</t>
  </si>
  <si>
    <t>Streamline Orange (non-potable water) - (0.0Ml to 5.0Ml)</t>
  </si>
  <si>
    <t>M-W-100; 100-250Ml water metered</t>
  </si>
  <si>
    <t>[5,000 - 20,000 Business Assessed]  [5,000 - 20,000m3] [water] [unmetered]</t>
  </si>
  <si>
    <t>Water Large User &gt;1000 (Measured)</t>
  </si>
  <si>
    <t>Cust type 15, Measured, Ind Water, Measured</t>
  </si>
  <si>
    <t>Streamline Blue (non-potable water) - (5.0Ml to 10.0Ml)</t>
  </si>
  <si>
    <t>M-W-250; 250-500Ml water metered</t>
  </si>
  <si>
    <t>[Unmeasured RV + Fixed]  [N/A] [water] [unmetered]</t>
  </si>
  <si>
    <t>Special Agreement Register - Customer Reference WSHNONPOT8</t>
  </si>
  <si>
    <t>Profile (non-potable water) - (10.0Ml to 25.0Ml)</t>
  </si>
  <si>
    <t>M-W-500; &gt;500Ml water metered</t>
  </si>
  <si>
    <t>Special Agreement Register - Customer Reference WSHNONPOT9</t>
  </si>
  <si>
    <t>Profile Plus (non-potable water) - (25.0ml to 400.0Ml)</t>
  </si>
  <si>
    <t>Special Agreement Register - Customer Reference WSHPOT1</t>
  </si>
  <si>
    <t>Profile Industrial (non-potable water) - (400.0Ml +)</t>
  </si>
  <si>
    <t>Special Agreements (potable water) - (0.0Ml +)</t>
  </si>
  <si>
    <t>Special Agreements (non potable water) - (0.0Ml +)</t>
  </si>
  <si>
    <t>Unmeasured (Sewerage)</t>
  </si>
  <si>
    <t>Band 6 - Sewerage:  unmetered</t>
  </si>
  <si>
    <t>Standard Sewerage Unmetered</t>
  </si>
  <si>
    <t>6 Up to 50 Ml Sewerage Unmetered</t>
  </si>
  <si>
    <t>UM-S; Sewerage unmetered</t>
  </si>
  <si>
    <t>Tariff band 5  ≤50 Ml/a sewerage metered</t>
  </si>
  <si>
    <t>[0 - 500]  [0 - 500m3] [sewerage] [metered]</t>
  </si>
  <si>
    <t>Sewerage Measured &lt;100Ml</t>
  </si>
  <si>
    <t>Cust type 11, Unmeasured, Unmeas Sew, Unmeasured</t>
  </si>
  <si>
    <t>Standard Unmeasured Sewerage</t>
  </si>
  <si>
    <t>Streamline Green (Sewerage) - (0.0Ml to 0.5Ml)</t>
  </si>
  <si>
    <t>Band 7 - Sewerage:  0-50 ml/a - metered</t>
  </si>
  <si>
    <t>Standard 0-1Ml pa Sewerage Metered</t>
  </si>
  <si>
    <t>7 Up to 50Ml Sewerage Foul Metered</t>
  </si>
  <si>
    <t>UM-S; Sewerage unmetered mixed use</t>
  </si>
  <si>
    <t>Tariff band 6  &gt; 50 ≤ 250 Ml/a sewerage metered</t>
  </si>
  <si>
    <t>[500 - 1,000]  [500 - 1,000m3] [sewerage] [metered]</t>
  </si>
  <si>
    <t>Sewerage Un-Measured &lt;100Ml</t>
  </si>
  <si>
    <t>Cust type 12, Measured, Meas Sew - std, Measured</t>
  </si>
  <si>
    <t>Standard Measured Sewerage</t>
  </si>
  <si>
    <t>Streamline Orange (Sewerage) - (0.5Ml to 5.0Ml)</t>
  </si>
  <si>
    <t>Band 8 - Sewerage:  50-250 ml/a - metered</t>
  </si>
  <si>
    <t>Standard 1-5Ml pa Sewerage Metered</t>
  </si>
  <si>
    <t>8 &gt; 50Ml Sewerage Foul Metered</t>
  </si>
  <si>
    <t>M-S-0; 0-1Ml sewerage metered</t>
  </si>
  <si>
    <t>Tariff band 7  &gt; 250 Ml/a sewerage metered</t>
  </si>
  <si>
    <t>[1,000 - 5,000]  [1,000 - 5,000m3] [sewerage] [metered]</t>
  </si>
  <si>
    <t>Sewerage Measured &gt;100Ml</t>
  </si>
  <si>
    <t>Cust type 13, Measured, Meas Sew - LU, Measured</t>
  </si>
  <si>
    <t>Large &amp; Special User 50-100ML Sewerage</t>
  </si>
  <si>
    <t>Streamline Blue (Sewerage) - (5.0Ml to 50.0Ml)</t>
  </si>
  <si>
    <t>Band 9 - Sewerage:  250+ ml/a - metered</t>
  </si>
  <si>
    <t>Standard 5-20Ml pa Sewerage Metered</t>
  </si>
  <si>
    <t>9 SWHD Metered Bands 1 - 7</t>
  </si>
  <si>
    <t>M-TE-0; 0-1Ml trade effluent metered</t>
  </si>
  <si>
    <t>Tariff band 8 sewerage unmetered</t>
  </si>
  <si>
    <t>[5,000 - 20,000]  [5,000 - 20,000m3] [sewerage] [metered]</t>
  </si>
  <si>
    <t>Sewerage Trade Effluent &lt;100Ml</t>
  </si>
  <si>
    <t>Cust type 14, Measured, Trade Effluent - std, Measured</t>
  </si>
  <si>
    <t>Large &amp; Special User 100-250ML Sewerage</t>
  </si>
  <si>
    <t>Profile (Sewerage) - (50.0Ml +)</t>
  </si>
  <si>
    <t>Band 10 - Sewerage:  special agreements - metered</t>
  </si>
  <si>
    <t>Standard 20-100Ml pa Sewerage Metered</t>
  </si>
  <si>
    <t>10 SWHD Metered Bands 8 - 15</t>
  </si>
  <si>
    <t>M-S-0-MX; 0-1Ml sewerage metered mixed use</t>
  </si>
  <si>
    <t>Tariff band 9  ≤50 Ml/a trade effluent metered</t>
  </si>
  <si>
    <t>[20,000 - 50,000]  [20,000 - 50,000m3] [sewerage] [metered]</t>
  </si>
  <si>
    <t>Sewerage Trade Effluent &gt;100Ml</t>
  </si>
  <si>
    <t>Cust type 16, Measured, Trade Effluent - Special Agreement, measured</t>
  </si>
  <si>
    <t>Large &amp; Special User 250+ML Sewerage</t>
  </si>
  <si>
    <t>Unmeasured (Trade Effluent)</t>
  </si>
  <si>
    <t>Band 11 - Surface water drainage:  unmetered</t>
  </si>
  <si>
    <t>Standard Over 100Ml pa Sewerage Metered</t>
  </si>
  <si>
    <t>11 Up to 50Ml Sewerage TE Metered</t>
  </si>
  <si>
    <t>M-S-1; 1-5Ml sewerage metered</t>
  </si>
  <si>
    <t>Tariff band 10  &gt; 50 ≤ 250 Ml/a trade effleunt metered</t>
  </si>
  <si>
    <t>[50,000 - 250,000]  [50,000 - 250,000m3] [sewerage] [metered]</t>
  </si>
  <si>
    <t>Outfall Tariff</t>
  </si>
  <si>
    <t>Large &amp; Special User Special Agreements Sewerage</t>
  </si>
  <si>
    <t>Streamline Green (Trade Effluent) - (0.0Ml to 0.5Ml)</t>
  </si>
  <si>
    <t>Band 12 - Surface water drainage:  0-50 ml/a - metered</t>
  </si>
  <si>
    <t>Standard Non-Monthly Billed Trade Effluent Metered</t>
  </si>
  <si>
    <t>12 &gt; 50Ml Sewerage TE Metered</t>
  </si>
  <si>
    <t>M-TE-1; 1-5Ml trade effluent metered</t>
  </si>
  <si>
    <t>Tariff band 11  &gt; 250 Ml/a trade effluent metered</t>
  </si>
  <si>
    <t>[250,000 +]  [250,000 +m3] [sewerage] [metered]</t>
  </si>
  <si>
    <t>Trade Effluent</t>
  </si>
  <si>
    <t>Streamline Orange (Trade Effluent) - (0.5Ml to 5.0Ml)</t>
  </si>
  <si>
    <t>Band 13 - Surface water drainage:  50-250 ml/a - metered</t>
  </si>
  <si>
    <t>Standard Monthly Billed Trade Effluent Metered</t>
  </si>
  <si>
    <t>13 Foul / SWD Special Agreements</t>
  </si>
  <si>
    <t>M-S-1-MX; 1-5Ml sewerage metered mixed use</t>
  </si>
  <si>
    <t>[0 - 500]  [0 - 500m3] [trade effluent] [metered]</t>
  </si>
  <si>
    <t>Streamline Blue (Trade Effluent) - (5.0Ml to 50.0Ml)</t>
  </si>
  <si>
    <t>Band 14 - Surface water drainage:  250+ ml/a - metered</t>
  </si>
  <si>
    <t>14 Trade Effluent Speciial Agreements</t>
  </si>
  <si>
    <t>M-S-5; 5-25Ml sewerage metered</t>
  </si>
  <si>
    <t>[500 - 1,000]  [500 - 1,000m3] [trade effluent] [metered]</t>
  </si>
  <si>
    <t>Profile (Trade Effluent) - (50.0Ml +)</t>
  </si>
  <si>
    <t>Band 15 - Trade effluent:  0-50 ml/a - metered</t>
  </si>
  <si>
    <t>M-TE-5; 5-25Ml trade effluent metered</t>
  </si>
  <si>
    <t>[1,000 - 5,000]  [1,000 - 5,000m3] [trade effluent] [metered]</t>
  </si>
  <si>
    <t>Band 16 - Trade effluent:  50-250 ml/a - metered</t>
  </si>
  <si>
    <t>M-S-5-MX; 5-25Ml sewerage metered mixed use</t>
  </si>
  <si>
    <t>[5,000 - 20,000]  [5,000 - 20,000m3] [trade effluent] [metered]</t>
  </si>
  <si>
    <t>Band 17 - Trade effluent:  250+ ml/a - metered</t>
  </si>
  <si>
    <t>M-S-25; 25-50Ml sewerage metered</t>
  </si>
  <si>
    <t>[20,000 - 50,000]  [20,000 - 50,000m3] [trade effluent] [metered]</t>
  </si>
  <si>
    <t>Band 18 - Trade effluent:  special agreements - metered</t>
  </si>
  <si>
    <t>M-TE-25; 25-50Ml trade effluent metered</t>
  </si>
  <si>
    <t>[50,000 - 250,000]  [50,000 - 250,000m3] [trade effluent] [metered]</t>
  </si>
  <si>
    <t>M-S-50; 50-100Ml sewerage metered</t>
  </si>
  <si>
    <t>[250,000 +]  [250,000 +m3] [trade effluent] [metered]</t>
  </si>
  <si>
    <t>M-TE-50; 50-100Ml trade effluent metered</t>
  </si>
  <si>
    <t>[0 - 500 Business Assessed]  [0 - 500m3] [sewerage] [unmetered]</t>
  </si>
  <si>
    <t>M-S-100; 100-250Ml sewerage metered</t>
  </si>
  <si>
    <t>[500 - 1,000 Business Assessed]  [500 - 1,000m3] [sewerage] [unmetered]</t>
  </si>
  <si>
    <t>M-TE-100; 100-250Ml trade effluent metered</t>
  </si>
  <si>
    <t>[1,000 - 5,000 Business Assessed]  [1,000 - 5,000m3] [sewerage] [unmetered]</t>
  </si>
  <si>
    <t>M-S-250; 250-500Ml sewerage metered</t>
  </si>
  <si>
    <t>[5,000 - 20,000 Business Assessed]  [5,000 - 20,000m3] [sewerage] [unmetered]</t>
  </si>
  <si>
    <t>M-TE-250; 250-500Ml trade effluent metered</t>
  </si>
  <si>
    <t>[Unmeasured RV + Fixed]  [N/A] [sewerage] [unmetered]</t>
  </si>
  <si>
    <t>M-TE-500; &gt;500Ml trade effluent metered</t>
  </si>
  <si>
    <t>Streamline Orange (non-potable) - (0.0Ml to 5.0Ml)</t>
  </si>
  <si>
    <t>water unmetered</t>
  </si>
  <si>
    <t>Water Measured Non-Household &lt; 5Ml</t>
  </si>
  <si>
    <t>Water:
Unmeasured and
0-5 Ml/a</t>
  </si>
  <si>
    <t>Water 0 - 5 Ml</t>
  </si>
  <si>
    <t>Water supplies 5 to 50 MI</t>
  </si>
  <si>
    <t>AFW Metered 0-5 Ml, including assessed customers and unmeasured RV customers</t>
  </si>
  <si>
    <t>Water supplies 5
to 50 MI</t>
  </si>
  <si>
    <t>Water 0 to 5Ml</t>
  </si>
  <si>
    <t>Water supplies 50 MI and
over</t>
  </si>
  <si>
    <t>Water supplies 50 MI and over</t>
  </si>
  <si>
    <t>Portable Water - Unmetered</t>
  </si>
  <si>
    <t>Standard measured water &lt;5Ml</t>
  </si>
  <si>
    <t>Water supplies
50 MI and over</t>
  </si>
  <si>
    <t>Potable Water - Metered 0-2.5 Ml/a</t>
  </si>
  <si>
    <t>Standard measured water &lt;5 Ml</t>
  </si>
  <si>
    <t>Potable Water - Metered 2.5-5 Ml/a</t>
  </si>
  <si>
    <t>Water supplies 5 to
50 MI</t>
  </si>
  <si>
    <t>Unmeasured and measured 0-5 Ml/a</t>
  </si>
  <si>
    <t>0 to 5 Ml measured</t>
  </si>
  <si>
    <t>Unmeasured, Unmeasured Water, Unmeasured</t>
  </si>
  <si>
    <t>Measured, Measured Water 0-5Ml/yr, Measured</t>
  </si>
  <si>
    <t>&lt; 50MI Water</t>
  </si>
  <si>
    <t>Unmeasured, Unmeasured Sew, Unmeasured</t>
  </si>
  <si>
    <t>Sewerage</t>
  </si>
  <si>
    <t>Measured, Measured Sew 0-5Ml/yr, Measured</t>
  </si>
  <si>
    <t>sewerage unmetered</t>
  </si>
  <si>
    <t>Wastewater services 5 to 50 MI</t>
  </si>
  <si>
    <t>Standard measured sewerage &lt;5Ml inc TE</t>
  </si>
  <si>
    <t>Wastewater 0 - 5 Ml</t>
  </si>
  <si>
    <t>Wastewater services 50 MI and over</t>
  </si>
  <si>
    <t>Wastewater 0 to 5Ml</t>
  </si>
  <si>
    <t>Trade Effluent 0 - 5 Ml</t>
  </si>
  <si>
    <t>Wastewater
services 50 MI and over</t>
  </si>
  <si>
    <t>Waste Water:
Unmeasured and
0-5 Ml/a</t>
  </si>
  <si>
    <t>Wastewater
services 5 to
50 MI</t>
  </si>
  <si>
    <t>Wastewater
services 50 MI
and over</t>
  </si>
  <si>
    <t>Large wastewater teatment works</t>
  </si>
  <si>
    <t>South West Water (inc Bournemouth)</t>
  </si>
  <si>
    <t>BASILDON STW</t>
  </si>
  <si>
    <t>AFAN</t>
  </si>
  <si>
    <t>AYCLIFFE</t>
  </si>
  <si>
    <t>ABBEY LATHE - MALTBY (WRW)</t>
  </si>
  <si>
    <t>BARNSTAPLE (ASHFORD)</t>
  </si>
  <si>
    <t>ASHFORD</t>
  </si>
  <si>
    <t>ABINGDON</t>
  </si>
  <si>
    <t>ALTRINCHAM WWTW</t>
  </si>
  <si>
    <t>AVONMOUTH</t>
  </si>
  <si>
    <t>ALDWARKE/STW</t>
  </si>
  <si>
    <t>BEDFORD STW</t>
  </si>
  <si>
    <t>CARDIFF BAY</t>
  </si>
  <si>
    <t>BARKERSHAUGH</t>
  </si>
  <si>
    <t>ALFRETON (WRW)</t>
  </si>
  <si>
    <t>NEWTON ABBOT (BUCKLAND)</t>
  </si>
  <si>
    <t>AYLESFORD</t>
  </si>
  <si>
    <t>ALDERSHOT</t>
  </si>
  <si>
    <t>ASHTON-U-LYNE WWTW</t>
  </si>
  <si>
    <t>BATH (SALTFORD)</t>
  </si>
  <si>
    <t>BEVERLEY/STW</t>
  </si>
  <si>
    <t>BENFLEET STW</t>
  </si>
  <si>
    <t>CHESTER</t>
  </si>
  <si>
    <t>BELMONT</t>
  </si>
  <si>
    <t>BARNHURST (WRW)</t>
  </si>
  <si>
    <t>TORBAY (BROKENBURY QUARRY)</t>
  </si>
  <si>
    <t>BEXHILL AND HASTINGS</t>
  </si>
  <si>
    <t>ALTON</t>
  </si>
  <si>
    <t>BARROW IN FURNESS WWTW</t>
  </si>
  <si>
    <t>BRIDGWATER</t>
  </si>
  <si>
    <t>BLACKBURN MEADOWS/STW</t>
  </si>
  <si>
    <t>BOSTON STW</t>
  </si>
  <si>
    <t>CILFYNYDD</t>
  </si>
  <si>
    <t>CONSETT</t>
  </si>
  <si>
    <t>BARSTON (WRW)</t>
  </si>
  <si>
    <t>CAMBORNE REDRUTH</t>
  </si>
  <si>
    <t>BROOMFIELD BANK</t>
  </si>
  <si>
    <t>ASCOT</t>
  </si>
  <si>
    <t>BIRKENHEAD WWTW</t>
  </si>
  <si>
    <t>BRIDPORT (WEST BAY)</t>
  </si>
  <si>
    <t>BOLTON ON DEARNE/STW</t>
  </si>
  <si>
    <t>BROADHOLME STW</t>
  </si>
  <si>
    <t>COG MOORS</t>
  </si>
  <si>
    <t>BERWICK</t>
  </si>
  <si>
    <t>BRANCOTE (WRW)</t>
  </si>
  <si>
    <t>BIDEFORD (CORNBOROUGH)</t>
  </si>
  <si>
    <t>BUDDS FARM</t>
  </si>
  <si>
    <t>AYLESBURY</t>
  </si>
  <si>
    <t>BLACKBURN WWTW</t>
  </si>
  <si>
    <t>CHARD</t>
  </si>
  <si>
    <t>BRADFORD ESHOLT/NO 2 STW</t>
  </si>
  <si>
    <t>CAISTER - PUMP LANE STW</t>
  </si>
  <si>
    <t>COSLECH</t>
  </si>
  <si>
    <t>BILLINGHAM</t>
  </si>
  <si>
    <t>BROMSGROVE (WRW)</t>
  </si>
  <si>
    <t>CAMBORNE</t>
  </si>
  <si>
    <t>CANTERBURY</t>
  </si>
  <si>
    <t>BANBURY</t>
  </si>
  <si>
    <t>BOLTON WWTW</t>
  </si>
  <si>
    <t>CHIPPENHAM</t>
  </si>
  <si>
    <t>BRIDLINGTON STW</t>
  </si>
  <si>
    <t>CAMBRIDGE STW</t>
  </si>
  <si>
    <t>CYNON</t>
  </si>
  <si>
    <t>BIRTLEY</t>
  </si>
  <si>
    <t>BURNTWOOD (WRW)</t>
  </si>
  <si>
    <t>EXETER (COUNTESS WEAR)</t>
  </si>
  <si>
    <t>CHICHESTER</t>
  </si>
  <si>
    <t>BASINGSTOKE</t>
  </si>
  <si>
    <t>BROMBOROUGH WWTW</t>
  </si>
  <si>
    <t>CHRISTCHURCH</t>
  </si>
  <si>
    <t>BRIGHOUSE/UPPER STW</t>
  </si>
  <si>
    <t>CANVEY ISLAND STW</t>
  </si>
  <si>
    <t>FIVE FORDS</t>
  </si>
  <si>
    <t>BISHOP AUCKLAND</t>
  </si>
  <si>
    <t>CANNOCK (WRW)</t>
  </si>
  <si>
    <t>PLYMOUTH (CAMELS HEAD)</t>
  </si>
  <si>
    <t>CHICKENHALL EASTLIEGH</t>
  </si>
  <si>
    <t>BECKTON</t>
  </si>
  <si>
    <t>BURNLEY WWTW</t>
  </si>
  <si>
    <t>DORCHESTER</t>
  </si>
  <si>
    <t>CALDER VALE/STW</t>
  </si>
  <si>
    <t>CANWICK STW</t>
  </si>
  <si>
    <t>FLINT</t>
  </si>
  <si>
    <t>BLYTH</t>
  </si>
  <si>
    <t>CHECKLEY (WRW)</t>
  </si>
  <si>
    <t>EXMOUTH (MEAR LANE)</t>
  </si>
  <si>
    <t>EASTBOURNE</t>
  </si>
  <si>
    <t>BEDDINGTON</t>
  </si>
  <si>
    <t>BURSCOUGH WWTW</t>
  </si>
  <si>
    <t>FROME</t>
  </si>
  <si>
    <t>CASTLEFORD/STW</t>
  </si>
  <si>
    <t>CLACTON-HOLLAND HAVEN STW</t>
  </si>
  <si>
    <t>GANOL</t>
  </si>
  <si>
    <t>BRAN SANDS DOMESTIC</t>
  </si>
  <si>
    <t>CLAYMILLS (WRW)</t>
  </si>
  <si>
    <t>PLYMOUTH (CENTRAL)</t>
  </si>
  <si>
    <t>FAIRLEE</t>
  </si>
  <si>
    <t>BICESTER</t>
  </si>
  <si>
    <t>BURY WWTW</t>
  </si>
  <si>
    <t>HOLDENHURST</t>
  </si>
  <si>
    <t>DENABY/NO 2 STW</t>
  </si>
  <si>
    <t>CHELMSFORD STW</t>
  </si>
  <si>
    <t>GARNSWALLT</t>
  </si>
  <si>
    <t>CAMBOIS</t>
  </si>
  <si>
    <t>COALPORT (WRW)</t>
  </si>
  <si>
    <t>FALMOUTH</t>
  </si>
  <si>
    <t>FAVERSHAM</t>
  </si>
  <si>
    <t>BISHOP'S STORTFORD</t>
  </si>
  <si>
    <t>CARLISLE WWTW</t>
  </si>
  <si>
    <t>KINGSTON SEYMOUR</t>
  </si>
  <si>
    <t>DEWSBURY/STW</t>
  </si>
  <si>
    <t>COLCHESTER STW</t>
  </si>
  <si>
    <t>GOWERTON</t>
  </si>
  <si>
    <t>CHESTER-LE-STREET</t>
  </si>
  <si>
    <t>COLESHILL (WRW)</t>
  </si>
  <si>
    <t>HAYLE</t>
  </si>
  <si>
    <t>FORD</t>
  </si>
  <si>
    <t>BLACKBIRDS</t>
  </si>
  <si>
    <t>CHORLEY WWTW</t>
  </si>
  <si>
    <t>KINSON</t>
  </si>
  <si>
    <t>DOWLEY GAP/STW</t>
  </si>
  <si>
    <t>CORBY STW</t>
  </si>
  <si>
    <t>HEREFORD</t>
  </si>
  <si>
    <t>CRAMLINGTON</t>
  </si>
  <si>
    <t>COVEN HEATH (WRW)</t>
  </si>
  <si>
    <t>PLYMOUTH (ERNESETTLE)</t>
  </si>
  <si>
    <t>FULLERTON</t>
  </si>
  <si>
    <t>BORDON</t>
  </si>
  <si>
    <t>COLNE WWTW</t>
  </si>
  <si>
    <t>PALMERSFORD</t>
  </si>
  <si>
    <t>GARFORTH/STW</t>
  </si>
  <si>
    <t>COTTON VALLEY STW</t>
  </si>
  <si>
    <t>KINMEL BAY</t>
  </si>
  <si>
    <t>HENDON</t>
  </si>
  <si>
    <t>CRANKLEY POINT (WRW)</t>
  </si>
  <si>
    <t>PLYMPTON (MARSH MILLS)</t>
  </si>
  <si>
    <t>GODDARDS GREEN</t>
  </si>
  <si>
    <t>BRACKNELL</t>
  </si>
  <si>
    <t>CONGLETON WWTW</t>
  </si>
  <si>
    <t>POOLE</t>
  </si>
  <si>
    <t>HALIFAX/STW</t>
  </si>
  <si>
    <t>DUNSTABLE STW</t>
  </si>
  <si>
    <t>LLANELLI</t>
  </si>
  <si>
    <t>HORDEN</t>
  </si>
  <si>
    <t>DERBY (WRW)</t>
  </si>
  <si>
    <t>PAR</t>
  </si>
  <si>
    <t>GRAVESEND</t>
  </si>
  <si>
    <t>BRENTWOOD</t>
  </si>
  <si>
    <t>CREWE WWTW</t>
  </si>
  <si>
    <t>PORTBURY WHARF</t>
  </si>
  <si>
    <t>HARROGATE NORTH/STW</t>
  </si>
  <si>
    <t>FELIXSTOWE STW</t>
  </si>
  <si>
    <t>NASH</t>
  </si>
  <si>
    <t>HOWDON</t>
  </si>
  <si>
    <t>DROITWICH- LADYWOOD (WRW)</t>
  </si>
  <si>
    <t>TRURO (NEWHAM)</t>
  </si>
  <si>
    <t>HAILSHAM SOUTH</t>
  </si>
  <si>
    <t>CAMBERLEY</t>
  </si>
  <si>
    <t>DARWEN WWTW</t>
  </si>
  <si>
    <t>SALISBURY</t>
  </si>
  <si>
    <t>HARROGATE SOUTH/STW</t>
  </si>
  <si>
    <t>FLITWICK STW</t>
  </si>
  <si>
    <t>NEWLANDS</t>
  </si>
  <si>
    <t>MARSKE</t>
  </si>
  <si>
    <t>COVENTRY - FINHAM (WRW)</t>
  </si>
  <si>
    <t>NEWQUAY</t>
  </si>
  <si>
    <t>HAILSHAM SOUTH NEW WORKS</t>
  </si>
  <si>
    <t>CHERTSEY</t>
  </si>
  <si>
    <t>DAVYHULME WWTW</t>
  </si>
  <si>
    <t>SHEPTON MALLETT</t>
  </si>
  <si>
    <t>HUDDERSFIELD STW GROUP</t>
  </si>
  <si>
    <t>FORNHAM ALL SAINTS STW</t>
  </si>
  <si>
    <t>PENYBONT</t>
  </si>
  <si>
    <t>NEWBIGGIN</t>
  </si>
  <si>
    <t>GOSCOTE (WRW)</t>
  </si>
  <si>
    <t>CAMELS HEAD</t>
  </si>
  <si>
    <t>HAM HILL</t>
  </si>
  <si>
    <t>CHESHAM</t>
  </si>
  <si>
    <t>DUKINFIELD WWTW</t>
  </si>
  <si>
    <t>TAUNTON</t>
  </si>
  <si>
    <t>HULL/STW</t>
  </si>
  <si>
    <t>GREAT BILLING STW</t>
  </si>
  <si>
    <t>PONTHIR</t>
  </si>
  <si>
    <t>SEAHAM</t>
  </si>
  <si>
    <t>HAYDEN (WRW)</t>
  </si>
  <si>
    <t>ERNESETTLE</t>
  </si>
  <si>
    <t>HERNE BAY</t>
  </si>
  <si>
    <t>CIRENCESTER</t>
  </si>
  <si>
    <t>ECCLES WWTW</t>
  </si>
  <si>
    <t>TROWBRIDGE</t>
  </si>
  <si>
    <t>KEIGHLEY MARLEY/STW</t>
  </si>
  <si>
    <t>GRIMSBY-PYEWIPE STW</t>
  </si>
  <si>
    <t>QUEENSFERRY</t>
  </si>
  <si>
    <t>SEATON CAREW</t>
  </si>
  <si>
    <t>HEANOR-MILNE HAY (WRW)</t>
  </si>
  <si>
    <t>HORSHAM NEW</t>
  </si>
  <si>
    <t>CRAWLEY</t>
  </si>
  <si>
    <t>ELLESMERE PORT WWTW</t>
  </si>
  <si>
    <t>WEST HUNTSPILL</t>
  </si>
  <si>
    <t>KNOSTROP/STW</t>
  </si>
  <si>
    <t>HAVERHILL STW</t>
  </si>
  <si>
    <t>SWANSEA BAY</t>
  </si>
  <si>
    <t>SEDGELETCH</t>
  </si>
  <si>
    <t>HINCKLEY (WRW)</t>
  </si>
  <si>
    <t>MILLBROOK</t>
  </si>
  <si>
    <t>CROSSNESS</t>
  </si>
  <si>
    <t>FAZAKERLEY (LIVERPOOL NORTH) WWTW</t>
  </si>
  <si>
    <t>WESTON-SUPER-MARE</t>
  </si>
  <si>
    <t>LEMONROYD/STW</t>
  </si>
  <si>
    <t>HITCHIN STW</t>
  </si>
  <si>
    <t>TOTAL</t>
  </si>
  <si>
    <t>STRESSHOLME</t>
  </si>
  <si>
    <t>ILKESTON - HALLAM FIELDS (WRW)</t>
  </si>
  <si>
    <t>MORESTEAD</t>
  </si>
  <si>
    <t>DEEPHAMS</t>
  </si>
  <si>
    <t>FLEETWOOD MARSH WWTW</t>
  </si>
  <si>
    <t>WEYMOUTH</t>
  </si>
  <si>
    <t>LUNDWOOD/STW</t>
  </si>
  <si>
    <t>HUNTINGDON (GODMANCHESTER) STW</t>
  </si>
  <si>
    <t>CARDIFF EAST</t>
  </si>
  <si>
    <t>WASHINGTON</t>
  </si>
  <si>
    <t>KIDDERMINSTER OLDINGTON (WRW)</t>
  </si>
  <si>
    <t>MOTNEY HILL</t>
  </si>
  <si>
    <t>DIDCOT</t>
  </si>
  <si>
    <t>GLAZEBURY WWTW</t>
  </si>
  <si>
    <t>YEOVIL</t>
  </si>
  <si>
    <t>MALTON/STW</t>
  </si>
  <si>
    <t>INGOLDMELLS STW</t>
  </si>
  <si>
    <t>LLANGEFNI</t>
  </si>
  <si>
    <t>HEXHAM</t>
  </si>
  <si>
    <t>KIRKBY IN ASHFIELD (WRW)</t>
  </si>
  <si>
    <t>NEWHAVEN EAST</t>
  </si>
  <si>
    <t>DORKING</t>
  </si>
  <si>
    <t>GLOSSOP WWTW (MELANDRA)</t>
  </si>
  <si>
    <t>GLASTONBURY</t>
  </si>
  <si>
    <t>NEILEY/NO 2 STW</t>
  </si>
  <si>
    <t>IPSWICH CLIFF QUAY RAEBURN STW</t>
  </si>
  <si>
    <t>LLANASA</t>
  </si>
  <si>
    <t>WESTWOOD (CONSETT)</t>
  </si>
  <si>
    <t>LEEK (WRW)</t>
  </si>
  <si>
    <t>NORTHFLEET</t>
  </si>
  <si>
    <t>ESHER</t>
  </si>
  <si>
    <t>HAZEL GROVE WWTW</t>
  </si>
  <si>
    <t>BATH</t>
  </si>
  <si>
    <t>NORMANTON/STW</t>
  </si>
  <si>
    <t>KINGS LYNN STW</t>
  </si>
  <si>
    <t>TENBY</t>
  </si>
  <si>
    <t>LICHFIELD (WRW)</t>
  </si>
  <si>
    <t>PEEL COMMON</t>
  </si>
  <si>
    <t>FARNHAM</t>
  </si>
  <si>
    <t>HILLHOUSE WWTW</t>
  </si>
  <si>
    <t>WESTBURY</t>
  </si>
  <si>
    <t>OLD WHITTINGTON/STW</t>
  </si>
  <si>
    <t>LEIGHTON LINSLADE STW</t>
  </si>
  <si>
    <t>CARDIFF</t>
  </si>
  <si>
    <t>LONG EATON-TOTON (WRW)</t>
  </si>
  <si>
    <t>PENNINGTON</t>
  </si>
  <si>
    <t>FLEET</t>
  </si>
  <si>
    <t>HORWICH WWTW</t>
  </si>
  <si>
    <t>WARMINSTER</t>
  </si>
  <si>
    <t>RAWCLIFFE YORK/STW</t>
  </si>
  <si>
    <t>LETCHWORTH STW</t>
  </si>
  <si>
    <t>BANGOR TREBORTH NORTH WEST</t>
  </si>
  <si>
    <t>WARWICK-LONGBRIDGE (WRW)</t>
  </si>
  <si>
    <t>PORTSLADE SHOREHAM</t>
  </si>
  <si>
    <t>GODALMING</t>
  </si>
  <si>
    <t>HUYTON WWTW</t>
  </si>
  <si>
    <t>SANDALL/STW</t>
  </si>
  <si>
    <t>LOWESTOFT STW</t>
  </si>
  <si>
    <t>LOUGHBOROUGH (WRW)</t>
  </si>
  <si>
    <t>PORTSWOOD</t>
  </si>
  <si>
    <t>GUILDFORD</t>
  </si>
  <si>
    <t>HYDE WWTW</t>
  </si>
  <si>
    <t>SCARBOROUGH/STW</t>
  </si>
  <si>
    <t>MARCH STW</t>
  </si>
  <si>
    <t>LOWER GORNAL (WRW)</t>
  </si>
  <si>
    <t>QUEENBOROUGH</t>
  </si>
  <si>
    <t>HARPENDEN</t>
  </si>
  <si>
    <t>HYNDBURN WWTW</t>
  </si>
  <si>
    <t>SOUTH ELMSALL/STW</t>
  </si>
  <si>
    <t>MARSTON STW (LINCS)</t>
  </si>
  <si>
    <t>MALVERN (WRW)</t>
  </si>
  <si>
    <t>SANDOWN</t>
  </si>
  <si>
    <t>HOGSMILL (A)</t>
  </si>
  <si>
    <t>KENDAL WWTW</t>
  </si>
  <si>
    <t>STAVELEY/STW</t>
  </si>
  <si>
    <t>PETERBOROUGH (FLAG FEN) STW</t>
  </si>
  <si>
    <t>MANSFIELD-BATH LANE (WRW)</t>
  </si>
  <si>
    <t>SCAYNES HILL</t>
  </si>
  <si>
    <t>HOGSMILL (A &amp; B)</t>
  </si>
  <si>
    <t>LANCASTER (STODDAY) WWTW</t>
  </si>
  <si>
    <t>SUTTON/STW</t>
  </si>
  <si>
    <t>RAYLEIGH-EAST STW</t>
  </si>
  <si>
    <t>MELTON (WRW)</t>
  </si>
  <si>
    <t>SITTINGBOURNE</t>
  </si>
  <si>
    <t>HORLEY</t>
  </si>
  <si>
    <t>LEIGH WWTW</t>
  </si>
  <si>
    <t>THORNE/STW</t>
  </si>
  <si>
    <t>ROCHFORD STW</t>
  </si>
  <si>
    <t>MINWORTH (WRW)</t>
  </si>
  <si>
    <t>SLOWHILL COPSE</t>
  </si>
  <si>
    <t>LEATHERHEAD</t>
  </si>
  <si>
    <t>LEYLAND WWTW</t>
  </si>
  <si>
    <t>WOMBWELL/STW</t>
  </si>
  <si>
    <t>SHENFIELD AND HUTTON STW</t>
  </si>
  <si>
    <t>MONKMOOR (WRW)</t>
  </si>
  <si>
    <t>SWALECLIFFE</t>
  </si>
  <si>
    <t>LITTLE MARLOW</t>
  </si>
  <si>
    <t>LIVERPOOL SOUTH (WOOLTON) WWTW</t>
  </si>
  <si>
    <t>WOODHOUSE MILL/STW</t>
  </si>
  <si>
    <t>SOUTHEND STW</t>
  </si>
  <si>
    <t>NETHERIDGE (WRW)</t>
  </si>
  <si>
    <t>TONBRIDGE</t>
  </si>
  <si>
    <t>LONG REACH</t>
  </si>
  <si>
    <t>MACCLESFIELD WWTW</t>
  </si>
  <si>
    <t>YORK NABURN/STW</t>
  </si>
  <si>
    <t>SPALDING STW</t>
  </si>
  <si>
    <t>NEWTHORPE - STW</t>
  </si>
  <si>
    <t>TUNBRIDGE WELLS NORTH</t>
  </si>
  <si>
    <t>LUTON (EAST HYDE)</t>
  </si>
  <si>
    <t>NORTH WIRRAL (MEOLS) WWTW</t>
  </si>
  <si>
    <t>BRADFORD ESHOLT/NO 1 STW</t>
  </si>
  <si>
    <t>ST NEOTS STW</t>
  </si>
  <si>
    <t>NUNEATON- HARSHILL - STW</t>
  </si>
  <si>
    <t>TUNBRIDGE WELLS SOUTH</t>
  </si>
  <si>
    <t>MAIDENHEAD</t>
  </si>
  <si>
    <t>MEOLS (NORTH WIRRAL)</t>
  </si>
  <si>
    <t>KNOSTROP/H LEVEL STW</t>
  </si>
  <si>
    <t>TETNEY-NEWTON MARSH STW</t>
  </si>
  <si>
    <t>PACKINGTON (WRW)</t>
  </si>
  <si>
    <t>WEATHERLEES HILL</t>
  </si>
  <si>
    <t>MAPLE LODGE</t>
  </si>
  <si>
    <t>MORECAMBE WWTW</t>
  </si>
  <si>
    <t>KNOSTROP/L LEVEL STW</t>
  </si>
  <si>
    <t>THETFORD STW</t>
  </si>
  <si>
    <t>RAY HALL (WRW)</t>
  </si>
  <si>
    <t>WHITEWALL CREEK</t>
  </si>
  <si>
    <t>MOGDEN</t>
  </si>
  <si>
    <t>NORTHWICH WWTW</t>
  </si>
  <si>
    <t>NEILEY/NO 1 STW</t>
  </si>
  <si>
    <t>TILBURY STW</t>
  </si>
  <si>
    <t>REDDITCH (SPERNAL) WRW</t>
  </si>
  <si>
    <t>WEATHERLEES HILL B</t>
  </si>
  <si>
    <t>NEWBURY</t>
  </si>
  <si>
    <t>OLDHAM WWTW</t>
  </si>
  <si>
    <t>NORTH BIERLEY/STW</t>
  </si>
  <si>
    <t>WEST WALTON STW</t>
  </si>
  <si>
    <t>ROUNDHILL (WRW)</t>
  </si>
  <si>
    <t>WOOLSTON</t>
  </si>
  <si>
    <t>OXFORD</t>
  </si>
  <si>
    <t>PRESTON (CLIFTON MARSH) WWTW</t>
  </si>
  <si>
    <t>NORTHALLERTON/STW</t>
  </si>
  <si>
    <t>WHILTON STW</t>
  </si>
  <si>
    <t>RUGBY NEWBOLD (WRW)</t>
  </si>
  <si>
    <t>WORTHING EAST</t>
  </si>
  <si>
    <t>READING</t>
  </si>
  <si>
    <t>ROCHDALE WWTW</t>
  </si>
  <si>
    <t>SALTERHEBBLE</t>
  </si>
  <si>
    <t>WHITLINGHAM TROWSE STW</t>
  </si>
  <si>
    <t>RUSHMOOR (WRW)</t>
  </si>
  <si>
    <t>PEACEHAVEN</t>
  </si>
  <si>
    <t>REIGATE</t>
  </si>
  <si>
    <t>ROSSENDALE WWTW</t>
  </si>
  <si>
    <t>SELBY/NO.2 STW</t>
  </si>
  <si>
    <t>WICKFORD STW</t>
  </si>
  <si>
    <t>SNARROWS (WRW)</t>
  </si>
  <si>
    <t>PORTOBELLO BRIGHTON</t>
  </si>
  <si>
    <t>RIVERSIDE</t>
  </si>
  <si>
    <t>ROYTON WWTW</t>
  </si>
  <si>
    <t>SPENBOROUGH/STW</t>
  </si>
  <si>
    <t>WITHAM STW</t>
  </si>
  <si>
    <t>STANLEY DOWNTON (WRW)</t>
  </si>
  <si>
    <t>RYE MEADS</t>
  </si>
  <si>
    <t>RUNCORN WWTW</t>
  </si>
  <si>
    <t>TADCASTER/TRADE STW</t>
  </si>
  <si>
    <t>BRACKLEY STW (NEW)</t>
  </si>
  <si>
    <t>STANTON-DERBYSHIRE (WRW)</t>
  </si>
  <si>
    <t>SANDHURST</t>
  </si>
  <si>
    <t>SALE WWTW</t>
  </si>
  <si>
    <t>WHITBY/STW</t>
  </si>
  <si>
    <t>CROMER STW</t>
  </si>
  <si>
    <t>STAPLEFORD-BESSEL LANE (WRW)</t>
  </si>
  <si>
    <t>SLOUGH</t>
  </si>
  <si>
    <t>SALFORD WWTW</t>
  </si>
  <si>
    <t>YORK/NABURN</t>
  </si>
  <si>
    <t>BRAINTREE</t>
  </si>
  <si>
    <t>STOKE BARDOLPH (WRW)</t>
  </si>
  <si>
    <t>SWINDON</t>
  </si>
  <si>
    <t>SANDON (NORTH LIVERPOOL DOCKS) WWTW</t>
  </si>
  <si>
    <t>DEIGHTON/STW</t>
  </si>
  <si>
    <t>HARWICH AND DOVERCOURT</t>
  </si>
  <si>
    <t>STRATFORD-MILCOTE (WRW)</t>
  </si>
  <si>
    <t>WANTAGE</t>
  </si>
  <si>
    <t>SKELMERSDALE WWTW</t>
  </si>
  <si>
    <t>JAYWICK NEW</t>
  </si>
  <si>
    <t>STRONGFORD (WRW)</t>
  </si>
  <si>
    <t>WARGRAVE</t>
  </si>
  <si>
    <t>SOUTHPORT (BANK END) WWTW</t>
  </si>
  <si>
    <t>MARKET HARBOROUGH</t>
  </si>
  <si>
    <t>SUTTON IN ASHFIELD (WRW)</t>
  </si>
  <si>
    <t>WINDSOR</t>
  </si>
  <si>
    <t>ST HELENS WWTW</t>
  </si>
  <si>
    <t>RAYLEIGH-WEST</t>
  </si>
  <si>
    <t>TAMWORTH (WRW)</t>
  </si>
  <si>
    <t>WITNEY</t>
  </si>
  <si>
    <t>STOCKPORT WWTW</t>
  </si>
  <si>
    <t>NEWMARKET STW</t>
  </si>
  <si>
    <t>TRESCOTT (WRW)</t>
  </si>
  <si>
    <t>WOKING</t>
  </si>
  <si>
    <t>TYLDESLEY WWTW</t>
  </si>
  <si>
    <t>ANWICK STW</t>
  </si>
  <si>
    <t>WANLIP (WRW)</t>
  </si>
  <si>
    <t>BERKHAMSTED</t>
  </si>
  <si>
    <t>URMSTON WWTW</t>
  </si>
  <si>
    <t>BOURNE STW</t>
  </si>
  <si>
    <t>WHETSTONE (WRW)</t>
  </si>
  <si>
    <t>HOGSMILL</t>
  </si>
  <si>
    <t>WALTON-LE-DALE WWTW</t>
  </si>
  <si>
    <t>WIGSTON (WRW)</t>
  </si>
  <si>
    <t>WISLEY</t>
  </si>
  <si>
    <t>WARRINGTON NORTH WWTW</t>
  </si>
  <si>
    <t>WILLENHALL (WRW)</t>
  </si>
  <si>
    <t>WARRINGTON SOUTH WWTW</t>
  </si>
  <si>
    <t>WORCESTER - BROMWICH ROAD (WRW)</t>
  </si>
  <si>
    <t>WHALEY BRIDGE WWTW</t>
  </si>
  <si>
    <t>WORKSOP-MANTON (WRW)</t>
  </si>
  <si>
    <t>WESTHOUGHTON WWTW</t>
  </si>
  <si>
    <t>YADDLETHORPE SCUNTHORPE (WRW)</t>
  </si>
  <si>
    <t>WHITEHAVEN WWTW</t>
  </si>
  <si>
    <t>BELPER (WRW)</t>
  </si>
  <si>
    <t>WIDNES WWTW</t>
  </si>
  <si>
    <t>RAINWORTH (WRW)</t>
  </si>
  <si>
    <t>WIGAN (HOSCAR) WWTW</t>
  </si>
  <si>
    <t>DINNINGTON STW</t>
  </si>
  <si>
    <t>WINSFORD WWTW</t>
  </si>
  <si>
    <t>EARL SHILTON STW</t>
  </si>
  <si>
    <t>WORKINGTON WWTW</t>
  </si>
  <si>
    <t>GAINSBOROUGH LEA ROAD</t>
  </si>
  <si>
    <t>KIDSGROVE WWTW</t>
  </si>
  <si>
    <t>RETFORD STW</t>
  </si>
  <si>
    <t>TEWKESBURY STW</t>
  </si>
  <si>
    <t>EVESHAM STW</t>
  </si>
  <si>
    <t>MILE OAK STW</t>
  </si>
  <si>
    <t>UTTOXETER (WRW)</t>
  </si>
  <si>
    <t>FinanceAndGovernance@ofwat.gov.uk</t>
  </si>
  <si>
    <r>
      <rPr>
        <sz val="11"/>
        <rFont val="Arial"/>
        <family val="2"/>
      </rPr>
      <t xml:space="preserve">Further detail is included in </t>
    </r>
    <r>
      <rPr>
        <sz val="11"/>
        <color theme="10"/>
        <rFont val="Arial"/>
        <family val="2"/>
      </rPr>
      <t>IN 20/03: Expectations for monopoly company annual performance reporting 2019-20</t>
    </r>
  </si>
  <si>
    <t>During year 2019/20 Bristol Water had three source sites (Clevedon TW Well, Shipton Moyne TW Well &amp; Sherborne TW Borehole) whereby no water was abstracted for operational reasons, these sites are still officially operational sites. Based on the definition provided by OFWAT in RAG 4.08 (A source is defined as an independent raw water supply that directly supplies a treatment works, such as impounding reservoirs, river abstractions and groundwater works. Standby or mothballed sources from which no water has been obtained in the year should not be included.) BW has interpreted these exclusion parameters as: 
•	Standby sites from which no water has been obtained AND 
•	Mothballed sites from which no water has been obtained. 
Therefore, due to these 3 sources still holding full continuous abstraction licences and being neither standby, or mothballed officially, they have been included in the count with a 0.0Ml abstraction value reported in lines 4P.1-8. Bristol Water’s interpretation of the OFWAT definition would deem mothballed sites to be sources for which an abstraction licence was no longer held; and standby sites to be specifically designed as an ‘on-call’ source, of which Bristol Water has none</t>
  </si>
  <si>
    <t>The total figure in line 4P.27 also includes 17.4Km of a single pipe between two of our largest treatment works, Purton and Littleton. Water treated at Littleton is transferred from the Purton site and can, during times of warm weather, be partially treated at Purton first to prevent zebra mussels growing on parts of the pipe, which can pose a water quality hazard.
Bristol Water supplies one non-household customer with non-potable water &amp; six troughs. The length of mains associated with supplying the non-household customer are very short (less than 10m in each case) therefore, in terms of the reporting for Line 4P.27 which is expressed in kilometres and accurate to 1 decimal place, we have not included any length of non-potable or partially treated mains for supplying customers in the total figure.</t>
  </si>
  <si>
    <t>Total number of treatment works, broken down by category (Lines 4P.44-57), has remained unchanged since 2011. During year 2019/20 Bristol Water had two treatment works (Clevedon TW &amp; Sherborne TW) whereby, for operational reasons, no water was treated and transferred into final water distribution. These sites are still officially operational sites and as such are included in the count with a 0.0Ml proportion (%) of total DI for banding (Lines 4P.103-110).</t>
  </si>
  <si>
    <t>Canal and River Trust Arbitration</t>
  </si>
  <si>
    <t>CMA referral</t>
  </si>
  <si>
    <t>Baa2</t>
  </si>
  <si>
    <t>4Q.29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</si>
</sst>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3" formatCode="_-* #,##0.00_-;\-* #,##0.00_-;_-* &quot;-&quot;??_-;_-@_-"/>
    <numFmt numFmtId="164" formatCode="&quot;£&quot;#,##0.00"/>
    <numFmt numFmtId="165" formatCode="0.000"/>
    <numFmt numFmtId="166" formatCode="0.000000"/>
    <numFmt numFmtId="167" formatCode="#,##0.000"/>
    <numFmt numFmtId="168" formatCode="0.0000"/>
    <numFmt numFmtId="169" formatCode="#,##0.0"/>
    <numFmt numFmtId="170" formatCode="0.0"/>
    <numFmt numFmtId="171" formatCode="0.000%"/>
    <numFmt numFmtId="172" formatCode="0.0%"/>
  </numFmts>
  <fonts count="135">
    <font>
      <sz val="11"/>
      <color theme="1"/>
      <name val="Arial"/>
      <family val="2"/>
    </font>
    <font>
      <sz val="11"/>
      <color theme="1"/>
      <name val="Arial"/>
      <family val="2"/>
    </font>
    <font>
      <sz val="11"/>
      <color rgb="FFFF0000"/>
      <name val="Arial"/>
      <family val="2"/>
    </font>
    <font>
      <b/>
      <sz val="11"/>
      <color theme="1"/>
      <name val="Arial"/>
      <family val="2"/>
    </font>
    <font>
      <sz val="15"/>
      <color theme="0"/>
      <name val="Franklin Gothic Demi"/>
      <family val="2"/>
    </font>
    <font>
      <sz val="11"/>
      <name val="Arial"/>
      <family val="2"/>
    </font>
    <font>
      <sz val="16"/>
      <name val="Calibri Light"/>
      <family val="2"/>
      <scheme val="major"/>
    </font>
    <font>
      <sz val="10"/>
      <color rgb="FF0078C9"/>
      <name val="Franklin Gothic Demi"/>
      <family val="2"/>
    </font>
    <font>
      <strike/>
      <sz val="11"/>
      <name val="Arial"/>
      <family val="2"/>
    </font>
    <font>
      <sz val="10"/>
      <color theme="1"/>
      <name val="Arial"/>
      <family val="2"/>
    </font>
    <font>
      <u/>
      <sz val="11"/>
      <color theme="10"/>
      <name val="Arial"/>
      <family val="2"/>
    </font>
    <font>
      <u/>
      <sz val="10"/>
      <color theme="10"/>
      <name val="Arial"/>
      <family val="2"/>
    </font>
    <font>
      <sz val="10"/>
      <name val="Franklin Gothic Demi"/>
      <family val="2"/>
    </font>
    <font>
      <sz val="10"/>
      <name val="Calibri Light"/>
      <family val="2"/>
      <scheme val="major"/>
    </font>
    <font>
      <sz val="8"/>
      <name val="Arial"/>
      <family val="2"/>
    </font>
    <font>
      <sz val="11"/>
      <name val="Calibri Light"/>
      <family val="2"/>
      <scheme val="major"/>
    </font>
    <font>
      <sz val="10"/>
      <name val="Arial"/>
      <family val="2"/>
    </font>
    <font>
      <sz val="11"/>
      <color theme="1"/>
      <name val="Franklin Gothic Demi"/>
      <family val="2"/>
    </font>
    <font>
      <sz val="12"/>
      <color rgb="FF0078C9"/>
      <name val="Franklin Gothic Demi"/>
      <family val="2"/>
    </font>
    <font>
      <sz val="8"/>
      <color theme="0"/>
      <name val="Arial"/>
      <family val="2"/>
    </font>
    <font>
      <sz val="9"/>
      <color theme="1"/>
      <name val="Arial"/>
      <family val="2"/>
    </font>
    <font>
      <sz val="11"/>
      <color theme="0"/>
      <name val="Franklin Gothic Demi"/>
      <family val="2"/>
    </font>
    <font>
      <sz val="8"/>
      <color theme="1"/>
      <name val="Arial"/>
      <family val="2"/>
    </font>
    <font>
      <sz val="9"/>
      <name val="Arial"/>
      <family val="2"/>
    </font>
    <font>
      <sz val="11"/>
      <color rgb="FF0078C9"/>
      <name val="Franklin Gothic Demi"/>
      <family val="2"/>
    </font>
    <font>
      <sz val="10"/>
      <color rgb="FF0078C9"/>
      <name val="Arial"/>
      <family val="2"/>
    </font>
    <font>
      <sz val="15"/>
      <color rgb="FF0078C9"/>
      <name val="Franklin Gothic Demi"/>
      <family val="2"/>
    </font>
    <font>
      <sz val="9.5"/>
      <color theme="0"/>
      <name val="Arial"/>
      <family val="2"/>
    </font>
    <font>
      <sz val="9.5"/>
      <color theme="1"/>
      <name val="Arial"/>
      <family val="2"/>
    </font>
    <font>
      <sz val="14"/>
      <name val="Calibri Light"/>
      <family val="2"/>
      <scheme val="major"/>
    </font>
    <font>
      <b/>
      <sz val="10"/>
      <name val="Arial"/>
      <family val="2"/>
    </font>
    <font>
      <b/>
      <sz val="10"/>
      <color rgb="FFFF0000"/>
      <name val="Arial"/>
      <family val="2"/>
    </font>
    <font>
      <sz val="10"/>
      <color rgb="FFFF0000"/>
      <name val="Arial"/>
      <family val="2"/>
    </font>
    <font>
      <b/>
      <sz val="9"/>
      <color rgb="FF0078C9"/>
      <name val="Arial"/>
      <family val="2"/>
    </font>
    <font>
      <b/>
      <sz val="9"/>
      <name val="Arial"/>
      <family val="2"/>
    </font>
    <font>
      <sz val="9"/>
      <color rgb="FF0078C9"/>
      <name val="Arial"/>
      <family val="2"/>
    </font>
    <font>
      <sz val="7"/>
      <name val="Arial"/>
      <family val="2"/>
    </font>
    <font>
      <sz val="7"/>
      <color theme="1"/>
      <name val="arial"/>
      <family val="2"/>
    </font>
    <font>
      <i/>
      <sz val="11"/>
      <color theme="1"/>
      <name val="Arial"/>
      <family val="2"/>
    </font>
    <font>
      <b/>
      <sz val="10"/>
      <color rgb="FF002060"/>
      <name val="arial"/>
      <family val="2"/>
    </font>
    <font>
      <sz val="11"/>
      <color rgb="FFFFFFFF"/>
      <name val="Arial Rounded MT Bold"/>
      <family val="2"/>
    </font>
    <font>
      <sz val="11"/>
      <color rgb="FF002664"/>
      <name val="Arial"/>
      <family val="2"/>
    </font>
    <font>
      <sz val="11"/>
      <color rgb="FF1F497D"/>
      <name val="Calibri"/>
      <family val="2"/>
    </font>
    <font>
      <sz val="11"/>
      <color rgb="FF000000"/>
      <name val="Calibri"/>
      <family val="2"/>
    </font>
    <font>
      <sz val="7.5"/>
      <color theme="1"/>
      <name val="arial"/>
      <family val="2"/>
    </font>
    <font>
      <sz val="10"/>
      <color rgb="FF0070C0"/>
      <name val="arial"/>
      <family val="2"/>
    </font>
    <font>
      <sz val="11"/>
      <color theme="1"/>
      <name val="Verdana"/>
      <family val="2"/>
    </font>
    <font>
      <sz val="12"/>
      <name val="Arial MT"/>
    </font>
    <font>
      <strike/>
      <sz val="9"/>
      <color rgb="FFFF0000"/>
      <name val="Arial"/>
      <family val="2"/>
    </font>
    <font>
      <sz val="10"/>
      <color rgb="FF000000"/>
      <name val="Gill Sans MT"/>
      <family val="2"/>
    </font>
    <font>
      <sz val="9"/>
      <color rgb="FF000000"/>
      <name val="Arial"/>
      <family val="2"/>
    </font>
    <font>
      <sz val="10"/>
      <color rgb="FF000000"/>
      <name val="Arial"/>
      <family val="2"/>
    </font>
    <font>
      <sz val="8"/>
      <color rgb="FF000000"/>
      <name val="Arial"/>
      <family val="2"/>
    </font>
    <font>
      <u/>
      <sz val="10"/>
      <color rgb="FF000000"/>
      <name val="Arial"/>
      <family val="2"/>
    </font>
    <font>
      <sz val="11"/>
      <color rgb="FF000000"/>
      <name val="Arial"/>
      <family val="2"/>
    </font>
    <font>
      <b/>
      <sz val="10"/>
      <color rgb="FF0078C9"/>
      <name val="Franklin Gothic Demi"/>
      <family val="2"/>
    </font>
    <font>
      <sz val="10"/>
      <color rgb="FFFF0000"/>
      <name val="Gill Sans MT"/>
      <family val="2"/>
    </font>
    <font>
      <sz val="11"/>
      <color rgb="FF000000"/>
      <name val="Verdana"/>
      <family val="2"/>
    </font>
    <font>
      <sz val="15"/>
      <color rgb="FFFFFFFF"/>
      <name val="Franklin Gothic Demi"/>
      <family val="2"/>
    </font>
    <font>
      <sz val="10"/>
      <name val="Gill Sans MT"/>
      <family val="2"/>
    </font>
    <font>
      <sz val="10"/>
      <color rgb="FFFFFFFF"/>
      <name val="Gill Sans MT"/>
      <family val="2"/>
    </font>
    <font>
      <b/>
      <sz val="10"/>
      <color rgb="FF000000"/>
      <name val="Gill Sans MT"/>
      <family val="2"/>
    </font>
    <font>
      <sz val="10"/>
      <color rgb="FF4472C4"/>
      <name val="Gill Sans MT"/>
      <family val="2"/>
    </font>
    <font>
      <b/>
      <sz val="10"/>
      <name val="Gill Sans MT"/>
      <family val="2"/>
    </font>
    <font>
      <sz val="10"/>
      <color theme="1"/>
      <name val="Gill Sans MT"/>
      <family val="2"/>
    </font>
    <font>
      <sz val="10"/>
      <color rgb="FF000000"/>
      <name val="Franklin Gothic Demi"/>
      <family val="2"/>
    </font>
    <font>
      <sz val="10"/>
      <color theme="1"/>
      <name val="Franklin Gothic Demi"/>
      <family val="2"/>
    </font>
    <font>
      <sz val="15"/>
      <color theme="1"/>
      <name val="Franklin Gothic Demi"/>
      <family val="2"/>
    </font>
    <font>
      <b/>
      <sz val="10"/>
      <color theme="1"/>
      <name val="Gill Sans MT"/>
      <family val="2"/>
    </font>
    <font>
      <b/>
      <sz val="10"/>
      <color rgb="FF0078C9"/>
      <name val="Gill Sans MT"/>
      <family val="2"/>
    </font>
    <font>
      <sz val="10"/>
      <color rgb="FF0078C9"/>
      <name val="Gill Sans MT"/>
      <family val="2"/>
    </font>
    <font>
      <sz val="10"/>
      <color theme="0"/>
      <name val="Gill Sans MT"/>
      <family val="2"/>
    </font>
    <font>
      <vertAlign val="subscript"/>
      <sz val="10"/>
      <color indexed="8"/>
      <name val="Gill Sans MT"/>
      <family val="2"/>
    </font>
    <font>
      <sz val="10"/>
      <color indexed="8"/>
      <name val="Gill Sans MT"/>
      <family val="2"/>
    </font>
    <font>
      <vertAlign val="superscript"/>
      <sz val="8"/>
      <name val="Gill Sans MT"/>
      <family val="2"/>
    </font>
    <font>
      <vertAlign val="subscript"/>
      <sz val="8"/>
      <name val="Gill Sans MT"/>
      <family val="2"/>
    </font>
    <font>
      <sz val="8"/>
      <name val="Gill Sans MT"/>
      <family val="2"/>
    </font>
    <font>
      <sz val="7"/>
      <color indexed="8"/>
      <name val="Times New Roman"/>
      <family val="1"/>
    </font>
    <font>
      <sz val="10"/>
      <color indexed="8"/>
      <name val="Arial"/>
      <family val="2"/>
    </font>
    <font>
      <sz val="8"/>
      <color indexed="8"/>
      <name val="Arial"/>
      <family val="2"/>
    </font>
    <font>
      <sz val="10"/>
      <color indexed="8"/>
      <name val="Symbol"/>
      <family val="1"/>
      <charset val="2"/>
    </font>
    <font>
      <sz val="9"/>
      <color indexed="8"/>
      <name val="Symbol"/>
      <family val="1"/>
      <charset val="2"/>
    </font>
    <font>
      <sz val="9"/>
      <color indexed="8"/>
      <name val="Arial"/>
      <family val="2"/>
    </font>
    <font>
      <sz val="6.3"/>
      <color indexed="8"/>
      <name val="Symbol"/>
      <family val="1"/>
      <charset val="2"/>
    </font>
    <font>
      <sz val="11"/>
      <color theme="1"/>
      <name val="Calibri"/>
      <family val="2"/>
    </font>
    <font>
      <b/>
      <sz val="9"/>
      <color theme="1"/>
      <name val="Arial"/>
      <family val="2"/>
    </font>
    <font>
      <sz val="9"/>
      <color theme="1"/>
      <name val="Gill Sans MT"/>
      <family val="2"/>
    </font>
    <font>
      <sz val="9"/>
      <color theme="1"/>
      <name val="Verdana"/>
      <family val="2"/>
    </font>
    <font>
      <b/>
      <sz val="10"/>
      <color indexed="8"/>
      <name val="Gill Sans MT"/>
      <family val="2"/>
    </font>
    <font>
      <b/>
      <vertAlign val="subscript"/>
      <sz val="10"/>
      <color indexed="30"/>
      <name val="Gill Sans MT"/>
      <family val="2"/>
    </font>
    <font>
      <b/>
      <sz val="10"/>
      <color rgb="FFFF0000"/>
      <name val="Gill Sans MT"/>
      <family val="2"/>
    </font>
    <font>
      <sz val="10"/>
      <color theme="1"/>
      <name val="Verdana"/>
      <family val="2"/>
    </font>
    <font>
      <sz val="11"/>
      <name val="Franklin Gothic Demi"/>
      <family val="2"/>
    </font>
    <font>
      <vertAlign val="superscript"/>
      <sz val="8"/>
      <name val="Arial"/>
      <family val="2"/>
    </font>
    <font>
      <sz val="9"/>
      <color indexed="81"/>
      <name val="Tahoma"/>
      <family val="2"/>
    </font>
    <font>
      <b/>
      <sz val="9"/>
      <color indexed="81"/>
      <name val="Tahoma"/>
      <family val="2"/>
    </font>
    <font>
      <sz val="11"/>
      <name val="Verdana"/>
      <family val="2"/>
    </font>
    <font>
      <sz val="11"/>
      <color theme="1"/>
      <name val="Gill Sans MT"/>
      <family val="2"/>
    </font>
    <font>
      <sz val="11"/>
      <name val="Calibri"/>
      <family val="2"/>
    </font>
    <font>
      <sz val="9"/>
      <color rgb="FFFF0000"/>
      <name val="Arial"/>
      <family val="2"/>
    </font>
    <font>
      <sz val="8"/>
      <color rgb="FFFF0000"/>
      <name val="Arial"/>
      <family val="2"/>
    </font>
    <font>
      <sz val="9"/>
      <color rgb="FF0078C9"/>
      <name val="Franklin Gothic Demi"/>
      <family val="2"/>
    </font>
    <font>
      <sz val="10"/>
      <color theme="0"/>
      <name val="Arial"/>
      <family val="2"/>
    </font>
    <font>
      <b/>
      <sz val="11"/>
      <name val="Arial"/>
      <family val="2"/>
    </font>
    <font>
      <vertAlign val="subscript"/>
      <sz val="10"/>
      <name val="Arial"/>
      <family val="2"/>
    </font>
    <font>
      <sz val="10"/>
      <name val="Arial"/>
      <family val="2"/>
    </font>
    <font>
      <sz val="11"/>
      <color indexed="8"/>
      <name val="Arial"/>
      <family val="2"/>
    </font>
    <font>
      <sz val="11"/>
      <color indexed="8"/>
      <name val="Verdana"/>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Calibri"/>
      <family val="2"/>
    </font>
    <font>
      <sz val="11"/>
      <color theme="1"/>
      <name val="Calibri"/>
      <family val="2"/>
      <scheme val="minor"/>
    </font>
    <font>
      <sz val="11"/>
      <color indexed="8"/>
      <name val="Calibri"/>
      <family val="2"/>
      <scheme val="minor"/>
    </font>
    <font>
      <sz val="10"/>
      <color rgb="FFFF0000"/>
      <name val="Franklin Gothic Demi"/>
      <family val="2"/>
    </font>
    <font>
      <sz val="15"/>
      <color rgb="FFFF0000"/>
      <name val="Franklin Gothic Demi"/>
      <family val="2"/>
    </font>
    <font>
      <b/>
      <sz val="11"/>
      <color rgb="FFFF0000"/>
      <name val="Arial"/>
      <family val="2"/>
    </font>
    <font>
      <vertAlign val="superscript"/>
      <sz val="10"/>
      <color indexed="8"/>
      <name val="Arial"/>
      <family val="2"/>
    </font>
    <font>
      <vertAlign val="subscript"/>
      <sz val="10"/>
      <color indexed="8"/>
      <name val="Arial"/>
      <family val="2"/>
    </font>
    <font>
      <b/>
      <sz val="9.5"/>
      <color rgb="FFFF0000"/>
      <name val="Arial"/>
      <family val="2"/>
    </font>
    <font>
      <b/>
      <sz val="10"/>
      <color theme="1"/>
      <name val="Arial"/>
      <family val="2"/>
    </font>
    <font>
      <sz val="11"/>
      <color theme="0"/>
      <name val="Arial"/>
      <family val="2"/>
    </font>
    <font>
      <u/>
      <sz val="10"/>
      <name val="Arial"/>
      <family val="2"/>
    </font>
    <font>
      <sz val="15"/>
      <name val="Franklin Gothic Demi"/>
      <family val="2"/>
    </font>
    <font>
      <sz val="11"/>
      <color theme="0"/>
      <name val="Verdana"/>
      <family val="2"/>
    </font>
    <font>
      <sz val="11"/>
      <color rgb="FF0078C9"/>
      <name val="Arial"/>
      <family val="2"/>
    </font>
    <font>
      <sz val="10"/>
      <color theme="0" tint="-0.34998626667073579"/>
      <name val="Franklin Gothic Demi"/>
      <family val="2"/>
    </font>
    <font>
      <sz val="10"/>
      <color theme="0" tint="-0.34998626667073579"/>
      <name val="Arial"/>
      <family val="2"/>
    </font>
    <font>
      <b/>
      <sz val="10"/>
      <color theme="0" tint="-0.34998626667073579"/>
      <name val="Arial"/>
      <family val="2"/>
    </font>
    <font>
      <sz val="9"/>
      <color theme="0" tint="-0.34998626667073579"/>
      <name val="Arial"/>
      <family val="2"/>
    </font>
    <font>
      <i/>
      <sz val="9"/>
      <color indexed="81"/>
      <name val="Tahoma"/>
      <family val="2"/>
    </font>
    <font>
      <sz val="11"/>
      <color theme="10"/>
      <name val="Arial"/>
      <family val="2"/>
    </font>
  </fonts>
  <fills count="39">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8CA7F"/>
        <bgColor indexed="64"/>
      </patternFill>
    </fill>
    <fill>
      <patternFill patternType="solid">
        <fgColor rgb="FFFFFF00"/>
        <bgColor indexed="64"/>
      </patternFill>
    </fill>
    <fill>
      <patternFill patternType="solid">
        <fgColor rgb="FFBFDDF1"/>
        <bgColor indexed="64"/>
      </patternFill>
    </fill>
    <fill>
      <patternFill patternType="solid">
        <fgColor rgb="FFFE4819"/>
        <bgColor indexed="64"/>
      </patternFill>
    </fill>
    <fill>
      <patternFill patternType="solid">
        <fgColor indexed="9"/>
        <bgColor indexed="64"/>
      </patternFill>
    </fill>
    <fill>
      <patternFill patternType="solid">
        <fgColor theme="0"/>
        <bgColor indexed="64"/>
      </patternFill>
    </fill>
    <fill>
      <patternFill patternType="solid">
        <fgColor rgb="FFF0F0F0"/>
        <bgColor indexed="64"/>
      </patternFill>
    </fill>
    <fill>
      <patternFill patternType="solid">
        <fgColor rgb="FFF0AB00"/>
        <bgColor indexed="64"/>
      </patternFill>
    </fill>
    <fill>
      <patternFill patternType="solid">
        <fgColor rgb="FFFFDF93"/>
        <bgColor indexed="64"/>
      </patternFill>
    </fill>
    <fill>
      <patternFill patternType="solid">
        <fgColor theme="0" tint="-0.14999847407452621"/>
        <bgColor indexed="64"/>
      </patternFill>
    </fill>
    <fill>
      <patternFill patternType="solid">
        <fgColor rgb="FFE0DCD8"/>
        <bgColor rgb="FF000000"/>
      </patternFill>
    </fill>
    <fill>
      <patternFill patternType="solid">
        <fgColor rgb="FFFCEABF"/>
        <bgColor rgb="FF000000"/>
      </patternFill>
    </fill>
    <fill>
      <patternFill patternType="solid">
        <fgColor rgb="FFBFDDF1"/>
        <bgColor rgb="FF000000"/>
      </patternFill>
    </fill>
    <fill>
      <patternFill patternType="solid">
        <fgColor rgb="FFBDD7EE"/>
        <bgColor rgb="FF000000"/>
      </patternFill>
    </fill>
    <fill>
      <patternFill patternType="solid">
        <fgColor rgb="FFFFFFFF"/>
        <bgColor rgb="FF000000"/>
      </patternFill>
    </fill>
    <fill>
      <patternFill patternType="solid">
        <fgColor rgb="FF003479"/>
        <bgColor rgb="FF000000"/>
      </patternFill>
    </fill>
    <fill>
      <patternFill patternType="solid">
        <fgColor theme="4" tint="0.59999389629810485"/>
        <bgColor indexed="64"/>
      </patternFill>
    </fill>
    <fill>
      <patternFill patternType="solid">
        <fgColor theme="2"/>
        <bgColor indexed="64"/>
      </patternFill>
    </fill>
    <fill>
      <patternFill patternType="solid">
        <fgColor indexed="65"/>
        <bgColor indexed="64"/>
      </patternFill>
    </fill>
    <fill>
      <patternFill patternType="solid">
        <fgColor rgb="FF1F497D"/>
        <bgColor indexed="64"/>
      </patternFill>
    </fill>
    <fill>
      <patternFill patternType="solid">
        <fgColor rgb="FFE0DCD8"/>
        <bgColor rgb="FFFF0000"/>
      </patternFill>
    </fill>
    <fill>
      <patternFill patternType="solid">
        <fgColor indexed="65"/>
        <bgColor rgb="FFFF0000"/>
      </patternFill>
    </fill>
    <fill>
      <patternFill patternType="solid">
        <fgColor rgb="FFFCEABF"/>
        <bgColor rgb="FFFF0000"/>
      </patternFill>
    </fill>
    <fill>
      <patternFill patternType="solid">
        <fgColor rgb="FFBFDDF1"/>
        <bgColor rgb="FFFF0000"/>
      </patternFill>
    </fill>
    <fill>
      <patternFill patternType="solid">
        <fgColor rgb="FFFF0000"/>
        <bgColor indexed="64"/>
      </patternFill>
    </fill>
    <fill>
      <patternFill patternType="solid">
        <fgColor rgb="FFD3D3D3"/>
        <bgColor indexed="64"/>
      </patternFill>
    </fill>
    <fill>
      <patternFill patternType="solid">
        <fgColor rgb="FFF2BFE0"/>
        <bgColor indexed="64"/>
      </patternFill>
    </fill>
    <fill>
      <patternFill patternType="solid">
        <fgColor rgb="FFE6E6E6"/>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EFE5F7"/>
        <bgColor indexed="64"/>
      </patternFill>
    </fill>
    <fill>
      <patternFill patternType="solid">
        <fgColor rgb="FFD9D9D9"/>
        <bgColor indexed="64"/>
      </patternFill>
    </fill>
    <fill>
      <patternFill patternType="solid">
        <fgColor theme="7" tint="0.59999389629810485"/>
        <bgColor indexed="64"/>
      </patternFill>
    </fill>
  </fills>
  <borders count="331">
    <border>
      <left/>
      <right/>
      <top/>
      <bottom/>
      <diagonal/>
    </border>
    <border>
      <left style="medium">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right style="medium">
        <color rgb="FF857362"/>
      </right>
      <top style="medium">
        <color rgb="FF857362"/>
      </top>
      <bottom/>
      <diagonal/>
    </border>
    <border>
      <left style="medium">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right style="medium">
        <color rgb="FF857362"/>
      </right>
      <top/>
      <bottom style="medium">
        <color rgb="FF857362"/>
      </bottom>
      <diagonal/>
    </border>
    <border>
      <left style="medium">
        <color rgb="FF857362"/>
      </left>
      <right style="medium">
        <color rgb="FF857362"/>
      </right>
      <top/>
      <bottom style="medium">
        <color rgb="FF857362"/>
      </bottom>
      <diagonal/>
    </border>
    <border>
      <left/>
      <right style="medium">
        <color rgb="FF857362"/>
      </right>
      <top style="medium">
        <color rgb="FF857362"/>
      </top>
      <bottom style="thin">
        <color rgb="FF857362"/>
      </bottom>
      <diagonal/>
    </border>
    <border>
      <left style="thin">
        <color theme="0"/>
      </left>
      <right style="thin">
        <color theme="0"/>
      </right>
      <top style="thin">
        <color theme="0"/>
      </top>
      <bottom style="thin">
        <color theme="0"/>
      </bottom>
      <diagonal/>
    </border>
    <border>
      <left/>
      <right style="medium">
        <color rgb="FF857362"/>
      </right>
      <top style="thin">
        <color rgb="FF857362"/>
      </top>
      <bottom style="thin">
        <color rgb="FF857362"/>
      </bottom>
      <diagonal/>
    </border>
    <border>
      <left/>
      <right style="medium">
        <color rgb="FF857362"/>
      </right>
      <top style="thin">
        <color rgb="FF857362"/>
      </top>
      <bottom style="medium">
        <color rgb="FF857362"/>
      </bottom>
      <diagonal/>
    </border>
    <border>
      <left/>
      <right/>
      <top style="medium">
        <color rgb="FF857362"/>
      </top>
      <bottom style="thin">
        <color rgb="FF857362"/>
      </bottom>
      <diagonal/>
    </border>
    <border>
      <left/>
      <right/>
      <top style="thin">
        <color rgb="FF857362"/>
      </top>
      <bottom style="thin">
        <color rgb="FF857362"/>
      </bottom>
      <diagonal/>
    </border>
    <border>
      <left style="medium">
        <color rgb="FF857362"/>
      </left>
      <right style="medium">
        <color rgb="FF857362"/>
      </right>
      <top style="thin">
        <color rgb="FF857362"/>
      </top>
      <bottom style="medium">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style="thin">
        <color rgb="FF857362"/>
      </top>
      <bottom style="thin">
        <color rgb="FF857362"/>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rgb="FF857362"/>
      </left>
      <right/>
      <top style="medium">
        <color rgb="FF857362"/>
      </top>
      <bottom style="thin">
        <color rgb="FF857362"/>
      </bottom>
      <diagonal/>
    </border>
    <border>
      <left/>
      <right style="thin">
        <color rgb="FF857362"/>
      </right>
      <top style="medium">
        <color rgb="FF857362"/>
      </top>
      <bottom style="thin">
        <color rgb="FF857362"/>
      </bottom>
      <diagonal/>
    </border>
    <border>
      <left style="thin">
        <color rgb="FF857362"/>
      </left>
      <right/>
      <top style="thin">
        <color rgb="FF857362"/>
      </top>
      <bottom style="thin">
        <color rgb="FF857362"/>
      </bottom>
      <diagonal/>
    </border>
    <border>
      <left/>
      <right style="thin">
        <color rgb="FF857362"/>
      </right>
      <top style="thin">
        <color rgb="FF857362"/>
      </top>
      <bottom style="thin">
        <color rgb="FF857362"/>
      </bottom>
      <diagonal/>
    </border>
    <border>
      <left style="thin">
        <color rgb="FF857362"/>
      </left>
      <right/>
      <top style="thin">
        <color rgb="FF857362"/>
      </top>
      <bottom style="medium">
        <color rgb="FF857362"/>
      </bottom>
      <diagonal/>
    </border>
    <border>
      <left/>
      <right style="thin">
        <color rgb="FF857362"/>
      </right>
      <top style="thin">
        <color rgb="FF857362"/>
      </top>
      <bottom style="medium">
        <color rgb="FF857362"/>
      </bottom>
      <diagonal/>
    </border>
    <border>
      <left/>
      <right/>
      <top style="thin">
        <color rgb="FF857362"/>
      </top>
      <bottom/>
      <diagonal/>
    </border>
    <border>
      <left style="medium">
        <color rgb="FF857362"/>
      </left>
      <right style="thin">
        <color rgb="FF857362"/>
      </right>
      <top style="thin">
        <color rgb="FF857362"/>
      </top>
      <bottom/>
      <diagonal/>
    </border>
    <border>
      <left style="thin">
        <color rgb="FF857362"/>
      </left>
      <right style="thin">
        <color rgb="FF857362"/>
      </right>
      <top style="thin">
        <color rgb="FF857362"/>
      </top>
      <bottom/>
      <diagonal/>
    </border>
    <border>
      <left/>
      <right/>
      <top style="thin">
        <color rgb="FF857362"/>
      </top>
      <bottom style="medium">
        <color rgb="FF857362"/>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top/>
      <bottom style="thin">
        <color rgb="FF857362"/>
      </bottom>
      <diagonal/>
    </border>
    <border>
      <left style="medium">
        <color rgb="FF857362"/>
      </left>
      <right style="medium">
        <color rgb="FF857362"/>
      </right>
      <top/>
      <bottom style="thin">
        <color rgb="FF857362"/>
      </bottom>
      <diagonal/>
    </border>
    <border>
      <left style="thin">
        <color rgb="FF857362"/>
      </left>
      <right style="medium">
        <color rgb="FF857362"/>
      </right>
      <top/>
      <bottom style="thin">
        <color rgb="FF857362"/>
      </bottom>
      <diagonal/>
    </border>
    <border>
      <left style="thin">
        <color rgb="FF857362"/>
      </left>
      <right/>
      <top/>
      <bottom style="medium">
        <color rgb="FF857362"/>
      </bottom>
      <diagonal/>
    </border>
    <border>
      <left style="thin">
        <color rgb="FF857362"/>
      </left>
      <right/>
      <top style="medium">
        <color rgb="FF857362"/>
      </top>
      <bottom/>
      <diagonal/>
    </border>
    <border>
      <left/>
      <right/>
      <top style="medium">
        <color rgb="FF857362"/>
      </top>
      <bottom/>
      <diagonal/>
    </border>
    <border>
      <left style="medium">
        <color rgb="FF857362"/>
      </left>
      <right/>
      <top style="medium">
        <color rgb="FF857362"/>
      </top>
      <bottom style="thin">
        <color rgb="FF857362"/>
      </bottom>
      <diagonal/>
    </border>
    <border>
      <left style="medium">
        <color rgb="FF857362"/>
      </left>
      <right/>
      <top style="medium">
        <color rgb="FF857362"/>
      </top>
      <bottom/>
      <diagonal/>
    </border>
    <border>
      <left style="medium">
        <color rgb="FF857362"/>
      </left>
      <right/>
      <top style="thin">
        <color rgb="FF857362"/>
      </top>
      <bottom style="thin">
        <color rgb="FF857362"/>
      </bottom>
      <diagonal/>
    </border>
    <border>
      <left style="medium">
        <color rgb="FF857362"/>
      </left>
      <right/>
      <top style="thin">
        <color rgb="FF857362"/>
      </top>
      <bottom style="medium">
        <color rgb="FF857362"/>
      </bottom>
      <diagonal/>
    </border>
    <border>
      <left style="medium">
        <color rgb="FF857362"/>
      </left>
      <right style="thin">
        <color theme="5"/>
      </right>
      <top style="medium">
        <color rgb="FF857362"/>
      </top>
      <bottom style="medium">
        <color rgb="FF857362"/>
      </bottom>
      <diagonal/>
    </border>
    <border>
      <left style="thin">
        <color theme="5"/>
      </left>
      <right style="medium">
        <color rgb="FF857362"/>
      </right>
      <top style="medium">
        <color rgb="FF857362"/>
      </top>
      <bottom style="medium">
        <color rgb="FF857362"/>
      </bottom>
      <diagonal/>
    </border>
    <border>
      <left style="thin">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medium">
        <color rgb="FF857362"/>
      </right>
      <top style="thin">
        <color rgb="FF857362"/>
      </top>
      <bottom/>
      <diagonal/>
    </border>
    <border>
      <left style="thin">
        <color theme="0"/>
      </left>
      <right style="thin">
        <color theme="0"/>
      </right>
      <top/>
      <bottom style="thin">
        <color theme="0"/>
      </bottom>
      <diagonal/>
    </border>
    <border>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diagonal/>
    </border>
    <border>
      <left style="medium">
        <color theme="2" tint="-0.499984740745262"/>
      </left>
      <right style="medium">
        <color theme="2" tint="-0.499984740745262"/>
      </right>
      <top style="medium">
        <color theme="2" tint="-0.499984740745262"/>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bottom style="medium">
        <color theme="2" tint="-0.499984740745262"/>
      </bottom>
      <diagonal/>
    </border>
    <border>
      <left style="medium">
        <color theme="2" tint="-0.499984740745262"/>
      </left>
      <right style="medium">
        <color theme="2" tint="-0.499984740745262"/>
      </right>
      <top style="thin">
        <color theme="2" tint="-0.499984740745262"/>
      </top>
      <bottom style="medium">
        <color theme="2" tint="-0.499984740745262"/>
      </bottom>
      <diagonal/>
    </border>
    <border>
      <left/>
      <right style="medium">
        <color theme="2" tint="-0.499984740745262"/>
      </right>
      <top style="medium">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right style="medium">
        <color theme="2" tint="-0.499984740745262"/>
      </right>
      <top style="thin">
        <color theme="2" tint="-0.499984740745262"/>
      </top>
      <bottom style="medium">
        <color theme="2" tint="-0.499984740745262"/>
      </bottom>
      <diagonal/>
    </border>
    <border>
      <left style="thin">
        <color theme="2" tint="-0.499984740745262"/>
      </left>
      <right/>
      <top style="medium">
        <color theme="2" tint="-0.499984740745262"/>
      </top>
      <bottom style="medium">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thin">
        <color theme="2" tint="-0.499984740745262"/>
      </left>
      <right/>
      <top style="medium">
        <color theme="2" tint="-0.499984740745262"/>
      </top>
      <bottom style="thin">
        <color theme="2" tint="-0.499984740745262"/>
      </bottom>
      <diagonal/>
    </border>
    <border>
      <left/>
      <right/>
      <top style="medium">
        <color theme="2" tint="-0.499984740745262"/>
      </top>
      <bottom style="thin">
        <color theme="2" tint="-0.499984740745262"/>
      </bottom>
      <diagonal/>
    </border>
    <border>
      <left style="medium">
        <color theme="2" tint="-0.499984740745262"/>
      </left>
      <right style="thin">
        <color theme="2" tint="-0.499984740745262"/>
      </right>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bottom/>
      <diagonal/>
    </border>
    <border>
      <left style="medium">
        <color theme="2" tint="-0.499984740745262"/>
      </left>
      <right style="medium">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medium">
        <color theme="2" tint="-0.499984740745262"/>
      </right>
      <top style="thin">
        <color theme="2" tint="-0.499984740745262"/>
      </top>
      <bottom/>
      <diagonal/>
    </border>
    <border>
      <left style="medium">
        <color theme="2" tint="-0.499984740745262"/>
      </left>
      <right style="thin">
        <color rgb="FF857362"/>
      </right>
      <top style="medium">
        <color theme="2" tint="-0.499984740745262"/>
      </top>
      <bottom style="thin">
        <color rgb="FF857362"/>
      </bottom>
      <diagonal/>
    </border>
    <border>
      <left style="thin">
        <color rgb="FF857362"/>
      </left>
      <right style="thin">
        <color rgb="FF857362"/>
      </right>
      <top style="medium">
        <color theme="2" tint="-0.499984740745262"/>
      </top>
      <bottom style="thin">
        <color rgb="FF857362"/>
      </bottom>
      <diagonal/>
    </border>
    <border>
      <left style="thin">
        <color rgb="FF857362"/>
      </left>
      <right style="medium">
        <color theme="2" tint="-0.499984740745262"/>
      </right>
      <top style="medium">
        <color theme="2" tint="-0.499984740745262"/>
      </top>
      <bottom style="thin">
        <color rgb="FF857362"/>
      </bottom>
      <diagonal/>
    </border>
    <border>
      <left style="medium">
        <color theme="2" tint="-0.499984740745262"/>
      </left>
      <right style="thin">
        <color rgb="FF857362"/>
      </right>
      <top style="thin">
        <color rgb="FF857362"/>
      </top>
      <bottom style="thin">
        <color rgb="FF857362"/>
      </bottom>
      <diagonal/>
    </border>
    <border>
      <left style="thin">
        <color rgb="FF857362"/>
      </left>
      <right style="medium">
        <color theme="2" tint="-0.499984740745262"/>
      </right>
      <top style="thin">
        <color rgb="FF857362"/>
      </top>
      <bottom style="thin">
        <color rgb="FF857362"/>
      </bottom>
      <diagonal/>
    </border>
    <border>
      <left style="medium">
        <color theme="2" tint="-0.499984740745262"/>
      </left>
      <right style="thin">
        <color rgb="FF857362"/>
      </right>
      <top style="thin">
        <color rgb="FF857362"/>
      </top>
      <bottom style="medium">
        <color theme="2" tint="-0.499984740745262"/>
      </bottom>
      <diagonal/>
    </border>
    <border>
      <left style="thin">
        <color rgb="FF857362"/>
      </left>
      <right style="thin">
        <color rgb="FF857362"/>
      </right>
      <top style="thin">
        <color rgb="FF857362"/>
      </top>
      <bottom style="medium">
        <color theme="2" tint="-0.499984740745262"/>
      </bottom>
      <diagonal/>
    </border>
    <border>
      <left style="thin">
        <color rgb="FF857362"/>
      </left>
      <right style="medium">
        <color theme="2" tint="-0.499984740745262"/>
      </right>
      <top style="thin">
        <color rgb="FF857362"/>
      </top>
      <bottom style="medium">
        <color theme="2" tint="-0.499984740745262"/>
      </bottom>
      <diagonal/>
    </border>
    <border>
      <left style="medium">
        <color rgb="FF857362"/>
      </left>
      <right style="medium">
        <color rgb="FF857362"/>
      </right>
      <top style="thin">
        <color rgb="FF857362"/>
      </top>
      <bottom/>
      <diagonal/>
    </border>
    <border>
      <left/>
      <right/>
      <top/>
      <bottom style="medium">
        <color rgb="FF857362"/>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857362"/>
      </left>
      <right/>
      <top/>
      <bottom style="thin">
        <color rgb="FF857362"/>
      </bottom>
      <diagonal/>
    </border>
    <border>
      <left/>
      <right/>
      <top/>
      <bottom style="thin">
        <color rgb="FF857362"/>
      </bottom>
      <diagonal/>
    </border>
    <border>
      <left/>
      <right style="medium">
        <color rgb="FF857362"/>
      </right>
      <top/>
      <bottom style="thin">
        <color rgb="FF857362"/>
      </bottom>
      <diagonal/>
    </border>
    <border>
      <left style="thin">
        <color rgb="FF857362"/>
      </left>
      <right style="thin">
        <color rgb="FF857362"/>
      </right>
      <top style="thin">
        <color rgb="FF857362"/>
      </top>
      <bottom style="thin">
        <color indexed="64"/>
      </bottom>
      <diagonal/>
    </border>
    <border>
      <left/>
      <right style="thin">
        <color rgb="FF857362"/>
      </right>
      <top style="thin">
        <color rgb="FF857362"/>
      </top>
      <bottom/>
      <diagonal/>
    </border>
    <border>
      <left style="thin">
        <color rgb="FF857362"/>
      </left>
      <right/>
      <top style="thin">
        <color rgb="FF857362"/>
      </top>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rgb="FF857362"/>
      </left>
      <right/>
      <top style="thin">
        <color rgb="FF857362"/>
      </top>
      <bottom/>
      <diagonal/>
    </border>
    <border>
      <left style="thin">
        <color theme="2" tint="-0.499984740745262"/>
      </left>
      <right style="medium">
        <color theme="2" tint="-0.499984740745262"/>
      </right>
      <top/>
      <bottom style="thin">
        <color theme="2" tint="-0.499984740745262"/>
      </bottom>
      <diagonal/>
    </border>
    <border>
      <left style="medium">
        <color theme="2" tint="-0.499984740745262"/>
      </left>
      <right style="medium">
        <color theme="2" tint="-0.499984740745262"/>
      </right>
      <top/>
      <bottom style="thin">
        <color theme="2" tint="-0.499984740745262"/>
      </bottom>
      <diagonal/>
    </border>
    <border>
      <left/>
      <right style="thin">
        <color rgb="FF857362"/>
      </right>
      <top/>
      <bottom style="thin">
        <color rgb="FF857362"/>
      </bottom>
      <diagonal/>
    </border>
    <border>
      <left/>
      <right style="medium">
        <color rgb="FF857362"/>
      </right>
      <top style="thin">
        <color rgb="FF857362"/>
      </top>
      <bottom/>
      <diagonal/>
    </border>
    <border>
      <left/>
      <right style="medium">
        <color theme="2" tint="-0.499984740745262"/>
      </right>
      <top style="thin">
        <color theme="2" tint="-0.499984740745262"/>
      </top>
      <bottom style="medium">
        <color rgb="FF857362"/>
      </bottom>
      <diagonal/>
    </border>
    <border>
      <left/>
      <right style="medium">
        <color theme="2" tint="-0.499984740745262"/>
      </right>
      <top style="medium">
        <color rgb="FF857362"/>
      </top>
      <bottom style="medium">
        <color rgb="FF857362"/>
      </bottom>
      <diagonal/>
    </border>
    <border>
      <left/>
      <right style="medium">
        <color theme="2" tint="-0.499984740745262"/>
      </right>
      <top style="medium">
        <color rgb="FF857362"/>
      </top>
      <bottom style="medium">
        <color theme="2" tint="-0.499984740745262"/>
      </bottom>
      <diagonal/>
    </border>
    <border>
      <left/>
      <right style="thin">
        <color rgb="FF857362"/>
      </right>
      <top/>
      <bottom style="medium">
        <color rgb="FF857362"/>
      </bottom>
      <diagonal/>
    </border>
    <border>
      <left style="medium">
        <color rgb="FF857362"/>
      </left>
      <right/>
      <top/>
      <bottom style="medium">
        <color rgb="FF857362"/>
      </bottom>
      <diagonal/>
    </border>
    <border>
      <left style="medium">
        <color theme="2" tint="-0.499984740745262"/>
      </left>
      <right style="thin">
        <color theme="2" tint="-0.499984740745262"/>
      </right>
      <top style="thin">
        <color theme="2" tint="-0.499984740745262"/>
      </top>
      <bottom style="medium">
        <color rgb="FF857362"/>
      </bottom>
      <diagonal/>
    </border>
    <border>
      <left style="medium">
        <color theme="2" tint="-0.499984740745262"/>
      </left>
      <right style="medium">
        <color theme="2" tint="-0.499984740745262"/>
      </right>
      <top style="thin">
        <color theme="2" tint="-0.499984740745262"/>
      </top>
      <bottom style="medium">
        <color rgb="FF857362"/>
      </bottom>
      <diagonal/>
    </border>
    <border>
      <left style="medium">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medium">
        <color theme="2" tint="-0.499984740745262"/>
      </right>
      <top style="medium">
        <color rgb="FF857362"/>
      </top>
      <bottom style="thin">
        <color theme="2" tint="-0.499984740745262"/>
      </bottom>
      <diagonal/>
    </border>
    <border>
      <left style="medium">
        <color theme="2" tint="-0.499984740745262"/>
      </left>
      <right style="medium">
        <color theme="2" tint="-0.499984740745262"/>
      </right>
      <top style="medium">
        <color rgb="FF857362"/>
      </top>
      <bottom style="thin">
        <color theme="2" tint="-0.499984740745262"/>
      </bottom>
      <diagonal/>
    </border>
    <border>
      <left style="thin">
        <color theme="2" tint="-0.499984740745262"/>
      </left>
      <right style="thin">
        <color theme="2" tint="-0.499984740745262"/>
      </right>
      <top style="thin">
        <color theme="2" tint="-0.499984740745262"/>
      </top>
      <bottom style="medium">
        <color rgb="FF857362"/>
      </bottom>
      <diagonal/>
    </border>
    <border>
      <left style="thin">
        <color theme="2" tint="-0.499984740745262"/>
      </left>
      <right style="medium">
        <color theme="2" tint="-0.499984740745262"/>
      </right>
      <top style="thin">
        <color theme="2" tint="-0.499984740745262"/>
      </top>
      <bottom style="medium">
        <color rgb="FF857362"/>
      </bottom>
      <diagonal/>
    </border>
    <border>
      <left style="thin">
        <color theme="2" tint="-0.499984740745262"/>
      </left>
      <right style="thin">
        <color theme="2" tint="-0.499984740745262"/>
      </right>
      <top/>
      <bottom style="thin">
        <color theme="2" tint="-0.499984740745262"/>
      </bottom>
      <diagonal/>
    </border>
    <border>
      <left style="medium">
        <color theme="2" tint="-0.499984740745262"/>
      </left>
      <right style="thin">
        <color theme="2" tint="-0.499984740745262"/>
      </right>
      <top style="medium">
        <color rgb="FF857362"/>
      </top>
      <bottom style="medium">
        <color rgb="FF857362"/>
      </bottom>
      <diagonal/>
    </border>
    <border>
      <left style="thin">
        <color theme="2" tint="-0.499984740745262"/>
      </left>
      <right style="thin">
        <color theme="2" tint="-0.499984740745262"/>
      </right>
      <top style="medium">
        <color rgb="FF857362"/>
      </top>
      <bottom style="medium">
        <color rgb="FF857362"/>
      </bottom>
      <diagonal/>
    </border>
    <border>
      <left style="thin">
        <color theme="2" tint="-0.499984740745262"/>
      </left>
      <right style="medium">
        <color theme="2" tint="-0.499984740745262"/>
      </right>
      <top style="medium">
        <color rgb="FF857362"/>
      </top>
      <bottom style="medium">
        <color rgb="FF857362"/>
      </bottom>
      <diagonal/>
    </border>
    <border>
      <left style="medium">
        <color theme="2" tint="-0.499984740745262"/>
      </left>
      <right style="medium">
        <color theme="2" tint="-0.499984740745262"/>
      </right>
      <top style="medium">
        <color rgb="FF857362"/>
      </top>
      <bottom style="medium">
        <color rgb="FF857362"/>
      </bottom>
      <diagonal/>
    </border>
    <border>
      <left style="thin">
        <color rgb="FF857362"/>
      </left>
      <right style="thin">
        <color rgb="FF857362"/>
      </right>
      <top/>
      <bottom/>
      <diagonal/>
    </border>
    <border>
      <left style="medium">
        <color rgb="FF857362"/>
      </left>
      <right/>
      <top/>
      <bottom/>
      <diagonal/>
    </border>
    <border>
      <left/>
      <right style="medium">
        <color rgb="FF857362"/>
      </right>
      <top/>
      <bottom/>
      <diagonal/>
    </border>
    <border>
      <left style="medium">
        <color rgb="FF857362"/>
      </left>
      <right style="medium">
        <color rgb="FF857362"/>
      </right>
      <top/>
      <bottom/>
      <diagonal/>
    </border>
    <border>
      <left style="medium">
        <color rgb="FF757171"/>
      </left>
      <right style="medium">
        <color rgb="FF857362"/>
      </right>
      <top style="medium">
        <color rgb="FF757171"/>
      </top>
      <bottom style="thin">
        <color rgb="FF757171"/>
      </bottom>
      <diagonal/>
    </border>
    <border>
      <left style="medium">
        <color rgb="FF757171"/>
      </left>
      <right style="medium">
        <color rgb="FF857362"/>
      </right>
      <top style="thin">
        <color rgb="FF857362"/>
      </top>
      <bottom style="thin">
        <color rgb="FF757171"/>
      </bottom>
      <diagonal/>
    </border>
    <border>
      <left style="medium">
        <color rgb="FF757171"/>
      </left>
      <right style="medium">
        <color rgb="FF857362"/>
      </right>
      <top style="thin">
        <color rgb="FF757171"/>
      </top>
      <bottom style="medium">
        <color rgb="FF757171"/>
      </bottom>
      <diagonal/>
    </border>
    <border>
      <left style="medium">
        <color theme="2" tint="-0.499984740745262"/>
      </left>
      <right/>
      <top style="medium">
        <color theme="2" tint="-0.499984740745262"/>
      </top>
      <bottom style="medium">
        <color theme="2" tint="-0.499984740745262"/>
      </bottom>
      <diagonal/>
    </border>
    <border>
      <left/>
      <right style="thin">
        <color theme="2" tint="-0.499984740745262"/>
      </right>
      <top style="medium">
        <color theme="2" tint="-0.499984740745262"/>
      </top>
      <bottom style="medium">
        <color theme="2" tint="-0.499984740745262"/>
      </bottom>
      <diagonal/>
    </border>
    <border>
      <left style="thin">
        <color rgb="FF857362"/>
      </left>
      <right style="thin">
        <color rgb="FF857362"/>
      </right>
      <top style="thin">
        <color indexed="64"/>
      </top>
      <bottom/>
      <diagonal/>
    </border>
    <border>
      <left style="thin">
        <color rgb="FF857362"/>
      </left>
      <right style="thin">
        <color indexed="64"/>
      </right>
      <top style="thin">
        <color indexed="64"/>
      </top>
      <bottom/>
      <diagonal/>
    </border>
    <border>
      <left/>
      <right style="thin">
        <color rgb="FF857362"/>
      </right>
      <top style="medium">
        <color rgb="FF857362"/>
      </top>
      <bottom/>
      <diagonal/>
    </border>
    <border>
      <left style="thin">
        <color indexed="64"/>
      </left>
      <right style="thin">
        <color indexed="64"/>
      </right>
      <top style="thin">
        <color indexed="64"/>
      </top>
      <bottom style="thin">
        <color indexed="64"/>
      </bottom>
      <diagonal/>
    </border>
    <border>
      <left style="medium">
        <color rgb="FF757171"/>
      </left>
      <right style="thin">
        <color rgb="FF757171"/>
      </right>
      <top style="medium">
        <color rgb="FF757171"/>
      </top>
      <bottom/>
      <diagonal/>
    </border>
    <border>
      <left style="thin">
        <color rgb="FF757171"/>
      </left>
      <right/>
      <top style="medium">
        <color rgb="FF757171"/>
      </top>
      <bottom style="medium">
        <color rgb="FF757171"/>
      </bottom>
      <diagonal/>
    </border>
    <border>
      <left/>
      <right/>
      <top style="medium">
        <color rgb="FF757171"/>
      </top>
      <bottom style="medium">
        <color rgb="FF757171"/>
      </bottom>
      <diagonal/>
    </border>
    <border>
      <left style="medium">
        <color rgb="FF757171"/>
      </left>
      <right style="thin">
        <color rgb="FF757171"/>
      </right>
      <top style="medium">
        <color rgb="FF757171"/>
      </top>
      <bottom style="thin">
        <color rgb="FF757171"/>
      </bottom>
      <diagonal/>
    </border>
    <border>
      <left style="thin">
        <color rgb="FF757171"/>
      </left>
      <right/>
      <top style="medium">
        <color rgb="FF757171"/>
      </top>
      <bottom style="thin">
        <color rgb="FF757171"/>
      </bottom>
      <diagonal/>
    </border>
    <border>
      <left/>
      <right/>
      <top style="medium">
        <color rgb="FF757171"/>
      </top>
      <bottom style="thin">
        <color rgb="FF757171"/>
      </bottom>
      <diagonal/>
    </border>
    <border>
      <left style="medium">
        <color rgb="FF757171"/>
      </left>
      <right style="thin">
        <color rgb="FF757171"/>
      </right>
      <top/>
      <bottom style="thin">
        <color rgb="FF757171"/>
      </bottom>
      <diagonal/>
    </border>
    <border>
      <left style="thin">
        <color rgb="FF757171"/>
      </left>
      <right/>
      <top style="thin">
        <color rgb="FF757171"/>
      </top>
      <bottom style="thin">
        <color rgb="FF757171"/>
      </bottom>
      <diagonal/>
    </border>
    <border>
      <left/>
      <right/>
      <top style="thin">
        <color rgb="FF757171"/>
      </top>
      <bottom style="thin">
        <color rgb="FF757171"/>
      </bottom>
      <diagonal/>
    </border>
    <border>
      <left style="medium">
        <color rgb="FF757171"/>
      </left>
      <right style="thin">
        <color rgb="FF757171"/>
      </right>
      <top style="thin">
        <color rgb="FF757171"/>
      </top>
      <bottom style="thin">
        <color rgb="FF757171"/>
      </bottom>
      <diagonal/>
    </border>
    <border>
      <left style="medium">
        <color rgb="FF757171"/>
      </left>
      <right style="thin">
        <color rgb="FF757171"/>
      </right>
      <top style="thin">
        <color rgb="FF757171"/>
      </top>
      <bottom style="medium">
        <color rgb="FF75717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857362"/>
      </left>
      <right style="thin">
        <color rgb="FF857362"/>
      </right>
      <top style="thin">
        <color indexed="64"/>
      </top>
      <bottom style="medium">
        <color rgb="FF857362"/>
      </bottom>
      <diagonal/>
    </border>
    <border>
      <left style="thin">
        <color indexed="64"/>
      </left>
      <right/>
      <top/>
      <bottom style="thin">
        <color indexed="64"/>
      </bottom>
      <diagonal/>
    </border>
    <border>
      <left style="medium">
        <color indexed="64"/>
      </left>
      <right style="thin">
        <color rgb="FF857362"/>
      </right>
      <top style="medium">
        <color indexed="64"/>
      </top>
      <bottom style="thin">
        <color rgb="FF857362"/>
      </bottom>
      <diagonal/>
    </border>
    <border>
      <left style="thin">
        <color rgb="FF857362"/>
      </left>
      <right/>
      <top style="medium">
        <color indexed="64"/>
      </top>
      <bottom style="thin">
        <color rgb="FF857362"/>
      </bottom>
      <diagonal/>
    </border>
    <border>
      <left/>
      <right/>
      <top style="medium">
        <color indexed="64"/>
      </top>
      <bottom style="thin">
        <color rgb="FF857362"/>
      </bottom>
      <diagonal/>
    </border>
    <border>
      <left/>
      <right style="medium">
        <color indexed="64"/>
      </right>
      <top style="medium">
        <color indexed="64"/>
      </top>
      <bottom style="thin">
        <color rgb="FF857362"/>
      </bottom>
      <diagonal/>
    </border>
    <border>
      <left style="medium">
        <color indexed="64"/>
      </left>
      <right style="thin">
        <color rgb="FF857362"/>
      </right>
      <top style="thin">
        <color rgb="FF857362"/>
      </top>
      <bottom style="thin">
        <color rgb="FF857362"/>
      </bottom>
      <diagonal/>
    </border>
    <border>
      <left/>
      <right style="medium">
        <color indexed="64"/>
      </right>
      <top style="thin">
        <color rgb="FF857362"/>
      </top>
      <bottom style="thin">
        <color rgb="FF857362"/>
      </bottom>
      <diagonal/>
    </border>
    <border>
      <left style="medium">
        <color indexed="64"/>
      </left>
      <right style="thin">
        <color rgb="FF857362"/>
      </right>
      <top style="thin">
        <color rgb="FF857362"/>
      </top>
      <bottom style="medium">
        <color indexed="64"/>
      </bottom>
      <diagonal/>
    </border>
    <border>
      <left style="thin">
        <color rgb="FF857362"/>
      </left>
      <right/>
      <top style="thin">
        <color rgb="FF857362"/>
      </top>
      <bottom style="medium">
        <color indexed="64"/>
      </bottom>
      <diagonal/>
    </border>
    <border>
      <left/>
      <right/>
      <top style="thin">
        <color rgb="FF857362"/>
      </top>
      <bottom style="medium">
        <color indexed="64"/>
      </bottom>
      <diagonal/>
    </border>
    <border>
      <left/>
      <right style="medium">
        <color indexed="64"/>
      </right>
      <top style="thin">
        <color rgb="FF857362"/>
      </top>
      <bottom style="medium">
        <color indexed="64"/>
      </bottom>
      <diagonal/>
    </border>
    <border>
      <left style="medium">
        <color rgb="FF857362"/>
      </left>
      <right style="thin">
        <color rgb="FF857362"/>
      </right>
      <top/>
      <bottom/>
      <diagonal/>
    </border>
    <border>
      <left style="thin">
        <color indexed="64"/>
      </left>
      <right/>
      <top style="thin">
        <color indexed="64"/>
      </top>
      <bottom/>
      <diagonal/>
    </border>
    <border>
      <left/>
      <right/>
      <top style="thin">
        <color indexed="64"/>
      </top>
      <bottom/>
      <diagonal/>
    </border>
    <border>
      <left style="medium">
        <color theme="2" tint="-0.499984740745262"/>
      </left>
      <right style="thin">
        <color theme="2" tint="-0.499984740745262"/>
      </right>
      <top style="medium">
        <color theme="2" tint="-0.499984740745262"/>
      </top>
      <bottom style="medium">
        <color theme="2" tint="-0.499984740745262"/>
      </bottom>
      <diagonal/>
    </border>
    <border>
      <left style="thin">
        <color theme="2" tint="-0.499984740745262"/>
      </left>
      <right style="medium">
        <color theme="2" tint="-0.499984740745262"/>
      </right>
      <top style="medium">
        <color theme="2" tint="-0.499984740745262"/>
      </top>
      <bottom style="medium">
        <color theme="2" tint="-0.499984740745262"/>
      </bottom>
      <diagonal/>
    </border>
    <border>
      <left style="medium">
        <color theme="7" tint="-0.499984740745262"/>
      </left>
      <right/>
      <top style="medium">
        <color theme="7" tint="-0.499984740745262"/>
      </top>
      <bottom style="thin">
        <color theme="7" tint="-0.499984740745262"/>
      </bottom>
      <diagonal/>
    </border>
    <border>
      <left style="medium">
        <color theme="7" tint="-0.499984740745262"/>
      </left>
      <right style="medium">
        <color theme="7" tint="-0.499984740745262"/>
      </right>
      <top style="medium">
        <color theme="7" tint="-0.499984740745262"/>
      </top>
      <bottom style="thin">
        <color theme="7" tint="-0.499984740745262"/>
      </bottom>
      <diagonal/>
    </border>
    <border>
      <left/>
      <right/>
      <top style="medium">
        <color theme="7" tint="-0.499984740745262"/>
      </top>
      <bottom style="thin">
        <color theme="7" tint="-0.499984740745262"/>
      </bottom>
      <diagonal/>
    </border>
    <border>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medium">
        <color theme="7" tint="-0.499984740745262"/>
      </top>
      <bottom style="thin">
        <color rgb="FF857362"/>
      </bottom>
      <diagonal/>
    </border>
    <border>
      <left style="thin">
        <color theme="7" tint="-0.499984740745262"/>
      </left>
      <right style="thin">
        <color theme="7" tint="-0.499984740745262"/>
      </right>
      <top style="medium">
        <color theme="7" tint="-0.499984740745262"/>
      </top>
      <bottom style="thin">
        <color rgb="FF857362"/>
      </bottom>
      <diagonal/>
    </border>
    <border>
      <left/>
      <right style="thin">
        <color theme="7" tint="-0.499984740745262"/>
      </right>
      <top style="medium">
        <color theme="7" tint="-0.499984740745262"/>
      </top>
      <bottom style="thin">
        <color rgb="FF857362"/>
      </bottom>
      <diagonal/>
    </border>
    <border>
      <left style="medium">
        <color rgb="FF857362"/>
      </left>
      <right style="thin">
        <color theme="7" tint="-0.499984740745262"/>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style="thin">
        <color rgb="FF857362"/>
      </bottom>
      <diagonal/>
    </border>
    <border>
      <left style="medium">
        <color theme="7" tint="-0.499984740745262"/>
      </left>
      <right/>
      <top style="thin">
        <color theme="7" tint="-0.499984740745262"/>
      </top>
      <bottom style="thin">
        <color theme="7" tint="-0.499984740745262"/>
      </bottom>
      <diagonal/>
    </border>
    <border>
      <left style="medium">
        <color theme="7" tint="-0.499984740745262"/>
      </left>
      <right style="medium">
        <color theme="7" tint="-0.499984740745262"/>
      </right>
      <top style="thin">
        <color theme="7" tint="-0.499984740745262"/>
      </top>
      <bottom style="thin">
        <color theme="7" tint="-0.499984740745262"/>
      </bottom>
      <diagonal/>
    </border>
    <border>
      <left/>
      <right/>
      <top style="thin">
        <color theme="7" tint="-0.499984740745262"/>
      </top>
      <bottom style="thin">
        <color theme="7" tint="-0.499984740745262"/>
      </bottom>
      <diagonal/>
    </border>
    <border>
      <left/>
      <right style="medium">
        <color theme="7" tint="-0.499984740745262"/>
      </right>
      <top style="thin">
        <color theme="7" tint="-0.499984740745262"/>
      </top>
      <bottom style="thin">
        <color theme="7" tint="-0.499984740745262"/>
      </bottom>
      <diagonal/>
    </border>
    <border>
      <left style="medium">
        <color theme="7" tint="-0.499984740745262"/>
      </left>
      <right style="thin">
        <color theme="7" tint="-0.499984740745262"/>
      </right>
      <top style="thin">
        <color rgb="FF857362"/>
      </top>
      <bottom style="thin">
        <color rgb="FF857362"/>
      </bottom>
      <diagonal/>
    </border>
    <border>
      <left style="thin">
        <color theme="7" tint="-0.499984740745262"/>
      </left>
      <right style="thin">
        <color theme="7" tint="-0.499984740745262"/>
      </right>
      <top style="thin">
        <color rgb="FF857362"/>
      </top>
      <bottom style="thin">
        <color rgb="FF857362"/>
      </bottom>
      <diagonal/>
    </border>
    <border>
      <left/>
      <right style="thin">
        <color theme="7" tint="-0.499984740745262"/>
      </right>
      <top style="thin">
        <color rgb="FF857362"/>
      </top>
      <bottom style="thin">
        <color rgb="FF857362"/>
      </bottom>
      <diagonal/>
    </border>
    <border>
      <left style="medium">
        <color rgb="FF857362"/>
      </left>
      <right style="thin">
        <color theme="7" tint="-0.499984740745262"/>
      </right>
      <top style="thin">
        <color rgb="FF857362"/>
      </top>
      <bottom style="thin">
        <color rgb="FF857362"/>
      </bottom>
      <diagonal/>
    </border>
    <border>
      <left style="medium">
        <color theme="7" tint="-0.499984740745262"/>
      </left>
      <right style="medium">
        <color theme="7" tint="-0.499984740745262"/>
      </right>
      <top style="thin">
        <color rgb="FF857362"/>
      </top>
      <bottom style="thin">
        <color rgb="FF857362"/>
      </bottom>
      <diagonal/>
    </border>
    <border>
      <left style="medium">
        <color theme="7" tint="-0.499984740745262"/>
      </left>
      <right style="thin">
        <color theme="7" tint="-0.499984740745262"/>
      </right>
      <top style="thin">
        <color rgb="FF857362"/>
      </top>
      <bottom/>
      <diagonal/>
    </border>
    <border>
      <left style="thin">
        <color theme="7" tint="-0.499984740745262"/>
      </left>
      <right style="thin">
        <color theme="7" tint="-0.499984740745262"/>
      </right>
      <top style="thin">
        <color rgb="FF857362"/>
      </top>
      <bottom/>
      <diagonal/>
    </border>
    <border>
      <left style="medium">
        <color theme="7" tint="-0.499984740745262"/>
      </left>
      <right style="medium">
        <color theme="7" tint="-0.499984740745262"/>
      </right>
      <top style="thin">
        <color rgb="FF857362"/>
      </top>
      <bottom/>
      <diagonal/>
    </border>
    <border>
      <left style="medium">
        <color theme="7" tint="-0.499984740745262"/>
      </left>
      <right style="medium">
        <color theme="7" tint="-0.499984740745262"/>
      </right>
      <top style="thin">
        <color theme="7" tint="-0.499984740745262"/>
      </top>
      <bottom/>
      <diagonal/>
    </border>
    <border>
      <left style="medium">
        <color theme="7" tint="-0.499984740745262"/>
      </left>
      <right/>
      <top style="thin">
        <color theme="7" tint="-0.499984740745262"/>
      </top>
      <bottom style="medium">
        <color theme="7" tint="-0.499984740745262"/>
      </bottom>
      <diagonal/>
    </border>
    <border>
      <left style="medium">
        <color theme="7" tint="-0.499984740745262"/>
      </left>
      <right style="medium">
        <color theme="7" tint="-0.499984740745262"/>
      </right>
      <top style="thin">
        <color theme="7" tint="-0.499984740745262"/>
      </top>
      <bottom style="medium">
        <color theme="7" tint="-0.499984740745262"/>
      </bottom>
      <diagonal/>
    </border>
    <border>
      <left/>
      <right/>
      <top style="thin">
        <color theme="7" tint="-0.499984740745262"/>
      </top>
      <bottom style="medium">
        <color theme="7" tint="-0.499984740745262"/>
      </bottom>
      <diagonal/>
    </border>
    <border>
      <left/>
      <right style="medium">
        <color theme="7" tint="-0.499984740745262"/>
      </right>
      <top style="thin">
        <color theme="7" tint="-0.499984740745262"/>
      </top>
      <bottom style="medium">
        <color theme="7" tint="-0.499984740745262"/>
      </bottom>
      <diagonal/>
    </border>
    <border>
      <left style="medium">
        <color rgb="FF857362"/>
      </left>
      <right style="thin">
        <color theme="7" tint="-0.499984740745262"/>
      </right>
      <top style="thin">
        <color rgb="FF857362"/>
      </top>
      <bottom style="medium">
        <color rgb="FF857362"/>
      </bottom>
      <diagonal/>
    </border>
    <border>
      <left style="medium">
        <color theme="7" tint="-0.499984740745262"/>
      </left>
      <right style="medium">
        <color theme="7" tint="-0.499984740745262"/>
      </right>
      <top style="thin">
        <color rgb="FF857362"/>
      </top>
      <bottom style="medium">
        <color theme="7" tint="-0.499984740745262"/>
      </bottom>
      <diagonal/>
    </border>
    <border>
      <left style="medium">
        <color theme="7" tint="-0.499984740745262"/>
      </left>
      <right style="thin">
        <color theme="7" tint="-0.499984740745262"/>
      </right>
      <top style="thin">
        <color rgb="FF857362"/>
      </top>
      <bottom style="medium">
        <color theme="7" tint="-0.499984740745262"/>
      </bottom>
      <diagonal/>
    </border>
    <border>
      <left style="thin">
        <color theme="7" tint="-0.499984740745262"/>
      </left>
      <right style="thin">
        <color theme="7" tint="-0.499984740745262"/>
      </right>
      <top style="thin">
        <color rgb="FF857362"/>
      </top>
      <bottom style="medium">
        <color theme="7" tint="-0.499984740745262"/>
      </bottom>
      <diagonal/>
    </border>
    <border>
      <left style="thin">
        <color theme="7" tint="-0.499984740745262"/>
      </left>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diagonal/>
    </border>
    <border>
      <left style="thin">
        <color theme="7" tint="-0.499984740745262"/>
      </left>
      <right/>
      <top style="thin">
        <color rgb="FF857362"/>
      </top>
      <bottom style="thin">
        <color rgb="FF857362"/>
      </bottom>
      <diagonal/>
    </border>
    <border>
      <left style="medium">
        <color rgb="FF757171"/>
      </left>
      <right style="medium">
        <color rgb="FF757171"/>
      </right>
      <top style="medium">
        <color rgb="FF857362"/>
      </top>
      <bottom style="medium">
        <color rgb="FF857362"/>
      </bottom>
      <diagonal/>
    </border>
    <border>
      <left style="medium">
        <color rgb="FF857362"/>
      </left>
      <right style="medium">
        <color rgb="FF757171"/>
      </right>
      <top style="medium">
        <color rgb="FF757171"/>
      </top>
      <bottom style="thin">
        <color rgb="FF757171"/>
      </bottom>
      <diagonal/>
    </border>
    <border>
      <left style="medium">
        <color rgb="FF857362"/>
      </left>
      <right style="medium">
        <color rgb="FF757171"/>
      </right>
      <top style="thin">
        <color rgb="FF757171"/>
      </top>
      <bottom style="thin">
        <color rgb="FF757171"/>
      </bottom>
      <diagonal/>
    </border>
    <border>
      <left style="medium">
        <color rgb="FF857362"/>
      </left>
      <right style="medium">
        <color rgb="FF757171"/>
      </right>
      <top style="thin">
        <color rgb="FF757171"/>
      </top>
      <bottom style="medium">
        <color rgb="FF757171"/>
      </bottom>
      <diagonal/>
    </border>
    <border>
      <left style="medium">
        <color rgb="FF857362"/>
      </left>
      <right style="medium">
        <color rgb="FF757171"/>
      </right>
      <top style="medium">
        <color rgb="FF857362"/>
      </top>
      <bottom style="thin">
        <color rgb="FF857362"/>
      </bottom>
      <diagonal/>
    </border>
    <border>
      <left style="medium">
        <color rgb="FF857362"/>
      </left>
      <right style="medium">
        <color rgb="FF757171"/>
      </right>
      <top style="thin">
        <color rgb="FF857362"/>
      </top>
      <bottom style="thin">
        <color rgb="FF857362"/>
      </bottom>
      <diagonal/>
    </border>
    <border>
      <left style="medium">
        <color rgb="FF857362"/>
      </left>
      <right style="medium">
        <color rgb="FF757171"/>
      </right>
      <top style="thin">
        <color rgb="FF857362"/>
      </top>
      <bottom style="medium">
        <color rgb="FF857362"/>
      </bottom>
      <diagonal/>
    </border>
    <border>
      <left style="thin">
        <color indexed="64"/>
      </left>
      <right/>
      <top style="medium">
        <color rgb="FF857362"/>
      </top>
      <bottom style="thin">
        <color indexed="64"/>
      </bottom>
      <diagonal/>
    </border>
    <border>
      <left/>
      <right style="medium">
        <color rgb="FF857362"/>
      </right>
      <top style="medium">
        <color rgb="FF857362"/>
      </top>
      <bottom style="thin">
        <color indexed="64"/>
      </bottom>
      <diagonal/>
    </border>
    <border>
      <left style="medium">
        <color rgb="FF857362"/>
      </left>
      <right style="thin">
        <color rgb="FF857362"/>
      </right>
      <top style="thin">
        <color rgb="FF857362"/>
      </top>
      <bottom style="thin">
        <color indexed="64"/>
      </bottom>
      <diagonal/>
    </border>
    <border>
      <left style="medium">
        <color theme="7" tint="-0.499984740745262"/>
      </left>
      <right style="thin">
        <color theme="7" tint="-0.499984740745262"/>
      </right>
      <top style="medium">
        <color theme="7" tint="-0.499984740745262"/>
      </top>
      <bottom/>
      <diagonal/>
    </border>
    <border>
      <left style="thin">
        <color theme="7" tint="-0.499984740745262"/>
      </left>
      <right style="thin">
        <color theme="7" tint="-0.499984740745262"/>
      </right>
      <top style="medium">
        <color theme="7" tint="-0.499984740745262"/>
      </top>
      <bottom/>
      <diagonal/>
    </border>
    <border>
      <left style="medium">
        <color theme="7" tint="-0.499984740745262"/>
      </left>
      <right style="thin">
        <color theme="7" tint="-0.499984740745262"/>
      </right>
      <top style="medium">
        <color theme="7" tint="-0.499984740745262"/>
      </top>
      <bottom style="medium">
        <color theme="7" tint="-0.499984740745262"/>
      </bottom>
      <diagonal/>
    </border>
    <border>
      <left style="thin">
        <color theme="7" tint="-0.499984740745262"/>
      </left>
      <right style="thin">
        <color theme="7" tint="-0.499984740745262"/>
      </right>
      <top style="medium">
        <color theme="7" tint="-0.499984740745262"/>
      </top>
      <bottom style="medium">
        <color theme="7" tint="-0.499984740745262"/>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medium">
        <color rgb="FF857362"/>
      </left>
      <right style="medium">
        <color rgb="FF857362"/>
      </right>
      <top style="medium">
        <color theme="7" tint="-0.499984740745262"/>
      </top>
      <bottom style="thin">
        <color rgb="FF857362"/>
      </bottom>
      <diagonal/>
    </border>
    <border>
      <left style="medium">
        <color rgb="FF857362"/>
      </left>
      <right style="medium">
        <color rgb="FF857362"/>
      </right>
      <top style="thin">
        <color rgb="FF857362"/>
      </top>
      <bottom style="medium">
        <color theme="7" tint="-0.499984740745262"/>
      </bottom>
      <diagonal/>
    </border>
    <border>
      <left style="thin">
        <color rgb="FF857362"/>
      </left>
      <right style="medium">
        <color rgb="FF757171"/>
      </right>
      <top style="medium">
        <color rgb="FF857362"/>
      </top>
      <bottom style="medium">
        <color rgb="FF857362"/>
      </bottom>
      <diagonal/>
    </border>
    <border>
      <left style="medium">
        <color rgb="FF857362"/>
      </left>
      <right style="medium">
        <color rgb="FF757171"/>
      </right>
      <top style="thin">
        <color rgb="FF857362"/>
      </top>
      <bottom/>
      <diagonal/>
    </border>
    <border>
      <left style="thin">
        <color indexed="64"/>
      </left>
      <right style="medium">
        <color rgb="FF857362"/>
      </right>
      <top style="medium">
        <color rgb="FF857362"/>
      </top>
      <bottom/>
      <diagonal/>
    </border>
    <border>
      <left style="medium">
        <color rgb="FF857362"/>
      </left>
      <right style="thin">
        <color rgb="FF857362"/>
      </right>
      <top style="thin">
        <color indexed="64"/>
      </top>
      <bottom/>
      <diagonal/>
    </border>
    <border>
      <left style="thin">
        <color indexed="64"/>
      </left>
      <right style="medium">
        <color rgb="FF857362"/>
      </right>
      <top/>
      <bottom/>
      <diagonal/>
    </border>
    <border>
      <left style="medium">
        <color rgb="FF857362"/>
      </left>
      <right style="thin">
        <color indexed="64"/>
      </right>
      <top style="thin">
        <color indexed="64"/>
      </top>
      <bottom style="medium">
        <color rgb="FF857362"/>
      </bottom>
      <diagonal/>
    </border>
    <border>
      <left style="thin">
        <color indexed="64"/>
      </left>
      <right style="thin">
        <color indexed="64"/>
      </right>
      <top style="thin">
        <color indexed="64"/>
      </top>
      <bottom style="medium">
        <color rgb="FF857362"/>
      </bottom>
      <diagonal/>
    </border>
    <border>
      <left style="thin">
        <color indexed="64"/>
      </left>
      <right/>
      <top style="thin">
        <color indexed="64"/>
      </top>
      <bottom style="medium">
        <color rgb="FF857362"/>
      </bottom>
      <diagonal/>
    </border>
    <border>
      <left/>
      <right style="thin">
        <color indexed="64"/>
      </right>
      <top style="thin">
        <color indexed="64"/>
      </top>
      <bottom style="medium">
        <color rgb="FF857362"/>
      </bottom>
      <diagonal/>
    </border>
    <border>
      <left style="thin">
        <color indexed="64"/>
      </left>
      <right style="thin">
        <color indexed="64"/>
      </right>
      <top/>
      <bottom style="medium">
        <color rgb="FF857362"/>
      </bottom>
      <diagonal/>
    </border>
    <border>
      <left style="thin">
        <color indexed="64"/>
      </left>
      <right style="medium">
        <color rgb="FF857362"/>
      </right>
      <top/>
      <bottom style="medium">
        <color rgb="FF857362"/>
      </bottom>
      <diagonal/>
    </border>
    <border>
      <left style="thin">
        <color theme="7" tint="-0.499984740745262"/>
      </left>
      <right style="medium">
        <color theme="7" tint="-0.499984740745262"/>
      </right>
      <top style="medium">
        <color theme="7" tint="-0.499984740745262"/>
      </top>
      <bottom style="thin">
        <color rgb="FF857362"/>
      </bottom>
      <diagonal/>
    </border>
    <border>
      <left style="thin">
        <color theme="7" tint="-0.499984740745262"/>
      </left>
      <right style="medium">
        <color theme="7" tint="-0.499984740745262"/>
      </right>
      <top style="thin">
        <color rgb="FF857362"/>
      </top>
      <bottom style="thin">
        <color rgb="FF857362"/>
      </bottom>
      <diagonal/>
    </border>
    <border>
      <left style="thin">
        <color theme="7" tint="-0.499984740745262"/>
      </left>
      <right style="medium">
        <color theme="7" tint="-0.499984740745262"/>
      </right>
      <top style="thin">
        <color rgb="FF857362"/>
      </top>
      <bottom style="medium">
        <color theme="7" tint="-0.499984740745262"/>
      </bottom>
      <diagonal/>
    </border>
    <border>
      <left style="medium">
        <color rgb="FF857362"/>
      </left>
      <right/>
      <top style="thin">
        <color indexed="64"/>
      </top>
      <bottom style="thin">
        <color indexed="64"/>
      </bottom>
      <diagonal/>
    </border>
    <border>
      <left style="thin">
        <color rgb="FF857362"/>
      </left>
      <right/>
      <top style="medium">
        <color rgb="FF857362"/>
      </top>
      <bottom style="thin">
        <color indexed="64"/>
      </bottom>
      <diagonal/>
    </border>
    <border>
      <left/>
      <right/>
      <top style="medium">
        <color rgb="FF857362"/>
      </top>
      <bottom style="thin">
        <color indexed="64"/>
      </bottom>
      <diagonal/>
    </border>
    <border>
      <left/>
      <right style="thin">
        <color rgb="FF857362"/>
      </right>
      <top style="medium">
        <color rgb="FF857362"/>
      </top>
      <bottom style="thin">
        <color indexed="64"/>
      </bottom>
      <diagonal/>
    </border>
    <border>
      <left style="thin">
        <color rgb="FF857362"/>
      </left>
      <right style="medium">
        <color rgb="FF857362"/>
      </right>
      <top/>
      <bottom/>
      <diagonal/>
    </border>
    <border>
      <left style="medium">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diagonal/>
    </border>
    <border>
      <left style="medium">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medium">
        <color theme="7" tint="-0.499984740745262"/>
      </top>
      <bottom style="medium">
        <color theme="7" tint="-0.499984740745262"/>
      </bottom>
      <diagonal/>
    </border>
    <border>
      <left style="medium">
        <color rgb="FF857362"/>
      </left>
      <right/>
      <top style="thin">
        <color rgb="FF857362"/>
      </top>
      <bottom style="medium">
        <color theme="7" tint="-0.499984740745262"/>
      </bottom>
      <diagonal/>
    </border>
    <border>
      <left style="thin">
        <color rgb="FF857362"/>
      </left>
      <right style="medium">
        <color rgb="FF857362"/>
      </right>
      <top style="thin">
        <color rgb="FF857362"/>
      </top>
      <bottom style="medium">
        <color theme="7" tint="-0.499984740745262"/>
      </bottom>
      <diagonal/>
    </border>
    <border>
      <left style="thin">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diagonal/>
    </border>
    <border>
      <left style="thin">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rgb="FF857362"/>
      </right>
      <top style="thin">
        <color rgb="FF857362"/>
      </top>
      <bottom style="thin">
        <color rgb="FF857362"/>
      </bottom>
      <diagonal/>
    </border>
    <border>
      <left style="medium">
        <color theme="7" tint="-0.499984740745262"/>
      </left>
      <right style="thin">
        <color theme="7" tint="-0.499984740745262"/>
      </right>
      <top style="thin">
        <color rgb="FF857362"/>
      </top>
      <bottom style="medium">
        <color rgb="FF857362"/>
      </bottom>
      <diagonal/>
    </border>
    <border>
      <left/>
      <right style="thin">
        <color rgb="FF757171"/>
      </right>
      <top style="medium">
        <color rgb="FF757171"/>
      </top>
      <bottom style="medium">
        <color rgb="FF757171"/>
      </bottom>
      <diagonal/>
    </border>
    <border>
      <left/>
      <right style="thin">
        <color rgb="FF757171"/>
      </right>
      <top style="medium">
        <color rgb="FF757171"/>
      </top>
      <bottom style="thin">
        <color rgb="FF757171"/>
      </bottom>
      <diagonal/>
    </border>
    <border>
      <left/>
      <right style="thin">
        <color rgb="FF757171"/>
      </right>
      <top style="thin">
        <color rgb="FF757171"/>
      </top>
      <bottom style="thin">
        <color rgb="FF757171"/>
      </bottom>
      <diagonal/>
    </border>
    <border>
      <left style="thin">
        <color indexed="64"/>
      </left>
      <right/>
      <top style="thin">
        <color theme="7" tint="-0.499984740745262"/>
      </top>
      <bottom style="medium">
        <color theme="7" tint="-0.499984740745262"/>
      </bottom>
      <diagonal/>
    </border>
    <border>
      <left style="medium">
        <color rgb="FF857362"/>
      </left>
      <right/>
      <top style="medium">
        <color theme="7" tint="-0.499984740745262"/>
      </top>
      <bottom style="medium">
        <color rgb="FF857362"/>
      </bottom>
      <diagonal/>
    </border>
    <border>
      <left/>
      <right style="medium">
        <color theme="7" tint="-0.499984740745262"/>
      </right>
      <top style="medium">
        <color theme="7" tint="-0.499984740745262"/>
      </top>
      <bottom style="medium">
        <color rgb="FF857362"/>
      </bottom>
      <diagonal/>
    </border>
    <border>
      <left/>
      <right/>
      <top style="medium">
        <color theme="7" tint="-0.499984740745262"/>
      </top>
      <bottom style="medium">
        <color rgb="FF857362"/>
      </bottom>
      <diagonal/>
    </border>
    <border>
      <left style="medium">
        <color theme="7" tint="-0.499984740745262"/>
      </left>
      <right style="thin">
        <color indexed="64"/>
      </right>
      <top style="thin">
        <color theme="7" tint="-0.499984740745262"/>
      </top>
      <bottom style="thin">
        <color theme="7" tint="-0.499984740745262"/>
      </bottom>
      <diagonal/>
    </border>
    <border>
      <left style="thin">
        <color indexed="64"/>
      </left>
      <right style="medium">
        <color theme="7" tint="-0.499984740745262"/>
      </right>
      <top style="thin">
        <color theme="7" tint="-0.499984740745262"/>
      </top>
      <bottom style="thin">
        <color theme="7" tint="-0.499984740745262"/>
      </bottom>
      <diagonal/>
    </border>
    <border>
      <left/>
      <right style="thin">
        <color indexed="64"/>
      </right>
      <top style="thin">
        <color theme="7" tint="-0.499984740745262"/>
      </top>
      <bottom style="thin">
        <color theme="7" tint="-0.499984740745262"/>
      </bottom>
      <diagonal/>
    </border>
    <border>
      <left style="thin">
        <color indexed="64"/>
      </left>
      <right/>
      <top/>
      <bottom style="thin">
        <color theme="7" tint="-0.499984740745262"/>
      </bottom>
      <diagonal/>
    </border>
    <border>
      <left/>
      <right/>
      <top/>
      <bottom style="thin">
        <color theme="7" tint="-0.499984740745262"/>
      </bottom>
      <diagonal/>
    </border>
    <border>
      <left/>
      <right style="medium">
        <color theme="7" tint="-0.499984740745262"/>
      </right>
      <top/>
      <bottom style="thin">
        <color theme="7" tint="-0.499984740745262"/>
      </bottom>
      <diagonal/>
    </border>
    <border>
      <left style="thin">
        <color indexed="64"/>
      </left>
      <right/>
      <top style="thin">
        <color theme="7" tint="-0.499984740745262"/>
      </top>
      <bottom style="thin">
        <color theme="7" tint="-0.499984740745262"/>
      </bottom>
      <diagonal/>
    </border>
    <border>
      <left style="medium">
        <color theme="7" tint="-0.499984740745262"/>
      </left>
      <right style="thin">
        <color indexed="64"/>
      </right>
      <top style="thin">
        <color theme="7" tint="-0.499984740745262"/>
      </top>
      <bottom style="medium">
        <color theme="7" tint="-0.499984740745262"/>
      </bottom>
      <diagonal/>
    </border>
    <border>
      <left style="thin">
        <color indexed="64"/>
      </left>
      <right style="medium">
        <color theme="7" tint="-0.499984740745262"/>
      </right>
      <top style="thin">
        <color theme="7" tint="-0.499984740745262"/>
      </top>
      <bottom style="medium">
        <color theme="7" tint="-0.499984740745262"/>
      </bottom>
      <diagonal/>
    </border>
    <border>
      <left/>
      <right style="thin">
        <color indexed="64"/>
      </right>
      <top style="thin">
        <color theme="7" tint="-0.499984740745262"/>
      </top>
      <bottom style="medium">
        <color theme="7" tint="-0.499984740745262"/>
      </bottom>
      <diagonal/>
    </border>
    <border>
      <left/>
      <right style="thin">
        <color indexed="64"/>
      </right>
      <top/>
      <bottom/>
      <diagonal/>
    </border>
    <border>
      <left style="medium">
        <color rgb="FF857362"/>
      </left>
      <right/>
      <top style="medium">
        <color rgb="FF857362"/>
      </top>
      <bottom style="medium">
        <color theme="7" tint="-0.499984740745262"/>
      </bottom>
      <diagonal/>
    </border>
    <border>
      <left style="thin">
        <color rgb="FF857362"/>
      </left>
      <right style="medium">
        <color rgb="FF857362"/>
      </right>
      <top style="medium">
        <color rgb="FF857362"/>
      </top>
      <bottom style="medium">
        <color theme="7" tint="-0.499984740745262"/>
      </bottom>
      <diagonal/>
    </border>
    <border>
      <left style="thin">
        <color rgb="FF857362"/>
      </left>
      <right/>
      <top/>
      <bottom/>
      <diagonal/>
    </border>
    <border>
      <left style="medium">
        <color indexed="64"/>
      </left>
      <right/>
      <top style="medium">
        <color rgb="FF857362"/>
      </top>
      <bottom style="medium">
        <color rgb="FF857362"/>
      </bottom>
      <diagonal/>
    </border>
    <border>
      <left style="medium">
        <color indexed="64"/>
      </left>
      <right/>
      <top style="medium">
        <color rgb="FF857362"/>
      </top>
      <bottom style="medium">
        <color indexed="64"/>
      </bottom>
      <diagonal/>
    </border>
    <border>
      <left/>
      <right/>
      <top style="medium">
        <color rgb="FF857362"/>
      </top>
      <bottom style="medium">
        <color indexed="64"/>
      </bottom>
      <diagonal/>
    </border>
    <border>
      <left/>
      <right style="medium">
        <color rgb="FF857362"/>
      </right>
      <top style="medium">
        <color rgb="FF857362"/>
      </top>
      <bottom style="medium">
        <color indexed="64"/>
      </bottom>
      <diagonal/>
    </border>
    <border>
      <left style="medium">
        <color rgb="FF857362"/>
      </left>
      <right style="medium">
        <color theme="7" tint="-0.499984740745262"/>
      </right>
      <top style="thin">
        <color rgb="FF857362"/>
      </top>
      <bottom style="thin">
        <color rgb="FF857362"/>
      </bottom>
      <diagonal/>
    </border>
    <border>
      <left style="medium">
        <color rgb="FF857362"/>
      </left>
      <right style="thin">
        <color theme="7" tint="-0.499984740745262"/>
      </right>
      <top style="medium">
        <color theme="7" tint="-0.499984740745262"/>
      </top>
      <bottom/>
      <diagonal/>
    </border>
    <border>
      <left style="medium">
        <color rgb="FF857362"/>
      </left>
      <right style="medium">
        <color theme="7" tint="-0.499984740745262"/>
      </right>
      <top style="thin">
        <color rgb="FF857362"/>
      </top>
      <bottom/>
      <diagonal/>
    </border>
    <border>
      <left style="medium">
        <color rgb="FF857362"/>
      </left>
      <right style="medium">
        <color theme="7" tint="-0.499984740745262"/>
      </right>
      <top/>
      <bottom style="thin">
        <color rgb="FF857362"/>
      </bottom>
      <diagonal/>
    </border>
    <border>
      <left style="medium">
        <color rgb="FF857362"/>
      </left>
      <right style="medium">
        <color theme="7" tint="-0.499984740745262"/>
      </right>
      <top/>
      <bottom/>
      <diagonal/>
    </border>
    <border>
      <left/>
      <right style="thin">
        <color rgb="FF857362"/>
      </right>
      <top/>
      <bottom/>
      <diagonal/>
    </border>
    <border>
      <left style="thin">
        <color theme="7" tint="-0.499984740745262"/>
      </left>
      <right style="medium">
        <color theme="7" tint="-0.499984740745262"/>
      </right>
      <top/>
      <bottom style="thin">
        <color rgb="FF857362"/>
      </bottom>
      <diagonal/>
    </border>
    <border>
      <left style="thin">
        <color rgb="FF857362"/>
      </left>
      <right style="medium">
        <color rgb="FF857362"/>
      </right>
      <top style="medium">
        <color rgb="FF857362"/>
      </top>
      <bottom style="thin">
        <color indexed="64"/>
      </bottom>
      <diagonal/>
    </border>
    <border>
      <left style="thin">
        <color theme="7" tint="-0.499984740745262"/>
      </left>
      <right style="medium">
        <color rgb="FF857362"/>
      </right>
      <top style="thin">
        <color rgb="FF857362"/>
      </top>
      <bottom style="medium">
        <color theme="7" tint="-0.499984740745262"/>
      </bottom>
      <diagonal/>
    </border>
  </borders>
  <cellStyleXfs count="12364">
    <xf numFmtId="0" fontId="0" fillId="0" borderId="0"/>
    <xf numFmtId="43" fontId="1" fillId="0" borderId="0" applyFont="0" applyFill="0" applyBorder="0" applyAlignment="0" applyProtection="0"/>
    <xf numFmtId="9" fontId="1" fillId="0" borderId="0" applyFont="0" applyFill="0" applyBorder="0" applyAlignment="0" applyProtection="0"/>
    <xf numFmtId="164" fontId="4" fillId="2" borderId="0" applyNumberFormat="0">
      <alignment horizontal="left"/>
    </xf>
    <xf numFmtId="0" fontId="7" fillId="3" borderId="0" applyNumberFormat="0"/>
    <xf numFmtId="0" fontId="10" fillId="0" borderId="0" applyNumberFormat="0" applyFill="0" applyBorder="0" applyAlignment="0" applyProtection="0"/>
    <xf numFmtId="0" fontId="1" fillId="0" borderId="0"/>
    <xf numFmtId="0" fontId="20" fillId="8" borderId="0" applyBorder="0"/>
    <xf numFmtId="0" fontId="1" fillId="0" borderId="0"/>
    <xf numFmtId="0" fontId="16" fillId="0" borderId="0"/>
    <xf numFmtId="43" fontId="16" fillId="0" borderId="0" applyFont="0" applyFill="0" applyBorder="0" applyAlignment="0" applyProtection="0"/>
    <xf numFmtId="0" fontId="16" fillId="0" borderId="0"/>
    <xf numFmtId="43" fontId="1" fillId="0" borderId="0" applyFont="0" applyFill="0" applyBorder="0" applyAlignment="0" applyProtection="0"/>
    <xf numFmtId="43" fontId="16" fillId="0" borderId="0" applyFont="0" applyFill="0" applyBorder="0" applyAlignment="0" applyProtection="0"/>
    <xf numFmtId="0" fontId="1" fillId="0" borderId="0"/>
    <xf numFmtId="0" fontId="16" fillId="0" borderId="0"/>
    <xf numFmtId="0" fontId="1" fillId="0" borderId="0"/>
    <xf numFmtId="0" fontId="46" fillId="0" borderId="0"/>
    <xf numFmtId="0" fontId="1" fillId="0" borderId="0"/>
    <xf numFmtId="9" fontId="46" fillId="0" borderId="0" applyFont="0" applyFill="0" applyBorder="0" applyAlignment="0" applyProtection="0"/>
    <xf numFmtId="0" fontId="1" fillId="0" borderId="0"/>
    <xf numFmtId="0" fontId="47" fillId="0" borderId="0"/>
    <xf numFmtId="0" fontId="46" fillId="0" borderId="0"/>
    <xf numFmtId="43" fontId="46" fillId="0" borderId="0" applyFont="0" applyFill="0" applyBorder="0" applyAlignment="0" applyProtection="0"/>
    <xf numFmtId="0" fontId="10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46"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3" fillId="30" borderId="0"/>
    <xf numFmtId="0" fontId="11" fillId="0" borderId="0" applyNumberFormat="0" applyFill="0" applyBorder="0" applyAlignment="0" applyProtection="0"/>
    <xf numFmtId="0" fontId="10" fillId="0" borderId="0" applyNumberFormat="0" applyFill="0" applyBorder="0" applyAlignment="0" applyProtection="0"/>
    <xf numFmtId="0" fontId="108" fillId="0" borderId="0"/>
    <xf numFmtId="0" fontId="115" fillId="0" borderId="0"/>
    <xf numFmtId="0" fontId="114" fillId="0" borderId="0"/>
    <xf numFmtId="0" fontId="114" fillId="0" borderId="0"/>
    <xf numFmtId="0" fontId="116" fillId="0" borderId="0"/>
    <xf numFmtId="0" fontId="1" fillId="0" borderId="0"/>
    <xf numFmtId="0" fontId="46" fillId="0" borderId="0"/>
    <xf numFmtId="0" fontId="1" fillId="0" borderId="0"/>
    <xf numFmtId="0" fontId="46" fillId="0" borderId="0"/>
    <xf numFmtId="0" fontId="1" fillId="0" borderId="0"/>
    <xf numFmtId="40" fontId="109" fillId="9" borderId="0">
      <alignment horizontal="right"/>
    </xf>
    <xf numFmtId="0" fontId="110" fillId="9" borderId="0">
      <alignment horizontal="right"/>
    </xf>
    <xf numFmtId="0" fontId="111" fillId="9" borderId="314"/>
    <xf numFmtId="0" fontId="111" fillId="0" borderId="0" applyBorder="0">
      <alignment horizontal="centerContinuous"/>
    </xf>
    <xf numFmtId="0" fontId="112" fillId="0" borderId="0" applyBorder="0">
      <alignment horizontal="centerContinuous"/>
    </xf>
    <xf numFmtId="9" fontId="106" fillId="0" borderId="0" applyFont="0" applyFill="0" applyBorder="0" applyAlignment="0" applyProtection="0"/>
    <xf numFmtId="9" fontId="106" fillId="0" borderId="0" applyFont="0" applyFill="0" applyBorder="0" applyAlignment="0" applyProtection="0"/>
    <xf numFmtId="9" fontId="106" fillId="0" borderId="0" applyFont="0" applyFill="0" applyBorder="0" applyAlignment="0" applyProtection="0"/>
    <xf numFmtId="9" fontId="1" fillId="0" borderId="0" applyFont="0" applyFill="0" applyBorder="0" applyAlignment="0" applyProtection="0"/>
    <xf numFmtId="9" fontId="106"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46"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46" fillId="0" borderId="0" applyFont="0" applyFill="0" applyBorder="0" applyAlignment="0" applyProtection="0"/>
    <xf numFmtId="9" fontId="106" fillId="0" borderId="0" applyFont="0" applyFill="0" applyBorder="0" applyAlignment="0" applyProtection="0"/>
    <xf numFmtId="9" fontId="1" fillId="0" borderId="0" applyFont="0" applyFill="0" applyBorder="0" applyAlignment="0" applyProtection="0"/>
    <xf numFmtId="9" fontId="10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0" fontId="16" fillId="0" borderId="0"/>
    <xf numFmtId="43"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cellStyleXfs>
  <cellXfs count="3501">
    <xf numFmtId="0" fontId="0" fillId="0" borderId="0" xfId="0"/>
    <xf numFmtId="0" fontId="4" fillId="2" borderId="0" xfId="3" applyNumberFormat="1" applyAlignment="1"/>
    <xf numFmtId="0" fontId="5" fillId="0" borderId="0" xfId="0" applyFont="1" applyFill="1" applyProtection="1"/>
    <xf numFmtId="0" fontId="6" fillId="0" borderId="0" xfId="0" applyFont="1" applyFill="1" applyProtection="1"/>
    <xf numFmtId="0" fontId="8" fillId="0" borderId="0" xfId="0" applyFont="1" applyFill="1" applyProtection="1"/>
    <xf numFmtId="0" fontId="14" fillId="0" borderId="0" xfId="0" applyFont="1" applyFill="1" applyProtection="1"/>
    <xf numFmtId="0" fontId="4" fillId="2" borderId="0" xfId="3" applyNumberFormat="1" applyAlignment="1" applyProtection="1"/>
    <xf numFmtId="0" fontId="4" fillId="2" borderId="0" xfId="0" applyFont="1" applyFill="1" applyBorder="1" applyAlignment="1" applyProtection="1">
      <alignment horizontal="right" vertical="center"/>
    </xf>
    <xf numFmtId="0" fontId="0" fillId="0" borderId="0" xfId="0" applyProtection="1"/>
    <xf numFmtId="0" fontId="17" fillId="0" borderId="0" xfId="0" applyFont="1" applyAlignment="1" applyProtection="1">
      <alignment horizontal="left" vertical="center"/>
    </xf>
    <xf numFmtId="0" fontId="0" fillId="0" borderId="0" xfId="0" applyAlignment="1" applyProtection="1">
      <alignment vertical="center"/>
    </xf>
    <xf numFmtId="0" fontId="18" fillId="3" borderId="2" xfId="4" applyFont="1" applyBorder="1" applyAlignment="1" applyProtection="1">
      <alignment vertical="center"/>
    </xf>
    <xf numFmtId="0" fontId="7" fillId="3" borderId="3" xfId="4" applyFont="1" applyBorder="1" applyAlignment="1" applyProtection="1">
      <alignment horizontal="center" wrapText="1"/>
    </xf>
    <xf numFmtId="0" fontId="7" fillId="3" borderId="3" xfId="4" applyFont="1" applyBorder="1" applyAlignment="1" applyProtection="1">
      <alignment horizontal="center" vertical="center" wrapText="1"/>
    </xf>
    <xf numFmtId="0" fontId="7" fillId="3" borderId="4" xfId="4" applyFont="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20" fillId="0" borderId="0" xfId="0" applyFont="1" applyAlignment="1" applyProtection="1">
      <alignment vertical="center"/>
    </xf>
    <xf numFmtId="0" fontId="19" fillId="5" borderId="9" xfId="0" applyFont="1" applyFill="1" applyBorder="1" applyAlignment="1" applyProtection="1">
      <alignment horizontal="center" vertical="center" wrapText="1"/>
    </xf>
    <xf numFmtId="0" fontId="19" fillId="5" borderId="12" xfId="0" applyFont="1" applyFill="1" applyBorder="1" applyAlignment="1" applyProtection="1">
      <alignment horizontal="center" vertical="center" wrapText="1"/>
    </xf>
    <xf numFmtId="0" fontId="20" fillId="0" borderId="0" xfId="0" applyFont="1" applyBorder="1" applyAlignment="1" applyProtection="1">
      <alignment vertical="center" wrapText="1"/>
    </xf>
    <xf numFmtId="0" fontId="20" fillId="0" borderId="0" xfId="0" applyFont="1" applyBorder="1" applyAlignment="1" applyProtection="1">
      <alignment vertical="center"/>
    </xf>
    <xf numFmtId="0" fontId="0" fillId="0" borderId="0" xfId="0" applyAlignment="1" applyProtection="1">
      <alignment vertical="center" wrapText="1"/>
    </xf>
    <xf numFmtId="0" fontId="18" fillId="3" borderId="2" xfId="4" applyFont="1" applyBorder="1" applyAlignment="1" applyProtection="1">
      <alignment vertical="center" wrapText="1"/>
    </xf>
    <xf numFmtId="0" fontId="20" fillId="0" borderId="0" xfId="0" applyFont="1" applyProtection="1"/>
    <xf numFmtId="0" fontId="22" fillId="8" borderId="25" xfId="7" applyFont="1" applyBorder="1" applyAlignment="1" applyProtection="1">
      <alignment horizontal="center" vertical="center"/>
    </xf>
    <xf numFmtId="0" fontId="23" fillId="4" borderId="9" xfId="9" applyFont="1" applyFill="1" applyBorder="1" applyProtection="1">
      <protection locked="0"/>
    </xf>
    <xf numFmtId="0" fontId="0" fillId="0" borderId="0" xfId="0" applyAlignment="1">
      <alignment vertical="center"/>
    </xf>
    <xf numFmtId="0" fontId="7" fillId="3" borderId="4" xfId="9" applyFont="1" applyFill="1" applyBorder="1" applyAlignment="1" applyProtection="1">
      <alignment vertical="center"/>
    </xf>
    <xf numFmtId="0" fontId="16" fillId="0" borderId="3" xfId="9" applyFont="1" applyFill="1" applyBorder="1" applyAlignment="1" applyProtection="1">
      <alignment vertical="center"/>
    </xf>
    <xf numFmtId="0" fontId="16" fillId="0" borderId="6" xfId="9" applyFont="1" applyFill="1" applyBorder="1" applyAlignment="1" applyProtection="1">
      <alignment vertical="center"/>
    </xf>
    <xf numFmtId="0" fontId="16" fillId="0" borderId="9" xfId="9" applyFont="1" applyFill="1" applyBorder="1" applyAlignment="1" applyProtection="1">
      <alignment vertical="center"/>
    </xf>
    <xf numFmtId="0" fontId="16" fillId="0" borderId="12" xfId="9" applyFont="1" applyFill="1" applyBorder="1" applyAlignment="1" applyProtection="1">
      <alignment vertical="center"/>
    </xf>
    <xf numFmtId="0" fontId="16" fillId="0" borderId="7" xfId="9" applyFont="1" applyFill="1" applyBorder="1" applyAlignment="1" applyProtection="1">
      <alignment vertical="center"/>
    </xf>
    <xf numFmtId="0" fontId="16" fillId="0" borderId="10" xfId="9" applyFont="1" applyFill="1" applyBorder="1" applyAlignment="1" applyProtection="1">
      <alignment vertical="center"/>
    </xf>
    <xf numFmtId="0" fontId="24" fillId="3" borderId="33" xfId="0" applyNumberFormat="1" applyFont="1" applyFill="1" applyBorder="1" applyAlignment="1" applyProtection="1">
      <alignment vertical="center"/>
    </xf>
    <xf numFmtId="0" fontId="0" fillId="0" borderId="0" xfId="0" applyNumberFormat="1" applyFont="1" applyFill="1" applyBorder="1" applyAlignment="1" applyProtection="1">
      <alignment vertical="center"/>
    </xf>
    <xf numFmtId="165" fontId="23" fillId="4" borderId="5" xfId="9" applyNumberFormat="1" applyFont="1" applyFill="1" applyBorder="1" applyProtection="1">
      <protection locked="0"/>
    </xf>
    <xf numFmtId="165" fontId="23" fillId="4" borderId="6" xfId="9" applyNumberFormat="1" applyFont="1" applyFill="1" applyBorder="1" applyProtection="1">
      <protection locked="0"/>
    </xf>
    <xf numFmtId="165" fontId="23" fillId="4" borderId="7" xfId="9" applyNumberFormat="1" applyFont="1" applyFill="1" applyBorder="1" applyProtection="1">
      <protection locked="0"/>
    </xf>
    <xf numFmtId="165" fontId="23" fillId="4" borderId="54" xfId="9" applyNumberFormat="1" applyFont="1" applyFill="1" applyBorder="1" applyProtection="1">
      <protection locked="0"/>
    </xf>
    <xf numFmtId="165" fontId="23" fillId="4" borderId="8" xfId="9" applyNumberFormat="1" applyFont="1" applyFill="1" applyBorder="1" applyProtection="1">
      <protection locked="0"/>
    </xf>
    <xf numFmtId="165" fontId="23" fillId="4" borderId="9" xfId="9" applyNumberFormat="1" applyFont="1" applyFill="1" applyBorder="1" applyProtection="1">
      <protection locked="0"/>
    </xf>
    <xf numFmtId="165" fontId="23" fillId="4" borderId="10" xfId="9" applyNumberFormat="1" applyFont="1" applyFill="1" applyBorder="1" applyProtection="1">
      <protection locked="0"/>
    </xf>
    <xf numFmtId="165" fontId="23" fillId="4" borderId="56" xfId="9" applyNumberFormat="1" applyFont="1" applyFill="1" applyBorder="1" applyProtection="1">
      <protection locked="0"/>
    </xf>
    <xf numFmtId="165" fontId="23" fillId="4" borderId="31" xfId="9" applyNumberFormat="1" applyFont="1" applyFill="1" applyBorder="1" applyProtection="1">
      <protection locked="0"/>
    </xf>
    <xf numFmtId="165" fontId="23" fillId="4" borderId="32" xfId="9" applyNumberFormat="1" applyFont="1" applyFill="1" applyBorder="1" applyProtection="1">
      <protection locked="0"/>
    </xf>
    <xf numFmtId="165" fontId="23" fillId="4" borderId="28" xfId="9" applyNumberFormat="1" applyFont="1" applyFill="1" applyBorder="1" applyProtection="1">
      <protection locked="0"/>
    </xf>
    <xf numFmtId="165" fontId="23" fillId="4" borderId="29" xfId="9" applyNumberFormat="1" applyFont="1" applyFill="1" applyBorder="1" applyProtection="1">
      <protection locked="0"/>
    </xf>
    <xf numFmtId="165" fontId="23" fillId="4" borderId="110" xfId="9" applyNumberFormat="1" applyFont="1" applyFill="1" applyBorder="1" applyProtection="1">
      <protection locked="0"/>
    </xf>
    <xf numFmtId="0" fontId="9" fillId="0" borderId="0" xfId="0" applyFont="1"/>
    <xf numFmtId="0" fontId="7" fillId="3" borderId="0" xfId="4" applyAlignment="1">
      <alignment vertical="center" wrapText="1"/>
    </xf>
    <xf numFmtId="0" fontId="7" fillId="3" borderId="0" xfId="4" applyAlignment="1">
      <alignment vertical="center"/>
    </xf>
    <xf numFmtId="0" fontId="39" fillId="11" borderId="0" xfId="0" applyNumberFormat="1" applyFont="1" applyFill="1" applyBorder="1" applyAlignment="1">
      <alignment horizontal="left" vertical="top" wrapText="1"/>
    </xf>
    <xf numFmtId="0" fontId="39" fillId="11" borderId="0" xfId="0" applyFont="1" applyFill="1" applyBorder="1" applyAlignment="1">
      <alignment horizontal="left" vertical="top" wrapText="1"/>
    </xf>
    <xf numFmtId="0" fontId="9" fillId="0" borderId="0" xfId="0" applyFont="1" applyBorder="1"/>
    <xf numFmtId="0" fontId="39" fillId="0" borderId="0" xfId="0" applyFont="1" applyBorder="1"/>
    <xf numFmtId="0" fontId="9" fillId="0" borderId="0" xfId="0" applyNumberFormat="1" applyFont="1" applyBorder="1" applyAlignment="1">
      <alignment horizontal="left" vertical="top" wrapText="1"/>
    </xf>
    <xf numFmtId="0" fontId="9" fillId="0" borderId="0" xfId="0" applyFont="1" applyBorder="1" applyAlignment="1">
      <alignment horizontal="left" vertical="top" wrapText="1"/>
    </xf>
    <xf numFmtId="0" fontId="9" fillId="0" borderId="0" xfId="0" quotePrefix="1" applyFont="1" applyBorder="1" applyAlignment="1">
      <alignment horizontal="left" vertical="top" wrapText="1"/>
    </xf>
    <xf numFmtId="0" fontId="16" fillId="0" borderId="0" xfId="0" applyFont="1" applyBorder="1" applyAlignment="1">
      <alignment horizontal="left" vertical="top" wrapText="1"/>
    </xf>
    <xf numFmtId="0" fontId="3" fillId="0" borderId="0" xfId="0" applyFont="1"/>
    <xf numFmtId="0" fontId="40" fillId="12" borderId="111" xfId="0" applyFont="1" applyFill="1" applyBorder="1" applyAlignment="1">
      <alignment vertical="center" wrapText="1"/>
    </xf>
    <xf numFmtId="0" fontId="41" fillId="13" borderId="112" xfId="0" applyFont="1" applyFill="1" applyBorder="1" applyAlignment="1">
      <alignment vertical="center" wrapText="1"/>
    </xf>
    <xf numFmtId="0" fontId="42" fillId="0" borderId="0" xfId="0" applyFont="1" applyAlignment="1">
      <alignment vertical="center"/>
    </xf>
    <xf numFmtId="0" fontId="41" fillId="0" borderId="0" xfId="0" applyFont="1" applyFill="1" applyBorder="1" applyAlignment="1">
      <alignment vertical="center"/>
    </xf>
    <xf numFmtId="0" fontId="43" fillId="0" borderId="0" xfId="0" applyFont="1" applyAlignment="1">
      <alignment vertical="center"/>
    </xf>
    <xf numFmtId="0" fontId="4" fillId="2" borderId="0" xfId="6" applyFont="1" applyFill="1" applyBorder="1" applyAlignment="1" applyProtection="1">
      <alignment vertical="center"/>
    </xf>
    <xf numFmtId="0" fontId="4" fillId="2" borderId="0" xfId="6" applyFont="1" applyFill="1" applyBorder="1" applyAlignment="1" applyProtection="1">
      <alignment horizontal="left" vertical="center"/>
    </xf>
    <xf numFmtId="0" fontId="4" fillId="2" borderId="0" xfId="6" applyFont="1" applyFill="1" applyBorder="1" applyAlignment="1" applyProtection="1">
      <alignment horizontal="right" vertical="center"/>
    </xf>
    <xf numFmtId="0" fontId="21" fillId="2" borderId="0" xfId="6" applyFont="1" applyFill="1" applyBorder="1" applyAlignment="1" applyProtection="1">
      <alignment horizontal="left" vertical="center"/>
    </xf>
    <xf numFmtId="0" fontId="1" fillId="0" borderId="0" xfId="6" applyAlignment="1" applyProtection="1">
      <alignment vertical="center"/>
    </xf>
    <xf numFmtId="0" fontId="1" fillId="3" borderId="0" xfId="6" applyFill="1" applyAlignment="1" applyProtection="1">
      <alignment vertical="center"/>
    </xf>
    <xf numFmtId="0" fontId="16" fillId="0" borderId="0" xfId="0" applyFont="1" applyAlignment="1" applyProtection="1">
      <alignment vertical="center"/>
    </xf>
    <xf numFmtId="0" fontId="9" fillId="0" borderId="0" xfId="6" applyFont="1" applyAlignment="1" applyProtection="1">
      <alignment vertical="center"/>
    </xf>
    <xf numFmtId="0" fontId="16" fillId="0" borderId="0" xfId="9" applyFont="1" applyFill="1" applyAlignment="1" applyProtection="1">
      <alignment vertical="center"/>
    </xf>
    <xf numFmtId="0" fontId="16" fillId="9" borderId="0" xfId="9" applyFill="1" applyAlignment="1" applyProtection="1">
      <alignment vertical="center"/>
    </xf>
    <xf numFmtId="0" fontId="20" fillId="6" borderId="0" xfId="6" applyFont="1" applyFill="1" applyAlignment="1" applyProtection="1">
      <alignment horizontal="left" vertical="center"/>
    </xf>
    <xf numFmtId="0" fontId="1" fillId="6" borderId="0" xfId="6" applyFill="1" applyAlignment="1" applyProtection="1">
      <alignment vertical="center"/>
    </xf>
    <xf numFmtId="0" fontId="7" fillId="3" borderId="12" xfId="6" applyFont="1" applyFill="1" applyBorder="1" applyAlignment="1" applyProtection="1">
      <alignment horizontal="center" vertical="center" wrapText="1"/>
    </xf>
    <xf numFmtId="0" fontId="20" fillId="0" borderId="0" xfId="6" applyFont="1" applyAlignment="1" applyProtection="1">
      <alignment vertical="center"/>
    </xf>
    <xf numFmtId="0" fontId="7" fillId="3" borderId="1" xfId="6" applyFont="1" applyFill="1" applyBorder="1" applyAlignment="1" applyProtection="1">
      <alignment vertical="center"/>
    </xf>
    <xf numFmtId="0" fontId="0" fillId="3" borderId="35" xfId="0" applyFill="1" applyBorder="1" applyProtection="1"/>
    <xf numFmtId="0" fontId="0" fillId="0" borderId="0" xfId="0" applyFill="1" applyProtection="1"/>
    <xf numFmtId="0" fontId="7" fillId="3" borderId="4" xfId="6" applyFont="1" applyFill="1" applyBorder="1" applyAlignment="1" applyProtection="1">
      <alignment vertical="center"/>
    </xf>
    <xf numFmtId="0" fontId="3" fillId="0" borderId="0" xfId="0" applyFont="1" applyFill="1" applyProtection="1"/>
    <xf numFmtId="0" fontId="22" fillId="0" borderId="0" xfId="6" applyFont="1" applyAlignment="1" applyProtection="1">
      <alignment vertical="center"/>
    </xf>
    <xf numFmtId="0" fontId="20" fillId="0" borderId="5" xfId="6" applyFont="1" applyBorder="1" applyAlignment="1" applyProtection="1">
      <alignment horizontal="center" vertical="center"/>
    </xf>
    <xf numFmtId="0" fontId="9" fillId="0" borderId="9" xfId="6" applyFont="1" applyBorder="1" applyAlignment="1" applyProtection="1">
      <alignment vertical="center"/>
    </xf>
    <xf numFmtId="0" fontId="22" fillId="0" borderId="6" xfId="6" applyFont="1" applyBorder="1" applyAlignment="1" applyProtection="1">
      <alignment horizontal="center" vertical="center"/>
    </xf>
    <xf numFmtId="0" fontId="22" fillId="0" borderId="7" xfId="6" applyFont="1" applyBorder="1" applyAlignment="1" applyProtection="1">
      <alignment horizontal="center" vertical="center"/>
    </xf>
    <xf numFmtId="165" fontId="23" fillId="7" borderId="5" xfId="9" applyNumberFormat="1" applyFont="1" applyFill="1" applyBorder="1" applyProtection="1"/>
    <xf numFmtId="0" fontId="22" fillId="0" borderId="5" xfId="6" applyFont="1" applyBorder="1" applyAlignment="1" applyProtection="1">
      <alignment horizontal="center" vertical="center"/>
    </xf>
    <xf numFmtId="1" fontId="16" fillId="0" borderId="0" xfId="9" applyNumberFormat="1" applyFont="1" applyFill="1" applyBorder="1" applyProtection="1"/>
    <xf numFmtId="0" fontId="20" fillId="6" borderId="0" xfId="6" applyFont="1" applyFill="1" applyAlignment="1" applyProtection="1">
      <alignment horizontal="center" vertical="center"/>
    </xf>
    <xf numFmtId="0" fontId="20" fillId="0" borderId="8" xfId="6" applyFont="1" applyBorder="1" applyAlignment="1" applyProtection="1">
      <alignment horizontal="center" vertical="center"/>
    </xf>
    <xf numFmtId="0" fontId="22" fillId="0" borderId="9" xfId="6" applyFont="1" applyBorder="1" applyAlignment="1" applyProtection="1">
      <alignment horizontal="center" vertical="center"/>
    </xf>
    <xf numFmtId="0" fontId="22" fillId="0" borderId="10" xfId="6" applyFont="1" applyBorder="1" applyAlignment="1" applyProtection="1">
      <alignment horizontal="center" vertical="center"/>
    </xf>
    <xf numFmtId="165" fontId="23" fillId="7" borderId="8" xfId="9" applyNumberFormat="1" applyFont="1" applyFill="1" applyBorder="1" applyProtection="1"/>
    <xf numFmtId="0" fontId="22" fillId="0" borderId="8" xfId="6" applyFont="1" applyBorder="1" applyAlignment="1" applyProtection="1">
      <alignment horizontal="center" vertical="center"/>
    </xf>
    <xf numFmtId="0" fontId="22" fillId="0" borderId="11" xfId="6" applyFont="1" applyBorder="1" applyAlignment="1" applyProtection="1">
      <alignment horizontal="center" vertical="center"/>
    </xf>
    <xf numFmtId="0" fontId="22" fillId="0" borderId="13" xfId="6" applyFont="1" applyBorder="1" applyAlignment="1" applyProtection="1">
      <alignment horizontal="center" vertical="center"/>
    </xf>
    <xf numFmtId="0" fontId="20" fillId="0" borderId="11" xfId="6" applyFont="1" applyBorder="1" applyAlignment="1" applyProtection="1">
      <alignment horizontal="center" vertical="center"/>
    </xf>
    <xf numFmtId="0" fontId="9" fillId="0" borderId="12" xfId="6" applyFont="1" applyBorder="1" applyAlignment="1" applyProtection="1">
      <alignment vertical="center"/>
    </xf>
    <xf numFmtId="0" fontId="22" fillId="0" borderId="12" xfId="6" applyFont="1" applyBorder="1" applyAlignment="1" applyProtection="1">
      <alignment horizontal="center" vertical="center"/>
    </xf>
    <xf numFmtId="165" fontId="23" fillId="7" borderId="11" xfId="9" applyNumberFormat="1" applyFont="1" applyFill="1" applyBorder="1" applyProtection="1"/>
    <xf numFmtId="165" fontId="23" fillId="7" borderId="12" xfId="9" applyNumberFormat="1" applyFont="1" applyFill="1" applyBorder="1" applyProtection="1"/>
    <xf numFmtId="165" fontId="23" fillId="7" borderId="13" xfId="9" applyNumberFormat="1" applyFont="1" applyFill="1" applyBorder="1" applyProtection="1"/>
    <xf numFmtId="165" fontId="23" fillId="7" borderId="30" xfId="9" applyNumberFormat="1" applyFont="1" applyFill="1" applyBorder="1" applyProtection="1"/>
    <xf numFmtId="2" fontId="0" fillId="0" borderId="0" xfId="0" applyNumberFormat="1" applyProtection="1"/>
    <xf numFmtId="0" fontId="1" fillId="0" borderId="25" xfId="8" applyBorder="1" applyAlignment="1" applyProtection="1">
      <alignment horizontal="center" vertical="center"/>
    </xf>
    <xf numFmtId="0" fontId="1" fillId="0" borderId="0" xfId="8" applyAlignment="1" applyProtection="1">
      <alignment vertical="center"/>
    </xf>
    <xf numFmtId="165" fontId="1" fillId="0" borderId="0" xfId="8" applyNumberFormat="1" applyAlignment="1" applyProtection="1">
      <alignment vertical="center"/>
    </xf>
    <xf numFmtId="165" fontId="0" fillId="0" borderId="0" xfId="0" applyNumberFormat="1" applyProtection="1"/>
    <xf numFmtId="0" fontId="7" fillId="3" borderId="55" xfId="6" applyFont="1" applyFill="1" applyBorder="1" applyAlignment="1" applyProtection="1">
      <alignment horizontal="center" vertical="center"/>
    </xf>
    <xf numFmtId="0" fontId="7" fillId="3" borderId="16" xfId="6" applyFont="1" applyFill="1" applyBorder="1" applyAlignment="1" applyProtection="1">
      <alignment vertical="center"/>
    </xf>
    <xf numFmtId="0" fontId="22" fillId="0" borderId="0" xfId="6" applyFont="1" applyBorder="1" applyAlignment="1" applyProtection="1">
      <alignment horizontal="center" vertical="center"/>
    </xf>
    <xf numFmtId="165" fontId="0" fillId="0" borderId="0" xfId="0" applyNumberFormat="1" applyBorder="1" applyProtection="1"/>
    <xf numFmtId="0" fontId="9" fillId="0" borderId="6" xfId="6" applyFont="1" applyBorder="1" applyAlignment="1" applyProtection="1">
      <alignment vertical="center"/>
    </xf>
    <xf numFmtId="0" fontId="22" fillId="0" borderId="0" xfId="8" applyFont="1" applyAlignment="1" applyProtection="1">
      <alignment horizontal="center" vertical="center"/>
    </xf>
    <xf numFmtId="0" fontId="20" fillId="3" borderId="0" xfId="8" applyFont="1" applyFill="1" applyAlignment="1" applyProtection="1">
      <alignment horizontal="center" vertical="center"/>
    </xf>
    <xf numFmtId="0" fontId="1" fillId="0" borderId="0" xfId="8" applyAlignment="1" applyProtection="1">
      <alignment horizontal="center" vertical="center"/>
    </xf>
    <xf numFmtId="0" fontId="20" fillId="0" borderId="0" xfId="6" applyFont="1" applyBorder="1" applyAlignment="1" applyProtection="1">
      <alignment horizontal="center" vertical="center"/>
    </xf>
    <xf numFmtId="0" fontId="9" fillId="0" borderId="0" xfId="6" applyFont="1" applyBorder="1" applyAlignment="1" applyProtection="1">
      <alignment vertical="center"/>
    </xf>
    <xf numFmtId="2" fontId="0" fillId="0" borderId="0" xfId="0" applyNumberFormat="1" applyBorder="1" applyProtection="1"/>
    <xf numFmtId="0" fontId="22" fillId="3" borderId="0" xfId="8" applyFont="1" applyFill="1" applyAlignment="1" applyProtection="1">
      <alignment horizontal="center" vertical="center"/>
    </xf>
    <xf numFmtId="165" fontId="23" fillId="7" borderId="35" xfId="9" applyNumberFormat="1" applyFont="1" applyFill="1" applyBorder="1" applyProtection="1"/>
    <xf numFmtId="0" fontId="20" fillId="0" borderId="0" xfId="8" applyFont="1" applyAlignment="1" applyProtection="1">
      <alignment horizontal="center" vertical="center"/>
    </xf>
    <xf numFmtId="0" fontId="20" fillId="0" borderId="0" xfId="6" applyFont="1" applyFill="1" applyAlignment="1" applyProtection="1">
      <alignment horizontal="center" vertical="center"/>
    </xf>
    <xf numFmtId="165" fontId="23" fillId="7" borderId="27" xfId="9" applyNumberFormat="1" applyFont="1" applyFill="1" applyBorder="1" applyProtection="1"/>
    <xf numFmtId="165" fontId="0" fillId="0" borderId="0" xfId="0" applyNumberFormat="1" applyFont="1" applyFill="1" applyBorder="1" applyProtection="1"/>
    <xf numFmtId="0" fontId="9" fillId="0" borderId="0" xfId="8" applyFont="1" applyAlignment="1" applyProtection="1">
      <alignment horizontal="center" vertical="center"/>
    </xf>
    <xf numFmtId="0" fontId="20" fillId="0" borderId="2" xfId="6" applyFont="1" applyBorder="1" applyAlignment="1" applyProtection="1">
      <alignment horizontal="center" vertical="center"/>
    </xf>
    <xf numFmtId="0" fontId="9" fillId="0" borderId="3" xfId="6" applyFont="1" applyBorder="1" applyAlignment="1" applyProtection="1">
      <alignment vertical="center"/>
    </xf>
    <xf numFmtId="0" fontId="22" fillId="0" borderId="3" xfId="6" applyFont="1" applyBorder="1" applyAlignment="1" applyProtection="1">
      <alignment horizontal="center" vertical="center"/>
    </xf>
    <xf numFmtId="0" fontId="22" fillId="0" borderId="4" xfId="6" applyFont="1" applyBorder="1" applyAlignment="1" applyProtection="1">
      <alignment horizontal="center" vertical="center"/>
    </xf>
    <xf numFmtId="165" fontId="23" fillId="7" borderId="2" xfId="9" applyNumberFormat="1" applyFont="1" applyFill="1" applyBorder="1" applyProtection="1"/>
    <xf numFmtId="165" fontId="23" fillId="7" borderId="3" xfId="9" applyNumberFormat="1" applyFont="1" applyFill="1" applyBorder="1" applyProtection="1"/>
    <xf numFmtId="165" fontId="23" fillId="7" borderId="4" xfId="9" applyNumberFormat="1" applyFont="1" applyFill="1" applyBorder="1" applyProtection="1"/>
    <xf numFmtId="165" fontId="23" fillId="7" borderId="1" xfId="9" applyNumberFormat="1" applyFont="1" applyFill="1" applyBorder="1" applyProtection="1"/>
    <xf numFmtId="0" fontId="20" fillId="0" borderId="0" xfId="0" applyFont="1" applyFill="1" applyBorder="1" applyProtection="1"/>
    <xf numFmtId="0" fontId="0" fillId="0" borderId="0" xfId="0" applyBorder="1" applyProtection="1"/>
    <xf numFmtId="0" fontId="23" fillId="0" borderId="0" xfId="9" applyFont="1" applyFill="1" applyAlignment="1" applyProtection="1">
      <alignment vertical="center"/>
    </xf>
    <xf numFmtId="0" fontId="23" fillId="0" borderId="0" xfId="9" applyFont="1" applyFill="1" applyAlignment="1" applyProtection="1">
      <alignment horizontal="left" vertical="center"/>
    </xf>
    <xf numFmtId="0" fontId="23" fillId="0" borderId="0" xfId="9" applyFont="1" applyFill="1" applyAlignment="1" applyProtection="1">
      <alignment horizontal="left"/>
    </xf>
    <xf numFmtId="0" fontId="23" fillId="7" borderId="9" xfId="9" applyFont="1" applyFill="1" applyBorder="1" applyProtection="1"/>
    <xf numFmtId="0" fontId="23" fillId="0" borderId="0" xfId="9" applyFont="1" applyFill="1" applyBorder="1" applyProtection="1"/>
    <xf numFmtId="0" fontId="24" fillId="3" borderId="33" xfId="9" applyFont="1" applyFill="1" applyBorder="1" applyAlignment="1" applyProtection="1">
      <alignment vertical="center"/>
    </xf>
    <xf numFmtId="0" fontId="25" fillId="3" borderId="34" xfId="9" applyFont="1" applyFill="1" applyBorder="1" applyAlignment="1" applyProtection="1">
      <alignment horizontal="left" vertical="center"/>
    </xf>
    <xf numFmtId="0" fontId="25" fillId="3" borderId="34" xfId="9" applyFont="1" applyFill="1" applyBorder="1" applyAlignment="1" applyProtection="1">
      <alignment vertical="center"/>
    </xf>
    <xf numFmtId="0" fontId="26" fillId="3" borderId="35" xfId="9" applyFont="1" applyFill="1" applyBorder="1" applyAlignment="1" applyProtection="1">
      <alignment vertical="center"/>
    </xf>
    <xf numFmtId="0" fontId="16" fillId="0" borderId="0" xfId="9" applyFont="1" applyFill="1" applyBorder="1" applyProtection="1"/>
    <xf numFmtId="0" fontId="16" fillId="0" borderId="0" xfId="9" applyFont="1" applyFill="1" applyAlignment="1" applyProtection="1">
      <alignment horizontal="left"/>
    </xf>
    <xf numFmtId="0" fontId="1" fillId="0" borderId="0" xfId="8" applyAlignment="1" applyProtection="1">
      <alignment horizontal="left" vertical="center"/>
    </xf>
    <xf numFmtId="0" fontId="38" fillId="0" borderId="0" xfId="8" applyFont="1" applyAlignment="1" applyProtection="1">
      <alignment vertical="center"/>
    </xf>
    <xf numFmtId="0" fontId="26" fillId="3" borderId="35" xfId="9" applyFont="1" applyFill="1" applyBorder="1" applyAlignment="1" applyProtection="1">
      <alignment horizontal="right" vertical="center"/>
    </xf>
    <xf numFmtId="0" fontId="16" fillId="0" borderId="0" xfId="9" applyFont="1" applyFill="1" applyAlignment="1" applyProtection="1">
      <alignment horizontal="left" vertical="center"/>
    </xf>
    <xf numFmtId="0" fontId="12" fillId="0" borderId="2" xfId="9" applyFont="1" applyFill="1" applyBorder="1" applyAlignment="1" applyProtection="1">
      <alignment horizontal="center" vertical="top"/>
    </xf>
    <xf numFmtId="0" fontId="22" fillId="0" borderId="35" xfId="8" applyFont="1" applyBorder="1" applyAlignment="1" applyProtection="1">
      <alignment horizontal="center" vertical="center"/>
    </xf>
    <xf numFmtId="0" fontId="28" fillId="0" borderId="0" xfId="6" applyFont="1" applyAlignment="1" applyProtection="1">
      <alignment horizontal="center" vertical="center"/>
    </xf>
    <xf numFmtId="0" fontId="23" fillId="0" borderId="8" xfId="9" applyFont="1" applyFill="1" applyBorder="1" applyAlignment="1" applyProtection="1">
      <alignment horizontal="center" vertical="top"/>
    </xf>
    <xf numFmtId="0" fontId="23" fillId="0" borderId="11" xfId="0" applyFont="1" applyBorder="1" applyAlignment="1" applyProtection="1">
      <alignment horizontal="center" vertical="top"/>
    </xf>
    <xf numFmtId="0" fontId="28" fillId="0" borderId="0" xfId="6" applyFont="1" applyAlignment="1" applyProtection="1">
      <alignment horizontal="center" vertical="center" wrapText="1"/>
    </xf>
    <xf numFmtId="0" fontId="16" fillId="0" borderId="0" xfId="9" applyFill="1" applyAlignment="1" applyProtection="1">
      <alignment vertical="center"/>
    </xf>
    <xf numFmtId="0" fontId="20" fillId="0" borderId="0" xfId="8" applyFont="1" applyAlignment="1" applyProtection="1">
      <alignment vertical="center"/>
    </xf>
    <xf numFmtId="0" fontId="22" fillId="0" borderId="0" xfId="6" applyFont="1" applyFill="1" applyAlignment="1" applyProtection="1">
      <alignment vertical="center"/>
    </xf>
    <xf numFmtId="165" fontId="20" fillId="0" borderId="0" xfId="6" applyNumberFormat="1" applyFont="1" applyAlignment="1" applyProtection="1">
      <alignment vertical="center"/>
    </xf>
    <xf numFmtId="0" fontId="16" fillId="0" borderId="0" xfId="9" applyFont="1" applyFill="1" applyAlignment="1" applyProtection="1">
      <alignment vertical="center" wrapText="1"/>
    </xf>
    <xf numFmtId="0" fontId="22" fillId="0" borderId="47" xfId="6" applyFont="1" applyBorder="1" applyAlignment="1" applyProtection="1">
      <alignment horizontal="center" vertical="center"/>
    </xf>
    <xf numFmtId="0" fontId="22" fillId="0" borderId="50" xfId="6" applyFont="1" applyBorder="1" applyAlignment="1" applyProtection="1">
      <alignment horizontal="center" vertical="center"/>
    </xf>
    <xf numFmtId="0" fontId="0" fillId="0" borderId="0" xfId="6" applyFont="1" applyAlignment="1" applyProtection="1">
      <alignment vertical="center"/>
    </xf>
    <xf numFmtId="0" fontId="20" fillId="0" borderId="46" xfId="6" applyFont="1" applyBorder="1" applyAlignment="1" applyProtection="1">
      <alignment horizontal="center" vertical="center"/>
    </xf>
    <xf numFmtId="0" fontId="9" fillId="0" borderId="47" xfId="6" applyFont="1" applyBorder="1" applyAlignment="1" applyProtection="1">
      <alignment vertical="center"/>
    </xf>
    <xf numFmtId="0" fontId="9" fillId="0" borderId="47" xfId="6" applyFont="1" applyBorder="1" applyAlignment="1" applyProtection="1">
      <alignment vertical="center" wrapText="1"/>
    </xf>
    <xf numFmtId="0" fontId="9" fillId="0" borderId="9" xfId="6" applyFont="1" applyBorder="1" applyAlignment="1" applyProtection="1">
      <alignment vertical="center" wrapText="1"/>
    </xf>
    <xf numFmtId="0" fontId="20" fillId="0" borderId="19" xfId="6" applyFont="1" applyBorder="1" applyAlignment="1" applyProtection="1">
      <alignment horizontal="center" vertical="center"/>
    </xf>
    <xf numFmtId="0" fontId="22" fillId="0" borderId="20" xfId="6" applyFont="1" applyBorder="1" applyAlignment="1" applyProtection="1">
      <alignment horizontal="center" vertical="center"/>
    </xf>
    <xf numFmtId="0" fontId="22" fillId="0" borderId="21" xfId="6" applyFont="1" applyBorder="1" applyAlignment="1" applyProtection="1">
      <alignment horizontal="center" vertical="center"/>
    </xf>
    <xf numFmtId="0" fontId="16" fillId="0" borderId="0" xfId="9" applyFont="1" applyFill="1" applyProtection="1"/>
    <xf numFmtId="0" fontId="9" fillId="0" borderId="0" xfId="8" applyFont="1" applyAlignment="1" applyProtection="1">
      <alignment vertical="center"/>
    </xf>
    <xf numFmtId="0" fontId="9" fillId="0" borderId="0" xfId="8" applyFont="1" applyAlignment="1" applyProtection="1">
      <alignment horizontal="left" vertical="center"/>
    </xf>
    <xf numFmtId="0" fontId="28" fillId="0" borderId="0" xfId="6" applyFont="1" applyAlignment="1" applyProtection="1">
      <alignment horizontal="center" vertical="top"/>
    </xf>
    <xf numFmtId="0" fontId="23" fillId="0" borderId="5" xfId="9" applyFont="1" applyFill="1" applyBorder="1" applyAlignment="1" applyProtection="1">
      <alignment horizontal="center" vertical="top"/>
    </xf>
    <xf numFmtId="0" fontId="28" fillId="0" borderId="0" xfId="6" applyFont="1" applyAlignment="1" applyProtection="1">
      <alignment horizontal="center" vertical="top" wrapText="1"/>
    </xf>
    <xf numFmtId="0" fontId="23" fillId="0" borderId="11" xfId="9" applyFont="1" applyFill="1" applyBorder="1" applyAlignment="1" applyProtection="1">
      <alignment horizontal="center" vertical="top"/>
    </xf>
    <xf numFmtId="0" fontId="7" fillId="3" borderId="3" xfId="6" applyFont="1" applyFill="1" applyBorder="1" applyAlignment="1" applyProtection="1">
      <alignment horizontal="center" vertical="center"/>
    </xf>
    <xf numFmtId="0" fontId="7" fillId="3" borderId="4" xfId="6" applyFont="1" applyFill="1" applyBorder="1" applyAlignment="1" applyProtection="1">
      <alignment horizontal="center" vertical="center"/>
    </xf>
    <xf numFmtId="0" fontId="7" fillId="3" borderId="2" xfId="6" applyFont="1" applyFill="1" applyBorder="1" applyAlignment="1" applyProtection="1">
      <alignment horizontal="center" vertical="center" wrapText="1"/>
    </xf>
    <xf numFmtId="0" fontId="7" fillId="3" borderId="4" xfId="6" applyFont="1" applyFill="1" applyBorder="1" applyAlignment="1" applyProtection="1">
      <alignment horizontal="center" vertical="center" wrapText="1"/>
    </xf>
    <xf numFmtId="165" fontId="20" fillId="7" borderId="5" xfId="6" applyNumberFormat="1" applyFont="1" applyFill="1" applyBorder="1" applyAlignment="1" applyProtection="1">
      <alignment vertical="center"/>
    </xf>
    <xf numFmtId="165" fontId="20" fillId="7" borderId="6" xfId="6" applyNumberFormat="1" applyFont="1" applyFill="1" applyBorder="1" applyAlignment="1" applyProtection="1">
      <alignment vertical="center"/>
    </xf>
    <xf numFmtId="165" fontId="20" fillId="7" borderId="7" xfId="6" applyNumberFormat="1" applyFont="1" applyFill="1" applyBorder="1" applyAlignment="1" applyProtection="1">
      <alignment vertical="center"/>
    </xf>
    <xf numFmtId="165" fontId="20" fillId="7" borderId="10" xfId="6" applyNumberFormat="1" applyFont="1" applyFill="1" applyBorder="1" applyAlignment="1" applyProtection="1">
      <alignment vertical="center"/>
    </xf>
    <xf numFmtId="0" fontId="1" fillId="0" borderId="0" xfId="6" applyFill="1" applyAlignment="1" applyProtection="1">
      <alignment vertical="center"/>
    </xf>
    <xf numFmtId="165" fontId="20" fillId="7" borderId="11" xfId="6" applyNumberFormat="1" applyFont="1" applyFill="1" applyBorder="1" applyAlignment="1" applyProtection="1">
      <alignment vertical="center"/>
    </xf>
    <xf numFmtId="165" fontId="20" fillId="7" borderId="12" xfId="6" applyNumberFormat="1" applyFont="1" applyFill="1" applyBorder="1" applyAlignment="1" applyProtection="1">
      <alignment vertical="center"/>
    </xf>
    <xf numFmtId="165" fontId="20" fillId="7" borderId="13" xfId="6" applyNumberFormat="1" applyFont="1" applyFill="1" applyBorder="1" applyAlignment="1" applyProtection="1">
      <alignment vertical="center"/>
    </xf>
    <xf numFmtId="165" fontId="20" fillId="7" borderId="24" xfId="6" applyNumberFormat="1" applyFont="1" applyFill="1" applyBorder="1" applyAlignment="1" applyProtection="1">
      <alignment vertical="center"/>
    </xf>
    <xf numFmtId="165" fontId="20" fillId="7" borderId="26" xfId="6" applyNumberFormat="1" applyFont="1" applyFill="1" applyBorder="1" applyAlignment="1" applyProtection="1">
      <alignment vertical="center"/>
    </xf>
    <xf numFmtId="165" fontId="20" fillId="7" borderId="27" xfId="6" applyNumberFormat="1" applyFont="1" applyFill="1" applyBorder="1" applyAlignment="1" applyProtection="1">
      <alignment vertical="center"/>
    </xf>
    <xf numFmtId="165" fontId="20" fillId="7" borderId="31" xfId="6" applyNumberFormat="1" applyFont="1" applyFill="1" applyBorder="1" applyAlignment="1" applyProtection="1">
      <alignment vertical="center"/>
    </xf>
    <xf numFmtId="165" fontId="20" fillId="7" borderId="30" xfId="6" applyNumberFormat="1" applyFont="1" applyFill="1" applyBorder="1" applyAlignment="1" applyProtection="1">
      <alignment vertical="center"/>
    </xf>
    <xf numFmtId="0" fontId="20" fillId="0" borderId="25" xfId="8" applyFont="1" applyBorder="1" applyAlignment="1" applyProtection="1">
      <alignment horizontal="center" vertical="center"/>
    </xf>
    <xf numFmtId="0" fontId="28" fillId="0" borderId="0" xfId="6" applyFont="1" applyBorder="1" applyAlignment="1" applyProtection="1">
      <alignment horizontal="center" vertical="center" wrapText="1"/>
    </xf>
    <xf numFmtId="0" fontId="20" fillId="0" borderId="0" xfId="8" applyFont="1" applyProtection="1"/>
    <xf numFmtId="0" fontId="23" fillId="0" borderId="0" xfId="9" applyFont="1" applyFill="1" applyBorder="1" applyAlignment="1" applyProtection="1">
      <alignment horizontal="center" vertical="top"/>
    </xf>
    <xf numFmtId="0" fontId="23" fillId="0" borderId="0" xfId="9" applyFont="1" applyFill="1" applyBorder="1" applyAlignment="1" applyProtection="1">
      <alignment vertical="center" wrapText="1"/>
    </xf>
    <xf numFmtId="0" fontId="28" fillId="0" borderId="0" xfId="8" applyFont="1" applyAlignment="1" applyProtection="1">
      <alignment horizontal="center"/>
    </xf>
    <xf numFmtId="0" fontId="28" fillId="0" borderId="0" xfId="8" applyFont="1" applyAlignment="1" applyProtection="1">
      <alignment horizontal="center" wrapText="1"/>
    </xf>
    <xf numFmtId="0" fontId="1" fillId="0" borderId="89" xfId="6" applyBorder="1" applyAlignment="1" applyProtection="1">
      <alignment vertical="center"/>
    </xf>
    <xf numFmtId="0" fontId="1" fillId="0" borderId="90" xfId="6" applyBorder="1" applyAlignment="1" applyProtection="1">
      <alignment vertical="center"/>
    </xf>
    <xf numFmtId="0" fontId="1" fillId="0" borderId="91" xfId="6" applyBorder="1" applyAlignment="1" applyProtection="1">
      <alignment vertical="center"/>
    </xf>
    <xf numFmtId="0" fontId="7" fillId="3" borderId="70" xfId="6" applyFont="1" applyFill="1" applyBorder="1" applyAlignment="1" applyProtection="1">
      <alignment horizontal="center" vertical="center" wrapText="1"/>
    </xf>
    <xf numFmtId="0" fontId="7" fillId="3" borderId="71" xfId="6" applyFont="1" applyFill="1" applyBorder="1" applyAlignment="1" applyProtection="1">
      <alignment horizontal="center" vertical="center" wrapText="1"/>
    </xf>
    <xf numFmtId="0" fontId="7" fillId="3" borderId="73" xfId="6" applyFont="1" applyFill="1" applyBorder="1" applyAlignment="1" applyProtection="1">
      <alignment horizontal="center" vertical="center" wrapText="1"/>
    </xf>
    <xf numFmtId="0" fontId="7" fillId="3" borderId="72" xfId="6" applyFont="1" applyFill="1" applyBorder="1" applyAlignment="1" applyProtection="1">
      <alignment horizontal="center" vertical="center" wrapText="1"/>
    </xf>
    <xf numFmtId="0" fontId="22" fillId="0" borderId="36" xfId="6" applyFont="1" applyBorder="1" applyAlignment="1" applyProtection="1">
      <alignment horizontal="center" vertical="center"/>
    </xf>
    <xf numFmtId="165" fontId="20" fillId="7" borderId="69" xfId="6" applyNumberFormat="1" applyFont="1" applyFill="1" applyBorder="1" applyAlignment="1" applyProtection="1">
      <alignment vertical="center"/>
    </xf>
    <xf numFmtId="0" fontId="22" fillId="0" borderId="38" xfId="6" applyFont="1" applyBorder="1" applyAlignment="1" applyProtection="1">
      <alignment horizontal="center" vertical="center"/>
    </xf>
    <xf numFmtId="165" fontId="20" fillId="7" borderId="95" xfId="6" applyNumberFormat="1" applyFont="1" applyFill="1" applyBorder="1" applyAlignment="1" applyProtection="1">
      <alignment vertical="center"/>
    </xf>
    <xf numFmtId="0" fontId="9" fillId="0" borderId="44" xfId="6" applyFont="1" applyBorder="1" applyAlignment="1" applyProtection="1">
      <alignment vertical="center"/>
    </xf>
    <xf numFmtId="165" fontId="20" fillId="10" borderId="96" xfId="6" applyNumberFormat="1" applyFont="1" applyFill="1" applyBorder="1" applyAlignment="1" applyProtection="1">
      <alignment vertical="center"/>
    </xf>
    <xf numFmtId="165" fontId="20" fillId="10" borderId="0" xfId="6" applyNumberFormat="1" applyFont="1" applyFill="1" applyBorder="1" applyAlignment="1" applyProtection="1">
      <alignment vertical="center"/>
    </xf>
    <xf numFmtId="165" fontId="20" fillId="7" borderId="97" xfId="6" applyNumberFormat="1" applyFont="1" applyFill="1" applyBorder="1" applyAlignment="1" applyProtection="1">
      <alignment vertical="center"/>
    </xf>
    <xf numFmtId="165" fontId="20" fillId="0" borderId="0" xfId="6" applyNumberFormat="1" applyFont="1" applyFill="1" applyAlignment="1" applyProtection="1">
      <alignment vertical="center"/>
    </xf>
    <xf numFmtId="0" fontId="1" fillId="0" borderId="25" xfId="6" applyBorder="1" applyAlignment="1" applyProtection="1">
      <alignment vertical="center"/>
    </xf>
    <xf numFmtId="0" fontId="22" fillId="0" borderId="40" xfId="6" applyFont="1" applyBorder="1" applyAlignment="1" applyProtection="1">
      <alignment horizontal="center" vertical="center"/>
    </xf>
    <xf numFmtId="165" fontId="20" fillId="7" borderId="75" xfId="6" applyNumberFormat="1" applyFont="1" applyFill="1" applyBorder="1" applyAlignment="1" applyProtection="1">
      <alignment vertical="center"/>
    </xf>
    <xf numFmtId="0" fontId="20" fillId="0" borderId="101" xfId="6" applyFont="1" applyBorder="1" applyAlignment="1" applyProtection="1">
      <alignment horizontal="center" vertical="center"/>
    </xf>
    <xf numFmtId="0" fontId="9" fillId="0" borderId="102" xfId="6" applyFont="1" applyBorder="1" applyAlignment="1" applyProtection="1">
      <alignment vertical="center"/>
    </xf>
    <xf numFmtId="0" fontId="22" fillId="0" borderId="102" xfId="6" applyFont="1" applyBorder="1" applyAlignment="1" applyProtection="1">
      <alignment horizontal="center" vertical="center"/>
    </xf>
    <xf numFmtId="0" fontId="22" fillId="0" borderId="103" xfId="6" applyFont="1" applyBorder="1" applyAlignment="1" applyProtection="1">
      <alignment horizontal="center" vertical="center"/>
    </xf>
    <xf numFmtId="0" fontId="20" fillId="0" borderId="0" xfId="6" applyFont="1" applyFill="1" applyBorder="1" applyAlignment="1" applyProtection="1">
      <alignment vertical="center"/>
    </xf>
    <xf numFmtId="0" fontId="20" fillId="0" borderId="104" xfId="6" applyFont="1" applyBorder="1" applyAlignment="1" applyProtection="1">
      <alignment horizontal="center" vertical="center"/>
    </xf>
    <xf numFmtId="0" fontId="22" fillId="0" borderId="105" xfId="6" applyFont="1" applyBorder="1" applyAlignment="1" applyProtection="1">
      <alignment horizontal="center" vertical="center"/>
    </xf>
    <xf numFmtId="0" fontId="20" fillId="0" borderId="106" xfId="6" applyFont="1" applyBorder="1" applyAlignment="1" applyProtection="1">
      <alignment horizontal="center" vertical="center"/>
    </xf>
    <xf numFmtId="0" fontId="9" fillId="0" borderId="107" xfId="6" applyFont="1" applyBorder="1" applyAlignment="1" applyProtection="1">
      <alignment vertical="center"/>
    </xf>
    <xf numFmtId="0" fontId="22" fillId="0" borderId="107" xfId="6" applyFont="1" applyBorder="1" applyAlignment="1" applyProtection="1">
      <alignment horizontal="center" vertical="center"/>
    </xf>
    <xf numFmtId="0" fontId="22" fillId="0" borderId="108" xfId="6" applyFont="1" applyBorder="1" applyAlignment="1" applyProtection="1">
      <alignment horizontal="center" vertical="center"/>
    </xf>
    <xf numFmtId="165" fontId="20" fillId="0" borderId="0" xfId="6" applyNumberFormat="1" applyFont="1" applyFill="1" applyBorder="1" applyAlignment="1" applyProtection="1">
      <alignment vertical="center"/>
    </xf>
    <xf numFmtId="0" fontId="20" fillId="0" borderId="0" xfId="8" applyFont="1" applyFill="1" applyAlignment="1" applyProtection="1">
      <alignment horizontal="center" vertical="center"/>
    </xf>
    <xf numFmtId="0" fontId="0" fillId="0" borderId="0" xfId="0" applyFill="1" applyBorder="1" applyProtection="1"/>
    <xf numFmtId="165" fontId="20" fillId="7" borderId="32" xfId="6" applyNumberFormat="1" applyFont="1" applyFill="1" applyBorder="1" applyAlignment="1" applyProtection="1">
      <alignment vertical="center"/>
    </xf>
    <xf numFmtId="165" fontId="20" fillId="7" borderId="41" xfId="6" applyNumberFormat="1" applyFont="1" applyFill="1" applyBorder="1" applyAlignment="1" applyProtection="1">
      <alignment vertical="center"/>
    </xf>
    <xf numFmtId="165" fontId="20" fillId="7" borderId="39" xfId="6" applyNumberFormat="1" applyFont="1" applyFill="1" applyBorder="1" applyAlignment="1" applyProtection="1">
      <alignment vertical="center"/>
    </xf>
    <xf numFmtId="165" fontId="20" fillId="7" borderId="9" xfId="6" applyNumberFormat="1" applyFont="1" applyFill="1" applyBorder="1" applyAlignment="1" applyProtection="1">
      <alignment vertical="center"/>
    </xf>
    <xf numFmtId="165" fontId="20" fillId="7" borderId="8" xfId="6" applyNumberFormat="1" applyFont="1" applyFill="1" applyBorder="1" applyAlignment="1" applyProtection="1">
      <alignment vertical="center"/>
    </xf>
    <xf numFmtId="0" fontId="20" fillId="0" borderId="0" xfId="6" applyFont="1" applyBorder="1" applyAlignment="1" applyProtection="1">
      <alignment horizontal="center" vertical="center" wrapText="1"/>
    </xf>
    <xf numFmtId="165" fontId="20" fillId="7" borderId="4" xfId="6" applyNumberFormat="1" applyFont="1" applyFill="1" applyBorder="1" applyAlignment="1" applyProtection="1">
      <alignment vertical="center"/>
    </xf>
    <xf numFmtId="165" fontId="20" fillId="7" borderId="76" xfId="6" applyNumberFormat="1" applyFont="1" applyFill="1" applyBorder="1" applyAlignment="1" applyProtection="1">
      <alignment vertical="center"/>
    </xf>
    <xf numFmtId="165" fontId="20" fillId="7" borderId="77" xfId="6" applyNumberFormat="1" applyFont="1" applyFill="1" applyBorder="1" applyAlignment="1" applyProtection="1">
      <alignment vertical="center"/>
    </xf>
    <xf numFmtId="165" fontId="20" fillId="7" borderId="21" xfId="6" applyNumberFormat="1" applyFont="1" applyFill="1" applyBorder="1" applyAlignment="1" applyProtection="1">
      <alignment vertical="center"/>
    </xf>
    <xf numFmtId="0" fontId="25" fillId="3" borderId="35" xfId="9" applyFont="1" applyFill="1" applyBorder="1" applyAlignment="1" applyProtection="1">
      <alignment vertical="center"/>
    </xf>
    <xf numFmtId="0" fontId="12" fillId="0" borderId="68" xfId="9" applyFont="1" applyFill="1" applyBorder="1" applyAlignment="1" applyProtection="1">
      <alignment horizontal="center" vertical="top"/>
    </xf>
    <xf numFmtId="0" fontId="28" fillId="0" borderId="0" xfId="8" applyFont="1" applyAlignment="1" applyProtection="1">
      <alignment horizontal="center" vertical="center"/>
    </xf>
    <xf numFmtId="0" fontId="20" fillId="0" borderId="0" xfId="6" applyFont="1" applyAlignment="1" applyProtection="1">
      <alignment horizontal="center" vertical="center"/>
    </xf>
    <xf numFmtId="0" fontId="1" fillId="0" borderId="63" xfId="6" applyBorder="1" applyAlignment="1" applyProtection="1">
      <alignment vertical="center"/>
    </xf>
    <xf numFmtId="0" fontId="28" fillId="0" borderId="0" xfId="8" applyFont="1" applyProtection="1"/>
    <xf numFmtId="0" fontId="13" fillId="0" borderId="0" xfId="9" applyFont="1" applyFill="1" applyBorder="1" applyAlignment="1" applyProtection="1">
      <alignment vertical="center"/>
    </xf>
    <xf numFmtId="0" fontId="16" fillId="0" borderId="0" xfId="11" applyFont="1" applyFill="1" applyBorder="1" applyProtection="1"/>
    <xf numFmtId="0" fontId="7" fillId="3" borderId="11" xfId="9" applyFont="1" applyFill="1" applyBorder="1" applyAlignment="1" applyProtection="1">
      <alignment horizontal="center" vertical="center" wrapText="1"/>
    </xf>
    <xf numFmtId="0" fontId="7" fillId="3" borderId="13" xfId="9" applyFont="1" applyFill="1" applyBorder="1" applyAlignment="1" applyProtection="1">
      <alignment horizontal="center" vertical="center" wrapText="1"/>
    </xf>
    <xf numFmtId="0" fontId="7" fillId="3" borderId="2" xfId="9" applyFont="1" applyFill="1" applyBorder="1" applyAlignment="1" applyProtection="1">
      <alignment horizontal="center" vertical="center"/>
    </xf>
    <xf numFmtId="0" fontId="16" fillId="0" borderId="0" xfId="9" applyFont="1" applyFill="1" applyBorder="1" applyAlignment="1" applyProtection="1">
      <alignment vertical="center"/>
    </xf>
    <xf numFmtId="0" fontId="16" fillId="0" borderId="2" xfId="9" applyFont="1" applyFill="1" applyBorder="1" applyAlignment="1" applyProtection="1">
      <alignment horizontal="center" vertical="center"/>
    </xf>
    <xf numFmtId="0" fontId="16" fillId="0" borderId="3" xfId="9" applyFont="1" applyFill="1" applyBorder="1" applyAlignment="1" applyProtection="1">
      <alignment horizontal="left" vertical="center"/>
    </xf>
    <xf numFmtId="0" fontId="14" fillId="0" borderId="3" xfId="9" quotePrefix="1" applyFont="1" applyFill="1" applyBorder="1" applyAlignment="1" applyProtection="1">
      <alignment horizontal="center" vertical="center"/>
    </xf>
    <xf numFmtId="0" fontId="14" fillId="0" borderId="4" xfId="9" applyFont="1" applyFill="1" applyBorder="1" applyAlignment="1" applyProtection="1">
      <alignment horizontal="center" vertical="center"/>
    </xf>
    <xf numFmtId="0" fontId="16" fillId="0" borderId="0" xfId="9" applyFont="1" applyFill="1" applyBorder="1" applyAlignment="1" applyProtection="1">
      <alignment horizontal="left" vertical="center"/>
    </xf>
    <xf numFmtId="0" fontId="14" fillId="0" borderId="0" xfId="9" quotePrefix="1" applyFont="1" applyFill="1" applyBorder="1" applyAlignment="1" applyProtection="1">
      <alignment horizontal="center" vertical="center"/>
    </xf>
    <xf numFmtId="0" fontId="14" fillId="0" borderId="0" xfId="9" applyFont="1" applyFill="1" applyBorder="1" applyAlignment="1" applyProtection="1">
      <alignment horizontal="center" vertical="center"/>
    </xf>
    <xf numFmtId="0" fontId="23" fillId="0" borderId="0" xfId="9" applyFont="1" applyFill="1" applyBorder="1" applyAlignment="1" applyProtection="1">
      <alignment horizontal="center" vertical="center"/>
    </xf>
    <xf numFmtId="0" fontId="14" fillId="0" borderId="0" xfId="9" applyFont="1" applyFill="1" applyAlignment="1" applyProtection="1">
      <alignment vertical="center"/>
    </xf>
    <xf numFmtId="0" fontId="16" fillId="0" borderId="5" xfId="9" applyFont="1" applyFill="1" applyBorder="1" applyAlignment="1" applyProtection="1">
      <alignment horizontal="center" vertical="center"/>
    </xf>
    <xf numFmtId="0" fontId="16" fillId="0" borderId="6" xfId="9" applyFont="1" applyFill="1" applyBorder="1" applyAlignment="1" applyProtection="1">
      <alignment horizontal="left" vertical="center"/>
    </xf>
    <xf numFmtId="0" fontId="14" fillId="0" borderId="6" xfId="9" quotePrefix="1" applyFont="1" applyFill="1" applyBorder="1" applyAlignment="1" applyProtection="1">
      <alignment horizontal="center" vertical="center"/>
    </xf>
    <xf numFmtId="0" fontId="14" fillId="0" borderId="7" xfId="9" applyFont="1" applyFill="1" applyBorder="1" applyAlignment="1" applyProtection="1">
      <alignment horizontal="center" vertical="center"/>
    </xf>
    <xf numFmtId="0" fontId="16" fillId="0" borderId="8" xfId="9" applyFont="1" applyFill="1" applyBorder="1" applyAlignment="1" applyProtection="1">
      <alignment horizontal="center" vertical="center"/>
    </xf>
    <xf numFmtId="0" fontId="16" fillId="0" borderId="9" xfId="9" applyFont="1" applyFill="1" applyBorder="1" applyAlignment="1" applyProtection="1">
      <alignment horizontal="left" vertical="center"/>
    </xf>
    <xf numFmtId="0" fontId="14" fillId="0" borderId="9" xfId="9" quotePrefix="1" applyFont="1" applyFill="1" applyBorder="1" applyAlignment="1" applyProtection="1">
      <alignment horizontal="center" vertical="center"/>
    </xf>
    <xf numFmtId="0" fontId="14" fillId="0" borderId="10" xfId="9" applyFont="1" applyFill="1" applyBorder="1" applyAlignment="1" applyProtection="1">
      <alignment horizontal="center" vertical="center"/>
    </xf>
    <xf numFmtId="0" fontId="1" fillId="0" borderId="0" xfId="8" applyProtection="1"/>
    <xf numFmtId="0" fontId="16" fillId="0" borderId="11" xfId="9" applyFont="1" applyFill="1" applyBorder="1" applyAlignment="1" applyProtection="1">
      <alignment horizontal="center" vertical="center"/>
    </xf>
    <xf numFmtId="0" fontId="16" fillId="0" borderId="12" xfId="9" applyFont="1" applyFill="1" applyBorder="1" applyAlignment="1" applyProtection="1">
      <alignment horizontal="left" vertical="center"/>
    </xf>
    <xf numFmtId="0" fontId="14" fillId="0" borderId="12" xfId="9" applyFont="1" applyFill="1" applyBorder="1" applyAlignment="1" applyProtection="1">
      <alignment horizontal="center" vertical="center"/>
    </xf>
    <xf numFmtId="0" fontId="14" fillId="0" borderId="13" xfId="9" applyFont="1" applyFill="1" applyBorder="1" applyAlignment="1" applyProtection="1">
      <alignment horizontal="center" vertical="center"/>
    </xf>
    <xf numFmtId="0" fontId="1" fillId="0" borderId="0" xfId="8" applyFill="1" applyProtection="1"/>
    <xf numFmtId="0" fontId="1" fillId="0" borderId="0" xfId="8" applyFill="1" applyAlignment="1" applyProtection="1">
      <alignment vertical="center"/>
    </xf>
    <xf numFmtId="0" fontId="12" fillId="0" borderId="33" xfId="9" applyFont="1" applyFill="1" applyBorder="1" applyAlignment="1" applyProtection="1">
      <alignment horizontal="center" vertical="top"/>
    </xf>
    <xf numFmtId="0" fontId="23" fillId="0" borderId="5" xfId="9" applyFont="1" applyFill="1" applyBorder="1" applyAlignment="1" applyProtection="1">
      <alignment horizontal="center" vertical="center"/>
    </xf>
    <xf numFmtId="0" fontId="23" fillId="0" borderId="8" xfId="9" applyFont="1" applyFill="1" applyBorder="1" applyAlignment="1" applyProtection="1">
      <alignment horizontal="center" vertical="center"/>
    </xf>
    <xf numFmtId="0" fontId="23" fillId="0" borderId="11" xfId="9" applyFont="1" applyFill="1" applyBorder="1" applyAlignment="1" applyProtection="1">
      <alignment horizontal="center" vertical="center"/>
    </xf>
    <xf numFmtId="0" fontId="28" fillId="0" borderId="0" xfId="8" applyFont="1" applyAlignment="1" applyProtection="1">
      <alignment vertical="center"/>
    </xf>
    <xf numFmtId="0" fontId="7" fillId="3" borderId="54" xfId="9" applyFont="1" applyFill="1" applyBorder="1" applyAlignment="1" applyProtection="1">
      <alignment horizontal="left" vertical="center"/>
    </xf>
    <xf numFmtId="0" fontId="7" fillId="3" borderId="24" xfId="9" applyFont="1" applyFill="1" applyBorder="1" applyAlignment="1" applyProtection="1">
      <alignment vertical="center"/>
    </xf>
    <xf numFmtId="0" fontId="30" fillId="0" borderId="0" xfId="9" applyFont="1" applyFill="1" applyBorder="1" applyAlignment="1" applyProtection="1">
      <alignment horizontal="center" vertical="center"/>
    </xf>
    <xf numFmtId="0" fontId="16" fillId="0" borderId="0" xfId="9" applyFont="1" applyFill="1" applyBorder="1" applyAlignment="1" applyProtection="1">
      <alignment horizontal="center" vertical="center"/>
    </xf>
    <xf numFmtId="0" fontId="7" fillId="3" borderId="2" xfId="9" applyFont="1" applyFill="1" applyBorder="1" applyAlignment="1" applyProtection="1">
      <alignment horizontal="center" vertical="center" wrapText="1"/>
    </xf>
    <xf numFmtId="0" fontId="7" fillId="3" borderId="4" xfId="9" applyFont="1" applyFill="1" applyBorder="1" applyAlignment="1" applyProtection="1">
      <alignment horizontal="center" vertical="center" wrapText="1"/>
    </xf>
    <xf numFmtId="0" fontId="7" fillId="3" borderId="16" xfId="9" applyFont="1" applyFill="1" applyBorder="1" applyAlignment="1" applyProtection="1">
      <alignment vertical="center"/>
    </xf>
    <xf numFmtId="0" fontId="14" fillId="0" borderId="0" xfId="9" applyFont="1" applyFill="1" applyBorder="1" applyAlignment="1" applyProtection="1">
      <alignment vertical="center"/>
    </xf>
    <xf numFmtId="0" fontId="14" fillId="0" borderId="6" xfId="9" applyFont="1" applyFill="1" applyBorder="1" applyAlignment="1" applyProtection="1">
      <alignment horizontal="center" vertical="center"/>
    </xf>
    <xf numFmtId="0" fontId="14" fillId="0" borderId="9" xfId="9" applyFont="1" applyFill="1" applyBorder="1" applyAlignment="1" applyProtection="1">
      <alignment horizontal="center" vertical="center"/>
    </xf>
    <xf numFmtId="0" fontId="9" fillId="0" borderId="0" xfId="8" applyFont="1" applyProtection="1"/>
    <xf numFmtId="0" fontId="2" fillId="0" borderId="0" xfId="6" applyFont="1" applyAlignment="1" applyProtection="1">
      <alignment vertical="center"/>
    </xf>
    <xf numFmtId="0" fontId="29" fillId="0" borderId="0" xfId="9" applyFont="1" applyFill="1" applyAlignment="1" applyProtection="1">
      <alignment vertical="center"/>
    </xf>
    <xf numFmtId="0" fontId="7" fillId="3" borderId="61" xfId="9" applyFont="1" applyFill="1" applyBorder="1" applyAlignment="1" applyProtection="1">
      <alignment horizontal="left" vertical="center" wrapText="1"/>
    </xf>
    <xf numFmtId="0" fontId="7" fillId="3" borderId="61" xfId="9" applyFont="1" applyFill="1" applyBorder="1" applyAlignment="1" applyProtection="1">
      <alignment horizontal="center" vertical="center" wrapText="1"/>
    </xf>
    <xf numFmtId="0" fontId="7" fillId="3" borderId="3" xfId="9" applyFont="1" applyFill="1" applyBorder="1" applyAlignment="1" applyProtection="1">
      <alignment horizontal="center" vertical="center" wrapText="1"/>
    </xf>
    <xf numFmtId="0" fontId="16" fillId="9" borderId="0" xfId="9" applyFont="1" applyFill="1" applyAlignment="1" applyProtection="1">
      <alignment vertical="center"/>
    </xf>
    <xf numFmtId="0" fontId="36" fillId="9" borderId="0" xfId="9" applyFont="1" applyFill="1" applyAlignment="1" applyProtection="1">
      <alignment horizontal="center" vertical="center"/>
    </xf>
    <xf numFmtId="0" fontId="37" fillId="0" borderId="0" xfId="6" applyFont="1" applyFill="1" applyAlignment="1" applyProtection="1">
      <alignment horizontal="center" vertical="center"/>
    </xf>
    <xf numFmtId="0" fontId="23" fillId="0" borderId="6" xfId="9" applyFont="1" applyFill="1" applyBorder="1" applyAlignment="1" applyProtection="1">
      <alignment vertical="center"/>
    </xf>
    <xf numFmtId="0" fontId="23" fillId="0" borderId="6" xfId="9" applyFont="1" applyFill="1" applyBorder="1" applyAlignment="1" applyProtection="1">
      <alignment vertical="center" wrapText="1"/>
    </xf>
    <xf numFmtId="0" fontId="23" fillId="0" borderId="6" xfId="9" applyFont="1" applyFill="1" applyBorder="1" applyAlignment="1" applyProtection="1">
      <alignment horizontal="center" vertical="center" wrapText="1"/>
    </xf>
    <xf numFmtId="0" fontId="23" fillId="0" borderId="9" xfId="9" applyFont="1" applyFill="1" applyBorder="1" applyAlignment="1" applyProtection="1">
      <alignment horizontal="center" vertical="center" wrapText="1"/>
    </xf>
    <xf numFmtId="0" fontId="16" fillId="9" borderId="0" xfId="9" applyFont="1" applyFill="1" applyBorder="1" applyAlignment="1" applyProtection="1">
      <alignment vertical="center"/>
    </xf>
    <xf numFmtId="0" fontId="23" fillId="0" borderId="12" xfId="9" applyFont="1" applyFill="1" applyBorder="1" applyAlignment="1" applyProtection="1">
      <alignment horizontal="center" vertical="center" wrapText="1"/>
    </xf>
    <xf numFmtId="0" fontId="16" fillId="0" borderId="0" xfId="9" applyFill="1" applyBorder="1" applyAlignment="1" applyProtection="1">
      <alignment vertical="center"/>
    </xf>
    <xf numFmtId="0" fontId="20" fillId="0" borderId="0" xfId="8" applyFont="1" applyFill="1" applyAlignment="1" applyProtection="1">
      <alignment vertical="center"/>
    </xf>
    <xf numFmtId="0" fontId="12" fillId="0" borderId="0" xfId="9" applyFont="1" applyFill="1" applyAlignment="1" applyProtection="1">
      <alignment vertical="center"/>
    </xf>
    <xf numFmtId="0" fontId="27" fillId="0" borderId="0" xfId="6" applyFont="1" applyAlignment="1" applyProtection="1">
      <alignment vertical="center" wrapText="1"/>
    </xf>
    <xf numFmtId="0" fontId="27" fillId="0" borderId="0" xfId="6" applyFont="1" applyAlignment="1" applyProtection="1">
      <alignment vertical="center"/>
    </xf>
    <xf numFmtId="0" fontId="0" fillId="0" borderId="34" xfId="0" applyBorder="1" applyProtection="1"/>
    <xf numFmtId="0" fontId="1" fillId="0" borderId="34" xfId="8" applyBorder="1" applyAlignment="1" applyProtection="1">
      <alignment vertical="center"/>
    </xf>
    <xf numFmtId="0" fontId="16" fillId="0" borderId="34" xfId="9" applyFont="1" applyFill="1" applyBorder="1" applyAlignment="1" applyProtection="1">
      <alignment vertical="center"/>
    </xf>
    <xf numFmtId="0" fontId="1" fillId="0" borderId="34" xfId="6" applyBorder="1" applyAlignment="1" applyProtection="1">
      <alignment vertical="center"/>
    </xf>
    <xf numFmtId="0" fontId="9" fillId="0" borderId="34" xfId="8" applyFont="1" applyBorder="1" applyAlignment="1" applyProtection="1">
      <alignment vertical="center"/>
    </xf>
    <xf numFmtId="0" fontId="9" fillId="0" borderId="35" xfId="8" applyFont="1" applyBorder="1" applyAlignment="1" applyProtection="1">
      <alignment vertical="center"/>
    </xf>
    <xf numFmtId="0" fontId="33" fillId="3" borderId="2" xfId="9" applyFont="1" applyFill="1" applyBorder="1" applyAlignment="1" applyProtection="1">
      <alignment horizontal="center" vertical="center" wrapText="1"/>
    </xf>
    <xf numFmtId="0" fontId="33" fillId="3" borderId="3" xfId="9" applyFont="1" applyFill="1" applyBorder="1" applyAlignment="1" applyProtection="1">
      <alignment horizontal="center" vertical="center" wrapText="1"/>
    </xf>
    <xf numFmtId="0" fontId="30" fillId="0" borderId="0" xfId="9" applyFont="1" applyFill="1" applyProtection="1"/>
    <xf numFmtId="165" fontId="23" fillId="7" borderId="7" xfId="9" applyNumberFormat="1" applyFont="1" applyFill="1" applyBorder="1" applyAlignment="1" applyProtection="1">
      <alignment vertical="center"/>
    </xf>
    <xf numFmtId="165" fontId="23" fillId="7" borderId="10" xfId="9" applyNumberFormat="1" applyFont="1" applyFill="1" applyBorder="1" applyAlignment="1" applyProtection="1">
      <alignment vertical="center"/>
    </xf>
    <xf numFmtId="165" fontId="23" fillId="7" borderId="11" xfId="9" applyNumberFormat="1" applyFont="1" applyFill="1" applyBorder="1" applyAlignment="1" applyProtection="1">
      <alignment vertical="center"/>
    </xf>
    <xf numFmtId="165" fontId="23" fillId="7" borderId="12" xfId="9" applyNumberFormat="1" applyFont="1" applyFill="1" applyBorder="1" applyAlignment="1" applyProtection="1">
      <alignment vertical="center"/>
    </xf>
    <xf numFmtId="165" fontId="23" fillId="7" borderId="13" xfId="9" applyNumberFormat="1" applyFont="1" applyFill="1" applyBorder="1" applyAlignment="1" applyProtection="1">
      <alignment vertical="center"/>
    </xf>
    <xf numFmtId="0" fontId="34" fillId="0" borderId="0" xfId="9" applyFont="1" applyFill="1" applyBorder="1" applyAlignment="1" applyProtection="1">
      <alignment horizontal="center" vertical="center"/>
    </xf>
    <xf numFmtId="0" fontId="23" fillId="0" borderId="0" xfId="11" applyFont="1" applyFill="1" applyBorder="1" applyAlignment="1" applyProtection="1">
      <alignment vertical="center"/>
    </xf>
    <xf numFmtId="0" fontId="23" fillId="0" borderId="2" xfId="9" applyFont="1" applyFill="1" applyBorder="1" applyAlignment="1" applyProtection="1">
      <alignment horizontal="center" vertical="center"/>
    </xf>
    <xf numFmtId="0" fontId="14" fillId="0" borderId="3" xfId="9" applyFont="1" applyFill="1" applyBorder="1" applyAlignment="1" applyProtection="1">
      <alignment horizontal="center" vertical="center"/>
    </xf>
    <xf numFmtId="165" fontId="23" fillId="7" borderId="2" xfId="9" applyNumberFormat="1" applyFont="1" applyFill="1" applyBorder="1" applyAlignment="1" applyProtection="1">
      <alignment vertical="center"/>
    </xf>
    <xf numFmtId="165" fontId="23" fillId="7" borderId="3" xfId="9" applyNumberFormat="1" applyFont="1" applyFill="1" applyBorder="1" applyAlignment="1" applyProtection="1">
      <alignment vertical="center"/>
    </xf>
    <xf numFmtId="165" fontId="23" fillId="7" borderId="4" xfId="9" applyNumberFormat="1" applyFont="1" applyFill="1" applyBorder="1" applyAlignment="1" applyProtection="1">
      <alignment vertical="center"/>
    </xf>
    <xf numFmtId="0" fontId="23" fillId="0" borderId="0" xfId="9" applyFont="1" applyFill="1" applyBorder="1" applyAlignment="1" applyProtection="1">
      <alignment vertical="center"/>
    </xf>
    <xf numFmtId="165" fontId="23" fillId="7" borderId="30" xfId="9" applyNumberFormat="1" applyFont="1" applyFill="1" applyBorder="1" applyAlignment="1" applyProtection="1">
      <alignment vertical="center"/>
    </xf>
    <xf numFmtId="0" fontId="33" fillId="3" borderId="4" xfId="9" applyFont="1" applyFill="1" applyBorder="1" applyAlignment="1" applyProtection="1">
      <alignment horizontal="center" vertical="center" wrapText="1"/>
    </xf>
    <xf numFmtId="0" fontId="19" fillId="0" borderId="0" xfId="8" applyFont="1" applyAlignment="1" applyProtection="1">
      <alignment horizontal="center" vertical="center"/>
    </xf>
    <xf numFmtId="165" fontId="23" fillId="7" borderId="8" xfId="9" applyNumberFormat="1" applyFont="1" applyFill="1" applyBorder="1" applyAlignment="1" applyProtection="1">
      <alignment vertical="center"/>
    </xf>
    <xf numFmtId="0" fontId="27" fillId="0" borderId="0" xfId="8" applyFont="1" applyAlignment="1" applyProtection="1">
      <alignment horizontal="center" vertical="center" wrapText="1"/>
    </xf>
    <xf numFmtId="0" fontId="27" fillId="0" borderId="0" xfId="8" applyFont="1" applyAlignment="1" applyProtection="1">
      <alignment horizontal="center" vertical="center"/>
    </xf>
    <xf numFmtId="0" fontId="7" fillId="3" borderId="1" xfId="9" applyFont="1" applyFill="1" applyBorder="1" applyAlignment="1" applyProtection="1">
      <alignment horizontal="center" vertical="center" wrapText="1"/>
    </xf>
    <xf numFmtId="0" fontId="17" fillId="0" borderId="0" xfId="6" applyFont="1" applyAlignment="1" applyProtection="1">
      <alignment vertical="center"/>
    </xf>
    <xf numFmtId="0" fontId="31" fillId="0" borderId="0" xfId="9" applyFont="1" applyFill="1" applyProtection="1"/>
    <xf numFmtId="0" fontId="23" fillId="9" borderId="2" xfId="9" applyFont="1" applyFill="1" applyBorder="1" applyAlignment="1" applyProtection="1">
      <alignment horizontal="center" vertical="center"/>
    </xf>
    <xf numFmtId="0" fontId="23" fillId="9" borderId="5" xfId="9" applyFont="1" applyFill="1" applyBorder="1" applyAlignment="1" applyProtection="1">
      <alignment horizontal="center" vertical="center"/>
    </xf>
    <xf numFmtId="0" fontId="23" fillId="9" borderId="8" xfId="9" applyFont="1" applyFill="1" applyBorder="1" applyAlignment="1" applyProtection="1">
      <alignment horizontal="center" vertical="center"/>
    </xf>
    <xf numFmtId="0" fontId="23" fillId="9" borderId="11" xfId="9" applyFont="1" applyFill="1" applyBorder="1" applyAlignment="1" applyProtection="1">
      <alignment horizontal="center" vertical="center"/>
    </xf>
    <xf numFmtId="0" fontId="9" fillId="0" borderId="0" xfId="8" applyFont="1" applyFill="1" applyAlignment="1" applyProtection="1">
      <alignment vertical="center"/>
    </xf>
    <xf numFmtId="0" fontId="32" fillId="0" borderId="0" xfId="9" applyFont="1" applyFill="1" applyAlignment="1" applyProtection="1">
      <alignment horizontal="left" vertical="center"/>
    </xf>
    <xf numFmtId="0" fontId="12" fillId="0" borderId="5" xfId="9" applyFont="1" applyFill="1" applyBorder="1" applyAlignment="1" applyProtection="1">
      <alignment horizontal="center" vertical="top"/>
    </xf>
    <xf numFmtId="0" fontId="31" fillId="0" borderId="0" xfId="9" applyFont="1" applyFill="1" applyAlignment="1" applyProtection="1">
      <alignment vertical="center"/>
    </xf>
    <xf numFmtId="0" fontId="7" fillId="3" borderId="3" xfId="6" applyFont="1" applyFill="1" applyBorder="1" applyAlignment="1" applyProtection="1">
      <alignment horizontal="center" vertical="center" wrapText="1"/>
    </xf>
    <xf numFmtId="0" fontId="9" fillId="0" borderId="7" xfId="6" applyFont="1" applyBorder="1" applyAlignment="1" applyProtection="1">
      <alignment vertical="center"/>
    </xf>
    <xf numFmtId="0" fontId="9" fillId="0" borderId="10" xfId="6" applyFont="1" applyBorder="1" applyAlignment="1" applyProtection="1">
      <alignment vertical="center"/>
    </xf>
    <xf numFmtId="0" fontId="9" fillId="0" borderId="13" xfId="6" applyFont="1" applyBorder="1" applyAlignment="1" applyProtection="1">
      <alignment vertical="center"/>
    </xf>
    <xf numFmtId="165" fontId="20" fillId="7" borderId="40" xfId="6" applyNumberFormat="1" applyFont="1" applyFill="1" applyBorder="1" applyAlignment="1" applyProtection="1">
      <alignment vertical="center"/>
    </xf>
    <xf numFmtId="0" fontId="20" fillId="0" borderId="43" xfId="6" applyFont="1" applyBorder="1" applyAlignment="1" applyProtection="1">
      <alignment horizontal="center" vertical="center"/>
    </xf>
    <xf numFmtId="0" fontId="12" fillId="0" borderId="14" xfId="9" applyFont="1" applyFill="1" applyBorder="1" applyAlignment="1" applyProtection="1">
      <alignment horizontal="center" vertical="top"/>
    </xf>
    <xf numFmtId="0" fontId="12" fillId="0" borderId="52" xfId="9" applyFont="1" applyFill="1" applyBorder="1" applyAlignment="1" applyProtection="1">
      <alignment vertical="top"/>
    </xf>
    <xf numFmtId="0" fontId="12" fillId="0" borderId="53" xfId="9" applyFont="1" applyFill="1" applyBorder="1" applyAlignment="1" applyProtection="1">
      <alignment vertical="top"/>
    </xf>
    <xf numFmtId="0" fontId="22" fillId="0" borderId="17" xfId="8" applyFont="1" applyBorder="1" applyAlignment="1" applyProtection="1">
      <alignment horizontal="center" vertical="center"/>
    </xf>
    <xf numFmtId="0" fontId="24" fillId="0" borderId="0" xfId="6" applyFont="1" applyAlignment="1" applyProtection="1">
      <alignment vertical="center"/>
    </xf>
    <xf numFmtId="0" fontId="7" fillId="3" borderId="21" xfId="6" applyFont="1" applyFill="1" applyBorder="1" applyAlignment="1" applyProtection="1">
      <alignment horizontal="center" vertical="center" wrapText="1"/>
    </xf>
    <xf numFmtId="0" fontId="7" fillId="3" borderId="41" xfId="6" applyFont="1" applyFill="1" applyBorder="1" applyAlignment="1" applyProtection="1">
      <alignment horizontal="center" vertical="center" wrapText="1"/>
    </xf>
    <xf numFmtId="0" fontId="28" fillId="0" borderId="0" xfId="8" applyFont="1" applyAlignment="1" applyProtection="1">
      <alignment horizontal="center" vertical="center" wrapText="1"/>
    </xf>
    <xf numFmtId="0" fontId="28" fillId="0" borderId="0" xfId="6" applyFont="1" applyAlignment="1" applyProtection="1">
      <alignment vertical="center"/>
    </xf>
    <xf numFmtId="0" fontId="7" fillId="3" borderId="3" xfId="9" applyFont="1" applyFill="1" applyBorder="1" applyAlignment="1" applyProtection="1">
      <alignment horizontal="center" vertical="center"/>
    </xf>
    <xf numFmtId="0" fontId="7" fillId="3" borderId="4" xfId="9" applyFont="1" applyFill="1" applyBorder="1" applyAlignment="1" applyProtection="1">
      <alignment horizontal="center" vertical="center"/>
    </xf>
    <xf numFmtId="0" fontId="7" fillId="3" borderId="1" xfId="9" applyFont="1" applyFill="1" applyBorder="1" applyAlignment="1" applyProtection="1">
      <alignment horizontal="center" vertical="center"/>
    </xf>
    <xf numFmtId="165" fontId="23" fillId="7" borderId="31" xfId="9" applyNumberFormat="1" applyFont="1" applyFill="1" applyBorder="1" applyAlignment="1" applyProtection="1">
      <alignment vertical="center"/>
    </xf>
    <xf numFmtId="165" fontId="23" fillId="7" borderId="32" xfId="9" applyNumberFormat="1" applyFont="1" applyFill="1" applyBorder="1" applyAlignment="1" applyProtection="1">
      <alignment vertical="center"/>
    </xf>
    <xf numFmtId="0" fontId="16" fillId="0" borderId="5" xfId="9" applyFont="1" applyFill="1" applyBorder="1" applyAlignment="1" applyProtection="1">
      <alignment horizontal="center" vertical="top"/>
    </xf>
    <xf numFmtId="0" fontId="16" fillId="0" borderId="11" xfId="9" applyFont="1" applyFill="1" applyBorder="1" applyAlignment="1" applyProtection="1">
      <alignment horizontal="center" vertical="top"/>
    </xf>
    <xf numFmtId="0" fontId="29" fillId="0" borderId="0" xfId="9" applyFont="1" applyFill="1" applyBorder="1" applyAlignment="1" applyProtection="1">
      <alignment vertical="center"/>
    </xf>
    <xf numFmtId="0" fontId="16" fillId="0" borderId="9" xfId="9" applyFont="1" applyFill="1" applyBorder="1" applyAlignment="1" applyProtection="1">
      <alignment horizontal="left" vertical="center" wrapText="1"/>
    </xf>
    <xf numFmtId="0" fontId="23" fillId="0" borderId="0" xfId="0" applyFont="1" applyFill="1" applyProtection="1"/>
    <xf numFmtId="165" fontId="23" fillId="0" borderId="0" xfId="1" applyNumberFormat="1" applyFont="1" applyFill="1" applyBorder="1" applyAlignment="1" applyProtection="1">
      <alignment vertical="center"/>
    </xf>
    <xf numFmtId="0" fontId="12" fillId="0" borderId="17" xfId="9" applyFont="1" applyFill="1" applyBorder="1" applyAlignment="1" applyProtection="1">
      <alignment vertical="top"/>
    </xf>
    <xf numFmtId="165" fontId="23" fillId="7" borderId="39" xfId="9" applyNumberFormat="1" applyFont="1" applyFill="1" applyBorder="1" applyAlignment="1" applyProtection="1">
      <alignment vertical="center"/>
    </xf>
    <xf numFmtId="165" fontId="23" fillId="7" borderId="41" xfId="9" applyNumberFormat="1" applyFont="1" applyFill="1" applyBorder="1" applyAlignment="1" applyProtection="1">
      <alignment vertical="center"/>
    </xf>
    <xf numFmtId="165" fontId="23" fillId="0" borderId="0" xfId="9" applyNumberFormat="1" applyFont="1" applyFill="1" applyBorder="1" applyAlignment="1" applyProtection="1">
      <alignment vertical="center"/>
    </xf>
    <xf numFmtId="0" fontId="9" fillId="0" borderId="20" xfId="6" applyFont="1" applyBorder="1" applyAlignment="1" applyProtection="1">
      <alignment vertical="center"/>
    </xf>
    <xf numFmtId="0" fontId="22" fillId="0" borderId="51" xfId="6" applyFont="1" applyBorder="1" applyAlignment="1" applyProtection="1">
      <alignment horizontal="center" vertical="center"/>
    </xf>
    <xf numFmtId="165" fontId="20" fillId="7" borderId="45" xfId="6" applyNumberFormat="1" applyFont="1" applyFill="1" applyBorder="1" applyAlignment="1" applyProtection="1">
      <alignment vertical="center"/>
    </xf>
    <xf numFmtId="165" fontId="20" fillId="7" borderId="19" xfId="6" applyNumberFormat="1" applyFont="1" applyFill="1" applyBorder="1" applyAlignment="1" applyProtection="1">
      <alignment vertical="center"/>
    </xf>
    <xf numFmtId="165" fontId="20" fillId="7" borderId="20" xfId="6" applyNumberFormat="1" applyFont="1" applyFill="1" applyBorder="1" applyAlignment="1" applyProtection="1">
      <alignment vertical="center"/>
    </xf>
    <xf numFmtId="0" fontId="22" fillId="0" borderId="48" xfId="6" applyFont="1" applyBorder="1" applyAlignment="1" applyProtection="1">
      <alignment horizontal="center" vertical="center"/>
    </xf>
    <xf numFmtId="165" fontId="20" fillId="7" borderId="50" xfId="6" applyNumberFormat="1" applyFont="1" applyFill="1" applyBorder="1" applyAlignment="1" applyProtection="1">
      <alignment vertical="center"/>
    </xf>
    <xf numFmtId="165" fontId="20" fillId="7" borderId="49" xfId="6" applyNumberFormat="1" applyFont="1" applyFill="1" applyBorder="1" applyAlignment="1" applyProtection="1">
      <alignment vertical="center"/>
    </xf>
    <xf numFmtId="165" fontId="20" fillId="7" borderId="23" xfId="6" applyNumberFormat="1" applyFont="1" applyFill="1" applyBorder="1" applyAlignment="1" applyProtection="1">
      <alignment vertical="center"/>
    </xf>
    <xf numFmtId="0" fontId="23" fillId="0" borderId="8" xfId="0" applyFont="1" applyBorder="1" applyAlignment="1" applyProtection="1">
      <alignment horizontal="center" vertical="top"/>
    </xf>
    <xf numFmtId="0" fontId="20" fillId="6" borderId="0" xfId="6" applyNumberFormat="1" applyFont="1" applyFill="1" applyAlignment="1" applyProtection="1">
      <alignment horizontal="center" vertical="center"/>
    </xf>
    <xf numFmtId="0" fontId="1" fillId="0" borderId="0" xfId="6" applyAlignment="1" applyProtection="1">
      <alignment vertical="top"/>
    </xf>
    <xf numFmtId="0" fontId="28" fillId="3" borderId="0" xfId="8" applyFont="1" applyFill="1" applyAlignment="1" applyProtection="1">
      <alignment horizontal="center" vertical="center"/>
    </xf>
    <xf numFmtId="0" fontId="28" fillId="3" borderId="0" xfId="6" applyFont="1" applyFill="1" applyAlignment="1" applyProtection="1">
      <alignment vertical="center"/>
    </xf>
    <xf numFmtId="0" fontId="11" fillId="0" borderId="5" xfId="5" applyFont="1" applyBorder="1" applyAlignment="1" applyProtection="1">
      <alignment vertical="center"/>
    </xf>
    <xf numFmtId="0" fontId="11" fillId="0" borderId="8" xfId="5" applyFont="1" applyBorder="1" applyAlignment="1" applyProtection="1">
      <alignment vertical="center"/>
    </xf>
    <xf numFmtId="0" fontId="11" fillId="0" borderId="11" xfId="5" applyFont="1" applyBorder="1" applyAlignment="1" applyProtection="1">
      <alignment vertical="center"/>
    </xf>
    <xf numFmtId="0" fontId="7" fillId="3" borderId="0" xfId="4" applyNumberFormat="1" applyAlignment="1" applyProtection="1"/>
    <xf numFmtId="0" fontId="9" fillId="0" borderId="0" xfId="0" applyFont="1" applyAlignment="1" applyProtection="1">
      <alignment vertical="top" wrapText="1"/>
    </xf>
    <xf numFmtId="2" fontId="20" fillId="4" borderId="32" xfId="6" applyNumberFormat="1" applyFont="1" applyFill="1" applyBorder="1" applyAlignment="1" applyProtection="1">
      <alignment vertical="center"/>
      <protection locked="0"/>
    </xf>
    <xf numFmtId="165" fontId="20" fillId="4" borderId="32" xfId="6" applyNumberFormat="1" applyFont="1" applyFill="1" applyBorder="1" applyAlignment="1" applyProtection="1">
      <alignment vertical="center"/>
      <protection locked="0"/>
    </xf>
    <xf numFmtId="165" fontId="20" fillId="4" borderId="8" xfId="6" applyNumberFormat="1" applyFont="1" applyFill="1" applyBorder="1" applyAlignment="1" applyProtection="1">
      <alignment vertical="center"/>
      <protection locked="0"/>
    </xf>
    <xf numFmtId="165" fontId="20" fillId="4" borderId="9" xfId="6" applyNumberFormat="1" applyFont="1" applyFill="1" applyBorder="1" applyAlignment="1" applyProtection="1">
      <alignment vertical="center"/>
      <protection locked="0"/>
    </xf>
    <xf numFmtId="165" fontId="20" fillId="4" borderId="5" xfId="6" applyNumberFormat="1" applyFont="1" applyFill="1" applyBorder="1" applyAlignment="1" applyProtection="1">
      <alignment vertical="center"/>
      <protection locked="0"/>
    </xf>
    <xf numFmtId="165" fontId="20" fillId="4" borderId="7" xfId="6" applyNumberFormat="1" applyFont="1" applyFill="1" applyBorder="1" applyAlignment="1" applyProtection="1">
      <alignment vertical="center"/>
      <protection locked="0"/>
    </xf>
    <xf numFmtId="165" fontId="20" fillId="4" borderId="10" xfId="6" applyNumberFormat="1" applyFont="1" applyFill="1" applyBorder="1" applyAlignment="1" applyProtection="1">
      <alignment vertical="center"/>
      <protection locked="0"/>
    </xf>
    <xf numFmtId="165" fontId="20" fillId="4" borderId="65" xfId="6" applyNumberFormat="1" applyFont="1" applyFill="1" applyBorder="1" applyAlignment="1" applyProtection="1">
      <alignment vertical="center"/>
      <protection locked="0"/>
    </xf>
    <xf numFmtId="165" fontId="20" fillId="4" borderId="67" xfId="6" applyNumberFormat="1" applyFont="1" applyFill="1" applyBorder="1" applyAlignment="1" applyProtection="1">
      <alignment vertical="center"/>
      <protection locked="0"/>
    </xf>
    <xf numFmtId="165" fontId="20" fillId="4" borderId="93" xfId="6" applyNumberFormat="1" applyFont="1" applyFill="1" applyBorder="1" applyAlignment="1" applyProtection="1">
      <alignment vertical="center"/>
      <protection locked="0"/>
    </xf>
    <xf numFmtId="165" fontId="20" fillId="4" borderId="94" xfId="6" applyNumberFormat="1" applyFont="1" applyFill="1" applyBorder="1" applyAlignment="1" applyProtection="1">
      <alignment vertical="center"/>
      <protection locked="0"/>
    </xf>
    <xf numFmtId="165" fontId="20" fillId="4" borderId="71" xfId="6" applyNumberFormat="1" applyFont="1" applyFill="1" applyBorder="1" applyAlignment="1" applyProtection="1">
      <alignment vertical="center"/>
      <protection locked="0"/>
    </xf>
    <xf numFmtId="165" fontId="20" fillId="4" borderId="99" xfId="6" applyNumberFormat="1" applyFont="1" applyFill="1" applyBorder="1" applyAlignment="1" applyProtection="1">
      <alignment vertical="center"/>
      <protection locked="0"/>
    </xf>
    <xf numFmtId="165" fontId="20" fillId="4" borderId="100" xfId="6" applyNumberFormat="1" applyFont="1" applyFill="1" applyBorder="1" applyAlignment="1" applyProtection="1">
      <alignment vertical="center"/>
      <protection locked="0"/>
    </xf>
    <xf numFmtId="165" fontId="20" fillId="4" borderId="37" xfId="6" applyNumberFormat="1" applyFont="1" applyFill="1" applyBorder="1" applyAlignment="1" applyProtection="1">
      <alignment vertical="center"/>
      <protection locked="0"/>
    </xf>
    <xf numFmtId="165" fontId="20" fillId="4" borderId="6" xfId="6" applyNumberFormat="1" applyFont="1" applyFill="1" applyBorder="1" applyAlignment="1" applyProtection="1">
      <alignment vertical="center"/>
      <protection locked="0"/>
    </xf>
    <xf numFmtId="165" fontId="20" fillId="4" borderId="39" xfId="6" applyNumberFormat="1" applyFont="1" applyFill="1" applyBorder="1" applyAlignment="1" applyProtection="1">
      <alignment vertical="center"/>
      <protection locked="0"/>
    </xf>
    <xf numFmtId="165" fontId="20" fillId="4" borderId="1" xfId="6" applyNumberFormat="1" applyFont="1" applyFill="1" applyBorder="1" applyAlignment="1" applyProtection="1">
      <alignment vertical="center"/>
      <protection locked="0"/>
    </xf>
    <xf numFmtId="165" fontId="20" fillId="4" borderId="31" xfId="6" applyNumberFormat="1" applyFont="1" applyFill="1" applyBorder="1" applyAlignment="1" applyProtection="1">
      <alignment vertical="center"/>
      <protection locked="0"/>
    </xf>
    <xf numFmtId="165" fontId="16" fillId="4" borderId="5" xfId="9" applyNumberFormat="1" applyFont="1" applyFill="1" applyBorder="1" applyProtection="1">
      <protection locked="0"/>
    </xf>
    <xf numFmtId="165" fontId="16" fillId="4" borderId="7" xfId="9" applyNumberFormat="1" applyFont="1" applyFill="1" applyBorder="1" applyProtection="1">
      <protection locked="0"/>
    </xf>
    <xf numFmtId="167" fontId="16" fillId="4" borderId="5" xfId="9" applyNumberFormat="1" applyFont="1" applyFill="1" applyBorder="1" applyProtection="1">
      <protection locked="0"/>
    </xf>
    <xf numFmtId="167" fontId="16" fillId="4" borderId="7" xfId="9" applyNumberFormat="1" applyFont="1" applyFill="1" applyBorder="1" applyProtection="1">
      <protection locked="0"/>
    </xf>
    <xf numFmtId="167" fontId="16" fillId="4" borderId="43" xfId="9" applyNumberFormat="1" applyFont="1" applyFill="1" applyBorder="1" applyProtection="1">
      <protection locked="0"/>
    </xf>
    <xf numFmtId="167" fontId="16" fillId="4" borderId="13" xfId="9" applyNumberFormat="1" applyFont="1" applyFill="1" applyBorder="1" applyProtection="1">
      <protection locked="0"/>
    </xf>
    <xf numFmtId="167" fontId="16" fillId="4" borderId="30" xfId="9" applyNumberFormat="1" applyFont="1" applyFill="1" applyBorder="1" applyProtection="1">
      <protection locked="0"/>
    </xf>
    <xf numFmtId="165" fontId="23" fillId="4" borderId="6" xfId="11" applyNumberFormat="1" applyFont="1" applyFill="1" applyBorder="1" applyAlignment="1" applyProtection="1">
      <alignment vertical="center"/>
      <protection locked="0"/>
    </xf>
    <xf numFmtId="165" fontId="23" fillId="4" borderId="9" xfId="11" applyNumberFormat="1" applyFont="1" applyFill="1" applyBorder="1" applyAlignment="1" applyProtection="1">
      <alignment vertical="center"/>
      <protection locked="0"/>
    </xf>
    <xf numFmtId="165" fontId="23" fillId="4" borderId="5" xfId="9" applyNumberFormat="1" applyFont="1" applyFill="1" applyBorder="1" applyAlignment="1" applyProtection="1">
      <alignment vertical="center"/>
      <protection locked="0"/>
    </xf>
    <xf numFmtId="165" fontId="23" fillId="4" borderId="6" xfId="9" applyNumberFormat="1" applyFont="1" applyFill="1" applyBorder="1" applyAlignment="1" applyProtection="1">
      <alignment vertical="center"/>
      <protection locked="0"/>
    </xf>
    <xf numFmtId="165" fontId="23" fillId="4" borderId="8" xfId="9" applyNumberFormat="1" applyFont="1" applyFill="1" applyBorder="1" applyAlignment="1" applyProtection="1">
      <alignment vertical="center"/>
      <protection locked="0"/>
    </xf>
    <xf numFmtId="165" fontId="23" fillId="4" borderId="9" xfId="9" applyNumberFormat="1" applyFont="1" applyFill="1" applyBorder="1" applyAlignment="1" applyProtection="1">
      <alignment vertical="center"/>
      <protection locked="0"/>
    </xf>
    <xf numFmtId="165" fontId="23" fillId="4" borderId="31" xfId="9" applyNumberFormat="1" applyFont="1" applyFill="1" applyBorder="1" applyAlignment="1" applyProtection="1">
      <alignment vertical="center"/>
      <protection locked="0"/>
    </xf>
    <xf numFmtId="165" fontId="23" fillId="4" borderId="32" xfId="9" applyNumberFormat="1" applyFont="1" applyFill="1" applyBorder="1" applyAlignment="1" applyProtection="1">
      <alignment vertical="center"/>
      <protection locked="0"/>
    </xf>
    <xf numFmtId="165" fontId="23" fillId="4" borderId="2" xfId="11" applyNumberFormat="1" applyFont="1" applyFill="1" applyBorder="1" applyAlignment="1" applyProtection="1">
      <alignment vertical="center"/>
      <protection locked="0"/>
    </xf>
    <xf numFmtId="165" fontId="23" fillId="4" borderId="3" xfId="11" applyNumberFormat="1" applyFont="1" applyFill="1" applyBorder="1" applyAlignment="1" applyProtection="1">
      <alignment vertical="center"/>
      <protection locked="0"/>
    </xf>
    <xf numFmtId="165" fontId="23" fillId="4" borderId="5" xfId="11" applyNumberFormat="1" applyFont="1" applyFill="1" applyBorder="1" applyAlignment="1" applyProtection="1">
      <alignment vertical="center"/>
      <protection locked="0"/>
    </xf>
    <xf numFmtId="165" fontId="23" fillId="4" borderId="8" xfId="11" applyNumberFormat="1" applyFont="1" applyFill="1" applyBorder="1" applyAlignment="1" applyProtection="1">
      <alignment vertical="center"/>
      <protection locked="0"/>
    </xf>
    <xf numFmtId="165" fontId="23" fillId="4" borderId="43" xfId="11" applyNumberFormat="1" applyFont="1" applyFill="1" applyBorder="1" applyAlignment="1" applyProtection="1">
      <alignment vertical="center"/>
      <protection locked="0"/>
    </xf>
    <xf numFmtId="165" fontId="23" fillId="4" borderId="44" xfId="11" applyNumberFormat="1" applyFont="1" applyFill="1" applyBorder="1" applyAlignment="1" applyProtection="1">
      <alignment vertical="center"/>
      <protection locked="0"/>
    </xf>
    <xf numFmtId="165" fontId="20" fillId="4" borderId="36" xfId="6" applyNumberFormat="1" applyFont="1" applyFill="1" applyBorder="1" applyAlignment="1" applyProtection="1">
      <alignment vertical="center"/>
      <protection locked="0"/>
    </xf>
    <xf numFmtId="165" fontId="20" fillId="4" borderId="38" xfId="6" applyNumberFormat="1" applyFont="1" applyFill="1" applyBorder="1" applyAlignment="1" applyProtection="1">
      <alignment vertical="center"/>
      <protection locked="0"/>
    </xf>
    <xf numFmtId="165" fontId="20" fillId="4" borderId="2" xfId="6" applyNumberFormat="1" applyFont="1" applyFill="1" applyBorder="1" applyAlignment="1" applyProtection="1">
      <alignment vertical="center"/>
      <protection locked="0"/>
    </xf>
    <xf numFmtId="165" fontId="20" fillId="4" borderId="34" xfId="6" applyNumberFormat="1" applyFont="1" applyFill="1" applyBorder="1" applyAlignment="1" applyProtection="1">
      <alignment vertical="center"/>
      <protection locked="0"/>
    </xf>
    <xf numFmtId="165" fontId="23" fillId="4" borderId="7" xfId="10" applyNumberFormat="1" applyFont="1" applyFill="1" applyBorder="1" applyAlignment="1" applyProtection="1">
      <alignment vertical="center"/>
      <protection locked="0"/>
    </xf>
    <xf numFmtId="165" fontId="23" fillId="4" borderId="10" xfId="10" applyNumberFormat="1" applyFont="1" applyFill="1" applyBorder="1" applyAlignment="1" applyProtection="1">
      <alignment vertical="center"/>
      <protection locked="0"/>
    </xf>
    <xf numFmtId="165" fontId="23" fillId="4" borderId="13" xfId="10" applyNumberFormat="1" applyFont="1" applyFill="1" applyBorder="1" applyAlignment="1" applyProtection="1">
      <alignment vertical="center"/>
      <protection locked="0"/>
    </xf>
    <xf numFmtId="165" fontId="23" fillId="4" borderId="5" xfId="2" applyNumberFormat="1" applyFont="1" applyFill="1" applyBorder="1" applyAlignment="1" applyProtection="1">
      <alignment vertical="center"/>
      <protection locked="0"/>
    </xf>
    <xf numFmtId="165" fontId="23" fillId="4" borderId="37" xfId="10" applyNumberFormat="1" applyFont="1" applyFill="1" applyBorder="1" applyAlignment="1" applyProtection="1">
      <alignment vertical="center"/>
      <protection locked="0"/>
    </xf>
    <xf numFmtId="165" fontId="23" fillId="4" borderId="39" xfId="10" applyNumberFormat="1" applyFont="1" applyFill="1" applyBorder="1" applyAlignment="1" applyProtection="1">
      <alignment vertical="center"/>
      <protection locked="0"/>
    </xf>
    <xf numFmtId="165" fontId="20" fillId="4" borderId="3" xfId="6" applyNumberFormat="1" applyFont="1" applyFill="1" applyBorder="1" applyAlignment="1" applyProtection="1">
      <alignment vertical="center"/>
      <protection locked="0"/>
    </xf>
    <xf numFmtId="165" fontId="20" fillId="4" borderId="11" xfId="6" applyNumberFormat="1" applyFont="1" applyFill="1" applyBorder="1" applyAlignment="1" applyProtection="1">
      <alignment vertical="center"/>
      <protection locked="0"/>
    </xf>
    <xf numFmtId="165" fontId="20" fillId="4" borderId="12" xfId="6" applyNumberFormat="1" applyFont="1" applyFill="1" applyBorder="1" applyAlignment="1" applyProtection="1">
      <alignment vertical="center"/>
      <protection locked="0"/>
    </xf>
    <xf numFmtId="165" fontId="20" fillId="4" borderId="29" xfId="6" applyNumberFormat="1" applyFont="1" applyFill="1" applyBorder="1" applyAlignment="1" applyProtection="1">
      <alignment vertical="center"/>
      <protection locked="0"/>
    </xf>
    <xf numFmtId="165" fontId="20" fillId="4" borderId="42" xfId="6" applyNumberFormat="1" applyFont="1" applyFill="1" applyBorder="1" applyAlignment="1" applyProtection="1">
      <alignment vertical="center"/>
      <protection locked="0"/>
    </xf>
    <xf numFmtId="165" fontId="20" fillId="4" borderId="43" xfId="6" applyNumberFormat="1" applyFont="1" applyFill="1" applyBorder="1" applyAlignment="1" applyProtection="1">
      <alignment vertical="center"/>
      <protection locked="0"/>
    </xf>
    <xf numFmtId="165" fontId="20" fillId="4" borderId="44" xfId="6" applyNumberFormat="1" applyFont="1" applyFill="1" applyBorder="1" applyAlignment="1" applyProtection="1">
      <alignment vertical="center"/>
      <protection locked="0"/>
    </xf>
    <xf numFmtId="165" fontId="20" fillId="4" borderId="28" xfId="6" applyNumberFormat="1" applyFont="1" applyFill="1" applyBorder="1" applyAlignment="1" applyProtection="1">
      <alignment vertical="center"/>
      <protection locked="0"/>
    </xf>
    <xf numFmtId="165" fontId="20" fillId="4" borderId="49" xfId="6" applyNumberFormat="1" applyFont="1" applyFill="1" applyBorder="1" applyAlignment="1" applyProtection="1">
      <alignment vertical="center"/>
      <protection locked="0"/>
    </xf>
    <xf numFmtId="165" fontId="20" fillId="4" borderId="46" xfId="6" applyNumberFormat="1" applyFont="1" applyFill="1" applyBorder="1" applyAlignment="1" applyProtection="1">
      <alignment vertical="center"/>
      <protection locked="0"/>
    </xf>
    <xf numFmtId="165" fontId="20" fillId="4" borderId="47" xfId="6" applyNumberFormat="1" applyFont="1" applyFill="1" applyBorder="1" applyAlignment="1" applyProtection="1">
      <alignment vertical="center"/>
      <protection locked="0"/>
    </xf>
    <xf numFmtId="165" fontId="20" fillId="4" borderId="24" xfId="6" applyNumberFormat="1" applyFont="1" applyFill="1" applyBorder="1" applyAlignment="1" applyProtection="1">
      <alignment vertical="center"/>
      <protection locked="0"/>
    </xf>
    <xf numFmtId="165" fontId="20" fillId="4" borderId="26" xfId="6" applyNumberFormat="1" applyFont="1" applyFill="1" applyBorder="1" applyAlignment="1" applyProtection="1">
      <alignment vertical="center"/>
      <protection locked="0"/>
    </xf>
    <xf numFmtId="0" fontId="0" fillId="4" borderId="1" xfId="0" applyFill="1" applyBorder="1" applyAlignment="1" applyProtection="1">
      <alignment horizontal="center" vertical="center"/>
      <protection locked="0"/>
    </xf>
    <xf numFmtId="1" fontId="23" fillId="7" borderId="30" xfId="9" applyNumberFormat="1" applyFont="1" applyFill="1" applyBorder="1" applyAlignment="1" applyProtection="1">
      <alignment vertical="center"/>
    </xf>
    <xf numFmtId="2" fontId="16" fillId="4" borderId="11" xfId="9" applyNumberFormat="1" applyFont="1" applyFill="1" applyBorder="1" applyProtection="1">
      <protection locked="0"/>
    </xf>
    <xf numFmtId="2" fontId="16" fillId="4" borderId="13" xfId="9" applyNumberFormat="1" applyFont="1" applyFill="1" applyBorder="1" applyProtection="1">
      <protection locked="0"/>
    </xf>
    <xf numFmtId="165" fontId="20" fillId="4" borderId="72" xfId="6" applyNumberFormat="1" applyFont="1" applyFill="1" applyBorder="1" applyAlignment="1" applyProtection="1">
      <alignment vertical="center"/>
      <protection locked="0"/>
    </xf>
    <xf numFmtId="165" fontId="20" fillId="4" borderId="66" xfId="6" applyNumberFormat="1" applyFont="1" applyFill="1" applyBorder="1" applyAlignment="1" applyProtection="1">
      <alignment vertical="center"/>
      <protection locked="0"/>
    </xf>
    <xf numFmtId="165" fontId="20" fillId="4" borderId="98" xfId="6" applyNumberFormat="1" applyFont="1" applyFill="1" applyBorder="1" applyAlignment="1" applyProtection="1">
      <alignment vertical="center"/>
      <protection locked="0"/>
    </xf>
    <xf numFmtId="165" fontId="20" fillId="4" borderId="92" xfId="6" applyNumberFormat="1" applyFont="1" applyFill="1" applyBorder="1" applyAlignment="1" applyProtection="1">
      <alignment vertical="center"/>
      <protection locked="0"/>
    </xf>
    <xf numFmtId="165" fontId="20" fillId="4" borderId="69" xfId="6" applyNumberFormat="1" applyFont="1" applyFill="1" applyBorder="1" applyAlignment="1" applyProtection="1">
      <alignment vertical="center"/>
      <protection locked="0"/>
    </xf>
    <xf numFmtId="165" fontId="20" fillId="4" borderId="95" xfId="6" applyNumberFormat="1" applyFont="1" applyFill="1" applyBorder="1" applyAlignment="1" applyProtection="1">
      <alignment vertical="center"/>
      <protection locked="0"/>
    </xf>
    <xf numFmtId="0" fontId="0" fillId="0" borderId="0" xfId="0" applyProtection="1"/>
    <xf numFmtId="0" fontId="1" fillId="0" borderId="0" xfId="8" applyBorder="1" applyAlignment="1" applyProtection="1">
      <alignment horizontal="center" vertical="center"/>
    </xf>
    <xf numFmtId="165" fontId="23" fillId="4" borderId="2" xfId="9" applyNumberFormat="1" applyFont="1" applyFill="1" applyBorder="1" applyProtection="1">
      <protection locked="0"/>
    </xf>
    <xf numFmtId="165" fontId="23" fillId="4" borderId="3" xfId="9" applyNumberFormat="1" applyFont="1" applyFill="1" applyBorder="1" applyProtection="1">
      <protection locked="0"/>
    </xf>
    <xf numFmtId="165" fontId="23" fillId="4" borderId="4" xfId="9" applyNumberFormat="1" applyFont="1" applyFill="1" applyBorder="1" applyProtection="1">
      <protection locked="0"/>
    </xf>
    <xf numFmtId="165" fontId="23" fillId="4" borderId="34" xfId="9" applyNumberFormat="1" applyFont="1" applyFill="1" applyBorder="1" applyProtection="1">
      <protection locked="0"/>
    </xf>
    <xf numFmtId="0" fontId="22" fillId="0" borderId="2" xfId="6" applyFont="1" applyBorder="1" applyAlignment="1" applyProtection="1">
      <alignment horizontal="center" vertical="center"/>
    </xf>
    <xf numFmtId="165" fontId="20" fillId="7" borderId="1" xfId="6" applyNumberFormat="1" applyFont="1" applyFill="1" applyBorder="1" applyAlignment="1" applyProtection="1">
      <alignment vertical="center"/>
    </xf>
    <xf numFmtId="165" fontId="20" fillId="7" borderId="16" xfId="6" applyNumberFormat="1" applyFont="1" applyFill="1" applyBorder="1" applyAlignment="1" applyProtection="1">
      <alignment vertical="center"/>
    </xf>
    <xf numFmtId="2" fontId="20" fillId="4" borderId="2" xfId="6" applyNumberFormat="1" applyFont="1" applyFill="1" applyBorder="1" applyAlignment="1" applyProtection="1">
      <alignment vertical="center"/>
      <protection locked="0"/>
    </xf>
    <xf numFmtId="2" fontId="20" fillId="4" borderId="3" xfId="6" applyNumberFormat="1" applyFont="1" applyFill="1" applyBorder="1" applyAlignment="1" applyProtection="1">
      <alignment vertical="center"/>
      <protection locked="0"/>
    </xf>
    <xf numFmtId="2" fontId="20" fillId="4" borderId="4" xfId="6" applyNumberFormat="1" applyFont="1" applyFill="1" applyBorder="1" applyAlignment="1" applyProtection="1">
      <alignment vertical="center"/>
      <protection locked="0"/>
    </xf>
    <xf numFmtId="0" fontId="7" fillId="3" borderId="57" xfId="9" applyFont="1" applyFill="1" applyBorder="1" applyAlignment="1" applyProtection="1">
      <alignment horizontal="center" vertical="center" wrapText="1"/>
    </xf>
    <xf numFmtId="0" fontId="7" fillId="3" borderId="12" xfId="9" applyFont="1" applyFill="1" applyBorder="1" applyAlignment="1" applyProtection="1">
      <alignment horizontal="center" vertical="center" wrapText="1"/>
    </xf>
    <xf numFmtId="165" fontId="23" fillId="4" borderId="38" xfId="10" applyNumberFormat="1" applyFont="1" applyFill="1" applyBorder="1" applyAlignment="1" applyProtection="1">
      <alignment vertical="center"/>
      <protection locked="0"/>
    </xf>
    <xf numFmtId="165" fontId="23" fillId="4" borderId="32" xfId="10" applyNumberFormat="1" applyFont="1" applyFill="1" applyBorder="1" applyAlignment="1" applyProtection="1">
      <alignment vertical="center"/>
      <protection locked="0"/>
    </xf>
    <xf numFmtId="0" fontId="23" fillId="0" borderId="9" xfId="9" applyFont="1" applyFill="1" applyBorder="1" applyAlignment="1" applyProtection="1">
      <alignment vertical="center" wrapText="1"/>
    </xf>
    <xf numFmtId="0" fontId="23" fillId="0" borderId="9" xfId="9" applyFont="1" applyFill="1" applyBorder="1" applyAlignment="1" applyProtection="1">
      <alignment vertical="center"/>
    </xf>
    <xf numFmtId="166" fontId="23" fillId="4" borderId="6" xfId="11" applyNumberFormat="1" applyFont="1" applyFill="1" applyBorder="1" applyAlignment="1" applyProtection="1">
      <alignment horizontal="right" vertical="center"/>
      <protection locked="0"/>
    </xf>
    <xf numFmtId="168" fontId="23" fillId="4" borderId="6" xfId="11" applyNumberFormat="1" applyFont="1" applyFill="1" applyBorder="1" applyAlignment="1" applyProtection="1">
      <alignment horizontal="right" vertical="center"/>
      <protection locked="0"/>
    </xf>
    <xf numFmtId="166" fontId="23" fillId="4" borderId="9" xfId="11" applyNumberFormat="1" applyFont="1" applyFill="1" applyBorder="1" applyAlignment="1" applyProtection="1">
      <alignment horizontal="right" vertical="center"/>
      <protection locked="0"/>
    </xf>
    <xf numFmtId="168" fontId="23" fillId="4" borderId="9" xfId="11" applyNumberFormat="1" applyFont="1" applyFill="1" applyBorder="1" applyAlignment="1" applyProtection="1">
      <alignment horizontal="right" vertical="center"/>
      <protection locked="0"/>
    </xf>
    <xf numFmtId="166" fontId="23" fillId="4" borderId="12" xfId="11" applyNumberFormat="1" applyFont="1" applyFill="1" applyBorder="1" applyAlignment="1" applyProtection="1">
      <alignment horizontal="right" vertical="center"/>
      <protection locked="0"/>
    </xf>
    <xf numFmtId="168" fontId="23" fillId="4" borderId="12" xfId="11" applyNumberFormat="1" applyFont="1" applyFill="1" applyBorder="1" applyAlignment="1" applyProtection="1">
      <alignment horizontal="right" vertical="center"/>
      <protection locked="0"/>
    </xf>
    <xf numFmtId="0" fontId="20" fillId="8" borderId="63" xfId="7" applyBorder="1" applyAlignment="1">
      <alignment horizontal="center" vertical="center" wrapText="1"/>
    </xf>
    <xf numFmtId="0" fontId="16" fillId="6" borderId="0" xfId="9" applyFill="1" applyAlignment="1" applyProtection="1">
      <alignment vertical="center"/>
    </xf>
    <xf numFmtId="0" fontId="16" fillId="6" borderId="0" xfId="9" applyFont="1" applyFill="1" applyAlignment="1" applyProtection="1">
      <alignment horizontal="center" vertical="center"/>
    </xf>
    <xf numFmtId="0" fontId="16" fillId="14" borderId="0" xfId="9" applyFill="1" applyAlignment="1" applyProtection="1">
      <alignment vertical="center"/>
    </xf>
    <xf numFmtId="0" fontId="16" fillId="14" borderId="0" xfId="9" applyFont="1" applyFill="1" applyAlignment="1" applyProtection="1">
      <alignment vertical="center"/>
    </xf>
    <xf numFmtId="0" fontId="16" fillId="14" borderId="0" xfId="9" applyFont="1" applyFill="1" applyBorder="1" applyAlignment="1" applyProtection="1">
      <alignment vertical="center"/>
    </xf>
    <xf numFmtId="0" fontId="20" fillId="14" borderId="0" xfId="8" applyFont="1" applyFill="1" applyAlignment="1" applyProtection="1">
      <alignment vertical="center"/>
    </xf>
    <xf numFmtId="0" fontId="9" fillId="14" borderId="0" xfId="8" applyFont="1" applyFill="1" applyAlignment="1" applyProtection="1">
      <alignment vertical="center"/>
    </xf>
    <xf numFmtId="0" fontId="0" fillId="14" borderId="0" xfId="0" applyFill="1" applyProtection="1"/>
    <xf numFmtId="0" fontId="1" fillId="14" borderId="0" xfId="8" applyFill="1" applyAlignment="1" applyProtection="1">
      <alignment vertical="center"/>
    </xf>
    <xf numFmtId="0" fontId="14" fillId="9" borderId="0" xfId="9" applyFont="1" applyFill="1" applyAlignment="1" applyProtection="1">
      <alignment vertical="center" wrapText="1"/>
    </xf>
    <xf numFmtId="0" fontId="23" fillId="0" borderId="6" xfId="9" applyNumberFormat="1" applyFont="1" applyFill="1" applyBorder="1" applyAlignment="1" applyProtection="1">
      <alignment horizontal="center" vertical="center" wrapText="1"/>
    </xf>
    <xf numFmtId="0" fontId="23" fillId="0" borderId="9" xfId="9" applyNumberFormat="1" applyFont="1" applyFill="1" applyBorder="1" applyAlignment="1" applyProtection="1">
      <alignment horizontal="center" vertical="center" wrapText="1"/>
    </xf>
    <xf numFmtId="0" fontId="0" fillId="0" borderId="0" xfId="0" applyNumberFormat="1"/>
    <xf numFmtId="0" fontId="16" fillId="0" borderId="0" xfId="9" applyFill="1" applyAlignment="1" applyProtection="1">
      <alignment horizontal="left" vertical="center"/>
    </xf>
    <xf numFmtId="0" fontId="0" fillId="0" borderId="0" xfId="0" applyAlignment="1">
      <alignment horizontal="left" vertical="center"/>
    </xf>
    <xf numFmtId="0" fontId="0" fillId="14" borderId="0" xfId="0" applyFill="1" applyAlignment="1">
      <alignment horizontal="left" vertical="center"/>
    </xf>
    <xf numFmtId="0" fontId="22" fillId="0" borderId="0" xfId="0" applyFont="1" applyAlignment="1">
      <alignment horizontal="left" vertical="center"/>
    </xf>
    <xf numFmtId="0" fontId="9" fillId="0" borderId="0" xfId="6" applyFont="1" applyAlignment="1" applyProtection="1">
      <alignment horizontal="left" vertical="center"/>
    </xf>
    <xf numFmtId="0" fontId="29" fillId="0" borderId="0" xfId="9" applyFont="1" applyFill="1" applyAlignment="1" applyProtection="1">
      <alignment horizontal="left" vertical="center"/>
    </xf>
    <xf numFmtId="0" fontId="1" fillId="0" borderId="0" xfId="6" applyAlignment="1" applyProtection="1">
      <alignment horizontal="left" vertical="center"/>
    </xf>
    <xf numFmtId="0" fontId="22" fillId="6" borderId="0" xfId="0" applyFont="1" applyFill="1" applyAlignment="1">
      <alignment horizontal="left" vertical="center"/>
    </xf>
    <xf numFmtId="0" fontId="22" fillId="0" borderId="0" xfId="6" applyFont="1" applyFill="1" applyAlignment="1" applyProtection="1">
      <alignment horizontal="left" vertical="center"/>
    </xf>
    <xf numFmtId="0" fontId="23" fillId="0" borderId="5" xfId="9" applyFont="1" applyFill="1" applyBorder="1" applyAlignment="1" applyProtection="1">
      <alignment horizontal="left" vertical="center"/>
    </xf>
    <xf numFmtId="0" fontId="23" fillId="0" borderId="6" xfId="9" applyFont="1" applyFill="1" applyBorder="1" applyAlignment="1" applyProtection="1">
      <alignment horizontal="left" vertical="center"/>
    </xf>
    <xf numFmtId="0" fontId="20" fillId="8" borderId="25" xfId="7" applyBorder="1" applyAlignment="1">
      <alignment horizontal="left" vertical="center"/>
    </xf>
    <xf numFmtId="0" fontId="23" fillId="0" borderId="8" xfId="9" applyFont="1" applyFill="1" applyBorder="1" applyAlignment="1" applyProtection="1">
      <alignment horizontal="left" vertical="center"/>
    </xf>
    <xf numFmtId="0" fontId="23" fillId="0" borderId="9" xfId="9" applyFont="1" applyFill="1" applyBorder="1" applyAlignment="1" applyProtection="1">
      <alignment horizontal="left" vertical="center"/>
    </xf>
    <xf numFmtId="0" fontId="23" fillId="0" borderId="11" xfId="9" applyFont="1" applyFill="1" applyBorder="1" applyAlignment="1" applyProtection="1">
      <alignment horizontal="left" vertical="center"/>
    </xf>
    <xf numFmtId="0" fontId="23" fillId="0" borderId="12" xfId="9" applyFont="1" applyFill="1" applyBorder="1" applyAlignment="1" applyProtection="1">
      <alignment horizontal="left" vertical="center"/>
    </xf>
    <xf numFmtId="0" fontId="4" fillId="2" borderId="0" xfId="6" applyFont="1" applyFill="1" applyBorder="1" applyAlignment="1" applyProtection="1">
      <alignment horizontal="center" vertical="center"/>
    </xf>
    <xf numFmtId="0" fontId="16" fillId="0" borderId="0" xfId="9" applyFont="1" applyFill="1" applyAlignment="1" applyProtection="1">
      <alignment horizontal="center" vertical="center"/>
    </xf>
    <xf numFmtId="0" fontId="23" fillId="0" borderId="6" xfId="9" applyFont="1" applyFill="1" applyBorder="1" applyAlignment="1" applyProtection="1">
      <alignment horizontal="center" vertical="center"/>
    </xf>
    <xf numFmtId="0" fontId="23" fillId="0" borderId="9" xfId="9" applyFont="1" applyFill="1" applyBorder="1" applyAlignment="1" applyProtection="1">
      <alignment horizontal="center" vertical="center"/>
    </xf>
    <xf numFmtId="0" fontId="23" fillId="0" borderId="12" xfId="9" applyFont="1" applyFill="1" applyBorder="1" applyAlignment="1" applyProtection="1">
      <alignment horizontal="center" vertical="center"/>
    </xf>
    <xf numFmtId="0" fontId="0" fillId="0" borderId="0" xfId="0" applyAlignment="1">
      <alignment horizontal="center" vertical="center"/>
    </xf>
    <xf numFmtId="0" fontId="4" fillId="2" borderId="0" xfId="6" applyFont="1" applyFill="1" applyBorder="1" applyAlignment="1" applyProtection="1">
      <alignment horizontal="right" vertical="center" wrapText="1"/>
    </xf>
    <xf numFmtId="0" fontId="16" fillId="0" borderId="0" xfId="9" applyFill="1" applyAlignment="1" applyProtection="1">
      <alignment horizontal="right" vertical="center" wrapText="1"/>
    </xf>
    <xf numFmtId="0" fontId="7" fillId="3" borderId="61" xfId="9" applyFont="1" applyFill="1" applyBorder="1" applyAlignment="1" applyProtection="1">
      <alignment horizontal="right" vertical="center" wrapText="1"/>
    </xf>
    <xf numFmtId="0" fontId="16" fillId="0" borderId="0" xfId="9" applyFont="1" applyFill="1" applyAlignment="1" applyProtection="1">
      <alignment horizontal="right" vertical="center" wrapText="1"/>
    </xf>
    <xf numFmtId="0" fontId="0" fillId="0" borderId="0" xfId="0" applyAlignment="1">
      <alignment horizontal="right" vertical="center" wrapText="1"/>
    </xf>
    <xf numFmtId="0" fontId="16" fillId="0" borderId="0" xfId="9" applyFill="1" applyAlignment="1" applyProtection="1">
      <alignment horizontal="center" vertical="center" wrapText="1"/>
    </xf>
    <xf numFmtId="0" fontId="16" fillId="0" borderId="0" xfId="9" applyFont="1" applyFill="1" applyAlignment="1" applyProtection="1">
      <alignment horizontal="center" vertical="center" wrapText="1"/>
    </xf>
    <xf numFmtId="0" fontId="0" fillId="0" borderId="0" xfId="0" applyAlignment="1">
      <alignment horizontal="center" vertical="center" wrapText="1"/>
    </xf>
    <xf numFmtId="0" fontId="29" fillId="0" borderId="0" xfId="9" applyFont="1" applyFill="1" applyAlignment="1" applyProtection="1">
      <alignment horizontal="center" vertical="center"/>
    </xf>
    <xf numFmtId="0" fontId="23" fillId="4" borderId="6" xfId="11" applyNumberFormat="1" applyFont="1" applyFill="1" applyBorder="1" applyAlignment="1" applyProtection="1">
      <alignment horizontal="right" vertical="center" wrapText="1"/>
      <protection locked="0"/>
    </xf>
    <xf numFmtId="0" fontId="23" fillId="4" borderId="7" xfId="11" applyNumberFormat="1" applyFont="1" applyFill="1" applyBorder="1" applyAlignment="1" applyProtection="1">
      <alignment horizontal="center" vertical="center" wrapText="1"/>
      <protection locked="0"/>
    </xf>
    <xf numFmtId="0" fontId="23" fillId="4" borderId="9" xfId="11" applyNumberFormat="1" applyFont="1" applyFill="1" applyBorder="1" applyAlignment="1" applyProtection="1">
      <alignment horizontal="right" vertical="center" wrapText="1"/>
      <protection locked="0"/>
    </xf>
    <xf numFmtId="0" fontId="23" fillId="4" borderId="10" xfId="11" applyNumberFormat="1" applyFont="1" applyFill="1" applyBorder="1" applyAlignment="1" applyProtection="1">
      <alignment horizontal="center" vertical="center" wrapText="1"/>
      <protection locked="0"/>
    </xf>
    <xf numFmtId="0" fontId="23" fillId="4" borderId="12" xfId="11" applyNumberFormat="1" applyFont="1" applyFill="1" applyBorder="1" applyAlignment="1" applyProtection="1">
      <alignment horizontal="right" vertical="center" wrapText="1"/>
      <protection locked="0"/>
    </xf>
    <xf numFmtId="0" fontId="23" fillId="4" borderId="13" xfId="11" applyNumberFormat="1" applyFont="1" applyFill="1" applyBorder="1" applyAlignment="1" applyProtection="1">
      <alignment horizontal="center" vertical="center" wrapText="1"/>
      <protection locked="0"/>
    </xf>
    <xf numFmtId="0" fontId="22" fillId="14" borderId="0" xfId="0" applyFont="1" applyFill="1" applyAlignment="1">
      <alignment horizontal="left" vertical="center"/>
    </xf>
    <xf numFmtId="0" fontId="1" fillId="0" borderId="35" xfId="8" applyBorder="1" applyAlignment="1" applyProtection="1">
      <alignment vertical="center"/>
    </xf>
    <xf numFmtId="0" fontId="0" fillId="14" borderId="0" xfId="0" applyFill="1" applyAlignment="1">
      <alignment horizontal="left" vertical="center" wrapText="1"/>
    </xf>
    <xf numFmtId="0" fontId="7" fillId="3" borderId="16" xfId="9" applyFont="1" applyFill="1" applyBorder="1" applyAlignment="1" applyProtection="1">
      <alignment horizontal="left" vertical="center" wrapText="1"/>
    </xf>
    <xf numFmtId="0" fontId="23" fillId="0" borderId="54" xfId="9" applyFont="1" applyFill="1" applyBorder="1" applyAlignment="1" applyProtection="1">
      <alignment horizontal="center" vertical="center"/>
    </xf>
    <xf numFmtId="0" fontId="23" fillId="0" borderId="57" xfId="9" applyFont="1" applyFill="1" applyBorder="1" applyAlignment="1" applyProtection="1">
      <alignment horizontal="center" vertical="center"/>
    </xf>
    <xf numFmtId="0" fontId="0" fillId="0" borderId="35" xfId="0" applyBorder="1" applyProtection="1"/>
    <xf numFmtId="0" fontId="23" fillId="0" borderId="8" xfId="9" applyFont="1" applyFill="1" applyBorder="1" applyAlignment="1" applyProtection="1">
      <alignment horizontal="center" vertical="top" wrapText="1"/>
    </xf>
    <xf numFmtId="0" fontId="23" fillId="0" borderId="11" xfId="9" applyFont="1" applyFill="1" applyBorder="1" applyAlignment="1" applyProtection="1">
      <alignment horizontal="center" vertical="top" wrapText="1"/>
    </xf>
    <xf numFmtId="0" fontId="0" fillId="0" borderId="0" xfId="0" applyAlignment="1"/>
    <xf numFmtId="0" fontId="0" fillId="0" borderId="0" xfId="0" applyAlignment="1">
      <alignment horizontal="center"/>
    </xf>
    <xf numFmtId="0" fontId="0" fillId="14" borderId="0" xfId="0" applyFill="1"/>
    <xf numFmtId="0" fontId="0" fillId="14" borderId="0" xfId="0" applyFill="1" applyAlignment="1"/>
    <xf numFmtId="0" fontId="22" fillId="6" borderId="0" xfId="6" applyFont="1" applyFill="1" applyAlignment="1" applyProtection="1">
      <alignment horizontal="left" vertical="center"/>
    </xf>
    <xf numFmtId="0" fontId="22" fillId="14" borderId="0" xfId="6" applyFont="1" applyFill="1" applyAlignment="1" applyProtection="1">
      <alignment horizontal="center" vertical="center" wrapText="1"/>
    </xf>
    <xf numFmtId="0" fontId="22" fillId="6" borderId="0" xfId="0" applyFont="1" applyFill="1"/>
    <xf numFmtId="0" fontId="22" fillId="0" borderId="0" xfId="0" applyFont="1"/>
    <xf numFmtId="0" fontId="14" fillId="9" borderId="0" xfId="9" applyFont="1" applyFill="1" applyAlignment="1" applyProtection="1">
      <alignment horizontal="center" vertical="center"/>
    </xf>
    <xf numFmtId="0" fontId="22" fillId="14" borderId="0" xfId="6" applyFont="1" applyFill="1" applyAlignment="1" applyProtection="1">
      <alignment horizontal="center" vertical="center"/>
    </xf>
    <xf numFmtId="0" fontId="22" fillId="0" borderId="0" xfId="0" applyFont="1" applyAlignment="1"/>
    <xf numFmtId="0" fontId="22" fillId="14" borderId="0" xfId="0" applyFont="1" applyFill="1"/>
    <xf numFmtId="0" fontId="22" fillId="0" borderId="0" xfId="0" applyFont="1" applyAlignment="1">
      <alignment horizontal="center"/>
    </xf>
    <xf numFmtId="0" fontId="22" fillId="0" borderId="0" xfId="0" applyFont="1" applyAlignment="1">
      <alignment horizontal="center" vertical="center"/>
    </xf>
    <xf numFmtId="0" fontId="22" fillId="6" borderId="0" xfId="0" applyFont="1" applyFill="1" applyAlignment="1">
      <alignment horizontal="center"/>
    </xf>
    <xf numFmtId="0" fontId="22" fillId="6" borderId="0" xfId="0" applyFont="1" applyFill="1" applyAlignment="1">
      <alignment horizontal="center" vertical="center"/>
    </xf>
    <xf numFmtId="0" fontId="0" fillId="14" borderId="0" xfId="0" applyFill="1" applyAlignment="1">
      <alignment wrapText="1"/>
    </xf>
    <xf numFmtId="0" fontId="7" fillId="3" borderId="14" xfId="9" applyFont="1" applyFill="1" applyBorder="1" applyAlignment="1" applyProtection="1">
      <alignment horizontal="center" vertical="center" wrapText="1"/>
    </xf>
    <xf numFmtId="2" fontId="23" fillId="7" borderId="13" xfId="9" applyNumberFormat="1" applyFont="1" applyFill="1" applyBorder="1" applyAlignment="1" applyProtection="1">
      <alignment horizontal="right"/>
    </xf>
    <xf numFmtId="0" fontId="20" fillId="6" borderId="0" xfId="0" applyFont="1" applyFill="1"/>
    <xf numFmtId="0" fontId="20" fillId="0" borderId="0" xfId="0" applyFont="1"/>
    <xf numFmtId="0" fontId="20" fillId="0" borderId="0" xfId="6" applyFont="1" applyFill="1" applyAlignment="1" applyProtection="1">
      <alignment vertical="center"/>
    </xf>
    <xf numFmtId="0" fontId="20" fillId="0" borderId="0" xfId="0" applyFont="1" applyAlignment="1">
      <alignment horizontal="center" vertical="center"/>
    </xf>
    <xf numFmtId="0" fontId="20" fillId="6" borderId="0" xfId="0" applyFont="1" applyFill="1" applyAlignment="1">
      <alignment horizontal="center" vertical="center"/>
    </xf>
    <xf numFmtId="0" fontId="23" fillId="0" borderId="113" xfId="9" applyFont="1" applyFill="1" applyBorder="1" applyAlignment="1" applyProtection="1">
      <alignment horizontal="center" vertical="top" wrapText="1"/>
    </xf>
    <xf numFmtId="0" fontId="23" fillId="0" borderId="56" xfId="9" applyFont="1" applyFill="1" applyBorder="1" applyAlignment="1" applyProtection="1">
      <alignment horizontal="center" vertical="top" wrapText="1"/>
    </xf>
    <xf numFmtId="0" fontId="23" fillId="0" borderId="57" xfId="9" applyFont="1" applyFill="1" applyBorder="1" applyAlignment="1" applyProtection="1">
      <alignment horizontal="center" vertical="top" wrapText="1"/>
    </xf>
    <xf numFmtId="0" fontId="20" fillId="0" borderId="2" xfId="0" applyFont="1" applyBorder="1" applyAlignment="1">
      <alignment horizontal="center"/>
    </xf>
    <xf numFmtId="0" fontId="20" fillId="0" borderId="3" xfId="0" applyFont="1" applyBorder="1" applyAlignment="1">
      <alignment horizontal="left"/>
    </xf>
    <xf numFmtId="0" fontId="20" fillId="0" borderId="3" xfId="0" applyFont="1" applyBorder="1" applyAlignment="1">
      <alignment horizontal="center"/>
    </xf>
    <xf numFmtId="0" fontId="23" fillId="0" borderId="2" xfId="6" applyFont="1" applyBorder="1" applyAlignment="1" applyProtection="1">
      <alignment horizontal="center" vertical="center"/>
    </xf>
    <xf numFmtId="0" fontId="16" fillId="0" borderId="3" xfId="6" applyFont="1" applyBorder="1" applyAlignment="1" applyProtection="1">
      <alignment vertical="center"/>
    </xf>
    <xf numFmtId="165" fontId="23" fillId="4" borderId="31" xfId="10" applyNumberFormat="1" applyFont="1" applyFill="1" applyBorder="1" applyAlignment="1" applyProtection="1">
      <alignment vertical="center"/>
      <protection locked="0"/>
    </xf>
    <xf numFmtId="165" fontId="23" fillId="4" borderId="57" xfId="10" applyNumberFormat="1" applyFont="1" applyFill="1" applyBorder="1" applyAlignment="1" applyProtection="1">
      <alignment vertical="center"/>
      <protection locked="0"/>
    </xf>
    <xf numFmtId="165" fontId="23" fillId="4" borderId="54" xfId="10" applyNumberFormat="1" applyFont="1" applyFill="1" applyBorder="1" applyAlignment="1" applyProtection="1">
      <alignment vertical="center"/>
      <protection locked="0"/>
    </xf>
    <xf numFmtId="0" fontId="7" fillId="3" borderId="34" xfId="9" applyFont="1" applyFill="1" applyBorder="1" applyAlignment="1" applyProtection="1">
      <alignment horizontal="center" vertical="center" wrapText="1"/>
    </xf>
    <xf numFmtId="0" fontId="12" fillId="9" borderId="0" xfId="9" applyFont="1" applyFill="1" applyAlignment="1" applyProtection="1">
      <alignment vertical="center" wrapText="1"/>
    </xf>
    <xf numFmtId="0" fontId="1" fillId="0" borderId="0" xfId="6" applyAlignment="1" applyProtection="1">
      <alignment vertical="center" wrapText="1"/>
    </xf>
    <xf numFmtId="0" fontId="1" fillId="3" borderId="0" xfId="6" applyFill="1" applyAlignment="1" applyProtection="1">
      <alignment vertical="center" wrapText="1"/>
    </xf>
    <xf numFmtId="0" fontId="0" fillId="10" borderId="0" xfId="0" applyFill="1" applyAlignment="1" applyProtection="1">
      <alignment wrapText="1"/>
    </xf>
    <xf numFmtId="165" fontId="20" fillId="7" borderId="116" xfId="6" applyNumberFormat="1" applyFont="1" applyFill="1" applyBorder="1" applyAlignment="1" applyProtection="1">
      <alignment vertical="center"/>
    </xf>
    <xf numFmtId="165" fontId="20" fillId="4" borderId="117" xfId="6" applyNumberFormat="1" applyFont="1" applyFill="1" applyBorder="1" applyAlignment="1" applyProtection="1">
      <alignment vertical="center"/>
      <protection locked="0"/>
    </xf>
    <xf numFmtId="165" fontId="20" fillId="4" borderId="118" xfId="6" applyNumberFormat="1" applyFont="1" applyFill="1" applyBorder="1" applyAlignment="1" applyProtection="1">
      <alignment vertical="center"/>
      <protection locked="0"/>
    </xf>
    <xf numFmtId="0" fontId="7" fillId="0" borderId="0" xfId="9" applyFont="1" applyFill="1" applyBorder="1" applyAlignment="1" applyProtection="1">
      <alignment horizontal="center" vertical="center" wrapText="1"/>
    </xf>
    <xf numFmtId="1" fontId="23" fillId="7" borderId="1" xfId="9" applyNumberFormat="1" applyFont="1" applyFill="1" applyBorder="1" applyAlignment="1" applyProtection="1">
      <alignment vertical="center"/>
    </xf>
    <xf numFmtId="1" fontId="23" fillId="0" borderId="0" xfId="9" applyNumberFormat="1" applyFont="1" applyFill="1" applyAlignment="1" applyProtection="1">
      <alignment vertical="center"/>
    </xf>
    <xf numFmtId="1" fontId="23" fillId="7" borderId="31" xfId="9" applyNumberFormat="1" applyFont="1" applyFill="1" applyBorder="1" applyAlignment="1" applyProtection="1">
      <alignment vertical="center"/>
    </xf>
    <xf numFmtId="1" fontId="23" fillId="7" borderId="32" xfId="9" applyNumberFormat="1" applyFont="1" applyFill="1" applyBorder="1" applyAlignment="1" applyProtection="1">
      <alignment vertical="center"/>
    </xf>
    <xf numFmtId="1" fontId="20" fillId="0" borderId="0" xfId="6" applyNumberFormat="1" applyFont="1" applyAlignment="1" applyProtection="1">
      <alignment vertical="center"/>
    </xf>
    <xf numFmtId="165" fontId="23" fillId="4" borderId="1" xfId="11" applyNumberFormat="1" applyFont="1" applyFill="1" applyBorder="1" applyAlignment="1" applyProtection="1">
      <alignment vertical="center"/>
      <protection locked="0"/>
    </xf>
    <xf numFmtId="165" fontId="23" fillId="0" borderId="0" xfId="9" applyNumberFormat="1" applyFont="1" applyFill="1" applyAlignment="1" applyProtection="1">
      <alignment vertical="center"/>
    </xf>
    <xf numFmtId="165" fontId="23" fillId="4" borderId="31" xfId="11" applyNumberFormat="1" applyFont="1" applyFill="1" applyBorder="1" applyAlignment="1" applyProtection="1">
      <alignment vertical="center"/>
      <protection locked="0"/>
    </xf>
    <xf numFmtId="165" fontId="23" fillId="4" borderId="32" xfId="11" applyNumberFormat="1" applyFont="1" applyFill="1" applyBorder="1" applyAlignment="1" applyProtection="1">
      <alignment vertical="center"/>
      <protection locked="0"/>
    </xf>
    <xf numFmtId="165" fontId="20" fillId="0" borderId="0" xfId="8" applyNumberFormat="1" applyFont="1" applyAlignment="1" applyProtection="1">
      <alignment horizontal="center" vertical="center"/>
    </xf>
    <xf numFmtId="165" fontId="23" fillId="7" borderId="1" xfId="9" applyNumberFormat="1" applyFont="1" applyFill="1" applyBorder="1" applyAlignment="1" applyProtection="1">
      <alignment vertical="center"/>
    </xf>
    <xf numFmtId="0" fontId="23" fillId="9" borderId="33" xfId="9" applyFont="1" applyFill="1" applyBorder="1" applyAlignment="1" applyProtection="1">
      <alignment horizontal="center" vertical="center"/>
    </xf>
    <xf numFmtId="0" fontId="16" fillId="0" borderId="1" xfId="9" applyFont="1" applyFill="1" applyBorder="1" applyAlignment="1" applyProtection="1">
      <alignment vertical="center"/>
    </xf>
    <xf numFmtId="0" fontId="23" fillId="9" borderId="0" xfId="9" applyFont="1" applyFill="1" applyBorder="1" applyAlignment="1" applyProtection="1">
      <alignment horizontal="center" vertical="center"/>
    </xf>
    <xf numFmtId="0" fontId="9" fillId="0" borderId="0" xfId="8" applyFont="1" applyFill="1" applyAlignment="1" applyProtection="1">
      <alignment horizontal="center" vertical="center"/>
    </xf>
    <xf numFmtId="0" fontId="28" fillId="0" borderId="0" xfId="6" applyFont="1" applyFill="1" applyBorder="1" applyAlignment="1" applyProtection="1">
      <alignment horizontal="center" vertical="center" wrapText="1"/>
    </xf>
    <xf numFmtId="1" fontId="23" fillId="0" borderId="0" xfId="9" applyNumberFormat="1" applyFont="1" applyFill="1" applyBorder="1" applyAlignment="1" applyProtection="1">
      <alignment vertical="center"/>
    </xf>
    <xf numFmtId="0" fontId="0" fillId="0" borderId="0" xfId="0" applyFill="1" applyAlignment="1">
      <alignment horizontal="left" vertical="center" wrapText="1"/>
    </xf>
    <xf numFmtId="0" fontId="23" fillId="0" borderId="43" xfId="9" applyFont="1" applyFill="1" applyBorder="1" applyAlignment="1" applyProtection="1">
      <alignment horizontal="center" vertical="center"/>
    </xf>
    <xf numFmtId="0" fontId="16" fillId="0" borderId="44" xfId="9" applyFont="1" applyFill="1" applyBorder="1" applyAlignment="1" applyProtection="1">
      <alignment horizontal="left" vertical="center"/>
    </xf>
    <xf numFmtId="165" fontId="23" fillId="4" borderId="30" xfId="9" applyNumberFormat="1" applyFont="1" applyFill="1" applyBorder="1" applyAlignment="1" applyProtection="1">
      <alignment vertical="center"/>
      <protection locked="0"/>
    </xf>
    <xf numFmtId="0" fontId="1" fillId="0" borderId="0" xfId="8" applyFill="1" applyAlignment="1" applyProtection="1">
      <alignment horizontal="center" vertical="center"/>
    </xf>
    <xf numFmtId="0" fontId="14" fillId="0" borderId="12" xfId="9" quotePrefix="1" applyFont="1" applyFill="1" applyBorder="1" applyAlignment="1" applyProtection="1">
      <alignment horizontal="center" vertical="center"/>
    </xf>
    <xf numFmtId="0" fontId="14" fillId="0" borderId="36" xfId="9" applyFont="1" applyFill="1" applyBorder="1" applyAlignment="1" applyProtection="1">
      <alignment horizontal="center" vertical="center"/>
    </xf>
    <xf numFmtId="0" fontId="14" fillId="0" borderId="40" xfId="9" applyFont="1" applyFill="1" applyBorder="1" applyAlignment="1" applyProtection="1">
      <alignment horizontal="center" vertical="center"/>
    </xf>
    <xf numFmtId="165" fontId="20" fillId="7" borderId="37" xfId="6" applyNumberFormat="1" applyFont="1" applyFill="1" applyBorder="1" applyAlignment="1" applyProtection="1">
      <alignment vertical="center"/>
    </xf>
    <xf numFmtId="0" fontId="20" fillId="0" borderId="0" xfId="6" applyFont="1" applyFill="1" applyAlignment="1" applyProtection="1">
      <alignment horizontal="left" vertical="center"/>
    </xf>
    <xf numFmtId="0" fontId="23" fillId="0" borderId="12" xfId="9" applyFont="1" applyFill="1" applyBorder="1" applyAlignment="1" applyProtection="1">
      <alignment vertical="center" wrapText="1"/>
    </xf>
    <xf numFmtId="165" fontId="23" fillId="4" borderId="46" xfId="9" applyNumberFormat="1" applyFont="1" applyFill="1" applyBorder="1" applyProtection="1">
      <protection locked="0"/>
    </xf>
    <xf numFmtId="165" fontId="23" fillId="4" borderId="47" xfId="9" applyNumberFormat="1" applyFont="1" applyFill="1" applyBorder="1" applyProtection="1">
      <protection locked="0"/>
    </xf>
    <xf numFmtId="165" fontId="23" fillId="4" borderId="50" xfId="9" applyNumberFormat="1" applyFont="1" applyFill="1" applyBorder="1" applyProtection="1">
      <protection locked="0"/>
    </xf>
    <xf numFmtId="165" fontId="23" fillId="4" borderId="113" xfId="9" applyNumberFormat="1" applyFont="1" applyFill="1" applyBorder="1" applyProtection="1">
      <protection locked="0"/>
    </xf>
    <xf numFmtId="165" fontId="23" fillId="4" borderId="43" xfId="9" applyNumberFormat="1" applyFont="1" applyFill="1" applyBorder="1" applyProtection="1">
      <protection locked="0"/>
    </xf>
    <xf numFmtId="165" fontId="23" fillId="4" borderId="44" xfId="9" applyNumberFormat="1" applyFont="1" applyFill="1" applyBorder="1" applyProtection="1">
      <protection locked="0"/>
    </xf>
    <xf numFmtId="165" fontId="23" fillId="4" borderId="62" xfId="9" applyNumberFormat="1" applyFont="1" applyFill="1" applyBorder="1" applyProtection="1">
      <protection locked="0"/>
    </xf>
    <xf numFmtId="165" fontId="23" fillId="4" borderId="122" xfId="9" applyNumberFormat="1" applyFont="1" applyFill="1" applyBorder="1" applyProtection="1">
      <protection locked="0"/>
    </xf>
    <xf numFmtId="0" fontId="0" fillId="0" borderId="0" xfId="0" applyFill="1" applyAlignment="1">
      <alignment wrapText="1"/>
    </xf>
    <xf numFmtId="0" fontId="0" fillId="0" borderId="0" xfId="0" applyFill="1"/>
    <xf numFmtId="0" fontId="0" fillId="0" borderId="0" xfId="0" applyFill="1" applyAlignment="1">
      <alignment horizontal="left" vertical="top" wrapText="1"/>
    </xf>
    <xf numFmtId="0" fontId="0" fillId="0" borderId="0" xfId="0" applyFill="1" applyAlignment="1">
      <alignment horizontal="left" vertical="top"/>
    </xf>
    <xf numFmtId="0" fontId="0" fillId="0" borderId="0" xfId="0" applyFill="1" applyAlignment="1">
      <alignment horizontal="left"/>
    </xf>
    <xf numFmtId="0" fontId="0" fillId="0" borderId="0" xfId="0" applyAlignment="1">
      <alignment horizontal="left"/>
    </xf>
    <xf numFmtId="0" fontId="23" fillId="0" borderId="12" xfId="9" applyFont="1" applyFill="1" applyBorder="1" applyAlignment="1" applyProtection="1">
      <alignment vertical="center"/>
    </xf>
    <xf numFmtId="0" fontId="23" fillId="0" borderId="12" xfId="9" applyNumberFormat="1" applyFont="1" applyFill="1" applyBorder="1" applyAlignment="1" applyProtection="1">
      <alignment horizontal="center" vertical="center" wrapText="1"/>
    </xf>
    <xf numFmtId="165" fontId="23" fillId="4" borderId="29" xfId="10" applyNumberFormat="1" applyFont="1" applyFill="1" applyBorder="1" applyAlignment="1" applyProtection="1">
      <alignment vertical="center"/>
      <protection locked="0"/>
    </xf>
    <xf numFmtId="165" fontId="23" fillId="4" borderId="45" xfId="10" applyNumberFormat="1" applyFont="1" applyFill="1" applyBorder="1" applyAlignment="1" applyProtection="1">
      <alignment vertical="center"/>
      <protection locked="0"/>
    </xf>
    <xf numFmtId="165" fontId="20" fillId="4" borderId="123" xfId="6" applyNumberFormat="1" applyFont="1" applyFill="1" applyBorder="1" applyAlignment="1" applyProtection="1">
      <alignment vertical="center"/>
      <protection locked="0"/>
    </xf>
    <xf numFmtId="165" fontId="20" fillId="7" borderId="124" xfId="6" applyNumberFormat="1" applyFont="1" applyFill="1" applyBorder="1" applyAlignment="1" applyProtection="1">
      <alignment vertical="center"/>
    </xf>
    <xf numFmtId="165" fontId="20" fillId="0" borderId="80" xfId="6" applyNumberFormat="1" applyFont="1" applyFill="1" applyBorder="1" applyAlignment="1" applyProtection="1">
      <alignment vertical="center"/>
    </xf>
    <xf numFmtId="165" fontId="20" fillId="0" borderId="81" xfId="6" applyNumberFormat="1" applyFont="1" applyFill="1" applyBorder="1" applyAlignment="1" applyProtection="1">
      <alignment vertical="center"/>
    </xf>
    <xf numFmtId="10" fontId="20" fillId="4" borderId="30" xfId="6" applyNumberFormat="1" applyFont="1" applyFill="1" applyBorder="1" applyAlignment="1" applyProtection="1">
      <alignment vertical="center"/>
      <protection locked="0"/>
    </xf>
    <xf numFmtId="10" fontId="20" fillId="4" borderId="32" xfId="6" applyNumberFormat="1" applyFont="1" applyFill="1" applyBorder="1" applyAlignment="1" applyProtection="1">
      <alignment vertical="center"/>
      <protection locked="0"/>
    </xf>
    <xf numFmtId="0" fontId="9" fillId="0" borderId="60" xfId="6" applyFont="1" applyBorder="1" applyAlignment="1" applyProtection="1">
      <alignment vertical="center"/>
    </xf>
    <xf numFmtId="0" fontId="22" fillId="0" borderId="35" xfId="6" applyFont="1" applyBorder="1" applyAlignment="1" applyProtection="1">
      <alignment horizontal="center" vertical="center"/>
    </xf>
    <xf numFmtId="0" fontId="22" fillId="0" borderId="1" xfId="6" applyFont="1" applyBorder="1" applyAlignment="1" applyProtection="1">
      <alignment horizontal="center" vertical="center"/>
    </xf>
    <xf numFmtId="165" fontId="23" fillId="4" borderId="26" xfId="10" applyNumberFormat="1" applyFont="1" applyFill="1" applyBorder="1" applyAlignment="1" applyProtection="1">
      <alignment vertical="center"/>
      <protection locked="0"/>
    </xf>
    <xf numFmtId="165" fontId="23" fillId="4" borderId="6" xfId="11" applyNumberFormat="1" applyFont="1" applyFill="1" applyBorder="1" applyAlignment="1" applyProtection="1">
      <alignment horizontal="center" vertical="center"/>
      <protection locked="0"/>
    </xf>
    <xf numFmtId="165" fontId="23" fillId="4" borderId="9" xfId="11" applyNumberFormat="1" applyFont="1" applyFill="1" applyBorder="1" applyAlignment="1" applyProtection="1">
      <alignment horizontal="center" vertical="center"/>
      <protection locked="0"/>
    </xf>
    <xf numFmtId="165" fontId="23" fillId="4" borderId="12" xfId="11" applyNumberFormat="1" applyFont="1" applyFill="1" applyBorder="1" applyAlignment="1" applyProtection="1">
      <alignment horizontal="center" vertical="center"/>
      <protection locked="0"/>
    </xf>
    <xf numFmtId="0" fontId="23" fillId="0" borderId="0" xfId="9" applyNumberFormat="1" applyFont="1" applyFill="1" applyBorder="1" applyAlignment="1" applyProtection="1">
      <alignment horizontal="center" vertical="center" wrapText="1"/>
    </xf>
    <xf numFmtId="165" fontId="23" fillId="4" borderId="125" xfId="2" applyNumberFormat="1" applyFont="1" applyFill="1" applyBorder="1" applyAlignment="1" applyProtection="1">
      <alignment vertical="center"/>
      <protection locked="0"/>
    </xf>
    <xf numFmtId="165" fontId="23" fillId="4" borderId="114" xfId="2" applyNumberFormat="1" applyFont="1" applyFill="1" applyBorder="1" applyAlignment="1" applyProtection="1">
      <alignment vertical="center"/>
      <protection locked="0"/>
    </xf>
    <xf numFmtId="165" fontId="20" fillId="4" borderId="126" xfId="6" applyNumberFormat="1" applyFont="1" applyFill="1" applyBorder="1" applyAlignment="1" applyProtection="1">
      <alignment vertical="center"/>
      <protection locked="0"/>
    </xf>
    <xf numFmtId="165" fontId="23" fillId="4" borderId="18" xfId="2" applyNumberFormat="1" applyFont="1" applyFill="1" applyBorder="1" applyAlignment="1" applyProtection="1">
      <alignment vertical="center"/>
      <protection locked="0"/>
    </xf>
    <xf numFmtId="165" fontId="23" fillId="4" borderId="32" xfId="2" applyNumberFormat="1" applyFont="1" applyFill="1" applyBorder="1" applyAlignment="1" applyProtection="1">
      <alignment vertical="center"/>
      <protection locked="0"/>
    </xf>
    <xf numFmtId="165" fontId="23" fillId="4" borderId="24" xfId="2" applyNumberFormat="1" applyFont="1" applyFill="1" applyBorder="1" applyAlignment="1" applyProtection="1">
      <alignment vertical="center"/>
      <protection locked="0"/>
    </xf>
    <xf numFmtId="165" fontId="23" fillId="4" borderId="47" xfId="9" applyNumberFormat="1" applyFont="1" applyFill="1" applyBorder="1" applyAlignment="1" applyProtection="1">
      <alignment vertical="center"/>
      <protection locked="0"/>
    </xf>
    <xf numFmtId="165" fontId="23" fillId="7" borderId="20" xfId="9" applyNumberFormat="1" applyFont="1" applyFill="1" applyBorder="1" applyAlignment="1" applyProtection="1">
      <alignment vertical="center"/>
    </xf>
    <xf numFmtId="165" fontId="23" fillId="7" borderId="6" xfId="9" applyNumberFormat="1" applyFont="1" applyFill="1" applyBorder="1" applyAlignment="1" applyProtection="1">
      <alignment vertical="center"/>
    </xf>
    <xf numFmtId="165" fontId="23" fillId="4" borderId="11" xfId="2" applyNumberFormat="1" applyFont="1" applyFill="1" applyBorder="1" applyAlignment="1" applyProtection="1">
      <alignment vertical="center"/>
      <protection locked="0"/>
    </xf>
    <xf numFmtId="165" fontId="23" fillId="4" borderId="27" xfId="2" applyNumberFormat="1" applyFont="1" applyFill="1" applyBorder="1" applyAlignment="1" applyProtection="1">
      <alignment vertical="center"/>
      <protection locked="0"/>
    </xf>
    <xf numFmtId="0" fontId="0" fillId="6" borderId="0" xfId="0" applyFill="1"/>
    <xf numFmtId="0" fontId="16" fillId="0" borderId="0" xfId="0" applyFont="1" applyFill="1" applyAlignment="1" applyProtection="1">
      <alignment vertical="top" wrapText="1"/>
    </xf>
    <xf numFmtId="165" fontId="23" fillId="7" borderId="113" xfId="2" applyNumberFormat="1" applyFont="1" applyFill="1" applyBorder="1" applyAlignment="1" applyProtection="1">
      <alignment vertical="center"/>
    </xf>
    <xf numFmtId="165" fontId="23" fillId="7" borderId="7" xfId="2" applyNumberFormat="1" applyFont="1" applyFill="1" applyBorder="1" applyAlignment="1" applyProtection="1">
      <alignment vertical="center"/>
    </xf>
    <xf numFmtId="165" fontId="23" fillId="7" borderId="18" xfId="2" applyNumberFormat="1" applyFont="1" applyFill="1" applyBorder="1" applyAlignment="1" applyProtection="1">
      <alignment vertical="center"/>
    </xf>
    <xf numFmtId="165" fontId="23" fillId="7" borderId="32" xfId="2" applyNumberFormat="1" applyFont="1" applyFill="1" applyBorder="1" applyAlignment="1" applyProtection="1">
      <alignment vertical="center"/>
    </xf>
    <xf numFmtId="165" fontId="23" fillId="7" borderId="49" xfId="2" applyNumberFormat="1" applyFont="1" applyFill="1" applyBorder="1" applyAlignment="1" applyProtection="1">
      <alignment vertical="center"/>
    </xf>
    <xf numFmtId="165" fontId="23" fillId="7" borderId="30" xfId="2" applyNumberFormat="1" applyFont="1" applyFill="1" applyBorder="1" applyAlignment="1" applyProtection="1">
      <alignment vertical="center"/>
    </xf>
    <xf numFmtId="169" fontId="16" fillId="0" borderId="0" xfId="0" applyNumberFormat="1" applyFont="1" applyFill="1" applyBorder="1" applyAlignment="1">
      <alignment horizontal="right" vertical="top" wrapText="1"/>
    </xf>
    <xf numFmtId="49" fontId="16" fillId="0" borderId="0" xfId="0" applyNumberFormat="1" applyFont="1" applyFill="1" applyBorder="1" applyAlignment="1">
      <alignment horizontal="right" vertical="top" wrapText="1"/>
    </xf>
    <xf numFmtId="0" fontId="16" fillId="0" borderId="0" xfId="0" applyFont="1" applyFill="1" applyBorder="1" applyAlignment="1">
      <alignment horizontal="right" vertical="top" wrapText="1"/>
    </xf>
    <xf numFmtId="3" fontId="16" fillId="0" borderId="0" xfId="0" applyNumberFormat="1" applyFont="1" applyFill="1" applyBorder="1" applyAlignment="1">
      <alignment horizontal="right" vertical="top" wrapText="1"/>
    </xf>
    <xf numFmtId="4" fontId="16" fillId="0" borderId="0" xfId="0" applyNumberFormat="1" applyFont="1" applyFill="1" applyBorder="1" applyAlignment="1">
      <alignment horizontal="right" vertical="top" wrapText="1"/>
    </xf>
    <xf numFmtId="3" fontId="9" fillId="0" borderId="0" xfId="0" applyNumberFormat="1" applyFont="1" applyFill="1" applyBorder="1" applyAlignment="1">
      <alignment horizontal="right" vertical="top" wrapText="1"/>
    </xf>
    <xf numFmtId="4" fontId="9" fillId="0" borderId="0" xfId="0" applyNumberFormat="1" applyFont="1" applyFill="1" applyBorder="1" applyAlignment="1">
      <alignment horizontal="right" vertical="top" wrapText="1"/>
    </xf>
    <xf numFmtId="0" fontId="9" fillId="0" borderId="0" xfId="0" applyFont="1" applyFill="1" applyBorder="1" applyAlignment="1">
      <alignment horizontal="right" vertical="top" wrapText="1"/>
    </xf>
    <xf numFmtId="0" fontId="9" fillId="0" borderId="0" xfId="0" applyNumberFormat="1" applyFont="1" applyFill="1" applyBorder="1" applyAlignment="1">
      <alignment horizontal="right" vertical="top" wrapText="1"/>
    </xf>
    <xf numFmtId="0" fontId="44" fillId="0" borderId="0" xfId="0" applyFont="1" applyFill="1" applyBorder="1" applyAlignment="1">
      <alignment horizontal="right" vertical="top" wrapText="1"/>
    </xf>
    <xf numFmtId="49" fontId="9" fillId="0" borderId="0" xfId="0" applyNumberFormat="1" applyFont="1" applyFill="1" applyBorder="1" applyAlignment="1">
      <alignment horizontal="right" vertical="top" wrapText="1"/>
    </xf>
    <xf numFmtId="169" fontId="9" fillId="0" borderId="0" xfId="0" applyNumberFormat="1" applyFont="1" applyFill="1" applyBorder="1" applyAlignment="1">
      <alignment horizontal="right" vertical="top" wrapText="1"/>
    </xf>
    <xf numFmtId="0" fontId="22" fillId="0" borderId="0" xfId="0" applyFont="1" applyFill="1" applyBorder="1" applyAlignment="1">
      <alignment horizontal="right" vertical="top" wrapText="1"/>
    </xf>
    <xf numFmtId="20" fontId="16" fillId="0" borderId="0" xfId="0" applyNumberFormat="1" applyFont="1" applyFill="1" applyBorder="1" applyAlignment="1">
      <alignment horizontal="right" vertical="top" wrapText="1"/>
    </xf>
    <xf numFmtId="167" fontId="16" fillId="0" borderId="0" xfId="0" applyNumberFormat="1" applyFont="1" applyFill="1" applyBorder="1" applyAlignment="1">
      <alignment horizontal="right" vertical="top" wrapText="1"/>
    </xf>
    <xf numFmtId="0" fontId="45" fillId="0" borderId="0" xfId="0" applyFont="1" applyFill="1" applyBorder="1" applyAlignment="1">
      <alignment horizontal="right" vertical="top" wrapText="1"/>
    </xf>
    <xf numFmtId="0" fontId="23" fillId="0" borderId="0" xfId="0" applyFont="1" applyFill="1" applyBorder="1" applyAlignment="1">
      <alignment horizontal="right" vertical="top" wrapText="1"/>
    </xf>
    <xf numFmtId="0" fontId="14" fillId="0" borderId="0" xfId="0" applyFont="1" applyFill="1" applyBorder="1" applyAlignment="1">
      <alignment horizontal="right" vertical="top" wrapText="1"/>
    </xf>
    <xf numFmtId="0" fontId="16" fillId="0" borderId="0" xfId="0" applyNumberFormat="1" applyFont="1" applyFill="1" applyBorder="1" applyAlignment="1">
      <alignment horizontal="right" vertical="top" wrapText="1"/>
    </xf>
    <xf numFmtId="3" fontId="14" fillId="0" borderId="0" xfId="0" applyNumberFormat="1" applyFont="1" applyFill="1" applyBorder="1" applyAlignment="1">
      <alignment horizontal="right" vertical="top" wrapText="1"/>
    </xf>
    <xf numFmtId="3" fontId="23" fillId="0" borderId="0" xfId="0" applyNumberFormat="1" applyFont="1" applyFill="1" applyBorder="1" applyAlignment="1">
      <alignment horizontal="right" vertical="top" wrapText="1"/>
    </xf>
    <xf numFmtId="4" fontId="9" fillId="0" borderId="0" xfId="0" applyNumberFormat="1" applyFont="1" applyBorder="1" applyAlignment="1">
      <alignment horizontal="left" vertical="top" wrapText="1"/>
    </xf>
    <xf numFmtId="3" fontId="9" fillId="0" borderId="0" xfId="0" applyNumberFormat="1" applyFont="1" applyBorder="1" applyAlignment="1">
      <alignment horizontal="left" vertical="top" wrapText="1"/>
    </xf>
    <xf numFmtId="0" fontId="39" fillId="0" borderId="0" xfId="0" applyNumberFormat="1" applyFont="1" applyBorder="1"/>
    <xf numFmtId="0" fontId="9" fillId="0" borderId="0" xfId="0" applyNumberFormat="1" applyFont="1" applyBorder="1"/>
    <xf numFmtId="0" fontId="4" fillId="2" borderId="0" xfId="6" applyFont="1" applyFill="1" applyBorder="1" applyAlignment="1" applyProtection="1">
      <alignment vertical="center" wrapText="1"/>
    </xf>
    <xf numFmtId="0" fontId="16" fillId="0" borderId="0" xfId="9" applyFill="1" applyAlignment="1" applyProtection="1">
      <alignment vertical="center" wrapText="1"/>
    </xf>
    <xf numFmtId="0" fontId="16" fillId="0" borderId="0" xfId="9" applyFill="1" applyBorder="1" applyAlignment="1" applyProtection="1">
      <alignment vertical="center" wrapText="1"/>
    </xf>
    <xf numFmtId="0" fontId="20" fillId="0" borderId="0" xfId="8" applyFont="1" applyAlignment="1" applyProtection="1">
      <alignment vertical="center" wrapText="1"/>
    </xf>
    <xf numFmtId="0" fontId="0" fillId="0" borderId="0" xfId="0" applyAlignment="1" applyProtection="1">
      <alignment wrapText="1"/>
    </xf>
    <xf numFmtId="0" fontId="25" fillId="3" borderId="34" xfId="9" applyFont="1" applyFill="1" applyBorder="1" applyAlignment="1" applyProtection="1">
      <alignment vertical="center" wrapText="1"/>
    </xf>
    <xf numFmtId="0" fontId="0" fillId="0" borderId="34" xfId="0" applyBorder="1" applyAlignment="1" applyProtection="1">
      <alignment wrapText="1"/>
    </xf>
    <xf numFmtId="0" fontId="16" fillId="0" borderId="8" xfId="9" applyFont="1" applyFill="1" applyBorder="1" applyAlignment="1" applyProtection="1">
      <alignment horizontal="left" vertical="top" wrapText="1"/>
    </xf>
    <xf numFmtId="0" fontId="16" fillId="0" borderId="11" xfId="9" applyFont="1" applyFill="1" applyBorder="1" applyAlignment="1" applyProtection="1">
      <alignment horizontal="left" vertical="top" wrapText="1"/>
    </xf>
    <xf numFmtId="10" fontId="20" fillId="7" borderId="31" xfId="6" applyNumberFormat="1" applyFont="1" applyFill="1" applyBorder="1" applyAlignment="1" applyProtection="1">
      <alignment vertical="center"/>
    </xf>
    <xf numFmtId="10" fontId="20" fillId="4" borderId="5" xfId="6" applyNumberFormat="1" applyFont="1" applyFill="1" applyBorder="1" applyAlignment="1" applyProtection="1">
      <alignment vertical="center"/>
      <protection locked="0"/>
    </xf>
    <xf numFmtId="10" fontId="20" fillId="4" borderId="6" xfId="6" applyNumberFormat="1" applyFont="1" applyFill="1" applyBorder="1" applyAlignment="1" applyProtection="1">
      <alignment vertical="center"/>
      <protection locked="0"/>
    </xf>
    <xf numFmtId="10" fontId="20" fillId="4" borderId="7" xfId="6" applyNumberFormat="1" applyFont="1" applyFill="1" applyBorder="1" applyAlignment="1" applyProtection="1">
      <alignment vertical="center"/>
      <protection locked="0"/>
    </xf>
    <xf numFmtId="10" fontId="20" fillId="4" borderId="11" xfId="6" applyNumberFormat="1" applyFont="1" applyFill="1" applyBorder="1" applyAlignment="1" applyProtection="1">
      <alignment vertical="center"/>
      <protection locked="0"/>
    </xf>
    <xf numFmtId="10" fontId="20" fillId="4" borderId="12" xfId="6" applyNumberFormat="1" applyFont="1" applyFill="1" applyBorder="1" applyAlignment="1" applyProtection="1">
      <alignment vertical="center"/>
      <protection locked="0"/>
    </xf>
    <xf numFmtId="10" fontId="20" fillId="4" borderId="13" xfId="6" applyNumberFormat="1" applyFont="1" applyFill="1" applyBorder="1" applyAlignment="1" applyProtection="1">
      <alignment vertical="center"/>
      <protection locked="0"/>
    </xf>
    <xf numFmtId="0" fontId="22" fillId="0" borderId="0" xfId="0" applyFont="1" applyFill="1" applyAlignment="1">
      <alignment horizontal="center" vertical="center"/>
    </xf>
    <xf numFmtId="165" fontId="23" fillId="7" borderId="5" xfId="2" applyNumberFormat="1" applyFont="1" applyFill="1" applyBorder="1" applyAlignment="1" applyProtection="1">
      <alignment vertical="center"/>
    </xf>
    <xf numFmtId="165" fontId="23" fillId="7" borderId="24" xfId="2" applyNumberFormat="1" applyFont="1" applyFill="1" applyBorder="1" applyAlignment="1" applyProtection="1">
      <alignment vertical="center"/>
    </xf>
    <xf numFmtId="165" fontId="23" fillId="7" borderId="8" xfId="2" applyNumberFormat="1" applyFont="1" applyFill="1" applyBorder="1" applyAlignment="1" applyProtection="1">
      <alignment vertical="center"/>
    </xf>
    <xf numFmtId="165" fontId="23" fillId="7" borderId="26" xfId="2" applyNumberFormat="1" applyFont="1" applyFill="1" applyBorder="1" applyAlignment="1" applyProtection="1">
      <alignment vertical="center"/>
    </xf>
    <xf numFmtId="165" fontId="23" fillId="7" borderId="10" xfId="2" applyNumberFormat="1" applyFont="1" applyFill="1" applyBorder="1" applyAlignment="1" applyProtection="1">
      <alignment vertical="center"/>
    </xf>
    <xf numFmtId="165" fontId="23" fillId="7" borderId="37" xfId="1" applyNumberFormat="1" applyFont="1" applyFill="1" applyBorder="1" applyAlignment="1" applyProtection="1">
      <alignment vertical="center"/>
    </xf>
    <xf numFmtId="165" fontId="23" fillId="7" borderId="7" xfId="1" applyNumberFormat="1" applyFont="1" applyFill="1" applyBorder="1" applyAlignment="1" applyProtection="1">
      <alignment vertical="center"/>
    </xf>
    <xf numFmtId="165" fontId="23" fillId="7" borderId="41" xfId="1" applyNumberFormat="1" applyFont="1" applyFill="1" applyBorder="1" applyAlignment="1" applyProtection="1">
      <alignment vertical="center"/>
    </xf>
    <xf numFmtId="165" fontId="23" fillId="7" borderId="13" xfId="1" applyNumberFormat="1" applyFont="1" applyFill="1" applyBorder="1" applyAlignment="1" applyProtection="1">
      <alignment vertical="center"/>
    </xf>
    <xf numFmtId="165" fontId="23" fillId="0" borderId="1" xfId="10" applyNumberFormat="1" applyFont="1" applyFill="1" applyBorder="1" applyAlignment="1" applyProtection="1">
      <alignment vertical="center"/>
    </xf>
    <xf numFmtId="165" fontId="20" fillId="4" borderId="109" xfId="6" applyNumberFormat="1" applyFont="1" applyFill="1" applyBorder="1" applyAlignment="1" applyProtection="1">
      <alignment vertical="center"/>
      <protection locked="0"/>
    </xf>
    <xf numFmtId="165" fontId="20" fillId="7" borderId="35" xfId="6" applyNumberFormat="1" applyFont="1" applyFill="1" applyBorder="1" applyAlignment="1" applyProtection="1">
      <alignment vertical="center"/>
    </xf>
    <xf numFmtId="165" fontId="20" fillId="7" borderId="2" xfId="6" applyNumberFormat="1" applyFont="1" applyFill="1" applyBorder="1" applyAlignment="1" applyProtection="1">
      <alignment vertical="center"/>
    </xf>
    <xf numFmtId="165" fontId="20" fillId="7" borderId="3" xfId="6" applyNumberFormat="1" applyFont="1" applyFill="1" applyBorder="1" applyAlignment="1" applyProtection="1">
      <alignment vertical="center"/>
    </xf>
    <xf numFmtId="165" fontId="23" fillId="7" borderId="37" xfId="9" applyNumberFormat="1" applyFont="1" applyFill="1" applyBorder="1" applyAlignment="1" applyProtection="1">
      <alignment vertical="center"/>
    </xf>
    <xf numFmtId="165" fontId="23" fillId="7" borderId="5" xfId="9" applyNumberFormat="1" applyFont="1" applyFill="1" applyBorder="1" applyAlignment="1" applyProtection="1">
      <alignment vertical="center"/>
    </xf>
    <xf numFmtId="0" fontId="28" fillId="0" borderId="0" xfId="6" applyFont="1" applyBorder="1" applyAlignment="1" applyProtection="1">
      <alignment horizontal="center" vertical="top" wrapText="1"/>
    </xf>
    <xf numFmtId="0" fontId="20" fillId="0" borderId="0" xfId="8" applyFont="1" applyAlignment="1" applyProtection="1">
      <alignment horizontal="center" vertical="top" wrapText="1"/>
    </xf>
    <xf numFmtId="0" fontId="20" fillId="3" borderId="0" xfId="8" applyFont="1" applyFill="1" applyAlignment="1" applyProtection="1">
      <alignment horizontal="center" vertical="top" wrapText="1"/>
    </xf>
    <xf numFmtId="0" fontId="0" fillId="0" borderId="0" xfId="0" applyAlignment="1" applyProtection="1">
      <alignment vertical="top" wrapText="1"/>
    </xf>
    <xf numFmtId="165" fontId="23" fillId="7" borderId="39" xfId="10" applyNumberFormat="1" applyFont="1" applyFill="1" applyBorder="1" applyAlignment="1" applyProtection="1">
      <alignment vertical="center"/>
    </xf>
    <xf numFmtId="165" fontId="23" fillId="7" borderId="10" xfId="10" applyNumberFormat="1" applyFont="1" applyFill="1" applyBorder="1" applyAlignment="1" applyProtection="1">
      <alignment vertical="center"/>
    </xf>
    <xf numFmtId="165" fontId="23" fillId="7" borderId="29" xfId="10" applyNumberFormat="1" applyFont="1" applyFill="1" applyBorder="1" applyAlignment="1" applyProtection="1">
      <alignment vertical="center"/>
    </xf>
    <xf numFmtId="165" fontId="23" fillId="7" borderId="38" xfId="10" applyNumberFormat="1" applyFont="1" applyFill="1" applyBorder="1" applyAlignment="1" applyProtection="1">
      <alignment vertical="center"/>
    </xf>
    <xf numFmtId="165" fontId="23" fillId="7" borderId="56" xfId="2" applyNumberFormat="1" applyFont="1" applyFill="1" applyBorder="1" applyAlignment="1" applyProtection="1">
      <alignment vertical="center"/>
    </xf>
    <xf numFmtId="165" fontId="23" fillId="7" borderId="31" xfId="2" applyNumberFormat="1" applyFont="1" applyFill="1" applyBorder="1" applyAlignment="1" applyProtection="1">
      <alignment vertical="center"/>
    </xf>
    <xf numFmtId="165" fontId="23" fillId="4" borderId="1" xfId="10" applyNumberFormat="1" applyFont="1" applyFill="1" applyBorder="1" applyAlignment="1" applyProtection="1">
      <alignment vertical="center"/>
      <protection locked="0"/>
    </xf>
    <xf numFmtId="165" fontId="23" fillId="7" borderId="1" xfId="2" applyNumberFormat="1" applyFont="1" applyFill="1" applyBorder="1" applyAlignment="1" applyProtection="1">
      <alignment vertical="center"/>
    </xf>
    <xf numFmtId="165" fontId="23" fillId="4" borderId="41" xfId="10" applyNumberFormat="1" applyFont="1" applyFill="1" applyBorder="1" applyAlignment="1" applyProtection="1">
      <alignment vertical="center"/>
      <protection locked="0"/>
    </xf>
    <xf numFmtId="165" fontId="23" fillId="7" borderId="41" xfId="2" applyNumberFormat="1" applyFont="1" applyFill="1" applyBorder="1" applyAlignment="1" applyProtection="1">
      <alignment vertical="center"/>
    </xf>
    <xf numFmtId="165" fontId="23" fillId="7" borderId="13" xfId="2" applyNumberFormat="1" applyFont="1" applyFill="1" applyBorder="1" applyAlignment="1" applyProtection="1">
      <alignment vertical="center"/>
    </xf>
    <xf numFmtId="165" fontId="23" fillId="7" borderId="2" xfId="2" applyNumberFormat="1" applyFont="1" applyFill="1" applyBorder="1" applyAlignment="1" applyProtection="1">
      <alignment vertical="center"/>
    </xf>
    <xf numFmtId="165" fontId="23" fillId="7" borderId="35" xfId="2" applyNumberFormat="1" applyFont="1" applyFill="1" applyBorder="1" applyAlignment="1" applyProtection="1">
      <alignment vertical="center"/>
    </xf>
    <xf numFmtId="165" fontId="23" fillId="0" borderId="0" xfId="0" applyNumberFormat="1" applyFont="1" applyFill="1" applyAlignment="1" applyProtection="1">
      <alignment vertical="center"/>
    </xf>
    <xf numFmtId="165" fontId="23" fillId="7" borderId="61" xfId="9" applyNumberFormat="1" applyFont="1" applyFill="1" applyBorder="1" applyAlignment="1" applyProtection="1">
      <alignment vertical="center"/>
    </xf>
    <xf numFmtId="165" fontId="20" fillId="4" borderId="13" xfId="6" applyNumberFormat="1" applyFont="1" applyFill="1" applyBorder="1" applyAlignment="1" applyProtection="1">
      <alignment vertical="center"/>
      <protection locked="0"/>
    </xf>
    <xf numFmtId="165" fontId="20" fillId="4" borderId="41" xfId="6" applyNumberFormat="1" applyFont="1" applyFill="1" applyBorder="1" applyAlignment="1" applyProtection="1">
      <alignment vertical="center"/>
      <protection locked="0"/>
    </xf>
    <xf numFmtId="165" fontId="20" fillId="7" borderId="127" xfId="6" applyNumberFormat="1" applyFont="1" applyFill="1" applyBorder="1" applyAlignment="1" applyProtection="1">
      <alignment vertical="center"/>
    </xf>
    <xf numFmtId="0" fontId="22" fillId="0" borderId="60" xfId="6" applyFont="1" applyBorder="1" applyAlignment="1" applyProtection="1">
      <alignment horizontal="center" vertical="center"/>
    </xf>
    <xf numFmtId="165" fontId="20" fillId="4" borderId="4" xfId="6" applyNumberFormat="1" applyFont="1" applyFill="1" applyBorder="1" applyAlignment="1" applyProtection="1">
      <alignment vertical="center"/>
      <protection locked="0"/>
    </xf>
    <xf numFmtId="165" fontId="20" fillId="4" borderId="61" xfId="6" applyNumberFormat="1" applyFont="1" applyFill="1" applyBorder="1" applyAlignment="1" applyProtection="1">
      <alignment vertical="center"/>
      <protection locked="0"/>
    </xf>
    <xf numFmtId="165" fontId="20" fillId="7" borderId="128" xfId="6" applyNumberFormat="1" applyFont="1" applyFill="1" applyBorder="1" applyAlignment="1" applyProtection="1">
      <alignment vertical="center"/>
    </xf>
    <xf numFmtId="165" fontId="20" fillId="7" borderId="61" xfId="6" applyNumberFormat="1" applyFont="1" applyFill="1" applyBorder="1" applyAlignment="1" applyProtection="1">
      <alignment vertical="center"/>
    </xf>
    <xf numFmtId="165" fontId="20" fillId="7" borderId="129" xfId="6" applyNumberFormat="1" applyFont="1" applyFill="1" applyBorder="1" applyAlignment="1" applyProtection="1">
      <alignment vertical="center"/>
    </xf>
    <xf numFmtId="165" fontId="20" fillId="4" borderId="130" xfId="6" applyNumberFormat="1" applyFont="1" applyFill="1" applyBorder="1" applyAlignment="1" applyProtection="1">
      <alignment vertical="center"/>
      <protection locked="0"/>
    </xf>
    <xf numFmtId="165" fontId="20" fillId="4" borderId="20" xfId="6" applyNumberFormat="1" applyFont="1" applyFill="1" applyBorder="1" applyAlignment="1" applyProtection="1">
      <alignment vertical="center"/>
      <protection locked="0"/>
    </xf>
    <xf numFmtId="165" fontId="20" fillId="4" borderId="21" xfId="6" applyNumberFormat="1" applyFont="1" applyFill="1" applyBorder="1" applyAlignment="1" applyProtection="1">
      <alignment vertical="center"/>
      <protection locked="0"/>
    </xf>
    <xf numFmtId="165" fontId="20" fillId="4" borderId="19" xfId="6" applyNumberFormat="1" applyFont="1" applyFill="1" applyBorder="1" applyAlignment="1" applyProtection="1">
      <alignment vertical="center"/>
      <protection locked="0"/>
    </xf>
    <xf numFmtId="0" fontId="1" fillId="0" borderId="110" xfId="6" applyBorder="1" applyAlignment="1" applyProtection="1">
      <alignment vertical="center"/>
    </xf>
    <xf numFmtId="0" fontId="23" fillId="0" borderId="66" xfId="9" applyFont="1" applyFill="1" applyBorder="1" applyAlignment="1" applyProtection="1">
      <alignment horizontal="center" vertical="top"/>
    </xf>
    <xf numFmtId="0" fontId="23" fillId="0" borderId="84" xfId="9" applyFont="1" applyFill="1" applyBorder="1" applyAlignment="1" applyProtection="1">
      <alignment horizontal="center" vertical="top"/>
    </xf>
    <xf numFmtId="0" fontId="23" fillId="0" borderId="74" xfId="9" applyFont="1" applyFill="1" applyBorder="1" applyAlignment="1" applyProtection="1">
      <alignment horizontal="center" vertical="top"/>
    </xf>
    <xf numFmtId="0" fontId="23" fillId="0" borderId="43" xfId="9" applyFont="1" applyFill="1" applyBorder="1" applyAlignment="1" applyProtection="1">
      <alignment horizontal="center" vertical="top"/>
    </xf>
    <xf numFmtId="165" fontId="23" fillId="4" borderId="2" xfId="10" applyNumberFormat="1" applyFont="1" applyFill="1" applyBorder="1" applyAlignment="1" applyProtection="1">
      <alignment vertical="center"/>
      <protection locked="0"/>
    </xf>
    <xf numFmtId="165" fontId="23" fillId="4" borderId="4" xfId="10" applyNumberFormat="1" applyFont="1" applyFill="1" applyBorder="1" applyAlignment="1" applyProtection="1">
      <alignment vertical="center"/>
      <protection locked="0"/>
    </xf>
    <xf numFmtId="165" fontId="23" fillId="7" borderId="5" xfId="10" applyNumberFormat="1" applyFont="1" applyFill="1" applyBorder="1" applyAlignment="1" applyProtection="1">
      <alignment vertical="center"/>
    </xf>
    <xf numFmtId="165" fontId="23" fillId="7" borderId="8" xfId="10" applyNumberFormat="1" applyFont="1" applyFill="1" applyBorder="1" applyAlignment="1" applyProtection="1">
      <alignment vertical="center"/>
    </xf>
    <xf numFmtId="165" fontId="23" fillId="7" borderId="11" xfId="10" applyNumberFormat="1" applyFont="1" applyFill="1" applyBorder="1" applyAlignment="1" applyProtection="1">
      <alignment vertical="center"/>
    </xf>
    <xf numFmtId="0" fontId="23" fillId="0" borderId="6" xfId="9" applyFont="1" applyFill="1" applyBorder="1" applyAlignment="1" applyProtection="1">
      <alignment vertical="top" wrapText="1"/>
    </xf>
    <xf numFmtId="0" fontId="23" fillId="0" borderId="54" xfId="9" applyFont="1" applyFill="1" applyBorder="1" applyAlignment="1" applyProtection="1">
      <alignment horizontal="center" vertical="top"/>
    </xf>
    <xf numFmtId="0" fontId="23" fillId="0" borderId="56" xfId="9" applyFont="1" applyFill="1" applyBorder="1" applyAlignment="1" applyProtection="1">
      <alignment horizontal="center" vertical="top"/>
    </xf>
    <xf numFmtId="0" fontId="23" fillId="0" borderId="57" xfId="9" applyFont="1" applyFill="1" applyBorder="1" applyAlignment="1" applyProtection="1">
      <alignment horizontal="center" vertical="top"/>
    </xf>
    <xf numFmtId="165" fontId="23" fillId="4" borderId="1" xfId="9" applyNumberFormat="1" applyFont="1" applyFill="1" applyBorder="1" applyAlignment="1" applyProtection="1">
      <alignment vertical="center"/>
      <protection locked="0"/>
    </xf>
    <xf numFmtId="0" fontId="0" fillId="0" borderId="0" xfId="0" applyFill="1" applyAlignment="1">
      <alignment vertical="top" wrapText="1"/>
    </xf>
    <xf numFmtId="0" fontId="0" fillId="0" borderId="0" xfId="0" applyFill="1" applyAlignment="1">
      <alignment horizontal="left" wrapText="1"/>
    </xf>
    <xf numFmtId="0" fontId="23" fillId="4" borderId="9" xfId="9" applyNumberFormat="1" applyFont="1" applyFill="1" applyBorder="1" applyAlignment="1" applyProtection="1">
      <alignment horizontal="center" vertical="center" wrapText="1"/>
    </xf>
    <xf numFmtId="0" fontId="20" fillId="0" borderId="0" xfId="6" applyFont="1" applyFill="1" applyBorder="1" applyAlignment="1" applyProtection="1">
      <alignment horizontal="center" vertical="center"/>
    </xf>
    <xf numFmtId="0" fontId="9" fillId="0" borderId="0" xfId="6" applyFont="1" applyFill="1" applyBorder="1" applyAlignment="1" applyProtection="1">
      <alignment vertical="center"/>
    </xf>
    <xf numFmtId="0" fontId="22" fillId="0" borderId="0" xfId="6" applyFont="1" applyFill="1" applyBorder="1" applyAlignment="1" applyProtection="1">
      <alignment horizontal="center" vertical="center"/>
    </xf>
    <xf numFmtId="0" fontId="20" fillId="0" borderId="0" xfId="8" applyFont="1" applyFill="1" applyProtection="1"/>
    <xf numFmtId="0" fontId="9" fillId="0" borderId="15" xfId="6" applyFont="1" applyBorder="1" applyAlignment="1" applyProtection="1">
      <alignment vertical="center"/>
    </xf>
    <xf numFmtId="165" fontId="20" fillId="7" borderId="132" xfId="6" applyNumberFormat="1" applyFont="1" applyFill="1" applyBorder="1" applyAlignment="1" applyProtection="1">
      <alignment vertical="center"/>
    </xf>
    <xf numFmtId="165" fontId="20" fillId="7" borderId="133" xfId="6" applyNumberFormat="1" applyFont="1" applyFill="1" applyBorder="1" applyAlignment="1" applyProtection="1">
      <alignment vertical="center"/>
    </xf>
    <xf numFmtId="165" fontId="20" fillId="4" borderId="134" xfId="6" applyNumberFormat="1" applyFont="1" applyFill="1" applyBorder="1" applyAlignment="1" applyProtection="1">
      <alignment vertical="center"/>
      <protection locked="0"/>
    </xf>
    <xf numFmtId="165" fontId="20" fillId="4" borderId="135" xfId="6" applyNumberFormat="1" applyFont="1" applyFill="1" applyBorder="1" applyAlignment="1" applyProtection="1">
      <alignment vertical="center"/>
      <protection locked="0"/>
    </xf>
    <xf numFmtId="165" fontId="20" fillId="4" borderId="136" xfId="6" applyNumberFormat="1" applyFont="1" applyFill="1" applyBorder="1" applyAlignment="1" applyProtection="1">
      <alignment vertical="center"/>
      <protection locked="0"/>
    </xf>
    <xf numFmtId="165" fontId="20" fillId="7" borderId="137" xfId="6" applyNumberFormat="1" applyFont="1" applyFill="1" applyBorder="1" applyAlignment="1" applyProtection="1">
      <alignment vertical="center"/>
    </xf>
    <xf numFmtId="165" fontId="20" fillId="7" borderId="138" xfId="6" applyNumberFormat="1" applyFont="1" applyFill="1" applyBorder="1" applyAlignment="1" applyProtection="1">
      <alignment vertical="center"/>
    </xf>
    <xf numFmtId="165" fontId="20" fillId="7" borderId="139" xfId="6" applyNumberFormat="1" applyFont="1" applyFill="1" applyBorder="1" applyAlignment="1" applyProtection="1">
      <alignment vertical="center"/>
    </xf>
    <xf numFmtId="165" fontId="20" fillId="4" borderId="84" xfId="6" applyNumberFormat="1" applyFont="1" applyFill="1" applyBorder="1" applyAlignment="1" applyProtection="1">
      <alignment vertical="center"/>
      <protection locked="0"/>
    </xf>
    <xf numFmtId="165" fontId="20" fillId="4" borderId="140" xfId="6" applyNumberFormat="1" applyFont="1" applyFill="1" applyBorder="1" applyAlignment="1" applyProtection="1">
      <alignment vertical="center"/>
      <protection locked="0"/>
    </xf>
    <xf numFmtId="0" fontId="22" fillId="0" borderId="0" xfId="7" applyFont="1" applyFill="1" applyBorder="1" applyAlignment="1" applyProtection="1">
      <alignment horizontal="center" vertical="center" wrapText="1"/>
    </xf>
    <xf numFmtId="165" fontId="20" fillId="4" borderId="141" xfId="6" applyNumberFormat="1" applyFont="1" applyFill="1" applyBorder="1" applyAlignment="1" applyProtection="1">
      <alignment vertical="center"/>
      <protection locked="0"/>
    </xf>
    <xf numFmtId="165" fontId="20" fillId="4" borderId="142" xfId="6" applyNumberFormat="1" applyFont="1" applyFill="1" applyBorder="1" applyAlignment="1" applyProtection="1">
      <alignment vertical="center"/>
      <protection locked="0"/>
    </xf>
    <xf numFmtId="165" fontId="20" fillId="4" borderId="143" xfId="6" applyNumberFormat="1" applyFont="1" applyFill="1" applyBorder="1" applyAlignment="1" applyProtection="1">
      <alignment vertical="center"/>
      <protection locked="0"/>
    </xf>
    <xf numFmtId="165" fontId="20" fillId="7" borderId="144" xfId="6" applyNumberFormat="1" applyFont="1" applyFill="1" applyBorder="1" applyAlignment="1" applyProtection="1">
      <alignment vertical="center"/>
    </xf>
    <xf numFmtId="0" fontId="28" fillId="0" borderId="0" xfId="8" applyFont="1" applyFill="1" applyAlignment="1" applyProtection="1">
      <alignment horizontal="center"/>
    </xf>
    <xf numFmtId="0" fontId="23" fillId="0" borderId="46" xfId="9" applyFont="1" applyFill="1" applyBorder="1" applyAlignment="1" applyProtection="1">
      <alignment horizontal="center" vertical="top"/>
    </xf>
    <xf numFmtId="0" fontId="23" fillId="0" borderId="11" xfId="0" applyFont="1" applyFill="1" applyBorder="1" applyAlignment="1" applyProtection="1">
      <alignment horizontal="center" vertical="top"/>
    </xf>
    <xf numFmtId="0" fontId="0" fillId="0" borderId="0" xfId="0" applyBorder="1"/>
    <xf numFmtId="165" fontId="23" fillId="4" borderId="7" xfId="9" applyNumberFormat="1" applyFont="1" applyFill="1" applyBorder="1" applyAlignment="1" applyProtection="1">
      <alignment vertical="center"/>
      <protection locked="0"/>
    </xf>
    <xf numFmtId="165" fontId="23" fillId="4" borderId="10" xfId="9" applyNumberFormat="1" applyFont="1" applyFill="1" applyBorder="1" applyAlignment="1" applyProtection="1">
      <alignment vertical="center"/>
      <protection locked="0"/>
    </xf>
    <xf numFmtId="165" fontId="23" fillId="4" borderId="43" xfId="9" applyNumberFormat="1" applyFont="1" applyFill="1" applyBorder="1" applyAlignment="1" applyProtection="1">
      <alignment vertical="center"/>
      <protection locked="0"/>
    </xf>
    <xf numFmtId="165" fontId="23" fillId="4" borderId="62" xfId="9" applyNumberFormat="1" applyFont="1" applyFill="1" applyBorder="1" applyAlignment="1" applyProtection="1">
      <alignment vertical="center"/>
      <protection locked="0"/>
    </xf>
    <xf numFmtId="0" fontId="22" fillId="0" borderId="17" xfId="8" applyFont="1" applyBorder="1" applyAlignment="1" applyProtection="1">
      <alignment horizontal="center" vertical="top"/>
    </xf>
    <xf numFmtId="17" fontId="23" fillId="0" borderId="8" xfId="9" applyNumberFormat="1" applyFont="1" applyFill="1" applyBorder="1" applyAlignment="1" applyProtection="1">
      <alignment horizontal="center" vertical="top"/>
    </xf>
    <xf numFmtId="0" fontId="11" fillId="0" borderId="11" xfId="5" applyFont="1" applyFill="1" applyBorder="1" applyAlignment="1" applyProtection="1">
      <alignment vertical="center"/>
    </xf>
    <xf numFmtId="0" fontId="19" fillId="5" borderId="20" xfId="0" applyFont="1" applyFill="1" applyBorder="1" applyAlignment="1" applyProtection="1">
      <alignment horizontal="center" vertical="center" wrapText="1"/>
    </xf>
    <xf numFmtId="0" fontId="23" fillId="0" borderId="4" xfId="9" applyFont="1" applyFill="1" applyBorder="1" applyProtection="1"/>
    <xf numFmtId="0" fontId="20" fillId="0" borderId="0" xfId="0" applyFont="1" applyAlignment="1">
      <alignment vertical="center"/>
    </xf>
    <xf numFmtId="2" fontId="23" fillId="7" borderId="4" xfId="9" applyNumberFormat="1" applyFont="1" applyFill="1" applyBorder="1" applyAlignment="1" applyProtection="1">
      <alignment horizontal="right"/>
    </xf>
    <xf numFmtId="165" fontId="48" fillId="0" borderId="0" xfId="6" applyNumberFormat="1" applyFont="1" applyAlignment="1" applyProtection="1">
      <alignment vertical="center"/>
    </xf>
    <xf numFmtId="10" fontId="23" fillId="7" borderId="31" xfId="9" applyNumberFormat="1" applyFont="1" applyFill="1" applyBorder="1" applyAlignment="1" applyProtection="1">
      <alignment vertical="center"/>
    </xf>
    <xf numFmtId="165" fontId="23" fillId="7" borderId="18" xfId="9" applyNumberFormat="1" applyFont="1" applyFill="1" applyBorder="1" applyAlignment="1" applyProtection="1">
      <alignment vertical="center"/>
    </xf>
    <xf numFmtId="10" fontId="23" fillId="7" borderId="32" xfId="9" applyNumberFormat="1" applyFont="1" applyFill="1" applyBorder="1" applyAlignment="1" applyProtection="1">
      <alignment vertical="center"/>
    </xf>
    <xf numFmtId="2" fontId="23" fillId="7" borderId="32" xfId="9" applyNumberFormat="1" applyFont="1" applyFill="1" applyBorder="1" applyAlignment="1" applyProtection="1">
      <alignment vertical="center"/>
    </xf>
    <xf numFmtId="2" fontId="23" fillId="7" borderId="30" xfId="9" applyNumberFormat="1" applyFont="1" applyFill="1" applyBorder="1" applyAlignment="1" applyProtection="1">
      <alignment vertical="center"/>
    </xf>
    <xf numFmtId="10" fontId="23" fillId="4" borderId="5" xfId="2" applyNumberFormat="1" applyFont="1" applyFill="1" applyBorder="1" applyProtection="1">
      <protection locked="0"/>
    </xf>
    <xf numFmtId="10" fontId="23" fillId="4" borderId="7" xfId="2" applyNumberFormat="1" applyFont="1" applyFill="1" applyBorder="1" applyProtection="1">
      <protection locked="0"/>
    </xf>
    <xf numFmtId="10" fontId="23" fillId="4" borderId="46" xfId="2" applyNumberFormat="1" applyFont="1" applyFill="1" applyBorder="1" applyProtection="1">
      <protection locked="0"/>
    </xf>
    <xf numFmtId="10" fontId="23" fillId="4" borderId="50" xfId="2" applyNumberFormat="1" applyFont="1" applyFill="1" applyBorder="1" applyProtection="1">
      <protection locked="0"/>
    </xf>
    <xf numFmtId="10" fontId="23" fillId="4" borderId="8" xfId="2" applyNumberFormat="1" applyFont="1" applyFill="1" applyBorder="1" applyProtection="1">
      <protection locked="0"/>
    </xf>
    <xf numFmtId="10" fontId="23" fillId="4" borderId="10" xfId="2" applyNumberFormat="1" applyFont="1" applyFill="1" applyBorder="1" applyProtection="1">
      <protection locked="0"/>
    </xf>
    <xf numFmtId="10" fontId="23" fillId="4" borderId="43" xfId="2" applyNumberFormat="1" applyFont="1" applyFill="1" applyBorder="1" applyProtection="1">
      <protection locked="0"/>
    </xf>
    <xf numFmtId="10" fontId="23" fillId="4" borderId="62" xfId="2" applyNumberFormat="1" applyFont="1" applyFill="1" applyBorder="1" applyProtection="1">
      <protection locked="0"/>
    </xf>
    <xf numFmtId="10" fontId="23" fillId="4" borderId="11" xfId="2" applyNumberFormat="1" applyFont="1" applyFill="1" applyBorder="1" applyProtection="1">
      <protection locked="0"/>
    </xf>
    <xf numFmtId="10" fontId="23" fillId="4" borderId="13" xfId="2" applyNumberFormat="1" applyFont="1" applyFill="1" applyBorder="1" applyProtection="1">
      <protection locked="0"/>
    </xf>
    <xf numFmtId="10" fontId="23" fillId="4" borderId="2" xfId="2" applyNumberFormat="1" applyFont="1" applyFill="1" applyBorder="1" applyProtection="1">
      <protection locked="0"/>
    </xf>
    <xf numFmtId="10" fontId="23" fillId="4" borderId="4" xfId="2" applyNumberFormat="1" applyFont="1" applyFill="1" applyBorder="1" applyProtection="1">
      <protection locked="0"/>
    </xf>
    <xf numFmtId="0" fontId="16" fillId="0" borderId="0" xfId="11" applyFont="1" applyFill="1" applyAlignment="1" applyProtection="1">
      <alignment vertical="center"/>
    </xf>
    <xf numFmtId="0" fontId="7" fillId="0" borderId="0" xfId="6" applyFont="1" applyFill="1" applyBorder="1" applyAlignment="1" applyProtection="1">
      <alignment horizontal="center" vertical="center"/>
    </xf>
    <xf numFmtId="0" fontId="7" fillId="3" borderId="51" xfId="6" applyFont="1" applyFill="1" applyBorder="1" applyAlignment="1" applyProtection="1">
      <alignment horizontal="center" vertical="center" wrapText="1"/>
    </xf>
    <xf numFmtId="0" fontId="7" fillId="0" borderId="0" xfId="6" applyFont="1" applyFill="1" applyBorder="1" applyAlignment="1" applyProtection="1">
      <alignment horizontal="left" vertical="center"/>
    </xf>
    <xf numFmtId="0" fontId="7" fillId="0" borderId="0" xfId="6" applyFont="1" applyFill="1" applyBorder="1" applyAlignment="1" applyProtection="1">
      <alignment horizontal="center" vertical="center" wrapText="1"/>
    </xf>
    <xf numFmtId="0" fontId="49" fillId="0" borderId="0" xfId="18" applyFont="1" applyFill="1" applyBorder="1"/>
    <xf numFmtId="0" fontId="7" fillId="15" borderId="55" xfId="6" applyFont="1" applyFill="1" applyBorder="1" applyAlignment="1" applyProtection="1">
      <alignment horizontal="center" vertical="center"/>
    </xf>
    <xf numFmtId="0" fontId="7" fillId="15" borderId="16" xfId="6" applyFont="1" applyFill="1" applyBorder="1" applyAlignment="1" applyProtection="1">
      <alignment vertical="center"/>
    </xf>
    <xf numFmtId="0" fontId="49" fillId="0" borderId="0" xfId="18" applyFont="1" applyFill="1" applyBorder="1" applyAlignment="1" applyProtection="1">
      <alignment vertical="center"/>
    </xf>
    <xf numFmtId="0" fontId="50" fillId="0" borderId="5" xfId="6" applyFont="1" applyFill="1" applyBorder="1" applyAlignment="1" applyProtection="1">
      <alignment horizontal="center" vertical="center"/>
    </xf>
    <xf numFmtId="0" fontId="51" fillId="0" borderId="6" xfId="6" applyFont="1" applyFill="1" applyBorder="1" applyAlignment="1" applyProtection="1">
      <alignment vertical="center"/>
    </xf>
    <xf numFmtId="0" fontId="52" fillId="0" borderId="6" xfId="6" applyFont="1" applyFill="1" applyBorder="1" applyAlignment="1" applyProtection="1">
      <alignment horizontal="center" vertical="center"/>
    </xf>
    <xf numFmtId="0" fontId="52" fillId="0" borderId="7" xfId="6" applyFont="1" applyFill="1" applyBorder="1" applyAlignment="1" applyProtection="1">
      <alignment horizontal="center" vertical="center"/>
    </xf>
    <xf numFmtId="165" fontId="50" fillId="16" borderId="5" xfId="6" applyNumberFormat="1" applyFont="1" applyFill="1" applyBorder="1" applyAlignment="1" applyProtection="1">
      <alignment vertical="center"/>
      <protection locked="0"/>
    </xf>
    <xf numFmtId="165" fontId="50" fillId="16" borderId="6" xfId="6" applyNumberFormat="1" applyFont="1" applyFill="1" applyBorder="1" applyAlignment="1" applyProtection="1">
      <alignment vertical="center"/>
      <protection locked="0"/>
    </xf>
    <xf numFmtId="165" fontId="50" fillId="17" borderId="31" xfId="6" applyNumberFormat="1" applyFont="1" applyFill="1" applyBorder="1" applyAlignment="1" applyProtection="1">
      <alignment vertical="center"/>
    </xf>
    <xf numFmtId="0" fontId="16" fillId="16" borderId="31" xfId="19" applyNumberFormat="1" applyFont="1" applyFill="1" applyBorder="1" applyAlignment="1" applyProtection="1">
      <alignment vertical="center" wrapText="1"/>
      <protection locked="0"/>
    </xf>
    <xf numFmtId="0" fontId="14" fillId="0" borderId="0" xfId="0" applyFont="1" applyAlignment="1">
      <alignment horizontal="center" vertical="center"/>
    </xf>
    <xf numFmtId="0" fontId="1" fillId="0" borderId="0" xfId="6" applyBorder="1" applyAlignment="1" applyProtection="1">
      <alignment vertical="center"/>
    </xf>
    <xf numFmtId="0" fontId="50" fillId="0" borderId="8" xfId="6" applyFont="1" applyFill="1" applyBorder="1" applyAlignment="1" applyProtection="1">
      <alignment horizontal="center" vertical="center"/>
    </xf>
    <xf numFmtId="0" fontId="51" fillId="0" borderId="9" xfId="6" applyFont="1" applyFill="1" applyBorder="1" applyAlignment="1" applyProtection="1">
      <alignment vertical="center"/>
    </xf>
    <xf numFmtId="0" fontId="52" fillId="0" borderId="9" xfId="6" applyFont="1" applyFill="1" applyBorder="1" applyAlignment="1" applyProtection="1">
      <alignment horizontal="center" vertical="center"/>
    </xf>
    <xf numFmtId="0" fontId="52" fillId="0" borderId="10" xfId="6" applyFont="1" applyFill="1" applyBorder="1" applyAlignment="1" applyProtection="1">
      <alignment horizontal="center" vertical="center"/>
    </xf>
    <xf numFmtId="165" fontId="50" fillId="16" borderId="8" xfId="6" applyNumberFormat="1" applyFont="1" applyFill="1" applyBorder="1" applyAlignment="1" applyProtection="1">
      <alignment vertical="center"/>
      <protection locked="0"/>
    </xf>
    <xf numFmtId="165" fontId="50" fillId="16" borderId="9" xfId="6" applyNumberFormat="1" applyFont="1" applyFill="1" applyBorder="1" applyAlignment="1" applyProtection="1">
      <alignment vertical="center"/>
      <protection locked="0"/>
    </xf>
    <xf numFmtId="165" fontId="50" fillId="17" borderId="32" xfId="6" applyNumberFormat="1" applyFont="1" applyFill="1" applyBorder="1" applyAlignment="1" applyProtection="1">
      <alignment vertical="center"/>
    </xf>
    <xf numFmtId="0" fontId="16" fillId="16" borderId="32" xfId="19" applyNumberFormat="1" applyFont="1" applyFill="1" applyBorder="1" applyAlignment="1" applyProtection="1">
      <alignment vertical="center" wrapText="1"/>
      <protection locked="0"/>
    </xf>
    <xf numFmtId="0" fontId="53" fillId="0" borderId="9" xfId="6" applyFont="1" applyFill="1" applyBorder="1" applyAlignment="1" applyProtection="1">
      <alignment vertical="center"/>
    </xf>
    <xf numFmtId="0" fontId="53" fillId="0" borderId="38" xfId="6" applyFont="1" applyFill="1" applyBorder="1" applyAlignment="1" applyProtection="1">
      <alignment vertical="center"/>
    </xf>
    <xf numFmtId="0" fontId="14" fillId="0" borderId="38" xfId="6" applyFont="1" applyFill="1" applyBorder="1" applyAlignment="1" applyProtection="1">
      <alignment horizontal="center" vertical="center"/>
    </xf>
    <xf numFmtId="0" fontId="14" fillId="0" borderId="29" xfId="6" applyFont="1" applyFill="1" applyBorder="1" applyAlignment="1" applyProtection="1">
      <alignment horizontal="center" vertical="center"/>
    </xf>
    <xf numFmtId="165" fontId="50" fillId="0" borderId="29" xfId="6" applyNumberFormat="1" applyFont="1" applyFill="1" applyBorder="1" applyAlignment="1" applyProtection="1">
      <alignment vertical="center"/>
    </xf>
    <xf numFmtId="0" fontId="23" fillId="0" borderId="8" xfId="6" applyFont="1" applyFill="1" applyBorder="1" applyAlignment="1" applyProtection="1">
      <alignment horizontal="center" vertical="center"/>
    </xf>
    <xf numFmtId="0" fontId="16" fillId="0" borderId="9" xfId="6" applyFont="1" applyFill="1" applyBorder="1" applyAlignment="1" applyProtection="1">
      <alignment vertical="center"/>
    </xf>
    <xf numFmtId="0" fontId="14" fillId="0" borderId="10" xfId="6" applyFont="1" applyFill="1" applyBorder="1" applyAlignment="1" applyProtection="1">
      <alignment horizontal="center" vertical="center"/>
    </xf>
    <xf numFmtId="0" fontId="50" fillId="0" borderId="11" xfId="6" applyFont="1" applyFill="1" applyBorder="1" applyAlignment="1" applyProtection="1">
      <alignment horizontal="center" vertical="center"/>
    </xf>
    <xf numFmtId="0" fontId="51" fillId="0" borderId="12" xfId="6" applyFont="1" applyFill="1" applyBorder="1" applyAlignment="1" applyProtection="1">
      <alignment vertical="center"/>
    </xf>
    <xf numFmtId="0" fontId="52" fillId="0" borderId="12" xfId="6" applyFont="1" applyFill="1" applyBorder="1" applyAlignment="1" applyProtection="1">
      <alignment horizontal="center" vertical="center"/>
    </xf>
    <xf numFmtId="0" fontId="52" fillId="0" borderId="13" xfId="6" applyFont="1" applyFill="1" applyBorder="1" applyAlignment="1" applyProtection="1">
      <alignment horizontal="center" vertical="center"/>
    </xf>
    <xf numFmtId="165" fontId="23" fillId="17" borderId="11" xfId="11" applyNumberFormat="1" applyFont="1" applyFill="1" applyBorder="1" applyProtection="1"/>
    <xf numFmtId="165" fontId="23" fillId="17" borderId="12" xfId="11" applyNumberFormat="1" applyFont="1" applyFill="1" applyBorder="1" applyProtection="1"/>
    <xf numFmtId="165" fontId="50" fillId="17" borderId="30" xfId="6" applyNumberFormat="1" applyFont="1" applyFill="1" applyBorder="1" applyAlignment="1" applyProtection="1">
      <alignment vertical="center"/>
    </xf>
    <xf numFmtId="0" fontId="16" fillId="16" borderId="30" xfId="19" applyNumberFormat="1" applyFont="1" applyFill="1" applyBorder="1" applyAlignment="1" applyProtection="1">
      <alignment vertical="center" wrapText="1"/>
      <protection locked="0"/>
    </xf>
    <xf numFmtId="0" fontId="49" fillId="0" borderId="0" xfId="18" applyFont="1" applyFill="1" applyBorder="1" applyProtection="1"/>
    <xf numFmtId="165" fontId="50" fillId="16" borderId="5" xfId="20" applyNumberFormat="1" applyFont="1" applyFill="1" applyBorder="1" applyAlignment="1" applyProtection="1">
      <alignment vertical="center"/>
      <protection locked="0"/>
    </xf>
    <xf numFmtId="165" fontId="50" fillId="16" borderId="6" xfId="20" applyNumberFormat="1" applyFont="1" applyFill="1" applyBorder="1" applyAlignment="1" applyProtection="1">
      <alignment vertical="center"/>
      <protection locked="0"/>
    </xf>
    <xf numFmtId="165" fontId="50" fillId="16" borderId="8" xfId="20" applyNumberFormat="1" applyFont="1" applyFill="1" applyBorder="1" applyAlignment="1" applyProtection="1">
      <alignment vertical="center"/>
      <protection locked="0"/>
    </xf>
    <xf numFmtId="165" fontId="50" fillId="16" borderId="9" xfId="20" applyNumberFormat="1" applyFont="1" applyFill="1" applyBorder="1" applyAlignment="1" applyProtection="1">
      <alignment vertical="center"/>
      <protection locked="0"/>
    </xf>
    <xf numFmtId="165" fontId="50" fillId="17" borderId="8" xfId="6" applyNumberFormat="1" applyFont="1" applyFill="1" applyBorder="1" applyAlignment="1" applyProtection="1">
      <alignment vertical="center"/>
    </xf>
    <xf numFmtId="0" fontId="52" fillId="0" borderId="38" xfId="6" applyFont="1" applyFill="1" applyBorder="1" applyAlignment="1" applyProtection="1">
      <alignment horizontal="center" vertical="center"/>
    </xf>
    <xf numFmtId="165" fontId="50" fillId="17" borderId="11" xfId="6" applyNumberFormat="1" applyFont="1" applyFill="1" applyBorder="1" applyAlignment="1" applyProtection="1">
      <alignment vertical="center"/>
    </xf>
    <xf numFmtId="0" fontId="54" fillId="0" borderId="0" xfId="6" applyFont="1" applyFill="1" applyBorder="1" applyAlignment="1" applyProtection="1">
      <alignment vertical="center"/>
    </xf>
    <xf numFmtId="0" fontId="52" fillId="0" borderId="36" xfId="6" applyFont="1" applyFill="1" applyBorder="1" applyAlignment="1" applyProtection="1">
      <alignment horizontal="center" vertical="center"/>
    </xf>
    <xf numFmtId="165" fontId="50" fillId="16" borderId="36" xfId="6" applyNumberFormat="1" applyFont="1" applyFill="1" applyBorder="1" applyAlignment="1" applyProtection="1">
      <alignment vertical="center"/>
      <protection locked="0"/>
    </xf>
    <xf numFmtId="0" fontId="16" fillId="16" borderId="149" xfId="19" applyNumberFormat="1" applyFont="1" applyFill="1" applyBorder="1" applyAlignment="1" applyProtection="1">
      <alignment vertical="center" wrapText="1"/>
      <protection locked="0"/>
    </xf>
    <xf numFmtId="165" fontId="50" fillId="16" borderId="38" xfId="6" applyNumberFormat="1" applyFont="1" applyFill="1" applyBorder="1" applyAlignment="1" applyProtection="1">
      <alignment vertical="center"/>
      <protection locked="0"/>
    </xf>
    <xf numFmtId="0" fontId="16" fillId="16" borderId="49" xfId="19" applyNumberFormat="1" applyFont="1" applyFill="1" applyBorder="1" applyAlignment="1" applyProtection="1">
      <alignment vertical="center" wrapText="1"/>
      <protection locked="0"/>
    </xf>
    <xf numFmtId="0" fontId="52" fillId="0" borderId="40" xfId="6" applyFont="1" applyFill="1" applyBorder="1" applyAlignment="1" applyProtection="1">
      <alignment horizontal="center" vertical="center"/>
    </xf>
    <xf numFmtId="165" fontId="50" fillId="17" borderId="12" xfId="6" applyNumberFormat="1" applyFont="1" applyFill="1" applyBorder="1" applyAlignment="1" applyProtection="1">
      <alignment vertical="center"/>
    </xf>
    <xf numFmtId="165" fontId="50" fillId="17" borderId="40" xfId="6" applyNumberFormat="1" applyFont="1" applyFill="1" applyBorder="1" applyAlignment="1" applyProtection="1">
      <alignment vertical="center"/>
    </xf>
    <xf numFmtId="0" fontId="51" fillId="0" borderId="52" xfId="6" applyFont="1" applyFill="1" applyBorder="1" applyAlignment="1" applyProtection="1">
      <alignment vertical="center"/>
    </xf>
    <xf numFmtId="0" fontId="51" fillId="0" borderId="0" xfId="6" applyFont="1" applyFill="1" applyBorder="1" applyAlignment="1" applyProtection="1">
      <alignment vertical="center"/>
    </xf>
    <xf numFmtId="0" fontId="52" fillId="0" borderId="0" xfId="6" applyFont="1" applyFill="1" applyBorder="1" applyAlignment="1" applyProtection="1">
      <alignment horizontal="center" vertical="center"/>
    </xf>
    <xf numFmtId="165" fontId="50" fillId="0" borderId="0" xfId="6" applyNumberFormat="1" applyFont="1" applyFill="1" applyBorder="1" applyAlignment="1" applyProtection="1">
      <alignment vertical="center"/>
    </xf>
    <xf numFmtId="0" fontId="49" fillId="0" borderId="0" xfId="18" applyNumberFormat="1" applyFont="1" applyFill="1" applyBorder="1"/>
    <xf numFmtId="165" fontId="50" fillId="16" borderId="47" xfId="6" applyNumberFormat="1" applyFont="1" applyFill="1" applyBorder="1" applyAlignment="1" applyProtection="1">
      <alignment vertical="center"/>
      <protection locked="0"/>
    </xf>
    <xf numFmtId="0" fontId="16" fillId="16" borderId="150" xfId="19" applyNumberFormat="1" applyFont="1" applyFill="1" applyBorder="1" applyAlignment="1" applyProtection="1">
      <alignment vertical="center" wrapText="1"/>
      <protection locked="0"/>
    </xf>
    <xf numFmtId="0" fontId="50" fillId="0" borderId="46" xfId="6" applyFont="1" applyFill="1" applyBorder="1" applyAlignment="1" applyProtection="1">
      <alignment horizontal="center" vertical="center"/>
    </xf>
    <xf numFmtId="0" fontId="16" fillId="16" borderId="151" xfId="19" applyNumberFormat="1" applyFont="1" applyFill="1" applyBorder="1" applyAlignment="1" applyProtection="1">
      <alignment vertical="center" wrapText="1"/>
      <protection locked="0"/>
    </xf>
    <xf numFmtId="0" fontId="50" fillId="0" borderId="0" xfId="6" applyFont="1" applyFill="1" applyBorder="1" applyAlignment="1" applyProtection="1">
      <alignment horizontal="center" vertical="center"/>
    </xf>
    <xf numFmtId="0" fontId="55" fillId="15" borderId="1" xfId="6" applyFont="1" applyFill="1" applyBorder="1" applyAlignment="1" applyProtection="1">
      <alignment vertical="center"/>
    </xf>
    <xf numFmtId="0" fontId="50" fillId="0" borderId="2" xfId="6" applyFont="1" applyFill="1" applyBorder="1" applyAlignment="1" applyProtection="1">
      <alignment horizontal="center" vertical="center"/>
    </xf>
    <xf numFmtId="0" fontId="51" fillId="0" borderId="3" xfId="6" applyFont="1" applyFill="1" applyBorder="1" applyAlignment="1" applyProtection="1">
      <alignment vertical="center"/>
    </xf>
    <xf numFmtId="0" fontId="51" fillId="0" borderId="15" xfId="6" applyFont="1" applyFill="1" applyBorder="1" applyAlignment="1" applyProtection="1">
      <alignment vertical="center"/>
    </xf>
    <xf numFmtId="0" fontId="52" fillId="0" borderId="3" xfId="6" applyFont="1" applyFill="1" applyBorder="1" applyAlignment="1" applyProtection="1">
      <alignment horizontal="center" vertical="center"/>
    </xf>
    <xf numFmtId="0" fontId="52" fillId="0" borderId="4" xfId="6" applyFont="1" applyFill="1" applyBorder="1" applyAlignment="1" applyProtection="1">
      <alignment horizontal="center" vertical="center"/>
    </xf>
    <xf numFmtId="0" fontId="23" fillId="0" borderId="0" xfId="11" applyFont="1" applyFill="1" applyAlignment="1" applyProtection="1">
      <alignment vertical="center"/>
    </xf>
    <xf numFmtId="0" fontId="23" fillId="0" borderId="0" xfId="11" applyFont="1" applyFill="1" applyAlignment="1" applyProtection="1">
      <alignment horizontal="left" vertical="center"/>
    </xf>
    <xf numFmtId="0" fontId="23" fillId="4" borderId="9" xfId="11" applyFont="1" applyFill="1" applyBorder="1" applyProtection="1">
      <protection locked="0"/>
    </xf>
    <xf numFmtId="0" fontId="23" fillId="0" borderId="0" xfId="11" applyFont="1" applyFill="1" applyAlignment="1" applyProtection="1">
      <alignment horizontal="left"/>
    </xf>
    <xf numFmtId="0" fontId="23" fillId="7" borderId="9" xfId="11" applyFont="1" applyFill="1" applyBorder="1" applyProtection="1"/>
    <xf numFmtId="0" fontId="25" fillId="3" borderId="34" xfId="11" applyFont="1" applyFill="1" applyBorder="1" applyAlignment="1" applyProtection="1">
      <alignment horizontal="left" vertical="center"/>
    </xf>
    <xf numFmtId="0" fontId="25" fillId="3" borderId="34" xfId="11" applyFont="1" applyFill="1" applyBorder="1" applyAlignment="1" applyProtection="1">
      <alignment vertical="center"/>
    </xf>
    <xf numFmtId="0" fontId="25" fillId="3" borderId="35" xfId="11" applyFont="1" applyFill="1" applyBorder="1" applyAlignment="1" applyProtection="1">
      <alignment vertical="center"/>
    </xf>
    <xf numFmtId="0" fontId="25" fillId="0" borderId="0" xfId="11" applyFont="1" applyFill="1" applyBorder="1" applyAlignment="1" applyProtection="1">
      <alignment vertical="center"/>
    </xf>
    <xf numFmtId="0" fontId="24" fillId="0" borderId="0" xfId="0" applyNumberFormat="1" applyFont="1" applyFill="1" applyBorder="1" applyAlignment="1" applyProtection="1">
      <alignment vertical="center"/>
    </xf>
    <xf numFmtId="0" fontId="25" fillId="0" borderId="0" xfId="11" applyFont="1" applyFill="1" applyBorder="1" applyAlignment="1" applyProtection="1">
      <alignment horizontal="left" vertical="center"/>
    </xf>
    <xf numFmtId="0" fontId="12" fillId="0" borderId="68" xfId="11" applyFont="1" applyFill="1" applyBorder="1" applyAlignment="1" applyProtection="1">
      <alignment horizontal="center" vertical="top"/>
    </xf>
    <xf numFmtId="0" fontId="12" fillId="0" borderId="0" xfId="11" applyFont="1" applyFill="1" applyBorder="1" applyAlignment="1" applyProtection="1">
      <alignment horizontal="left" vertical="top"/>
    </xf>
    <xf numFmtId="0" fontId="23" fillId="0" borderId="66" xfId="11" applyFont="1" applyFill="1" applyBorder="1" applyAlignment="1" applyProtection="1">
      <alignment horizontal="left" vertical="top"/>
    </xf>
    <xf numFmtId="0" fontId="23" fillId="0" borderId="0" xfId="11" applyFont="1" applyFill="1" applyBorder="1" applyAlignment="1" applyProtection="1">
      <alignment horizontal="left" vertical="top" wrapText="1"/>
    </xf>
    <xf numFmtId="0" fontId="23" fillId="0" borderId="84" xfId="11" applyFont="1" applyFill="1" applyBorder="1" applyAlignment="1" applyProtection="1">
      <alignment horizontal="left" vertical="top"/>
    </xf>
    <xf numFmtId="0" fontId="23" fillId="0" borderId="92" xfId="11" applyNumberFormat="1" applyFont="1" applyFill="1" applyBorder="1" applyAlignment="1" applyProtection="1">
      <alignment horizontal="left" vertical="top"/>
    </xf>
    <xf numFmtId="0" fontId="23" fillId="0" borderId="0" xfId="11" applyFont="1" applyFill="1" applyBorder="1" applyAlignment="1" applyProtection="1">
      <alignment horizontal="left" vertical="top"/>
    </xf>
    <xf numFmtId="0" fontId="56" fillId="19" borderId="0" xfId="11" applyFont="1" applyFill="1" applyBorder="1" applyAlignment="1">
      <alignment vertical="center"/>
    </xf>
    <xf numFmtId="0" fontId="57" fillId="0" borderId="0" xfId="17" applyFont="1" applyFill="1" applyBorder="1" applyProtection="1"/>
    <xf numFmtId="0" fontId="58" fillId="20" borderId="0" xfId="6" applyFont="1" applyFill="1" applyBorder="1" applyAlignment="1" applyProtection="1">
      <alignment vertical="center"/>
    </xf>
    <xf numFmtId="0" fontId="58" fillId="20" borderId="0" xfId="6" applyFont="1" applyFill="1" applyBorder="1" applyAlignment="1" applyProtection="1">
      <alignment horizontal="right" vertical="center"/>
    </xf>
    <xf numFmtId="0" fontId="60" fillId="0" borderId="0" xfId="18" applyFont="1" applyFill="1" applyBorder="1" applyAlignment="1" applyProtection="1">
      <alignment vertical="center"/>
    </xf>
    <xf numFmtId="0" fontId="61" fillId="0" borderId="0" xfId="18" applyFont="1" applyFill="1" applyBorder="1"/>
    <xf numFmtId="0" fontId="7" fillId="3" borderId="157" xfId="6" applyFont="1" applyFill="1" applyBorder="1" applyAlignment="1" applyProtection="1">
      <alignment horizontal="center" vertical="center" wrapText="1"/>
    </xf>
    <xf numFmtId="0" fontId="62" fillId="0" borderId="0" xfId="18" applyFont="1" applyFill="1" applyBorder="1" applyAlignment="1" applyProtection="1">
      <alignment horizontal="center" vertical="center"/>
    </xf>
    <xf numFmtId="0" fontId="62" fillId="0" borderId="0" xfId="18" applyFont="1" applyFill="1" applyBorder="1" applyAlignment="1">
      <alignment horizontal="center" vertical="center" wrapText="1"/>
    </xf>
    <xf numFmtId="165" fontId="50" fillId="0" borderId="9" xfId="6" applyNumberFormat="1" applyFont="1" applyFill="1" applyBorder="1" applyAlignment="1" applyProtection="1">
      <alignment vertical="center"/>
      <protection locked="0"/>
    </xf>
    <xf numFmtId="0" fontId="23" fillId="0" borderId="0" xfId="11" applyFont="1" applyFill="1" applyBorder="1" applyAlignment="1" applyProtection="1">
      <alignment horizontal="left" vertical="center"/>
    </xf>
    <xf numFmtId="0" fontId="23" fillId="16" borderId="9" xfId="11" applyFont="1" applyFill="1" applyBorder="1" applyProtection="1">
      <protection locked="0"/>
    </xf>
    <xf numFmtId="0" fontId="23" fillId="0" borderId="0" xfId="11" applyFont="1" applyFill="1" applyBorder="1" applyAlignment="1" applyProtection="1">
      <alignment horizontal="left"/>
    </xf>
    <xf numFmtId="0" fontId="23" fillId="17" borderId="9" xfId="11" applyFont="1" applyFill="1" applyBorder="1" applyProtection="1"/>
    <xf numFmtId="0" fontId="51" fillId="0" borderId="0" xfId="15" applyFont="1" applyFill="1" applyBorder="1" applyAlignment="1" applyProtection="1">
      <alignment vertical="center"/>
    </xf>
    <xf numFmtId="0" fontId="51" fillId="0" borderId="0" xfId="15" applyFont="1" applyFill="1" applyBorder="1" applyAlignment="1" applyProtection="1">
      <alignment horizontal="left" vertical="center"/>
    </xf>
    <xf numFmtId="0" fontId="63" fillId="19" borderId="0" xfId="11" applyFont="1" applyFill="1" applyBorder="1" applyAlignment="1">
      <alignment vertical="center"/>
    </xf>
    <xf numFmtId="0" fontId="59" fillId="19" borderId="0" xfId="11" applyFont="1" applyFill="1" applyBorder="1" applyAlignment="1">
      <alignment vertical="center"/>
    </xf>
    <xf numFmtId="0" fontId="59" fillId="19" borderId="0" xfId="15" applyFont="1" applyFill="1" applyBorder="1" applyAlignment="1">
      <alignment vertical="center"/>
    </xf>
    <xf numFmtId="0" fontId="59" fillId="0" borderId="0" xfId="21" applyFont="1" applyFill="1" applyBorder="1"/>
    <xf numFmtId="0" fontId="13" fillId="0" borderId="0" xfId="11" applyFont="1" applyFill="1" applyBorder="1" applyAlignment="1" applyProtection="1">
      <alignment vertical="center"/>
    </xf>
    <xf numFmtId="0" fontId="64" fillId="0" borderId="0" xfId="18" applyFont="1"/>
    <xf numFmtId="0" fontId="7" fillId="3" borderId="2" xfId="11" applyFont="1" applyFill="1" applyBorder="1" applyAlignment="1" applyProtection="1">
      <alignment horizontal="left" vertical="center"/>
    </xf>
    <xf numFmtId="0" fontId="7" fillId="3" borderId="3" xfId="11" applyFont="1" applyFill="1" applyBorder="1" applyAlignment="1" applyProtection="1">
      <alignment horizontal="left" vertical="center"/>
    </xf>
    <xf numFmtId="0" fontId="7" fillId="3" borderId="3" xfId="11" applyFont="1" applyFill="1" applyBorder="1" applyAlignment="1" applyProtection="1">
      <alignment horizontal="center" vertical="center"/>
    </xf>
    <xf numFmtId="0" fontId="7" fillId="3" borderId="4" xfId="0" applyFont="1" applyFill="1" applyBorder="1"/>
    <xf numFmtId="0" fontId="23" fillId="0" borderId="5" xfId="11" applyFont="1" applyFill="1" applyBorder="1" applyAlignment="1" applyProtection="1">
      <alignment horizontal="center" vertical="center"/>
    </xf>
    <xf numFmtId="0" fontId="51" fillId="0" borderId="47" xfId="0" applyFont="1" applyBorder="1" applyAlignment="1">
      <alignment vertical="center" wrapText="1"/>
    </xf>
    <xf numFmtId="0" fontId="14" fillId="0" borderId="6" xfId="11" applyFont="1" applyFill="1" applyBorder="1" applyAlignment="1" applyProtection="1">
      <alignment horizontal="center" vertical="center"/>
    </xf>
    <xf numFmtId="0" fontId="14" fillId="0" borderId="7" xfId="11" applyFont="1" applyFill="1" applyBorder="1" applyAlignment="1" applyProtection="1">
      <alignment horizontal="center" vertical="center"/>
    </xf>
    <xf numFmtId="165" fontId="16" fillId="4" borderId="5" xfId="2" applyNumberFormat="1" applyFont="1" applyFill="1" applyBorder="1" applyAlignment="1" applyProtection="1">
      <alignment vertical="center"/>
      <protection locked="0"/>
    </xf>
    <xf numFmtId="165" fontId="16" fillId="4" borderId="54" xfId="2" applyNumberFormat="1" applyFont="1" applyFill="1" applyBorder="1" applyAlignment="1" applyProtection="1">
      <alignment vertical="center"/>
      <protection locked="0"/>
    </xf>
    <xf numFmtId="0" fontId="23" fillId="0" borderId="46" xfId="11" applyFont="1" applyFill="1" applyBorder="1" applyAlignment="1" applyProtection="1">
      <alignment horizontal="center" vertical="center"/>
    </xf>
    <xf numFmtId="0" fontId="14" fillId="0" borderId="10" xfId="11" applyFont="1" applyFill="1" applyBorder="1" applyAlignment="1" applyProtection="1">
      <alignment horizontal="center" vertical="center"/>
    </xf>
    <xf numFmtId="165" fontId="16" fillId="4" borderId="113" xfId="2" applyNumberFormat="1" applyFont="1" applyFill="1" applyBorder="1" applyAlignment="1" applyProtection="1">
      <alignment vertical="center"/>
      <protection locked="0"/>
    </xf>
    <xf numFmtId="0" fontId="23" fillId="0" borderId="8" xfId="11" applyFont="1" applyFill="1" applyBorder="1" applyAlignment="1" applyProtection="1">
      <alignment horizontal="center" vertical="center"/>
    </xf>
    <xf numFmtId="0" fontId="51" fillId="0" borderId="9" xfId="11" applyFont="1" applyFill="1" applyBorder="1" applyAlignment="1">
      <alignment vertical="center" wrapText="1"/>
    </xf>
    <xf numFmtId="165" fontId="16" fillId="4" borderId="8" xfId="2" applyNumberFormat="1" applyFont="1" applyFill="1" applyBorder="1" applyAlignment="1" applyProtection="1">
      <alignment vertical="center"/>
      <protection locked="0"/>
    </xf>
    <xf numFmtId="165" fontId="16" fillId="4" borderId="56" xfId="2" applyNumberFormat="1" applyFont="1" applyFill="1" applyBorder="1" applyAlignment="1" applyProtection="1">
      <alignment vertical="center"/>
      <protection locked="0"/>
    </xf>
    <xf numFmtId="0" fontId="51" fillId="4" borderId="9" xfId="11" applyFont="1" applyFill="1" applyBorder="1" applyAlignment="1" applyProtection="1">
      <alignment vertical="center" wrapText="1"/>
      <protection locked="0"/>
    </xf>
    <xf numFmtId="0" fontId="23" fillId="0" borderId="11" xfId="11" applyFont="1" applyFill="1" applyBorder="1" applyAlignment="1" applyProtection="1">
      <alignment horizontal="center" vertical="center"/>
    </xf>
    <xf numFmtId="0" fontId="51" fillId="4" borderId="12" xfId="11" applyFont="1" applyFill="1" applyBorder="1" applyAlignment="1" applyProtection="1">
      <alignment vertical="center" wrapText="1"/>
      <protection locked="0"/>
    </xf>
    <xf numFmtId="0" fontId="14" fillId="0" borderId="12" xfId="11" applyFont="1" applyFill="1" applyBorder="1" applyAlignment="1" applyProtection="1">
      <alignment horizontal="center" vertical="center"/>
    </xf>
    <xf numFmtId="0" fontId="14" fillId="0" borderId="13" xfId="11" applyFont="1" applyFill="1" applyBorder="1" applyAlignment="1" applyProtection="1">
      <alignment horizontal="center" vertical="center"/>
    </xf>
    <xf numFmtId="165" fontId="16" fillId="4" borderId="11" xfId="2" applyNumberFormat="1" applyFont="1" applyFill="1" applyBorder="1" applyAlignment="1" applyProtection="1">
      <alignment vertical="center"/>
      <protection locked="0"/>
    </xf>
    <xf numFmtId="0" fontId="23" fillId="0" borderId="2" xfId="11" applyFont="1" applyFill="1" applyBorder="1" applyAlignment="1" applyProtection="1">
      <alignment horizontal="center" vertical="center"/>
    </xf>
    <xf numFmtId="0" fontId="51" fillId="0" borderId="3" xfId="11" applyFont="1" applyFill="1" applyBorder="1" applyAlignment="1">
      <alignment vertical="center" wrapText="1"/>
    </xf>
    <xf numFmtId="0" fontId="51" fillId="0" borderId="34" xfId="11" applyFont="1" applyFill="1" applyBorder="1" applyAlignment="1">
      <alignment vertical="center" wrapText="1"/>
    </xf>
    <xf numFmtId="165" fontId="16" fillId="21" borderId="2" xfId="11" applyNumberFormat="1" applyFont="1" applyFill="1" applyBorder="1" applyAlignment="1" applyProtection="1">
      <alignment vertical="center"/>
      <protection locked="0"/>
    </xf>
    <xf numFmtId="165" fontId="16" fillId="21" borderId="61" xfId="11" applyNumberFormat="1" applyFont="1" applyFill="1" applyBorder="1" applyAlignment="1" applyProtection="1">
      <alignment vertical="center"/>
      <protection locked="0"/>
    </xf>
    <xf numFmtId="0" fontId="23" fillId="0" borderId="0" xfId="11" applyFont="1" applyFill="1" applyBorder="1" applyAlignment="1" applyProtection="1">
      <alignment horizontal="center" vertical="center"/>
    </xf>
    <xf numFmtId="0" fontId="51" fillId="0" borderId="0" xfId="11" applyFont="1" applyFill="1" applyBorder="1" applyAlignment="1">
      <alignment vertical="center" wrapText="1"/>
    </xf>
    <xf numFmtId="0" fontId="16" fillId="0" borderId="0" xfId="11" applyFont="1" applyFill="1" applyBorder="1" applyAlignment="1" applyProtection="1">
      <alignment horizontal="center" vertical="center"/>
    </xf>
    <xf numFmtId="0" fontId="14" fillId="0" borderId="0" xfId="11" applyFont="1" applyFill="1" applyBorder="1" applyAlignment="1" applyProtection="1">
      <alignment horizontal="center" vertical="center"/>
    </xf>
    <xf numFmtId="1" fontId="16" fillId="0" borderId="0" xfId="11" applyNumberFormat="1" applyFont="1" applyFill="1" applyBorder="1" applyAlignment="1" applyProtection="1">
      <alignment vertical="center"/>
      <protection locked="0"/>
    </xf>
    <xf numFmtId="165" fontId="16" fillId="0" borderId="0" xfId="11" applyNumberFormat="1" applyFont="1" applyFill="1" applyBorder="1" applyAlignment="1" applyProtection="1">
      <alignment vertical="center"/>
      <protection locked="0"/>
    </xf>
    <xf numFmtId="0" fontId="16" fillId="0" borderId="0" xfId="11" applyFont="1" applyFill="1" applyBorder="1" applyAlignment="1" applyProtection="1">
      <alignment vertical="center"/>
    </xf>
    <xf numFmtId="0" fontId="9" fillId="0" borderId="0" xfId="11" applyFont="1" applyFill="1" applyBorder="1" applyAlignment="1">
      <alignment vertical="top"/>
    </xf>
    <xf numFmtId="171" fontId="16" fillId="0" borderId="0" xfId="2" applyNumberFormat="1" applyFont="1" applyFill="1" applyBorder="1" applyAlignment="1" applyProtection="1">
      <alignment vertical="center"/>
      <protection locked="0"/>
    </xf>
    <xf numFmtId="0" fontId="1" fillId="0" borderId="0" xfId="6" applyFill="1" applyBorder="1" applyAlignment="1" applyProtection="1">
      <alignment vertical="center"/>
    </xf>
    <xf numFmtId="0" fontId="16" fillId="0" borderId="0" xfId="11" applyFont="1" applyFill="1" applyAlignment="1" applyProtection="1">
      <alignment horizontal="left" vertical="center"/>
    </xf>
    <xf numFmtId="0" fontId="12" fillId="0" borderId="54" xfId="11" applyFont="1" applyFill="1" applyBorder="1" applyAlignment="1" applyProtection="1">
      <alignment horizontal="center" vertical="center"/>
    </xf>
    <xf numFmtId="0" fontId="66" fillId="0" borderId="0" xfId="0" applyFont="1" applyBorder="1" applyAlignment="1">
      <alignment horizontal="left" vertical="center" wrapText="1"/>
    </xf>
    <xf numFmtId="0" fontId="23" fillId="0" borderId="54" xfId="11" applyFont="1" applyFill="1" applyBorder="1" applyAlignment="1" applyProtection="1">
      <alignment horizontal="left" vertical="top"/>
    </xf>
    <xf numFmtId="0" fontId="0" fillId="0" borderId="0" xfId="0" applyBorder="1" applyAlignment="1">
      <alignment horizontal="left" vertical="top" wrapText="1"/>
    </xf>
    <xf numFmtId="9" fontId="51" fillId="0" borderId="0" xfId="11" applyNumberFormat="1" applyFont="1" applyFill="1" applyBorder="1" applyAlignment="1">
      <alignment horizontal="left" vertical="center" wrapText="1"/>
    </xf>
    <xf numFmtId="0" fontId="23" fillId="0" borderId="113" xfId="11" applyFont="1" applyFill="1" applyBorder="1" applyAlignment="1" applyProtection="1">
      <alignment horizontal="left" vertical="top"/>
    </xf>
    <xf numFmtId="0" fontId="23" fillId="0" borderId="56" xfId="11" applyFont="1" applyFill="1" applyBorder="1" applyAlignment="1" applyProtection="1">
      <alignment horizontal="left" vertical="top"/>
    </xf>
    <xf numFmtId="0" fontId="0" fillId="0" borderId="0" xfId="0" applyFill="1" applyBorder="1" applyAlignment="1">
      <alignment horizontal="left" vertical="top" wrapText="1"/>
    </xf>
    <xf numFmtId="0" fontId="23" fillId="0" borderId="57" xfId="11" applyFont="1" applyFill="1" applyBorder="1" applyAlignment="1" applyProtection="1">
      <alignment horizontal="left" vertical="top"/>
    </xf>
    <xf numFmtId="0" fontId="67" fillId="0" borderId="0" xfId="18" applyFont="1"/>
    <xf numFmtId="0" fontId="4" fillId="2" borderId="181" xfId="6" applyFont="1" applyFill="1" applyBorder="1" applyAlignment="1" applyProtection="1">
      <alignment vertical="center"/>
    </xf>
    <xf numFmtId="0" fontId="4" fillId="2" borderId="182" xfId="18" applyFont="1" applyFill="1" applyBorder="1" applyAlignment="1" applyProtection="1">
      <alignment vertical="center"/>
    </xf>
    <xf numFmtId="0" fontId="4" fillId="2" borderId="0" xfId="18" applyFont="1" applyFill="1" applyBorder="1" applyAlignment="1" applyProtection="1">
      <alignment vertical="center"/>
    </xf>
    <xf numFmtId="0" fontId="59" fillId="0" borderId="0" xfId="11" applyFont="1" applyFill="1" applyBorder="1" applyAlignment="1" applyProtection="1">
      <alignment vertical="center"/>
    </xf>
    <xf numFmtId="0" fontId="68" fillId="0" borderId="0" xfId="18" applyFont="1"/>
    <xf numFmtId="0" fontId="7" fillId="3" borderId="2" xfId="11" applyFont="1" applyFill="1" applyBorder="1" applyAlignment="1" applyProtection="1">
      <alignment horizontal="center" vertical="center"/>
    </xf>
    <xf numFmtId="0" fontId="7" fillId="3" borderId="4" xfId="11" applyFont="1" applyFill="1" applyBorder="1" applyAlignment="1" applyProtection="1">
      <alignment horizontal="center" vertical="center"/>
    </xf>
    <xf numFmtId="0" fontId="68" fillId="0" borderId="0" xfId="18" applyFont="1" applyFill="1"/>
    <xf numFmtId="0" fontId="7" fillId="0" borderId="53" xfId="11" applyFont="1" applyFill="1" applyBorder="1" applyAlignment="1" applyProtection="1">
      <alignment horizontal="left" vertical="center"/>
    </xf>
    <xf numFmtId="0" fontId="7" fillId="0" borderId="0" xfId="11" applyFont="1" applyFill="1" applyBorder="1" applyAlignment="1" applyProtection="1">
      <alignment horizontal="left" vertical="center"/>
    </xf>
    <xf numFmtId="0" fontId="7" fillId="0" borderId="0" xfId="11" applyFont="1" applyFill="1" applyBorder="1" applyAlignment="1" applyProtection="1">
      <alignment horizontal="center" vertical="center"/>
    </xf>
    <xf numFmtId="0" fontId="68" fillId="0" borderId="0" xfId="18" applyFont="1" applyFill="1" applyBorder="1"/>
    <xf numFmtId="0" fontId="69" fillId="0" borderId="184" xfId="11" applyFont="1" applyFill="1" applyBorder="1" applyAlignment="1" applyProtection="1">
      <alignment horizontal="center" vertical="center"/>
    </xf>
    <xf numFmtId="0" fontId="69" fillId="0" borderId="0" xfId="18" applyFont="1" applyFill="1" applyBorder="1"/>
    <xf numFmtId="0" fontId="7" fillId="3" borderId="45" xfId="6" applyFont="1" applyFill="1" applyBorder="1" applyAlignment="1" applyProtection="1">
      <alignment horizontal="center" vertical="center" wrapText="1"/>
    </xf>
    <xf numFmtId="0" fontId="7" fillId="3" borderId="4" xfId="22" applyFont="1" applyFill="1" applyBorder="1"/>
    <xf numFmtId="165" fontId="16" fillId="4" borderId="5" xfId="19" applyNumberFormat="1" applyFont="1" applyFill="1" applyBorder="1" applyAlignment="1" applyProtection="1">
      <alignment vertical="center"/>
      <protection locked="0"/>
    </xf>
    <xf numFmtId="165" fontId="20" fillId="7" borderId="18" xfId="6" applyNumberFormat="1" applyFont="1" applyFill="1" applyBorder="1" applyAlignment="1" applyProtection="1">
      <alignment vertical="center"/>
    </xf>
    <xf numFmtId="165" fontId="16" fillId="4" borderId="8" xfId="19" applyNumberFormat="1" applyFont="1" applyFill="1" applyBorder="1" applyAlignment="1" applyProtection="1">
      <alignment vertical="center"/>
      <protection locked="0"/>
    </xf>
    <xf numFmtId="165" fontId="9" fillId="4" borderId="9" xfId="6" applyNumberFormat="1" applyFont="1" applyFill="1" applyBorder="1" applyAlignment="1" applyProtection="1">
      <alignment vertical="center" wrapText="1"/>
      <protection locked="0"/>
    </xf>
    <xf numFmtId="0" fontId="23" fillId="0" borderId="43" xfId="11" applyFont="1" applyFill="1" applyBorder="1" applyAlignment="1" applyProtection="1">
      <alignment horizontal="center" vertical="center"/>
    </xf>
    <xf numFmtId="165" fontId="16" fillId="4" borderId="12" xfId="23" applyNumberFormat="1" applyFont="1" applyFill="1" applyBorder="1" applyAlignment="1" applyProtection="1">
      <alignment vertical="center" wrapText="1"/>
      <protection locked="0"/>
    </xf>
    <xf numFmtId="165" fontId="16" fillId="4" borderId="11" xfId="19" applyNumberFormat="1" applyFont="1" applyFill="1" applyBorder="1" applyAlignment="1" applyProtection="1">
      <alignment vertical="center"/>
      <protection locked="0"/>
    </xf>
    <xf numFmtId="165" fontId="20" fillId="7" borderId="109" xfId="6" applyNumberFormat="1" applyFont="1" applyFill="1" applyBorder="1" applyAlignment="1" applyProtection="1">
      <alignment vertical="center"/>
    </xf>
    <xf numFmtId="0" fontId="34" fillId="0" borderId="0" xfId="11" applyFont="1" applyFill="1" applyAlignment="1" applyProtection="1">
      <alignment horizontal="left" vertical="center"/>
    </xf>
    <xf numFmtId="0" fontId="16" fillId="9" borderId="0" xfId="15" applyFill="1" applyAlignment="1">
      <alignment vertical="center"/>
    </xf>
    <xf numFmtId="0" fontId="16" fillId="9" borderId="0" xfId="11" applyFill="1" applyAlignment="1">
      <alignment vertical="center"/>
    </xf>
    <xf numFmtId="0" fontId="12" fillId="0" borderId="5" xfId="11" applyFont="1" applyFill="1" applyBorder="1" applyAlignment="1" applyProtection="1">
      <alignment horizontal="center" vertical="center"/>
    </xf>
    <xf numFmtId="0" fontId="23" fillId="0" borderId="5" xfId="11" applyFont="1" applyFill="1" applyBorder="1" applyAlignment="1" applyProtection="1">
      <alignment horizontal="center" vertical="top"/>
    </xf>
    <xf numFmtId="0" fontId="23" fillId="0" borderId="8" xfId="11" applyFont="1" applyFill="1" applyBorder="1" applyAlignment="1" applyProtection="1">
      <alignment horizontal="center" vertical="top"/>
    </xf>
    <xf numFmtId="0" fontId="23" fillId="0" borderId="11" xfId="11" applyFont="1" applyFill="1" applyBorder="1" applyAlignment="1" applyProtection="1">
      <alignment horizontal="center" vertical="top"/>
    </xf>
    <xf numFmtId="0" fontId="68" fillId="0" borderId="0" xfId="22" applyFont="1" applyAlignment="1">
      <alignment horizontal="center" vertical="top"/>
    </xf>
    <xf numFmtId="0" fontId="64" fillId="0" borderId="0" xfId="18" applyFont="1" applyFill="1" applyBorder="1"/>
    <xf numFmtId="0" fontId="70" fillId="0" borderId="0" xfId="11" applyFont="1" applyFill="1" applyBorder="1" applyAlignment="1" applyProtection="1">
      <alignment horizontal="center" vertical="center"/>
    </xf>
    <xf numFmtId="0" fontId="70" fillId="0" borderId="0" xfId="18" applyFont="1" applyFill="1" applyBorder="1"/>
    <xf numFmtId="0" fontId="64" fillId="23" borderId="0" xfId="18" applyFont="1" applyFill="1"/>
    <xf numFmtId="0" fontId="20" fillId="23" borderId="5" xfId="6" applyFont="1" applyFill="1" applyBorder="1" applyAlignment="1" applyProtection="1">
      <alignment horizontal="center" vertical="center"/>
    </xf>
    <xf numFmtId="0" fontId="9" fillId="23" borderId="6" xfId="6" applyFont="1" applyFill="1" applyBorder="1" applyAlignment="1" applyProtection="1">
      <alignment vertical="center"/>
    </xf>
    <xf numFmtId="0" fontId="22" fillId="23" borderId="6" xfId="6" applyFont="1" applyFill="1" applyBorder="1" applyAlignment="1" applyProtection="1">
      <alignment horizontal="center" vertical="center"/>
    </xf>
    <xf numFmtId="0" fontId="22" fillId="23" borderId="7" xfId="6" applyFont="1" applyFill="1" applyBorder="1" applyAlignment="1" applyProtection="1">
      <alignment horizontal="center" vertical="center"/>
    </xf>
    <xf numFmtId="165" fontId="16" fillId="4" borderId="54" xfId="19" applyNumberFormat="1" applyFont="1" applyFill="1" applyBorder="1" applyAlignment="1" applyProtection="1">
      <alignment vertical="center"/>
      <protection locked="0"/>
    </xf>
    <xf numFmtId="0" fontId="23" fillId="23" borderId="8" xfId="11" applyFont="1" applyFill="1" applyBorder="1" applyAlignment="1" applyProtection="1">
      <alignment horizontal="center" vertical="center"/>
    </xf>
    <xf numFmtId="0" fontId="51" fillId="23" borderId="9" xfId="11" applyFont="1" applyFill="1" applyBorder="1" applyAlignment="1">
      <alignment vertical="center" wrapText="1"/>
    </xf>
    <xf numFmtId="0" fontId="14" fillId="23" borderId="9" xfId="11" applyFont="1" applyFill="1" applyBorder="1" applyAlignment="1" applyProtection="1">
      <alignment horizontal="center" vertical="center"/>
    </xf>
    <xf numFmtId="0" fontId="14" fillId="23" borderId="10" xfId="11" applyFont="1" applyFill="1" applyBorder="1" applyAlignment="1" applyProtection="1">
      <alignment horizontal="center" vertical="center"/>
    </xf>
    <xf numFmtId="165" fontId="16" fillId="4" borderId="56" xfId="19" applyNumberFormat="1" applyFont="1" applyFill="1" applyBorder="1" applyAlignment="1" applyProtection="1">
      <alignment vertical="center"/>
      <protection locked="0"/>
    </xf>
    <xf numFmtId="1" fontId="16" fillId="4" borderId="32" xfId="19" applyNumberFormat="1" applyFont="1" applyFill="1" applyBorder="1" applyAlignment="1" applyProtection="1">
      <alignment vertical="center"/>
      <protection locked="0"/>
    </xf>
    <xf numFmtId="0" fontId="3" fillId="0" borderId="0" xfId="6" applyFont="1" applyAlignment="1" applyProtection="1">
      <alignment horizontal="center" vertical="center"/>
    </xf>
    <xf numFmtId="165" fontId="64" fillId="0" borderId="0" xfId="18" applyNumberFormat="1" applyFont="1"/>
    <xf numFmtId="0" fontId="9" fillId="0" borderId="0" xfId="14" applyFont="1"/>
    <xf numFmtId="0" fontId="1" fillId="0" borderId="0" xfId="14"/>
    <xf numFmtId="0" fontId="9" fillId="0" borderId="0" xfId="18" applyFont="1"/>
    <xf numFmtId="0" fontId="59" fillId="0" borderId="0" xfId="21" applyFont="1"/>
    <xf numFmtId="0" fontId="71" fillId="2" borderId="0" xfId="18" applyFont="1" applyFill="1" applyBorder="1" applyAlignment="1" applyProtection="1">
      <alignment vertical="center"/>
    </xf>
    <xf numFmtId="0" fontId="59" fillId="0" borderId="0" xfId="21" applyFont="1" applyBorder="1"/>
    <xf numFmtId="0" fontId="59" fillId="9" borderId="0" xfId="15" applyFont="1" applyFill="1" applyAlignment="1">
      <alignment vertical="center"/>
    </xf>
    <xf numFmtId="0" fontId="63" fillId="0" borderId="0" xfId="21" applyFont="1" applyBorder="1" applyAlignment="1">
      <alignment vertical="center"/>
    </xf>
    <xf numFmtId="0" fontId="63" fillId="0" borderId="0" xfId="21" applyFont="1" applyAlignment="1">
      <alignment vertical="center"/>
    </xf>
    <xf numFmtId="0" fontId="3" fillId="0" borderId="0" xfId="14" applyFont="1" applyAlignment="1">
      <alignment vertical="center"/>
    </xf>
    <xf numFmtId="0" fontId="59" fillId="9" borderId="185" xfId="15" applyFont="1" applyFill="1" applyBorder="1" applyAlignment="1">
      <alignment vertical="center"/>
    </xf>
    <xf numFmtId="0" fontId="51" fillId="0" borderId="6" xfId="22" applyFont="1" applyBorder="1" applyAlignment="1">
      <alignment vertical="center" wrapText="1"/>
    </xf>
    <xf numFmtId="49" fontId="16" fillId="4" borderId="31" xfId="19" applyNumberFormat="1" applyFont="1" applyFill="1" applyBorder="1" applyAlignment="1" applyProtection="1">
      <alignment vertical="center" wrapText="1"/>
      <protection locked="0"/>
    </xf>
    <xf numFmtId="49" fontId="16" fillId="4" borderId="32" xfId="19" applyNumberFormat="1" applyFont="1" applyFill="1" applyBorder="1" applyAlignment="1" applyProtection="1">
      <alignment vertical="center"/>
      <protection locked="0"/>
    </xf>
    <xf numFmtId="49" fontId="16" fillId="4" borderId="32" xfId="19" applyNumberFormat="1" applyFont="1" applyFill="1" applyBorder="1" applyAlignment="1" applyProtection="1">
      <alignment vertical="center" wrapText="1"/>
      <protection locked="0"/>
    </xf>
    <xf numFmtId="2" fontId="23" fillId="4" borderId="32" xfId="11" applyNumberFormat="1" applyFont="1" applyFill="1" applyBorder="1" applyProtection="1">
      <protection locked="0"/>
    </xf>
    <xf numFmtId="0" fontId="16" fillId="4" borderId="109" xfId="19" applyNumberFormat="1" applyFont="1" applyFill="1" applyBorder="1" applyAlignment="1" applyProtection="1">
      <alignment vertical="center" wrapText="1"/>
      <protection locked="0"/>
    </xf>
    <xf numFmtId="0" fontId="23" fillId="4" borderId="32" xfId="11" applyFont="1" applyFill="1" applyBorder="1" applyProtection="1">
      <protection locked="0"/>
    </xf>
    <xf numFmtId="1" fontId="23" fillId="4" borderId="32" xfId="11" applyNumberFormat="1" applyFont="1" applyFill="1" applyBorder="1" applyProtection="1">
      <protection locked="0"/>
    </xf>
    <xf numFmtId="170" fontId="23" fillId="4" borderId="32" xfId="11" applyNumberFormat="1" applyFont="1" applyFill="1" applyBorder="1" applyProtection="1">
      <protection locked="0"/>
    </xf>
    <xf numFmtId="1" fontId="23" fillId="7" borderId="32" xfId="11" applyNumberFormat="1" applyFont="1" applyFill="1" applyBorder="1" applyProtection="1"/>
    <xf numFmtId="0" fontId="51" fillId="0" borderId="12" xfId="11" applyFont="1" applyFill="1" applyBorder="1" applyAlignment="1">
      <alignment vertical="center" wrapText="1"/>
    </xf>
    <xf numFmtId="3" fontId="23" fillId="4" borderId="30" xfId="11" applyNumberFormat="1" applyFont="1" applyFill="1" applyBorder="1" applyProtection="1">
      <protection locked="0"/>
    </xf>
    <xf numFmtId="1" fontId="23" fillId="4" borderId="30" xfId="11" applyNumberFormat="1" applyFont="1" applyFill="1" applyBorder="1" applyProtection="1">
      <protection locked="0"/>
    </xf>
    <xf numFmtId="0" fontId="16" fillId="4" borderId="30" xfId="19" applyNumberFormat="1" applyFont="1" applyFill="1" applyBorder="1" applyAlignment="1" applyProtection="1">
      <alignment vertical="center" wrapText="1"/>
      <protection locked="0"/>
    </xf>
    <xf numFmtId="0" fontId="63" fillId="9" borderId="0" xfId="15" applyFont="1" applyFill="1" applyBorder="1" applyAlignment="1">
      <alignment horizontal="center" vertical="center"/>
    </xf>
    <xf numFmtId="0" fontId="59" fillId="9" borderId="0" xfId="15" applyFont="1" applyFill="1" applyBorder="1" applyAlignment="1">
      <alignment vertical="center"/>
    </xf>
    <xf numFmtId="0" fontId="59" fillId="9" borderId="0" xfId="15" applyFont="1" applyFill="1" applyBorder="1" applyAlignment="1">
      <alignment horizontal="center" vertical="center"/>
    </xf>
    <xf numFmtId="0" fontId="51" fillId="0" borderId="47" xfId="22" applyFont="1" applyBorder="1" applyAlignment="1">
      <alignment vertical="center" wrapText="1"/>
    </xf>
    <xf numFmtId="0" fontId="16" fillId="4" borderId="31" xfId="19" applyNumberFormat="1" applyFont="1" applyFill="1" applyBorder="1" applyAlignment="1" applyProtection="1">
      <alignment vertical="center" wrapText="1"/>
      <protection locked="0"/>
    </xf>
    <xf numFmtId="0" fontId="16" fillId="4" borderId="32" xfId="19" applyNumberFormat="1" applyFont="1" applyFill="1" applyBorder="1" applyAlignment="1" applyProtection="1">
      <alignment vertical="center" wrapText="1"/>
      <protection locked="0"/>
    </xf>
    <xf numFmtId="0" fontId="73" fillId="0" borderId="0" xfId="11" applyFont="1" applyBorder="1" applyAlignment="1">
      <alignment horizontal="left" vertical="top" wrapText="1"/>
    </xf>
    <xf numFmtId="0" fontId="59" fillId="9" borderId="0" xfId="11" applyFont="1" applyFill="1" applyAlignment="1">
      <alignment vertical="center"/>
    </xf>
    <xf numFmtId="0" fontId="23" fillId="0" borderId="66" xfId="11" applyFont="1" applyFill="1" applyBorder="1" applyAlignment="1" applyProtection="1">
      <alignment horizontal="center" vertical="top"/>
    </xf>
    <xf numFmtId="0" fontId="56" fillId="0" borderId="0" xfId="21" applyFont="1"/>
    <xf numFmtId="0" fontId="59" fillId="0" borderId="0" xfId="21" applyFont="1" applyFill="1"/>
    <xf numFmtId="0" fontId="59" fillId="0" borderId="0" xfId="15" applyFont="1" applyFill="1" applyAlignment="1">
      <alignment vertical="center"/>
    </xf>
    <xf numFmtId="0" fontId="1" fillId="0" borderId="0" xfId="14" applyFill="1"/>
    <xf numFmtId="0" fontId="51" fillId="0" borderId="6" xfId="11" applyFont="1" applyFill="1" applyBorder="1" applyAlignment="1">
      <alignment vertical="center" wrapText="1"/>
    </xf>
    <xf numFmtId="1" fontId="16" fillId="4" borderId="56" xfId="2" applyNumberFormat="1" applyFont="1" applyFill="1" applyBorder="1" applyAlignment="1" applyProtection="1">
      <alignment vertical="center"/>
      <protection locked="0"/>
    </xf>
    <xf numFmtId="2" fontId="16" fillId="4" borderId="56" xfId="2" applyNumberFormat="1" applyFont="1" applyFill="1" applyBorder="1" applyAlignment="1" applyProtection="1">
      <alignment vertical="center"/>
      <protection locked="0"/>
    </xf>
    <xf numFmtId="0" fontId="51" fillId="0" borderId="44" xfId="11" applyFont="1" applyFill="1" applyBorder="1" applyAlignment="1">
      <alignment vertical="center" wrapText="1"/>
    </xf>
    <xf numFmtId="0" fontId="14" fillId="0" borderId="44" xfId="11" applyFont="1" applyFill="1" applyBorder="1" applyAlignment="1" applyProtection="1">
      <alignment horizontal="center" vertical="center"/>
    </xf>
    <xf numFmtId="0" fontId="14" fillId="0" borderId="62" xfId="11" applyFont="1" applyFill="1" applyBorder="1" applyAlignment="1" applyProtection="1">
      <alignment horizontal="center" vertical="center"/>
    </xf>
    <xf numFmtId="2" fontId="16" fillId="4" borderId="122" xfId="2" applyNumberFormat="1" applyFont="1" applyFill="1" applyBorder="1" applyAlignment="1" applyProtection="1">
      <alignment vertical="center"/>
      <protection locked="0"/>
    </xf>
    <xf numFmtId="2" fontId="16" fillId="4" borderId="57" xfId="2" applyNumberFormat="1" applyFont="1" applyFill="1" applyBorder="1" applyAlignment="1" applyProtection="1">
      <alignment vertical="center"/>
      <protection locked="0"/>
    </xf>
    <xf numFmtId="0" fontId="78" fillId="0" borderId="6" xfId="11" applyFont="1" applyFill="1" applyBorder="1" applyAlignment="1">
      <alignment vertical="center" wrapText="1"/>
    </xf>
    <xf numFmtId="9" fontId="79" fillId="0" borderId="6" xfId="11" applyNumberFormat="1" applyFont="1" applyFill="1" applyBorder="1" applyAlignment="1">
      <alignment horizontal="center" vertical="center"/>
    </xf>
    <xf numFmtId="2" fontId="16" fillId="4" borderId="54" xfId="2" applyNumberFormat="1" applyFont="1" applyFill="1" applyBorder="1" applyAlignment="1" applyProtection="1">
      <alignment vertical="center"/>
      <protection locked="0"/>
    </xf>
    <xf numFmtId="0" fontId="78" fillId="0" borderId="9" xfId="11" applyFont="1" applyFill="1" applyBorder="1" applyAlignment="1">
      <alignment vertical="center" wrapText="1"/>
    </xf>
    <xf numFmtId="9" fontId="79" fillId="0" borderId="9" xfId="11" applyNumberFormat="1" applyFont="1" applyFill="1" applyBorder="1" applyAlignment="1">
      <alignment horizontal="center" vertical="center"/>
    </xf>
    <xf numFmtId="0" fontId="78" fillId="0" borderId="12" xfId="11" applyFont="1" applyFill="1" applyBorder="1" applyAlignment="1">
      <alignment vertical="center" wrapText="1"/>
    </xf>
    <xf numFmtId="9" fontId="79" fillId="0" borderId="12" xfId="11" applyNumberFormat="1" applyFont="1" applyFill="1" applyBorder="1" applyAlignment="1">
      <alignment horizontal="center" vertical="center"/>
    </xf>
    <xf numFmtId="9" fontId="79" fillId="0" borderId="6" xfId="11" applyNumberFormat="1" applyFont="1" applyFill="1" applyBorder="1" applyAlignment="1">
      <alignment horizontal="center" vertical="center" wrapText="1"/>
    </xf>
    <xf numFmtId="170" fontId="16" fillId="4" borderId="5" xfId="2" applyNumberFormat="1" applyFont="1" applyFill="1" applyBorder="1" applyAlignment="1" applyProtection="1">
      <alignment vertical="center"/>
      <protection locked="0"/>
    </xf>
    <xf numFmtId="9" fontId="79" fillId="0" borderId="9" xfId="11" applyNumberFormat="1" applyFont="1" applyFill="1" applyBorder="1" applyAlignment="1">
      <alignment horizontal="center" vertical="center" wrapText="1"/>
    </xf>
    <xf numFmtId="170" fontId="16" fillId="4" borderId="8" xfId="2" applyNumberFormat="1" applyFont="1" applyFill="1" applyBorder="1" applyAlignment="1" applyProtection="1">
      <alignment vertical="center"/>
      <protection locked="0"/>
    </xf>
    <xf numFmtId="1" fontId="16" fillId="4" borderId="8" xfId="2" applyNumberFormat="1" applyFont="1" applyFill="1" applyBorder="1" applyAlignment="1" applyProtection="1">
      <alignment vertical="center"/>
      <protection locked="0"/>
    </xf>
    <xf numFmtId="2" fontId="16" fillId="4" borderId="8" xfId="2" applyNumberFormat="1" applyFont="1" applyFill="1" applyBorder="1" applyAlignment="1" applyProtection="1">
      <alignment vertical="center"/>
      <protection locked="0"/>
    </xf>
    <xf numFmtId="9" fontId="79" fillId="0" borderId="12" xfId="11" applyNumberFormat="1" applyFont="1" applyFill="1" applyBorder="1" applyAlignment="1">
      <alignment horizontal="center" vertical="center" wrapText="1"/>
    </xf>
    <xf numFmtId="2" fontId="16" fillId="4" borderId="11" xfId="2" applyNumberFormat="1" applyFont="1" applyFill="1" applyBorder="1" applyAlignment="1" applyProtection="1">
      <alignment vertical="center"/>
      <protection locked="0"/>
    </xf>
    <xf numFmtId="0" fontId="22" fillId="0" borderId="24" xfId="6" applyFont="1" applyBorder="1" applyAlignment="1" applyProtection="1">
      <alignment horizontal="center" vertical="center"/>
    </xf>
    <xf numFmtId="1" fontId="16" fillId="4" borderId="5" xfId="2" applyNumberFormat="1" applyFont="1" applyFill="1" applyBorder="1" applyAlignment="1" applyProtection="1">
      <alignment vertical="center"/>
      <protection locked="0"/>
    </xf>
    <xf numFmtId="0" fontId="14" fillId="0" borderId="26" xfId="11" applyFont="1" applyFill="1" applyBorder="1" applyAlignment="1" applyProtection="1">
      <alignment horizontal="center" vertical="center"/>
    </xf>
    <xf numFmtId="0" fontId="22" fillId="0" borderId="26" xfId="6" applyFont="1" applyBorder="1" applyAlignment="1" applyProtection="1">
      <alignment horizontal="center" vertical="center"/>
    </xf>
    <xf numFmtId="0" fontId="14" fillId="0" borderId="27" xfId="11" applyFont="1" applyFill="1" applyBorder="1" applyAlignment="1" applyProtection="1">
      <alignment horizontal="center" vertical="center"/>
    </xf>
    <xf numFmtId="1" fontId="16" fillId="4" borderId="11" xfId="2" applyNumberFormat="1" applyFont="1" applyFill="1" applyBorder="1" applyAlignment="1" applyProtection="1">
      <alignment vertical="center"/>
      <protection locked="0"/>
    </xf>
    <xf numFmtId="0" fontId="9" fillId="0" borderId="5" xfId="6" applyFont="1" applyBorder="1" applyAlignment="1" applyProtection="1">
      <alignment vertical="center"/>
    </xf>
    <xf numFmtId="172" fontId="16" fillId="4" borderId="5" xfId="2" applyNumberFormat="1" applyFont="1" applyFill="1" applyBorder="1" applyAlignment="1" applyProtection="1">
      <alignment vertical="center"/>
      <protection locked="0"/>
    </xf>
    <xf numFmtId="0" fontId="9" fillId="0" borderId="8" xfId="6" applyFont="1" applyBorder="1" applyAlignment="1" applyProtection="1">
      <alignment vertical="center"/>
    </xf>
    <xf numFmtId="172" fontId="16" fillId="4" borderId="8" xfId="2" applyNumberFormat="1" applyFont="1" applyFill="1" applyBorder="1" applyAlignment="1" applyProtection="1">
      <alignment vertical="center"/>
      <protection locked="0"/>
    </xf>
    <xf numFmtId="0" fontId="9" fillId="0" borderId="11" xfId="6" applyFont="1" applyBorder="1" applyAlignment="1" applyProtection="1">
      <alignment vertical="center"/>
    </xf>
    <xf numFmtId="172" fontId="16" fillId="4" borderId="11" xfId="2" applyNumberFormat="1" applyFont="1" applyFill="1" applyBorder="1" applyAlignment="1" applyProtection="1">
      <alignment vertical="center"/>
      <protection locked="0"/>
    </xf>
    <xf numFmtId="0" fontId="0" fillId="0" borderId="0" xfId="0" applyBorder="1" applyAlignment="1">
      <alignment horizontal="left" vertical="center" wrapText="1"/>
    </xf>
    <xf numFmtId="0" fontId="9" fillId="0" borderId="146" xfId="0" applyFont="1" applyFill="1" applyBorder="1" applyAlignment="1">
      <alignment vertical="center"/>
    </xf>
    <xf numFmtId="0" fontId="9" fillId="0" borderId="0" xfId="0" applyFont="1" applyFill="1" applyBorder="1" applyAlignment="1">
      <alignment vertical="center"/>
    </xf>
    <xf numFmtId="0" fontId="9" fillId="0" borderId="0" xfId="0" applyFont="1" applyAlignment="1">
      <alignment vertical="center"/>
    </xf>
    <xf numFmtId="0" fontId="16" fillId="0" borderId="146" xfId="11" applyFont="1" applyFill="1" applyBorder="1" applyAlignment="1" applyProtection="1">
      <alignment vertical="center"/>
    </xf>
    <xf numFmtId="0" fontId="0" fillId="0" borderId="0" xfId="0" applyAlignment="1">
      <alignment vertical="center" wrapText="1"/>
    </xf>
    <xf numFmtId="0" fontId="9" fillId="0" borderId="131" xfId="0" applyFont="1" applyFill="1" applyBorder="1" applyAlignment="1">
      <alignment vertical="center"/>
    </xf>
    <xf numFmtId="0" fontId="16" fillId="0" borderId="110" xfId="11" applyFont="1" applyFill="1" applyBorder="1" applyAlignment="1" applyProtection="1">
      <alignment vertical="center"/>
    </xf>
    <xf numFmtId="0" fontId="12" fillId="0" borderId="2" xfId="11" applyFont="1" applyFill="1" applyBorder="1" applyAlignment="1" applyProtection="1">
      <alignment horizontal="center" vertical="center"/>
    </xf>
    <xf numFmtId="9" fontId="78" fillId="0" borderId="0" xfId="11" applyNumberFormat="1" applyFont="1" applyFill="1" applyBorder="1" applyAlignment="1">
      <alignment horizontal="left" vertical="center" wrapText="1"/>
    </xf>
    <xf numFmtId="9" fontId="78" fillId="0" borderId="0" xfId="11" applyNumberFormat="1" applyFont="1" applyFill="1" applyBorder="1" applyAlignment="1">
      <alignment horizontal="left" vertical="top" wrapText="1"/>
    </xf>
    <xf numFmtId="0" fontId="51" fillId="0" borderId="0" xfId="0" applyFont="1" applyFill="1" applyBorder="1" applyAlignment="1">
      <alignment horizontal="left" vertical="top"/>
    </xf>
    <xf numFmtId="0" fontId="34" fillId="0" borderId="0" xfId="11" applyFont="1" applyFill="1" applyBorder="1" applyAlignment="1" applyProtection="1">
      <alignment vertical="center"/>
    </xf>
    <xf numFmtId="9" fontId="14" fillId="0" borderId="0" xfId="11" applyNumberFormat="1" applyFont="1" applyFill="1" applyBorder="1" applyAlignment="1" applyProtection="1">
      <alignment horizontal="center" vertical="center"/>
    </xf>
    <xf numFmtId="10" fontId="16" fillId="4" borderId="8" xfId="2" applyNumberFormat="1" applyFont="1" applyFill="1" applyBorder="1" applyAlignment="1" applyProtection="1">
      <alignment vertical="center"/>
      <protection locked="0"/>
    </xf>
    <xf numFmtId="0" fontId="7" fillId="3" borderId="16" xfId="22" applyFont="1" applyFill="1" applyBorder="1"/>
    <xf numFmtId="0" fontId="23" fillId="0" borderId="196" xfId="11" applyFont="1" applyFill="1" applyBorder="1" applyAlignment="1" applyProtection="1">
      <alignment horizontal="center" vertical="top"/>
    </xf>
    <xf numFmtId="0" fontId="23" fillId="0" borderId="200" xfId="11" applyFont="1" applyFill="1" applyBorder="1" applyAlignment="1" applyProtection="1">
      <alignment horizontal="center" vertical="top"/>
    </xf>
    <xf numFmtId="0" fontId="23" fillId="0" borderId="202" xfId="11" applyFont="1" applyFill="1" applyBorder="1" applyAlignment="1" applyProtection="1">
      <alignment horizontal="center" vertical="top"/>
    </xf>
    <xf numFmtId="0" fontId="4" fillId="0" borderId="0" xfId="22" applyFont="1" applyFill="1" applyAlignment="1">
      <alignment horizontal="left" vertical="top"/>
    </xf>
    <xf numFmtId="0" fontId="4" fillId="24" borderId="0" xfId="22" applyFont="1" applyFill="1" applyAlignment="1">
      <alignment horizontal="left" vertical="top"/>
    </xf>
    <xf numFmtId="0" fontId="4" fillId="24" borderId="0" xfId="22" applyFont="1" applyFill="1" applyAlignment="1">
      <alignment horizontal="center" vertical="top" wrapText="1"/>
    </xf>
    <xf numFmtId="0" fontId="4" fillId="2" borderId="0" xfId="22" applyFont="1" applyFill="1" applyAlignment="1">
      <alignment horizontal="left" vertical="top"/>
    </xf>
    <xf numFmtId="0" fontId="64" fillId="0" borderId="0" xfId="22" applyFont="1" applyAlignment="1">
      <alignment horizontal="left" vertical="top"/>
    </xf>
    <xf numFmtId="0" fontId="64" fillId="0" borderId="0" xfId="22" applyFont="1" applyAlignment="1">
      <alignment horizontal="center" vertical="top" wrapText="1"/>
    </xf>
    <xf numFmtId="0" fontId="64" fillId="23" borderId="0" xfId="22" applyFont="1" applyFill="1" applyAlignment="1">
      <alignment horizontal="left" vertical="top"/>
    </xf>
    <xf numFmtId="0" fontId="7" fillId="3" borderId="2" xfId="6" applyFont="1" applyFill="1" applyBorder="1" applyAlignment="1" applyProtection="1">
      <alignment horizontal="center" vertical="center"/>
    </xf>
    <xf numFmtId="0" fontId="7" fillId="3" borderId="3" xfId="6" applyFont="1" applyFill="1" applyBorder="1" applyAlignment="1" applyProtection="1">
      <alignment vertical="center"/>
    </xf>
    <xf numFmtId="0" fontId="64" fillId="0" borderId="0" xfId="22" applyFont="1" applyFill="1" applyBorder="1" applyAlignment="1">
      <alignment horizontal="left" vertical="top"/>
    </xf>
    <xf numFmtId="0" fontId="70" fillId="0" borderId="176" xfId="6" applyFont="1" applyFill="1" applyBorder="1" applyAlignment="1">
      <alignment horizontal="left" vertical="top"/>
    </xf>
    <xf numFmtId="0" fontId="64" fillId="0" borderId="0" xfId="22" applyFont="1" applyAlignment="1">
      <alignment horizontal="left" vertical="top" wrapText="1"/>
    </xf>
    <xf numFmtId="0" fontId="14" fillId="0" borderId="15" xfId="11" applyFont="1" applyFill="1" applyBorder="1" applyAlignment="1" applyProtection="1">
      <alignment horizontal="center" vertical="center"/>
    </xf>
    <xf numFmtId="0" fontId="14" fillId="0" borderId="16" xfId="11" applyFont="1" applyFill="1" applyBorder="1" applyAlignment="1" applyProtection="1">
      <alignment horizontal="center" vertical="center"/>
    </xf>
    <xf numFmtId="1" fontId="16" fillId="4" borderId="54" xfId="19" applyNumberFormat="1" applyFont="1" applyFill="1" applyBorder="1" applyAlignment="1" applyProtection="1">
      <alignment vertical="center"/>
      <protection locked="0"/>
    </xf>
    <xf numFmtId="0" fontId="14" fillId="0" borderId="47" xfId="11" applyFont="1" applyFill="1" applyBorder="1" applyAlignment="1" applyProtection="1">
      <alignment horizontal="center" vertical="center"/>
    </xf>
    <xf numFmtId="1" fontId="16" fillId="4" borderId="113" xfId="19" applyNumberFormat="1" applyFont="1" applyFill="1" applyBorder="1" applyAlignment="1" applyProtection="1">
      <alignment vertical="center"/>
      <protection locked="0"/>
    </xf>
    <xf numFmtId="0" fontId="16" fillId="4" borderId="49" xfId="19" applyNumberFormat="1" applyFont="1" applyFill="1" applyBorder="1" applyAlignment="1" applyProtection="1">
      <alignment vertical="center" wrapText="1"/>
      <protection locked="0"/>
    </xf>
    <xf numFmtId="1" fontId="16" fillId="4" borderId="56" xfId="19" applyNumberFormat="1" applyFont="1" applyFill="1" applyBorder="1" applyAlignment="1" applyProtection="1">
      <alignment vertical="center"/>
      <protection locked="0"/>
    </xf>
    <xf numFmtId="0" fontId="64" fillId="0" borderId="0" xfId="22" applyFont="1" applyFill="1" applyAlignment="1">
      <alignment horizontal="left" vertical="top"/>
    </xf>
    <xf numFmtId="0" fontId="64" fillId="0" borderId="0" xfId="22" applyFont="1" applyFill="1" applyBorder="1" applyAlignment="1">
      <alignment horizontal="left" vertical="top" wrapText="1"/>
    </xf>
    <xf numFmtId="1" fontId="16" fillId="4" borderId="122" xfId="19" applyNumberFormat="1" applyFont="1" applyFill="1" applyBorder="1" applyAlignment="1" applyProtection="1">
      <alignment vertical="center"/>
      <protection locked="0"/>
    </xf>
    <xf numFmtId="2" fontId="16" fillId="4" borderId="122" xfId="19" applyNumberFormat="1" applyFont="1" applyFill="1" applyBorder="1" applyAlignment="1" applyProtection="1">
      <alignment vertical="center"/>
      <protection locked="0"/>
    </xf>
    <xf numFmtId="1" fontId="16" fillId="4" borderId="57" xfId="19" applyNumberFormat="1" applyFont="1" applyFill="1" applyBorder="1" applyAlignment="1" applyProtection="1">
      <alignment vertical="center"/>
      <protection locked="0"/>
    </xf>
    <xf numFmtId="0" fontId="59" fillId="0" borderId="0" xfId="22" applyFont="1" applyFill="1" applyBorder="1" applyAlignment="1">
      <alignment horizontal="left" vertical="top"/>
    </xf>
    <xf numFmtId="0" fontId="59" fillId="0" borderId="0" xfId="11" applyFont="1" applyFill="1" applyBorder="1" applyAlignment="1">
      <alignment horizontal="left" vertical="top" wrapText="1"/>
    </xf>
    <xf numFmtId="0" fontId="59" fillId="0" borderId="0" xfId="11" applyFont="1" applyFill="1" applyBorder="1" applyAlignment="1">
      <alignment horizontal="center" vertical="top" wrapText="1"/>
    </xf>
    <xf numFmtId="0" fontId="64" fillId="0" borderId="0" xfId="22" applyFont="1" applyFill="1" applyBorder="1" applyAlignment="1">
      <alignment horizontal="center" vertical="top"/>
    </xf>
    <xf numFmtId="170" fontId="23" fillId="4" borderId="54" xfId="19" applyNumberFormat="1" applyFont="1" applyFill="1" applyBorder="1" applyAlignment="1" applyProtection="1">
      <alignment vertical="center"/>
      <protection locked="0"/>
    </xf>
    <xf numFmtId="170" fontId="23" fillId="4" borderId="56" xfId="19" applyNumberFormat="1" applyFont="1" applyFill="1" applyBorder="1" applyAlignment="1" applyProtection="1">
      <alignment vertical="center"/>
      <protection locked="0"/>
    </xf>
    <xf numFmtId="0" fontId="20" fillId="0" borderId="0" xfId="15" applyFont="1" applyAlignment="1" applyProtection="1">
      <alignment vertical="center"/>
    </xf>
    <xf numFmtId="0" fontId="46" fillId="0" borderId="0" xfId="22" applyAlignment="1">
      <alignment horizontal="center"/>
    </xf>
    <xf numFmtId="0" fontId="46" fillId="0" borderId="0" xfId="22"/>
    <xf numFmtId="0" fontId="64" fillId="0" borderId="0" xfId="22" applyFont="1" applyFill="1" applyAlignment="1">
      <alignment horizontal="left" vertical="top" wrapText="1"/>
    </xf>
    <xf numFmtId="0" fontId="86" fillId="0" borderId="0" xfId="22" applyFont="1" applyFill="1" applyAlignment="1">
      <alignment horizontal="left" vertical="center"/>
    </xf>
    <xf numFmtId="0" fontId="46" fillId="0" borderId="0" xfId="22" applyNumberFormat="1"/>
    <xf numFmtId="0" fontId="14" fillId="0" borderId="3" xfId="11" applyFont="1" applyFill="1" applyBorder="1" applyAlignment="1" applyProtection="1">
      <alignment horizontal="center" vertical="center"/>
    </xf>
    <xf numFmtId="0" fontId="14" fillId="0" borderId="4" xfId="11" applyFont="1" applyFill="1" applyBorder="1" applyAlignment="1" applyProtection="1">
      <alignment horizontal="center" vertical="center"/>
    </xf>
    <xf numFmtId="0" fontId="64" fillId="0" borderId="0" xfId="22" applyFont="1" applyFill="1" applyAlignment="1">
      <alignment horizontal="center" vertical="top" wrapText="1"/>
    </xf>
    <xf numFmtId="0" fontId="86" fillId="0" borderId="0" xfId="22" applyFont="1" applyFill="1" applyAlignment="1">
      <alignment horizontal="left" vertical="center" wrapText="1"/>
    </xf>
    <xf numFmtId="0" fontId="64" fillId="0" borderId="0" xfId="22" applyNumberFormat="1" applyFont="1" applyFill="1" applyAlignment="1">
      <alignment horizontal="left" vertical="top" wrapText="1"/>
    </xf>
    <xf numFmtId="0" fontId="64" fillId="0" borderId="0" xfId="22" applyFont="1" applyFill="1" applyBorder="1" applyAlignment="1">
      <alignment horizontal="center" vertical="top" wrapText="1"/>
    </xf>
    <xf numFmtId="0" fontId="86" fillId="23" borderId="0" xfId="22" applyFont="1" applyFill="1" applyAlignment="1">
      <alignment horizontal="left" vertical="center" wrapText="1"/>
    </xf>
    <xf numFmtId="0" fontId="64" fillId="23" borderId="0" xfId="22" applyNumberFormat="1" applyFont="1" applyFill="1" applyAlignment="1">
      <alignment horizontal="left" vertical="top" wrapText="1"/>
    </xf>
    <xf numFmtId="1" fontId="23" fillId="4" borderId="5" xfId="19" applyNumberFormat="1" applyFont="1" applyFill="1" applyBorder="1" applyAlignment="1" applyProtection="1">
      <alignment vertical="center"/>
      <protection locked="0"/>
    </xf>
    <xf numFmtId="1" fontId="23" fillId="4" borderId="8" xfId="19" applyNumberFormat="1" applyFont="1" applyFill="1" applyBorder="1" applyAlignment="1" applyProtection="1">
      <alignment vertical="center"/>
      <protection locked="0"/>
    </xf>
    <xf numFmtId="1" fontId="23" fillId="4" borderId="43" xfId="19" applyNumberFormat="1" applyFont="1" applyFill="1" applyBorder="1" applyAlignment="1" applyProtection="1">
      <alignment vertical="center"/>
      <protection locked="0"/>
    </xf>
    <xf numFmtId="1" fontId="23" fillId="23" borderId="0" xfId="11" applyNumberFormat="1" applyFont="1" applyFill="1" applyBorder="1" applyAlignment="1" applyProtection="1">
      <alignment vertical="center"/>
      <protection locked="0"/>
    </xf>
    <xf numFmtId="171" fontId="16" fillId="23" borderId="0" xfId="19" applyNumberFormat="1" applyFont="1" applyFill="1" applyBorder="1" applyAlignment="1" applyProtection="1">
      <alignment vertical="center"/>
      <protection locked="0"/>
    </xf>
    <xf numFmtId="1" fontId="23" fillId="4" borderId="33" xfId="19" applyNumberFormat="1" applyFont="1" applyFill="1" applyBorder="1" applyAlignment="1" applyProtection="1">
      <alignment vertical="center"/>
      <protection locked="0"/>
    </xf>
    <xf numFmtId="0" fontId="46" fillId="0" borderId="0" xfId="22" applyFill="1" applyAlignment="1">
      <alignment horizontal="center"/>
    </xf>
    <xf numFmtId="0" fontId="46" fillId="0" borderId="0" xfId="22" applyFill="1"/>
    <xf numFmtId="0" fontId="87" fillId="23" borderId="0" xfId="22" applyFont="1" applyFill="1" applyAlignment="1">
      <alignment vertical="center"/>
    </xf>
    <xf numFmtId="0" fontId="46" fillId="23" borderId="0" xfId="22" applyNumberFormat="1" applyFill="1"/>
    <xf numFmtId="0" fontId="20" fillId="0" borderId="14" xfId="6" applyFont="1" applyBorder="1" applyAlignment="1" applyProtection="1">
      <alignment horizontal="center" vertical="center"/>
    </xf>
    <xf numFmtId="0" fontId="22" fillId="0" borderId="15" xfId="6" applyFont="1" applyBorder="1" applyAlignment="1" applyProtection="1">
      <alignment horizontal="center" vertical="center"/>
    </xf>
    <xf numFmtId="0" fontId="22" fillId="0" borderId="16" xfId="6" applyFont="1" applyBorder="1" applyAlignment="1" applyProtection="1">
      <alignment horizontal="center" vertical="center"/>
    </xf>
    <xf numFmtId="1" fontId="23" fillId="4" borderId="14" xfId="19" applyNumberFormat="1" applyFont="1" applyFill="1" applyBorder="1" applyAlignment="1" applyProtection="1">
      <alignment vertical="center"/>
      <protection locked="0"/>
    </xf>
    <xf numFmtId="1" fontId="23" fillId="4" borderId="32" xfId="19" applyNumberFormat="1" applyFont="1" applyFill="1" applyBorder="1" applyAlignment="1" applyProtection="1">
      <alignment vertical="center"/>
      <protection locked="0"/>
    </xf>
    <xf numFmtId="0" fontId="20" fillId="0" borderId="206" xfId="6" applyFont="1" applyBorder="1" applyAlignment="1" applyProtection="1">
      <alignment horizontal="center" vertical="center"/>
    </xf>
    <xf numFmtId="0" fontId="64" fillId="23" borderId="0" xfId="22" applyFont="1" applyFill="1" applyAlignment="1">
      <alignment horizontal="left" vertical="top" wrapText="1"/>
    </xf>
    <xf numFmtId="0" fontId="23" fillId="4" borderId="157" xfId="11" applyFont="1" applyFill="1" applyBorder="1" applyProtection="1">
      <protection locked="0"/>
    </xf>
    <xf numFmtId="0" fontId="23" fillId="0" borderId="0" xfId="11" applyFont="1" applyFill="1" applyBorder="1" applyProtection="1">
      <protection locked="0"/>
    </xf>
    <xf numFmtId="0" fontId="59" fillId="9" borderId="0" xfId="11" applyFont="1" applyFill="1"/>
    <xf numFmtId="0" fontId="23" fillId="0" borderId="92" xfId="11" applyFont="1" applyFill="1" applyBorder="1" applyAlignment="1" applyProtection="1">
      <alignment horizontal="center" vertical="top"/>
    </xf>
    <xf numFmtId="0" fontId="23" fillId="0" borderId="72" xfId="11" applyFont="1" applyFill="1" applyBorder="1" applyAlignment="1" applyProtection="1">
      <alignment horizontal="center" vertical="top"/>
    </xf>
    <xf numFmtId="0" fontId="73" fillId="0" borderId="0" xfId="11" applyNumberFormat="1" applyFont="1" applyFill="1" applyBorder="1" applyAlignment="1">
      <alignment horizontal="left" vertical="top" wrapText="1"/>
    </xf>
    <xf numFmtId="0" fontId="4" fillId="0" borderId="0" xfId="22" applyFont="1" applyFill="1" applyBorder="1" applyAlignment="1">
      <alignment horizontal="left" vertical="top"/>
    </xf>
    <xf numFmtId="0" fontId="4" fillId="24" borderId="0" xfId="22" applyFont="1" applyFill="1" applyAlignment="1">
      <alignment horizontal="left" vertical="top" wrapText="1"/>
    </xf>
    <xf numFmtId="0" fontId="64" fillId="0" borderId="0" xfId="22" applyFont="1" applyBorder="1" applyAlignment="1">
      <alignment horizontal="left" vertical="top"/>
    </xf>
    <xf numFmtId="0" fontId="68" fillId="0" borderId="0" xfId="22" applyFont="1" applyBorder="1" applyAlignment="1">
      <alignment horizontal="left" vertical="top"/>
    </xf>
    <xf numFmtId="0" fontId="68" fillId="0" borderId="0" xfId="22" applyFont="1" applyAlignment="1">
      <alignment horizontal="left" vertical="top"/>
    </xf>
    <xf numFmtId="0" fontId="7" fillId="3" borderId="40" xfId="6" applyFont="1" applyFill="1" applyBorder="1" applyAlignment="1" applyProtection="1">
      <alignment horizontal="center" vertical="center" wrapText="1"/>
    </xf>
    <xf numFmtId="0" fontId="73" fillId="0" borderId="0" xfId="11" applyFont="1" applyBorder="1" applyAlignment="1">
      <alignment horizontal="center" vertical="top" wrapText="1"/>
    </xf>
    <xf numFmtId="0" fontId="64" fillId="0" borderId="0" xfId="22" applyFont="1" applyAlignment="1">
      <alignment horizontal="center" vertical="top"/>
    </xf>
    <xf numFmtId="0" fontId="64" fillId="0" borderId="0" xfId="22" applyFont="1" applyBorder="1" applyAlignment="1">
      <alignment horizontal="center" vertical="top"/>
    </xf>
    <xf numFmtId="1" fontId="20" fillId="4" borderId="5" xfId="20" applyNumberFormat="1" applyFont="1" applyFill="1" applyBorder="1" applyAlignment="1" applyProtection="1">
      <alignment vertical="center"/>
      <protection locked="0"/>
    </xf>
    <xf numFmtId="1" fontId="20" fillId="4" borderId="6" xfId="20" applyNumberFormat="1" applyFont="1" applyFill="1" applyBorder="1" applyAlignment="1" applyProtection="1">
      <alignment vertical="center"/>
      <protection locked="0"/>
    </xf>
    <xf numFmtId="1" fontId="20" fillId="7" borderId="24" xfId="6" applyNumberFormat="1" applyFont="1" applyFill="1" applyBorder="1" applyAlignment="1" applyProtection="1">
      <alignment vertical="center"/>
    </xf>
    <xf numFmtId="1" fontId="20" fillId="4" borderId="8" xfId="20" applyNumberFormat="1" applyFont="1" applyFill="1" applyBorder="1" applyAlignment="1" applyProtection="1">
      <alignment vertical="center"/>
      <protection locked="0"/>
    </xf>
    <xf numFmtId="1" fontId="20" fillId="4" borderId="9" xfId="20" applyNumberFormat="1" applyFont="1" applyFill="1" applyBorder="1" applyAlignment="1" applyProtection="1">
      <alignment vertical="center"/>
      <protection locked="0"/>
    </xf>
    <xf numFmtId="1" fontId="20" fillId="7" borderId="26" xfId="6" applyNumberFormat="1" applyFont="1" applyFill="1" applyBorder="1" applyAlignment="1" applyProtection="1">
      <alignment vertical="center"/>
    </xf>
    <xf numFmtId="0" fontId="14" fillId="0" borderId="9" xfId="6" applyFont="1" applyBorder="1" applyAlignment="1" applyProtection="1">
      <alignment horizontal="center" vertical="center"/>
    </xf>
    <xf numFmtId="0" fontId="14" fillId="0" borderId="10" xfId="6" applyFont="1" applyBorder="1" applyAlignment="1" applyProtection="1">
      <alignment horizontal="center" vertical="center"/>
    </xf>
    <xf numFmtId="1" fontId="23" fillId="7" borderId="11" xfId="11" applyNumberFormat="1" applyFont="1" applyFill="1" applyBorder="1" applyAlignment="1" applyProtection="1">
      <alignment vertical="center"/>
    </xf>
    <xf numFmtId="1" fontId="23" fillId="7" borderId="12" xfId="11" applyNumberFormat="1" applyFont="1" applyFill="1" applyBorder="1" applyAlignment="1" applyProtection="1">
      <alignment vertical="center"/>
    </xf>
    <xf numFmtId="1" fontId="23" fillId="7" borderId="27" xfId="11" applyNumberFormat="1" applyFont="1" applyFill="1" applyBorder="1" applyAlignment="1" applyProtection="1">
      <alignment vertical="center"/>
    </xf>
    <xf numFmtId="1" fontId="64" fillId="0" borderId="0" xfId="22" applyNumberFormat="1" applyFont="1" applyAlignment="1">
      <alignment horizontal="left" vertical="top"/>
    </xf>
    <xf numFmtId="1" fontId="20" fillId="4" borderId="30" xfId="20" applyNumberFormat="1" applyFont="1" applyFill="1" applyBorder="1" applyAlignment="1" applyProtection="1">
      <alignment vertical="center"/>
      <protection locked="0"/>
    </xf>
    <xf numFmtId="1" fontId="20" fillId="7" borderId="27" xfId="6" applyNumberFormat="1" applyFont="1" applyFill="1" applyBorder="1" applyAlignment="1" applyProtection="1">
      <alignment vertical="center"/>
    </xf>
    <xf numFmtId="0" fontId="7" fillId="26" borderId="0" xfId="11" applyFont="1" applyFill="1" applyBorder="1" applyAlignment="1" applyProtection="1">
      <alignment horizontal="center" vertical="center" wrapText="1"/>
    </xf>
    <xf numFmtId="165" fontId="20" fillId="4" borderId="7" xfId="20" applyNumberFormat="1" applyFont="1" applyFill="1" applyBorder="1" applyAlignment="1" applyProtection="1">
      <alignment vertical="center"/>
      <protection locked="0"/>
    </xf>
    <xf numFmtId="165" fontId="20" fillId="4" borderId="10" xfId="20" applyNumberFormat="1" applyFont="1" applyFill="1" applyBorder="1" applyAlignment="1" applyProtection="1">
      <alignment vertical="center"/>
      <protection locked="0"/>
    </xf>
    <xf numFmtId="165" fontId="20" fillId="4" borderId="13" xfId="20" applyNumberFormat="1" applyFont="1" applyFill="1" applyBorder="1" applyAlignment="1" applyProtection="1">
      <alignment vertical="center"/>
      <protection locked="0"/>
    </xf>
    <xf numFmtId="0" fontId="63" fillId="0" borderId="0" xfId="11" applyFont="1" applyFill="1" applyAlignment="1" applyProtection="1">
      <alignment horizontal="left" vertical="center"/>
    </xf>
    <xf numFmtId="0" fontId="59" fillId="0" borderId="0" xfId="11" applyFont="1" applyFill="1" applyAlignment="1" applyProtection="1">
      <alignment horizontal="left"/>
    </xf>
    <xf numFmtId="172" fontId="16" fillId="27" borderId="5" xfId="19" applyNumberFormat="1" applyFont="1" applyFill="1" applyBorder="1" applyAlignment="1" applyProtection="1">
      <alignment vertical="center"/>
      <protection locked="0"/>
    </xf>
    <xf numFmtId="172" fontId="16" fillId="27" borderId="8" xfId="19" applyNumberFormat="1" applyFont="1" applyFill="1" applyBorder="1" applyAlignment="1" applyProtection="1">
      <alignment vertical="center"/>
      <protection locked="0"/>
    </xf>
    <xf numFmtId="172" fontId="16" fillId="27" borderId="46" xfId="19" applyNumberFormat="1" applyFont="1" applyFill="1" applyBorder="1" applyAlignment="1" applyProtection="1">
      <alignment vertical="center"/>
      <protection locked="0"/>
    </xf>
    <xf numFmtId="172" fontId="16" fillId="28" borderId="11" xfId="19" applyNumberFormat="1" applyFont="1" applyFill="1" applyBorder="1" applyAlignment="1" applyProtection="1">
      <alignment vertical="center"/>
    </xf>
    <xf numFmtId="172" fontId="16" fillId="28" borderId="12" xfId="19" applyNumberFormat="1" applyFont="1" applyFill="1" applyBorder="1" applyAlignment="1" applyProtection="1">
      <alignment vertical="center"/>
    </xf>
    <xf numFmtId="0" fontId="16" fillId="0" borderId="0" xfId="15" applyAlignment="1" applyProtection="1">
      <alignment vertical="center"/>
    </xf>
    <xf numFmtId="0" fontId="12" fillId="0" borderId="14" xfId="11" applyFont="1" applyFill="1" applyBorder="1" applyAlignment="1" applyProtection="1">
      <alignment horizontal="center" vertical="top"/>
    </xf>
    <xf numFmtId="0" fontId="59" fillId="0" borderId="5" xfId="11" applyFont="1" applyFill="1" applyBorder="1" applyAlignment="1" applyProtection="1">
      <alignment horizontal="center" vertical="top"/>
    </xf>
    <xf numFmtId="0" fontId="59" fillId="0" borderId="8" xfId="11" applyFont="1" applyFill="1" applyBorder="1" applyAlignment="1" applyProtection="1">
      <alignment horizontal="center" vertical="top"/>
    </xf>
    <xf numFmtId="0" fontId="59" fillId="0" borderId="11" xfId="11" applyFont="1" applyFill="1" applyBorder="1" applyAlignment="1" applyProtection="1">
      <alignment horizontal="center" vertical="top"/>
    </xf>
    <xf numFmtId="0" fontId="7" fillId="3" borderId="1" xfId="6" applyFont="1" applyFill="1" applyBorder="1" applyAlignment="1" applyProtection="1">
      <alignment horizontal="center" vertical="center"/>
    </xf>
    <xf numFmtId="0" fontId="23" fillId="23" borderId="5" xfId="11" applyFont="1" applyFill="1" applyBorder="1" applyAlignment="1" applyProtection="1">
      <alignment horizontal="center" vertical="center"/>
    </xf>
    <xf numFmtId="0" fontId="78" fillId="23" borderId="6" xfId="11" applyFont="1" applyFill="1" applyBorder="1" applyAlignment="1">
      <alignment vertical="center" wrapText="1"/>
    </xf>
    <xf numFmtId="9" fontId="79" fillId="23" borderId="6" xfId="11" applyNumberFormat="1" applyFont="1" applyFill="1" applyBorder="1" applyAlignment="1">
      <alignment horizontal="center" vertical="center" wrapText="1"/>
    </xf>
    <xf numFmtId="0" fontId="14" fillId="23" borderId="7" xfId="11" applyFont="1" applyFill="1" applyBorder="1" applyAlignment="1" applyProtection="1">
      <alignment horizontal="center" vertical="center"/>
    </xf>
    <xf numFmtId="165" fontId="16" fillId="27" borderId="5" xfId="19" applyNumberFormat="1" applyFont="1" applyFill="1" applyBorder="1" applyAlignment="1" applyProtection="1">
      <alignment vertical="center"/>
      <protection locked="0"/>
    </xf>
    <xf numFmtId="0" fontId="78" fillId="23" borderId="9" xfId="11" applyFont="1" applyFill="1" applyBorder="1" applyAlignment="1">
      <alignment vertical="center" wrapText="1"/>
    </xf>
    <xf numFmtId="9" fontId="79" fillId="23" borderId="9" xfId="11" applyNumberFormat="1" applyFont="1" applyFill="1" applyBorder="1" applyAlignment="1">
      <alignment horizontal="center" vertical="center" wrapText="1"/>
    </xf>
    <xf numFmtId="165" fontId="16" fillId="27" borderId="8" xfId="19" applyNumberFormat="1" applyFont="1" applyFill="1" applyBorder="1" applyAlignment="1" applyProtection="1">
      <alignment vertical="center"/>
      <protection locked="0"/>
    </xf>
    <xf numFmtId="0" fontId="23" fillId="23" borderId="11" xfId="11" applyFont="1" applyFill="1" applyBorder="1" applyAlignment="1" applyProtection="1">
      <alignment horizontal="center" vertical="center"/>
    </xf>
    <xf numFmtId="0" fontId="78" fillId="23" borderId="12" xfId="11" applyFont="1" applyFill="1" applyBorder="1" applyAlignment="1">
      <alignment vertical="center" wrapText="1"/>
    </xf>
    <xf numFmtId="9" fontId="79" fillId="23" borderId="12" xfId="11" applyNumberFormat="1" applyFont="1" applyFill="1" applyBorder="1" applyAlignment="1">
      <alignment horizontal="center" vertical="center" wrapText="1"/>
    </xf>
    <xf numFmtId="0" fontId="14" fillId="23" borderId="13" xfId="11" applyFont="1" applyFill="1" applyBorder="1" applyAlignment="1" applyProtection="1">
      <alignment horizontal="center" vertical="center"/>
    </xf>
    <xf numFmtId="0" fontId="64" fillId="23" borderId="0" xfId="22" applyFont="1" applyFill="1" applyAlignment="1">
      <alignment horizontal="center" vertical="top"/>
    </xf>
    <xf numFmtId="165" fontId="16" fillId="27" borderId="11" xfId="19" applyNumberFormat="1" applyFont="1" applyFill="1" applyBorder="1" applyAlignment="1" applyProtection="1">
      <alignment vertical="center"/>
      <protection locked="0"/>
    </xf>
    <xf numFmtId="0" fontId="63" fillId="23" borderId="0" xfId="11" applyFont="1" applyFill="1" applyAlignment="1" applyProtection="1">
      <alignment vertical="center"/>
    </xf>
    <xf numFmtId="0" fontId="20" fillId="0" borderId="0" xfId="15" applyFont="1" applyAlignment="1" applyProtection="1">
      <alignment horizontal="center" vertical="center"/>
    </xf>
    <xf numFmtId="0" fontId="12" fillId="0" borderId="209" xfId="11" applyFont="1" applyFill="1" applyBorder="1" applyAlignment="1" applyProtection="1">
      <alignment horizontal="center" vertical="top"/>
    </xf>
    <xf numFmtId="0" fontId="12" fillId="0" borderId="210" xfId="11" applyFont="1" applyFill="1" applyBorder="1" applyAlignment="1" applyProtection="1">
      <alignment horizontal="left" vertical="top"/>
    </xf>
    <xf numFmtId="0" fontId="23" fillId="0" borderId="67" xfId="11" applyFont="1" applyFill="1" applyBorder="1" applyAlignment="1" applyProtection="1">
      <alignment horizontal="left" vertical="top" wrapText="1"/>
    </xf>
    <xf numFmtId="0" fontId="23" fillId="0" borderId="94" xfId="11" applyFont="1" applyFill="1" applyBorder="1" applyAlignment="1" applyProtection="1">
      <alignment horizontal="left" vertical="top" wrapText="1"/>
    </xf>
    <xf numFmtId="0" fontId="23" fillId="0" borderId="73" xfId="11" applyFont="1" applyFill="1" applyBorder="1" applyAlignment="1" applyProtection="1">
      <alignment horizontal="left" vertical="top" wrapText="1"/>
    </xf>
    <xf numFmtId="9" fontId="65" fillId="0" borderId="16" xfId="11" applyNumberFormat="1" applyFont="1" applyFill="1" applyBorder="1" applyAlignment="1">
      <alignment horizontal="left" vertical="top" wrapText="1"/>
    </xf>
    <xf numFmtId="9" fontId="78" fillId="0" borderId="7" xfId="11" applyNumberFormat="1" applyFont="1" applyFill="1" applyBorder="1" applyAlignment="1">
      <alignment horizontal="left" vertical="top" wrapText="1"/>
    </xf>
    <xf numFmtId="0" fontId="23" fillId="0" borderId="46" xfId="11" applyFont="1" applyFill="1" applyBorder="1" applyAlignment="1" applyProtection="1">
      <alignment horizontal="center" vertical="top"/>
    </xf>
    <xf numFmtId="9" fontId="78" fillId="0" borderId="10" xfId="11" applyNumberFormat="1" applyFont="1" applyFill="1" applyBorder="1" applyAlignment="1">
      <alignment horizontal="left" vertical="top" wrapText="1"/>
    </xf>
    <xf numFmtId="9" fontId="78" fillId="0" borderId="10" xfId="11" applyNumberFormat="1" applyFont="1" applyFill="1" applyBorder="1" applyAlignment="1">
      <alignment vertical="top" wrapText="1"/>
    </xf>
    <xf numFmtId="0" fontId="23" fillId="0" borderId="43" xfId="11" applyFont="1" applyFill="1" applyBorder="1" applyAlignment="1" applyProtection="1">
      <alignment horizontal="center" vertical="top"/>
    </xf>
    <xf numFmtId="9" fontId="16" fillId="0" borderId="13" xfId="11" applyNumberFormat="1" applyFont="1" applyFill="1" applyBorder="1" applyAlignment="1">
      <alignment vertical="top" wrapText="1"/>
    </xf>
    <xf numFmtId="0" fontId="7" fillId="3" borderId="60" xfId="11" applyFont="1" applyFill="1" applyBorder="1" applyAlignment="1" applyProtection="1">
      <alignment horizontal="center" vertical="center"/>
    </xf>
    <xf numFmtId="0" fontId="0" fillId="0" borderId="0" xfId="0" applyAlignment="1">
      <alignment wrapText="1"/>
    </xf>
    <xf numFmtId="0" fontId="0" fillId="0" borderId="0" xfId="0" applyAlignment="1">
      <alignment horizontal="center" wrapText="1"/>
    </xf>
    <xf numFmtId="0" fontId="16" fillId="0" borderId="0" xfId="11" applyFont="1" applyFill="1" applyAlignment="1" applyProtection="1">
      <alignment vertical="center" wrapText="1"/>
    </xf>
    <xf numFmtId="0" fontId="0" fillId="0" borderId="211" xfId="0" applyBorder="1" applyAlignment="1">
      <alignment horizontal="center"/>
    </xf>
    <xf numFmtId="0" fontId="0" fillId="0" borderId="212" xfId="0" applyFill="1" applyBorder="1" applyAlignment="1">
      <alignment vertical="center"/>
    </xf>
    <xf numFmtId="0" fontId="0" fillId="0" borderId="213" xfId="0" applyBorder="1"/>
    <xf numFmtId="0" fontId="0" fillId="0" borderId="212" xfId="0" applyBorder="1" applyAlignment="1">
      <alignment horizontal="center"/>
    </xf>
    <xf numFmtId="0" fontId="0" fillId="0" borderId="214" xfId="0" applyBorder="1" applyAlignment="1">
      <alignment horizontal="center"/>
    </xf>
    <xf numFmtId="165" fontId="16" fillId="4" borderId="215" xfId="19" applyNumberFormat="1" applyFont="1" applyFill="1" applyBorder="1" applyAlignment="1" applyProtection="1">
      <alignment vertical="center"/>
      <protection locked="0"/>
    </xf>
    <xf numFmtId="165" fontId="16" fillId="4" borderId="216" xfId="19" applyNumberFormat="1" applyFont="1" applyFill="1" applyBorder="1" applyAlignment="1" applyProtection="1">
      <alignment vertical="center"/>
      <protection locked="0"/>
    </xf>
    <xf numFmtId="165" fontId="16" fillId="4" borderId="217" xfId="19" applyNumberFormat="1" applyFont="1" applyFill="1" applyBorder="1" applyAlignment="1" applyProtection="1">
      <alignment vertical="center"/>
      <protection locked="0"/>
    </xf>
    <xf numFmtId="165" fontId="16" fillId="7" borderId="218" xfId="19" applyNumberFormat="1" applyFont="1" applyFill="1" applyBorder="1" applyAlignment="1" applyProtection="1">
      <alignment vertical="center"/>
    </xf>
    <xf numFmtId="0" fontId="0" fillId="0" borderId="220" xfId="0" applyBorder="1" applyAlignment="1">
      <alignment horizontal="center"/>
    </xf>
    <xf numFmtId="0" fontId="0" fillId="0" borderId="221" xfId="0" applyFill="1" applyBorder="1" applyAlignment="1">
      <alignment vertical="center"/>
    </xf>
    <xf numFmtId="0" fontId="0" fillId="0" borderId="222" xfId="0" applyBorder="1"/>
    <xf numFmtId="0" fontId="0" fillId="0" borderId="221" xfId="0" applyBorder="1" applyAlignment="1">
      <alignment horizontal="center"/>
    </xf>
    <xf numFmtId="0" fontId="0" fillId="0" borderId="223" xfId="0" applyBorder="1" applyAlignment="1">
      <alignment horizontal="center"/>
    </xf>
    <xf numFmtId="165" fontId="16" fillId="4" borderId="224" xfId="19" applyNumberFormat="1" applyFont="1" applyFill="1" applyBorder="1" applyAlignment="1" applyProtection="1">
      <alignment vertical="center"/>
      <protection locked="0"/>
    </xf>
    <xf numFmtId="165" fontId="16" fillId="4" borderId="225" xfId="19" applyNumberFormat="1" applyFont="1" applyFill="1" applyBorder="1" applyAlignment="1" applyProtection="1">
      <alignment vertical="center"/>
      <protection locked="0"/>
    </xf>
    <xf numFmtId="165" fontId="16" fillId="4" borderId="226" xfId="19" applyNumberFormat="1" applyFont="1" applyFill="1" applyBorder="1" applyAlignment="1" applyProtection="1">
      <alignment vertical="center"/>
      <protection locked="0"/>
    </xf>
    <xf numFmtId="165" fontId="16" fillId="7" borderId="227" xfId="19" applyNumberFormat="1" applyFont="1" applyFill="1" applyBorder="1" applyAlignment="1" applyProtection="1">
      <alignment vertical="center"/>
    </xf>
    <xf numFmtId="0" fontId="5" fillId="0" borderId="221" xfId="0" applyFont="1" applyFill="1" applyBorder="1" applyAlignment="1">
      <alignment vertical="center"/>
    </xf>
    <xf numFmtId="6" fontId="0" fillId="0" borderId="221" xfId="0" quotePrefix="1" applyNumberFormat="1" applyBorder="1" applyAlignment="1">
      <alignment horizontal="center"/>
    </xf>
    <xf numFmtId="165" fontId="16" fillId="4" borderId="229" xfId="19" applyNumberFormat="1" applyFont="1" applyFill="1" applyBorder="1" applyAlignment="1" applyProtection="1">
      <alignment vertical="center"/>
      <protection locked="0"/>
    </xf>
    <xf numFmtId="165" fontId="16" fillId="4" borderId="230" xfId="19" applyNumberFormat="1" applyFont="1" applyFill="1" applyBorder="1" applyAlignment="1" applyProtection="1">
      <alignment vertical="center"/>
      <protection locked="0"/>
    </xf>
    <xf numFmtId="0" fontId="0" fillId="0" borderId="233" xfId="0" applyBorder="1" applyAlignment="1">
      <alignment horizontal="center"/>
    </xf>
    <xf numFmtId="0" fontId="0" fillId="0" borderId="234" xfId="0" applyFill="1" applyBorder="1" applyAlignment="1">
      <alignment vertical="center"/>
    </xf>
    <xf numFmtId="0" fontId="0" fillId="0" borderId="235" xfId="0" applyBorder="1"/>
    <xf numFmtId="6" fontId="0" fillId="0" borderId="234" xfId="0" quotePrefix="1" applyNumberFormat="1" applyBorder="1" applyAlignment="1">
      <alignment horizontal="center"/>
    </xf>
    <xf numFmtId="0" fontId="0" fillId="0" borderId="236" xfId="0" applyBorder="1" applyAlignment="1">
      <alignment horizontal="center"/>
    </xf>
    <xf numFmtId="165" fontId="16" fillId="7" borderId="237" xfId="19" applyNumberFormat="1" applyFont="1" applyFill="1" applyBorder="1" applyAlignment="1" applyProtection="1">
      <alignment vertical="center"/>
    </xf>
    <xf numFmtId="1" fontId="16" fillId="4" borderId="224" xfId="19" applyNumberFormat="1" applyFont="1" applyFill="1" applyBorder="1" applyAlignment="1" applyProtection="1">
      <alignment vertical="center"/>
      <protection locked="0"/>
    </xf>
    <xf numFmtId="1" fontId="16" fillId="4" borderId="225" xfId="19" applyNumberFormat="1" applyFont="1" applyFill="1" applyBorder="1" applyAlignment="1" applyProtection="1">
      <alignment vertical="center"/>
      <protection locked="0"/>
    </xf>
    <xf numFmtId="165" fontId="16" fillId="4" borderId="239" xfId="19" applyNumberFormat="1" applyFont="1" applyFill="1" applyBorder="1" applyAlignment="1" applyProtection="1">
      <alignment vertical="center"/>
      <protection locked="0"/>
    </xf>
    <xf numFmtId="165" fontId="16" fillId="4" borderId="240" xfId="19" applyNumberFormat="1" applyFont="1" applyFill="1" applyBorder="1" applyAlignment="1" applyProtection="1">
      <alignment vertical="center"/>
      <protection locked="0"/>
    </xf>
    <xf numFmtId="165" fontId="0" fillId="0" borderId="0" xfId="0" applyNumberFormat="1" applyAlignment="1">
      <alignment wrapText="1"/>
    </xf>
    <xf numFmtId="165" fontId="0" fillId="0" borderId="0" xfId="0" applyNumberFormat="1"/>
    <xf numFmtId="0" fontId="20" fillId="0" borderId="0" xfId="15" applyFont="1" applyFill="1" applyAlignment="1" applyProtection="1">
      <alignment horizontal="center" vertical="center"/>
    </xf>
    <xf numFmtId="0" fontId="16" fillId="0" borderId="19" xfId="11" applyFont="1" applyFill="1" applyBorder="1" applyAlignment="1" applyProtection="1">
      <alignment horizontal="center" vertical="top"/>
    </xf>
    <xf numFmtId="0" fontId="16" fillId="0" borderId="14" xfId="11" applyFont="1" applyFill="1" applyBorder="1" applyAlignment="1" applyProtection="1">
      <alignment horizontal="center" vertical="top"/>
    </xf>
    <xf numFmtId="165" fontId="16" fillId="4" borderId="241" xfId="19" applyNumberFormat="1" applyFont="1" applyFill="1" applyBorder="1" applyAlignment="1" applyProtection="1">
      <alignment vertical="center"/>
      <protection locked="0"/>
    </xf>
    <xf numFmtId="165" fontId="16" fillId="4" borderId="243" xfId="19" applyNumberFormat="1" applyFont="1" applyFill="1" applyBorder="1" applyAlignment="1" applyProtection="1">
      <alignment vertical="center"/>
      <protection locked="0"/>
    </xf>
    <xf numFmtId="1" fontId="16" fillId="4" borderId="229" xfId="19" applyNumberFormat="1" applyFont="1" applyFill="1" applyBorder="1" applyAlignment="1" applyProtection="1">
      <alignment vertical="center"/>
      <protection locked="0"/>
    </xf>
    <xf numFmtId="1" fontId="16" fillId="4" borderId="230" xfId="19" applyNumberFormat="1" applyFont="1" applyFill="1" applyBorder="1" applyAlignment="1" applyProtection="1">
      <alignment vertical="center"/>
      <protection locked="0"/>
    </xf>
    <xf numFmtId="1" fontId="16" fillId="4" borderId="239" xfId="19" applyNumberFormat="1" applyFont="1" applyFill="1" applyBorder="1" applyAlignment="1" applyProtection="1">
      <alignment vertical="center"/>
      <protection locked="0"/>
    </xf>
    <xf numFmtId="1" fontId="16" fillId="4" borderId="240" xfId="19" applyNumberFormat="1" applyFont="1" applyFill="1" applyBorder="1" applyAlignment="1" applyProtection="1">
      <alignment vertical="center"/>
      <protection locked="0"/>
    </xf>
    <xf numFmtId="0" fontId="22" fillId="8" borderId="25" xfId="7" applyFont="1" applyBorder="1" applyAlignment="1" applyProtection="1">
      <alignment horizontal="center" vertical="center" wrapText="1"/>
    </xf>
    <xf numFmtId="0" fontId="14" fillId="0" borderId="0" xfId="9" applyFont="1" applyFill="1" applyBorder="1" applyAlignment="1" applyProtection="1">
      <alignment horizontal="left" vertical="top" wrapText="1"/>
    </xf>
    <xf numFmtId="0" fontId="20" fillId="0" borderId="0" xfId="8" applyFont="1" applyAlignment="1" applyProtection="1">
      <alignment wrapText="1"/>
    </xf>
    <xf numFmtId="0" fontId="92" fillId="3" borderId="33" xfId="0" applyNumberFormat="1" applyFont="1" applyFill="1" applyBorder="1" applyAlignment="1" applyProtection="1">
      <alignment vertical="center"/>
    </xf>
    <xf numFmtId="0" fontId="50" fillId="0" borderId="43" xfId="6" applyFont="1" applyFill="1" applyBorder="1" applyAlignment="1" applyProtection="1">
      <alignment horizontal="center" vertical="center"/>
    </xf>
    <xf numFmtId="165" fontId="50" fillId="16" borderId="44" xfId="6" applyNumberFormat="1" applyFont="1" applyFill="1" applyBorder="1" applyAlignment="1" applyProtection="1">
      <alignment vertical="center"/>
      <protection locked="0"/>
    </xf>
    <xf numFmtId="165" fontId="50" fillId="16" borderId="43" xfId="6" applyNumberFormat="1" applyFont="1" applyFill="1" applyBorder="1" applyAlignment="1" applyProtection="1">
      <alignment vertical="center"/>
      <protection locked="0"/>
    </xf>
    <xf numFmtId="165" fontId="50" fillId="16" borderId="118" xfId="6" applyNumberFormat="1" applyFont="1" applyFill="1" applyBorder="1" applyAlignment="1" applyProtection="1">
      <alignment vertical="center"/>
      <protection locked="0"/>
    </xf>
    <xf numFmtId="0" fontId="22" fillId="0" borderId="0" xfId="6" applyFont="1" applyFill="1" applyBorder="1" applyAlignment="1" applyProtection="1">
      <alignment vertical="center"/>
    </xf>
    <xf numFmtId="0" fontId="20" fillId="0" borderId="0" xfId="6" applyFont="1" applyFill="1" applyBorder="1" applyAlignment="1" applyProtection="1">
      <alignment horizontal="center" vertical="center" wrapText="1"/>
    </xf>
    <xf numFmtId="0" fontId="12" fillId="0" borderId="2" xfId="9" applyFont="1" applyFill="1" applyBorder="1" applyAlignment="1" applyProtection="1">
      <alignment horizontal="center" vertical="center"/>
    </xf>
    <xf numFmtId="0" fontId="12" fillId="0" borderId="60" xfId="9" applyFont="1" applyFill="1" applyBorder="1" applyAlignment="1" applyProtection="1">
      <alignment vertical="center"/>
    </xf>
    <xf numFmtId="1" fontId="23" fillId="0" borderId="6" xfId="9" applyNumberFormat="1" applyFont="1" applyFill="1" applyBorder="1" applyAlignment="1" applyProtection="1">
      <alignment horizontal="center" vertical="center"/>
    </xf>
    <xf numFmtId="1" fontId="23" fillId="0" borderId="9" xfId="9" applyNumberFormat="1" applyFont="1" applyFill="1" applyBorder="1" applyAlignment="1" applyProtection="1">
      <alignment horizontal="center" vertical="center"/>
    </xf>
    <xf numFmtId="1" fontId="23" fillId="0" borderId="12" xfId="9" applyNumberFormat="1" applyFont="1" applyFill="1" applyBorder="1" applyAlignment="1" applyProtection="1">
      <alignment horizontal="center" vertical="center"/>
    </xf>
    <xf numFmtId="0" fontId="7" fillId="3" borderId="19" xfId="6" applyFont="1" applyFill="1" applyBorder="1" applyAlignment="1" applyProtection="1">
      <alignment horizontal="center" vertical="center" wrapText="1"/>
    </xf>
    <xf numFmtId="0" fontId="4" fillId="2" borderId="0" xfId="6" applyFont="1" applyFill="1" applyBorder="1" applyAlignment="1">
      <alignment vertical="center"/>
    </xf>
    <xf numFmtId="0" fontId="7" fillId="3" borderId="2" xfId="6" applyFont="1" applyFill="1" applyBorder="1" applyAlignment="1">
      <alignment vertical="center"/>
    </xf>
    <xf numFmtId="0" fontId="7" fillId="3" borderId="3" xfId="6" applyFont="1" applyFill="1" applyBorder="1" applyAlignment="1">
      <alignment horizontal="center" vertical="center" wrapText="1"/>
    </xf>
    <xf numFmtId="0" fontId="3" fillId="0" borderId="0" xfId="0" applyFont="1" applyAlignment="1">
      <alignment horizontal="center" vertical="center"/>
    </xf>
    <xf numFmtId="0" fontId="7" fillId="3" borderId="2" xfId="6" applyFont="1" applyFill="1" applyBorder="1" applyAlignment="1">
      <alignment horizontal="center" vertical="center"/>
    </xf>
    <xf numFmtId="0" fontId="7" fillId="3" borderId="4" xfId="6" applyFont="1" applyFill="1" applyBorder="1" applyAlignment="1">
      <alignment vertical="center"/>
    </xf>
    <xf numFmtId="0" fontId="20" fillId="0" borderId="5" xfId="6" applyFont="1" applyBorder="1" applyAlignment="1">
      <alignment horizontal="center" vertical="center"/>
    </xf>
    <xf numFmtId="0" fontId="9" fillId="0" borderId="6" xfId="6" applyFont="1" applyBorder="1" applyAlignment="1">
      <alignment vertical="center"/>
    </xf>
    <xf numFmtId="0" fontId="22" fillId="0" borderId="6" xfId="6" applyFont="1" applyBorder="1" applyAlignment="1">
      <alignment horizontal="center" vertical="center"/>
    </xf>
    <xf numFmtId="0" fontId="22" fillId="0" borderId="7" xfId="6" applyFont="1" applyBorder="1" applyAlignment="1">
      <alignment horizontal="center" vertical="center"/>
    </xf>
    <xf numFmtId="0" fontId="20" fillId="0" borderId="8" xfId="6" applyFont="1" applyBorder="1" applyAlignment="1">
      <alignment horizontal="center" vertical="center"/>
    </xf>
    <xf numFmtId="0" fontId="9" fillId="0" borderId="9" xfId="6" applyFont="1" applyBorder="1" applyAlignment="1">
      <alignment vertical="center"/>
    </xf>
    <xf numFmtId="0" fontId="22" fillId="0" borderId="9" xfId="6" applyFont="1" applyBorder="1" applyAlignment="1">
      <alignment horizontal="center" vertical="center"/>
    </xf>
    <xf numFmtId="0" fontId="22" fillId="0" borderId="10" xfId="6" applyFont="1" applyBorder="1" applyAlignment="1">
      <alignment horizontal="center" vertical="center"/>
    </xf>
    <xf numFmtId="0" fontId="20" fillId="0" borderId="11" xfId="6" applyFont="1" applyBorder="1" applyAlignment="1">
      <alignment horizontal="center" vertical="center"/>
    </xf>
    <xf numFmtId="0" fontId="9" fillId="0" borderId="12" xfId="6" applyFont="1" applyBorder="1" applyAlignment="1">
      <alignment vertical="center"/>
    </xf>
    <xf numFmtId="0" fontId="22" fillId="0" borderId="12" xfId="6" applyFont="1" applyBorder="1" applyAlignment="1">
      <alignment horizontal="center" vertical="center"/>
    </xf>
    <xf numFmtId="0" fontId="22" fillId="0" borderId="13" xfId="6" applyFont="1" applyBorder="1" applyAlignment="1">
      <alignment horizontal="center" vertical="center"/>
    </xf>
    <xf numFmtId="0" fontId="9" fillId="0" borderId="6" xfId="6" applyFont="1" applyBorder="1" applyAlignment="1">
      <alignment vertical="center" wrapText="1"/>
    </xf>
    <xf numFmtId="0" fontId="9" fillId="0" borderId="44" xfId="6" applyFont="1" applyBorder="1" applyAlignment="1">
      <alignment vertical="center"/>
    </xf>
    <xf numFmtId="0" fontId="22" fillId="0" borderId="62" xfId="6" applyFont="1" applyBorder="1" applyAlignment="1">
      <alignment horizontal="center" vertical="center"/>
    </xf>
    <xf numFmtId="0" fontId="7" fillId="3" borderId="1" xfId="6" applyFont="1" applyFill="1" applyBorder="1" applyAlignment="1" applyProtection="1">
      <alignment vertical="center" wrapText="1"/>
    </xf>
    <xf numFmtId="165" fontId="50" fillId="16" borderId="37" xfId="6" applyNumberFormat="1" applyFont="1" applyFill="1" applyBorder="1" applyAlignment="1" applyProtection="1">
      <alignment vertical="center"/>
      <protection locked="0"/>
    </xf>
    <xf numFmtId="165" fontId="50" fillId="16" borderId="39" xfId="6" applyNumberFormat="1" applyFont="1" applyFill="1" applyBorder="1" applyAlignment="1" applyProtection="1">
      <alignment vertical="center"/>
      <protection locked="0"/>
    </xf>
    <xf numFmtId="165" fontId="23" fillId="17" borderId="41" xfId="11" applyNumberFormat="1" applyFont="1" applyFill="1" applyBorder="1" applyProtection="1"/>
    <xf numFmtId="165" fontId="50" fillId="16" borderId="37" xfId="20" applyNumberFormat="1" applyFont="1" applyFill="1" applyBorder="1" applyAlignment="1" applyProtection="1">
      <alignment vertical="center"/>
      <protection locked="0"/>
    </xf>
    <xf numFmtId="165" fontId="50" fillId="16" borderId="39" xfId="20" applyNumberFormat="1" applyFont="1" applyFill="1" applyBorder="1" applyAlignment="1" applyProtection="1">
      <alignment vertical="center"/>
      <protection locked="0"/>
    </xf>
    <xf numFmtId="165" fontId="50" fillId="17" borderId="39" xfId="6" applyNumberFormat="1" applyFont="1" applyFill="1" applyBorder="1" applyAlignment="1" applyProtection="1">
      <alignment vertical="center"/>
    </xf>
    <xf numFmtId="165" fontId="50" fillId="17" borderId="41" xfId="6" applyNumberFormat="1" applyFont="1" applyFill="1" applyBorder="1" applyAlignment="1" applyProtection="1">
      <alignment vertical="center"/>
    </xf>
    <xf numFmtId="165" fontId="50" fillId="16" borderId="117" xfId="6" applyNumberFormat="1" applyFont="1" applyFill="1" applyBorder="1" applyAlignment="1" applyProtection="1">
      <alignment vertical="center"/>
      <protection locked="0"/>
    </xf>
    <xf numFmtId="165" fontId="50" fillId="16" borderId="24" xfId="6" applyNumberFormat="1" applyFont="1" applyFill="1" applyBorder="1" applyAlignment="1" applyProtection="1">
      <alignment vertical="center"/>
      <protection locked="0"/>
    </xf>
    <xf numFmtId="165" fontId="50" fillId="16" borderId="26" xfId="6" applyNumberFormat="1" applyFont="1" applyFill="1" applyBorder="1" applyAlignment="1" applyProtection="1">
      <alignment vertical="center"/>
      <protection locked="0"/>
    </xf>
    <xf numFmtId="165" fontId="23" fillId="17" borderId="27" xfId="11" applyNumberFormat="1" applyFont="1" applyFill="1" applyBorder="1" applyProtection="1"/>
    <xf numFmtId="165" fontId="50" fillId="16" borderId="24" xfId="20" applyNumberFormat="1" applyFont="1" applyFill="1" applyBorder="1" applyAlignment="1" applyProtection="1">
      <alignment vertical="center"/>
      <protection locked="0"/>
    </xf>
    <xf numFmtId="165" fontId="50" fillId="16" borderId="26" xfId="20" applyNumberFormat="1" applyFont="1" applyFill="1" applyBorder="1" applyAlignment="1" applyProtection="1">
      <alignment vertical="center"/>
      <protection locked="0"/>
    </xf>
    <xf numFmtId="165" fontId="50" fillId="17" borderId="26" xfId="6" applyNumberFormat="1" applyFont="1" applyFill="1" applyBorder="1" applyAlignment="1" applyProtection="1">
      <alignment vertical="center"/>
    </xf>
    <xf numFmtId="165" fontId="50" fillId="17" borderId="27" xfId="6" applyNumberFormat="1" applyFont="1" applyFill="1" applyBorder="1" applyAlignment="1" applyProtection="1">
      <alignment vertical="center"/>
    </xf>
    <xf numFmtId="165" fontId="50" fillId="16" borderId="126" xfId="6" applyNumberFormat="1" applyFont="1" applyFill="1" applyBorder="1" applyAlignment="1" applyProtection="1">
      <alignment vertical="center"/>
      <protection locked="0"/>
    </xf>
    <xf numFmtId="0" fontId="0" fillId="0" borderId="0" xfId="0" applyFont="1" applyProtection="1"/>
    <xf numFmtId="0" fontId="21" fillId="0" borderId="0" xfId="6" applyFont="1" applyFill="1" applyBorder="1" applyAlignment="1" applyProtection="1">
      <alignment vertical="center"/>
    </xf>
    <xf numFmtId="0" fontId="21" fillId="0" borderId="0" xfId="6" applyFont="1" applyFill="1" applyBorder="1" applyAlignment="1" applyProtection="1">
      <alignment horizontal="right" vertical="center"/>
    </xf>
    <xf numFmtId="0" fontId="5" fillId="0" borderId="0" xfId="11" applyFont="1" applyFill="1" applyAlignment="1" applyProtection="1">
      <alignment vertical="center"/>
    </xf>
    <xf numFmtId="0" fontId="0" fillId="0" borderId="0" xfId="6" applyFont="1" applyFill="1" applyAlignment="1" applyProtection="1">
      <alignment vertical="center"/>
    </xf>
    <xf numFmtId="0" fontId="1" fillId="0" borderId="0" xfId="6" applyFont="1" applyAlignment="1" applyProtection="1">
      <alignment vertical="center"/>
    </xf>
    <xf numFmtId="165" fontId="23" fillId="17" borderId="40" xfId="11" applyNumberFormat="1" applyFont="1" applyFill="1" applyBorder="1" applyProtection="1"/>
    <xf numFmtId="165" fontId="50" fillId="17" borderId="245" xfId="6" applyNumberFormat="1" applyFont="1" applyFill="1" applyBorder="1" applyAlignment="1" applyProtection="1">
      <alignment vertical="center"/>
    </xf>
    <xf numFmtId="165" fontId="50" fillId="17" borderId="246" xfId="6" applyNumberFormat="1" applyFont="1" applyFill="1" applyBorder="1" applyAlignment="1" applyProtection="1">
      <alignment vertical="center"/>
    </xf>
    <xf numFmtId="165" fontId="50" fillId="17" borderId="247" xfId="6" applyNumberFormat="1" applyFont="1" applyFill="1" applyBorder="1" applyAlignment="1" applyProtection="1">
      <alignment vertical="center"/>
    </xf>
    <xf numFmtId="165" fontId="50" fillId="17" borderId="248" xfId="6" applyNumberFormat="1" applyFont="1" applyFill="1" applyBorder="1" applyAlignment="1" applyProtection="1">
      <alignment vertical="center"/>
    </xf>
    <xf numFmtId="165" fontId="50" fillId="17" borderId="249" xfId="6" applyNumberFormat="1" applyFont="1" applyFill="1" applyBorder="1" applyAlignment="1" applyProtection="1">
      <alignment vertical="center"/>
    </xf>
    <xf numFmtId="165" fontId="50" fillId="18" borderId="250" xfId="6" applyNumberFormat="1" applyFont="1" applyFill="1" applyBorder="1" applyAlignment="1" applyProtection="1">
      <alignment vertical="center"/>
    </xf>
    <xf numFmtId="0" fontId="15" fillId="0" borderId="0" xfId="11" applyFont="1" applyFill="1" applyBorder="1" applyAlignment="1" applyProtection="1">
      <alignment vertical="center"/>
    </xf>
    <xf numFmtId="0" fontId="97" fillId="0" borderId="0" xfId="18" applyFont="1"/>
    <xf numFmtId="0" fontId="1" fillId="3" borderId="0" xfId="6" applyFont="1" applyFill="1" applyAlignment="1" applyProtection="1">
      <alignment vertical="center"/>
    </xf>
    <xf numFmtId="165" fontId="16" fillId="4" borderId="28" xfId="2" applyNumberFormat="1" applyFont="1" applyFill="1" applyBorder="1" applyAlignment="1" applyProtection="1">
      <alignment vertical="center"/>
      <protection locked="0"/>
    </xf>
    <xf numFmtId="165" fontId="16" fillId="4" borderId="114" xfId="2" applyNumberFormat="1" applyFont="1" applyFill="1" applyBorder="1" applyAlignment="1" applyProtection="1">
      <alignment vertical="center"/>
      <protection locked="0"/>
    </xf>
    <xf numFmtId="165" fontId="16" fillId="4" borderId="42" xfId="2" applyNumberFormat="1" applyFont="1" applyFill="1" applyBorder="1" applyAlignment="1" applyProtection="1">
      <alignment vertical="center"/>
      <protection locked="0"/>
    </xf>
    <xf numFmtId="165" fontId="16" fillId="4" borderId="57" xfId="2" applyNumberFormat="1" applyFont="1" applyFill="1" applyBorder="1" applyAlignment="1" applyProtection="1">
      <alignment vertical="center"/>
      <protection locked="0"/>
    </xf>
    <xf numFmtId="165" fontId="16" fillId="21" borderId="33" xfId="11" applyNumberFormat="1" applyFont="1" applyFill="1" applyBorder="1" applyAlignment="1" applyProtection="1">
      <alignment vertical="center"/>
      <protection locked="0"/>
    </xf>
    <xf numFmtId="165" fontId="16" fillId="4" borderId="6" xfId="2" applyNumberFormat="1" applyFont="1" applyFill="1" applyBorder="1" applyAlignment="1" applyProtection="1">
      <alignment vertical="center"/>
      <protection locked="0"/>
    </xf>
    <xf numFmtId="165" fontId="16" fillId="4" borderId="47" xfId="2" applyNumberFormat="1" applyFont="1" applyFill="1" applyBorder="1" applyAlignment="1" applyProtection="1">
      <alignment vertical="center"/>
      <protection locked="0"/>
    </xf>
    <xf numFmtId="165" fontId="16" fillId="4" borderId="12" xfId="2" applyNumberFormat="1" applyFont="1" applyFill="1" applyBorder="1" applyAlignment="1" applyProtection="1">
      <alignment vertical="center"/>
      <protection locked="0"/>
    </xf>
    <xf numFmtId="165" fontId="16" fillId="21" borderId="3" xfId="11" applyNumberFormat="1" applyFont="1" applyFill="1" applyBorder="1" applyAlignment="1" applyProtection="1">
      <alignment vertical="center"/>
      <protection locked="0"/>
    </xf>
    <xf numFmtId="165" fontId="16" fillId="21" borderId="60" xfId="11" applyNumberFormat="1" applyFont="1" applyFill="1" applyBorder="1" applyAlignment="1" applyProtection="1">
      <alignment vertical="center"/>
      <protection locked="0"/>
    </xf>
    <xf numFmtId="165" fontId="16" fillId="4" borderId="45" xfId="2" applyNumberFormat="1" applyFont="1" applyFill="1" applyBorder="1" applyAlignment="1" applyProtection="1">
      <alignment vertical="center"/>
      <protection locked="0"/>
    </xf>
    <xf numFmtId="165" fontId="16" fillId="4" borderId="37" xfId="2" applyNumberFormat="1" applyFont="1" applyFill="1" applyBorder="1" applyAlignment="1" applyProtection="1">
      <alignment vertical="center"/>
      <protection locked="0"/>
    </xf>
    <xf numFmtId="165" fontId="16" fillId="4" borderId="125" xfId="2" applyNumberFormat="1" applyFont="1" applyFill="1" applyBorder="1" applyAlignment="1" applyProtection="1">
      <alignment vertical="center"/>
      <protection locked="0"/>
    </xf>
    <xf numFmtId="165" fontId="16" fillId="4" borderId="41" xfId="2" applyNumberFormat="1" applyFont="1" applyFill="1" applyBorder="1" applyAlignment="1" applyProtection="1">
      <alignment vertical="center"/>
      <protection locked="0"/>
    </xf>
    <xf numFmtId="165" fontId="16" fillId="4" borderId="57" xfId="19" applyNumberFormat="1" applyFont="1" applyFill="1" applyBorder="1" applyAlignment="1" applyProtection="1">
      <alignment vertical="center"/>
      <protection locked="0"/>
    </xf>
    <xf numFmtId="165" fontId="16" fillId="4" borderId="6" xfId="19" applyNumberFormat="1" applyFont="1" applyFill="1" applyBorder="1" applyAlignment="1" applyProtection="1">
      <alignment vertical="center"/>
      <protection locked="0"/>
    </xf>
    <xf numFmtId="165" fontId="16" fillId="4" borderId="9" xfId="19" applyNumberFormat="1" applyFont="1" applyFill="1" applyBorder="1" applyAlignment="1" applyProtection="1">
      <alignment vertical="center"/>
      <protection locked="0"/>
    </xf>
    <xf numFmtId="165" fontId="16" fillId="4" borderId="12" xfId="19" applyNumberFormat="1" applyFont="1" applyFill="1" applyBorder="1" applyAlignment="1" applyProtection="1">
      <alignment vertical="center"/>
      <protection locked="0"/>
    </xf>
    <xf numFmtId="165" fontId="16" fillId="4" borderId="36" xfId="19" applyNumberFormat="1" applyFont="1" applyFill="1" applyBorder="1" applyAlignment="1" applyProtection="1">
      <alignment vertical="center"/>
      <protection locked="0"/>
    </xf>
    <xf numFmtId="165" fontId="16" fillId="4" borderId="38" xfId="19" applyNumberFormat="1" applyFont="1" applyFill="1" applyBorder="1" applyAlignment="1" applyProtection="1">
      <alignment vertical="center"/>
      <protection locked="0"/>
    </xf>
    <xf numFmtId="165" fontId="16" fillId="4" borderId="40" xfId="19" applyNumberFormat="1" applyFont="1" applyFill="1" applyBorder="1" applyAlignment="1" applyProtection="1">
      <alignment vertical="center"/>
      <protection locked="0"/>
    </xf>
    <xf numFmtId="165" fontId="16" fillId="4" borderId="7" xfId="19" applyNumberFormat="1" applyFont="1" applyFill="1" applyBorder="1" applyAlignment="1" applyProtection="1">
      <alignment vertical="center"/>
      <protection locked="0"/>
    </xf>
    <xf numFmtId="165" fontId="16" fillId="4" borderId="10" xfId="19" applyNumberFormat="1" applyFont="1" applyFill="1" applyBorder="1" applyAlignment="1" applyProtection="1">
      <alignment vertical="center"/>
      <protection locked="0"/>
    </xf>
    <xf numFmtId="165" fontId="16" fillId="4" borderId="13" xfId="19" applyNumberFormat="1" applyFont="1" applyFill="1" applyBorder="1" applyAlignment="1" applyProtection="1">
      <alignment vertical="center"/>
      <protection locked="0"/>
    </xf>
    <xf numFmtId="165" fontId="16" fillId="21" borderId="4" xfId="11" applyNumberFormat="1" applyFont="1" applyFill="1" applyBorder="1" applyAlignment="1" applyProtection="1">
      <alignment vertical="center"/>
      <protection locked="0"/>
    </xf>
    <xf numFmtId="0" fontId="23" fillId="23" borderId="43" xfId="11" applyFont="1" applyFill="1" applyBorder="1" applyAlignment="1" applyProtection="1">
      <alignment horizontal="center" vertical="center"/>
    </xf>
    <xf numFmtId="0" fontId="14" fillId="23" borderId="44" xfId="11" applyFont="1" applyFill="1" applyBorder="1" applyAlignment="1" applyProtection="1">
      <alignment horizontal="center" vertical="center"/>
    </xf>
    <xf numFmtId="0" fontId="14" fillId="23" borderId="62" xfId="11" applyFont="1" applyFill="1" applyBorder="1" applyAlignment="1" applyProtection="1">
      <alignment horizontal="center" vertical="center"/>
    </xf>
    <xf numFmtId="0" fontId="23" fillId="23" borderId="2" xfId="11" applyFont="1" applyFill="1" applyBorder="1" applyAlignment="1" applyProtection="1">
      <alignment horizontal="center" vertical="center"/>
    </xf>
    <xf numFmtId="0" fontId="14" fillId="23" borderId="3" xfId="11" applyFont="1" applyFill="1" applyBorder="1" applyAlignment="1" applyProtection="1">
      <alignment horizontal="center" vertical="center"/>
    </xf>
    <xf numFmtId="0" fontId="14" fillId="23" borderId="4" xfId="11" applyFont="1" applyFill="1" applyBorder="1" applyAlignment="1" applyProtection="1">
      <alignment horizontal="center" vertical="center"/>
    </xf>
    <xf numFmtId="0" fontId="50" fillId="0" borderId="14" xfId="6" applyFont="1" applyFill="1" applyBorder="1" applyAlignment="1" applyProtection="1">
      <alignment horizontal="center" vertical="center"/>
    </xf>
    <xf numFmtId="0" fontId="50" fillId="0" borderId="61" xfId="6" applyFont="1" applyFill="1" applyBorder="1" applyAlignment="1" applyProtection="1">
      <alignment horizontal="center" vertical="center"/>
    </xf>
    <xf numFmtId="165" fontId="9" fillId="4" borderId="44" xfId="6" applyNumberFormat="1" applyFont="1" applyFill="1" applyBorder="1" applyAlignment="1" applyProtection="1">
      <alignment vertical="center" wrapText="1"/>
      <protection locked="0"/>
    </xf>
    <xf numFmtId="0" fontId="23" fillId="0" borderId="206" xfId="11" applyFont="1" applyFill="1" applyBorder="1" applyAlignment="1" applyProtection="1">
      <alignment horizontal="center" vertical="center"/>
    </xf>
    <xf numFmtId="0" fontId="22" fillId="0" borderId="194" xfId="6" applyFont="1" applyBorder="1" applyAlignment="1" applyProtection="1">
      <alignment horizontal="center" vertical="center"/>
    </xf>
    <xf numFmtId="0" fontId="22" fillId="0" borderId="253" xfId="6" applyFont="1" applyBorder="1" applyAlignment="1" applyProtection="1">
      <alignment horizontal="center" vertical="center"/>
    </xf>
    <xf numFmtId="0" fontId="9" fillId="0" borderId="46" xfId="6" applyFont="1" applyBorder="1" applyAlignment="1" applyProtection="1">
      <alignment vertical="center"/>
    </xf>
    <xf numFmtId="0" fontId="22" fillId="0" borderId="46" xfId="6" applyFont="1" applyBorder="1" applyAlignment="1" applyProtection="1">
      <alignment horizontal="center" vertical="center"/>
    </xf>
    <xf numFmtId="0" fontId="7" fillId="25" borderId="1" xfId="11" applyFont="1" applyFill="1" applyBorder="1" applyAlignment="1" applyProtection="1">
      <alignment horizontal="center" vertical="center" wrapText="1"/>
    </xf>
    <xf numFmtId="0" fontId="7" fillId="3" borderId="2" xfId="6" applyFont="1" applyFill="1" applyBorder="1" applyAlignment="1" applyProtection="1">
      <alignment vertical="center" wrapText="1"/>
    </xf>
    <xf numFmtId="0" fontId="7" fillId="3" borderId="61" xfId="6" applyFont="1" applyFill="1" applyBorder="1" applyAlignment="1" applyProtection="1">
      <alignment horizontal="left" vertical="center" wrapText="1"/>
    </xf>
    <xf numFmtId="0" fontId="7" fillId="3" borderId="3" xfId="6" applyFont="1" applyFill="1" applyBorder="1" applyAlignment="1" applyProtection="1">
      <alignment vertical="center" wrapText="1"/>
    </xf>
    <xf numFmtId="0" fontId="7" fillId="3" borderId="60" xfId="6" applyFont="1" applyFill="1" applyBorder="1" applyAlignment="1" applyProtection="1">
      <alignment vertical="center" wrapText="1"/>
    </xf>
    <xf numFmtId="0" fontId="7" fillId="25" borderId="2" xfId="6" applyFont="1" applyFill="1" applyBorder="1" applyAlignment="1" applyProtection="1">
      <alignment horizontal="center" vertical="center" wrapText="1"/>
    </xf>
    <xf numFmtId="0" fontId="7" fillId="25" borderId="3" xfId="6" applyFont="1" applyFill="1" applyBorder="1" applyAlignment="1" applyProtection="1">
      <alignment horizontal="center" vertical="center" wrapText="1"/>
    </xf>
    <xf numFmtId="0" fontId="7" fillId="3" borderId="60" xfId="6" applyFont="1" applyFill="1" applyBorder="1" applyAlignment="1" applyProtection="1">
      <alignment horizontal="center" vertical="center" wrapText="1"/>
    </xf>
    <xf numFmtId="0" fontId="0" fillId="0" borderId="234" xfId="0" applyBorder="1" applyAlignment="1">
      <alignment horizontal="center"/>
    </xf>
    <xf numFmtId="0" fontId="5" fillId="0" borderId="234" xfId="0" applyFont="1" applyFill="1" applyBorder="1" applyAlignment="1">
      <alignment vertical="center"/>
    </xf>
    <xf numFmtId="165" fontId="16" fillId="4" borderId="254" xfId="19" applyNumberFormat="1" applyFont="1" applyFill="1" applyBorder="1" applyAlignment="1" applyProtection="1">
      <alignment vertical="center"/>
      <protection locked="0"/>
    </xf>
    <xf numFmtId="165" fontId="16" fillId="4" borderId="255" xfId="19" applyNumberFormat="1" applyFont="1" applyFill="1" applyBorder="1" applyAlignment="1" applyProtection="1">
      <alignment vertical="center"/>
      <protection locked="0"/>
    </xf>
    <xf numFmtId="165" fontId="16" fillId="4" borderId="256" xfId="19" applyNumberFormat="1" applyFont="1" applyFill="1" applyBorder="1" applyAlignment="1" applyProtection="1">
      <alignment vertical="center"/>
      <protection locked="0"/>
    </xf>
    <xf numFmtId="165" fontId="16" fillId="4" borderId="257" xfId="19" applyNumberFormat="1" applyFont="1" applyFill="1" applyBorder="1" applyAlignment="1" applyProtection="1">
      <alignment vertical="center"/>
      <protection locked="0"/>
    </xf>
    <xf numFmtId="6" fontId="0" fillId="0" borderId="212" xfId="0" quotePrefix="1" applyNumberFormat="1" applyBorder="1" applyAlignment="1">
      <alignment horizontal="center"/>
    </xf>
    <xf numFmtId="6" fontId="0" fillId="0" borderId="258" xfId="0" quotePrefix="1" applyNumberFormat="1" applyBorder="1" applyAlignment="1">
      <alignment horizontal="center"/>
    </xf>
    <xf numFmtId="0" fontId="0" fillId="0" borderId="259" xfId="0" applyBorder="1" applyAlignment="1">
      <alignment horizontal="center"/>
    </xf>
    <xf numFmtId="1" fontId="16" fillId="4" borderId="254" xfId="19" applyNumberFormat="1" applyFont="1" applyFill="1" applyBorder="1" applyAlignment="1" applyProtection="1">
      <alignment vertical="center"/>
      <protection locked="0"/>
    </xf>
    <xf numFmtId="1" fontId="16" fillId="4" borderId="216" xfId="19" applyNumberFormat="1" applyFont="1" applyFill="1" applyBorder="1" applyAlignment="1" applyProtection="1">
      <alignment vertical="center"/>
      <protection locked="0"/>
    </xf>
    <xf numFmtId="1" fontId="16" fillId="4" borderId="255" xfId="19" applyNumberFormat="1" applyFont="1" applyFill="1" applyBorder="1" applyAlignment="1" applyProtection="1">
      <alignment vertical="center"/>
      <protection locked="0"/>
    </xf>
    <xf numFmtId="165" fontId="16" fillId="7" borderId="260" xfId="19" applyNumberFormat="1" applyFont="1" applyFill="1" applyBorder="1" applyAlignment="1" applyProtection="1">
      <alignment vertical="center"/>
    </xf>
    <xf numFmtId="165" fontId="16" fillId="7" borderId="32" xfId="19" applyNumberFormat="1" applyFont="1" applyFill="1" applyBorder="1" applyAlignment="1" applyProtection="1">
      <alignment vertical="center"/>
    </xf>
    <xf numFmtId="165" fontId="16" fillId="7" borderId="261" xfId="19" applyNumberFormat="1" applyFont="1" applyFill="1" applyBorder="1" applyAlignment="1" applyProtection="1">
      <alignment vertical="center"/>
    </xf>
    <xf numFmtId="165" fontId="16" fillId="7" borderId="30" xfId="19" applyNumberFormat="1" applyFont="1" applyFill="1" applyBorder="1" applyAlignment="1" applyProtection="1">
      <alignment vertical="center"/>
    </xf>
    <xf numFmtId="0" fontId="22" fillId="0" borderId="44" xfId="6" applyFont="1" applyBorder="1" applyAlignment="1">
      <alignment horizontal="center" vertical="center"/>
    </xf>
    <xf numFmtId="0" fontId="7" fillId="3" borderId="0" xfId="6" applyFont="1" applyFill="1" applyBorder="1" applyAlignment="1" applyProtection="1">
      <alignment vertical="center"/>
    </xf>
    <xf numFmtId="0" fontId="16" fillId="0" borderId="20" xfId="9" applyFont="1" applyFill="1" applyBorder="1" applyAlignment="1" applyProtection="1">
      <alignment horizontal="left" vertical="center"/>
    </xf>
    <xf numFmtId="0" fontId="7" fillId="3" borderId="34" xfId="9" applyFont="1" applyFill="1" applyBorder="1" applyAlignment="1" applyProtection="1">
      <alignment horizontal="left" vertical="center"/>
    </xf>
    <xf numFmtId="0" fontId="7" fillId="3" borderId="0" xfId="9" applyFont="1" applyFill="1" applyBorder="1" applyAlignment="1" applyProtection="1">
      <alignment vertical="center"/>
    </xf>
    <xf numFmtId="0" fontId="16" fillId="0" borderId="61" xfId="9" applyFont="1" applyFill="1" applyBorder="1" applyAlignment="1" applyProtection="1">
      <alignment vertical="center"/>
    </xf>
    <xf numFmtId="0" fontId="16" fillId="0" borderId="28" xfId="9" applyFont="1" applyFill="1" applyBorder="1" applyAlignment="1" applyProtection="1">
      <alignment vertical="center"/>
    </xf>
    <xf numFmtId="0" fontId="16" fillId="0" borderId="29" xfId="9" applyFont="1" applyFill="1" applyBorder="1" applyAlignment="1" applyProtection="1">
      <alignment vertical="center"/>
    </xf>
    <xf numFmtId="0" fontId="16" fillId="0" borderId="42" xfId="9" applyFont="1" applyFill="1" applyBorder="1" applyAlignment="1" applyProtection="1">
      <alignment vertical="center"/>
    </xf>
    <xf numFmtId="0" fontId="16" fillId="0" borderId="41" xfId="9" applyFont="1" applyFill="1" applyBorder="1" applyAlignment="1" applyProtection="1">
      <alignment vertical="center"/>
    </xf>
    <xf numFmtId="0" fontId="7" fillId="3" borderId="61" xfId="9" applyFont="1" applyFill="1" applyBorder="1" applyAlignment="1" applyProtection="1">
      <alignment horizontal="left" vertical="center"/>
    </xf>
    <xf numFmtId="0" fontId="16" fillId="0" borderId="37" xfId="9" applyFont="1" applyFill="1" applyBorder="1" applyAlignment="1" applyProtection="1">
      <alignment vertical="center"/>
    </xf>
    <xf numFmtId="0" fontId="16" fillId="0" borderId="39" xfId="9" applyFont="1" applyFill="1" applyBorder="1" applyAlignment="1" applyProtection="1">
      <alignment vertical="center"/>
    </xf>
    <xf numFmtId="0" fontId="16" fillId="0" borderId="39" xfId="9" quotePrefix="1" applyFont="1" applyFill="1" applyBorder="1" applyAlignment="1" applyProtection="1">
      <alignment vertical="center"/>
    </xf>
    <xf numFmtId="0" fontId="16" fillId="0" borderId="117" xfId="9" applyFont="1" applyFill="1" applyBorder="1" applyAlignment="1" applyProtection="1">
      <alignment vertical="center"/>
    </xf>
    <xf numFmtId="0" fontId="7" fillId="3" borderId="34" xfId="6" applyFont="1" applyFill="1" applyBorder="1" applyAlignment="1" applyProtection="1">
      <alignment horizontal="left" vertical="center"/>
    </xf>
    <xf numFmtId="0" fontId="9" fillId="0" borderId="28" xfId="6" applyFont="1" applyBorder="1" applyAlignment="1" applyProtection="1">
      <alignment vertical="center"/>
    </xf>
    <xf numFmtId="0" fontId="9" fillId="0" borderId="29" xfId="6" applyFont="1" applyBorder="1" applyAlignment="1" applyProtection="1">
      <alignment vertical="center"/>
    </xf>
    <xf numFmtId="0" fontId="9" fillId="0" borderId="45" xfId="6" applyFont="1" applyBorder="1" applyAlignment="1" applyProtection="1">
      <alignment vertical="center"/>
    </xf>
    <xf numFmtId="0" fontId="7" fillId="3" borderId="0" xfId="9" applyFont="1" applyFill="1" applyBorder="1" applyAlignment="1" applyProtection="1">
      <alignment horizontal="left" vertical="center"/>
    </xf>
    <xf numFmtId="0" fontId="16" fillId="0" borderId="47" xfId="9" applyFont="1" applyFill="1" applyBorder="1" applyAlignment="1" applyProtection="1">
      <alignment vertical="center"/>
    </xf>
    <xf numFmtId="0" fontId="9" fillId="0" borderId="34" xfId="6" applyFont="1" applyBorder="1" applyAlignment="1" applyProtection="1">
      <alignment vertical="center"/>
    </xf>
    <xf numFmtId="0" fontId="0" fillId="3" borderId="0" xfId="0" applyFill="1" applyBorder="1" applyProtection="1"/>
    <xf numFmtId="0" fontId="7" fillId="3" borderId="110" xfId="6" applyFont="1" applyFill="1" applyBorder="1" applyAlignment="1" applyProtection="1">
      <alignment vertical="center"/>
    </xf>
    <xf numFmtId="6" fontId="22" fillId="0" borderId="3" xfId="6" quotePrefix="1" applyNumberFormat="1" applyFont="1" applyBorder="1" applyAlignment="1" applyProtection="1">
      <alignment horizontal="center" vertical="center"/>
    </xf>
    <xf numFmtId="0" fontId="22" fillId="0" borderId="9" xfId="6" quotePrefix="1" applyFont="1" applyBorder="1" applyAlignment="1">
      <alignment horizontal="center" vertical="center"/>
    </xf>
    <xf numFmtId="0" fontId="11" fillId="0" borderId="2" xfId="5" applyFont="1" applyBorder="1" applyAlignment="1" applyProtection="1">
      <alignment vertical="center"/>
    </xf>
    <xf numFmtId="0" fontId="19" fillId="5" borderId="3" xfId="0" applyFont="1" applyFill="1" applyBorder="1" applyAlignment="1" applyProtection="1">
      <alignment horizontal="center" vertical="center" wrapText="1"/>
    </xf>
    <xf numFmtId="0" fontId="19" fillId="3" borderId="3" xfId="0" applyFont="1" applyFill="1" applyBorder="1" applyAlignment="1" applyProtection="1">
      <alignment horizontal="center" vertical="center" wrapText="1"/>
    </xf>
    <xf numFmtId="0" fontId="19" fillId="3" borderId="36" xfId="0" applyFont="1" applyFill="1" applyBorder="1" applyAlignment="1" applyProtection="1">
      <alignment horizontal="center" vertical="center" wrapText="1"/>
    </xf>
    <xf numFmtId="0" fontId="19" fillId="3" borderId="38" xfId="0" applyFont="1" applyFill="1" applyBorder="1" applyAlignment="1" applyProtection="1">
      <alignment horizontal="center" vertical="center" wrapText="1"/>
    </xf>
    <xf numFmtId="0" fontId="0" fillId="0" borderId="31" xfId="0" applyBorder="1"/>
    <xf numFmtId="0" fontId="0" fillId="0" borderId="32" xfId="0" applyBorder="1"/>
    <xf numFmtId="0" fontId="19" fillId="5" borderId="36" xfId="0" applyFont="1" applyFill="1" applyBorder="1" applyAlignment="1" applyProtection="1">
      <alignment horizontal="center" vertical="center" wrapText="1"/>
    </xf>
    <xf numFmtId="0" fontId="19" fillId="5" borderId="38" xfId="0" applyFont="1" applyFill="1" applyBorder="1" applyAlignment="1" applyProtection="1">
      <alignment horizontal="center" vertical="center" wrapText="1"/>
    </xf>
    <xf numFmtId="0" fontId="19" fillId="6" borderId="40" xfId="0" applyFont="1" applyFill="1" applyBorder="1" applyAlignment="1" applyProtection="1">
      <alignment horizontal="center" vertical="center" wrapText="1"/>
    </xf>
    <xf numFmtId="0" fontId="0" fillId="0" borderId="32" xfId="0" quotePrefix="1" applyBorder="1"/>
    <xf numFmtId="0" fontId="0" fillId="0" borderId="31" xfId="0" quotePrefix="1" applyBorder="1"/>
    <xf numFmtId="0" fontId="19" fillId="6" borderId="38" xfId="0" applyFont="1" applyFill="1" applyBorder="1" applyAlignment="1" applyProtection="1">
      <alignment horizontal="center" vertical="center" wrapText="1"/>
    </xf>
    <xf numFmtId="0" fontId="0" fillId="0" borderId="30" xfId="0" applyBorder="1"/>
    <xf numFmtId="1" fontId="23" fillId="4" borderId="31" xfId="11" applyNumberFormat="1" applyFont="1" applyFill="1" applyBorder="1" applyAlignment="1" applyProtection="1">
      <alignment vertical="center"/>
      <protection locked="0"/>
    </xf>
    <xf numFmtId="1" fontId="23" fillId="4" borderId="32" xfId="11" applyNumberFormat="1" applyFont="1" applyFill="1" applyBorder="1" applyAlignment="1" applyProtection="1">
      <alignment vertical="center"/>
      <protection locked="0"/>
    </xf>
    <xf numFmtId="1" fontId="23" fillId="4" borderId="109" xfId="11" applyNumberFormat="1" applyFont="1" applyFill="1" applyBorder="1" applyAlignment="1" applyProtection="1">
      <alignment vertical="center"/>
      <protection locked="0"/>
    </xf>
    <xf numFmtId="1" fontId="23" fillId="4" borderId="30" xfId="11" applyNumberFormat="1" applyFont="1" applyFill="1" applyBorder="1" applyAlignment="1" applyProtection="1">
      <alignment vertical="center"/>
      <protection locked="0"/>
    </xf>
    <xf numFmtId="2" fontId="23" fillId="4" borderId="31" xfId="11" applyNumberFormat="1" applyFont="1" applyFill="1" applyBorder="1" applyAlignment="1" applyProtection="1">
      <alignment vertical="center"/>
      <protection locked="0"/>
    </xf>
    <xf numFmtId="2" fontId="23" fillId="4" borderId="32" xfId="11" applyNumberFormat="1" applyFont="1" applyFill="1" applyBorder="1" applyAlignment="1" applyProtection="1">
      <alignment vertical="center"/>
      <protection locked="0"/>
    </xf>
    <xf numFmtId="0" fontId="20" fillId="0" borderId="5" xfId="6" applyFont="1" applyBorder="1" applyAlignment="1">
      <alignment horizontal="left" vertical="top"/>
    </xf>
    <xf numFmtId="0" fontId="20" fillId="0" borderId="8" xfId="6" applyFont="1" applyBorder="1" applyAlignment="1">
      <alignment horizontal="left" vertical="top"/>
    </xf>
    <xf numFmtId="0" fontId="20" fillId="0" borderId="11" xfId="6" applyFont="1" applyBorder="1" applyAlignment="1">
      <alignment horizontal="left" vertical="top"/>
    </xf>
    <xf numFmtId="0" fontId="7" fillId="3" borderId="4" xfId="6" applyFont="1" applyFill="1" applyBorder="1" applyAlignment="1">
      <alignment horizontal="center" vertical="center"/>
    </xf>
    <xf numFmtId="0" fontId="98" fillId="0" borderId="0" xfId="0" applyFont="1" applyAlignment="1">
      <alignment vertical="center"/>
    </xf>
    <xf numFmtId="165" fontId="50" fillId="0" borderId="44" xfId="6" applyNumberFormat="1" applyFont="1" applyFill="1" applyBorder="1" applyAlignment="1" applyProtection="1">
      <alignment vertical="center"/>
      <protection locked="0"/>
    </xf>
    <xf numFmtId="165" fontId="50" fillId="17" borderId="262" xfId="6" applyNumberFormat="1" applyFont="1" applyFill="1" applyBorder="1" applyAlignment="1" applyProtection="1">
      <alignment vertical="center"/>
    </xf>
    <xf numFmtId="0" fontId="14" fillId="0" borderId="0" xfId="0" applyFont="1" applyAlignment="1">
      <alignment horizontal="center" vertical="center" wrapText="1"/>
    </xf>
    <xf numFmtId="0" fontId="0" fillId="6" borderId="0" xfId="0" applyFill="1" applyProtection="1"/>
    <xf numFmtId="0" fontId="20" fillId="6" borderId="0" xfId="6" applyFont="1" applyFill="1" applyAlignment="1" applyProtection="1">
      <alignment vertical="center"/>
    </xf>
    <xf numFmtId="0" fontId="1" fillId="29" borderId="0" xfId="8" applyFill="1" applyAlignment="1" applyProtection="1">
      <alignment vertical="center"/>
    </xf>
    <xf numFmtId="0" fontId="9" fillId="29" borderId="0" xfId="8" applyFont="1" applyFill="1" applyAlignment="1" applyProtection="1">
      <alignment vertical="center"/>
    </xf>
    <xf numFmtId="0" fontId="1" fillId="29" borderId="0" xfId="8" applyFill="1" applyAlignment="1" applyProtection="1">
      <alignment horizontal="center" vertical="center"/>
    </xf>
    <xf numFmtId="0" fontId="1" fillId="29" borderId="0" xfId="6" applyFill="1" applyAlignment="1" applyProtection="1">
      <alignment vertical="center"/>
    </xf>
    <xf numFmtId="0" fontId="16" fillId="29" borderId="0" xfId="9" applyFont="1" applyFill="1" applyAlignment="1" applyProtection="1">
      <alignment vertical="center"/>
    </xf>
    <xf numFmtId="0" fontId="5" fillId="29" borderId="0" xfId="0" applyFont="1" applyFill="1" applyProtection="1"/>
    <xf numFmtId="0" fontId="0" fillId="29" borderId="0" xfId="0" applyFill="1" applyProtection="1"/>
    <xf numFmtId="0" fontId="12" fillId="29" borderId="0" xfId="9" applyFont="1" applyFill="1" applyAlignment="1" applyProtection="1">
      <alignment vertical="center"/>
    </xf>
    <xf numFmtId="0" fontId="20" fillId="29" borderId="0" xfId="8" applyFont="1" applyFill="1" applyAlignment="1" applyProtection="1">
      <alignment vertical="center"/>
    </xf>
    <xf numFmtId="0" fontId="16" fillId="29" borderId="0" xfId="9" applyFont="1" applyFill="1" applyProtection="1"/>
    <xf numFmtId="0" fontId="0" fillId="29" borderId="0" xfId="0" applyFill="1" applyAlignment="1" applyProtection="1">
      <alignment vertical="center"/>
    </xf>
    <xf numFmtId="0" fontId="0" fillId="29" borderId="0" xfId="0" applyFill="1" applyAlignment="1">
      <alignment horizontal="left" vertical="center"/>
    </xf>
    <xf numFmtId="165" fontId="50" fillId="17" borderId="263" xfId="6" applyNumberFormat="1" applyFont="1" applyFill="1" applyBorder="1" applyAlignment="1" applyProtection="1">
      <alignment vertical="center"/>
    </xf>
    <xf numFmtId="0" fontId="19" fillId="0" borderId="0" xfId="11" applyFont="1" applyFill="1" applyBorder="1" applyAlignment="1" applyProtection="1">
      <alignment horizontal="center" vertical="center"/>
    </xf>
    <xf numFmtId="165" fontId="16" fillId="4" borderId="7" xfId="2" applyNumberFormat="1" applyFont="1" applyFill="1" applyBorder="1" applyAlignment="1" applyProtection="1">
      <alignment vertical="center"/>
      <protection locked="0"/>
    </xf>
    <xf numFmtId="165" fontId="16" fillId="4" borderId="50" xfId="2" applyNumberFormat="1" applyFont="1" applyFill="1" applyBorder="1" applyAlignment="1" applyProtection="1">
      <alignment vertical="center"/>
      <protection locked="0"/>
    </xf>
    <xf numFmtId="165" fontId="16" fillId="4" borderId="13" xfId="2" applyNumberFormat="1" applyFont="1" applyFill="1" applyBorder="1" applyAlignment="1" applyProtection="1">
      <alignment vertical="center"/>
      <protection locked="0"/>
    </xf>
    <xf numFmtId="165" fontId="16" fillId="4" borderId="37" xfId="19" applyNumberFormat="1" applyFont="1" applyFill="1" applyBorder="1" applyAlignment="1" applyProtection="1">
      <alignment vertical="center"/>
      <protection locked="0"/>
    </xf>
    <xf numFmtId="165" fontId="16" fillId="4" borderId="39" xfId="19" applyNumberFormat="1" applyFont="1" applyFill="1" applyBorder="1" applyAlignment="1" applyProtection="1">
      <alignment vertical="center"/>
      <protection locked="0"/>
    </xf>
    <xf numFmtId="165" fontId="16" fillId="4" borderId="41" xfId="19" applyNumberFormat="1" applyFont="1" applyFill="1" applyBorder="1" applyAlignment="1" applyProtection="1">
      <alignment vertical="center"/>
      <protection locked="0"/>
    </xf>
    <xf numFmtId="0" fontId="7" fillId="3" borderId="267" xfId="6" applyFont="1" applyFill="1" applyBorder="1" applyAlignment="1" applyProtection="1">
      <alignment horizontal="center" vertical="center" wrapText="1"/>
    </xf>
    <xf numFmtId="0" fontId="7" fillId="3" borderId="268" xfId="6" applyFont="1" applyFill="1" applyBorder="1" applyAlignment="1" applyProtection="1">
      <alignment horizontal="center" vertical="center" wrapText="1"/>
    </xf>
    <xf numFmtId="0" fontId="7" fillId="3" borderId="269" xfId="6" applyFont="1" applyFill="1" applyBorder="1" applyAlignment="1" applyProtection="1">
      <alignment horizontal="center" vertical="center" wrapText="1"/>
    </xf>
    <xf numFmtId="0" fontId="7" fillId="3" borderId="270" xfId="6" applyFont="1" applyFill="1" applyBorder="1" applyAlignment="1" applyProtection="1">
      <alignment horizontal="center" vertical="center" wrapText="1"/>
    </xf>
    <xf numFmtId="165" fontId="16" fillId="4" borderId="32" xfId="19" applyNumberFormat="1" applyFont="1" applyFill="1" applyBorder="1" applyAlignment="1" applyProtection="1">
      <alignment vertical="center"/>
      <protection locked="0"/>
    </xf>
    <xf numFmtId="0" fontId="71" fillId="0" borderId="0" xfId="18" applyFont="1"/>
    <xf numFmtId="172" fontId="16" fillId="27" borderId="7" xfId="19" applyNumberFormat="1" applyFont="1" applyFill="1" applyBorder="1" applyAlignment="1" applyProtection="1">
      <alignment vertical="center"/>
      <protection locked="0"/>
    </xf>
    <xf numFmtId="172" fontId="16" fillId="27" borderId="10" xfId="19" applyNumberFormat="1" applyFont="1" applyFill="1" applyBorder="1" applyAlignment="1" applyProtection="1">
      <alignment vertical="center"/>
      <protection locked="0"/>
    </xf>
    <xf numFmtId="172" fontId="16" fillId="27" borderId="50" xfId="19" applyNumberFormat="1" applyFont="1" applyFill="1" applyBorder="1" applyAlignment="1" applyProtection="1">
      <alignment vertical="center"/>
      <protection locked="0"/>
    </xf>
    <xf numFmtId="0" fontId="19" fillId="5" borderId="13" xfId="0" applyFont="1" applyFill="1" applyBorder="1" applyAlignment="1" applyProtection="1">
      <alignment horizontal="center" vertical="center" wrapText="1"/>
    </xf>
    <xf numFmtId="0" fontId="9" fillId="0" borderId="6" xfId="0" applyFont="1" applyBorder="1"/>
    <xf numFmtId="0" fontId="9" fillId="0" borderId="9" xfId="0" applyFont="1" applyBorder="1"/>
    <xf numFmtId="0" fontId="22" fillId="0" borderId="6" xfId="0" applyFont="1" applyBorder="1" applyAlignment="1">
      <alignment horizontal="center"/>
    </xf>
    <xf numFmtId="0" fontId="22" fillId="0" borderId="9" xfId="0" applyFont="1" applyBorder="1" applyAlignment="1">
      <alignment horizontal="center"/>
    </xf>
    <xf numFmtId="0" fontId="22" fillId="8" borderId="25" xfId="7" applyFont="1" applyBorder="1" applyAlignment="1">
      <alignment horizontal="center" vertical="center"/>
    </xf>
    <xf numFmtId="165" fontId="23" fillId="4" borderId="2" xfId="9" applyNumberFormat="1" applyFont="1" applyFill="1" applyBorder="1" applyAlignment="1" applyProtection="1">
      <alignment vertical="center"/>
      <protection locked="0"/>
    </xf>
    <xf numFmtId="165" fontId="23" fillId="4" borderId="4" xfId="9" applyNumberFormat="1" applyFont="1" applyFill="1" applyBorder="1" applyAlignment="1" applyProtection="1">
      <alignment vertical="center"/>
      <protection locked="0"/>
    </xf>
    <xf numFmtId="167" fontId="23" fillId="4" borderId="11" xfId="9" applyNumberFormat="1" applyFont="1" applyFill="1" applyBorder="1" applyAlignment="1" applyProtection="1">
      <alignment vertical="center"/>
      <protection locked="0"/>
    </xf>
    <xf numFmtId="167" fontId="23" fillId="4" borderId="13" xfId="9" applyNumberFormat="1" applyFont="1" applyFill="1" applyBorder="1" applyAlignment="1" applyProtection="1">
      <alignment vertical="center"/>
      <protection locked="0"/>
    </xf>
    <xf numFmtId="165" fontId="23" fillId="4" borderId="16" xfId="9" applyNumberFormat="1" applyFont="1" applyFill="1" applyBorder="1" applyAlignment="1" applyProtection="1">
      <alignment vertical="center"/>
      <protection locked="0"/>
    </xf>
    <xf numFmtId="169" fontId="23" fillId="4" borderId="6" xfId="11" applyNumberFormat="1" applyFont="1" applyFill="1" applyBorder="1" applyAlignment="1" applyProtection="1">
      <alignment horizontal="right" vertical="center"/>
      <protection locked="0"/>
    </xf>
    <xf numFmtId="169" fontId="23" fillId="4" borderId="9" xfId="11" applyNumberFormat="1" applyFont="1" applyFill="1" applyBorder="1" applyAlignment="1" applyProtection="1">
      <alignment horizontal="right" vertical="center"/>
      <protection locked="0"/>
    </xf>
    <xf numFmtId="169" fontId="23" fillId="7" borderId="3" xfId="9" applyNumberFormat="1" applyFont="1" applyFill="1" applyBorder="1" applyProtection="1"/>
    <xf numFmtId="0" fontId="0" fillId="29" borderId="0" xfId="0" applyFill="1"/>
    <xf numFmtId="0" fontId="0" fillId="29" borderId="0" xfId="0" applyFill="1" applyAlignment="1" applyProtection="1">
      <alignment vertical="top" wrapText="1"/>
    </xf>
    <xf numFmtId="0" fontId="0" fillId="29" borderId="0" xfId="0" applyFill="1" applyBorder="1" applyProtection="1"/>
    <xf numFmtId="0" fontId="22" fillId="6" borderId="0" xfId="6" applyFont="1" applyFill="1" applyAlignment="1" applyProtection="1">
      <alignment vertical="center"/>
    </xf>
    <xf numFmtId="0" fontId="7" fillId="3" borderId="130" xfId="6" applyFont="1" applyFill="1" applyBorder="1" applyAlignment="1" applyProtection="1">
      <alignment horizontal="center" vertical="center" wrapText="1"/>
    </xf>
    <xf numFmtId="165" fontId="20" fillId="7" borderId="57" xfId="6" applyNumberFormat="1" applyFont="1" applyFill="1" applyBorder="1" applyAlignment="1" applyProtection="1">
      <alignment vertical="center"/>
    </xf>
    <xf numFmtId="0" fontId="32" fillId="0" borderId="12" xfId="6" applyFont="1" applyFill="1" applyBorder="1" applyAlignment="1" applyProtection="1">
      <alignment vertical="center"/>
    </xf>
    <xf numFmtId="0" fontId="32" fillId="0" borderId="3" xfId="6" applyFont="1" applyFill="1" applyBorder="1" applyAlignment="1" applyProtection="1">
      <alignment vertical="center"/>
    </xf>
    <xf numFmtId="0" fontId="32" fillId="0" borderId="47" xfId="11" applyFont="1" applyFill="1" applyBorder="1" applyAlignment="1">
      <alignment vertical="center" wrapText="1"/>
    </xf>
    <xf numFmtId="0" fontId="32" fillId="0" borderId="9" xfId="11" applyFont="1" applyFill="1" applyBorder="1" applyAlignment="1">
      <alignment vertical="center" wrapText="1"/>
    </xf>
    <xf numFmtId="0" fontId="78" fillId="23" borderId="6" xfId="11" applyFont="1" applyFill="1" applyBorder="1" applyAlignment="1">
      <alignment horizontal="center" vertical="center" wrapText="1"/>
    </xf>
    <xf numFmtId="0" fontId="78" fillId="23" borderId="9" xfId="11" applyFont="1" applyFill="1" applyBorder="1" applyAlignment="1">
      <alignment horizontal="center" vertical="center" wrapText="1"/>
    </xf>
    <xf numFmtId="0" fontId="78" fillId="23" borderId="12" xfId="11" applyFont="1" applyFill="1" applyBorder="1" applyAlignment="1">
      <alignment horizontal="center" vertical="center" wrapText="1"/>
    </xf>
    <xf numFmtId="0" fontId="78" fillId="0" borderId="6" xfId="11" applyFont="1" applyFill="1" applyBorder="1" applyAlignment="1">
      <alignment horizontal="center" vertical="center" wrapText="1"/>
    </xf>
    <xf numFmtId="0" fontId="78" fillId="0" borderId="9" xfId="11" applyFont="1" applyFill="1" applyBorder="1" applyAlignment="1">
      <alignment horizontal="center" vertical="center" wrapText="1"/>
    </xf>
    <xf numFmtId="0" fontId="78" fillId="0" borderId="12" xfId="11" applyFont="1" applyFill="1" applyBorder="1" applyAlignment="1">
      <alignment horizontal="center" vertical="center" wrapText="1"/>
    </xf>
    <xf numFmtId="0" fontId="51" fillId="0" borderId="0" xfId="11" applyFont="1" applyFill="1" applyBorder="1" applyAlignment="1">
      <alignment horizontal="center" vertical="center" wrapText="1"/>
    </xf>
    <xf numFmtId="0" fontId="51" fillId="0" borderId="6" xfId="11" applyFont="1" applyFill="1" applyBorder="1" applyAlignment="1">
      <alignment horizontal="center" vertical="center"/>
    </xf>
    <xf numFmtId="0" fontId="51" fillId="0" borderId="9" xfId="11" applyFont="1" applyFill="1" applyBorder="1" applyAlignment="1">
      <alignment horizontal="center" vertical="center"/>
    </xf>
    <xf numFmtId="0" fontId="51" fillId="0" borderId="44" xfId="11" applyFont="1" applyFill="1" applyBorder="1" applyAlignment="1">
      <alignment horizontal="center" vertical="center"/>
    </xf>
    <xf numFmtId="0" fontId="0" fillId="0" borderId="0" xfId="0" applyFill="1" applyAlignment="1">
      <alignment horizontal="center"/>
    </xf>
    <xf numFmtId="0" fontId="16" fillId="0" borderId="0" xfId="11" applyFont="1" applyFill="1" applyAlignment="1" applyProtection="1">
      <alignment horizontal="center" vertical="center"/>
    </xf>
    <xf numFmtId="0" fontId="78" fillId="0" borderId="6" xfId="11" applyFont="1" applyFill="1" applyBorder="1" applyAlignment="1">
      <alignment horizontal="center" vertical="center"/>
    </xf>
    <xf numFmtId="0" fontId="78" fillId="0" borderId="9" xfId="11" applyFont="1" applyFill="1" applyBorder="1" applyAlignment="1">
      <alignment horizontal="center" vertical="center"/>
    </xf>
    <xf numFmtId="0" fontId="78" fillId="0" borderId="12" xfId="11" applyFont="1" applyFill="1" applyBorder="1" applyAlignment="1">
      <alignment horizontal="center" vertical="center"/>
    </xf>
    <xf numFmtId="0" fontId="51" fillId="0" borderId="0" xfId="11" applyFont="1" applyFill="1" applyBorder="1" applyAlignment="1">
      <alignment horizontal="center" vertical="center"/>
    </xf>
    <xf numFmtId="0" fontId="9" fillId="0" borderId="7" xfId="6" applyFont="1" applyFill="1" applyBorder="1" applyAlignment="1" applyProtection="1">
      <alignment horizontal="center" vertical="center"/>
    </xf>
    <xf numFmtId="0" fontId="51" fillId="0" borderId="48" xfId="11" applyFont="1" applyFill="1" applyBorder="1" applyAlignment="1">
      <alignment horizontal="center" vertical="center"/>
    </xf>
    <xf numFmtId="0" fontId="51" fillId="0" borderId="38" xfId="11" applyFont="1" applyFill="1" applyBorder="1" applyAlignment="1">
      <alignment horizontal="center" vertical="center"/>
    </xf>
    <xf numFmtId="0" fontId="51" fillId="0" borderId="7" xfId="11" applyFont="1" applyFill="1" applyBorder="1" applyAlignment="1">
      <alignment horizontal="center" vertical="center"/>
    </xf>
    <xf numFmtId="0" fontId="51" fillId="0" borderId="10" xfId="11" applyFont="1" applyFill="1" applyBorder="1" applyAlignment="1">
      <alignment horizontal="center" vertical="center"/>
    </xf>
    <xf numFmtId="0" fontId="51" fillId="0" borderId="13" xfId="11" applyFont="1" applyFill="1" applyBorder="1" applyAlignment="1">
      <alignment horizontal="center" vertical="center"/>
    </xf>
    <xf numFmtId="0" fontId="9" fillId="23" borderId="6" xfId="6" applyFont="1" applyFill="1" applyBorder="1" applyAlignment="1" applyProtection="1">
      <alignment horizontal="center" vertical="center"/>
    </xf>
    <xf numFmtId="0" fontId="51" fillId="23" borderId="9" xfId="11" applyFont="1" applyFill="1" applyBorder="1" applyAlignment="1">
      <alignment horizontal="center" vertical="center"/>
    </xf>
    <xf numFmtId="0" fontId="51" fillId="23" borderId="9" xfId="11" applyFont="1" applyFill="1" applyBorder="1" applyAlignment="1">
      <alignment horizontal="center" vertical="center" wrapText="1"/>
    </xf>
    <xf numFmtId="0" fontId="9" fillId="0" borderId="6" xfId="6" applyFont="1" applyBorder="1" applyAlignment="1" applyProtection="1">
      <alignment horizontal="center" vertical="center"/>
    </xf>
    <xf numFmtId="0" fontId="51" fillId="0" borderId="9" xfId="11" applyFont="1" applyFill="1" applyBorder="1" applyAlignment="1">
      <alignment horizontal="center" vertical="center" wrapText="1"/>
    </xf>
    <xf numFmtId="0" fontId="51" fillId="0" borderId="12" xfId="11" applyFont="1" applyFill="1" applyBorder="1" applyAlignment="1">
      <alignment horizontal="center" vertical="center" wrapText="1"/>
    </xf>
    <xf numFmtId="165" fontId="16" fillId="7" borderId="273" xfId="19" applyNumberFormat="1" applyFont="1" applyFill="1" applyBorder="1" applyAlignment="1" applyProtection="1">
      <alignment vertical="center"/>
      <protection locked="0"/>
    </xf>
    <xf numFmtId="165" fontId="16" fillId="7" borderId="274" xfId="19" applyNumberFormat="1" applyFont="1" applyFill="1" applyBorder="1" applyAlignment="1" applyProtection="1">
      <alignment vertical="center"/>
      <protection locked="0"/>
    </xf>
    <xf numFmtId="165" fontId="16" fillId="7" borderId="275" xfId="19" applyNumberFormat="1" applyFont="1" applyFill="1" applyBorder="1" applyAlignment="1" applyProtection="1">
      <alignment vertical="center"/>
      <protection locked="0"/>
    </xf>
    <xf numFmtId="49" fontId="0" fillId="0" borderId="0" xfId="0" applyNumberFormat="1"/>
    <xf numFmtId="165" fontId="99" fillId="0" borderId="1" xfId="10" applyNumberFormat="1" applyFont="1" applyFill="1" applyBorder="1" applyAlignment="1" applyProtection="1">
      <alignment vertical="center"/>
    </xf>
    <xf numFmtId="0" fontId="2" fillId="0" borderId="0" xfId="8" applyFont="1" applyAlignment="1" applyProtection="1">
      <alignment vertical="center"/>
    </xf>
    <xf numFmtId="4" fontId="23" fillId="4" borderId="6" xfId="11" applyNumberFormat="1" applyFont="1" applyFill="1" applyBorder="1" applyAlignment="1" applyProtection="1">
      <alignment horizontal="right" vertical="center"/>
      <protection locked="0"/>
    </xf>
    <xf numFmtId="4" fontId="23" fillId="4" borderId="9" xfId="11" applyNumberFormat="1" applyFont="1" applyFill="1" applyBorder="1" applyAlignment="1" applyProtection="1">
      <alignment horizontal="right" vertical="center"/>
      <protection locked="0"/>
    </xf>
    <xf numFmtId="4" fontId="23" fillId="7" borderId="3" xfId="9" applyNumberFormat="1" applyFont="1" applyFill="1" applyBorder="1" applyProtection="1"/>
    <xf numFmtId="0" fontId="0" fillId="0" borderId="191" xfId="0" applyBorder="1"/>
    <xf numFmtId="0" fontId="0" fillId="0" borderId="192" xfId="0" applyBorder="1"/>
    <xf numFmtId="0" fontId="0" fillId="0" borderId="187" xfId="0" applyBorder="1"/>
    <xf numFmtId="0" fontId="0" fillId="0" borderId="186" xfId="0" applyBorder="1"/>
    <xf numFmtId="0" fontId="0" fillId="0" borderId="189" xfId="0" applyBorder="1"/>
    <xf numFmtId="0" fontId="23" fillId="0" borderId="0" xfId="9" applyFont="1" applyFill="1" applyBorder="1" applyAlignment="1" applyProtection="1">
      <alignment horizontal="left" vertical="center"/>
    </xf>
    <xf numFmtId="0" fontId="0" fillId="6" borderId="188" xfId="0" applyFill="1" applyBorder="1"/>
    <xf numFmtId="0" fontId="0" fillId="6" borderId="193" xfId="0" applyFill="1" applyBorder="1"/>
    <xf numFmtId="0" fontId="0" fillId="6" borderId="190" xfId="0" applyFill="1" applyBorder="1"/>
    <xf numFmtId="0" fontId="5" fillId="0" borderId="0" xfId="0" applyFont="1" applyFill="1" applyBorder="1"/>
    <xf numFmtId="0" fontId="5" fillId="0" borderId="0" xfId="0" applyFont="1" applyBorder="1"/>
    <xf numFmtId="0" fontId="5" fillId="0" borderId="0" xfId="0" applyFont="1"/>
    <xf numFmtId="0" fontId="5" fillId="0" borderId="192" xfId="0" applyFont="1" applyFill="1" applyBorder="1"/>
    <xf numFmtId="0" fontId="5" fillId="0" borderId="192" xfId="0" applyFont="1" applyBorder="1"/>
    <xf numFmtId="0" fontId="14" fillId="0" borderId="13" xfId="6" applyFont="1" applyFill="1" applyBorder="1" applyAlignment="1" applyProtection="1">
      <alignment horizontal="center" vertical="center"/>
    </xf>
    <xf numFmtId="10" fontId="23" fillId="4" borderId="33" xfId="19" applyNumberFormat="1" applyFont="1" applyFill="1" applyBorder="1" applyAlignment="1" applyProtection="1">
      <alignment vertical="center"/>
      <protection locked="0"/>
    </xf>
    <xf numFmtId="10" fontId="23" fillId="4" borderId="2" xfId="19" applyNumberFormat="1" applyFont="1" applyFill="1" applyBorder="1" applyAlignment="1" applyProtection="1">
      <alignment vertical="center"/>
      <protection locked="0"/>
    </xf>
    <xf numFmtId="0" fontId="0" fillId="3" borderId="0" xfId="0" applyFill="1"/>
    <xf numFmtId="0" fontId="0" fillId="3" borderId="0" xfId="0" applyFill="1" applyAlignment="1">
      <alignment wrapText="1"/>
    </xf>
    <xf numFmtId="0" fontId="20" fillId="3" borderId="0" xfId="15" applyFont="1" applyFill="1" applyAlignment="1" applyProtection="1">
      <alignment horizontal="center" vertical="center"/>
    </xf>
    <xf numFmtId="0" fontId="64" fillId="3" borderId="0" xfId="22" applyFont="1" applyFill="1" applyAlignment="1">
      <alignment horizontal="left" vertical="top"/>
    </xf>
    <xf numFmtId="0" fontId="46" fillId="3" borderId="0" xfId="22" applyFill="1"/>
    <xf numFmtId="165" fontId="16" fillId="7" borderId="31" xfId="19" applyNumberFormat="1" applyFont="1" applyFill="1" applyBorder="1" applyAlignment="1" applyProtection="1">
      <alignment vertical="center"/>
    </xf>
    <xf numFmtId="165" fontId="16" fillId="7" borderId="1" xfId="19" applyNumberFormat="1" applyFont="1" applyFill="1" applyBorder="1" applyAlignment="1" applyProtection="1">
      <alignment vertical="center"/>
    </xf>
    <xf numFmtId="0" fontId="20" fillId="3" borderId="0" xfId="15" applyFont="1" applyFill="1" applyAlignment="1" applyProtection="1">
      <alignment vertical="center"/>
    </xf>
    <xf numFmtId="0" fontId="16" fillId="3" borderId="0" xfId="11" applyFont="1" applyFill="1" applyAlignment="1" applyProtection="1">
      <alignment vertical="center"/>
    </xf>
    <xf numFmtId="0" fontId="1" fillId="3" borderId="0" xfId="6" applyFill="1" applyBorder="1" applyAlignment="1" applyProtection="1">
      <alignment vertical="center"/>
    </xf>
    <xf numFmtId="0" fontId="20" fillId="3" borderId="0" xfId="8" applyFont="1" applyFill="1" applyAlignment="1" applyProtection="1">
      <alignment vertical="center"/>
    </xf>
    <xf numFmtId="0" fontId="1" fillId="3" borderId="0" xfId="8" applyFill="1" applyAlignment="1" applyProtection="1">
      <alignment vertical="center"/>
    </xf>
    <xf numFmtId="0" fontId="9" fillId="3" borderId="0" xfId="8" applyFont="1" applyFill="1" applyAlignment="1" applyProtection="1">
      <alignment vertical="center"/>
    </xf>
    <xf numFmtId="0" fontId="66" fillId="3" borderId="0" xfId="0" applyFont="1" applyFill="1" applyBorder="1" applyAlignment="1">
      <alignment horizontal="left" vertical="center" wrapText="1"/>
    </xf>
    <xf numFmtId="9" fontId="78" fillId="3" borderId="0" xfId="11" applyNumberFormat="1" applyFont="1" applyFill="1" applyBorder="1" applyAlignment="1">
      <alignment horizontal="left" vertical="center" wrapText="1"/>
    </xf>
    <xf numFmtId="9" fontId="78" fillId="3" borderId="0" xfId="11" applyNumberFormat="1" applyFont="1" applyFill="1" applyBorder="1" applyAlignment="1">
      <alignment horizontal="left" vertical="top" wrapText="1"/>
    </xf>
    <xf numFmtId="0" fontId="51" fillId="3" borderId="0" xfId="0" applyFont="1" applyFill="1" applyBorder="1" applyAlignment="1">
      <alignment horizontal="left" vertical="top"/>
    </xf>
    <xf numFmtId="0" fontId="0" fillId="3" borderId="0" xfId="0" applyFill="1" applyBorder="1" applyAlignment="1">
      <alignment horizontal="left" vertical="center" wrapText="1"/>
    </xf>
    <xf numFmtId="1" fontId="16" fillId="3" borderId="0" xfId="11" applyNumberFormat="1" applyFont="1" applyFill="1" applyBorder="1" applyAlignment="1" applyProtection="1">
      <alignment vertical="center"/>
      <protection locked="0"/>
    </xf>
    <xf numFmtId="171" fontId="16" fillId="3" borderId="0" xfId="2" applyNumberFormat="1" applyFont="1" applyFill="1" applyBorder="1" applyAlignment="1" applyProtection="1">
      <alignment vertical="center"/>
      <protection locked="0"/>
    </xf>
    <xf numFmtId="0" fontId="0" fillId="3" borderId="0" xfId="0" applyFill="1" applyBorder="1" applyAlignment="1">
      <alignment horizontal="left" vertical="top" wrapText="1"/>
    </xf>
    <xf numFmtId="0" fontId="5" fillId="3" borderId="0" xfId="11" applyFont="1" applyFill="1" applyAlignment="1" applyProtection="1">
      <alignment vertical="center"/>
    </xf>
    <xf numFmtId="0" fontId="9" fillId="3" borderId="0" xfId="8" applyFont="1" applyFill="1" applyAlignment="1" applyProtection="1">
      <alignment horizontal="center" vertical="center"/>
    </xf>
    <xf numFmtId="0" fontId="49" fillId="3" borderId="0" xfId="18" applyFont="1" applyFill="1" applyBorder="1"/>
    <xf numFmtId="0" fontId="59" fillId="3" borderId="0" xfId="21" applyFont="1" applyFill="1" applyBorder="1"/>
    <xf numFmtId="0" fontId="69" fillId="0" borderId="0" xfId="11" applyFont="1" applyFill="1" applyBorder="1" applyAlignment="1" applyProtection="1">
      <alignment horizontal="center" vertical="center"/>
    </xf>
    <xf numFmtId="0" fontId="7" fillId="15" borderId="4" xfId="6" applyFont="1" applyFill="1" applyBorder="1" applyAlignment="1" applyProtection="1">
      <alignment vertical="center"/>
    </xf>
    <xf numFmtId="0" fontId="16" fillId="29" borderId="0" xfId="11" applyFont="1" applyFill="1" applyAlignment="1" applyProtection="1">
      <alignment vertical="center"/>
    </xf>
    <xf numFmtId="0" fontId="64" fillId="29" borderId="0" xfId="18" applyFont="1" applyFill="1"/>
    <xf numFmtId="0" fontId="64" fillId="29" borderId="0" xfId="22" applyFont="1" applyFill="1" applyBorder="1" applyAlignment="1">
      <alignment horizontal="left" vertical="top"/>
    </xf>
    <xf numFmtId="0" fontId="102" fillId="0" borderId="0" xfId="9" applyFont="1" applyFill="1" applyAlignment="1" applyProtection="1">
      <alignment vertical="center"/>
    </xf>
    <xf numFmtId="0" fontId="102" fillId="0" borderId="0" xfId="9" applyFont="1" applyFill="1" applyBorder="1" applyAlignment="1" applyProtection="1">
      <alignment vertical="center"/>
    </xf>
    <xf numFmtId="0" fontId="7" fillId="0" borderId="20" xfId="6" applyFont="1" applyFill="1" applyBorder="1" applyAlignment="1" applyProtection="1">
      <alignment horizontal="center" vertical="center"/>
    </xf>
    <xf numFmtId="0" fontId="7" fillId="3" borderId="27" xfId="6" applyFont="1" applyFill="1" applyBorder="1" applyAlignment="1" applyProtection="1">
      <alignment horizontal="center" vertical="center" wrapText="1"/>
    </xf>
    <xf numFmtId="0" fontId="1" fillId="0" borderId="0" xfId="6" applyFont="1" applyFill="1" applyAlignment="1" applyProtection="1">
      <alignment vertical="center"/>
    </xf>
    <xf numFmtId="0" fontId="23" fillId="0" borderId="31" xfId="11" applyFont="1" applyFill="1" applyBorder="1" applyAlignment="1" applyProtection="1">
      <alignment horizontal="center" vertical="center"/>
    </xf>
    <xf numFmtId="0" fontId="23" fillId="0" borderId="32" xfId="11" applyFont="1" applyFill="1" applyBorder="1" applyAlignment="1" applyProtection="1">
      <alignment horizontal="center" vertical="center"/>
    </xf>
    <xf numFmtId="0" fontId="23" fillId="0" borderId="30" xfId="11" applyFont="1" applyFill="1" applyBorder="1" applyAlignment="1" applyProtection="1">
      <alignment horizontal="center" vertical="center"/>
    </xf>
    <xf numFmtId="0" fontId="64" fillId="26" borderId="0" xfId="22" applyFont="1" applyFill="1" applyAlignment="1">
      <alignment horizontal="left" vertical="center"/>
    </xf>
    <xf numFmtId="0" fontId="7" fillId="3" borderId="289" xfId="11" applyFont="1" applyFill="1" applyBorder="1" applyAlignment="1" applyProtection="1">
      <alignment horizontal="center" vertical="center"/>
    </xf>
    <xf numFmtId="0" fontId="7" fillId="3" borderId="290" xfId="22" applyFont="1" applyFill="1" applyBorder="1"/>
    <xf numFmtId="0" fontId="0" fillId="0" borderId="257" xfId="0" applyBorder="1" applyAlignment="1">
      <alignment horizontal="center"/>
    </xf>
    <xf numFmtId="165" fontId="16" fillId="7" borderId="224" xfId="19" applyNumberFormat="1" applyFont="1" applyFill="1" applyBorder="1" applyAlignment="1" applyProtection="1">
      <alignment vertical="center"/>
    </xf>
    <xf numFmtId="165" fontId="16" fillId="4" borderId="295" xfId="19" applyNumberFormat="1" applyFont="1" applyFill="1" applyBorder="1" applyAlignment="1" applyProtection="1">
      <alignment vertical="center"/>
      <protection locked="0"/>
    </xf>
    <xf numFmtId="165" fontId="16" fillId="7" borderId="296" xfId="19" applyNumberFormat="1" applyFont="1" applyFill="1" applyBorder="1" applyAlignment="1" applyProtection="1">
      <alignment vertical="center"/>
    </xf>
    <xf numFmtId="0" fontId="0" fillId="6" borderId="0" xfId="0" applyFill="1" applyAlignment="1">
      <alignment wrapText="1"/>
    </xf>
    <xf numFmtId="0" fontId="20" fillId="0" borderId="281" xfId="0" applyFont="1" applyBorder="1" applyAlignment="1">
      <alignment horizontal="center" vertical="center"/>
    </xf>
    <xf numFmtId="0" fontId="20" fillId="0" borderId="283" xfId="0" applyFont="1" applyBorder="1" applyAlignment="1">
      <alignment horizontal="center" vertical="center"/>
    </xf>
    <xf numFmtId="0" fontId="20" fillId="0" borderId="286" xfId="0" applyFont="1" applyBorder="1" applyAlignment="1">
      <alignment horizontal="center" vertical="center"/>
    </xf>
    <xf numFmtId="0" fontId="9" fillId="0" borderId="291" xfId="0" applyFont="1" applyFill="1" applyBorder="1" applyAlignment="1">
      <alignment vertical="center"/>
    </xf>
    <xf numFmtId="0" fontId="9" fillId="0" borderId="292" xfId="0" applyFont="1" applyFill="1" applyBorder="1" applyAlignment="1">
      <alignment vertical="center"/>
    </xf>
    <xf numFmtId="0" fontId="16" fillId="0" borderId="292" xfId="0" applyFont="1" applyFill="1" applyBorder="1" applyAlignment="1">
      <alignment vertical="center"/>
    </xf>
    <xf numFmtId="0" fontId="9" fillId="0" borderId="293" xfId="0" applyFont="1" applyFill="1" applyBorder="1" applyAlignment="1">
      <alignment vertical="center"/>
    </xf>
    <xf numFmtId="0" fontId="9" fillId="0" borderId="294" xfId="0" applyFont="1" applyFill="1" applyBorder="1" applyAlignment="1">
      <alignment vertical="center"/>
    </xf>
    <xf numFmtId="0" fontId="22" fillId="0" borderId="291" xfId="0" applyFont="1" applyBorder="1" applyAlignment="1">
      <alignment horizontal="center" vertical="center"/>
    </xf>
    <xf numFmtId="0" fontId="22" fillId="0" borderId="282" xfId="0" applyFont="1" applyBorder="1" applyAlignment="1">
      <alignment horizontal="center" vertical="center"/>
    </xf>
    <xf numFmtId="0" fontId="22" fillId="0" borderId="292" xfId="0" applyFont="1" applyBorder="1" applyAlignment="1">
      <alignment horizontal="center" vertical="center"/>
    </xf>
    <xf numFmtId="0" fontId="22" fillId="0" borderId="284" xfId="0" applyFont="1" applyBorder="1" applyAlignment="1">
      <alignment horizontal="center" vertical="center"/>
    </xf>
    <xf numFmtId="6" fontId="22" fillId="0" borderId="292" xfId="0" quotePrefix="1" applyNumberFormat="1" applyFont="1" applyBorder="1" applyAlignment="1">
      <alignment horizontal="center" vertical="center"/>
    </xf>
    <xf numFmtId="0" fontId="22" fillId="0" borderId="293" xfId="0" quotePrefix="1" applyFont="1" applyBorder="1" applyAlignment="1">
      <alignment horizontal="center" vertical="center"/>
    </xf>
    <xf numFmtId="0" fontId="22" fillId="0" borderId="285" xfId="0" applyFont="1" applyBorder="1" applyAlignment="1">
      <alignment horizontal="center" vertical="center"/>
    </xf>
    <xf numFmtId="6" fontId="22" fillId="0" borderId="294" xfId="0" quotePrefix="1" applyNumberFormat="1" applyFont="1" applyBorder="1" applyAlignment="1">
      <alignment horizontal="center" vertical="center"/>
    </xf>
    <xf numFmtId="0" fontId="22" fillId="0" borderId="287" xfId="0" applyFont="1" applyBorder="1" applyAlignment="1">
      <alignment horizontal="center" vertical="center"/>
    </xf>
    <xf numFmtId="0" fontId="16" fillId="0" borderId="294" xfId="0" applyFont="1" applyFill="1" applyBorder="1" applyAlignment="1">
      <alignment vertical="center"/>
    </xf>
    <xf numFmtId="6" fontId="22" fillId="0" borderId="291" xfId="0" quotePrefix="1" applyNumberFormat="1" applyFont="1" applyBorder="1" applyAlignment="1">
      <alignment horizontal="center" vertical="center"/>
    </xf>
    <xf numFmtId="6" fontId="22" fillId="0" borderId="257" xfId="0" quotePrefix="1" applyNumberFormat="1" applyFont="1" applyBorder="1" applyAlignment="1">
      <alignment horizontal="center" vertical="center"/>
    </xf>
    <xf numFmtId="0" fontId="22" fillId="0" borderId="288" xfId="0" applyFont="1" applyBorder="1" applyAlignment="1">
      <alignment horizontal="center" vertical="center"/>
    </xf>
    <xf numFmtId="165" fontId="50" fillId="16" borderId="7" xfId="20" applyNumberFormat="1" applyFont="1" applyFill="1" applyBorder="1" applyAlignment="1" applyProtection="1">
      <alignment vertical="center"/>
      <protection locked="0"/>
    </xf>
    <xf numFmtId="165" fontId="50" fillId="16" borderId="10" xfId="20" applyNumberFormat="1" applyFont="1" applyFill="1" applyBorder="1" applyAlignment="1" applyProtection="1">
      <alignment vertical="center"/>
      <protection locked="0"/>
    </xf>
    <xf numFmtId="165" fontId="50" fillId="17" borderId="9" xfId="6" applyNumberFormat="1" applyFont="1" applyFill="1" applyBorder="1" applyAlignment="1" applyProtection="1">
      <alignment vertical="center"/>
    </xf>
    <xf numFmtId="165" fontId="50" fillId="17" borderId="10" xfId="6" applyNumberFormat="1" applyFont="1" applyFill="1" applyBorder="1" applyAlignment="1" applyProtection="1">
      <alignment vertical="center"/>
    </xf>
    <xf numFmtId="165" fontId="50" fillId="17" borderId="13" xfId="6" applyNumberFormat="1" applyFont="1" applyFill="1" applyBorder="1" applyAlignment="1" applyProtection="1">
      <alignment vertical="center"/>
    </xf>
    <xf numFmtId="165" fontId="23" fillId="17" borderId="13" xfId="11" applyNumberFormat="1" applyFont="1" applyFill="1" applyBorder="1" applyProtection="1"/>
    <xf numFmtId="172" fontId="16" fillId="28" borderId="13" xfId="19" applyNumberFormat="1" applyFont="1" applyFill="1" applyBorder="1" applyAlignment="1" applyProtection="1">
      <alignment vertical="center"/>
    </xf>
    <xf numFmtId="1" fontId="0" fillId="0" borderId="0" xfId="0" applyNumberFormat="1" applyBorder="1"/>
    <xf numFmtId="165" fontId="16" fillId="27" borderId="31" xfId="19" applyNumberFormat="1" applyFont="1" applyFill="1" applyBorder="1" applyAlignment="1" applyProtection="1">
      <alignment vertical="center"/>
      <protection locked="0"/>
    </xf>
    <xf numFmtId="165" fontId="16" fillId="27" borderId="32" xfId="19" applyNumberFormat="1" applyFont="1" applyFill="1" applyBorder="1" applyAlignment="1" applyProtection="1">
      <alignment vertical="center"/>
      <protection locked="0"/>
    </xf>
    <xf numFmtId="1" fontId="16" fillId="27" borderId="32" xfId="19" applyNumberFormat="1" applyFont="1" applyFill="1" applyBorder="1" applyAlignment="1" applyProtection="1">
      <alignment vertical="center"/>
      <protection locked="0"/>
    </xf>
    <xf numFmtId="1" fontId="16" fillId="4" borderId="30" xfId="19" applyNumberFormat="1" applyFont="1" applyFill="1" applyBorder="1" applyAlignment="1" applyProtection="1">
      <alignment vertical="center"/>
      <protection locked="0"/>
    </xf>
    <xf numFmtId="0" fontId="22" fillId="0" borderId="36" xfId="0" applyFont="1" applyBorder="1" applyAlignment="1">
      <alignment horizontal="center" vertical="center"/>
    </xf>
    <xf numFmtId="0" fontId="22" fillId="0" borderId="38" xfId="0" applyFont="1" applyBorder="1" applyAlignment="1">
      <alignment horizontal="center" vertical="center"/>
    </xf>
    <xf numFmtId="2" fontId="23" fillId="4" borderId="31" xfId="9" applyNumberFormat="1" applyFont="1" applyFill="1" applyBorder="1" applyAlignment="1" applyProtection="1">
      <alignment horizontal="right"/>
      <protection locked="0"/>
    </xf>
    <xf numFmtId="2" fontId="23" fillId="4" borderId="32" xfId="9" applyNumberFormat="1" applyFont="1" applyFill="1" applyBorder="1" applyAlignment="1" applyProtection="1">
      <alignment horizontal="right"/>
      <protection locked="0"/>
    </xf>
    <xf numFmtId="0" fontId="51" fillId="0" borderId="6" xfId="0" applyFont="1" applyBorder="1" applyAlignment="1">
      <alignment vertical="center" wrapText="1"/>
    </xf>
    <xf numFmtId="0" fontId="66" fillId="0" borderId="0" xfId="0" applyFont="1" applyFill="1" applyBorder="1" applyAlignment="1">
      <alignment horizontal="left" vertical="center" wrapText="1"/>
    </xf>
    <xf numFmtId="0" fontId="2" fillId="0" borderId="0" xfId="14" applyFont="1"/>
    <xf numFmtId="1" fontId="20" fillId="6" borderId="0" xfId="6" applyNumberFormat="1" applyFont="1" applyFill="1" applyAlignment="1" applyProtection="1">
      <alignment horizontal="center" vertical="center"/>
    </xf>
    <xf numFmtId="0" fontId="0" fillId="0" borderId="0" xfId="0" applyFill="1" applyBorder="1"/>
    <xf numFmtId="0" fontId="23" fillId="4" borderId="7" xfId="11" applyNumberFormat="1" applyFont="1" applyFill="1" applyBorder="1" applyAlignment="1" applyProtection="1">
      <alignment horizontal="left" vertical="center" wrapText="1"/>
      <protection locked="0"/>
    </xf>
    <xf numFmtId="0" fontId="23" fillId="4" borderId="10" xfId="11" applyNumberFormat="1" applyFont="1" applyFill="1" applyBorder="1" applyAlignment="1" applyProtection="1">
      <alignment horizontal="left" vertical="center" wrapText="1"/>
      <protection locked="0"/>
    </xf>
    <xf numFmtId="171" fontId="16" fillId="4" borderId="31" xfId="2" applyNumberFormat="1" applyFont="1" applyFill="1" applyBorder="1" applyAlignment="1" applyProtection="1">
      <alignment vertical="center" wrapText="1"/>
      <protection locked="0"/>
    </xf>
    <xf numFmtId="171" fontId="16" fillId="4" borderId="49" xfId="2" applyNumberFormat="1" applyFont="1" applyFill="1" applyBorder="1" applyAlignment="1" applyProtection="1">
      <alignment vertical="center" wrapText="1"/>
      <protection locked="0"/>
    </xf>
    <xf numFmtId="171" fontId="16" fillId="4" borderId="32" xfId="2" applyNumberFormat="1" applyFont="1" applyFill="1" applyBorder="1" applyAlignment="1" applyProtection="1">
      <alignment vertical="center" wrapText="1"/>
      <protection locked="0"/>
    </xf>
    <xf numFmtId="171" fontId="16" fillId="4" borderId="30" xfId="2" applyNumberFormat="1" applyFont="1" applyFill="1" applyBorder="1" applyAlignment="1" applyProtection="1">
      <alignment vertical="center" wrapText="1"/>
      <protection locked="0"/>
    </xf>
    <xf numFmtId="165" fontId="16" fillId="4" borderId="31" xfId="19" applyNumberFormat="1" applyFont="1" applyFill="1" applyBorder="1" applyAlignment="1" applyProtection="1">
      <alignment vertical="center" wrapText="1"/>
      <protection locked="0"/>
    </xf>
    <xf numFmtId="165" fontId="16" fillId="4" borderId="32" xfId="19" applyNumberFormat="1" applyFont="1" applyFill="1" applyBorder="1" applyAlignment="1" applyProtection="1">
      <alignment vertical="center" wrapText="1"/>
      <protection locked="0"/>
    </xf>
    <xf numFmtId="165" fontId="16" fillId="4" borderId="109" xfId="19" applyNumberFormat="1" applyFont="1" applyFill="1" applyBorder="1" applyAlignment="1" applyProtection="1">
      <alignment vertical="center" wrapText="1"/>
      <protection locked="0"/>
    </xf>
    <xf numFmtId="165" fontId="16" fillId="4" borderId="30" xfId="19" applyNumberFormat="1" applyFont="1" applyFill="1" applyBorder="1" applyAlignment="1" applyProtection="1">
      <alignment vertical="center" wrapText="1"/>
      <protection locked="0"/>
    </xf>
    <xf numFmtId="1" fontId="16" fillId="4" borderId="31" xfId="19" applyNumberFormat="1" applyFont="1" applyFill="1" applyBorder="1" applyAlignment="1" applyProtection="1">
      <alignment vertical="center" wrapText="1"/>
      <protection locked="0"/>
    </xf>
    <xf numFmtId="1" fontId="16" fillId="4" borderId="32" xfId="19" applyNumberFormat="1" applyFont="1" applyFill="1" applyBorder="1" applyAlignment="1" applyProtection="1">
      <alignment vertical="center" wrapText="1"/>
      <protection locked="0"/>
    </xf>
    <xf numFmtId="171" fontId="16" fillId="4" borderId="1" xfId="19" applyNumberFormat="1" applyFont="1" applyFill="1" applyBorder="1" applyAlignment="1" applyProtection="1">
      <alignment vertical="center" wrapText="1"/>
      <protection locked="0"/>
    </xf>
    <xf numFmtId="171" fontId="16" fillId="4" borderId="31" xfId="19" applyNumberFormat="1" applyFont="1" applyFill="1" applyBorder="1" applyAlignment="1" applyProtection="1">
      <alignment vertical="center" wrapText="1"/>
      <protection locked="0"/>
    </xf>
    <xf numFmtId="171" fontId="16" fillId="4" borderId="32" xfId="19" applyNumberFormat="1" applyFont="1" applyFill="1" applyBorder="1" applyAlignment="1" applyProtection="1">
      <alignment vertical="center" wrapText="1"/>
      <protection locked="0"/>
    </xf>
    <xf numFmtId="171" fontId="16" fillId="4" borderId="30" xfId="19" applyNumberFormat="1" applyFont="1" applyFill="1" applyBorder="1" applyAlignment="1" applyProtection="1">
      <alignment vertical="center" wrapText="1"/>
      <protection locked="0"/>
    </xf>
    <xf numFmtId="171" fontId="16" fillId="4" borderId="18" xfId="19" applyNumberFormat="1" applyFont="1" applyFill="1" applyBorder="1" applyAlignment="1" applyProtection="1">
      <alignment vertical="center" wrapText="1"/>
      <protection locked="0"/>
    </xf>
    <xf numFmtId="171" fontId="16" fillId="4" borderId="49" xfId="19" applyNumberFormat="1" applyFont="1" applyFill="1" applyBorder="1" applyAlignment="1" applyProtection="1">
      <alignment vertical="center" wrapText="1"/>
      <protection locked="0"/>
    </xf>
    <xf numFmtId="172" fontId="16" fillId="27" borderId="24" xfId="19" applyNumberFormat="1" applyFont="1" applyFill="1" applyBorder="1" applyAlignment="1" applyProtection="1">
      <alignment vertical="center" wrapText="1"/>
      <protection locked="0"/>
    </xf>
    <xf numFmtId="172" fontId="16" fillId="27" borderId="26" xfId="19" applyNumberFormat="1" applyFont="1" applyFill="1" applyBorder="1" applyAlignment="1" applyProtection="1">
      <alignment vertical="center" wrapText="1"/>
      <protection locked="0"/>
    </xf>
    <xf numFmtId="172" fontId="16" fillId="27" borderId="115" xfId="19" applyNumberFormat="1" applyFont="1" applyFill="1" applyBorder="1" applyAlignment="1" applyProtection="1">
      <alignment vertical="center" wrapText="1"/>
      <protection locked="0"/>
    </xf>
    <xf numFmtId="172" fontId="16" fillId="27" borderId="27" xfId="19" applyNumberFormat="1" applyFont="1" applyFill="1" applyBorder="1" applyAlignment="1" applyProtection="1">
      <alignment vertical="center" wrapText="1"/>
      <protection locked="0"/>
    </xf>
    <xf numFmtId="171" fontId="16" fillId="4" borderId="18" xfId="2" applyNumberFormat="1" applyFont="1" applyFill="1" applyBorder="1" applyAlignment="1" applyProtection="1">
      <alignment vertical="center" wrapText="1"/>
      <protection locked="0"/>
    </xf>
    <xf numFmtId="171" fontId="16" fillId="4" borderId="24" xfId="2" applyNumberFormat="1" applyFont="1" applyFill="1" applyBorder="1" applyAlignment="1" applyProtection="1">
      <alignment vertical="center" wrapText="1"/>
      <protection locked="0"/>
    </xf>
    <xf numFmtId="171" fontId="16" fillId="4" borderId="26" xfId="2" applyNumberFormat="1" applyFont="1" applyFill="1" applyBorder="1" applyAlignment="1" applyProtection="1">
      <alignment vertical="center" wrapText="1"/>
      <protection locked="0"/>
    </xf>
    <xf numFmtId="171" fontId="16" fillId="4" borderId="27" xfId="2" applyNumberFormat="1" applyFont="1" applyFill="1" applyBorder="1" applyAlignment="1" applyProtection="1">
      <alignment vertical="center" wrapText="1"/>
      <protection locked="0"/>
    </xf>
    <xf numFmtId="1" fontId="16" fillId="4" borderId="219" xfId="19" applyNumberFormat="1" applyFont="1" applyFill="1" applyBorder="1" applyAlignment="1" applyProtection="1">
      <alignment vertical="center" wrapText="1"/>
      <protection locked="0"/>
    </xf>
    <xf numFmtId="1" fontId="16" fillId="4" borderId="228" xfId="19" applyNumberFormat="1" applyFont="1" applyFill="1" applyBorder="1" applyAlignment="1" applyProtection="1">
      <alignment vertical="center" wrapText="1"/>
      <protection locked="0"/>
    </xf>
    <xf numFmtId="1" fontId="16" fillId="4" borderId="231" xfId="19" applyNumberFormat="1" applyFont="1" applyFill="1" applyBorder="1" applyAlignment="1" applyProtection="1">
      <alignment vertical="center" wrapText="1"/>
      <protection locked="0"/>
    </xf>
    <xf numFmtId="1" fontId="16" fillId="4" borderId="238" xfId="19" applyNumberFormat="1" applyFont="1" applyFill="1" applyBorder="1" applyAlignment="1" applyProtection="1">
      <alignment vertical="center" wrapText="1"/>
      <protection locked="0"/>
    </xf>
    <xf numFmtId="1" fontId="16" fillId="4" borderId="242" xfId="19" applyNumberFormat="1" applyFont="1" applyFill="1" applyBorder="1" applyAlignment="1" applyProtection="1">
      <alignment vertical="center" wrapText="1"/>
      <protection locked="0"/>
    </xf>
    <xf numFmtId="1" fontId="16" fillId="4" borderId="221" xfId="19" applyNumberFormat="1" applyFont="1" applyFill="1" applyBorder="1" applyAlignment="1" applyProtection="1">
      <alignment vertical="center" wrapText="1"/>
      <protection locked="0"/>
    </xf>
    <xf numFmtId="1" fontId="16" fillId="4" borderId="232" xfId="19" applyNumberFormat="1" applyFont="1" applyFill="1" applyBorder="1" applyAlignment="1" applyProtection="1">
      <alignment vertical="center" wrapText="1"/>
      <protection locked="0"/>
    </xf>
    <xf numFmtId="1" fontId="16" fillId="4" borderId="234" xfId="19" applyNumberFormat="1" applyFont="1" applyFill="1" applyBorder="1" applyAlignment="1" applyProtection="1">
      <alignment vertical="center" wrapText="1"/>
      <protection locked="0"/>
    </xf>
    <xf numFmtId="1" fontId="16" fillId="4" borderId="212" xfId="19" applyNumberFormat="1" applyFont="1" applyFill="1" applyBorder="1" applyAlignment="1" applyProtection="1">
      <alignment vertical="center" wrapText="1"/>
      <protection locked="0"/>
    </xf>
    <xf numFmtId="0" fontId="12" fillId="0" borderId="158" xfId="11" applyFont="1" applyFill="1" applyBorder="1" applyAlignment="1" applyProtection="1">
      <alignment vertical="top"/>
    </xf>
    <xf numFmtId="0" fontId="23" fillId="0" borderId="161" xfId="11" applyFont="1" applyFill="1" applyBorder="1" applyAlignment="1" applyProtection="1">
      <alignment vertical="top"/>
    </xf>
    <xf numFmtId="0" fontId="23" fillId="0" borderId="164" xfId="11" applyFont="1" applyFill="1" applyBorder="1" applyAlignment="1" applyProtection="1">
      <alignment vertical="top"/>
    </xf>
    <xf numFmtId="0" fontId="23" fillId="0" borderId="164" xfId="11" applyNumberFormat="1" applyFont="1" applyFill="1" applyBorder="1" applyAlignment="1" applyProtection="1">
      <alignment vertical="top"/>
    </xf>
    <xf numFmtId="0" fontId="23" fillId="0" borderId="167" xfId="11" applyNumberFormat="1" applyFont="1" applyFill="1" applyBorder="1" applyAlignment="1" applyProtection="1">
      <alignment vertical="top"/>
    </xf>
    <xf numFmtId="0" fontId="23" fillId="0" borderId="168" xfId="11" applyNumberFormat="1" applyFont="1" applyFill="1" applyBorder="1" applyAlignment="1" applyProtection="1">
      <alignment vertical="top"/>
    </xf>
    <xf numFmtId="0" fontId="23" fillId="0" borderId="167" xfId="11" applyNumberFormat="1" applyFont="1" applyFill="1" applyBorder="1" applyAlignment="1" applyProtection="1">
      <alignment horizontal="right" vertical="top"/>
    </xf>
    <xf numFmtId="0" fontId="23" fillId="4" borderId="9" xfId="9" applyFont="1" applyFill="1" applyBorder="1" applyProtection="1"/>
    <xf numFmtId="0" fontId="30" fillId="0" borderId="1" xfId="0" applyFont="1" applyBorder="1" applyAlignment="1">
      <alignment vertical="top" wrapText="1"/>
    </xf>
    <xf numFmtId="0" fontId="9" fillId="0" borderId="31" xfId="0" applyFont="1" applyBorder="1" applyAlignment="1">
      <alignment vertical="top" wrapText="1"/>
    </xf>
    <xf numFmtId="0" fontId="9" fillId="0" borderId="32" xfId="0" applyFont="1" applyBorder="1" applyAlignment="1">
      <alignment vertical="top" wrapText="1"/>
    </xf>
    <xf numFmtId="0" fontId="9" fillId="0" borderId="30" xfId="0" applyFont="1" applyBorder="1" applyAlignment="1">
      <alignment vertical="top" wrapText="1"/>
    </xf>
    <xf numFmtId="0" fontId="9" fillId="0" borderId="1" xfId="0" applyFont="1" applyBorder="1" applyAlignment="1">
      <alignment horizontal="left" vertical="top" wrapText="1"/>
    </xf>
    <xf numFmtId="0" fontId="16" fillId="0" borderId="213" xfId="11" applyFont="1" applyFill="1" applyBorder="1" applyAlignment="1" applyProtection="1">
      <alignment vertical="center"/>
    </xf>
    <xf numFmtId="0" fontId="16" fillId="0" borderId="306" xfId="11" applyFont="1" applyFill="1" applyBorder="1" applyAlignment="1" applyProtection="1">
      <alignment vertical="center"/>
    </xf>
    <xf numFmtId="0" fontId="16" fillId="0" borderId="313" xfId="11" applyFont="1" applyFill="1" applyBorder="1" applyAlignment="1" applyProtection="1">
      <alignment vertical="center"/>
    </xf>
    <xf numFmtId="0" fontId="92" fillId="0" borderId="33" xfId="0" applyNumberFormat="1" applyFont="1" applyFill="1" applyBorder="1" applyAlignment="1" applyProtection="1">
      <alignment vertical="center"/>
    </xf>
    <xf numFmtId="0" fontId="59" fillId="0" borderId="34" xfId="11" applyFont="1" applyFill="1" applyBorder="1" applyAlignment="1">
      <alignment vertical="center"/>
    </xf>
    <xf numFmtId="0" fontId="59" fillId="0" borderId="34" xfId="15" applyFont="1" applyFill="1" applyBorder="1" applyAlignment="1">
      <alignment vertical="center"/>
    </xf>
    <xf numFmtId="0" fontId="59" fillId="0" borderId="35" xfId="21" applyFont="1" applyFill="1" applyBorder="1"/>
    <xf numFmtId="0" fontId="92" fillId="3" borderId="54" xfId="9" applyFont="1" applyFill="1" applyBorder="1" applyAlignment="1" applyProtection="1">
      <alignment vertical="center"/>
    </xf>
    <xf numFmtId="0" fontId="25" fillId="3" borderId="24" xfId="9" applyFont="1" applyFill="1" applyBorder="1" applyAlignment="1" applyProtection="1">
      <alignment horizontal="left" vertical="center"/>
    </xf>
    <xf numFmtId="1" fontId="16" fillId="7" borderId="8" xfId="2" applyNumberFormat="1" applyFont="1" applyFill="1" applyBorder="1" applyAlignment="1" applyProtection="1">
      <alignment vertical="center"/>
    </xf>
    <xf numFmtId="0" fontId="16" fillId="4" borderId="31" xfId="2" applyNumberFormat="1" applyFont="1" applyFill="1" applyBorder="1" applyAlignment="1" applyProtection="1">
      <alignment vertical="center" wrapText="1"/>
      <protection locked="0"/>
    </xf>
    <xf numFmtId="0" fontId="16" fillId="4" borderId="32" xfId="2" applyNumberFormat="1" applyFont="1" applyFill="1" applyBorder="1" applyAlignment="1" applyProtection="1">
      <alignment vertical="center" wrapText="1"/>
      <protection locked="0"/>
    </xf>
    <xf numFmtId="0" fontId="16" fillId="4" borderId="109" xfId="2" applyNumberFormat="1" applyFont="1" applyFill="1" applyBorder="1" applyAlignment="1" applyProtection="1">
      <alignment vertical="center" wrapText="1"/>
      <protection locked="0"/>
    </xf>
    <xf numFmtId="0" fontId="16" fillId="4" borderId="30" xfId="2" applyNumberFormat="1" applyFont="1" applyFill="1" applyBorder="1" applyAlignment="1" applyProtection="1">
      <alignment vertical="center" wrapText="1"/>
      <protection locked="0"/>
    </xf>
    <xf numFmtId="2" fontId="16" fillId="0" borderId="0" xfId="2" applyNumberFormat="1" applyFont="1" applyFill="1" applyBorder="1" applyAlignment="1" applyProtection="1">
      <alignment vertical="center"/>
    </xf>
    <xf numFmtId="171" fontId="16" fillId="0" borderId="0" xfId="2" applyNumberFormat="1" applyFont="1" applyFill="1" applyBorder="1" applyAlignment="1" applyProtection="1">
      <alignment vertical="center"/>
    </xf>
    <xf numFmtId="1" fontId="16" fillId="0" borderId="0" xfId="11" applyNumberFormat="1" applyFont="1" applyFill="1" applyBorder="1" applyAlignment="1" applyProtection="1">
      <alignment vertical="center"/>
    </xf>
    <xf numFmtId="165" fontId="16" fillId="0" borderId="0" xfId="11" applyNumberFormat="1" applyFont="1" applyFill="1" applyBorder="1" applyAlignment="1" applyProtection="1">
      <alignment vertical="center"/>
    </xf>
    <xf numFmtId="165" fontId="16" fillId="21" borderId="33" xfId="11" applyNumberFormat="1" applyFont="1" applyFill="1" applyBorder="1" applyAlignment="1" applyProtection="1">
      <alignment vertical="center"/>
    </xf>
    <xf numFmtId="165" fontId="16" fillId="21" borderId="4" xfId="11" applyNumberFormat="1" applyFont="1" applyFill="1" applyBorder="1" applyAlignment="1" applyProtection="1">
      <alignment vertical="center"/>
    </xf>
    <xf numFmtId="165" fontId="16" fillId="21" borderId="61" xfId="11" applyNumberFormat="1" applyFont="1" applyFill="1" applyBorder="1" applyAlignment="1" applyProtection="1">
      <alignment vertical="center"/>
    </xf>
    <xf numFmtId="165" fontId="16" fillId="21" borderId="34" xfId="11" applyNumberFormat="1" applyFont="1" applyFill="1" applyBorder="1" applyAlignment="1" applyProtection="1">
      <alignment vertical="center"/>
    </xf>
    <xf numFmtId="165" fontId="16" fillId="21" borderId="3" xfId="11" applyNumberFormat="1" applyFont="1" applyFill="1" applyBorder="1" applyAlignment="1" applyProtection="1">
      <alignment vertical="center"/>
    </xf>
    <xf numFmtId="165" fontId="16" fillId="22" borderId="4" xfId="11" applyNumberFormat="1" applyFont="1" applyFill="1" applyBorder="1" applyAlignment="1" applyProtection="1">
      <alignment vertical="center"/>
    </xf>
    <xf numFmtId="165" fontId="23" fillId="0" borderId="0" xfId="11" applyNumberFormat="1" applyFont="1" applyFill="1" applyBorder="1" applyAlignment="1" applyProtection="1">
      <alignment vertical="center"/>
    </xf>
    <xf numFmtId="0" fontId="23" fillId="4" borderId="6" xfId="9" applyNumberFormat="1" applyFont="1" applyFill="1" applyBorder="1" applyAlignment="1" applyProtection="1">
      <alignment horizontal="center" vertical="center" wrapText="1"/>
      <protection locked="0"/>
    </xf>
    <xf numFmtId="0" fontId="23" fillId="4" borderId="9" xfId="9" applyNumberFormat="1" applyFont="1" applyFill="1" applyBorder="1" applyAlignment="1" applyProtection="1">
      <alignment horizontal="center" vertical="center" wrapText="1"/>
      <protection locked="0"/>
    </xf>
    <xf numFmtId="165" fontId="50" fillId="0" borderId="26" xfId="6" applyNumberFormat="1" applyFont="1" applyFill="1" applyBorder="1" applyAlignment="1" applyProtection="1">
      <alignment vertical="center"/>
    </xf>
    <xf numFmtId="0" fontId="22" fillId="0" borderId="0" xfId="0" applyFont="1" applyBorder="1" applyAlignment="1" applyProtection="1">
      <alignment horizontal="center" vertical="center"/>
    </xf>
    <xf numFmtId="165" fontId="50" fillId="18" borderId="11" xfId="6" applyNumberFormat="1" applyFont="1" applyFill="1" applyBorder="1" applyAlignment="1" applyProtection="1">
      <alignment vertical="center"/>
    </xf>
    <xf numFmtId="165" fontId="50" fillId="18" borderId="27" xfId="6" applyNumberFormat="1" applyFont="1" applyFill="1" applyBorder="1" applyAlignment="1" applyProtection="1">
      <alignment vertical="center"/>
    </xf>
    <xf numFmtId="165" fontId="50" fillId="18" borderId="41" xfId="6" applyNumberFormat="1" applyFont="1" applyFill="1" applyBorder="1" applyAlignment="1" applyProtection="1">
      <alignment vertical="center"/>
    </xf>
    <xf numFmtId="165" fontId="50" fillId="18" borderId="12" xfId="6" applyNumberFormat="1" applyFont="1" applyFill="1" applyBorder="1" applyAlignment="1" applyProtection="1">
      <alignment vertical="center"/>
    </xf>
    <xf numFmtId="165" fontId="50" fillId="18" borderId="40" xfId="6" applyNumberFormat="1" applyFont="1" applyFill="1" applyBorder="1" applyAlignment="1" applyProtection="1">
      <alignment vertical="center"/>
    </xf>
    <xf numFmtId="165" fontId="50" fillId="18" borderId="2" xfId="6" applyNumberFormat="1" applyFont="1" applyFill="1" applyBorder="1" applyAlignment="1" applyProtection="1">
      <alignment vertical="center"/>
    </xf>
    <xf numFmtId="165" fontId="50" fillId="18" borderId="35" xfId="6" applyNumberFormat="1" applyFont="1" applyFill="1" applyBorder="1" applyAlignment="1" applyProtection="1">
      <alignment vertical="center"/>
    </xf>
    <xf numFmtId="165" fontId="50" fillId="18" borderId="61" xfId="6" applyNumberFormat="1" applyFont="1" applyFill="1" applyBorder="1" applyAlignment="1" applyProtection="1">
      <alignment vertical="center"/>
    </xf>
    <xf numFmtId="165" fontId="50" fillId="18" borderId="3" xfId="6" applyNumberFormat="1" applyFont="1" applyFill="1" applyBorder="1" applyAlignment="1" applyProtection="1">
      <alignment vertical="center"/>
    </xf>
    <xf numFmtId="165" fontId="50" fillId="18" borderId="4" xfId="6" applyNumberFormat="1" applyFont="1" applyFill="1" applyBorder="1" applyAlignment="1" applyProtection="1">
      <alignment vertical="center"/>
    </xf>
    <xf numFmtId="165" fontId="50" fillId="18" borderId="244" xfId="6" applyNumberFormat="1" applyFont="1" applyFill="1" applyBorder="1" applyAlignment="1" applyProtection="1">
      <alignment vertical="center"/>
    </xf>
    <xf numFmtId="0" fontId="0" fillId="0" borderId="8" xfId="0" applyBorder="1" applyProtection="1"/>
    <xf numFmtId="0" fontId="16" fillId="0" borderId="26" xfId="19" applyNumberFormat="1" applyFont="1" applyFill="1" applyBorder="1" applyAlignment="1" applyProtection="1">
      <alignment vertical="center" wrapText="1"/>
    </xf>
    <xf numFmtId="165" fontId="50" fillId="18" borderId="60" xfId="6" applyNumberFormat="1" applyFont="1" applyFill="1" applyBorder="1" applyAlignment="1" applyProtection="1">
      <alignment vertical="center"/>
    </xf>
    <xf numFmtId="165" fontId="16" fillId="7" borderId="273" xfId="19" applyNumberFormat="1" applyFont="1" applyFill="1" applyBorder="1" applyAlignment="1" applyProtection="1">
      <alignment vertical="center"/>
    </xf>
    <xf numFmtId="165" fontId="16" fillId="7" borderId="274" xfId="19" applyNumberFormat="1" applyFont="1" applyFill="1" applyBorder="1" applyAlignment="1" applyProtection="1">
      <alignment vertical="center"/>
    </xf>
    <xf numFmtId="165" fontId="16" fillId="7" borderId="275" xfId="19" applyNumberFormat="1" applyFont="1" applyFill="1" applyBorder="1" applyAlignment="1" applyProtection="1">
      <alignment vertical="center"/>
    </xf>
    <xf numFmtId="165" fontId="23" fillId="4" borderId="18" xfId="2" applyNumberFormat="1" applyFont="1" applyFill="1" applyBorder="1" applyAlignment="1" applyProtection="1">
      <alignment vertical="center"/>
    </xf>
    <xf numFmtId="165" fontId="23" fillId="4" borderId="32" xfId="2" applyNumberFormat="1" applyFont="1" applyFill="1" applyBorder="1" applyAlignment="1" applyProtection="1">
      <alignment vertical="center"/>
    </xf>
    <xf numFmtId="165" fontId="23" fillId="4" borderId="49" xfId="2" applyNumberFormat="1" applyFont="1" applyFill="1" applyBorder="1" applyAlignment="1" applyProtection="1">
      <alignment vertical="center"/>
    </xf>
    <xf numFmtId="165" fontId="23" fillId="4" borderId="31" xfId="2" applyNumberFormat="1" applyFont="1" applyFill="1" applyBorder="1" applyAlignment="1" applyProtection="1">
      <alignment vertical="center"/>
    </xf>
    <xf numFmtId="165" fontId="23" fillId="4" borderId="30" xfId="2" applyNumberFormat="1" applyFont="1" applyFill="1" applyBorder="1" applyAlignment="1" applyProtection="1">
      <alignment vertical="center"/>
    </xf>
    <xf numFmtId="0" fontId="7" fillId="3" borderId="35" xfId="9" applyFont="1" applyFill="1" applyBorder="1" applyAlignment="1" applyProtection="1">
      <alignment horizontal="center" vertical="center" wrapText="1"/>
    </xf>
    <xf numFmtId="165" fontId="23" fillId="7" borderId="27" xfId="9" applyNumberFormat="1" applyFont="1" applyFill="1" applyBorder="1" applyAlignment="1" applyProtection="1">
      <alignment vertical="center"/>
    </xf>
    <xf numFmtId="165" fontId="23" fillId="7" borderId="26" xfId="9" applyNumberFormat="1" applyFont="1" applyFill="1" applyBorder="1" applyAlignment="1" applyProtection="1">
      <alignment vertical="center"/>
    </xf>
    <xf numFmtId="165" fontId="23" fillId="7" borderId="27" xfId="2" applyNumberFormat="1" applyFont="1" applyFill="1" applyBorder="1" applyAlignment="1" applyProtection="1">
      <alignment vertical="center"/>
    </xf>
    <xf numFmtId="165" fontId="23" fillId="4" borderId="24" xfId="2" applyNumberFormat="1" applyFont="1" applyFill="1" applyBorder="1" applyAlignment="1" applyProtection="1">
      <alignment vertical="center"/>
    </xf>
    <xf numFmtId="165" fontId="23" fillId="4" borderId="26" xfId="2" applyNumberFormat="1" applyFont="1" applyFill="1" applyBorder="1" applyAlignment="1" applyProtection="1">
      <alignment vertical="center"/>
    </xf>
    <xf numFmtId="165" fontId="23" fillId="4" borderId="35" xfId="2" applyNumberFormat="1" applyFont="1" applyFill="1" applyBorder="1" applyAlignment="1" applyProtection="1">
      <alignment vertical="center"/>
    </xf>
    <xf numFmtId="165" fontId="23" fillId="4" borderId="24" xfId="1" applyNumberFormat="1" applyFont="1" applyFill="1" applyBorder="1" applyAlignment="1" applyProtection="1">
      <alignment vertical="center"/>
    </xf>
    <xf numFmtId="165" fontId="23" fillId="4" borderId="27" xfId="1" applyNumberFormat="1" applyFont="1" applyFill="1" applyBorder="1" applyAlignment="1" applyProtection="1">
      <alignment vertical="center"/>
    </xf>
    <xf numFmtId="165" fontId="23" fillId="4" borderId="28" xfId="9" applyNumberFormat="1" applyFont="1" applyFill="1" applyBorder="1" applyAlignment="1" applyProtection="1">
      <alignment vertical="center"/>
      <protection locked="0"/>
    </xf>
    <xf numFmtId="165" fontId="23" fillId="4" borderId="29" xfId="9" applyNumberFormat="1" applyFont="1" applyFill="1" applyBorder="1" applyAlignment="1" applyProtection="1">
      <alignment vertical="center"/>
      <protection locked="0"/>
    </xf>
    <xf numFmtId="165" fontId="23" fillId="7" borderId="45" xfId="9" applyNumberFormat="1" applyFont="1" applyFill="1" applyBorder="1" applyAlignment="1" applyProtection="1">
      <alignment vertical="center"/>
    </xf>
    <xf numFmtId="165" fontId="23" fillId="4" borderId="34" xfId="9" applyNumberFormat="1" applyFont="1" applyFill="1" applyBorder="1" applyAlignment="1" applyProtection="1">
      <alignment vertical="center"/>
      <protection locked="0"/>
    </xf>
    <xf numFmtId="165" fontId="23" fillId="7" borderId="28" xfId="9" applyNumberFormat="1" applyFont="1" applyFill="1" applyBorder="1" applyAlignment="1" applyProtection="1">
      <alignment vertical="center"/>
    </xf>
    <xf numFmtId="167" fontId="23" fillId="4" borderId="45" xfId="9" applyNumberFormat="1" applyFont="1" applyFill="1" applyBorder="1" applyAlignment="1" applyProtection="1">
      <alignment vertical="center"/>
      <protection locked="0"/>
    </xf>
    <xf numFmtId="0" fontId="7" fillId="3" borderId="40" xfId="9" applyFont="1" applyFill="1" applyBorder="1" applyAlignment="1" applyProtection="1">
      <alignment horizontal="center" vertical="center" wrapText="1"/>
    </xf>
    <xf numFmtId="165" fontId="23" fillId="4" borderId="3" xfId="9" applyNumberFormat="1" applyFont="1" applyFill="1" applyBorder="1" applyAlignment="1" applyProtection="1">
      <alignment vertical="center"/>
      <protection locked="0"/>
    </xf>
    <xf numFmtId="167" fontId="23" fillId="4" borderId="12" xfId="9" applyNumberFormat="1" applyFont="1" applyFill="1" applyBorder="1" applyAlignment="1" applyProtection="1">
      <alignment vertical="center"/>
      <protection locked="0"/>
    </xf>
    <xf numFmtId="165" fontId="23" fillId="4" borderId="2" xfId="9" applyNumberFormat="1" applyFont="1" applyFill="1" applyBorder="1" applyAlignment="1" applyProtection="1">
      <alignment vertical="center"/>
    </xf>
    <xf numFmtId="165" fontId="20" fillId="7" borderId="36" xfId="6" applyNumberFormat="1" applyFont="1" applyFill="1" applyBorder="1" applyAlignment="1" applyProtection="1">
      <alignment vertical="center"/>
    </xf>
    <xf numFmtId="165" fontId="20" fillId="7" borderId="38" xfId="6" applyNumberFormat="1" applyFont="1" applyFill="1" applyBorder="1" applyAlignment="1" applyProtection="1">
      <alignment vertical="center"/>
    </xf>
    <xf numFmtId="165" fontId="23" fillId="7" borderId="35" xfId="9" applyNumberFormat="1" applyFont="1" applyFill="1" applyBorder="1" applyAlignment="1" applyProtection="1">
      <alignment vertical="center"/>
    </xf>
    <xf numFmtId="0" fontId="3" fillId="0" borderId="0" xfId="0" applyFont="1" applyAlignment="1">
      <alignment wrapText="1"/>
    </xf>
    <xf numFmtId="0" fontId="3" fillId="0" borderId="0" xfId="0" applyFont="1" applyFill="1"/>
    <xf numFmtId="0" fontId="7" fillId="3" borderId="60" xfId="9" applyFont="1" applyFill="1" applyBorder="1" applyAlignment="1" applyProtection="1">
      <alignment horizontal="center" vertical="center" wrapText="1"/>
    </xf>
    <xf numFmtId="165" fontId="23" fillId="7" borderId="28" xfId="2" applyNumberFormat="1" applyFont="1" applyFill="1" applyBorder="1" applyAlignment="1" applyProtection="1">
      <alignment vertical="center"/>
    </xf>
    <xf numFmtId="165" fontId="23" fillId="7" borderId="29" xfId="2" applyNumberFormat="1" applyFont="1" applyFill="1" applyBorder="1" applyAlignment="1" applyProtection="1">
      <alignment vertical="center"/>
    </xf>
    <xf numFmtId="165" fontId="23" fillId="7" borderId="40" xfId="9" applyNumberFormat="1" applyFont="1" applyFill="1" applyBorder="1" applyAlignment="1" applyProtection="1">
      <alignment vertical="center"/>
    </xf>
    <xf numFmtId="165" fontId="23" fillId="7" borderId="38" xfId="9" applyNumberFormat="1" applyFont="1" applyFill="1" applyBorder="1" applyAlignment="1" applyProtection="1">
      <alignment vertical="center"/>
    </xf>
    <xf numFmtId="165" fontId="23" fillId="7" borderId="40" xfId="2" applyNumberFormat="1" applyFont="1" applyFill="1" applyBorder="1" applyAlignment="1" applyProtection="1">
      <alignment vertical="center"/>
    </xf>
    <xf numFmtId="165" fontId="23" fillId="7" borderId="34" xfId="2" applyNumberFormat="1" applyFont="1" applyFill="1" applyBorder="1" applyAlignment="1" applyProtection="1">
      <alignment vertical="center"/>
    </xf>
    <xf numFmtId="165" fontId="23" fillId="7" borderId="60" xfId="9" applyNumberFormat="1" applyFont="1" applyFill="1" applyBorder="1" applyAlignment="1" applyProtection="1">
      <alignment vertical="center"/>
    </xf>
    <xf numFmtId="165" fontId="23" fillId="7" borderId="36" xfId="1" applyNumberFormat="1" applyFont="1" applyFill="1" applyBorder="1" applyAlignment="1" applyProtection="1">
      <alignment vertical="center"/>
    </xf>
    <xf numFmtId="165" fontId="23" fillId="7" borderId="40" xfId="1" applyNumberFormat="1" applyFont="1" applyFill="1" applyBorder="1" applyAlignment="1" applyProtection="1">
      <alignment vertical="center"/>
    </xf>
    <xf numFmtId="165" fontId="23" fillId="7" borderId="62" xfId="9" applyNumberFormat="1" applyFont="1" applyFill="1" applyBorder="1" applyAlignment="1" applyProtection="1">
      <alignment vertical="center"/>
    </xf>
    <xf numFmtId="165" fontId="23" fillId="4" borderId="109" xfId="11" applyNumberFormat="1" applyFont="1" applyFill="1" applyBorder="1" applyAlignment="1" applyProtection="1">
      <alignment vertical="center"/>
      <protection locked="0"/>
    </xf>
    <xf numFmtId="1" fontId="23" fillId="7" borderId="109" xfId="9" applyNumberFormat="1" applyFont="1" applyFill="1" applyBorder="1" applyAlignment="1" applyProtection="1">
      <alignment vertical="center"/>
    </xf>
    <xf numFmtId="0" fontId="22" fillId="8" borderId="0" xfId="7" applyFont="1" applyBorder="1" applyAlignment="1" applyProtection="1">
      <alignment horizontal="center" vertical="center"/>
    </xf>
    <xf numFmtId="0" fontId="16" fillId="0" borderId="13" xfId="9" applyFont="1" applyFill="1" applyBorder="1" applyAlignment="1" applyProtection="1">
      <alignment vertical="center"/>
    </xf>
    <xf numFmtId="165" fontId="23" fillId="4" borderId="7" xfId="2" applyNumberFormat="1" applyFont="1" applyFill="1" applyBorder="1" applyAlignment="1" applyProtection="1">
      <alignment vertical="center"/>
      <protection locked="0"/>
    </xf>
    <xf numFmtId="165" fontId="23" fillId="4" borderId="10" xfId="2" applyNumberFormat="1" applyFont="1" applyFill="1" applyBorder="1" applyAlignment="1" applyProtection="1">
      <alignment vertical="center"/>
      <protection locked="0"/>
    </xf>
    <xf numFmtId="165" fontId="23" fillId="4" borderId="4" xfId="2" applyNumberFormat="1" applyFont="1" applyFill="1" applyBorder="1" applyAlignment="1" applyProtection="1">
      <alignment vertical="center"/>
      <protection locked="0"/>
    </xf>
    <xf numFmtId="165" fontId="23" fillId="4" borderId="7" xfId="1" applyNumberFormat="1" applyFont="1" applyFill="1" applyBorder="1" applyAlignment="1" applyProtection="1">
      <alignment vertical="center"/>
      <protection locked="0"/>
    </xf>
    <xf numFmtId="165" fontId="23" fillId="4" borderId="13" xfId="1" applyNumberFormat="1" applyFont="1" applyFill="1" applyBorder="1" applyAlignment="1" applyProtection="1">
      <alignment vertical="center"/>
      <protection locked="0"/>
    </xf>
    <xf numFmtId="0" fontId="19" fillId="5" borderId="47" xfId="0" applyFont="1" applyFill="1" applyBorder="1" applyAlignment="1" applyProtection="1">
      <alignment horizontal="center" vertical="center" wrapText="1"/>
    </xf>
    <xf numFmtId="1" fontId="16" fillId="7" borderId="32" xfId="19" applyNumberFormat="1" applyFont="1" applyFill="1" applyBorder="1" applyAlignment="1" applyProtection="1">
      <alignment vertical="center"/>
    </xf>
    <xf numFmtId="0" fontId="23" fillId="4" borderId="6" xfId="9" applyFont="1" applyFill="1" applyBorder="1" applyAlignment="1" applyProtection="1">
      <alignment wrapText="1"/>
      <protection locked="0"/>
    </xf>
    <xf numFmtId="0" fontId="23" fillId="4" borderId="9" xfId="9" applyFont="1" applyFill="1" applyBorder="1" applyAlignment="1" applyProtection="1">
      <alignment wrapText="1"/>
      <protection locked="0"/>
    </xf>
    <xf numFmtId="165" fontId="51" fillId="16" borderId="9" xfId="6" applyNumberFormat="1" applyFont="1" applyFill="1" applyBorder="1" applyAlignment="1" applyProtection="1">
      <alignment vertical="center" wrapText="1"/>
      <protection locked="0"/>
    </xf>
    <xf numFmtId="0" fontId="49" fillId="0" borderId="0" xfId="18" applyFont="1" applyFill="1" applyBorder="1" applyAlignment="1">
      <alignment wrapText="1"/>
    </xf>
    <xf numFmtId="0" fontId="52" fillId="0" borderId="0" xfId="6" applyFont="1" applyFill="1" applyBorder="1" applyAlignment="1" applyProtection="1">
      <alignment horizontal="center" vertical="center" wrapText="1"/>
    </xf>
    <xf numFmtId="0" fontId="49" fillId="0" borderId="0" xfId="18" applyNumberFormat="1" applyFont="1" applyFill="1" applyBorder="1" applyAlignment="1">
      <alignment wrapText="1"/>
    </xf>
    <xf numFmtId="165" fontId="50" fillId="16" borderId="47" xfId="6" applyNumberFormat="1" applyFont="1" applyFill="1" applyBorder="1" applyAlignment="1" applyProtection="1">
      <alignment vertical="center" wrapText="1"/>
      <protection locked="0"/>
    </xf>
    <xf numFmtId="165" fontId="50" fillId="16" borderId="9" xfId="6" applyNumberFormat="1" applyFont="1" applyFill="1" applyBorder="1" applyAlignment="1" applyProtection="1">
      <alignment vertical="center" wrapText="1"/>
      <protection locked="0"/>
    </xf>
    <xf numFmtId="1" fontId="16" fillId="7" borderId="122" xfId="19" applyNumberFormat="1" applyFont="1" applyFill="1" applyBorder="1" applyAlignment="1" applyProtection="1">
      <alignment vertical="center"/>
    </xf>
    <xf numFmtId="170" fontId="23" fillId="7" borderId="11" xfId="11" applyNumberFormat="1" applyFont="1" applyFill="1" applyBorder="1" applyAlignment="1" applyProtection="1">
      <alignment vertical="center"/>
    </xf>
    <xf numFmtId="1" fontId="23" fillId="4" borderId="206" xfId="19" applyNumberFormat="1" applyFont="1" applyFill="1" applyBorder="1" applyAlignment="1" applyProtection="1">
      <alignment vertical="center"/>
      <protection locked="0"/>
    </xf>
    <xf numFmtId="1" fontId="23" fillId="7" borderId="30" xfId="11" applyNumberFormat="1" applyFont="1" applyFill="1" applyBorder="1" applyAlignment="1" applyProtection="1">
      <alignment vertical="center"/>
    </xf>
    <xf numFmtId="171" fontId="16" fillId="0" borderId="0" xfId="19" applyNumberFormat="1" applyFont="1" applyFill="1" applyBorder="1" applyAlignment="1" applyProtection="1">
      <alignment vertical="center"/>
    </xf>
    <xf numFmtId="0" fontId="14" fillId="0" borderId="9" xfId="11" applyFont="1" applyFill="1" applyBorder="1" applyAlignment="1" applyProtection="1">
      <alignment horizontal="center" vertical="center"/>
    </xf>
    <xf numFmtId="0" fontId="0" fillId="0" borderId="0" xfId="0"/>
    <xf numFmtId="165" fontId="23" fillId="7" borderId="7" xfId="6" applyNumberFormat="1" applyFont="1" applyFill="1" applyBorder="1" applyAlignment="1" applyProtection="1">
      <alignment vertical="center"/>
    </xf>
    <xf numFmtId="165" fontId="23" fillId="7" borderId="24" xfId="6" applyNumberFormat="1" applyFont="1" applyFill="1" applyBorder="1" applyAlignment="1" applyProtection="1">
      <alignment vertical="center"/>
    </xf>
    <xf numFmtId="165" fontId="23" fillId="7" borderId="10" xfId="6" applyNumberFormat="1" applyFont="1" applyFill="1" applyBorder="1" applyAlignment="1" applyProtection="1">
      <alignment vertical="center"/>
    </xf>
    <xf numFmtId="165" fontId="23" fillId="7" borderId="26" xfId="6" applyNumberFormat="1" applyFont="1" applyFill="1" applyBorder="1" applyAlignment="1" applyProtection="1">
      <alignment vertical="center"/>
    </xf>
    <xf numFmtId="165" fontId="23" fillId="7" borderId="13" xfId="6" applyNumberFormat="1" applyFont="1" applyFill="1" applyBorder="1" applyAlignment="1" applyProtection="1">
      <alignment vertical="center"/>
    </xf>
    <xf numFmtId="165" fontId="23" fillId="7" borderId="57" xfId="6" applyNumberFormat="1" applyFont="1" applyFill="1" applyBorder="1" applyAlignment="1" applyProtection="1">
      <alignment vertical="center"/>
    </xf>
    <xf numFmtId="165" fontId="23" fillId="7" borderId="12" xfId="6" applyNumberFormat="1" applyFont="1" applyFill="1" applyBorder="1" applyAlignment="1" applyProtection="1">
      <alignment vertical="center"/>
    </xf>
    <xf numFmtId="165" fontId="23" fillId="7" borderId="27" xfId="6" applyNumberFormat="1" applyFont="1" applyFill="1" applyBorder="1" applyAlignment="1" applyProtection="1">
      <alignment vertical="center"/>
    </xf>
    <xf numFmtId="165" fontId="23" fillId="7" borderId="30" xfId="6" applyNumberFormat="1" applyFont="1" applyFill="1" applyBorder="1" applyAlignment="1" applyProtection="1">
      <alignment vertical="center"/>
    </xf>
    <xf numFmtId="165" fontId="23" fillId="7" borderId="50" xfId="6" applyNumberFormat="1" applyFont="1" applyFill="1" applyBorder="1" applyAlignment="1" applyProtection="1">
      <alignment vertical="center"/>
    </xf>
    <xf numFmtId="165" fontId="23" fillId="7" borderId="49" xfId="6" applyNumberFormat="1" applyFont="1" applyFill="1" applyBorder="1" applyAlignment="1" applyProtection="1">
      <alignment vertical="center"/>
    </xf>
    <xf numFmtId="0" fontId="7" fillId="3" borderId="22" xfId="6" applyFont="1" applyFill="1" applyBorder="1" applyAlignment="1" applyProtection="1">
      <alignment vertical="center" wrapText="1"/>
    </xf>
    <xf numFmtId="165" fontId="20" fillId="31" borderId="2" xfId="6" applyNumberFormat="1" applyFont="1" applyFill="1" applyBorder="1" applyAlignment="1" applyProtection="1">
      <alignment vertical="center"/>
    </xf>
    <xf numFmtId="10" fontId="20" fillId="4" borderId="5" xfId="2" applyNumberFormat="1" applyFont="1" applyFill="1" applyBorder="1" applyAlignment="1" applyProtection="1">
      <alignment vertical="center"/>
      <protection locked="0"/>
    </xf>
    <xf numFmtId="10" fontId="20" fillId="4" borderId="8" xfId="2" applyNumberFormat="1" applyFont="1" applyFill="1" applyBorder="1" applyAlignment="1" applyProtection="1">
      <alignment vertical="center"/>
      <protection locked="0"/>
    </xf>
    <xf numFmtId="10" fontId="20" fillId="7" borderId="38" xfId="2" applyNumberFormat="1" applyFont="1" applyFill="1" applyBorder="1" applyAlignment="1" applyProtection="1">
      <alignment vertical="center"/>
    </xf>
    <xf numFmtId="10" fontId="20" fillId="7" borderId="9" xfId="2" applyNumberFormat="1" applyFont="1" applyFill="1" applyBorder="1" applyAlignment="1" applyProtection="1">
      <alignment vertical="center"/>
    </xf>
    <xf numFmtId="10" fontId="1" fillId="0" borderId="0" xfId="2" applyNumberFormat="1" applyAlignment="1" applyProtection="1">
      <alignment vertical="center"/>
    </xf>
    <xf numFmtId="10" fontId="20" fillId="7" borderId="35" xfId="2" applyNumberFormat="1" applyFont="1" applyFill="1" applyBorder="1" applyAlignment="1" applyProtection="1">
      <alignment vertical="center"/>
    </xf>
    <xf numFmtId="10" fontId="20" fillId="31" borderId="35" xfId="2" applyNumberFormat="1" applyFont="1" applyFill="1" applyBorder="1" applyAlignment="1" applyProtection="1">
      <alignment vertical="center"/>
    </xf>
    <xf numFmtId="10" fontId="20" fillId="7" borderId="19" xfId="2" applyNumberFormat="1" applyFont="1" applyFill="1" applyBorder="1" applyAlignment="1" applyProtection="1">
      <alignment vertical="center"/>
    </xf>
    <xf numFmtId="165" fontId="23" fillId="7" borderId="57" xfId="9" applyNumberFormat="1" applyFont="1" applyFill="1" applyBorder="1" applyAlignment="1" applyProtection="1">
      <alignment vertical="center"/>
    </xf>
    <xf numFmtId="0" fontId="23" fillId="0" borderId="0" xfId="9" applyFont="1" applyFill="1" applyBorder="1" applyAlignment="1" applyProtection="1">
      <alignment vertical="top" wrapText="1"/>
    </xf>
    <xf numFmtId="0" fontId="12" fillId="0" borderId="0" xfId="9" applyFont="1" applyFill="1" applyBorder="1" applyAlignment="1" applyProtection="1">
      <alignment vertical="top"/>
    </xf>
    <xf numFmtId="0" fontId="14" fillId="23" borderId="12" xfId="11" applyFont="1" applyFill="1" applyBorder="1" applyAlignment="1" applyProtection="1">
      <alignment horizontal="center" vertical="center"/>
    </xf>
    <xf numFmtId="165" fontId="16" fillId="7" borderId="57" xfId="19" applyNumberFormat="1" applyFont="1" applyFill="1" applyBorder="1" applyAlignment="1" applyProtection="1">
      <alignment vertical="center"/>
    </xf>
    <xf numFmtId="1" fontId="16" fillId="4" borderId="30" xfId="19" applyNumberFormat="1" applyFont="1" applyFill="1" applyBorder="1" applyAlignment="1" applyProtection="1">
      <alignment vertical="center" wrapText="1"/>
      <protection locked="0"/>
    </xf>
    <xf numFmtId="1" fontId="23" fillId="4" borderId="109" xfId="11" applyNumberFormat="1" applyFont="1" applyFill="1" applyBorder="1" applyProtection="1">
      <protection locked="0"/>
    </xf>
    <xf numFmtId="0" fontId="14" fillId="0" borderId="50" xfId="11" applyFont="1" applyFill="1" applyBorder="1" applyAlignment="1" applyProtection="1">
      <alignment horizontal="center" vertical="center"/>
    </xf>
    <xf numFmtId="1" fontId="23" fillId="4" borderId="49" xfId="11" applyNumberFormat="1" applyFont="1" applyFill="1" applyBorder="1" applyProtection="1">
      <protection locked="0"/>
    </xf>
    <xf numFmtId="0" fontId="51" fillId="0" borderId="9" xfId="22" applyFont="1" applyBorder="1" applyAlignment="1">
      <alignment vertical="center" wrapText="1"/>
    </xf>
    <xf numFmtId="165" fontId="16" fillId="7" borderId="56" xfId="19" applyNumberFormat="1" applyFont="1" applyFill="1" applyBorder="1" applyAlignment="1" applyProtection="1">
      <alignment vertical="center"/>
    </xf>
    <xf numFmtId="171" fontId="16" fillId="4" borderId="109" xfId="2" applyNumberFormat="1" applyFont="1" applyFill="1" applyBorder="1" applyAlignment="1" applyProtection="1">
      <alignment vertical="center" wrapText="1"/>
      <protection locked="0"/>
    </xf>
    <xf numFmtId="0" fontId="23" fillId="0" borderId="19" xfId="11" applyFont="1" applyFill="1" applyBorder="1" applyAlignment="1" applyProtection="1">
      <alignment horizontal="center" vertical="center"/>
    </xf>
    <xf numFmtId="0" fontId="16" fillId="4" borderId="23" xfId="19" applyNumberFormat="1" applyFont="1" applyFill="1" applyBorder="1" applyAlignment="1" applyProtection="1">
      <alignment vertical="center" wrapText="1"/>
      <protection locked="0"/>
    </xf>
    <xf numFmtId="170" fontId="23" fillId="7" borderId="8" xfId="11" applyNumberFormat="1" applyFont="1" applyFill="1" applyBorder="1" applyAlignment="1" applyProtection="1">
      <alignment vertical="center"/>
    </xf>
    <xf numFmtId="0" fontId="22" fillId="0" borderId="6" xfId="6" applyFont="1" applyFill="1" applyBorder="1" applyAlignment="1" applyProtection="1">
      <alignment horizontal="center" vertical="center"/>
    </xf>
    <xf numFmtId="165" fontId="16" fillId="4" borderId="29" xfId="19" applyNumberFormat="1" applyFont="1" applyFill="1" applyBorder="1" applyAlignment="1" applyProtection="1">
      <alignment vertical="center"/>
      <protection locked="0"/>
    </xf>
    <xf numFmtId="0" fontId="7" fillId="3" borderId="315" xfId="11" applyFont="1" applyFill="1" applyBorder="1" applyAlignment="1" applyProtection="1">
      <alignment horizontal="center" vertical="center"/>
    </xf>
    <xf numFmtId="0" fontId="7" fillId="3" borderId="316" xfId="22" applyFont="1" applyFill="1" applyBorder="1"/>
    <xf numFmtId="0" fontId="25" fillId="3" borderId="34" xfId="9" applyFont="1" applyFill="1" applyBorder="1" applyAlignment="1" applyProtection="1">
      <alignment horizontal="center" vertical="center"/>
    </xf>
    <xf numFmtId="0" fontId="92" fillId="3" borderId="1" xfId="9" applyFont="1" applyFill="1" applyBorder="1" applyAlignment="1" applyProtection="1">
      <alignment vertical="center"/>
    </xf>
    <xf numFmtId="0" fontId="118" fillId="2" borderId="0" xfId="6" applyFont="1" applyFill="1" applyBorder="1" applyAlignment="1">
      <alignment vertical="center"/>
    </xf>
    <xf numFmtId="0" fontId="119" fillId="0" borderId="0" xfId="0" applyFont="1" applyAlignment="1">
      <alignment wrapText="1"/>
    </xf>
    <xf numFmtId="0" fontId="31" fillId="0" borderId="0" xfId="11" applyFont="1" applyFill="1" applyAlignment="1" applyProtection="1">
      <alignment vertical="center" wrapText="1"/>
    </xf>
    <xf numFmtId="0" fontId="0" fillId="29" borderId="0" xfId="0" applyFont="1" applyFill="1"/>
    <xf numFmtId="0" fontId="78" fillId="0" borderId="0" xfId="11" applyNumberFormat="1" applyFont="1" applyFill="1" applyBorder="1" applyAlignment="1">
      <alignment horizontal="left" vertical="top" wrapText="1"/>
    </xf>
    <xf numFmtId="0" fontId="9" fillId="3" borderId="0" xfId="22" applyFont="1" applyFill="1" applyAlignment="1">
      <alignment horizontal="left" vertical="top"/>
    </xf>
    <xf numFmtId="0" fontId="78" fillId="0" borderId="0" xfId="11" applyNumberFormat="1" applyFont="1" applyFill="1" applyBorder="1" applyAlignment="1">
      <alignment horizontal="left" vertical="top"/>
    </xf>
    <xf numFmtId="0" fontId="9" fillId="0" borderId="0" xfId="22" applyFont="1" applyFill="1" applyAlignment="1">
      <alignment horizontal="left" vertical="top"/>
    </xf>
    <xf numFmtId="0" fontId="9" fillId="0" borderId="0" xfId="22" applyFont="1" applyFill="1" applyAlignment="1">
      <alignment horizontal="left" vertical="top" wrapText="1"/>
    </xf>
    <xf numFmtId="0" fontId="0" fillId="0" borderId="0" xfId="0" applyFont="1"/>
    <xf numFmtId="0" fontId="30" fillId="9" borderId="0" xfId="11" applyFont="1" applyFill="1" applyAlignment="1">
      <alignment vertical="center"/>
    </xf>
    <xf numFmtId="0" fontId="16" fillId="0" borderId="5" xfId="11" applyFont="1" applyFill="1" applyBorder="1" applyAlignment="1" applyProtection="1">
      <alignment horizontal="left" vertical="top" wrapText="1"/>
    </xf>
    <xf numFmtId="0" fontId="9" fillId="0" borderId="0" xfId="22" applyFont="1" applyAlignment="1">
      <alignment horizontal="left" vertical="top"/>
    </xf>
    <xf numFmtId="0" fontId="16" fillId="0" borderId="8" xfId="11" applyFont="1" applyFill="1" applyBorder="1" applyAlignment="1" applyProtection="1">
      <alignment horizontal="left" vertical="top" wrapText="1"/>
    </xf>
    <xf numFmtId="0" fontId="16" fillId="0" borderId="11" xfId="11" applyFont="1" applyFill="1" applyBorder="1" applyAlignment="1" applyProtection="1">
      <alignment horizontal="left" vertical="top" wrapText="1"/>
    </xf>
    <xf numFmtId="0" fontId="9" fillId="0" borderId="0" xfId="22" applyFont="1" applyAlignment="1">
      <alignment horizontal="left" vertical="top" wrapText="1"/>
    </xf>
    <xf numFmtId="0" fontId="16" fillId="0" borderId="0" xfId="11" applyFont="1" applyFill="1" applyBorder="1" applyAlignment="1" applyProtection="1">
      <alignment horizontal="left" vertical="top"/>
    </xf>
    <xf numFmtId="0" fontId="91" fillId="3" borderId="35" xfId="22" applyFont="1" applyFill="1" applyBorder="1" applyAlignment="1">
      <alignment vertical="center"/>
    </xf>
    <xf numFmtId="0" fontId="20" fillId="0" borderId="0" xfId="0" applyFont="1" applyFill="1" applyBorder="1" applyAlignment="1" applyProtection="1">
      <alignment wrapText="1"/>
    </xf>
    <xf numFmtId="0" fontId="99" fillId="6" borderId="0" xfId="6" applyFont="1" applyFill="1" applyAlignment="1" applyProtection="1">
      <alignment horizontal="center" vertical="center"/>
    </xf>
    <xf numFmtId="0" fontId="100" fillId="3" borderId="0" xfId="8" applyFont="1" applyFill="1" applyAlignment="1" applyProtection="1">
      <alignment horizontal="center" vertical="center"/>
    </xf>
    <xf numFmtId="165" fontId="2" fillId="0" borderId="0" xfId="0" applyNumberFormat="1" applyFont="1" applyProtection="1"/>
    <xf numFmtId="0" fontId="99" fillId="0" borderId="0" xfId="0" applyFont="1" applyFill="1" applyBorder="1" applyProtection="1"/>
    <xf numFmtId="0" fontId="122" fillId="0" borderId="0" xfId="8" applyFont="1" applyAlignment="1" applyProtection="1">
      <alignment wrapText="1"/>
    </xf>
    <xf numFmtId="0" fontId="20" fillId="0" borderId="0" xfId="9" applyFont="1" applyFill="1" applyAlignment="1" applyProtection="1">
      <alignment vertical="center"/>
    </xf>
    <xf numFmtId="0" fontId="12" fillId="0" borderId="206" xfId="11" applyFont="1" applyFill="1" applyBorder="1" applyAlignment="1" applyProtection="1">
      <alignment horizontal="center" vertical="center"/>
    </xf>
    <xf numFmtId="0" fontId="24" fillId="3" borderId="55" xfId="11" applyFont="1" applyFill="1" applyBorder="1" applyAlignment="1" applyProtection="1">
      <alignment vertical="center"/>
    </xf>
    <xf numFmtId="0" fontId="16" fillId="0" borderId="147" xfId="11" applyFont="1" applyFill="1" applyBorder="1" applyAlignment="1" applyProtection="1">
      <alignment vertical="center"/>
    </xf>
    <xf numFmtId="0" fontId="9" fillId="0" borderId="147" xfId="0" applyFont="1" applyFill="1" applyBorder="1" applyAlignment="1">
      <alignment vertical="center"/>
    </xf>
    <xf numFmtId="0" fontId="16" fillId="0" borderId="22" xfId="11" applyFont="1" applyFill="1" applyBorder="1" applyAlignment="1" applyProtection="1">
      <alignment vertical="center"/>
    </xf>
    <xf numFmtId="0" fontId="16" fillId="0" borderId="206" xfId="11" applyFont="1" applyFill="1" applyBorder="1" applyAlignment="1" applyProtection="1">
      <alignment vertical="center"/>
    </xf>
    <xf numFmtId="0" fontId="16" fillId="0" borderId="19" xfId="11" applyFont="1" applyFill="1" applyBorder="1" applyAlignment="1" applyProtection="1">
      <alignment vertical="center"/>
    </xf>
    <xf numFmtId="0" fontId="12" fillId="0" borderId="33" xfId="11" applyFont="1" applyFill="1" applyBorder="1" applyAlignment="1" applyProtection="1">
      <alignment horizontal="center" vertical="top"/>
    </xf>
    <xf numFmtId="0" fontId="16" fillId="0" borderId="206" xfId="11" applyFont="1" applyFill="1" applyBorder="1" applyAlignment="1" applyProtection="1">
      <alignment horizontal="center" vertical="top"/>
    </xf>
    <xf numFmtId="0" fontId="16" fillId="0" borderId="43" xfId="11" applyFont="1" applyFill="1" applyBorder="1" applyAlignment="1" applyProtection="1">
      <alignment horizontal="center" vertical="top"/>
    </xf>
    <xf numFmtId="0" fontId="16" fillId="0" borderId="206" xfId="11" applyFont="1" applyFill="1" applyBorder="1" applyAlignment="1" applyProtection="1">
      <alignment horizontal="center"/>
    </xf>
    <xf numFmtId="0" fontId="32" fillId="0" borderId="6" xfId="6" applyFont="1" applyBorder="1" applyAlignment="1" applyProtection="1">
      <alignment vertical="center"/>
    </xf>
    <xf numFmtId="0" fontId="32" fillId="0" borderId="47" xfId="6" applyFont="1" applyBorder="1" applyAlignment="1" applyProtection="1">
      <alignment vertical="center"/>
    </xf>
    <xf numFmtId="0" fontId="32" fillId="0" borderId="47" xfId="6" applyFont="1" applyBorder="1" applyAlignment="1" applyProtection="1">
      <alignment vertical="center" wrapText="1"/>
    </xf>
    <xf numFmtId="0" fontId="23" fillId="0" borderId="5" xfId="6" applyFont="1" applyBorder="1" applyAlignment="1" applyProtection="1">
      <alignment horizontal="center" vertical="center"/>
    </xf>
    <xf numFmtId="0" fontId="23" fillId="0" borderId="46" xfId="6" applyFont="1" applyBorder="1" applyAlignment="1" applyProtection="1">
      <alignment horizontal="center" vertical="center"/>
    </xf>
    <xf numFmtId="10" fontId="23" fillId="4" borderId="5" xfId="6" applyNumberFormat="1" applyFont="1" applyFill="1" applyBorder="1" applyAlignment="1" applyProtection="1">
      <alignment vertical="center"/>
      <protection locked="0"/>
    </xf>
    <xf numFmtId="10" fontId="23" fillId="4" borderId="7" xfId="6" applyNumberFormat="1" applyFont="1" applyFill="1" applyBorder="1" applyAlignment="1" applyProtection="1">
      <alignment vertical="center"/>
      <protection locked="0"/>
    </xf>
    <xf numFmtId="10" fontId="23" fillId="7" borderId="11" xfId="6" applyNumberFormat="1" applyFont="1" applyFill="1" applyBorder="1" applyAlignment="1" applyProtection="1">
      <alignment vertical="center"/>
      <protection locked="0"/>
    </xf>
    <xf numFmtId="10" fontId="23" fillId="7" borderId="13" xfId="6" applyNumberFormat="1" applyFont="1" applyFill="1" applyBorder="1" applyAlignment="1" applyProtection="1">
      <alignment vertical="center"/>
      <protection locked="0"/>
    </xf>
    <xf numFmtId="165" fontId="23" fillId="7" borderId="32" xfId="6" applyNumberFormat="1" applyFont="1" applyFill="1" applyBorder="1" applyAlignment="1" applyProtection="1">
      <alignment vertical="center"/>
    </xf>
    <xf numFmtId="165" fontId="23" fillId="7" borderId="11" xfId="6" applyNumberFormat="1" applyFont="1" applyFill="1" applyBorder="1" applyAlignment="1" applyProtection="1">
      <alignment vertical="center"/>
    </xf>
    <xf numFmtId="165" fontId="23" fillId="7" borderId="116" xfId="6" applyNumberFormat="1" applyFont="1" applyFill="1" applyBorder="1" applyAlignment="1" applyProtection="1">
      <alignment vertical="center"/>
    </xf>
    <xf numFmtId="165" fontId="23" fillId="7" borderId="41" xfId="6" applyNumberFormat="1" applyFont="1" applyFill="1" applyBorder="1" applyAlignment="1" applyProtection="1">
      <alignment vertical="center"/>
    </xf>
    <xf numFmtId="165" fontId="23" fillId="7" borderId="40" xfId="6" applyNumberFormat="1" applyFont="1" applyFill="1" applyBorder="1" applyAlignment="1" applyProtection="1">
      <alignment vertical="center"/>
    </xf>
    <xf numFmtId="0" fontId="5" fillId="0" borderId="0" xfId="6" applyFont="1" applyAlignment="1" applyProtection="1">
      <alignment vertical="center"/>
    </xf>
    <xf numFmtId="165" fontId="23" fillId="7" borderId="31" xfId="6" applyNumberFormat="1" applyFont="1" applyFill="1" applyBorder="1" applyAlignment="1" applyProtection="1">
      <alignment vertical="center"/>
    </xf>
    <xf numFmtId="165" fontId="23" fillId="0" borderId="0" xfId="6" applyNumberFormat="1" applyFont="1" applyFill="1" applyBorder="1" applyAlignment="1" applyProtection="1">
      <alignment vertical="center"/>
    </xf>
    <xf numFmtId="165" fontId="23" fillId="7" borderId="1" xfId="6" applyNumberFormat="1" applyFont="1" applyFill="1" applyBorder="1" applyAlignment="1" applyProtection="1">
      <alignment vertical="center"/>
    </xf>
    <xf numFmtId="0" fontId="5" fillId="0" borderId="0" xfId="0" applyFont="1" applyProtection="1"/>
    <xf numFmtId="165" fontId="23" fillId="7" borderId="76" xfId="6" applyNumberFormat="1" applyFont="1" applyFill="1" applyBorder="1" applyAlignment="1" applyProtection="1">
      <alignment vertical="center"/>
    </xf>
    <xf numFmtId="165" fontId="23" fillId="7" borderId="77" xfId="6" applyNumberFormat="1" applyFont="1" applyFill="1" applyBorder="1" applyAlignment="1" applyProtection="1">
      <alignment vertical="center"/>
    </xf>
    <xf numFmtId="165" fontId="23" fillId="7" borderId="8" xfId="6" applyNumberFormat="1" applyFont="1" applyFill="1" applyBorder="1" applyAlignment="1" applyProtection="1">
      <alignment vertical="center"/>
    </xf>
    <xf numFmtId="165" fontId="23" fillId="7" borderId="9" xfId="6" applyNumberFormat="1" applyFont="1" applyFill="1" applyBorder="1" applyAlignment="1" applyProtection="1">
      <alignment vertical="center"/>
    </xf>
    <xf numFmtId="165" fontId="23" fillId="7" borderId="39" xfId="6" applyNumberFormat="1" applyFont="1" applyFill="1" applyBorder="1" applyAlignment="1" applyProtection="1">
      <alignment vertical="center"/>
    </xf>
    <xf numFmtId="165" fontId="23" fillId="7" borderId="69" xfId="6" applyNumberFormat="1" applyFont="1" applyFill="1" applyBorder="1" applyAlignment="1" applyProtection="1">
      <alignment vertical="center"/>
    </xf>
    <xf numFmtId="165" fontId="23" fillId="7" borderId="95" xfId="6" applyNumberFormat="1" applyFont="1" applyFill="1" applyBorder="1" applyAlignment="1" applyProtection="1">
      <alignment vertical="center"/>
    </xf>
    <xf numFmtId="165" fontId="23" fillId="7" borderId="132" xfId="6" applyNumberFormat="1" applyFont="1" applyFill="1" applyBorder="1" applyAlignment="1" applyProtection="1">
      <alignment vertical="center"/>
    </xf>
    <xf numFmtId="165" fontId="23" fillId="7" borderId="138" xfId="6" applyNumberFormat="1" applyFont="1" applyFill="1" applyBorder="1" applyAlignment="1" applyProtection="1">
      <alignment vertical="center"/>
    </xf>
    <xf numFmtId="165" fontId="23" fillId="7" borderId="139" xfId="6" applyNumberFormat="1" applyFont="1" applyFill="1" applyBorder="1" applyAlignment="1" applyProtection="1">
      <alignment vertical="center"/>
    </xf>
    <xf numFmtId="165" fontId="23" fillId="7" borderId="133" xfId="6" applyNumberFormat="1" applyFont="1" applyFill="1" applyBorder="1" applyAlignment="1" applyProtection="1">
      <alignment vertical="center"/>
    </xf>
    <xf numFmtId="165" fontId="23" fillId="7" borderId="144" xfId="6" applyNumberFormat="1" applyFont="1" applyFill="1" applyBorder="1" applyAlignment="1" applyProtection="1">
      <alignment vertical="center"/>
    </xf>
    <xf numFmtId="165" fontId="23" fillId="17" borderId="31" xfId="6" applyNumberFormat="1" applyFont="1" applyFill="1" applyBorder="1" applyAlignment="1" applyProtection="1">
      <alignment vertical="center"/>
    </xf>
    <xf numFmtId="165" fontId="23" fillId="17" borderId="32" xfId="6" applyNumberFormat="1" applyFont="1" applyFill="1" applyBorder="1" applyAlignment="1" applyProtection="1">
      <alignment vertical="center"/>
    </xf>
    <xf numFmtId="165" fontId="23" fillId="0" borderId="29" xfId="6" applyNumberFormat="1" applyFont="1" applyFill="1" applyBorder="1" applyAlignment="1" applyProtection="1">
      <alignment vertical="center"/>
    </xf>
    <xf numFmtId="165" fontId="23" fillId="17" borderId="30" xfId="6" applyNumberFormat="1" applyFont="1" applyFill="1" applyBorder="1" applyAlignment="1" applyProtection="1">
      <alignment vertical="center"/>
    </xf>
    <xf numFmtId="0" fontId="59" fillId="0" borderId="0" xfId="18" applyFont="1" applyFill="1" applyBorder="1"/>
    <xf numFmtId="165" fontId="23" fillId="17" borderId="8" xfId="6" applyNumberFormat="1" applyFont="1" applyFill="1" applyBorder="1" applyAlignment="1" applyProtection="1">
      <alignment vertical="center"/>
    </xf>
    <xf numFmtId="165" fontId="23" fillId="17" borderId="26" xfId="6" applyNumberFormat="1" applyFont="1" applyFill="1" applyBorder="1" applyAlignment="1" applyProtection="1">
      <alignment vertical="center"/>
    </xf>
    <xf numFmtId="165" fontId="23" fillId="17" borderId="39" xfId="6" applyNumberFormat="1" applyFont="1" applyFill="1" applyBorder="1" applyAlignment="1" applyProtection="1">
      <alignment vertical="center"/>
    </xf>
    <xf numFmtId="165" fontId="23" fillId="17" borderId="56" xfId="6" applyNumberFormat="1" applyFont="1" applyFill="1" applyBorder="1" applyAlignment="1" applyProtection="1">
      <alignment vertical="center"/>
    </xf>
    <xf numFmtId="165" fontId="23" fillId="17" borderId="11" xfId="6" applyNumberFormat="1" applyFont="1" applyFill="1" applyBorder="1" applyAlignment="1" applyProtection="1">
      <alignment vertical="center"/>
    </xf>
    <xf numFmtId="165" fontId="23" fillId="17" borderId="27" xfId="6" applyNumberFormat="1" applyFont="1" applyFill="1" applyBorder="1" applyAlignment="1" applyProtection="1">
      <alignment vertical="center"/>
    </xf>
    <xf numFmtId="0" fontId="5" fillId="0" borderId="0" xfId="6" applyFont="1" applyFill="1" applyBorder="1" applyAlignment="1" applyProtection="1">
      <alignment vertical="center"/>
    </xf>
    <xf numFmtId="165" fontId="23" fillId="17" borderId="245" xfId="6" applyNumberFormat="1" applyFont="1" applyFill="1" applyBorder="1" applyAlignment="1" applyProtection="1">
      <alignment vertical="center"/>
    </xf>
    <xf numFmtId="165" fontId="23" fillId="17" borderId="246" xfId="6" applyNumberFormat="1" applyFont="1" applyFill="1" applyBorder="1" applyAlignment="1" applyProtection="1">
      <alignment vertical="center"/>
    </xf>
    <xf numFmtId="165" fontId="23" fillId="17" borderId="41" xfId="6" applyNumberFormat="1" applyFont="1" applyFill="1" applyBorder="1" applyAlignment="1" applyProtection="1">
      <alignment vertical="center"/>
    </xf>
    <xf numFmtId="165" fontId="23" fillId="17" borderId="12" xfId="6" applyNumberFormat="1" applyFont="1" applyFill="1" applyBorder="1" applyAlignment="1" applyProtection="1">
      <alignment vertical="center"/>
    </xf>
    <xf numFmtId="165" fontId="23" fillId="17" borderId="40" xfId="6" applyNumberFormat="1" applyFont="1" applyFill="1" applyBorder="1" applyAlignment="1" applyProtection="1">
      <alignment vertical="center"/>
    </xf>
    <xf numFmtId="165" fontId="23" fillId="17" borderId="247" xfId="6" applyNumberFormat="1" applyFont="1" applyFill="1" applyBorder="1" applyAlignment="1" applyProtection="1">
      <alignment vertical="center"/>
    </xf>
    <xf numFmtId="0" fontId="14" fillId="0" borderId="0" xfId="6" applyFont="1" applyFill="1" applyBorder="1" applyAlignment="1" applyProtection="1">
      <alignment horizontal="center" vertical="center"/>
    </xf>
    <xf numFmtId="165" fontId="23" fillId="17" borderId="248" xfId="6" applyNumberFormat="1" applyFont="1" applyFill="1" applyBorder="1" applyAlignment="1" applyProtection="1">
      <alignment vertical="center"/>
    </xf>
    <xf numFmtId="165" fontId="23" fillId="17" borderId="249" xfId="6" applyNumberFormat="1" applyFont="1" applyFill="1" applyBorder="1" applyAlignment="1" applyProtection="1">
      <alignment vertical="center"/>
    </xf>
    <xf numFmtId="165" fontId="23" fillId="18" borderId="250" xfId="6" applyNumberFormat="1" applyFont="1" applyFill="1" applyBorder="1" applyAlignment="1" applyProtection="1">
      <alignment vertical="center"/>
    </xf>
    <xf numFmtId="165" fontId="23" fillId="17" borderId="9" xfId="11" applyNumberFormat="1" applyFont="1" applyFill="1" applyBorder="1" applyProtection="1"/>
    <xf numFmtId="165" fontId="23" fillId="17" borderId="38" xfId="11" applyNumberFormat="1" applyFont="1" applyFill="1" applyBorder="1" applyProtection="1"/>
    <xf numFmtId="165" fontId="23" fillId="17" borderId="263" xfId="6" applyNumberFormat="1" applyFont="1" applyFill="1" applyBorder="1" applyAlignment="1" applyProtection="1">
      <alignment vertical="center"/>
    </xf>
    <xf numFmtId="165" fontId="23" fillId="17" borderId="262" xfId="6" applyNumberFormat="1" applyFont="1" applyFill="1" applyBorder="1" applyAlignment="1" applyProtection="1">
      <alignment vertical="center"/>
    </xf>
    <xf numFmtId="0" fontId="16" fillId="0" borderId="12" xfId="6" applyFont="1" applyFill="1" applyBorder="1" applyAlignment="1" applyProtection="1">
      <alignment vertical="center"/>
    </xf>
    <xf numFmtId="0" fontId="5" fillId="0" borderId="0" xfId="6" applyFont="1" applyFill="1" applyAlignment="1" applyProtection="1">
      <alignment vertical="center"/>
    </xf>
    <xf numFmtId="165" fontId="23" fillId="7" borderId="18" xfId="6" applyNumberFormat="1" applyFont="1" applyFill="1" applyBorder="1" applyAlignment="1" applyProtection="1">
      <alignment vertical="center"/>
    </xf>
    <xf numFmtId="165" fontId="23" fillId="7" borderId="109" xfId="6" applyNumberFormat="1" applyFont="1" applyFill="1" applyBorder="1" applyAlignment="1" applyProtection="1">
      <alignment vertical="center"/>
    </xf>
    <xf numFmtId="0" fontId="14" fillId="23" borderId="6" xfId="11" applyFont="1" applyFill="1" applyBorder="1" applyAlignment="1" applyProtection="1">
      <alignment horizontal="center" vertical="center"/>
    </xf>
    <xf numFmtId="0" fontId="16" fillId="0" borderId="9" xfId="11" applyFont="1" applyFill="1" applyBorder="1" applyAlignment="1">
      <alignment horizontal="center" vertical="center"/>
    </xf>
    <xf numFmtId="0" fontId="5" fillId="0" borderId="291" xfId="0" applyFont="1" applyBorder="1" applyAlignment="1">
      <alignment horizontal="center"/>
    </xf>
    <xf numFmtId="0" fontId="5" fillId="0" borderId="292" xfId="0" applyFont="1" applyBorder="1" applyAlignment="1">
      <alignment horizontal="center"/>
    </xf>
    <xf numFmtId="0" fontId="5" fillId="0" borderId="293" xfId="0" applyFont="1" applyBorder="1" applyAlignment="1">
      <alignment horizontal="center"/>
    </xf>
    <xf numFmtId="0" fontId="5" fillId="0" borderId="294" xfId="0" applyFont="1" applyBorder="1" applyAlignment="1">
      <alignment horizontal="center"/>
    </xf>
    <xf numFmtId="0" fontId="5" fillId="0" borderId="0" xfId="0" applyFont="1" applyAlignment="1">
      <alignment wrapText="1"/>
    </xf>
    <xf numFmtId="2" fontId="0" fillId="0" borderId="0" xfId="0" applyNumberFormat="1" applyBorder="1"/>
    <xf numFmtId="10" fontId="0" fillId="0" borderId="0" xfId="0" applyNumberFormat="1" applyBorder="1" applyAlignment="1">
      <alignment wrapText="1"/>
    </xf>
    <xf numFmtId="165" fontId="23" fillId="31" borderId="29" xfId="10" applyNumberFormat="1" applyFont="1" applyFill="1" applyBorder="1" applyAlignment="1" applyProtection="1">
      <alignment vertical="center"/>
    </xf>
    <xf numFmtId="165" fontId="23" fillId="31" borderId="38" xfId="10" applyNumberFormat="1" applyFont="1" applyFill="1" applyBorder="1" applyAlignment="1" applyProtection="1">
      <alignment vertical="center"/>
    </xf>
    <xf numFmtId="165" fontId="23" fillId="31" borderId="56" xfId="2" applyNumberFormat="1" applyFont="1" applyFill="1" applyBorder="1" applyAlignment="1" applyProtection="1">
      <alignment vertical="center"/>
    </xf>
    <xf numFmtId="165" fontId="23" fillId="31" borderId="10" xfId="2" applyNumberFormat="1" applyFont="1" applyFill="1" applyBorder="1" applyAlignment="1" applyProtection="1">
      <alignment vertical="center"/>
    </xf>
    <xf numFmtId="165" fontId="23" fillId="31" borderId="10" xfId="10" applyNumberFormat="1" applyFont="1" applyFill="1" applyBorder="1" applyAlignment="1" applyProtection="1">
      <alignment vertical="center"/>
    </xf>
    <xf numFmtId="165" fontId="23" fillId="31" borderId="39" xfId="10" applyNumberFormat="1" applyFont="1" applyFill="1" applyBorder="1" applyAlignment="1" applyProtection="1">
      <alignment vertical="center"/>
    </xf>
    <xf numFmtId="165" fontId="20" fillId="31" borderId="8" xfId="6" applyNumberFormat="1" applyFont="1" applyFill="1" applyBorder="1" applyAlignment="1" applyProtection="1">
      <alignment vertical="center"/>
    </xf>
    <xf numFmtId="165" fontId="20" fillId="31" borderId="9" xfId="6" applyNumberFormat="1" applyFont="1" applyFill="1" applyBorder="1" applyAlignment="1" applyProtection="1">
      <alignment vertical="center"/>
    </xf>
    <xf numFmtId="165" fontId="23" fillId="31" borderId="34" xfId="9" applyNumberFormat="1" applyFont="1" applyFill="1" applyBorder="1" applyAlignment="1" applyProtection="1">
      <alignment vertical="center"/>
    </xf>
    <xf numFmtId="165" fontId="20" fillId="31" borderId="26" xfId="6" applyNumberFormat="1" applyFont="1" applyFill="1" applyBorder="1" applyAlignment="1" applyProtection="1">
      <alignment vertical="center"/>
    </xf>
    <xf numFmtId="165" fontId="20" fillId="31" borderId="10" xfId="6" applyNumberFormat="1" applyFont="1" applyFill="1" applyBorder="1" applyAlignment="1" applyProtection="1">
      <alignment vertical="center"/>
    </xf>
    <xf numFmtId="165" fontId="20" fillId="31" borderId="38" xfId="6" applyNumberFormat="1" applyFont="1" applyFill="1" applyBorder="1" applyAlignment="1" applyProtection="1">
      <alignment vertical="center"/>
    </xf>
    <xf numFmtId="165" fontId="23" fillId="31" borderId="18" xfId="9" applyNumberFormat="1" applyFont="1" applyFill="1" applyBorder="1" applyAlignment="1" applyProtection="1">
      <alignment vertical="center"/>
    </xf>
    <xf numFmtId="10" fontId="23" fillId="31" borderId="32" xfId="9" applyNumberFormat="1" applyFont="1" applyFill="1" applyBorder="1" applyAlignment="1" applyProtection="1">
      <alignment vertical="center"/>
    </xf>
    <xf numFmtId="0" fontId="5" fillId="0" borderId="0" xfId="0" applyFont="1" applyFill="1" applyAlignment="1">
      <alignment wrapText="1"/>
    </xf>
    <xf numFmtId="0" fontId="11" fillId="0" borderId="19" xfId="5" applyFont="1" applyBorder="1" applyAlignment="1" applyProtection="1">
      <alignment vertical="center"/>
    </xf>
    <xf numFmtId="0" fontId="0" fillId="0" borderId="23" xfId="0" quotePrefix="1" applyBorder="1"/>
    <xf numFmtId="0" fontId="19" fillId="3" borderId="13" xfId="0" applyFont="1" applyFill="1" applyBorder="1" applyAlignment="1" applyProtection="1">
      <alignment horizontal="center" vertical="center" wrapText="1"/>
    </xf>
    <xf numFmtId="0" fontId="11" fillId="0" borderId="19" xfId="5" applyFont="1" applyFill="1" applyBorder="1" applyAlignment="1" applyProtection="1">
      <alignment vertical="center"/>
    </xf>
    <xf numFmtId="0" fontId="19" fillId="3" borderId="21" xfId="0" applyFont="1" applyFill="1" applyBorder="1" applyAlignment="1" applyProtection="1">
      <alignment horizontal="center" vertical="center" wrapText="1"/>
    </xf>
    <xf numFmtId="0" fontId="11" fillId="0" borderId="8" xfId="5" applyFont="1" applyFill="1" applyBorder="1" applyAlignment="1" applyProtection="1">
      <alignment vertical="center"/>
    </xf>
    <xf numFmtId="0" fontId="19" fillId="5" borderId="10" xfId="0" applyFont="1" applyFill="1" applyBorder="1" applyAlignment="1" applyProtection="1">
      <alignment horizontal="center" vertical="center" wrapText="1"/>
    </xf>
    <xf numFmtId="0" fontId="23" fillId="0" borderId="113" xfId="9" applyFont="1" applyFill="1" applyBorder="1" applyAlignment="1" applyProtection="1">
      <alignment horizontal="center" vertical="center"/>
    </xf>
    <xf numFmtId="0" fontId="22" fillId="0" borderId="47" xfId="0" applyFont="1" applyBorder="1" applyAlignment="1">
      <alignment horizontal="center"/>
    </xf>
    <xf numFmtId="0" fontId="22" fillId="0" borderId="48" xfId="0" applyFont="1" applyBorder="1" applyAlignment="1">
      <alignment horizontal="center" vertical="center"/>
    </xf>
    <xf numFmtId="2" fontId="23" fillId="4" borderId="49" xfId="9" applyNumberFormat="1" applyFont="1" applyFill="1" applyBorder="1" applyAlignment="1" applyProtection="1">
      <alignment horizontal="right"/>
      <protection locked="0"/>
    </xf>
    <xf numFmtId="0" fontId="9" fillId="0" borderId="20" xfId="0" applyFont="1" applyBorder="1"/>
    <xf numFmtId="0" fontId="22" fillId="0" borderId="20" xfId="0" applyFont="1" applyBorder="1" applyAlignment="1">
      <alignment horizontal="center"/>
    </xf>
    <xf numFmtId="0" fontId="22" fillId="0" borderId="51" xfId="0" applyFont="1" applyBorder="1" applyAlignment="1">
      <alignment horizontal="center" vertical="center"/>
    </xf>
    <xf numFmtId="2" fontId="23" fillId="7" borderId="23" xfId="9" applyNumberFormat="1" applyFont="1" applyFill="1" applyBorder="1" applyAlignment="1" applyProtection="1">
      <alignment horizontal="right"/>
    </xf>
    <xf numFmtId="0" fontId="23" fillId="0" borderId="56" xfId="9" applyFont="1" applyFill="1" applyBorder="1" applyAlignment="1" applyProtection="1">
      <alignment horizontal="center" vertical="center"/>
    </xf>
    <xf numFmtId="2" fontId="23" fillId="7" borderId="32" xfId="9" applyNumberFormat="1" applyFont="1" applyFill="1" applyBorder="1" applyAlignment="1" applyProtection="1">
      <alignment horizontal="right"/>
    </xf>
    <xf numFmtId="0" fontId="22" fillId="0" borderId="0" xfId="0" applyFont="1" applyAlignment="1">
      <alignment wrapText="1"/>
    </xf>
    <xf numFmtId="0" fontId="22" fillId="0" borderId="0" xfId="0" applyNumberFormat="1" applyFont="1" applyAlignment="1">
      <alignment wrapText="1"/>
    </xf>
    <xf numFmtId="0" fontId="20" fillId="0" borderId="0" xfId="0" applyFont="1" applyAlignment="1">
      <alignment wrapText="1"/>
    </xf>
    <xf numFmtId="0" fontId="20" fillId="0" borderId="0" xfId="0" applyNumberFormat="1" applyFont="1" applyAlignment="1">
      <alignment wrapText="1"/>
    </xf>
    <xf numFmtId="0" fontId="0" fillId="32" borderId="0" xfId="0" applyFill="1"/>
    <xf numFmtId="0" fontId="0" fillId="32" borderId="0" xfId="0" applyNumberFormat="1" applyFill="1"/>
    <xf numFmtId="0" fontId="20" fillId="33" borderId="0" xfId="0" applyFont="1" applyFill="1" applyAlignment="1">
      <alignment wrapText="1"/>
    </xf>
    <xf numFmtId="0" fontId="20" fillId="34" borderId="0" xfId="0" applyFont="1" applyFill="1" applyAlignment="1">
      <alignment wrapText="1"/>
    </xf>
    <xf numFmtId="0" fontId="20" fillId="35" borderId="0" xfId="0" applyFont="1" applyFill="1" applyAlignment="1">
      <alignment wrapText="1"/>
    </xf>
    <xf numFmtId="0" fontId="85" fillId="35" borderId="0" xfId="0" applyFont="1" applyFill="1" applyAlignment="1">
      <alignment wrapText="1"/>
    </xf>
    <xf numFmtId="0" fontId="85" fillId="33" borderId="0" xfId="0" applyFont="1" applyFill="1" applyAlignment="1">
      <alignment wrapText="1"/>
    </xf>
    <xf numFmtId="0" fontId="85" fillId="34" borderId="0" xfId="0" applyNumberFormat="1" applyFont="1" applyFill="1" applyAlignment="1">
      <alignment wrapText="1"/>
    </xf>
    <xf numFmtId="0" fontId="20" fillId="0" borderId="0" xfId="0" applyFont="1" applyFill="1" applyAlignment="1">
      <alignment wrapText="1"/>
    </xf>
    <xf numFmtId="0" fontId="22" fillId="34" borderId="0" xfId="0" applyNumberFormat="1" applyFont="1" applyFill="1" applyAlignment="1">
      <alignment wrapText="1"/>
    </xf>
    <xf numFmtId="0" fontId="22" fillId="34" borderId="0" xfId="0" applyFont="1" applyFill="1" applyAlignment="1">
      <alignment wrapText="1"/>
    </xf>
    <xf numFmtId="0" fontId="22" fillId="33" borderId="0" xfId="0" applyFont="1" applyFill="1" applyAlignment="1">
      <alignment wrapText="1"/>
    </xf>
    <xf numFmtId="0" fontId="22" fillId="35" borderId="0" xfId="0" applyFont="1" applyFill="1" applyAlignment="1">
      <alignment wrapText="1"/>
    </xf>
    <xf numFmtId="0" fontId="22" fillId="0" borderId="0" xfId="0" applyFont="1" applyFill="1" applyAlignment="1">
      <alignment wrapText="1"/>
    </xf>
    <xf numFmtId="0" fontId="9" fillId="33" borderId="0" xfId="0" applyFont="1" applyFill="1" applyBorder="1"/>
    <xf numFmtId="0" fontId="9" fillId="34" borderId="0" xfId="0" applyFont="1" applyFill="1" applyBorder="1"/>
    <xf numFmtId="0" fontId="9" fillId="35" borderId="0" xfId="0" applyFont="1" applyFill="1" applyBorder="1"/>
    <xf numFmtId="0" fontId="9" fillId="0" borderId="0" xfId="0" applyFont="1" applyFill="1" applyBorder="1"/>
    <xf numFmtId="0" fontId="0" fillId="33" borderId="0" xfId="0" applyFill="1"/>
    <xf numFmtId="0" fontId="0" fillId="33" borderId="0" xfId="0" applyNumberFormat="1" applyFill="1"/>
    <xf numFmtId="0" fontId="0" fillId="34" borderId="0" xfId="0" applyFill="1"/>
    <xf numFmtId="0" fontId="39" fillId="35" borderId="0" xfId="0" applyNumberFormat="1" applyFont="1" applyFill="1" applyBorder="1" applyAlignment="1">
      <alignment horizontal="left" vertical="top" wrapText="1"/>
    </xf>
    <xf numFmtId="0" fontId="39" fillId="35" borderId="0" xfId="0" applyFont="1" applyFill="1" applyBorder="1" applyAlignment="1">
      <alignment horizontal="left" vertical="top" wrapText="1"/>
    </xf>
    <xf numFmtId="0" fontId="0" fillId="35" borderId="0" xfId="0" applyFill="1"/>
    <xf numFmtId="0" fontId="16" fillId="33" borderId="0" xfId="0" applyFont="1" applyFill="1" applyBorder="1"/>
    <xf numFmtId="0" fontId="5" fillId="33" borderId="0" xfId="0" applyFont="1" applyFill="1"/>
    <xf numFmtId="0" fontId="22" fillId="0" borderId="0" xfId="0" applyFont="1" applyAlignment="1">
      <alignment horizontal="left" vertical="top" wrapText="1"/>
    </xf>
    <xf numFmtId="0" fontId="22" fillId="34" borderId="0" xfId="0" applyFont="1" applyFill="1" applyAlignment="1">
      <alignment horizontal="left" vertical="top" wrapText="1"/>
    </xf>
    <xf numFmtId="0" fontId="22" fillId="33" borderId="0" xfId="0" applyFont="1" applyFill="1" applyAlignment="1">
      <alignment horizontal="left" vertical="top" wrapText="1"/>
    </xf>
    <xf numFmtId="0" fontId="22" fillId="35" borderId="0" xfId="0" applyFont="1" applyFill="1" applyAlignment="1">
      <alignment horizontal="left" vertical="top" wrapText="1"/>
    </xf>
    <xf numFmtId="0" fontId="39" fillId="34" borderId="0" xfId="0" applyFont="1" applyFill="1" applyBorder="1"/>
    <xf numFmtId="0" fontId="39" fillId="33" borderId="0" xfId="0" applyFont="1" applyFill="1" applyBorder="1"/>
    <xf numFmtId="0" fontId="39" fillId="35" borderId="0" xfId="0" applyFont="1" applyFill="1" applyBorder="1"/>
    <xf numFmtId="1" fontId="23" fillId="4" borderId="9" xfId="11" applyNumberFormat="1" applyFont="1" applyFill="1" applyBorder="1" applyAlignment="1" applyProtection="1">
      <alignment horizontal="right" vertical="center" wrapText="1"/>
      <protection locked="0"/>
    </xf>
    <xf numFmtId="0" fontId="0" fillId="0" borderId="0" xfId="0" applyAlignment="1">
      <alignment horizontal="right"/>
    </xf>
    <xf numFmtId="0" fontId="16" fillId="9" borderId="0" xfId="9" applyFill="1" applyAlignment="1" applyProtection="1">
      <alignment horizontal="left" vertical="center"/>
    </xf>
    <xf numFmtId="0" fontId="16" fillId="9" borderId="0" xfId="9" applyFont="1" applyFill="1" applyAlignment="1" applyProtection="1">
      <alignment horizontal="left" vertical="center"/>
    </xf>
    <xf numFmtId="0" fontId="23" fillId="0" borderId="0" xfId="9" applyNumberFormat="1" applyFont="1" applyFill="1" applyBorder="1" applyAlignment="1" applyProtection="1">
      <alignment horizontal="left" vertical="center" wrapText="1"/>
    </xf>
    <xf numFmtId="0" fontId="16" fillId="9" borderId="0" xfId="9" applyFont="1" applyFill="1" applyBorder="1" applyAlignment="1" applyProtection="1">
      <alignment horizontal="left" vertical="center"/>
    </xf>
    <xf numFmtId="0" fontId="20" fillId="0" borderId="0" xfId="8" applyFont="1" applyAlignment="1" applyProtection="1">
      <alignment horizontal="left" vertical="center"/>
    </xf>
    <xf numFmtId="0" fontId="0" fillId="0" borderId="0" xfId="0" applyAlignment="1" applyProtection="1">
      <alignment horizontal="left"/>
    </xf>
    <xf numFmtId="0" fontId="99" fillId="0" borderId="0" xfId="0" applyFont="1" applyFill="1" applyBorder="1" applyAlignment="1" applyProtection="1">
      <alignment wrapText="1"/>
    </xf>
    <xf numFmtId="165" fontId="2" fillId="0" borderId="0" xfId="0" applyNumberFormat="1" applyFont="1"/>
    <xf numFmtId="0" fontId="23" fillId="0" borderId="131" xfId="9" applyFont="1" applyFill="1" applyBorder="1" applyAlignment="1" applyProtection="1">
      <alignment horizontal="center" vertical="center"/>
    </xf>
    <xf numFmtId="0" fontId="9" fillId="0" borderId="47" xfId="0" applyFont="1" applyBorder="1"/>
    <xf numFmtId="10" fontId="23" fillId="7" borderId="7" xfId="9" applyNumberFormat="1" applyFont="1" applyFill="1" applyBorder="1" applyAlignment="1" applyProtection="1">
      <alignment vertical="center"/>
    </xf>
    <xf numFmtId="10" fontId="23" fillId="7" borderId="10" xfId="9" applyNumberFormat="1" applyFont="1" applyFill="1" applyBorder="1" applyAlignment="1" applyProtection="1">
      <alignment vertical="center"/>
    </xf>
    <xf numFmtId="10" fontId="20" fillId="4" borderId="10" xfId="6" applyNumberFormat="1" applyFont="1" applyFill="1" applyBorder="1" applyAlignment="1" applyProtection="1">
      <alignment vertical="center"/>
      <protection locked="0"/>
    </xf>
    <xf numFmtId="0" fontId="23" fillId="0" borderId="11" xfId="6" applyFont="1" applyBorder="1" applyAlignment="1" applyProtection="1">
      <alignment horizontal="center" vertical="center"/>
    </xf>
    <xf numFmtId="0" fontId="32" fillId="0" borderId="12" xfId="6" applyFont="1" applyBorder="1" applyAlignment="1" applyProtection="1">
      <alignment vertical="center" wrapText="1"/>
    </xf>
    <xf numFmtId="0" fontId="23" fillId="23" borderId="46" xfId="11" applyFont="1" applyFill="1" applyBorder="1" applyAlignment="1" applyProtection="1">
      <alignment horizontal="center" vertical="center"/>
    </xf>
    <xf numFmtId="0" fontId="51" fillId="23" borderId="47" xfId="11" applyFont="1" applyFill="1" applyBorder="1" applyAlignment="1">
      <alignment vertical="center" wrapText="1"/>
    </xf>
    <xf numFmtId="0" fontId="51" fillId="23" borderId="47" xfId="11" applyFont="1" applyFill="1" applyBorder="1" applyAlignment="1">
      <alignment horizontal="center" vertical="center"/>
    </xf>
    <xf numFmtId="0" fontId="14" fillId="23" borderId="47" xfId="11" applyFont="1" applyFill="1" applyBorder="1" applyAlignment="1" applyProtection="1">
      <alignment horizontal="center" vertical="center"/>
    </xf>
    <xf numFmtId="0" fontId="14" fillId="23" borderId="50" xfId="11" applyFont="1" applyFill="1" applyBorder="1" applyAlignment="1" applyProtection="1">
      <alignment horizontal="center" vertical="center"/>
    </xf>
    <xf numFmtId="165" fontId="16" fillId="7" borderId="113" xfId="19" applyNumberFormat="1" applyFont="1" applyFill="1" applyBorder="1" applyAlignment="1" applyProtection="1">
      <alignment vertical="center"/>
    </xf>
    <xf numFmtId="1" fontId="16" fillId="4" borderId="49" xfId="19" applyNumberFormat="1" applyFont="1" applyFill="1" applyBorder="1" applyAlignment="1" applyProtection="1">
      <alignment vertical="center" wrapText="1"/>
      <protection locked="0"/>
    </xf>
    <xf numFmtId="0" fontId="23" fillId="23" borderId="19" xfId="11" applyFont="1" applyFill="1" applyBorder="1" applyAlignment="1" applyProtection="1">
      <alignment horizontal="center" vertical="center"/>
    </xf>
    <xf numFmtId="0" fontId="14" fillId="23" borderId="20" xfId="11" applyFont="1" applyFill="1" applyBorder="1" applyAlignment="1" applyProtection="1">
      <alignment horizontal="center" vertical="center"/>
    </xf>
    <xf numFmtId="0" fontId="14" fillId="23" borderId="21" xfId="11" applyFont="1" applyFill="1" applyBorder="1" applyAlignment="1" applyProtection="1">
      <alignment horizontal="center" vertical="center"/>
    </xf>
    <xf numFmtId="165" fontId="16" fillId="7" borderId="131" xfId="11" applyNumberFormat="1" applyFont="1" applyFill="1" applyBorder="1" applyAlignment="1" applyProtection="1">
      <alignment vertical="center"/>
    </xf>
    <xf numFmtId="1" fontId="16" fillId="4" borderId="23" xfId="19" applyNumberFormat="1" applyFont="1" applyFill="1" applyBorder="1" applyAlignment="1" applyProtection="1">
      <alignment vertical="center" wrapText="1"/>
      <protection locked="0"/>
    </xf>
    <xf numFmtId="1" fontId="23" fillId="4" borderId="31" xfId="11" applyNumberFormat="1" applyFont="1" applyFill="1" applyBorder="1" applyProtection="1">
      <protection locked="0"/>
    </xf>
    <xf numFmtId="0" fontId="16" fillId="4" borderId="18" xfId="19" applyNumberFormat="1" applyFont="1" applyFill="1" applyBorder="1" applyAlignment="1" applyProtection="1">
      <alignment vertical="center" wrapText="1"/>
      <protection locked="0"/>
    </xf>
    <xf numFmtId="1" fontId="23" fillId="7" borderId="30" xfId="11" applyNumberFormat="1" applyFont="1" applyFill="1" applyBorder="1" applyProtection="1"/>
    <xf numFmtId="0" fontId="9" fillId="0" borderId="19" xfId="6" applyFont="1" applyBorder="1" applyAlignment="1" applyProtection="1">
      <alignment vertical="center"/>
    </xf>
    <xf numFmtId="0" fontId="51" fillId="0" borderId="51" xfId="11" applyFont="1" applyFill="1" applyBorder="1" applyAlignment="1">
      <alignment horizontal="center" vertical="center"/>
    </xf>
    <xf numFmtId="0" fontId="7" fillId="3" borderId="316" xfId="6" applyFont="1" applyFill="1" applyBorder="1" applyAlignment="1" applyProtection="1">
      <alignment horizontal="center" vertical="center" wrapText="1"/>
    </xf>
    <xf numFmtId="0" fontId="14" fillId="0" borderId="6" xfId="6" applyFont="1" applyBorder="1" applyAlignment="1">
      <alignment horizontal="center" vertical="center"/>
    </xf>
    <xf numFmtId="0" fontId="14" fillId="0" borderId="9" xfId="6" applyFont="1" applyBorder="1" applyAlignment="1">
      <alignment horizontal="center" vertical="center"/>
    </xf>
    <xf numFmtId="0" fontId="14" fillId="0" borderId="12" xfId="6" applyFont="1" applyBorder="1" applyAlignment="1">
      <alignment horizontal="center" vertical="center"/>
    </xf>
    <xf numFmtId="0" fontId="5" fillId="0" borderId="0" xfId="0" applyFont="1" applyAlignment="1">
      <alignment horizontal="center" vertical="center"/>
    </xf>
    <xf numFmtId="0" fontId="14" fillId="0" borderId="20" xfId="6" applyFont="1" applyBorder="1" applyAlignment="1">
      <alignment horizontal="center" vertical="center"/>
    </xf>
    <xf numFmtId="165" fontId="16" fillId="7" borderId="323" xfId="19" applyNumberFormat="1" applyFont="1" applyFill="1" applyBorder="1" applyAlignment="1" applyProtection="1">
      <alignment vertical="center"/>
    </xf>
    <xf numFmtId="165" fontId="16" fillId="7" borderId="322" xfId="19" applyNumberFormat="1" applyFont="1" applyFill="1" applyBorder="1" applyAlignment="1" applyProtection="1">
      <alignment vertical="center"/>
    </xf>
    <xf numFmtId="165" fontId="16" fillId="7" borderId="324" xfId="19" applyNumberFormat="1" applyFont="1" applyFill="1" applyBorder="1" applyAlignment="1" applyProtection="1">
      <alignment vertical="center"/>
    </xf>
    <xf numFmtId="165" fontId="16" fillId="7" borderId="325" xfId="19" applyNumberFormat="1" applyFont="1" applyFill="1" applyBorder="1" applyAlignment="1" applyProtection="1">
      <alignment vertical="center"/>
    </xf>
    <xf numFmtId="165" fontId="16" fillId="7" borderId="326" xfId="19" applyNumberFormat="1" applyFont="1" applyFill="1" applyBorder="1" applyAlignment="1" applyProtection="1">
      <alignment vertical="center"/>
    </xf>
    <xf numFmtId="165" fontId="16" fillId="0" borderId="322" xfId="19" applyNumberFormat="1" applyFont="1" applyFill="1" applyBorder="1" applyAlignment="1" applyProtection="1">
      <alignment vertical="center"/>
    </xf>
    <xf numFmtId="165" fontId="16" fillId="0" borderId="274" xfId="19" applyNumberFormat="1" applyFont="1" applyFill="1" applyBorder="1" applyAlignment="1" applyProtection="1">
      <alignment vertical="center"/>
    </xf>
    <xf numFmtId="165" fontId="0" fillId="0" borderId="0" xfId="0" applyNumberFormat="1" applyFill="1" applyProtection="1"/>
    <xf numFmtId="0" fontId="23" fillId="4" borderId="6" xfId="9" applyNumberFormat="1" applyFont="1" applyFill="1" applyBorder="1" applyAlignment="1" applyProtection="1">
      <alignment horizontal="center" vertical="center" wrapText="1"/>
    </xf>
    <xf numFmtId="0" fontId="10" fillId="0" borderId="4" xfId="5" applyBorder="1" applyAlignment="1" applyProtection="1">
      <alignment horizontal="center" vertical="center"/>
    </xf>
    <xf numFmtId="0" fontId="117" fillId="3" borderId="4" xfId="6" applyFont="1" applyFill="1" applyBorder="1" applyAlignment="1" applyProtection="1">
      <alignment vertical="center"/>
    </xf>
    <xf numFmtId="0" fontId="124" fillId="0" borderId="0" xfId="6" applyFont="1" applyAlignment="1" applyProtection="1">
      <alignment vertical="center"/>
    </xf>
    <xf numFmtId="10" fontId="20" fillId="7" borderId="6" xfId="2" applyNumberFormat="1" applyFont="1" applyFill="1" applyBorder="1" applyAlignment="1" applyProtection="1">
      <alignment vertical="center"/>
    </xf>
    <xf numFmtId="165" fontId="20" fillId="7" borderId="46" xfId="6" applyNumberFormat="1" applyFont="1" applyFill="1" applyBorder="1" applyAlignment="1" applyProtection="1">
      <alignment vertical="center"/>
    </xf>
    <xf numFmtId="10" fontId="20" fillId="4" borderId="37" xfId="2" applyNumberFormat="1" applyFont="1" applyFill="1" applyBorder="1" applyAlignment="1" applyProtection="1">
      <alignment vertical="center"/>
      <protection locked="0"/>
    </xf>
    <xf numFmtId="10" fontId="20" fillId="4" borderId="39" xfId="2" applyNumberFormat="1" applyFont="1" applyFill="1" applyBorder="1" applyAlignment="1" applyProtection="1">
      <alignment vertical="center"/>
      <protection locked="0"/>
    </xf>
    <xf numFmtId="10" fontId="20" fillId="7" borderId="29" xfId="2" applyNumberFormat="1" applyFont="1" applyFill="1" applyBorder="1" applyAlignment="1" applyProtection="1">
      <alignment vertical="center"/>
    </xf>
    <xf numFmtId="10" fontId="20" fillId="7" borderId="22" xfId="2" applyNumberFormat="1" applyFont="1" applyFill="1" applyBorder="1" applyAlignment="1" applyProtection="1">
      <alignment vertical="center"/>
    </xf>
    <xf numFmtId="165" fontId="20" fillId="31" borderId="61" xfId="6" applyNumberFormat="1" applyFont="1" applyFill="1" applyBorder="1" applyAlignment="1" applyProtection="1">
      <alignment vertical="center"/>
    </xf>
    <xf numFmtId="165" fontId="20" fillId="7" borderId="130" xfId="6" applyNumberFormat="1" applyFont="1" applyFill="1" applyBorder="1" applyAlignment="1" applyProtection="1">
      <alignment vertical="center"/>
    </xf>
    <xf numFmtId="165" fontId="20" fillId="31" borderId="1" xfId="6" applyNumberFormat="1" applyFont="1" applyFill="1" applyBorder="1" applyAlignment="1" applyProtection="1">
      <alignment vertical="center"/>
    </xf>
    <xf numFmtId="10" fontId="20" fillId="7" borderId="7" xfId="2" applyNumberFormat="1" applyFont="1" applyFill="1" applyBorder="1" applyAlignment="1" applyProtection="1">
      <alignment vertical="center"/>
    </xf>
    <xf numFmtId="10" fontId="20" fillId="7" borderId="10" xfId="2" applyNumberFormat="1" applyFont="1" applyFill="1" applyBorder="1" applyAlignment="1" applyProtection="1">
      <alignment vertical="center"/>
    </xf>
    <xf numFmtId="10" fontId="20" fillId="7" borderId="24" xfId="2" applyNumberFormat="1" applyFont="1" applyFill="1" applyBorder="1" applyAlignment="1" applyProtection="1">
      <alignment vertical="center"/>
    </xf>
    <xf numFmtId="10" fontId="20" fillId="7" borderId="26" xfId="2" applyNumberFormat="1" applyFont="1" applyFill="1" applyBorder="1" applyAlignment="1" applyProtection="1">
      <alignment vertical="center"/>
    </xf>
    <xf numFmtId="10" fontId="20" fillId="7" borderId="27" xfId="2" applyNumberFormat="1" applyFont="1" applyFill="1" applyBorder="1" applyAlignment="1" applyProtection="1">
      <alignment vertical="center"/>
    </xf>
    <xf numFmtId="10" fontId="20" fillId="7" borderId="39" xfId="2" applyNumberFormat="1" applyFont="1" applyFill="1" applyBorder="1" applyAlignment="1" applyProtection="1">
      <alignment vertical="center"/>
    </xf>
    <xf numFmtId="10" fontId="20" fillId="7" borderId="41" xfId="2" applyNumberFormat="1" applyFont="1" applyFill="1" applyBorder="1" applyAlignment="1" applyProtection="1">
      <alignment vertical="center"/>
    </xf>
    <xf numFmtId="10" fontId="20" fillId="7" borderId="61" xfId="2" applyNumberFormat="1" applyFont="1" applyFill="1" applyBorder="1" applyAlignment="1" applyProtection="1">
      <alignment vertical="center"/>
    </xf>
    <xf numFmtId="10" fontId="20" fillId="7" borderId="37" xfId="2" applyNumberFormat="1" applyFont="1" applyFill="1" applyBorder="1" applyAlignment="1" applyProtection="1">
      <alignment vertical="center"/>
    </xf>
    <xf numFmtId="10" fontId="20" fillId="31" borderId="61" xfId="2" applyNumberFormat="1" applyFont="1" applyFill="1" applyBorder="1" applyAlignment="1" applyProtection="1">
      <alignment vertical="center"/>
    </xf>
    <xf numFmtId="10" fontId="20" fillId="7" borderId="130" xfId="2" applyNumberFormat="1" applyFont="1" applyFill="1" applyBorder="1" applyAlignment="1" applyProtection="1">
      <alignment vertical="center"/>
    </xf>
    <xf numFmtId="10" fontId="1" fillId="0" borderId="327" xfId="2" applyNumberFormat="1" applyBorder="1" applyAlignment="1" applyProtection="1">
      <alignment vertical="center"/>
    </xf>
    <xf numFmtId="10" fontId="20" fillId="4" borderId="61" xfId="2" applyNumberFormat="1" applyFont="1" applyFill="1" applyBorder="1" applyAlignment="1" applyProtection="1">
      <alignment vertical="center"/>
      <protection locked="0"/>
    </xf>
    <xf numFmtId="165" fontId="20" fillId="7" borderId="125" xfId="6" applyNumberFormat="1" applyFont="1" applyFill="1" applyBorder="1" applyAlignment="1" applyProtection="1">
      <alignment vertical="center"/>
    </xf>
    <xf numFmtId="0" fontId="1" fillId="0" borderId="327" xfId="6" applyBorder="1" applyAlignment="1" applyProtection="1">
      <alignment vertical="center"/>
    </xf>
    <xf numFmtId="165" fontId="20" fillId="4" borderId="11" xfId="2" applyNumberFormat="1" applyFont="1" applyFill="1" applyBorder="1" applyAlignment="1" applyProtection="1">
      <alignment vertical="center"/>
      <protection locked="0"/>
    </xf>
    <xf numFmtId="165" fontId="20" fillId="7" borderId="12" xfId="2" applyNumberFormat="1" applyFont="1" applyFill="1" applyBorder="1" applyAlignment="1" applyProtection="1">
      <alignment vertical="center"/>
    </xf>
    <xf numFmtId="165" fontId="20" fillId="4" borderId="13" xfId="2" applyNumberFormat="1" applyFont="1" applyFill="1" applyBorder="1" applyAlignment="1" applyProtection="1">
      <alignment vertical="center"/>
      <protection locked="0"/>
    </xf>
    <xf numFmtId="165" fontId="1" fillId="0" borderId="0" xfId="6" applyNumberFormat="1" applyAlignment="1" applyProtection="1">
      <alignment vertical="center"/>
    </xf>
    <xf numFmtId="10" fontId="20" fillId="7" borderId="11" xfId="2" applyNumberFormat="1" applyFont="1" applyFill="1" applyBorder="1" applyAlignment="1" applyProtection="1">
      <alignment vertical="center"/>
    </xf>
    <xf numFmtId="10" fontId="20" fillId="7" borderId="5" xfId="2" applyNumberFormat="1" applyFont="1" applyFill="1" applyBorder="1" applyAlignment="1" applyProtection="1">
      <alignment vertical="center"/>
    </xf>
    <xf numFmtId="10" fontId="20" fillId="7" borderId="46" xfId="2" applyNumberFormat="1" applyFont="1" applyFill="1" applyBorder="1" applyAlignment="1" applyProtection="1">
      <alignment vertical="center"/>
    </xf>
    <xf numFmtId="10" fontId="20" fillId="7" borderId="125" xfId="2" applyNumberFormat="1" applyFont="1" applyFill="1" applyBorder="1" applyAlignment="1" applyProtection="1">
      <alignment vertical="center"/>
    </xf>
    <xf numFmtId="10" fontId="20" fillId="7" borderId="115" xfId="2" applyNumberFormat="1" applyFont="1" applyFill="1" applyBorder="1" applyAlignment="1" applyProtection="1">
      <alignment vertical="center"/>
    </xf>
    <xf numFmtId="165" fontId="23" fillId="31" borderId="5" xfId="9" applyNumberFormat="1" applyFont="1" applyFill="1" applyBorder="1" applyAlignment="1" applyProtection="1">
      <alignment vertical="center"/>
    </xf>
    <xf numFmtId="165" fontId="23" fillId="31" borderId="28" xfId="9" applyNumberFormat="1" applyFont="1" applyFill="1" applyBorder="1" applyAlignment="1" applyProtection="1">
      <alignment vertical="center"/>
    </xf>
    <xf numFmtId="165" fontId="23" fillId="31" borderId="7" xfId="9" applyNumberFormat="1" applyFont="1" applyFill="1" applyBorder="1" applyAlignment="1" applyProtection="1">
      <alignment vertical="center"/>
    </xf>
    <xf numFmtId="10" fontId="20" fillId="31" borderId="9" xfId="2" applyNumberFormat="1" applyFont="1" applyFill="1" applyBorder="1" applyAlignment="1" applyProtection="1">
      <alignment vertical="center"/>
    </xf>
    <xf numFmtId="165" fontId="23" fillId="31" borderId="31" xfId="9" applyNumberFormat="1" applyFont="1" applyFill="1" applyBorder="1" applyAlignment="1" applyProtection="1">
      <alignment vertical="center"/>
    </xf>
    <xf numFmtId="165" fontId="23" fillId="31" borderId="37" xfId="9" applyNumberFormat="1" applyFont="1" applyFill="1" applyBorder="1" applyAlignment="1" applyProtection="1">
      <alignment vertical="center"/>
    </xf>
    <xf numFmtId="165" fontId="23" fillId="31" borderId="6" xfId="9" applyNumberFormat="1" applyFont="1" applyFill="1" applyBorder="1" applyAlignment="1" applyProtection="1">
      <alignment vertical="center"/>
    </xf>
    <xf numFmtId="165" fontId="23" fillId="4" borderId="8" xfId="9" applyNumberFormat="1" applyFont="1" applyFill="1" applyBorder="1" applyAlignment="1" applyProtection="1">
      <alignment vertical="center"/>
    </xf>
    <xf numFmtId="165" fontId="23" fillId="7" borderId="29" xfId="9" applyNumberFormat="1" applyFont="1" applyFill="1" applyBorder="1" applyAlignment="1" applyProtection="1">
      <alignment vertical="center"/>
    </xf>
    <xf numFmtId="0" fontId="23" fillId="0" borderId="206" xfId="6" applyFont="1" applyBorder="1" applyAlignment="1" applyProtection="1">
      <alignment horizontal="center" vertical="center"/>
    </xf>
    <xf numFmtId="0" fontId="32" fillId="0" borderId="145" xfId="6" applyFont="1" applyBorder="1" applyAlignment="1" applyProtection="1">
      <alignment vertical="center" wrapText="1"/>
    </xf>
    <xf numFmtId="0" fontId="9" fillId="0" borderId="291" xfId="0" applyFont="1" applyBorder="1" applyAlignment="1">
      <alignment horizontal="center"/>
    </xf>
    <xf numFmtId="0" fontId="9" fillId="0" borderId="292" xfId="0" applyFont="1" applyBorder="1" applyAlignment="1">
      <alignment horizontal="center"/>
    </xf>
    <xf numFmtId="0" fontId="9" fillId="0" borderId="293" xfId="0" applyFont="1" applyBorder="1" applyAlignment="1">
      <alignment horizontal="center"/>
    </xf>
    <xf numFmtId="0" fontId="9" fillId="0" borderId="294" xfId="0" applyFont="1" applyBorder="1" applyAlignment="1">
      <alignment horizontal="center"/>
    </xf>
    <xf numFmtId="0" fontId="9" fillId="0" borderId="0" xfId="0" applyFont="1" applyAlignment="1">
      <alignment horizontal="center"/>
    </xf>
    <xf numFmtId="0" fontId="9" fillId="0" borderId="0" xfId="0" applyFont="1" applyAlignment="1">
      <alignment horizontal="center" wrapText="1"/>
    </xf>
    <xf numFmtId="0" fontId="9" fillId="0" borderId="213" xfId="0" applyFont="1" applyBorder="1" applyAlignment="1">
      <alignment horizontal="center"/>
    </xf>
    <xf numFmtId="0" fontId="9" fillId="0" borderId="222" xfId="0" applyFont="1" applyBorder="1" applyAlignment="1">
      <alignment horizontal="center"/>
    </xf>
    <xf numFmtId="0" fontId="9" fillId="0" borderId="234" xfId="0" applyFont="1" applyBorder="1" applyAlignment="1">
      <alignment horizontal="center"/>
    </xf>
    <xf numFmtId="0" fontId="9" fillId="0" borderId="212" xfId="0" applyFont="1" applyBorder="1" applyAlignment="1">
      <alignment horizontal="center"/>
    </xf>
    <xf numFmtId="0" fontId="9" fillId="0" borderId="221" xfId="0" applyFont="1" applyBorder="1" applyAlignment="1">
      <alignment horizontal="center"/>
    </xf>
    <xf numFmtId="0" fontId="9" fillId="0" borderId="258" xfId="0" applyFont="1" applyBorder="1" applyAlignment="1">
      <alignment horizontal="center"/>
    </xf>
    <xf numFmtId="10" fontId="23" fillId="4" borderId="5" xfId="2" applyNumberFormat="1" applyFont="1" applyFill="1" applyBorder="1" applyAlignment="1" applyProtection="1">
      <alignment vertical="center"/>
    </xf>
    <xf numFmtId="10" fontId="23" fillId="4" borderId="6" xfId="2" applyNumberFormat="1" applyFont="1" applyFill="1" applyBorder="1" applyAlignment="1" applyProtection="1">
      <alignment vertical="center"/>
    </xf>
    <xf numFmtId="10" fontId="23" fillId="4" borderId="8" xfId="2" applyNumberFormat="1" applyFont="1" applyFill="1" applyBorder="1" applyAlignment="1" applyProtection="1">
      <alignment vertical="center"/>
    </xf>
    <xf numFmtId="10" fontId="23" fillId="4" borderId="9" xfId="2" applyNumberFormat="1" applyFont="1" applyFill="1" applyBorder="1" applyAlignment="1" applyProtection="1">
      <alignment vertical="center"/>
    </xf>
    <xf numFmtId="10" fontId="23" fillId="7" borderId="38" xfId="2" applyNumberFormat="1" applyFont="1" applyFill="1" applyBorder="1" applyAlignment="1" applyProtection="1">
      <alignment vertical="center"/>
    </xf>
    <xf numFmtId="10" fontId="23" fillId="7" borderId="9" xfId="2" applyNumberFormat="1" applyFont="1" applyFill="1" applyBorder="1" applyAlignment="1" applyProtection="1">
      <alignment vertical="center"/>
    </xf>
    <xf numFmtId="10" fontId="23" fillId="4" borderId="11" xfId="2" applyNumberFormat="1" applyFont="1" applyFill="1" applyBorder="1" applyAlignment="1" applyProtection="1">
      <alignment vertical="center"/>
    </xf>
    <xf numFmtId="10" fontId="23" fillId="4" borderId="12" xfId="2" applyNumberFormat="1" applyFont="1" applyFill="1" applyBorder="1" applyAlignment="1" applyProtection="1">
      <alignment vertical="center"/>
    </xf>
    <xf numFmtId="10" fontId="5" fillId="0" borderId="0" xfId="2" applyNumberFormat="1" applyFont="1" applyAlignment="1" applyProtection="1">
      <alignment vertical="center"/>
    </xf>
    <xf numFmtId="165" fontId="23" fillId="4" borderId="5" xfId="6" applyNumberFormat="1" applyFont="1" applyFill="1" applyBorder="1" applyAlignment="1" applyProtection="1">
      <alignment vertical="center"/>
    </xf>
    <xf numFmtId="165" fontId="23" fillId="4" borderId="31" xfId="6" applyNumberFormat="1" applyFont="1" applyFill="1" applyBorder="1" applyAlignment="1" applyProtection="1">
      <alignment vertical="center"/>
    </xf>
    <xf numFmtId="165" fontId="23" fillId="4" borderId="8" xfId="6" applyNumberFormat="1" applyFont="1" applyFill="1" applyBorder="1" applyAlignment="1" applyProtection="1">
      <alignment vertical="center"/>
    </xf>
    <xf numFmtId="165" fontId="23" fillId="4" borderId="32" xfId="6" applyNumberFormat="1" applyFont="1" applyFill="1" applyBorder="1" applyAlignment="1" applyProtection="1">
      <alignment vertical="center"/>
    </xf>
    <xf numFmtId="165" fontId="23" fillId="4" borderId="12" xfId="6" applyNumberFormat="1" applyFont="1" applyFill="1" applyBorder="1" applyAlignment="1" applyProtection="1">
      <alignment vertical="center"/>
    </xf>
    <xf numFmtId="165" fontId="23" fillId="4" borderId="13" xfId="6" applyNumberFormat="1" applyFont="1" applyFill="1" applyBorder="1" applyAlignment="1" applyProtection="1">
      <alignment vertical="center"/>
    </xf>
    <xf numFmtId="10" fontId="23" fillId="7" borderId="35" xfId="2" applyNumberFormat="1" applyFont="1" applyFill="1" applyBorder="1" applyAlignment="1" applyProtection="1">
      <alignment vertical="center"/>
    </xf>
    <xf numFmtId="10" fontId="23" fillId="7" borderId="2" xfId="2" applyNumberFormat="1" applyFont="1" applyFill="1" applyBorder="1" applyAlignment="1" applyProtection="1">
      <alignment vertical="center"/>
    </xf>
    <xf numFmtId="165" fontId="23" fillId="7" borderId="2" xfId="6" applyNumberFormat="1" applyFont="1" applyFill="1" applyBorder="1" applyAlignment="1" applyProtection="1">
      <alignment vertical="center"/>
    </xf>
    <xf numFmtId="10" fontId="23" fillId="4" borderId="35" xfId="2" applyNumberFormat="1" applyFont="1" applyFill="1" applyBorder="1" applyAlignment="1" applyProtection="1">
      <alignment vertical="center"/>
    </xf>
    <xf numFmtId="10" fontId="23" fillId="4" borderId="2" xfId="2" applyNumberFormat="1" applyFont="1" applyFill="1" applyBorder="1" applyAlignment="1" applyProtection="1">
      <alignment vertical="center"/>
    </xf>
    <xf numFmtId="10" fontId="23" fillId="31" borderId="35" xfId="2" applyNumberFormat="1" applyFont="1" applyFill="1" applyBorder="1" applyAlignment="1" applyProtection="1">
      <alignment vertical="center"/>
    </xf>
    <xf numFmtId="10" fontId="23" fillId="31" borderId="2" xfId="2" applyNumberFormat="1" applyFont="1" applyFill="1" applyBorder="1" applyAlignment="1" applyProtection="1">
      <alignment vertical="center"/>
    </xf>
    <xf numFmtId="165" fontId="23" fillId="31" borderId="2" xfId="6" applyNumberFormat="1" applyFont="1" applyFill="1" applyBorder="1" applyAlignment="1" applyProtection="1">
      <alignment vertical="center"/>
    </xf>
    <xf numFmtId="165" fontId="23" fillId="31" borderId="1" xfId="6" applyNumberFormat="1" applyFont="1" applyFill="1" applyBorder="1" applyAlignment="1" applyProtection="1">
      <alignment vertical="center"/>
    </xf>
    <xf numFmtId="165" fontId="23" fillId="4" borderId="46" xfId="6" applyNumberFormat="1" applyFont="1" applyFill="1" applyBorder="1" applyAlignment="1" applyProtection="1">
      <alignment vertical="center"/>
    </xf>
    <xf numFmtId="165" fontId="23" fillId="4" borderId="49" xfId="6" applyNumberFormat="1" applyFont="1" applyFill="1" applyBorder="1" applyAlignment="1" applyProtection="1">
      <alignment vertical="center"/>
    </xf>
    <xf numFmtId="10" fontId="23" fillId="7" borderId="23" xfId="2" applyNumberFormat="1" applyFont="1" applyFill="1" applyBorder="1" applyAlignment="1" applyProtection="1">
      <alignment vertical="center"/>
    </xf>
    <xf numFmtId="10" fontId="23" fillId="7" borderId="19" xfId="2" applyNumberFormat="1" applyFont="1" applyFill="1" applyBorder="1" applyAlignment="1" applyProtection="1">
      <alignment vertical="center"/>
    </xf>
    <xf numFmtId="165" fontId="23" fillId="7" borderId="19" xfId="6" applyNumberFormat="1" applyFont="1" applyFill="1" applyBorder="1" applyAlignment="1" applyProtection="1">
      <alignment vertical="center"/>
    </xf>
    <xf numFmtId="165" fontId="23" fillId="7" borderId="23" xfId="6" applyNumberFormat="1" applyFont="1" applyFill="1" applyBorder="1" applyAlignment="1" applyProtection="1">
      <alignment vertical="center"/>
    </xf>
    <xf numFmtId="0" fontId="5" fillId="0" borderId="0" xfId="8" applyFont="1" applyAlignment="1" applyProtection="1">
      <alignment vertical="center"/>
    </xf>
    <xf numFmtId="0" fontId="23" fillId="0" borderId="0" xfId="8" applyFont="1" applyAlignment="1" applyProtection="1">
      <alignment vertical="center"/>
    </xf>
    <xf numFmtId="10" fontId="23" fillId="7" borderId="6" xfId="2" applyNumberFormat="1" applyFont="1" applyFill="1" applyBorder="1" applyAlignment="1" applyProtection="1">
      <alignment vertical="center"/>
    </xf>
    <xf numFmtId="165" fontId="23" fillId="7" borderId="6" xfId="6" applyNumberFormat="1" applyFont="1" applyFill="1" applyBorder="1" applyAlignment="1" applyProtection="1">
      <alignment vertical="center"/>
    </xf>
    <xf numFmtId="10" fontId="23" fillId="7" borderId="12" xfId="2" applyNumberFormat="1" applyFont="1" applyFill="1" applyBorder="1" applyAlignment="1" applyProtection="1">
      <alignment vertical="center"/>
    </xf>
    <xf numFmtId="10" fontId="23" fillId="7" borderId="28" xfId="2" applyNumberFormat="1" applyFont="1" applyFill="1" applyBorder="1" applyAlignment="1" applyProtection="1">
      <alignment vertical="center"/>
    </xf>
    <xf numFmtId="10" fontId="23" fillId="7" borderId="5" xfId="2" applyNumberFormat="1" applyFont="1" applyFill="1" applyBorder="1" applyAlignment="1" applyProtection="1">
      <alignment vertical="center"/>
    </xf>
    <xf numFmtId="165" fontId="23" fillId="7" borderId="5" xfId="6" applyNumberFormat="1" applyFont="1" applyFill="1" applyBorder="1" applyAlignment="1" applyProtection="1">
      <alignment vertical="center"/>
    </xf>
    <xf numFmtId="10" fontId="23" fillId="7" borderId="29" xfId="2" applyNumberFormat="1" applyFont="1" applyFill="1" applyBorder="1" applyAlignment="1" applyProtection="1">
      <alignment vertical="center"/>
    </xf>
    <xf numFmtId="10" fontId="23" fillId="7" borderId="8" xfId="2" applyNumberFormat="1" applyFont="1" applyFill="1" applyBorder="1" applyAlignment="1" applyProtection="1">
      <alignment vertical="center"/>
    </xf>
    <xf numFmtId="10" fontId="23" fillId="7" borderId="11" xfId="2" applyNumberFormat="1" applyFont="1" applyFill="1" applyBorder="1" applyAlignment="1" applyProtection="1">
      <alignment vertical="center"/>
    </xf>
    <xf numFmtId="10" fontId="23" fillId="7" borderId="31" xfId="2" applyNumberFormat="1" applyFont="1" applyFill="1" applyBorder="1" applyAlignment="1" applyProtection="1">
      <alignment vertical="center"/>
    </xf>
    <xf numFmtId="10" fontId="23" fillId="7" borderId="49" xfId="2" applyNumberFormat="1" applyFont="1" applyFill="1" applyBorder="1" applyAlignment="1" applyProtection="1">
      <alignment vertical="center"/>
    </xf>
    <xf numFmtId="10" fontId="23" fillId="7" borderId="46" xfId="2" applyNumberFormat="1" applyFont="1" applyFill="1" applyBorder="1" applyAlignment="1" applyProtection="1">
      <alignment vertical="center"/>
    </xf>
    <xf numFmtId="165" fontId="23" fillId="7" borderId="46" xfId="6" applyNumberFormat="1" applyFont="1" applyFill="1" applyBorder="1" applyAlignment="1" applyProtection="1">
      <alignment vertical="center"/>
    </xf>
    <xf numFmtId="165" fontId="23" fillId="4" borderId="10" xfId="9" applyNumberFormat="1" applyFont="1" applyFill="1" applyBorder="1" applyAlignment="1" applyProtection="1">
      <alignment vertical="center"/>
    </xf>
    <xf numFmtId="165" fontId="23" fillId="4" borderId="31" xfId="9" applyNumberFormat="1" applyFont="1" applyFill="1" applyBorder="1" applyAlignment="1" applyProtection="1">
      <alignment vertical="center"/>
    </xf>
    <xf numFmtId="0" fontId="16" fillId="0" borderId="6" xfId="6" applyFont="1" applyBorder="1" applyAlignment="1" applyProtection="1">
      <alignment vertical="center"/>
    </xf>
    <xf numFmtId="0" fontId="16" fillId="0" borderId="47" xfId="6" applyFont="1" applyBorder="1" applyAlignment="1" applyProtection="1">
      <alignment vertical="center"/>
    </xf>
    <xf numFmtId="0" fontId="16" fillId="0" borderId="145" xfId="6" applyFont="1" applyBorder="1" applyAlignment="1" applyProtection="1">
      <alignment vertical="center"/>
    </xf>
    <xf numFmtId="0" fontId="16" fillId="0" borderId="12" xfId="6" applyFont="1" applyBorder="1" applyAlignment="1" applyProtection="1">
      <alignment vertical="center" wrapText="1"/>
    </xf>
    <xf numFmtId="0" fontId="14" fillId="0" borderId="6" xfId="6" applyFont="1" applyBorder="1" applyAlignment="1" applyProtection="1">
      <alignment horizontal="center" vertical="center"/>
    </xf>
    <xf numFmtId="0" fontId="14" fillId="0" borderId="7" xfId="6" applyFont="1" applyBorder="1" applyAlignment="1" applyProtection="1">
      <alignment horizontal="center" vertical="center"/>
    </xf>
    <xf numFmtId="0" fontId="14" fillId="0" borderId="47" xfId="6" applyFont="1" applyBorder="1" applyAlignment="1" applyProtection="1">
      <alignment horizontal="center" vertical="center"/>
    </xf>
    <xf numFmtId="0" fontId="14" fillId="0" borderId="50" xfId="6" applyFont="1" applyBorder="1" applyAlignment="1" applyProtection="1">
      <alignment horizontal="center" vertical="center"/>
    </xf>
    <xf numFmtId="0" fontId="14" fillId="0" borderId="12" xfId="6" applyFont="1" applyBorder="1" applyAlignment="1" applyProtection="1">
      <alignment horizontal="center" vertical="center"/>
    </xf>
    <xf numFmtId="0" fontId="14" fillId="0" borderId="13" xfId="6" applyFont="1" applyBorder="1" applyAlignment="1" applyProtection="1">
      <alignment horizontal="center" vertical="center"/>
    </xf>
    <xf numFmtId="0" fontId="16" fillId="0" borderId="9" xfId="6" applyFont="1" applyBorder="1" applyAlignment="1" applyProtection="1">
      <alignment vertical="center" wrapText="1"/>
    </xf>
    <xf numFmtId="0" fontId="14" fillId="0" borderId="8" xfId="6" applyFont="1" applyBorder="1" applyAlignment="1" applyProtection="1">
      <alignment horizontal="center" vertical="center"/>
    </xf>
    <xf numFmtId="0" fontId="102" fillId="0" borderId="9" xfId="6" applyFont="1" applyBorder="1" applyAlignment="1" applyProtection="1">
      <alignment vertical="center"/>
    </xf>
    <xf numFmtId="0" fontId="0" fillId="0" borderId="131" xfId="0" applyFill="1" applyBorder="1" applyProtection="1"/>
    <xf numFmtId="0" fontId="16" fillId="0" borderId="9" xfId="11" applyFont="1" applyFill="1" applyBorder="1" applyAlignment="1">
      <alignment vertical="center" wrapText="1"/>
    </xf>
    <xf numFmtId="0" fontId="59" fillId="23" borderId="0" xfId="18" applyFont="1" applyFill="1"/>
    <xf numFmtId="0" fontId="16" fillId="23" borderId="12" xfId="11" applyFont="1" applyFill="1" applyBorder="1" applyAlignment="1">
      <alignment vertical="center" wrapText="1"/>
    </xf>
    <xf numFmtId="0" fontId="16" fillId="23" borderId="12" xfId="11" applyFont="1" applyFill="1" applyBorder="1" applyAlignment="1">
      <alignment horizontal="center" vertical="center"/>
    </xf>
    <xf numFmtId="0" fontId="5" fillId="0" borderId="0" xfId="6" applyFont="1" applyBorder="1" applyAlignment="1" applyProtection="1">
      <alignment vertical="center"/>
    </xf>
    <xf numFmtId="0" fontId="5" fillId="3" borderId="0" xfId="6" applyFont="1" applyFill="1" applyAlignment="1" applyProtection="1">
      <alignment vertical="center"/>
    </xf>
    <xf numFmtId="0" fontId="59" fillId="0" borderId="0" xfId="18" applyFont="1"/>
    <xf numFmtId="0" fontId="16" fillId="23" borderId="9" xfId="11" applyFont="1" applyFill="1" applyBorder="1" applyAlignment="1">
      <alignment vertical="center" wrapText="1"/>
    </xf>
    <xf numFmtId="0" fontId="16" fillId="23" borderId="9" xfId="11" applyFont="1" applyFill="1" applyBorder="1" applyAlignment="1">
      <alignment horizontal="center" vertical="center"/>
    </xf>
    <xf numFmtId="0" fontId="16" fillId="23" borderId="9" xfId="11" applyFont="1" applyFill="1" applyBorder="1" applyAlignment="1">
      <alignment horizontal="center" vertical="center" wrapText="1"/>
    </xf>
    <xf numFmtId="9" fontId="16" fillId="23" borderId="51" xfId="11" applyNumberFormat="1" applyFont="1" applyFill="1" applyBorder="1" applyAlignment="1">
      <alignment vertical="center" wrapText="1"/>
    </xf>
    <xf numFmtId="0" fontId="16" fillId="23" borderId="20" xfId="11" applyFont="1" applyFill="1" applyBorder="1" applyAlignment="1">
      <alignment horizontal="center" vertical="center" wrapText="1"/>
    </xf>
    <xf numFmtId="0" fontId="14" fillId="8" borderId="25" xfId="7" applyFont="1" applyBorder="1" applyAlignment="1" applyProtection="1">
      <alignment horizontal="center" vertical="center"/>
    </xf>
    <xf numFmtId="0" fontId="23" fillId="6" borderId="0" xfId="6" applyFont="1" applyFill="1" applyAlignment="1" applyProtection="1">
      <alignment horizontal="center" vertical="center"/>
    </xf>
    <xf numFmtId="0" fontId="23" fillId="3" borderId="0" xfId="8" applyFont="1" applyFill="1" applyAlignment="1" applyProtection="1">
      <alignment horizontal="center" vertical="center"/>
    </xf>
    <xf numFmtId="165" fontId="5" fillId="0" borderId="0" xfId="0" applyNumberFormat="1" applyFont="1" applyProtection="1"/>
    <xf numFmtId="0" fontId="23" fillId="0" borderId="0" xfId="0" applyFont="1" applyFill="1" applyBorder="1" applyProtection="1"/>
    <xf numFmtId="0" fontId="16" fillId="0" borderId="44" xfId="11" applyFont="1" applyFill="1" applyBorder="1" applyAlignment="1">
      <alignment vertical="center" wrapText="1"/>
    </xf>
    <xf numFmtId="0" fontId="16" fillId="0" borderId="44" xfId="11" applyFont="1" applyFill="1" applyBorder="1" applyAlignment="1">
      <alignment horizontal="center" vertical="center"/>
    </xf>
    <xf numFmtId="0" fontId="16" fillId="0" borderId="12" xfId="11" applyFont="1" applyFill="1" applyBorder="1" applyAlignment="1">
      <alignment vertical="center" wrapText="1"/>
    </xf>
    <xf numFmtId="0" fontId="16" fillId="0" borderId="12" xfId="11" applyFont="1" applyFill="1" applyBorder="1" applyAlignment="1">
      <alignment horizontal="center" vertical="center"/>
    </xf>
    <xf numFmtId="0" fontId="16" fillId="0" borderId="44" xfId="11" applyFont="1" applyFill="1" applyBorder="1" applyAlignment="1">
      <alignment horizontal="center" vertical="center" wrapText="1"/>
    </xf>
    <xf numFmtId="9" fontId="14" fillId="0" borderId="44" xfId="11" applyNumberFormat="1" applyFont="1" applyFill="1" applyBorder="1" applyAlignment="1">
      <alignment horizontal="center" vertical="center" wrapText="1"/>
    </xf>
    <xf numFmtId="0" fontId="16" fillId="4" borderId="43" xfId="2" applyNumberFormat="1" applyFont="1" applyFill="1" applyBorder="1" applyAlignment="1" applyProtection="1">
      <alignment vertical="center"/>
      <protection locked="0"/>
    </xf>
    <xf numFmtId="0" fontId="16" fillId="0" borderId="20" xfId="11" applyFont="1" applyFill="1" applyBorder="1" applyAlignment="1">
      <alignment vertical="center" wrapText="1"/>
    </xf>
    <xf numFmtId="0" fontId="14" fillId="0" borderId="20" xfId="11" applyFont="1" applyFill="1" applyBorder="1" applyAlignment="1" applyProtection="1">
      <alignment horizontal="center" vertical="center"/>
    </xf>
    <xf numFmtId="0" fontId="16" fillId="0" borderId="292" xfId="0" applyFont="1" applyBorder="1" applyAlignment="1">
      <alignment horizontal="center"/>
    </xf>
    <xf numFmtId="0" fontId="125" fillId="0" borderId="9" xfId="6" applyFont="1" applyFill="1" applyBorder="1" applyAlignment="1" applyProtection="1">
      <alignment vertical="center"/>
    </xf>
    <xf numFmtId="49" fontId="16" fillId="0" borderId="9" xfId="6" applyNumberFormat="1" applyFont="1" applyFill="1" applyBorder="1" applyAlignment="1" applyProtection="1">
      <alignment vertical="center"/>
    </xf>
    <xf numFmtId="0" fontId="16" fillId="0" borderId="0" xfId="6" applyFont="1" applyFill="1" applyBorder="1" applyAlignment="1" applyProtection="1">
      <alignment vertical="center"/>
    </xf>
    <xf numFmtId="0" fontId="16" fillId="0" borderId="293" xfId="0" applyFont="1" applyFill="1" applyBorder="1" applyAlignment="1">
      <alignment vertical="center"/>
    </xf>
    <xf numFmtId="0" fontId="16" fillId="0" borderId="293" xfId="0" applyFont="1" applyBorder="1" applyAlignment="1">
      <alignment horizontal="center"/>
    </xf>
    <xf numFmtId="0" fontId="16" fillId="0" borderId="294" xfId="0" applyFont="1" applyBorder="1" applyAlignment="1">
      <alignment horizontal="center"/>
    </xf>
    <xf numFmtId="0" fontId="16" fillId="0" borderId="0" xfId="0" applyFont="1" applyAlignment="1">
      <alignment horizontal="center"/>
    </xf>
    <xf numFmtId="0" fontId="16" fillId="0" borderId="0" xfId="0" applyFont="1" applyAlignment="1">
      <alignment horizontal="center" wrapText="1"/>
    </xf>
    <xf numFmtId="0" fontId="16" fillId="0" borderId="291" xfId="0" applyFont="1" applyFill="1" applyBorder="1" applyAlignment="1">
      <alignment vertical="center"/>
    </xf>
    <xf numFmtId="0" fontId="16" fillId="0" borderId="291" xfId="0" applyFont="1" applyBorder="1" applyAlignment="1">
      <alignment horizontal="center"/>
    </xf>
    <xf numFmtId="0" fontId="124" fillId="0" borderId="0" xfId="0" applyFont="1" applyAlignment="1">
      <alignment wrapText="1"/>
    </xf>
    <xf numFmtId="0" fontId="124" fillId="0" borderId="0" xfId="0" applyFont="1" applyFill="1" applyAlignment="1">
      <alignment wrapText="1"/>
    </xf>
    <xf numFmtId="0" fontId="14" fillId="0" borderId="284" xfId="0" applyFont="1" applyBorder="1" applyAlignment="1">
      <alignment horizontal="center" vertical="center"/>
    </xf>
    <xf numFmtId="0" fontId="23" fillId="0" borderId="281" xfId="0" applyFont="1" applyBorder="1" applyAlignment="1">
      <alignment horizontal="center" vertical="center"/>
    </xf>
    <xf numFmtId="0" fontId="14" fillId="0" borderId="291" xfId="0" applyFont="1" applyBorder="1" applyAlignment="1">
      <alignment horizontal="center" vertical="center"/>
    </xf>
    <xf numFmtId="0" fontId="14" fillId="0" borderId="282" xfId="0" applyFont="1" applyBorder="1" applyAlignment="1">
      <alignment horizontal="center" vertical="center"/>
    </xf>
    <xf numFmtId="0" fontId="23" fillId="0" borderId="283" xfId="0" applyFont="1" applyBorder="1" applyAlignment="1">
      <alignment horizontal="center" vertical="center"/>
    </xf>
    <xf numFmtId="0" fontId="14" fillId="0" borderId="292" xfId="0" applyFont="1" applyBorder="1" applyAlignment="1">
      <alignment horizontal="center" vertical="center"/>
    </xf>
    <xf numFmtId="6" fontId="14" fillId="0" borderId="292" xfId="0" quotePrefix="1" applyNumberFormat="1" applyFont="1" applyBorder="1" applyAlignment="1">
      <alignment horizontal="center" vertical="center"/>
    </xf>
    <xf numFmtId="0" fontId="14" fillId="0" borderId="293" xfId="0" quotePrefix="1" applyFont="1" applyBorder="1" applyAlignment="1">
      <alignment horizontal="center" vertical="center"/>
    </xf>
    <xf numFmtId="0" fontId="14" fillId="0" borderId="285" xfId="0" applyFont="1" applyBorder="1" applyAlignment="1">
      <alignment horizontal="center" vertical="center"/>
    </xf>
    <xf numFmtId="0" fontId="23" fillId="0" borderId="286" xfId="0" applyFont="1" applyBorder="1" applyAlignment="1">
      <alignment horizontal="center" vertical="center"/>
    </xf>
    <xf numFmtId="6" fontId="14" fillId="0" borderId="294" xfId="0" quotePrefix="1" applyNumberFormat="1" applyFont="1" applyBorder="1" applyAlignment="1">
      <alignment horizontal="center" vertical="center"/>
    </xf>
    <xf numFmtId="0" fontId="14" fillId="0" borderId="287" xfId="0" applyFont="1" applyBorder="1" applyAlignment="1">
      <alignment horizontal="center" vertical="center"/>
    </xf>
    <xf numFmtId="0" fontId="5" fillId="0" borderId="0" xfId="0" applyFont="1" applyAlignment="1">
      <alignment horizontal="center"/>
    </xf>
    <xf numFmtId="0" fontId="5" fillId="0" borderId="291" xfId="0" applyFont="1" applyBorder="1"/>
    <xf numFmtId="0" fontId="5" fillId="0" borderId="292" xfId="0" applyFont="1" applyBorder="1"/>
    <xf numFmtId="0" fontId="5" fillId="0" borderId="293" xfId="0" applyFont="1" applyBorder="1"/>
    <xf numFmtId="0" fontId="5" fillId="0" borderId="294" xfId="0" applyFont="1" applyBorder="1"/>
    <xf numFmtId="0" fontId="126" fillId="2" borderId="0" xfId="6" applyFont="1" applyFill="1" applyBorder="1" applyAlignment="1" applyProtection="1">
      <alignment vertical="center"/>
    </xf>
    <xf numFmtId="0" fontId="16" fillId="0" borderId="0" xfId="6" applyFont="1" applyAlignment="1" applyProtection="1">
      <alignment vertical="center"/>
    </xf>
    <xf numFmtId="0" fontId="5" fillId="0" borderId="0" xfId="0" applyFont="1" applyAlignment="1">
      <alignment horizontal="center" wrapText="1"/>
    </xf>
    <xf numFmtId="6" fontId="14" fillId="0" borderId="291" xfId="0" quotePrefix="1" applyNumberFormat="1" applyFont="1" applyBorder="1" applyAlignment="1">
      <alignment horizontal="center" vertical="center"/>
    </xf>
    <xf numFmtId="0" fontId="16" fillId="0" borderId="0" xfId="11" applyFont="1" applyFill="1" applyBorder="1" applyAlignment="1">
      <alignment vertical="center" wrapText="1"/>
    </xf>
    <xf numFmtId="0" fontId="16" fillId="0" borderId="0" xfId="11" applyFont="1" applyFill="1" applyBorder="1" applyAlignment="1">
      <alignment vertical="top"/>
    </xf>
    <xf numFmtId="165" fontId="5" fillId="0" borderId="0" xfId="0" applyNumberFormat="1" applyFont="1"/>
    <xf numFmtId="0" fontId="5" fillId="0" borderId="212" xfId="0" applyFont="1" applyBorder="1"/>
    <xf numFmtId="0" fontId="5" fillId="0" borderId="212" xfId="0" applyFont="1" applyBorder="1" applyAlignment="1">
      <alignment horizontal="center"/>
    </xf>
    <xf numFmtId="0" fontId="5" fillId="0" borderId="222" xfId="0" applyFont="1" applyBorder="1"/>
    <xf numFmtId="0" fontId="5" fillId="0" borderId="221" xfId="0" applyFont="1" applyBorder="1" applyAlignment="1">
      <alignment horizontal="center"/>
    </xf>
    <xf numFmtId="0" fontId="5" fillId="0" borderId="223" xfId="0" applyFont="1" applyBorder="1" applyAlignment="1">
      <alignment horizontal="center"/>
    </xf>
    <xf numFmtId="6" fontId="5" fillId="0" borderId="221" xfId="0" quotePrefix="1" applyNumberFormat="1" applyFont="1" applyBorder="1" applyAlignment="1">
      <alignment horizontal="center"/>
    </xf>
    <xf numFmtId="0" fontId="5" fillId="0" borderId="235" xfId="0" applyFont="1" applyBorder="1"/>
    <xf numFmtId="6" fontId="5" fillId="0" borderId="234" xfId="0" quotePrefix="1" applyNumberFormat="1" applyFont="1" applyBorder="1" applyAlignment="1">
      <alignment horizontal="center"/>
    </xf>
    <xf numFmtId="0" fontId="5" fillId="0" borderId="236" xfId="0" applyFont="1" applyBorder="1" applyAlignment="1">
      <alignment horizontal="center"/>
    </xf>
    <xf numFmtId="0" fontId="124" fillId="0" borderId="0" xfId="0" applyFont="1"/>
    <xf numFmtId="0" fontId="124" fillId="0" borderId="291" xfId="0" applyFont="1" applyBorder="1" applyAlignment="1">
      <alignment horizontal="center"/>
    </xf>
    <xf numFmtId="0" fontId="124" fillId="0" borderId="292" xfId="0" applyFont="1" applyBorder="1" applyAlignment="1">
      <alignment horizontal="center"/>
    </xf>
    <xf numFmtId="0" fontId="124" fillId="0" borderId="293" xfId="0" applyFont="1" applyBorder="1" applyAlignment="1">
      <alignment horizontal="center"/>
    </xf>
    <xf numFmtId="0" fontId="124" fillId="0" borderId="294" xfId="0" applyFont="1" applyBorder="1" applyAlignment="1">
      <alignment horizontal="center"/>
    </xf>
    <xf numFmtId="0" fontId="124" fillId="0" borderId="0" xfId="0" applyFont="1" applyProtection="1"/>
    <xf numFmtId="0" fontId="16" fillId="0" borderId="47" xfId="0" applyFont="1" applyBorder="1" applyAlignment="1">
      <alignment vertical="center" wrapText="1"/>
    </xf>
    <xf numFmtId="0" fontId="102" fillId="0" borderId="6" xfId="6" applyFont="1" applyBorder="1" applyAlignment="1" applyProtection="1">
      <alignment horizontal="center" vertical="center"/>
    </xf>
    <xf numFmtId="0" fontId="7" fillId="3" borderId="316" xfId="22" applyFont="1" applyFill="1" applyBorder="1" applyAlignment="1">
      <alignment horizontal="center" vertical="center"/>
    </xf>
    <xf numFmtId="0" fontId="7" fillId="3" borderId="4" xfId="22" applyFont="1" applyFill="1" applyBorder="1" applyAlignment="1">
      <alignment horizontal="center" vertical="center"/>
    </xf>
    <xf numFmtId="0" fontId="7" fillId="3" borderId="16" xfId="22" applyFont="1" applyFill="1" applyBorder="1" applyAlignment="1">
      <alignment horizontal="center" vertical="center"/>
    </xf>
    <xf numFmtId="0" fontId="128" fillId="0" borderId="0" xfId="0" applyFont="1"/>
    <xf numFmtId="165" fontId="16" fillId="7" borderId="328" xfId="19" applyNumberFormat="1" applyFont="1" applyFill="1" applyBorder="1" applyAlignment="1" applyProtection="1">
      <alignment vertical="center"/>
      <protection locked="0"/>
    </xf>
    <xf numFmtId="0" fontId="7" fillId="3" borderId="329" xfId="6" applyFont="1" applyFill="1" applyBorder="1" applyAlignment="1" applyProtection="1">
      <alignment horizontal="center" vertical="center" wrapText="1"/>
    </xf>
    <xf numFmtId="0" fontId="20" fillId="0" borderId="283" xfId="0" applyFont="1" applyBorder="1" applyAlignment="1" applyProtection="1">
      <alignment horizontal="center" vertical="center"/>
    </xf>
    <xf numFmtId="0" fontId="16" fillId="0" borderId="292" xfId="0" applyFont="1" applyBorder="1" applyAlignment="1" applyProtection="1">
      <alignment horizontal="center"/>
    </xf>
    <xf numFmtId="0" fontId="22" fillId="0" borderId="292" xfId="0" applyFont="1" applyBorder="1" applyAlignment="1" applyProtection="1">
      <alignment horizontal="center" vertical="center"/>
    </xf>
    <xf numFmtId="0" fontId="22" fillId="0" borderId="284" xfId="0" applyFont="1" applyBorder="1" applyAlignment="1" applyProtection="1">
      <alignment horizontal="center" vertical="center"/>
    </xf>
    <xf numFmtId="165" fontId="16" fillId="0" borderId="224" xfId="19" applyNumberFormat="1" applyFont="1" applyFill="1" applyBorder="1" applyAlignment="1" applyProtection="1">
      <alignment vertical="center"/>
    </xf>
    <xf numFmtId="165" fontId="16" fillId="0" borderId="225" xfId="19" applyNumberFormat="1" applyFont="1" applyFill="1" applyBorder="1" applyAlignment="1" applyProtection="1">
      <alignment vertical="center"/>
    </xf>
    <xf numFmtId="165" fontId="16" fillId="0" borderId="226" xfId="19" applyNumberFormat="1" applyFont="1" applyFill="1" applyBorder="1" applyAlignment="1" applyProtection="1">
      <alignment vertical="center"/>
    </xf>
    <xf numFmtId="1" fontId="16" fillId="0" borderId="228" xfId="19" applyNumberFormat="1" applyFont="1" applyFill="1" applyBorder="1" applyAlignment="1" applyProtection="1">
      <alignment vertical="center" wrapText="1"/>
    </xf>
    <xf numFmtId="0" fontId="64" fillId="0" borderId="0" xfId="22" applyFont="1" applyAlignment="1" applyProtection="1">
      <alignment horizontal="left" vertical="top"/>
    </xf>
    <xf numFmtId="0" fontId="0" fillId="3" borderId="0" xfId="0" applyFill="1" applyProtection="1"/>
    <xf numFmtId="0" fontId="14" fillId="0" borderId="284" xfId="0" applyFont="1" applyBorder="1" applyAlignment="1" applyProtection="1">
      <alignment horizontal="center" vertical="center"/>
    </xf>
    <xf numFmtId="0" fontId="23" fillId="0" borderId="283" xfId="0" applyFont="1" applyBorder="1" applyAlignment="1" applyProtection="1">
      <alignment horizontal="center" vertical="center"/>
    </xf>
    <xf numFmtId="0" fontId="5" fillId="0" borderId="292" xfId="0" applyFont="1" applyBorder="1" applyAlignment="1" applyProtection="1">
      <alignment horizontal="center"/>
    </xf>
    <xf numFmtId="0" fontId="14" fillId="0" borderId="292" xfId="0" applyFont="1" applyBorder="1" applyAlignment="1" applyProtection="1">
      <alignment horizontal="center" vertical="center"/>
    </xf>
    <xf numFmtId="1" fontId="16" fillId="0" borderId="221" xfId="19" applyNumberFormat="1" applyFont="1" applyFill="1" applyBorder="1" applyAlignment="1" applyProtection="1">
      <alignment vertical="center" wrapText="1"/>
    </xf>
    <xf numFmtId="0" fontId="124" fillId="0" borderId="292" xfId="0" applyFont="1" applyBorder="1" applyAlignment="1" applyProtection="1">
      <alignment horizontal="center"/>
    </xf>
    <xf numFmtId="0" fontId="5" fillId="0" borderId="0" xfId="0" applyFont="1" applyFill="1" applyAlignment="1" applyProtection="1">
      <alignment wrapText="1"/>
    </xf>
    <xf numFmtId="165" fontId="16" fillId="28" borderId="8" xfId="11" applyNumberFormat="1" applyFont="1" applyFill="1" applyBorder="1" applyAlignment="1" applyProtection="1">
      <alignment vertical="center"/>
    </xf>
    <xf numFmtId="165" fontId="16" fillId="28" borderId="11" xfId="11" applyNumberFormat="1" applyFont="1" applyFill="1" applyBorder="1" applyAlignment="1" applyProtection="1">
      <alignment vertical="center"/>
    </xf>
    <xf numFmtId="165" fontId="16" fillId="28" borderId="32" xfId="11" applyNumberFormat="1" applyFont="1" applyFill="1" applyBorder="1" applyAlignment="1" applyProtection="1">
      <alignment vertical="center"/>
    </xf>
    <xf numFmtId="10" fontId="23" fillId="4" borderId="26" xfId="6" applyNumberFormat="1" applyFont="1" applyFill="1" applyBorder="1" applyAlignment="1" applyProtection="1">
      <alignment vertical="center"/>
      <protection locked="0"/>
    </xf>
    <xf numFmtId="10" fontId="23" fillId="4" borderId="8" xfId="6" applyNumberFormat="1" applyFont="1" applyFill="1" applyBorder="1" applyAlignment="1" applyProtection="1">
      <alignment vertical="center"/>
      <protection locked="0"/>
    </xf>
    <xf numFmtId="10" fontId="20" fillId="4" borderId="8" xfId="6" applyNumberFormat="1" applyFont="1" applyFill="1" applyBorder="1" applyAlignment="1" applyProtection="1">
      <alignment vertical="center"/>
      <protection locked="0"/>
    </xf>
    <xf numFmtId="10" fontId="0" fillId="0" borderId="0" xfId="0" applyNumberFormat="1" applyBorder="1"/>
    <xf numFmtId="165" fontId="20" fillId="4" borderId="24" xfId="6" applyNumberFormat="1" applyFont="1" applyFill="1" applyBorder="1" applyAlignment="1" applyProtection="1">
      <alignment vertical="center"/>
    </xf>
    <xf numFmtId="165" fontId="20" fillId="4" borderId="5" xfId="6" applyNumberFormat="1" applyFont="1" applyFill="1" applyBorder="1" applyAlignment="1" applyProtection="1">
      <alignment vertical="center"/>
    </xf>
    <xf numFmtId="165" fontId="20" fillId="4" borderId="6" xfId="6" applyNumberFormat="1" applyFont="1" applyFill="1" applyBorder="1" applyAlignment="1" applyProtection="1">
      <alignment vertical="center"/>
    </xf>
    <xf numFmtId="165" fontId="20" fillId="4" borderId="26" xfId="6" applyNumberFormat="1" applyFont="1" applyFill="1" applyBorder="1" applyAlignment="1" applyProtection="1">
      <alignment vertical="center"/>
    </xf>
    <xf numFmtId="165" fontId="20" fillId="4" borderId="8" xfId="6" applyNumberFormat="1" applyFont="1" applyFill="1" applyBorder="1" applyAlignment="1" applyProtection="1">
      <alignment vertical="center"/>
    </xf>
    <xf numFmtId="165" fontId="20" fillId="4" borderId="9" xfId="6" applyNumberFormat="1" applyFont="1" applyFill="1" applyBorder="1" applyAlignment="1" applyProtection="1">
      <alignment vertical="center"/>
    </xf>
    <xf numFmtId="165" fontId="20" fillId="4" borderId="28" xfId="6" applyNumberFormat="1" applyFont="1" applyFill="1" applyBorder="1" applyAlignment="1" applyProtection="1">
      <alignment vertical="center"/>
    </xf>
    <xf numFmtId="165" fontId="20" fillId="4" borderId="29" xfId="6" applyNumberFormat="1" applyFont="1" applyFill="1" applyBorder="1" applyAlignment="1" applyProtection="1">
      <alignment vertical="center"/>
    </xf>
    <xf numFmtId="165" fontId="20" fillId="4" borderId="1" xfId="6" applyNumberFormat="1" applyFont="1" applyFill="1" applyBorder="1" applyAlignment="1" applyProtection="1">
      <alignment vertical="center"/>
    </xf>
    <xf numFmtId="165" fontId="20" fillId="4" borderId="2" xfId="6" applyNumberFormat="1" applyFont="1" applyFill="1" applyBorder="1" applyAlignment="1" applyProtection="1">
      <alignment vertical="center"/>
    </xf>
    <xf numFmtId="165" fontId="20" fillId="4" borderId="3" xfId="6" applyNumberFormat="1" applyFont="1" applyFill="1" applyBorder="1" applyAlignment="1" applyProtection="1">
      <alignment vertical="center"/>
    </xf>
    <xf numFmtId="165" fontId="23" fillId="4" borderId="28" xfId="6" applyNumberFormat="1" applyFont="1" applyFill="1" applyBorder="1" applyAlignment="1" applyProtection="1">
      <alignment vertical="center"/>
    </xf>
    <xf numFmtId="165" fontId="23" fillId="4" borderId="6" xfId="6" applyNumberFormat="1" applyFont="1" applyFill="1" applyBorder="1" applyAlignment="1" applyProtection="1">
      <alignment vertical="center"/>
    </xf>
    <xf numFmtId="165" fontId="23" fillId="4" borderId="29" xfId="6" applyNumberFormat="1" applyFont="1" applyFill="1" applyBorder="1" applyAlignment="1" applyProtection="1">
      <alignment vertical="center"/>
    </xf>
    <xf numFmtId="165" fontId="23" fillId="4" borderId="9" xfId="6" applyNumberFormat="1" applyFont="1" applyFill="1" applyBorder="1" applyAlignment="1" applyProtection="1">
      <alignment vertical="center"/>
    </xf>
    <xf numFmtId="165" fontId="23" fillId="4" borderId="109" xfId="6" applyNumberFormat="1" applyFont="1" applyFill="1" applyBorder="1" applyAlignment="1" applyProtection="1">
      <alignment vertical="center"/>
    </xf>
    <xf numFmtId="165" fontId="20" fillId="4" borderId="32" xfId="6" applyNumberFormat="1" applyFont="1" applyFill="1" applyBorder="1" applyAlignment="1" applyProtection="1">
      <alignment vertical="center"/>
    </xf>
    <xf numFmtId="165" fontId="20" fillId="4" borderId="39" xfId="6" applyNumberFormat="1" applyFont="1" applyFill="1" applyBorder="1" applyAlignment="1" applyProtection="1">
      <alignment vertical="center"/>
    </xf>
    <xf numFmtId="165" fontId="20" fillId="4" borderId="42" xfId="6" applyNumberFormat="1" applyFont="1" applyFill="1" applyBorder="1" applyAlignment="1" applyProtection="1">
      <alignment vertical="center"/>
    </xf>
    <xf numFmtId="165" fontId="20" fillId="4" borderId="43" xfId="6" applyNumberFormat="1" applyFont="1" applyFill="1" applyBorder="1" applyAlignment="1" applyProtection="1">
      <alignment vertical="center"/>
    </xf>
    <xf numFmtId="165" fontId="20" fillId="4" borderId="44" xfId="6" applyNumberFormat="1" applyFont="1" applyFill="1" applyBorder="1" applyAlignment="1" applyProtection="1">
      <alignment vertical="center"/>
    </xf>
    <xf numFmtId="165" fontId="20" fillId="4" borderId="31" xfId="6" applyNumberFormat="1" applyFont="1" applyFill="1" applyBorder="1" applyAlignment="1" applyProtection="1">
      <alignment vertical="center"/>
    </xf>
    <xf numFmtId="165" fontId="20" fillId="4" borderId="49" xfId="6" applyNumberFormat="1" applyFont="1" applyFill="1" applyBorder="1" applyAlignment="1" applyProtection="1">
      <alignment vertical="center"/>
    </xf>
    <xf numFmtId="165" fontId="20" fillId="4" borderId="46" xfId="6" applyNumberFormat="1" applyFont="1" applyFill="1" applyBorder="1" applyAlignment="1" applyProtection="1">
      <alignment vertical="center"/>
    </xf>
    <xf numFmtId="165" fontId="20" fillId="4" borderId="47" xfId="6" applyNumberFormat="1" applyFont="1" applyFill="1" applyBorder="1" applyAlignment="1" applyProtection="1">
      <alignment vertical="center"/>
    </xf>
    <xf numFmtId="165" fontId="23" fillId="4" borderId="47" xfId="6" applyNumberFormat="1" applyFont="1" applyFill="1" applyBorder="1" applyAlignment="1" applyProtection="1">
      <alignment vertical="center"/>
    </xf>
    <xf numFmtId="10" fontId="20" fillId="4" borderId="30" xfId="6" applyNumberFormat="1" applyFont="1" applyFill="1" applyBorder="1" applyAlignment="1" applyProtection="1">
      <alignment vertical="center"/>
    </xf>
    <xf numFmtId="165" fontId="20" fillId="4" borderId="11" xfId="6" applyNumberFormat="1" applyFont="1" applyFill="1" applyBorder="1" applyAlignment="1" applyProtection="1">
      <alignment vertical="center"/>
    </xf>
    <xf numFmtId="165" fontId="20" fillId="4" borderId="12" xfId="6" applyNumberFormat="1" applyFont="1" applyFill="1" applyBorder="1" applyAlignment="1" applyProtection="1">
      <alignment vertical="center"/>
    </xf>
    <xf numFmtId="10" fontId="20" fillId="4" borderId="5" xfId="6" applyNumberFormat="1" applyFont="1" applyFill="1" applyBorder="1" applyAlignment="1" applyProtection="1">
      <alignment vertical="center"/>
    </xf>
    <xf numFmtId="10" fontId="20" fillId="4" borderId="6" xfId="6" applyNumberFormat="1" applyFont="1" applyFill="1" applyBorder="1" applyAlignment="1" applyProtection="1">
      <alignment vertical="center"/>
    </xf>
    <xf numFmtId="10" fontId="20" fillId="4" borderId="7" xfId="6" applyNumberFormat="1" applyFont="1" applyFill="1" applyBorder="1" applyAlignment="1" applyProtection="1">
      <alignment vertical="center"/>
    </xf>
    <xf numFmtId="10" fontId="20" fillId="4" borderId="11" xfId="6" applyNumberFormat="1" applyFont="1" applyFill="1" applyBorder="1" applyAlignment="1" applyProtection="1">
      <alignment vertical="center"/>
    </xf>
    <xf numFmtId="10" fontId="20" fillId="4" borderId="12" xfId="6" applyNumberFormat="1" applyFont="1" applyFill="1" applyBorder="1" applyAlignment="1" applyProtection="1">
      <alignment vertical="center"/>
    </xf>
    <xf numFmtId="10" fontId="20" fillId="4" borderId="13" xfId="6" applyNumberFormat="1" applyFont="1" applyFill="1" applyBorder="1" applyAlignment="1" applyProtection="1">
      <alignment vertical="center"/>
    </xf>
    <xf numFmtId="2" fontId="20" fillId="4" borderId="2" xfId="6" applyNumberFormat="1" applyFont="1" applyFill="1" applyBorder="1" applyAlignment="1" applyProtection="1">
      <alignment vertical="center"/>
    </xf>
    <xf numFmtId="2" fontId="20" fillId="4" borderId="3" xfId="6" applyNumberFormat="1" applyFont="1" applyFill="1" applyBorder="1" applyAlignment="1" applyProtection="1">
      <alignment vertical="center"/>
    </xf>
    <xf numFmtId="2" fontId="20" fillId="4" borderId="4" xfId="6" applyNumberFormat="1" applyFont="1" applyFill="1" applyBorder="1" applyAlignment="1" applyProtection="1">
      <alignment vertical="center"/>
    </xf>
    <xf numFmtId="165" fontId="23" fillId="4" borderId="37" xfId="10" applyNumberFormat="1" applyFont="1" applyFill="1" applyBorder="1" applyAlignment="1" applyProtection="1">
      <alignment vertical="center"/>
    </xf>
    <xf numFmtId="165" fontId="23" fillId="4" borderId="7" xfId="10" applyNumberFormat="1" applyFont="1" applyFill="1" applyBorder="1" applyAlignment="1" applyProtection="1">
      <alignment vertical="center"/>
    </xf>
    <xf numFmtId="165" fontId="23" fillId="4" borderId="31" xfId="10" applyNumberFormat="1" applyFont="1" applyFill="1" applyBorder="1" applyAlignment="1" applyProtection="1">
      <alignment vertical="center"/>
    </xf>
    <xf numFmtId="165" fontId="23" fillId="4" borderId="39" xfId="10" applyNumberFormat="1" applyFont="1" applyFill="1" applyBorder="1" applyAlignment="1" applyProtection="1">
      <alignment vertical="center"/>
    </xf>
    <xf numFmtId="165" fontId="23" fillId="4" borderId="10" xfId="10" applyNumberFormat="1" applyFont="1" applyFill="1" applyBorder="1" applyAlignment="1" applyProtection="1">
      <alignment vertical="center"/>
    </xf>
    <xf numFmtId="165" fontId="23" fillId="4" borderId="32" xfId="10" applyNumberFormat="1" applyFont="1" applyFill="1" applyBorder="1" applyAlignment="1" applyProtection="1">
      <alignment vertical="center"/>
    </xf>
    <xf numFmtId="165" fontId="23" fillId="4" borderId="29" xfId="10" applyNumberFormat="1" applyFont="1" applyFill="1" applyBorder="1" applyAlignment="1" applyProtection="1">
      <alignment vertical="center"/>
    </xf>
    <xf numFmtId="165" fontId="23" fillId="4" borderId="38" xfId="10" applyNumberFormat="1" applyFont="1" applyFill="1" applyBorder="1" applyAlignment="1" applyProtection="1">
      <alignment vertical="center"/>
    </xf>
    <xf numFmtId="165" fontId="23" fillId="4" borderId="125" xfId="2" applyNumberFormat="1" applyFont="1" applyFill="1" applyBorder="1" applyAlignment="1" applyProtection="1">
      <alignment vertical="center"/>
    </xf>
    <xf numFmtId="165" fontId="23" fillId="4" borderId="114" xfId="2" applyNumberFormat="1" applyFont="1" applyFill="1" applyBorder="1" applyAlignment="1" applyProtection="1">
      <alignment vertical="center"/>
    </xf>
    <xf numFmtId="165" fontId="23" fillId="4" borderId="45" xfId="10" applyNumberFormat="1" applyFont="1" applyFill="1" applyBorder="1" applyAlignment="1" applyProtection="1">
      <alignment vertical="center"/>
    </xf>
    <xf numFmtId="165" fontId="23" fillId="4" borderId="13" xfId="10" applyNumberFormat="1" applyFont="1" applyFill="1" applyBorder="1" applyAlignment="1" applyProtection="1">
      <alignment vertical="center"/>
    </xf>
    <xf numFmtId="165" fontId="23" fillId="4" borderId="11" xfId="2" applyNumberFormat="1" applyFont="1" applyFill="1" applyBorder="1" applyAlignment="1" applyProtection="1">
      <alignment vertical="center"/>
    </xf>
    <xf numFmtId="165" fontId="23" fillId="4" borderId="27" xfId="2" applyNumberFormat="1" applyFont="1" applyFill="1" applyBorder="1" applyAlignment="1" applyProtection="1">
      <alignment vertical="center"/>
    </xf>
    <xf numFmtId="165" fontId="23" fillId="4" borderId="54" xfId="10" applyNumberFormat="1" applyFont="1" applyFill="1" applyBorder="1" applyAlignment="1" applyProtection="1">
      <alignment vertical="center"/>
    </xf>
    <xf numFmtId="165" fontId="23" fillId="4" borderId="5" xfId="2" applyNumberFormat="1" applyFont="1" applyFill="1" applyBorder="1" applyAlignment="1" applyProtection="1">
      <alignment vertical="center"/>
    </xf>
    <xf numFmtId="165" fontId="23" fillId="4" borderId="41" xfId="10" applyNumberFormat="1" applyFont="1" applyFill="1" applyBorder="1" applyAlignment="1" applyProtection="1">
      <alignment vertical="center"/>
    </xf>
    <xf numFmtId="165" fontId="23" fillId="4" borderId="57" xfId="10" applyNumberFormat="1" applyFont="1" applyFill="1" applyBorder="1" applyAlignment="1" applyProtection="1">
      <alignment vertical="center"/>
    </xf>
    <xf numFmtId="165" fontId="23" fillId="4" borderId="1" xfId="10" applyNumberFormat="1" applyFont="1" applyFill="1" applyBorder="1" applyAlignment="1" applyProtection="1">
      <alignment vertical="center"/>
    </xf>
    <xf numFmtId="165" fontId="23" fillId="4" borderId="26" xfId="10" applyNumberFormat="1" applyFont="1" applyFill="1" applyBorder="1" applyAlignment="1" applyProtection="1">
      <alignment vertical="center"/>
    </xf>
    <xf numFmtId="165" fontId="23" fillId="4" borderId="2" xfId="10" applyNumberFormat="1" applyFont="1" applyFill="1" applyBorder="1" applyAlignment="1" applyProtection="1">
      <alignment vertical="center"/>
    </xf>
    <xf numFmtId="165" fontId="23" fillId="4" borderId="4" xfId="10" applyNumberFormat="1" applyFont="1" applyFill="1" applyBorder="1" applyAlignment="1" applyProtection="1">
      <alignment vertical="center"/>
    </xf>
    <xf numFmtId="165" fontId="20" fillId="4" borderId="37" xfId="6" applyNumberFormat="1" applyFont="1" applyFill="1" applyBorder="1" applyAlignment="1" applyProtection="1">
      <alignment vertical="center"/>
    </xf>
    <xf numFmtId="165" fontId="20" fillId="4" borderId="36" xfId="6" applyNumberFormat="1" applyFont="1" applyFill="1" applyBorder="1" applyAlignment="1" applyProtection="1">
      <alignment vertical="center"/>
    </xf>
    <xf numFmtId="165" fontId="20" fillId="4" borderId="38" xfId="6" applyNumberFormat="1" applyFont="1" applyFill="1" applyBorder="1" applyAlignment="1" applyProtection="1">
      <alignment vertical="center"/>
    </xf>
    <xf numFmtId="165" fontId="23" fillId="4" borderId="43" xfId="6" applyNumberFormat="1" applyFont="1" applyFill="1" applyBorder="1" applyAlignment="1" applyProtection="1">
      <alignment vertical="center"/>
    </xf>
    <xf numFmtId="165" fontId="23" fillId="4" borderId="42" xfId="6" applyNumberFormat="1" applyFont="1" applyFill="1" applyBorder="1" applyAlignment="1" applyProtection="1">
      <alignment vertical="center"/>
    </xf>
    <xf numFmtId="165" fontId="23" fillId="4" borderId="44" xfId="6" applyNumberFormat="1" applyFont="1" applyFill="1" applyBorder="1" applyAlignment="1" applyProtection="1">
      <alignment vertical="center"/>
    </xf>
    <xf numFmtId="165" fontId="23" fillId="4" borderId="126" xfId="6" applyNumberFormat="1" applyFont="1" applyFill="1" applyBorder="1" applyAlignment="1" applyProtection="1">
      <alignment vertical="center"/>
    </xf>
    <xf numFmtId="165" fontId="23" fillId="4" borderId="117" xfId="6" applyNumberFormat="1" applyFont="1" applyFill="1" applyBorder="1" applyAlignment="1" applyProtection="1">
      <alignment vertical="center"/>
    </xf>
    <xf numFmtId="165" fontId="23" fillId="4" borderId="118" xfId="6" applyNumberFormat="1" applyFont="1" applyFill="1" applyBorder="1" applyAlignment="1" applyProtection="1">
      <alignment vertical="center"/>
    </xf>
    <xf numFmtId="165" fontId="23" fillId="4" borderId="37" xfId="6" applyNumberFormat="1" applyFont="1" applyFill="1" applyBorder="1" applyAlignment="1" applyProtection="1">
      <alignment vertical="center"/>
    </xf>
    <xf numFmtId="165" fontId="23" fillId="4" borderId="24" xfId="6" applyNumberFormat="1" applyFont="1" applyFill="1" applyBorder="1" applyAlignment="1" applyProtection="1">
      <alignment vertical="center"/>
    </xf>
    <xf numFmtId="165" fontId="23" fillId="4" borderId="36" xfId="6" applyNumberFormat="1" applyFont="1" applyFill="1" applyBorder="1" applyAlignment="1" applyProtection="1">
      <alignment vertical="center"/>
    </xf>
    <xf numFmtId="165" fontId="23" fillId="4" borderId="39" xfId="6" applyNumberFormat="1" applyFont="1" applyFill="1" applyBorder="1" applyAlignment="1" applyProtection="1">
      <alignment vertical="center"/>
    </xf>
    <xf numFmtId="165" fontId="23" fillId="4" borderId="26" xfId="6" applyNumberFormat="1" applyFont="1" applyFill="1" applyBorder="1" applyAlignment="1" applyProtection="1">
      <alignment vertical="center"/>
    </xf>
    <xf numFmtId="165" fontId="23" fillId="4" borderId="38" xfId="6" applyNumberFormat="1" applyFont="1" applyFill="1" applyBorder="1" applyAlignment="1" applyProtection="1">
      <alignment vertical="center"/>
    </xf>
    <xf numFmtId="165" fontId="23" fillId="4" borderId="2" xfId="6" applyNumberFormat="1" applyFont="1" applyFill="1" applyBorder="1" applyAlignment="1" applyProtection="1">
      <alignment vertical="center"/>
    </xf>
    <xf numFmtId="165" fontId="23" fillId="4" borderId="4" xfId="6" applyNumberFormat="1" applyFont="1" applyFill="1" applyBorder="1" applyAlignment="1" applyProtection="1">
      <alignment vertical="center"/>
    </xf>
    <xf numFmtId="165" fontId="20" fillId="4" borderId="4" xfId="6" applyNumberFormat="1" applyFont="1" applyFill="1" applyBorder="1" applyAlignment="1" applyProtection="1">
      <alignment vertical="center"/>
    </xf>
    <xf numFmtId="165" fontId="20" fillId="4" borderId="34" xfId="6" applyNumberFormat="1" applyFont="1" applyFill="1" applyBorder="1" applyAlignment="1" applyProtection="1">
      <alignment vertical="center"/>
    </xf>
    <xf numFmtId="165" fontId="23" fillId="4" borderId="2" xfId="11" applyNumberFormat="1" applyFont="1" applyFill="1" applyBorder="1" applyAlignment="1" applyProtection="1">
      <alignment vertical="center"/>
    </xf>
    <xf numFmtId="165" fontId="23" fillId="4" borderId="3" xfId="11" applyNumberFormat="1" applyFont="1" applyFill="1" applyBorder="1" applyAlignment="1" applyProtection="1">
      <alignment vertical="center"/>
    </xf>
    <xf numFmtId="165" fontId="23" fillId="4" borderId="1" xfId="11" applyNumberFormat="1" applyFont="1" applyFill="1" applyBorder="1" applyAlignment="1" applyProtection="1">
      <alignment vertical="center"/>
    </xf>
    <xf numFmtId="165" fontId="23" fillId="4" borderId="5" xfId="11" applyNumberFormat="1" applyFont="1" applyFill="1" applyBorder="1" applyAlignment="1" applyProtection="1">
      <alignment vertical="center"/>
    </xf>
    <xf numFmtId="165" fontId="23" fillId="4" borderId="6" xfId="11" applyNumberFormat="1" applyFont="1" applyFill="1" applyBorder="1" applyAlignment="1" applyProtection="1">
      <alignment vertical="center"/>
    </xf>
    <xf numFmtId="165" fontId="23" fillId="4" borderId="31" xfId="11" applyNumberFormat="1" applyFont="1" applyFill="1" applyBorder="1" applyAlignment="1" applyProtection="1">
      <alignment vertical="center"/>
    </xf>
    <xf numFmtId="165" fontId="23" fillId="4" borderId="8" xfId="11" applyNumberFormat="1" applyFont="1" applyFill="1" applyBorder="1" applyAlignment="1" applyProtection="1">
      <alignment vertical="center"/>
    </xf>
    <xf numFmtId="165" fontId="23" fillId="4" borderId="9" xfId="11" applyNumberFormat="1" applyFont="1" applyFill="1" applyBorder="1" applyAlignment="1" applyProtection="1">
      <alignment vertical="center"/>
    </xf>
    <xf numFmtId="165" fontId="23" fillId="4" borderId="32" xfId="11" applyNumberFormat="1" applyFont="1" applyFill="1" applyBorder="1" applyAlignment="1" applyProtection="1">
      <alignment vertical="center"/>
    </xf>
    <xf numFmtId="165" fontId="23" fillId="4" borderId="43" xfId="11" applyNumberFormat="1" applyFont="1" applyFill="1" applyBorder="1" applyAlignment="1" applyProtection="1">
      <alignment vertical="center"/>
    </xf>
    <xf numFmtId="165" fontId="23" fillId="4" borderId="44" xfId="11" applyNumberFormat="1" applyFont="1" applyFill="1" applyBorder="1" applyAlignment="1" applyProtection="1">
      <alignment vertical="center"/>
    </xf>
    <xf numFmtId="165" fontId="23" fillId="4" borderId="5" xfId="9" applyNumberFormat="1" applyFont="1" applyFill="1" applyBorder="1" applyAlignment="1" applyProtection="1">
      <alignment vertical="center"/>
    </xf>
    <xf numFmtId="165" fontId="23" fillId="4" borderId="6" xfId="9" applyNumberFormat="1" applyFont="1" applyFill="1" applyBorder="1" applyAlignment="1" applyProtection="1">
      <alignment vertical="center"/>
    </xf>
    <xf numFmtId="165" fontId="23" fillId="4" borderId="9" xfId="9" applyNumberFormat="1" applyFont="1" applyFill="1" applyBorder="1" applyAlignment="1" applyProtection="1">
      <alignment vertical="center"/>
    </xf>
    <xf numFmtId="165" fontId="23" fillId="4" borderId="32" xfId="9" applyNumberFormat="1" applyFont="1" applyFill="1" applyBorder="1" applyAlignment="1" applyProtection="1">
      <alignment vertical="center"/>
    </xf>
    <xf numFmtId="165" fontId="23" fillId="4" borderId="30" xfId="9" applyNumberFormat="1" applyFont="1" applyFill="1" applyBorder="1" applyAlignment="1" applyProtection="1">
      <alignment vertical="center"/>
    </xf>
    <xf numFmtId="165" fontId="23" fillId="4" borderId="1" xfId="9" applyNumberFormat="1" applyFont="1" applyFill="1" applyBorder="1" applyAlignment="1" applyProtection="1">
      <alignment vertical="center"/>
    </xf>
    <xf numFmtId="165" fontId="23" fillId="4" borderId="47" xfId="9" applyNumberFormat="1" applyFont="1" applyFill="1" applyBorder="1" applyAlignment="1" applyProtection="1">
      <alignment vertical="center"/>
    </xf>
    <xf numFmtId="165" fontId="23" fillId="4" borderId="43" xfId="9" applyNumberFormat="1" applyFont="1" applyFill="1" applyBorder="1" applyAlignment="1" applyProtection="1">
      <alignment vertical="center"/>
    </xf>
    <xf numFmtId="165" fontId="23" fillId="4" borderId="7" xfId="9" applyNumberFormat="1" applyFont="1" applyFill="1" applyBorder="1" applyAlignment="1" applyProtection="1">
      <alignment vertical="center"/>
    </xf>
    <xf numFmtId="165" fontId="23" fillId="4" borderId="62" xfId="9" applyNumberFormat="1" applyFont="1" applyFill="1" applyBorder="1" applyAlignment="1" applyProtection="1">
      <alignment vertical="center"/>
    </xf>
    <xf numFmtId="0" fontId="23" fillId="4" borderId="6" xfId="9" applyFont="1" applyFill="1" applyBorder="1" applyProtection="1"/>
    <xf numFmtId="169" fontId="23" fillId="4" borderId="6" xfId="11" applyNumberFormat="1" applyFont="1" applyFill="1" applyBorder="1" applyAlignment="1" applyProtection="1">
      <alignment horizontal="right" vertical="center"/>
    </xf>
    <xf numFmtId="0" fontId="23" fillId="4" borderId="7" xfId="11" applyNumberFormat="1" applyFont="1" applyFill="1" applyBorder="1" applyAlignment="1" applyProtection="1">
      <alignment horizontal="right" vertical="center"/>
    </xf>
    <xf numFmtId="169" fontId="23" fillId="4" borderId="9" xfId="11" applyNumberFormat="1" applyFont="1" applyFill="1" applyBorder="1" applyAlignment="1" applyProtection="1">
      <alignment horizontal="right" vertical="center"/>
    </xf>
    <xf numFmtId="0" fontId="23" fillId="4" borderId="10" xfId="11" applyNumberFormat="1" applyFont="1" applyFill="1" applyBorder="1" applyAlignment="1" applyProtection="1">
      <alignment horizontal="right" vertical="center"/>
    </xf>
    <xf numFmtId="0" fontId="20" fillId="0" borderId="2" xfId="0" applyFont="1" applyBorder="1" applyAlignment="1" applyProtection="1">
      <alignment horizontal="center"/>
    </xf>
    <xf numFmtId="0" fontId="20" fillId="0" borderId="3" xfId="0" applyFont="1" applyBorder="1" applyAlignment="1" applyProtection="1">
      <alignment horizontal="left"/>
    </xf>
    <xf numFmtId="0" fontId="20" fillId="0" borderId="3" xfId="0" applyFont="1" applyBorder="1" applyAlignment="1" applyProtection="1">
      <alignment horizontal="center"/>
    </xf>
    <xf numFmtId="0" fontId="9" fillId="0" borderId="6" xfId="0" applyFont="1" applyBorder="1" applyProtection="1"/>
    <xf numFmtId="0" fontId="22" fillId="0" borderId="6" xfId="0" applyFont="1" applyBorder="1" applyAlignment="1" applyProtection="1">
      <alignment horizontal="center"/>
    </xf>
    <xf numFmtId="0" fontId="22" fillId="0" borderId="6" xfId="0" applyFont="1" applyBorder="1" applyAlignment="1" applyProtection="1">
      <alignment horizontal="center" vertical="center"/>
    </xf>
    <xf numFmtId="2" fontId="23" fillId="4" borderId="7" xfId="9" applyNumberFormat="1" applyFont="1" applyFill="1" applyBorder="1" applyAlignment="1" applyProtection="1">
      <alignment horizontal="right"/>
    </xf>
    <xf numFmtId="0" fontId="9" fillId="0" borderId="9" xfId="0" applyFont="1" applyBorder="1" applyProtection="1"/>
    <xf numFmtId="0" fontId="22" fillId="0" borderId="9" xfId="0" applyFont="1" applyBorder="1" applyAlignment="1" applyProtection="1">
      <alignment horizontal="center"/>
    </xf>
    <xf numFmtId="0" fontId="22" fillId="0" borderId="9" xfId="0" applyFont="1" applyBorder="1" applyAlignment="1" applyProtection="1">
      <alignment horizontal="center" vertical="center"/>
    </xf>
    <xf numFmtId="2" fontId="23" fillId="4" borderId="10" xfId="9" applyNumberFormat="1" applyFont="1" applyFill="1" applyBorder="1" applyAlignment="1" applyProtection="1">
      <alignment horizontal="right"/>
    </xf>
    <xf numFmtId="0" fontId="9" fillId="0" borderId="12" xfId="0" applyFont="1" applyBorder="1" applyProtection="1"/>
    <xf numFmtId="0" fontId="22" fillId="0" borderId="12" xfId="0" applyFont="1" applyBorder="1" applyAlignment="1" applyProtection="1">
      <alignment horizontal="center"/>
    </xf>
    <xf numFmtId="0" fontId="22" fillId="0" borderId="12" xfId="0" applyFont="1" applyBorder="1" applyAlignment="1" applyProtection="1">
      <alignment horizontal="center" vertical="center"/>
    </xf>
    <xf numFmtId="2" fontId="23" fillId="4" borderId="13" xfId="9" applyNumberFormat="1" applyFont="1" applyFill="1" applyBorder="1" applyAlignment="1" applyProtection="1">
      <alignment horizontal="right"/>
    </xf>
    <xf numFmtId="0" fontId="9" fillId="0" borderId="5" xfId="0" applyFont="1" applyBorder="1" applyProtection="1"/>
    <xf numFmtId="0" fontId="9" fillId="0" borderId="11" xfId="0" applyFont="1" applyBorder="1" applyProtection="1"/>
    <xf numFmtId="0" fontId="9" fillId="0" borderId="3" xfId="0" applyFont="1" applyBorder="1" applyProtection="1"/>
    <xf numFmtId="0" fontId="22" fillId="0" borderId="3" xfId="0" applyFont="1" applyBorder="1" applyAlignment="1" applyProtection="1">
      <alignment horizontal="center"/>
    </xf>
    <xf numFmtId="0" fontId="22" fillId="0" borderId="3" xfId="0" applyFont="1" applyBorder="1" applyAlignment="1" applyProtection="1">
      <alignment horizontal="center" vertical="center"/>
    </xf>
    <xf numFmtId="165" fontId="16" fillId="4" borderId="5" xfId="9" applyNumberFormat="1" applyFont="1" applyFill="1" applyBorder="1" applyProtection="1"/>
    <xf numFmtId="165" fontId="16" fillId="4" borderId="7" xfId="9" applyNumberFormat="1" applyFont="1" applyFill="1" applyBorder="1" applyProtection="1"/>
    <xf numFmtId="2" fontId="16" fillId="4" borderId="11" xfId="9" applyNumberFormat="1" applyFont="1" applyFill="1" applyBorder="1" applyProtection="1"/>
    <xf numFmtId="2" fontId="16" fillId="4" borderId="13" xfId="9" applyNumberFormat="1" applyFont="1" applyFill="1" applyBorder="1" applyProtection="1"/>
    <xf numFmtId="167" fontId="16" fillId="4" borderId="5" xfId="9" applyNumberFormat="1" applyFont="1" applyFill="1" applyBorder="1" applyProtection="1"/>
    <xf numFmtId="167" fontId="16" fillId="4" borderId="7" xfId="9" applyNumberFormat="1" applyFont="1" applyFill="1" applyBorder="1" applyProtection="1"/>
    <xf numFmtId="167" fontId="16" fillId="4" borderId="43" xfId="9" applyNumberFormat="1" applyFont="1" applyFill="1" applyBorder="1" applyProtection="1"/>
    <xf numFmtId="167" fontId="16" fillId="4" borderId="13" xfId="9" applyNumberFormat="1" applyFont="1" applyFill="1" applyBorder="1" applyProtection="1"/>
    <xf numFmtId="167" fontId="16" fillId="4" borderId="30" xfId="9" applyNumberFormat="1" applyFont="1" applyFill="1" applyBorder="1" applyProtection="1"/>
    <xf numFmtId="165" fontId="23" fillId="4" borderId="4" xfId="9" applyNumberFormat="1" applyFont="1" applyFill="1" applyBorder="1" applyAlignment="1" applyProtection="1">
      <alignment vertical="center"/>
    </xf>
    <xf numFmtId="165" fontId="23" fillId="4" borderId="28" xfId="9" applyNumberFormat="1" applyFont="1" applyFill="1" applyBorder="1" applyAlignment="1" applyProtection="1">
      <alignment vertical="center"/>
    </xf>
    <xf numFmtId="165" fontId="23" fillId="4" borderId="29" xfId="9" applyNumberFormat="1" applyFont="1" applyFill="1" applyBorder="1" applyAlignment="1" applyProtection="1">
      <alignment vertical="center"/>
    </xf>
    <xf numFmtId="165" fontId="23" fillId="4" borderId="34" xfId="9" applyNumberFormat="1" applyFont="1" applyFill="1" applyBorder="1" applyAlignment="1" applyProtection="1">
      <alignment vertical="center"/>
    </xf>
    <xf numFmtId="167" fontId="23" fillId="4" borderId="11" xfId="9" applyNumberFormat="1" applyFont="1" applyFill="1" applyBorder="1" applyAlignment="1" applyProtection="1">
      <alignment vertical="center"/>
    </xf>
    <xf numFmtId="167" fontId="23" fillId="4" borderId="13" xfId="9" applyNumberFormat="1" applyFont="1" applyFill="1" applyBorder="1" applyAlignment="1" applyProtection="1">
      <alignment vertical="center"/>
    </xf>
    <xf numFmtId="167" fontId="23" fillId="4" borderId="45" xfId="9" applyNumberFormat="1" applyFont="1" applyFill="1" applyBorder="1" applyAlignment="1" applyProtection="1">
      <alignment vertical="center"/>
    </xf>
    <xf numFmtId="165" fontId="23" fillId="4" borderId="16" xfId="9" applyNumberFormat="1" applyFont="1" applyFill="1" applyBorder="1" applyAlignment="1" applyProtection="1">
      <alignment vertical="center"/>
    </xf>
    <xf numFmtId="165" fontId="23" fillId="4" borderId="109" xfId="9" applyNumberFormat="1" applyFont="1" applyFill="1" applyBorder="1" applyAlignment="1" applyProtection="1">
      <alignment vertical="center"/>
    </xf>
    <xf numFmtId="165" fontId="23" fillId="4" borderId="126" xfId="9" applyNumberFormat="1" applyFont="1" applyFill="1" applyBorder="1" applyAlignment="1" applyProtection="1">
      <alignment vertical="center"/>
    </xf>
    <xf numFmtId="165" fontId="20" fillId="4" borderId="109" xfId="6" applyNumberFormat="1" applyFont="1" applyFill="1" applyBorder="1" applyAlignment="1" applyProtection="1">
      <alignment vertical="center"/>
    </xf>
    <xf numFmtId="165" fontId="20" fillId="4" borderId="7" xfId="6" applyNumberFormat="1" applyFont="1" applyFill="1" applyBorder="1" applyAlignment="1" applyProtection="1">
      <alignment vertical="center"/>
    </xf>
    <xf numFmtId="165" fontId="20" fillId="4" borderId="10" xfId="6" applyNumberFormat="1" applyFont="1" applyFill="1" applyBorder="1" applyAlignment="1" applyProtection="1">
      <alignment vertical="center"/>
    </xf>
    <xf numFmtId="165" fontId="23" fillId="4" borderId="10" xfId="6" applyNumberFormat="1" applyFont="1" applyFill="1" applyBorder="1" applyAlignment="1" applyProtection="1">
      <alignment vertical="center"/>
    </xf>
    <xf numFmtId="165" fontId="23" fillId="4" borderId="7" xfId="6" applyNumberFormat="1" applyFont="1" applyFill="1" applyBorder="1" applyAlignment="1" applyProtection="1">
      <alignment vertical="center"/>
    </xf>
    <xf numFmtId="165" fontId="20" fillId="4" borderId="61" xfId="6" applyNumberFormat="1" applyFont="1" applyFill="1" applyBorder="1" applyAlignment="1" applyProtection="1">
      <alignment vertical="center"/>
    </xf>
    <xf numFmtId="165" fontId="20" fillId="4" borderId="13" xfId="6" applyNumberFormat="1" applyFont="1" applyFill="1" applyBorder="1" applyAlignment="1" applyProtection="1">
      <alignment vertical="center"/>
    </xf>
    <xf numFmtId="165" fontId="20" fillId="4" borderId="41" xfId="6" applyNumberFormat="1" applyFont="1" applyFill="1" applyBorder="1" applyAlignment="1" applyProtection="1">
      <alignment vertical="center"/>
    </xf>
    <xf numFmtId="165" fontId="20" fillId="4" borderId="130" xfId="6" applyNumberFormat="1" applyFont="1" applyFill="1" applyBorder="1" applyAlignment="1" applyProtection="1">
      <alignment vertical="center"/>
    </xf>
    <xf numFmtId="165" fontId="20" fillId="4" borderId="20" xfId="6" applyNumberFormat="1" applyFont="1" applyFill="1" applyBorder="1" applyAlignment="1" applyProtection="1">
      <alignment vertical="center"/>
    </xf>
    <xf numFmtId="165" fontId="20" fillId="4" borderId="21" xfId="6" applyNumberFormat="1" applyFont="1" applyFill="1" applyBorder="1" applyAlignment="1" applyProtection="1">
      <alignment vertical="center"/>
    </xf>
    <xf numFmtId="165" fontId="20" fillId="4" borderId="19" xfId="6" applyNumberFormat="1" applyFont="1" applyFill="1" applyBorder="1" applyAlignment="1" applyProtection="1">
      <alignment vertical="center"/>
    </xf>
    <xf numFmtId="165" fontId="20" fillId="4" borderId="66" xfId="6" applyNumberFormat="1" applyFont="1" applyFill="1" applyBorder="1" applyAlignment="1" applyProtection="1">
      <alignment vertical="center"/>
    </xf>
    <xf numFmtId="165" fontId="20" fillId="4" borderId="65" xfId="6" applyNumberFormat="1" applyFont="1" applyFill="1" applyBorder="1" applyAlignment="1" applyProtection="1">
      <alignment vertical="center"/>
    </xf>
    <xf numFmtId="165" fontId="20" fillId="4" borderId="67" xfId="6" applyNumberFormat="1" applyFont="1" applyFill="1" applyBorder="1" applyAlignment="1" applyProtection="1">
      <alignment vertical="center"/>
    </xf>
    <xf numFmtId="165" fontId="20" fillId="4" borderId="92" xfId="6" applyNumberFormat="1" applyFont="1" applyFill="1" applyBorder="1" applyAlignment="1" applyProtection="1">
      <alignment vertical="center"/>
    </xf>
    <xf numFmtId="165" fontId="20" fillId="4" borderId="93" xfId="6" applyNumberFormat="1" applyFont="1" applyFill="1" applyBorder="1" applyAlignment="1" applyProtection="1">
      <alignment vertical="center"/>
    </xf>
    <xf numFmtId="165" fontId="20" fillId="4" borderId="94" xfId="6" applyNumberFormat="1" applyFont="1" applyFill="1" applyBorder="1" applyAlignment="1" applyProtection="1">
      <alignment vertical="center"/>
    </xf>
    <xf numFmtId="165" fontId="20" fillId="4" borderId="72" xfId="6" applyNumberFormat="1" applyFont="1" applyFill="1" applyBorder="1" applyAlignment="1" applyProtection="1">
      <alignment vertical="center"/>
    </xf>
    <xf numFmtId="165" fontId="20" fillId="4" borderId="71" xfId="6" applyNumberFormat="1" applyFont="1" applyFill="1" applyBorder="1" applyAlignment="1" applyProtection="1">
      <alignment vertical="center"/>
    </xf>
    <xf numFmtId="165" fontId="20" fillId="4" borderId="100" xfId="6" applyNumberFormat="1" applyFont="1" applyFill="1" applyBorder="1" applyAlignment="1" applyProtection="1">
      <alignment vertical="center"/>
    </xf>
    <xf numFmtId="165" fontId="20" fillId="4" borderId="98" xfId="6" applyNumberFormat="1" applyFont="1" applyFill="1" applyBorder="1" applyAlignment="1" applyProtection="1">
      <alignment vertical="center"/>
    </xf>
    <xf numFmtId="165" fontId="20" fillId="4" borderId="99" xfId="6" applyNumberFormat="1" applyFont="1" applyFill="1" applyBorder="1" applyAlignment="1" applyProtection="1">
      <alignment vertical="center"/>
    </xf>
    <xf numFmtId="165" fontId="20" fillId="4" borderId="123" xfId="6" applyNumberFormat="1" applyFont="1" applyFill="1" applyBorder="1" applyAlignment="1" applyProtection="1">
      <alignment vertical="center"/>
    </xf>
    <xf numFmtId="165" fontId="20" fillId="4" borderId="134" xfId="6" applyNumberFormat="1" applyFont="1" applyFill="1" applyBorder="1" applyAlignment="1" applyProtection="1">
      <alignment vertical="center"/>
    </xf>
    <xf numFmtId="165" fontId="20" fillId="4" borderId="135" xfId="6" applyNumberFormat="1" applyFont="1" applyFill="1" applyBorder="1" applyAlignment="1" applyProtection="1">
      <alignment vertical="center"/>
    </xf>
    <xf numFmtId="165" fontId="20" fillId="4" borderId="136" xfId="6" applyNumberFormat="1" applyFont="1" applyFill="1" applyBorder="1" applyAlignment="1" applyProtection="1">
      <alignment vertical="center"/>
    </xf>
    <xf numFmtId="165" fontId="23" fillId="4" borderId="134" xfId="6" applyNumberFormat="1" applyFont="1" applyFill="1" applyBorder="1" applyAlignment="1" applyProtection="1">
      <alignment vertical="center"/>
    </xf>
    <xf numFmtId="165" fontId="23" fillId="4" borderId="135" xfId="6" applyNumberFormat="1" applyFont="1" applyFill="1" applyBorder="1" applyAlignment="1" applyProtection="1">
      <alignment vertical="center"/>
    </xf>
    <xf numFmtId="165" fontId="23" fillId="4" borderId="136" xfId="6" applyNumberFormat="1" applyFont="1" applyFill="1" applyBorder="1" applyAlignment="1" applyProtection="1">
      <alignment vertical="center"/>
    </xf>
    <xf numFmtId="165" fontId="23" fillId="4" borderId="84" xfId="6" applyNumberFormat="1" applyFont="1" applyFill="1" applyBorder="1" applyAlignment="1" applyProtection="1">
      <alignment vertical="center"/>
    </xf>
    <xf numFmtId="165" fontId="23" fillId="4" borderId="140" xfId="6" applyNumberFormat="1" applyFont="1" applyFill="1" applyBorder="1" applyAlignment="1" applyProtection="1">
      <alignment vertical="center"/>
    </xf>
    <xf numFmtId="165" fontId="23" fillId="4" borderId="123" xfId="6" applyNumberFormat="1" applyFont="1" applyFill="1" applyBorder="1" applyAlignment="1" applyProtection="1">
      <alignment vertical="center"/>
    </xf>
    <xf numFmtId="165" fontId="23" fillId="4" borderId="92" xfId="6" applyNumberFormat="1" applyFont="1" applyFill="1" applyBorder="1" applyAlignment="1" applyProtection="1">
      <alignment vertical="center"/>
    </xf>
    <xf numFmtId="165" fontId="23" fillId="4" borderId="93" xfId="6" applyNumberFormat="1" applyFont="1" applyFill="1" applyBorder="1" applyAlignment="1" applyProtection="1">
      <alignment vertical="center"/>
    </xf>
    <xf numFmtId="165" fontId="23" fillId="4" borderId="94" xfId="6" applyNumberFormat="1" applyFont="1" applyFill="1" applyBorder="1" applyAlignment="1" applyProtection="1">
      <alignment vertical="center"/>
    </xf>
    <xf numFmtId="165" fontId="23" fillId="4" borderId="98" xfId="6" applyNumberFormat="1" applyFont="1" applyFill="1" applyBorder="1" applyAlignment="1" applyProtection="1">
      <alignment vertical="center"/>
    </xf>
    <xf numFmtId="165" fontId="23" fillId="4" borderId="99" xfId="6" applyNumberFormat="1" applyFont="1" applyFill="1" applyBorder="1" applyAlignment="1" applyProtection="1">
      <alignment vertical="center"/>
    </xf>
    <xf numFmtId="165" fontId="23" fillId="4" borderId="100" xfId="6" applyNumberFormat="1" applyFont="1" applyFill="1" applyBorder="1" applyAlignment="1" applyProtection="1">
      <alignment vertical="center"/>
    </xf>
    <xf numFmtId="165" fontId="23" fillId="4" borderId="141" xfId="6" applyNumberFormat="1" applyFont="1" applyFill="1" applyBorder="1" applyAlignment="1" applyProtection="1">
      <alignment vertical="center"/>
    </xf>
    <xf numFmtId="165" fontId="23" fillId="4" borderId="142" xfId="6" applyNumberFormat="1" applyFont="1" applyFill="1" applyBorder="1" applyAlignment="1" applyProtection="1">
      <alignment vertical="center"/>
    </xf>
    <xf numFmtId="165" fontId="23" fillId="4" borderId="143" xfId="6" applyNumberFormat="1" applyFont="1" applyFill="1" applyBorder="1" applyAlignment="1" applyProtection="1">
      <alignment vertical="center"/>
    </xf>
    <xf numFmtId="165" fontId="20" fillId="4" borderId="69" xfId="6" applyNumberFormat="1" applyFont="1" applyFill="1" applyBorder="1" applyAlignment="1" applyProtection="1">
      <alignment vertical="center"/>
    </xf>
    <xf numFmtId="165" fontId="20" fillId="4" borderId="95" xfId="6" applyNumberFormat="1" applyFont="1" applyFill="1" applyBorder="1" applyAlignment="1" applyProtection="1">
      <alignment vertical="center"/>
    </xf>
    <xf numFmtId="10" fontId="20" fillId="4" borderId="32" xfId="6" applyNumberFormat="1" applyFont="1" applyFill="1" applyBorder="1" applyAlignment="1" applyProtection="1">
      <alignment vertical="center"/>
    </xf>
    <xf numFmtId="10" fontId="23" fillId="4" borderId="32" xfId="6" applyNumberFormat="1" applyFont="1" applyFill="1" applyBorder="1" applyAlignment="1" applyProtection="1">
      <alignment vertical="center"/>
    </xf>
    <xf numFmtId="2" fontId="20" fillId="4" borderId="32" xfId="6" applyNumberFormat="1" applyFont="1" applyFill="1" applyBorder="1" applyAlignment="1" applyProtection="1">
      <alignment vertical="center"/>
    </xf>
    <xf numFmtId="10" fontId="23" fillId="4" borderId="5" xfId="6" applyNumberFormat="1" applyFont="1" applyFill="1" applyBorder="1" applyAlignment="1" applyProtection="1">
      <alignment vertical="center"/>
    </xf>
    <xf numFmtId="10" fontId="23" fillId="4" borderId="7" xfId="6" applyNumberFormat="1" applyFont="1" applyFill="1" applyBorder="1" applyAlignment="1" applyProtection="1">
      <alignment vertical="center"/>
    </xf>
    <xf numFmtId="10" fontId="23" fillId="4" borderId="10" xfId="6" applyNumberFormat="1" applyFont="1" applyFill="1" applyBorder="1" applyAlignment="1" applyProtection="1">
      <alignment vertical="center"/>
    </xf>
    <xf numFmtId="10" fontId="23" fillId="4" borderId="42" xfId="6" applyNumberFormat="1" applyFont="1" applyFill="1" applyBorder="1" applyAlignment="1" applyProtection="1">
      <alignment vertical="center"/>
    </xf>
    <xf numFmtId="10" fontId="23" fillId="4" borderId="62" xfId="6" applyNumberFormat="1" applyFont="1" applyFill="1" applyBorder="1" applyAlignment="1" applyProtection="1">
      <alignment vertical="center"/>
    </xf>
    <xf numFmtId="10" fontId="23" fillId="7" borderId="11" xfId="6" applyNumberFormat="1" applyFont="1" applyFill="1" applyBorder="1" applyAlignment="1" applyProtection="1">
      <alignment vertical="center"/>
    </xf>
    <xf numFmtId="10" fontId="23" fillId="7" borderId="13" xfId="6" applyNumberFormat="1" applyFont="1" applyFill="1" applyBorder="1" applyAlignment="1" applyProtection="1">
      <alignment vertical="center"/>
    </xf>
    <xf numFmtId="10" fontId="20" fillId="4" borderId="109" xfId="6" applyNumberFormat="1" applyFont="1" applyFill="1" applyBorder="1" applyAlignment="1" applyProtection="1">
      <alignment vertical="center"/>
    </xf>
    <xf numFmtId="165" fontId="23" fillId="4" borderId="5" xfId="9" applyNumberFormat="1" applyFont="1" applyFill="1" applyBorder="1" applyProtection="1"/>
    <xf numFmtId="165" fontId="23" fillId="4" borderId="6" xfId="9" applyNumberFormat="1" applyFont="1" applyFill="1" applyBorder="1" applyProtection="1"/>
    <xf numFmtId="165" fontId="23" fillId="4" borderId="7" xfId="9" applyNumberFormat="1" applyFont="1" applyFill="1" applyBorder="1" applyProtection="1"/>
    <xf numFmtId="165" fontId="23" fillId="4" borderId="54" xfId="9" applyNumberFormat="1" applyFont="1" applyFill="1" applyBorder="1" applyProtection="1"/>
    <xf numFmtId="10" fontId="23" fillId="4" borderId="5" xfId="2" applyNumberFormat="1" applyFont="1" applyFill="1" applyBorder="1" applyProtection="1"/>
    <xf numFmtId="10" fontId="23" fillId="4" borderId="7" xfId="2" applyNumberFormat="1" applyFont="1" applyFill="1" applyBorder="1" applyProtection="1"/>
    <xf numFmtId="165" fontId="23" fillId="4" borderId="46" xfId="9" applyNumberFormat="1" applyFont="1" applyFill="1" applyBorder="1" applyProtection="1"/>
    <xf numFmtId="165" fontId="23" fillId="4" borderId="47" xfId="9" applyNumberFormat="1" applyFont="1" applyFill="1" applyBorder="1" applyProtection="1"/>
    <xf numFmtId="165" fontId="23" fillId="4" borderId="50" xfId="9" applyNumberFormat="1" applyFont="1" applyFill="1" applyBorder="1" applyProtection="1"/>
    <xf numFmtId="165" fontId="23" fillId="4" borderId="113" xfId="9" applyNumberFormat="1" applyFont="1" applyFill="1" applyBorder="1" applyProtection="1"/>
    <xf numFmtId="10" fontId="23" fillId="4" borderId="46" xfId="2" applyNumberFormat="1" applyFont="1" applyFill="1" applyBorder="1" applyProtection="1"/>
    <xf numFmtId="10" fontId="23" fillId="4" borderId="50" xfId="2" applyNumberFormat="1" applyFont="1" applyFill="1" applyBorder="1" applyProtection="1"/>
    <xf numFmtId="165" fontId="23" fillId="4" borderId="8" xfId="9" applyNumberFormat="1" applyFont="1" applyFill="1" applyBorder="1" applyProtection="1"/>
    <xf numFmtId="165" fontId="23" fillId="4" borderId="9" xfId="9" applyNumberFormat="1" applyFont="1" applyFill="1" applyBorder="1" applyProtection="1"/>
    <xf numFmtId="165" fontId="23" fillId="4" borderId="10" xfId="9" applyNumberFormat="1" applyFont="1" applyFill="1" applyBorder="1" applyProtection="1"/>
    <xf numFmtId="165" fontId="23" fillId="4" borderId="56" xfId="9" applyNumberFormat="1" applyFont="1" applyFill="1" applyBorder="1" applyProtection="1"/>
    <xf numFmtId="10" fontId="23" fillId="4" borderId="8" xfId="2" applyNumberFormat="1" applyFont="1" applyFill="1" applyBorder="1" applyProtection="1"/>
    <xf numFmtId="10" fontId="23" fillId="4" borderId="10" xfId="2" applyNumberFormat="1" applyFont="1" applyFill="1" applyBorder="1" applyProtection="1"/>
    <xf numFmtId="10" fontId="23" fillId="4" borderId="43" xfId="2" applyNumberFormat="1" applyFont="1" applyFill="1" applyBorder="1" applyProtection="1"/>
    <xf numFmtId="10" fontId="23" fillId="4" borderId="62" xfId="2" applyNumberFormat="1" applyFont="1" applyFill="1" applyBorder="1" applyProtection="1"/>
    <xf numFmtId="165" fontId="23" fillId="4" borderId="43" xfId="9" applyNumberFormat="1" applyFont="1" applyFill="1" applyBorder="1" applyProtection="1"/>
    <xf numFmtId="165" fontId="23" fillId="4" borderId="44" xfId="9" applyNumberFormat="1" applyFont="1" applyFill="1" applyBorder="1" applyProtection="1"/>
    <xf numFmtId="165" fontId="23" fillId="4" borderId="62" xfId="9" applyNumberFormat="1" applyFont="1" applyFill="1" applyBorder="1" applyProtection="1"/>
    <xf numFmtId="165" fontId="23" fillId="4" borderId="122" xfId="9" applyNumberFormat="1" applyFont="1" applyFill="1" applyBorder="1" applyProtection="1"/>
    <xf numFmtId="10" fontId="23" fillId="4" borderId="11" xfId="2" applyNumberFormat="1" applyFont="1" applyFill="1" applyBorder="1" applyProtection="1"/>
    <xf numFmtId="10" fontId="23" fillId="4" borderId="13" xfId="2" applyNumberFormat="1" applyFont="1" applyFill="1" applyBorder="1" applyProtection="1"/>
    <xf numFmtId="165" fontId="23" fillId="4" borderId="31" xfId="9" applyNumberFormat="1" applyFont="1" applyFill="1" applyBorder="1" applyProtection="1"/>
    <xf numFmtId="165" fontId="23" fillId="4" borderId="32" xfId="9" applyNumberFormat="1" applyFont="1" applyFill="1" applyBorder="1" applyProtection="1"/>
    <xf numFmtId="165" fontId="23" fillId="4" borderId="28" xfId="9" applyNumberFormat="1" applyFont="1" applyFill="1" applyBorder="1" applyProtection="1"/>
    <xf numFmtId="165" fontId="23" fillId="4" borderId="29" xfId="9" applyNumberFormat="1" applyFont="1" applyFill="1" applyBorder="1" applyProtection="1"/>
    <xf numFmtId="165" fontId="23" fillId="4" borderId="110" xfId="9" applyNumberFormat="1" applyFont="1" applyFill="1" applyBorder="1" applyProtection="1"/>
    <xf numFmtId="165" fontId="23" fillId="4" borderId="2" xfId="9" applyNumberFormat="1" applyFont="1" applyFill="1" applyBorder="1" applyProtection="1"/>
    <xf numFmtId="165" fontId="23" fillId="4" borderId="3" xfId="9" applyNumberFormat="1" applyFont="1" applyFill="1" applyBorder="1" applyProtection="1"/>
    <xf numFmtId="165" fontId="23" fillId="4" borderId="4" xfId="9" applyNumberFormat="1" applyFont="1" applyFill="1" applyBorder="1" applyProtection="1"/>
    <xf numFmtId="165" fontId="23" fillId="4" borderId="34" xfId="9" applyNumberFormat="1" applyFont="1" applyFill="1" applyBorder="1" applyProtection="1"/>
    <xf numFmtId="10" fontId="23" fillId="4" borderId="2" xfId="2" applyNumberFormat="1" applyFont="1" applyFill="1" applyBorder="1" applyProtection="1"/>
    <xf numFmtId="10" fontId="23" fillId="4" borderId="4" xfId="2" applyNumberFormat="1" applyFont="1" applyFill="1" applyBorder="1" applyProtection="1"/>
    <xf numFmtId="165" fontId="23" fillId="16" borderId="5" xfId="6" applyNumberFormat="1" applyFont="1" applyFill="1" applyBorder="1" applyAlignment="1" applyProtection="1">
      <alignment vertical="center"/>
    </xf>
    <xf numFmtId="165" fontId="23" fillId="16" borderId="24" xfId="6" applyNumberFormat="1" applyFont="1" applyFill="1" applyBorder="1" applyAlignment="1" applyProtection="1">
      <alignment vertical="center"/>
    </xf>
    <xf numFmtId="165" fontId="23" fillId="16" borderId="37" xfId="6" applyNumberFormat="1" applyFont="1" applyFill="1" applyBorder="1" applyAlignment="1" applyProtection="1">
      <alignment vertical="center"/>
    </xf>
    <xf numFmtId="165" fontId="23" fillId="16" borderId="6" xfId="6" applyNumberFormat="1" applyFont="1" applyFill="1" applyBorder="1" applyAlignment="1" applyProtection="1">
      <alignment vertical="center"/>
    </xf>
    <xf numFmtId="165" fontId="23" fillId="16" borderId="36" xfId="6" applyNumberFormat="1" applyFont="1" applyFill="1" applyBorder="1" applyAlignment="1" applyProtection="1">
      <alignment vertical="center"/>
    </xf>
    <xf numFmtId="165" fontId="23" fillId="16" borderId="8" xfId="6" applyNumberFormat="1" applyFont="1" applyFill="1" applyBorder="1" applyAlignment="1" applyProtection="1">
      <alignment vertical="center"/>
    </xf>
    <xf numFmtId="165" fontId="23" fillId="16" borderId="26" xfId="6" applyNumberFormat="1" applyFont="1" applyFill="1" applyBorder="1" applyAlignment="1" applyProtection="1">
      <alignment vertical="center"/>
    </xf>
    <xf numFmtId="165" fontId="23" fillId="16" borderId="39" xfId="6" applyNumberFormat="1" applyFont="1" applyFill="1" applyBorder="1" applyAlignment="1" applyProtection="1">
      <alignment vertical="center"/>
    </xf>
    <xf numFmtId="165" fontId="23" fillId="16" borderId="9" xfId="6" applyNumberFormat="1" applyFont="1" applyFill="1" applyBorder="1" applyAlignment="1" applyProtection="1">
      <alignment vertical="center"/>
    </xf>
    <xf numFmtId="165" fontId="23" fillId="16" borderId="38" xfId="6" applyNumberFormat="1" applyFont="1" applyFill="1" applyBorder="1" applyAlignment="1" applyProtection="1">
      <alignment vertical="center"/>
    </xf>
    <xf numFmtId="165" fontId="23" fillId="0" borderId="26" xfId="6" applyNumberFormat="1" applyFont="1" applyFill="1" applyBorder="1" applyAlignment="1" applyProtection="1">
      <alignment vertical="center"/>
    </xf>
    <xf numFmtId="0" fontId="59" fillId="0" borderId="0" xfId="18" applyFont="1" applyFill="1" applyBorder="1" applyProtection="1"/>
    <xf numFmtId="165" fontId="23" fillId="16" borderId="5" xfId="20" applyNumberFormat="1" applyFont="1" applyFill="1" applyBorder="1" applyAlignment="1" applyProtection="1">
      <alignment vertical="center"/>
    </xf>
    <xf numFmtId="165" fontId="23" fillId="16" borderId="24" xfId="20" applyNumberFormat="1" applyFont="1" applyFill="1" applyBorder="1" applyAlignment="1" applyProtection="1">
      <alignment vertical="center"/>
    </xf>
    <xf numFmtId="165" fontId="23" fillId="16" borderId="37" xfId="20" applyNumberFormat="1" applyFont="1" applyFill="1" applyBorder="1" applyAlignment="1" applyProtection="1">
      <alignment vertical="center"/>
    </xf>
    <xf numFmtId="165" fontId="23" fillId="16" borderId="6" xfId="20" applyNumberFormat="1" applyFont="1" applyFill="1" applyBorder="1" applyAlignment="1" applyProtection="1">
      <alignment vertical="center"/>
    </xf>
    <xf numFmtId="165" fontId="23" fillId="16" borderId="36" xfId="20" applyNumberFormat="1" applyFont="1" applyFill="1" applyBorder="1" applyAlignment="1" applyProtection="1">
      <alignment vertical="center"/>
    </xf>
    <xf numFmtId="165" fontId="23" fillId="16" borderId="8" xfId="20" applyNumberFormat="1" applyFont="1" applyFill="1" applyBorder="1" applyAlignment="1" applyProtection="1">
      <alignment vertical="center"/>
    </xf>
    <xf numFmtId="165" fontId="23" fillId="16" borderId="26" xfId="20" applyNumberFormat="1" applyFont="1" applyFill="1" applyBorder="1" applyAlignment="1" applyProtection="1">
      <alignment vertical="center"/>
    </xf>
    <xf numFmtId="165" fontId="23" fillId="16" borderId="39" xfId="20" applyNumberFormat="1" applyFont="1" applyFill="1" applyBorder="1" applyAlignment="1" applyProtection="1">
      <alignment vertical="center"/>
    </xf>
    <xf numFmtId="165" fontId="23" fillId="16" borderId="9" xfId="20" applyNumberFormat="1" applyFont="1" applyFill="1" applyBorder="1" applyAlignment="1" applyProtection="1">
      <alignment vertical="center"/>
    </xf>
    <xf numFmtId="165" fontId="23" fillId="16" borderId="38" xfId="20" applyNumberFormat="1" applyFont="1" applyFill="1" applyBorder="1" applyAlignment="1" applyProtection="1">
      <alignment vertical="center"/>
    </xf>
    <xf numFmtId="165" fontId="16" fillId="16" borderId="9" xfId="6" applyNumberFormat="1" applyFont="1" applyFill="1" applyBorder="1" applyAlignment="1" applyProtection="1">
      <alignment vertical="center"/>
    </xf>
    <xf numFmtId="165" fontId="99" fillId="0" borderId="6" xfId="6" applyNumberFormat="1" applyFont="1" applyFill="1" applyBorder="1" applyAlignment="1" applyProtection="1">
      <alignment vertical="center"/>
    </xf>
    <xf numFmtId="165" fontId="99" fillId="0" borderId="9" xfId="6" applyNumberFormat="1" applyFont="1" applyFill="1" applyBorder="1" applyAlignment="1" applyProtection="1">
      <alignment vertical="center"/>
    </xf>
    <xf numFmtId="165" fontId="99" fillId="0" borderId="44" xfId="6" applyNumberFormat="1" applyFont="1" applyFill="1" applyBorder="1" applyAlignment="1" applyProtection="1">
      <alignment vertical="center"/>
    </xf>
    <xf numFmtId="165" fontId="23" fillId="16" borderId="43" xfId="6" applyNumberFormat="1" applyFont="1" applyFill="1" applyBorder="1" applyAlignment="1" applyProtection="1">
      <alignment vertical="center"/>
    </xf>
    <xf numFmtId="165" fontId="23" fillId="16" borderId="126" xfId="6" applyNumberFormat="1" applyFont="1" applyFill="1" applyBorder="1" applyAlignment="1" applyProtection="1">
      <alignment vertical="center"/>
    </xf>
    <xf numFmtId="165" fontId="23" fillId="16" borderId="117" xfId="6" applyNumberFormat="1" applyFont="1" applyFill="1" applyBorder="1" applyAlignment="1" applyProtection="1">
      <alignment vertical="center"/>
    </xf>
    <xf numFmtId="165" fontId="23" fillId="16" borderId="44" xfId="6" applyNumberFormat="1" applyFont="1" applyFill="1" applyBorder="1" applyAlignment="1" applyProtection="1">
      <alignment vertical="center"/>
    </xf>
    <xf numFmtId="165" fontId="23" fillId="16" borderId="118" xfId="6" applyNumberFormat="1" applyFont="1" applyFill="1" applyBorder="1" applyAlignment="1" applyProtection="1">
      <alignment vertical="center"/>
    </xf>
    <xf numFmtId="165" fontId="23" fillId="18" borderId="11" xfId="6" applyNumberFormat="1" applyFont="1" applyFill="1" applyBorder="1" applyAlignment="1" applyProtection="1">
      <alignment vertical="center"/>
    </xf>
    <xf numFmtId="165" fontId="23" fillId="18" borderId="27" xfId="6" applyNumberFormat="1" applyFont="1" applyFill="1" applyBorder="1" applyAlignment="1" applyProtection="1">
      <alignment vertical="center"/>
    </xf>
    <xf numFmtId="165" fontId="23" fillId="18" borderId="41" xfId="6" applyNumberFormat="1" applyFont="1" applyFill="1" applyBorder="1" applyAlignment="1" applyProtection="1">
      <alignment vertical="center"/>
    </xf>
    <xf numFmtId="165" fontId="23" fillId="18" borderId="12" xfId="6" applyNumberFormat="1" applyFont="1" applyFill="1" applyBorder="1" applyAlignment="1" applyProtection="1">
      <alignment vertical="center"/>
    </xf>
    <xf numFmtId="165" fontId="23" fillId="18" borderId="40" xfId="6" applyNumberFormat="1" applyFont="1" applyFill="1" applyBorder="1" applyAlignment="1" applyProtection="1">
      <alignment vertical="center"/>
    </xf>
    <xf numFmtId="165" fontId="23" fillId="18" borderId="2" xfId="6" applyNumberFormat="1" applyFont="1" applyFill="1" applyBorder="1" applyAlignment="1" applyProtection="1">
      <alignment vertical="center"/>
    </xf>
    <xf numFmtId="165" fontId="23" fillId="18" borderId="35" xfId="6" applyNumberFormat="1" applyFont="1" applyFill="1" applyBorder="1" applyAlignment="1" applyProtection="1">
      <alignment vertical="center"/>
    </xf>
    <xf numFmtId="165" fontId="23" fillId="18" borderId="61" xfId="6" applyNumberFormat="1" applyFont="1" applyFill="1" applyBorder="1" applyAlignment="1" applyProtection="1">
      <alignment vertical="center"/>
    </xf>
    <xf numFmtId="165" fontId="23" fillId="18" borderId="3" xfId="6" applyNumberFormat="1" applyFont="1" applyFill="1" applyBorder="1" applyAlignment="1" applyProtection="1">
      <alignment vertical="center"/>
    </xf>
    <xf numFmtId="165" fontId="23" fillId="18" borderId="4" xfId="6" applyNumberFormat="1" applyFont="1" applyFill="1" applyBorder="1" applyAlignment="1" applyProtection="1">
      <alignment vertical="center"/>
    </xf>
    <xf numFmtId="165" fontId="23" fillId="18" borderId="244" xfId="6" applyNumberFormat="1" applyFont="1" applyFill="1" applyBorder="1" applyAlignment="1" applyProtection="1">
      <alignment vertical="center"/>
    </xf>
    <xf numFmtId="0" fontId="62" fillId="0" borderId="0" xfId="18" applyFont="1" applyFill="1" applyBorder="1" applyAlignment="1" applyProtection="1">
      <alignment horizontal="center" vertical="center" wrapText="1"/>
    </xf>
    <xf numFmtId="165" fontId="50" fillId="0" borderId="9" xfId="6" applyNumberFormat="1" applyFont="1" applyFill="1" applyBorder="1" applyAlignment="1" applyProtection="1">
      <alignment vertical="center"/>
    </xf>
    <xf numFmtId="165" fontId="50" fillId="0" borderId="44" xfId="6" applyNumberFormat="1" applyFont="1" applyFill="1" applyBorder="1" applyAlignment="1" applyProtection="1">
      <alignment vertical="center"/>
    </xf>
    <xf numFmtId="165" fontId="23" fillId="18" borderId="60" xfId="6" applyNumberFormat="1" applyFont="1" applyFill="1" applyBorder="1" applyAlignment="1" applyProtection="1">
      <alignment vertical="center"/>
    </xf>
    <xf numFmtId="0" fontId="7" fillId="3" borderId="4" xfId="0" applyFont="1" applyFill="1" applyBorder="1" applyAlignment="1" applyProtection="1"/>
    <xf numFmtId="0" fontId="51" fillId="0" borderId="47" xfId="0" applyFont="1" applyBorder="1" applyAlignment="1" applyProtection="1">
      <alignment vertical="center"/>
    </xf>
    <xf numFmtId="0" fontId="51" fillId="0" borderId="6" xfId="11" applyFont="1" applyFill="1" applyBorder="1" applyAlignment="1" applyProtection="1">
      <alignment horizontal="center" vertical="center"/>
    </xf>
    <xf numFmtId="165" fontId="16" fillId="4" borderId="54" xfId="2" applyNumberFormat="1" applyFont="1" applyFill="1" applyBorder="1" applyAlignment="1" applyProtection="1">
      <alignment vertical="center"/>
    </xf>
    <xf numFmtId="165" fontId="16" fillId="4" borderId="7" xfId="2" applyNumberFormat="1" applyFont="1" applyFill="1" applyBorder="1" applyAlignment="1" applyProtection="1">
      <alignment vertical="center"/>
    </xf>
    <xf numFmtId="165" fontId="16" fillId="4" borderId="37" xfId="2" applyNumberFormat="1" applyFont="1" applyFill="1" applyBorder="1" applyAlignment="1" applyProtection="1">
      <alignment vertical="center"/>
    </xf>
    <xf numFmtId="165" fontId="16" fillId="4" borderId="28" xfId="2" applyNumberFormat="1" applyFont="1" applyFill="1" applyBorder="1" applyAlignment="1" applyProtection="1">
      <alignment vertical="center"/>
    </xf>
    <xf numFmtId="165" fontId="16" fillId="4" borderId="6" xfId="2" applyNumberFormat="1" applyFont="1" applyFill="1" applyBorder="1" applyAlignment="1" applyProtection="1">
      <alignment vertical="center"/>
    </xf>
    <xf numFmtId="0" fontId="32" fillId="0" borderId="47" xfId="11" applyFont="1" applyFill="1" applyBorder="1" applyAlignment="1" applyProtection="1">
      <alignment horizontal="center" vertical="center"/>
    </xf>
    <xf numFmtId="165" fontId="16" fillId="4" borderId="113" xfId="2" applyNumberFormat="1" applyFont="1" applyFill="1" applyBorder="1" applyAlignment="1" applyProtection="1">
      <alignment vertical="center"/>
    </xf>
    <xf numFmtId="165" fontId="16" fillId="4" borderId="50" xfId="2" applyNumberFormat="1" applyFont="1" applyFill="1" applyBorder="1" applyAlignment="1" applyProtection="1">
      <alignment vertical="center"/>
    </xf>
    <xf numFmtId="165" fontId="16" fillId="4" borderId="125" xfId="2" applyNumberFormat="1" applyFont="1" applyFill="1" applyBorder="1" applyAlignment="1" applyProtection="1">
      <alignment vertical="center"/>
    </xf>
    <xf numFmtId="165" fontId="16" fillId="4" borderId="114" xfId="2" applyNumberFormat="1" applyFont="1" applyFill="1" applyBorder="1" applyAlignment="1" applyProtection="1">
      <alignment vertical="center"/>
    </xf>
    <xf numFmtId="165" fontId="16" fillId="4" borderId="47" xfId="2" applyNumberFormat="1" applyFont="1" applyFill="1" applyBorder="1" applyAlignment="1" applyProtection="1">
      <alignment vertical="center"/>
    </xf>
    <xf numFmtId="0" fontId="16" fillId="0" borderId="47" xfId="0" applyFont="1" applyBorder="1" applyAlignment="1" applyProtection="1">
      <alignment vertical="center" wrapText="1"/>
    </xf>
    <xf numFmtId="0" fontId="16" fillId="0" borderId="47" xfId="11" applyFont="1" applyFill="1" applyBorder="1" applyAlignment="1" applyProtection="1">
      <alignment vertical="center" wrapText="1"/>
    </xf>
    <xf numFmtId="0" fontId="16" fillId="0" borderId="9" xfId="11" applyFont="1" applyFill="1" applyBorder="1" applyAlignment="1" applyProtection="1">
      <alignment vertical="center" wrapText="1"/>
    </xf>
    <xf numFmtId="165" fontId="16" fillId="4" borderId="56" xfId="2" applyNumberFormat="1" applyFont="1" applyFill="1" applyBorder="1" applyAlignment="1" applyProtection="1">
      <alignment vertical="center"/>
    </xf>
    <xf numFmtId="165" fontId="16" fillId="4" borderId="10" xfId="2" applyNumberFormat="1" applyFont="1" applyFill="1" applyBorder="1" applyAlignment="1" applyProtection="1">
      <alignment vertical="center"/>
    </xf>
    <xf numFmtId="165" fontId="16" fillId="4" borderId="39" xfId="2" applyNumberFormat="1" applyFont="1" applyFill="1" applyBorder="1" applyAlignment="1" applyProtection="1">
      <alignment vertical="center"/>
    </xf>
    <xf numFmtId="165" fontId="16" fillId="4" borderId="29" xfId="2" applyNumberFormat="1" applyFont="1" applyFill="1" applyBorder="1" applyAlignment="1" applyProtection="1">
      <alignment vertical="center"/>
    </xf>
    <xf numFmtId="165" fontId="16" fillId="4" borderId="9" xfId="2" applyNumberFormat="1" applyFont="1" applyFill="1" applyBorder="1" applyAlignment="1" applyProtection="1">
      <alignment vertical="center"/>
    </xf>
    <xf numFmtId="0" fontId="51" fillId="0" borderId="9" xfId="11" applyFont="1" applyFill="1" applyBorder="1" applyAlignment="1" applyProtection="1">
      <alignment vertical="center"/>
    </xf>
    <xf numFmtId="0" fontId="32" fillId="0" borderId="9" xfId="11" applyFont="1" applyFill="1" applyBorder="1" applyAlignment="1" applyProtection="1">
      <alignment horizontal="center" vertical="center"/>
    </xf>
    <xf numFmtId="0" fontId="51" fillId="0" borderId="9" xfId="11" applyFont="1" applyFill="1" applyBorder="1" applyAlignment="1" applyProtection="1">
      <alignment horizontal="center" vertical="center"/>
    </xf>
    <xf numFmtId="0" fontId="51" fillId="4" borderId="9" xfId="11" applyFont="1" applyFill="1" applyBorder="1" applyAlignment="1" applyProtection="1">
      <alignment vertical="center"/>
    </xf>
    <xf numFmtId="0" fontId="51" fillId="0" borderId="44" xfId="11" applyFont="1" applyFill="1" applyBorder="1" applyAlignment="1" applyProtection="1">
      <alignment horizontal="center" vertical="center"/>
    </xf>
    <xf numFmtId="165" fontId="16" fillId="4" borderId="122" xfId="2" applyNumberFormat="1" applyFont="1" applyFill="1" applyBorder="1" applyAlignment="1" applyProtection="1">
      <alignment vertical="center"/>
    </xf>
    <xf numFmtId="165" fontId="16" fillId="4" borderId="62" xfId="2" applyNumberFormat="1" applyFont="1" applyFill="1" applyBorder="1" applyAlignment="1" applyProtection="1">
      <alignment vertical="center"/>
    </xf>
    <xf numFmtId="165" fontId="16" fillId="4" borderId="117" xfId="2" applyNumberFormat="1" applyFont="1" applyFill="1" applyBorder="1" applyAlignment="1" applyProtection="1">
      <alignment vertical="center"/>
    </xf>
    <xf numFmtId="165" fontId="16" fillId="4" borderId="42" xfId="2" applyNumberFormat="1" applyFont="1" applyFill="1" applyBorder="1" applyAlignment="1" applyProtection="1">
      <alignment vertical="center"/>
    </xf>
    <xf numFmtId="165" fontId="16" fillId="4" borderId="44" xfId="2" applyNumberFormat="1" applyFont="1" applyFill="1" applyBorder="1" applyAlignment="1" applyProtection="1">
      <alignment vertical="center"/>
    </xf>
    <xf numFmtId="0" fontId="51" fillId="4" borderId="12" xfId="11" applyFont="1" applyFill="1" applyBorder="1" applyAlignment="1" applyProtection="1">
      <alignment vertical="center"/>
    </xf>
    <xf numFmtId="0" fontId="51" fillId="0" borderId="12" xfId="11" applyFont="1" applyFill="1" applyBorder="1" applyAlignment="1" applyProtection="1">
      <alignment horizontal="center" vertical="center"/>
    </xf>
    <xf numFmtId="165" fontId="16" fillId="4" borderId="57" xfId="2" applyNumberFormat="1" applyFont="1" applyFill="1" applyBorder="1" applyAlignment="1" applyProtection="1">
      <alignment vertical="center"/>
    </xf>
    <xf numFmtId="165" fontId="16" fillId="4" borderId="13" xfId="2" applyNumberFormat="1" applyFont="1" applyFill="1" applyBorder="1" applyAlignment="1" applyProtection="1">
      <alignment vertical="center"/>
    </xf>
    <xf numFmtId="165" fontId="16" fillId="4" borderId="41" xfId="2" applyNumberFormat="1" applyFont="1" applyFill="1" applyBorder="1" applyAlignment="1" applyProtection="1">
      <alignment vertical="center"/>
    </xf>
    <xf numFmtId="165" fontId="16" fillId="4" borderId="45" xfId="2" applyNumberFormat="1" applyFont="1" applyFill="1" applyBorder="1" applyAlignment="1" applyProtection="1">
      <alignment vertical="center"/>
    </xf>
    <xf numFmtId="165" fontId="16" fillId="4" borderId="12" xfId="2" applyNumberFormat="1" applyFont="1" applyFill="1" applyBorder="1" applyAlignment="1" applyProtection="1">
      <alignment vertical="center"/>
    </xf>
    <xf numFmtId="0" fontId="51" fillId="0" borderId="3" xfId="11" applyFont="1" applyFill="1" applyBorder="1" applyAlignment="1" applyProtection="1">
      <alignment vertical="center"/>
    </xf>
    <xf numFmtId="0" fontId="51" fillId="0" borderId="34" xfId="11" applyFont="1" applyFill="1" applyBorder="1" applyAlignment="1" applyProtection="1">
      <alignment horizontal="center" vertical="center"/>
    </xf>
    <xf numFmtId="0" fontId="64" fillId="0" borderId="0" xfId="18" applyFont="1" applyAlignment="1" applyProtection="1"/>
    <xf numFmtId="0" fontId="0" fillId="0" borderId="0" xfId="0" applyAlignment="1" applyProtection="1"/>
    <xf numFmtId="0" fontId="69" fillId="0" borderId="184" xfId="18" applyFont="1" applyFill="1" applyBorder="1" applyAlignment="1" applyProtection="1"/>
    <xf numFmtId="0" fontId="69" fillId="0" borderId="0" xfId="18" applyFont="1" applyFill="1" applyBorder="1" applyAlignment="1" applyProtection="1"/>
    <xf numFmtId="0" fontId="46" fillId="0" borderId="0" xfId="17" applyBorder="1" applyAlignment="1" applyProtection="1">
      <alignment horizontal="center" vertical="center"/>
    </xf>
    <xf numFmtId="0" fontId="7" fillId="3" borderId="4" xfId="22" applyFont="1" applyFill="1" applyBorder="1" applyAlignment="1" applyProtection="1"/>
    <xf numFmtId="165" fontId="16" fillId="4" borderId="54" xfId="19" applyNumberFormat="1" applyFont="1" applyFill="1" applyBorder="1" applyAlignment="1" applyProtection="1">
      <alignment vertical="center"/>
    </xf>
    <xf numFmtId="165" fontId="16" fillId="4" borderId="6" xfId="19" applyNumberFormat="1" applyFont="1" applyFill="1" applyBorder="1" applyAlignment="1" applyProtection="1">
      <alignment vertical="center"/>
    </xf>
    <xf numFmtId="165" fontId="16" fillId="4" borderId="7" xfId="19" applyNumberFormat="1" applyFont="1" applyFill="1" applyBorder="1" applyAlignment="1" applyProtection="1">
      <alignment vertical="center"/>
    </xf>
    <xf numFmtId="165" fontId="16" fillId="4" borderId="37" xfId="19" applyNumberFormat="1" applyFont="1" applyFill="1" applyBorder="1" applyAlignment="1" applyProtection="1">
      <alignment vertical="center"/>
    </xf>
    <xf numFmtId="165" fontId="16" fillId="4" borderId="36" xfId="19" applyNumberFormat="1" applyFont="1" applyFill="1" applyBorder="1" applyAlignment="1" applyProtection="1">
      <alignment vertical="center"/>
    </xf>
    <xf numFmtId="165" fontId="16" fillId="4" borderId="5" xfId="19" applyNumberFormat="1" applyFont="1" applyFill="1" applyBorder="1" applyAlignment="1" applyProtection="1">
      <alignment vertical="center"/>
    </xf>
    <xf numFmtId="165" fontId="16" fillId="4" borderId="56" xfId="19" applyNumberFormat="1" applyFont="1" applyFill="1" applyBorder="1" applyAlignment="1" applyProtection="1">
      <alignment vertical="center"/>
    </xf>
    <xf numFmtId="165" fontId="16" fillId="4" borderId="9" xfId="19" applyNumberFormat="1" applyFont="1" applyFill="1" applyBorder="1" applyAlignment="1" applyProtection="1">
      <alignment vertical="center"/>
    </xf>
    <xf numFmtId="165" fontId="16" fillId="4" borderId="10" xfId="19" applyNumberFormat="1" applyFont="1" applyFill="1" applyBorder="1" applyAlignment="1" applyProtection="1">
      <alignment vertical="center"/>
    </xf>
    <xf numFmtId="165" fontId="16" fillId="4" borderId="39" xfId="19" applyNumberFormat="1" applyFont="1" applyFill="1" applyBorder="1" applyAlignment="1" applyProtection="1">
      <alignment vertical="center"/>
    </xf>
    <xf numFmtId="165" fontId="16" fillId="4" borderId="38" xfId="19" applyNumberFormat="1" applyFont="1" applyFill="1" applyBorder="1" applyAlignment="1" applyProtection="1">
      <alignment vertical="center"/>
    </xf>
    <xf numFmtId="165" fontId="16" fillId="4" borderId="8" xfId="19" applyNumberFormat="1" applyFont="1" applyFill="1" applyBorder="1" applyAlignment="1" applyProtection="1">
      <alignment vertical="center"/>
    </xf>
    <xf numFmtId="165" fontId="9" fillId="4" borderId="9" xfId="6" applyNumberFormat="1" applyFont="1" applyFill="1" applyBorder="1" applyAlignment="1" applyProtection="1">
      <alignment vertical="center"/>
    </xf>
    <xf numFmtId="165" fontId="16" fillId="4" borderId="122" xfId="19" applyNumberFormat="1" applyFont="1" applyFill="1" applyBorder="1" applyAlignment="1" applyProtection="1">
      <alignment vertical="center"/>
    </xf>
    <xf numFmtId="165" fontId="16" fillId="4" borderId="44" xfId="19" applyNumberFormat="1" applyFont="1" applyFill="1" applyBorder="1" applyAlignment="1" applyProtection="1">
      <alignment vertical="center"/>
    </xf>
    <xf numFmtId="165" fontId="16" fillId="4" borderId="62" xfId="19" applyNumberFormat="1" applyFont="1" applyFill="1" applyBorder="1" applyAlignment="1" applyProtection="1">
      <alignment vertical="center"/>
    </xf>
    <xf numFmtId="165" fontId="16" fillId="4" borderId="117" xfId="19" applyNumberFormat="1" applyFont="1" applyFill="1" applyBorder="1" applyAlignment="1" applyProtection="1">
      <alignment vertical="center"/>
    </xf>
    <xf numFmtId="165" fontId="16" fillId="4" borderId="118" xfId="19" applyNumberFormat="1" applyFont="1" applyFill="1" applyBorder="1" applyAlignment="1" applyProtection="1">
      <alignment vertical="center"/>
    </xf>
    <xf numFmtId="165" fontId="16" fillId="4" borderId="43" xfId="19" applyNumberFormat="1" applyFont="1" applyFill="1" applyBorder="1" applyAlignment="1" applyProtection="1">
      <alignment vertical="center"/>
    </xf>
    <xf numFmtId="165" fontId="9" fillId="4" borderId="44" xfId="6" applyNumberFormat="1" applyFont="1" applyFill="1" applyBorder="1" applyAlignment="1" applyProtection="1">
      <alignment vertical="center"/>
    </xf>
    <xf numFmtId="0" fontId="51" fillId="0" borderId="44" xfId="11" applyFont="1" applyFill="1" applyBorder="1" applyAlignment="1" applyProtection="1">
      <alignment vertical="center"/>
    </xf>
    <xf numFmtId="165" fontId="16" fillId="4" borderId="12" xfId="23" applyNumberFormat="1" applyFont="1" applyFill="1" applyBorder="1" applyAlignment="1" applyProtection="1">
      <alignment vertical="center"/>
    </xf>
    <xf numFmtId="165" fontId="16" fillId="4" borderId="57" xfId="19" applyNumberFormat="1" applyFont="1" applyFill="1" applyBorder="1" applyAlignment="1" applyProtection="1">
      <alignment vertical="center"/>
    </xf>
    <xf numFmtId="165" fontId="16" fillId="4" borderId="12" xfId="19" applyNumberFormat="1" applyFont="1" applyFill="1" applyBorder="1" applyAlignment="1" applyProtection="1">
      <alignment vertical="center"/>
    </xf>
    <xf numFmtId="165" fontId="16" fillId="4" borderId="13" xfId="19" applyNumberFormat="1" applyFont="1" applyFill="1" applyBorder="1" applyAlignment="1" applyProtection="1">
      <alignment vertical="center"/>
    </xf>
    <xf numFmtId="165" fontId="16" fillId="4" borderId="41" xfId="19" applyNumberFormat="1" applyFont="1" applyFill="1" applyBorder="1" applyAlignment="1" applyProtection="1">
      <alignment vertical="center"/>
    </xf>
    <xf numFmtId="165" fontId="16" fillId="4" borderId="40" xfId="19" applyNumberFormat="1" applyFont="1" applyFill="1" applyBorder="1" applyAlignment="1" applyProtection="1">
      <alignment vertical="center"/>
    </xf>
    <xf numFmtId="165" fontId="16" fillId="4" borderId="11" xfId="19" applyNumberFormat="1" applyFont="1" applyFill="1" applyBorder="1" applyAlignment="1" applyProtection="1">
      <alignment vertical="center"/>
    </xf>
    <xf numFmtId="165" fontId="16" fillId="21" borderId="60" xfId="11" applyNumberFormat="1" applyFont="1" applyFill="1" applyBorder="1" applyAlignment="1" applyProtection="1">
      <alignment vertical="center"/>
    </xf>
    <xf numFmtId="165" fontId="16" fillId="21" borderId="2" xfId="11" applyNumberFormat="1" applyFont="1" applyFill="1" applyBorder="1" applyAlignment="1" applyProtection="1">
      <alignment vertical="center"/>
    </xf>
    <xf numFmtId="0" fontId="64" fillId="0" borderId="0" xfId="18" applyFont="1" applyProtection="1"/>
    <xf numFmtId="0" fontId="70" fillId="0" borderId="0" xfId="18" applyFont="1" applyFill="1" applyBorder="1" applyProtection="1"/>
    <xf numFmtId="0" fontId="64" fillId="0" borderId="0" xfId="18" applyFont="1" applyFill="1" applyBorder="1" applyProtection="1"/>
    <xf numFmtId="0" fontId="7" fillId="3" borderId="16" xfId="22" applyFont="1" applyFill="1" applyBorder="1" applyProtection="1"/>
    <xf numFmtId="165" fontId="16" fillId="4" borderId="31" xfId="19" applyNumberFormat="1" applyFont="1" applyFill="1" applyBorder="1" applyAlignment="1" applyProtection="1">
      <alignment vertical="center"/>
    </xf>
    <xf numFmtId="0" fontId="51" fillId="23" borderId="9" xfId="11" applyFont="1" applyFill="1" applyBorder="1" applyAlignment="1" applyProtection="1">
      <alignment vertical="center" wrapText="1"/>
    </xf>
    <xf numFmtId="0" fontId="51" fillId="23" borderId="9" xfId="11" applyFont="1" applyFill="1" applyBorder="1" applyAlignment="1" applyProtection="1">
      <alignment horizontal="center" vertical="center"/>
    </xf>
    <xf numFmtId="165" fontId="16" fillId="4" borderId="32" xfId="19" applyNumberFormat="1" applyFont="1" applyFill="1" applyBorder="1" applyAlignment="1" applyProtection="1">
      <alignment vertical="center"/>
    </xf>
    <xf numFmtId="0" fontId="16" fillId="23" borderId="12" xfId="11" applyFont="1" applyFill="1" applyBorder="1" applyAlignment="1" applyProtection="1">
      <alignment vertical="center" wrapText="1"/>
    </xf>
    <xf numFmtId="0" fontId="16" fillId="23" borderId="12" xfId="11" applyFont="1" applyFill="1" applyBorder="1" applyAlignment="1" applyProtection="1">
      <alignment horizontal="center" vertical="center"/>
    </xf>
    <xf numFmtId="165" fontId="16" fillId="4" borderId="30" xfId="19" applyNumberFormat="1" applyFont="1" applyFill="1" applyBorder="1" applyAlignment="1" applyProtection="1">
      <alignment vertical="center"/>
    </xf>
    <xf numFmtId="0" fontId="51" fillId="23" borderId="6" xfId="11" applyFont="1" applyFill="1" applyBorder="1" applyAlignment="1" applyProtection="1">
      <alignment vertical="center" wrapText="1"/>
    </xf>
    <xf numFmtId="0" fontId="51" fillId="23" borderId="6" xfId="11" applyFont="1" applyFill="1" applyBorder="1" applyAlignment="1" applyProtection="1">
      <alignment horizontal="center" vertical="center" wrapText="1"/>
    </xf>
    <xf numFmtId="0" fontId="51" fillId="23" borderId="9" xfId="11" applyFont="1" applyFill="1" applyBorder="1" applyAlignment="1" applyProtection="1">
      <alignment horizontal="center" vertical="center" wrapText="1"/>
    </xf>
    <xf numFmtId="0" fontId="16" fillId="23" borderId="44" xfId="11" applyFont="1" applyFill="1" applyBorder="1" applyAlignment="1" applyProtection="1">
      <alignment vertical="center" wrapText="1"/>
    </xf>
    <xf numFmtId="0" fontId="16" fillId="23" borderId="44" xfId="11" applyFont="1" applyFill="1" applyBorder="1" applyAlignment="1" applyProtection="1">
      <alignment horizontal="center" vertical="center" wrapText="1"/>
    </xf>
    <xf numFmtId="165" fontId="16" fillId="7" borderId="109" xfId="19" applyNumberFormat="1" applyFont="1" applyFill="1" applyBorder="1" applyAlignment="1" applyProtection="1">
      <alignment vertical="center"/>
    </xf>
    <xf numFmtId="9" fontId="16" fillId="23" borderId="60" xfId="11" applyNumberFormat="1" applyFont="1" applyFill="1" applyBorder="1" applyAlignment="1" applyProtection="1">
      <alignment vertical="center" wrapText="1"/>
    </xf>
    <xf numFmtId="0" fontId="16" fillId="23" borderId="3" xfId="11" applyFont="1" applyFill="1" applyBorder="1" applyAlignment="1" applyProtection="1">
      <alignment horizontal="center" vertical="center" wrapText="1"/>
    </xf>
    <xf numFmtId="165" fontId="16" fillId="7" borderId="1" xfId="11" applyNumberFormat="1" applyFont="1" applyFill="1" applyBorder="1" applyAlignment="1" applyProtection="1">
      <alignment vertical="center"/>
    </xf>
    <xf numFmtId="0" fontId="4" fillId="24" borderId="0" xfId="22" applyFont="1" applyFill="1" applyAlignment="1" applyProtection="1">
      <alignment horizontal="left" vertical="top"/>
    </xf>
    <xf numFmtId="0" fontId="4" fillId="24" borderId="0" xfId="22" applyFont="1" applyFill="1" applyAlignment="1" applyProtection="1">
      <alignment horizontal="left" vertical="top" wrapText="1"/>
    </xf>
    <xf numFmtId="0" fontId="4" fillId="2" borderId="0" xfId="22" applyFont="1" applyFill="1" applyAlignment="1" applyProtection="1">
      <alignment horizontal="left" vertical="top"/>
    </xf>
    <xf numFmtId="0" fontId="64" fillId="0" borderId="0" xfId="22" applyFont="1" applyAlignment="1" applyProtection="1">
      <alignment horizontal="left" vertical="top" wrapText="1"/>
    </xf>
    <xf numFmtId="0" fontId="68" fillId="0" borderId="0" xfId="22" applyFont="1" applyAlignment="1" applyProtection="1">
      <alignment horizontal="left" vertical="top"/>
    </xf>
    <xf numFmtId="0" fontId="68" fillId="0" borderId="0" xfId="22" applyFont="1" applyBorder="1" applyAlignment="1" applyProtection="1">
      <alignment horizontal="left" vertical="top"/>
    </xf>
    <xf numFmtId="0" fontId="88" fillId="0" borderId="0" xfId="11" applyFont="1" applyBorder="1" applyAlignment="1" applyProtection="1">
      <alignment horizontal="left" vertical="top" wrapText="1"/>
    </xf>
    <xf numFmtId="0" fontId="88" fillId="0" borderId="0" xfId="11" applyFont="1" applyBorder="1" applyAlignment="1" applyProtection="1">
      <alignment horizontal="center" vertical="top" wrapText="1"/>
    </xf>
    <xf numFmtId="0" fontId="73" fillId="0" borderId="0" xfId="11" applyFont="1" applyBorder="1" applyAlignment="1" applyProtection="1">
      <alignment horizontal="left" vertical="top" wrapText="1"/>
    </xf>
    <xf numFmtId="0" fontId="73" fillId="0" borderId="0" xfId="11" applyFont="1" applyBorder="1" applyAlignment="1" applyProtection="1">
      <alignment horizontal="center" vertical="top" wrapText="1"/>
    </xf>
    <xf numFmtId="0" fontId="64" fillId="0" borderId="0" xfId="22" applyFont="1" applyAlignment="1" applyProtection="1">
      <alignment horizontal="center" vertical="top"/>
    </xf>
    <xf numFmtId="0" fontId="64" fillId="0" borderId="0" xfId="22" applyFont="1" applyAlignment="1" applyProtection="1">
      <alignment horizontal="center" vertical="top" wrapText="1"/>
    </xf>
    <xf numFmtId="0" fontId="64" fillId="0" borderId="0" xfId="22" applyFont="1" applyBorder="1" applyAlignment="1" applyProtection="1">
      <alignment horizontal="left" vertical="top"/>
    </xf>
    <xf numFmtId="0" fontId="64" fillId="0" borderId="0" xfId="22" applyFont="1" applyBorder="1" applyAlignment="1" applyProtection="1">
      <alignment horizontal="center" vertical="top"/>
    </xf>
    <xf numFmtId="1" fontId="20" fillId="4" borderId="5" xfId="20" applyNumberFormat="1" applyFont="1" applyFill="1" applyBorder="1" applyAlignment="1" applyProtection="1">
      <alignment vertical="center"/>
    </xf>
    <xf numFmtId="1" fontId="20" fillId="4" borderId="6" xfId="20" applyNumberFormat="1" applyFont="1" applyFill="1" applyBorder="1" applyAlignment="1" applyProtection="1">
      <alignment vertical="center"/>
    </xf>
    <xf numFmtId="1" fontId="20" fillId="4" borderId="8" xfId="20" applyNumberFormat="1" applyFont="1" applyFill="1" applyBorder="1" applyAlignment="1" applyProtection="1">
      <alignment vertical="center"/>
    </xf>
    <xf numFmtId="1" fontId="20" fillId="4" borderId="9" xfId="20" applyNumberFormat="1" applyFont="1" applyFill="1" applyBorder="1" applyAlignment="1" applyProtection="1">
      <alignment vertical="center"/>
    </xf>
    <xf numFmtId="1" fontId="64" fillId="0" borderId="0" xfId="22" applyNumberFormat="1" applyFont="1" applyAlignment="1" applyProtection="1">
      <alignment horizontal="left" vertical="top"/>
    </xf>
    <xf numFmtId="1" fontId="20" fillId="4" borderId="30" xfId="20" applyNumberFormat="1" applyFont="1" applyFill="1" applyBorder="1" applyAlignment="1" applyProtection="1">
      <alignment vertical="center"/>
    </xf>
    <xf numFmtId="165" fontId="20" fillId="4" borderId="7" xfId="20" applyNumberFormat="1" applyFont="1" applyFill="1" applyBorder="1" applyAlignment="1" applyProtection="1">
      <alignment vertical="center"/>
    </xf>
    <xf numFmtId="165" fontId="20" fillId="4" borderId="10" xfId="20" applyNumberFormat="1" applyFont="1" applyFill="1" applyBorder="1" applyAlignment="1" applyProtection="1">
      <alignment vertical="center"/>
    </xf>
    <xf numFmtId="165" fontId="20" fillId="4" borderId="13" xfId="20" applyNumberFormat="1" applyFont="1" applyFill="1" applyBorder="1" applyAlignment="1" applyProtection="1">
      <alignment vertical="center"/>
    </xf>
    <xf numFmtId="0" fontId="46" fillId="0" borderId="0" xfId="22" applyProtection="1"/>
    <xf numFmtId="0" fontId="64" fillId="0" borderId="0" xfId="22" applyFont="1" applyFill="1" applyAlignment="1" applyProtection="1">
      <alignment horizontal="left" vertical="top"/>
    </xf>
    <xf numFmtId="0" fontId="71" fillId="0" borderId="0" xfId="22" applyFont="1" applyFill="1" applyAlignment="1" applyProtection="1">
      <alignment horizontal="left" vertical="top"/>
    </xf>
    <xf numFmtId="0" fontId="7" fillId="3" borderId="4" xfId="22" applyFont="1" applyFill="1" applyBorder="1" applyProtection="1"/>
    <xf numFmtId="172" fontId="16" fillId="27" borderId="5" xfId="19" applyNumberFormat="1" applyFont="1" applyFill="1" applyBorder="1" applyAlignment="1" applyProtection="1">
      <alignment vertical="center"/>
    </xf>
    <xf numFmtId="172" fontId="16" fillId="27" borderId="6" xfId="19" applyNumberFormat="1" applyFont="1" applyFill="1" applyBorder="1" applyAlignment="1" applyProtection="1">
      <alignment vertical="center"/>
    </xf>
    <xf numFmtId="0" fontId="51" fillId="0" borderId="9" xfId="11" applyFont="1" applyFill="1" applyBorder="1" applyAlignment="1" applyProtection="1">
      <alignment vertical="center" wrapText="1"/>
    </xf>
    <xf numFmtId="0" fontId="102" fillId="0" borderId="9" xfId="11" applyFont="1" applyFill="1" applyBorder="1" applyAlignment="1" applyProtection="1">
      <alignment horizontal="center" vertical="center" wrapText="1"/>
    </xf>
    <xf numFmtId="172" fontId="16" fillId="27" borderId="8" xfId="19" applyNumberFormat="1" applyFont="1" applyFill="1" applyBorder="1" applyAlignment="1" applyProtection="1">
      <alignment vertical="center"/>
    </xf>
    <xf numFmtId="172" fontId="16" fillId="27" borderId="9" xfId="19" applyNumberFormat="1" applyFont="1" applyFill="1" applyBorder="1" applyAlignment="1" applyProtection="1">
      <alignment vertical="center"/>
    </xf>
    <xf numFmtId="172" fontId="16" fillId="27" borderId="46" xfId="19" applyNumberFormat="1" applyFont="1" applyFill="1" applyBorder="1" applyAlignment="1" applyProtection="1">
      <alignment vertical="center"/>
    </xf>
    <xf numFmtId="172" fontId="16" fillId="27" borderId="47" xfId="19" applyNumberFormat="1" applyFont="1" applyFill="1" applyBorder="1" applyAlignment="1" applyProtection="1">
      <alignment vertical="center"/>
    </xf>
    <xf numFmtId="0" fontId="51" fillId="0" borderId="12" xfId="11" applyFont="1" applyFill="1" applyBorder="1" applyAlignment="1" applyProtection="1">
      <alignment vertical="center" wrapText="1"/>
    </xf>
    <xf numFmtId="0" fontId="102" fillId="0" borderId="12" xfId="11" applyFont="1" applyFill="1" applyBorder="1" applyAlignment="1" applyProtection="1">
      <alignment horizontal="center" vertical="center" wrapText="1"/>
    </xf>
    <xf numFmtId="0" fontId="46" fillId="0" borderId="0" xfId="22" applyAlignment="1" applyProtection="1">
      <alignment horizontal="center"/>
    </xf>
    <xf numFmtId="0" fontId="127" fillId="0" borderId="0" xfId="22" applyFont="1" applyAlignment="1" applyProtection="1">
      <alignment horizontal="center"/>
    </xf>
    <xf numFmtId="170" fontId="16" fillId="4" borderId="57" xfId="19" applyNumberFormat="1" applyFont="1" applyFill="1" applyBorder="1" applyAlignment="1" applyProtection="1">
      <alignment vertical="center"/>
      <protection locked="0"/>
    </xf>
    <xf numFmtId="0" fontId="14" fillId="0" borderId="21" xfId="11" applyFont="1" applyFill="1" applyBorder="1" applyAlignment="1" applyProtection="1">
      <alignment horizontal="center" vertical="center"/>
    </xf>
    <xf numFmtId="165" fontId="16" fillId="4" borderId="330" xfId="19" applyNumberFormat="1" applyFont="1" applyFill="1" applyBorder="1" applyAlignment="1" applyProtection="1">
      <alignment vertical="center"/>
      <protection locked="0"/>
    </xf>
    <xf numFmtId="165" fontId="20" fillId="4" borderId="27" xfId="6" applyNumberFormat="1" applyFont="1" applyFill="1" applyBorder="1" applyAlignment="1" applyProtection="1">
      <alignment vertical="center"/>
      <protection locked="0"/>
    </xf>
    <xf numFmtId="10" fontId="20" fillId="7" borderId="8" xfId="2" applyNumberFormat="1" applyFont="1" applyFill="1" applyBorder="1" applyAlignment="1" applyProtection="1">
      <alignment vertical="center"/>
    </xf>
    <xf numFmtId="165" fontId="20" fillId="7" borderId="28" xfId="6" applyNumberFormat="1" applyFont="1" applyFill="1" applyBorder="1" applyAlignment="1" applyProtection="1">
      <alignment vertical="center"/>
    </xf>
    <xf numFmtId="0" fontId="85" fillId="36" borderId="0" xfId="0" applyFont="1" applyFill="1" applyAlignment="1">
      <alignment wrapText="1"/>
    </xf>
    <xf numFmtId="0" fontId="20" fillId="36" borderId="0" xfId="0" applyFont="1" applyFill="1" applyAlignment="1">
      <alignment wrapText="1"/>
    </xf>
    <xf numFmtId="0" fontId="22" fillId="36" borderId="0" xfId="0" applyFont="1" applyFill="1" applyAlignment="1">
      <alignment wrapText="1"/>
    </xf>
    <xf numFmtId="0" fontId="129" fillId="3" borderId="3" xfId="9" applyFont="1" applyFill="1" applyBorder="1" applyAlignment="1" applyProtection="1">
      <alignment horizontal="center" vertical="center" wrapText="1"/>
    </xf>
    <xf numFmtId="0" fontId="129" fillId="3" borderId="4" xfId="9" applyFont="1" applyFill="1" applyBorder="1" applyAlignment="1" applyProtection="1">
      <alignment horizontal="center" vertical="center" wrapText="1"/>
    </xf>
    <xf numFmtId="166" fontId="23" fillId="37" borderId="6" xfId="11" applyNumberFormat="1" applyFont="1" applyFill="1" applyBorder="1" applyAlignment="1" applyProtection="1">
      <alignment horizontal="right" vertical="center"/>
      <protection locked="0"/>
    </xf>
    <xf numFmtId="168" fontId="23" fillId="37" borderId="7" xfId="11" applyNumberFormat="1" applyFont="1" applyFill="1" applyBorder="1" applyAlignment="1" applyProtection="1">
      <alignment horizontal="right" vertical="center"/>
      <protection locked="0"/>
    </xf>
    <xf numFmtId="166" fontId="23" fillId="37" borderId="9" xfId="11" applyNumberFormat="1" applyFont="1" applyFill="1" applyBorder="1" applyAlignment="1" applyProtection="1">
      <alignment horizontal="right" vertical="center"/>
      <protection locked="0"/>
    </xf>
    <xf numFmtId="168" fontId="23" fillId="37" borderId="10" xfId="11" applyNumberFormat="1" applyFont="1" applyFill="1" applyBorder="1" applyAlignment="1" applyProtection="1">
      <alignment horizontal="right" vertical="center"/>
      <protection locked="0"/>
    </xf>
    <xf numFmtId="166" fontId="23" fillId="37" borderId="12" xfId="11" applyNumberFormat="1" applyFont="1" applyFill="1" applyBorder="1" applyAlignment="1" applyProtection="1">
      <alignment horizontal="right" vertical="center"/>
      <protection locked="0"/>
    </xf>
    <xf numFmtId="168" fontId="23" fillId="37" borderId="13" xfId="11" applyNumberFormat="1" applyFont="1" applyFill="1" applyBorder="1" applyAlignment="1" applyProtection="1">
      <alignment horizontal="right" vertical="center"/>
      <protection locked="0"/>
    </xf>
    <xf numFmtId="0" fontId="22" fillId="32" borderId="0" xfId="0" applyFont="1" applyFill="1" applyAlignment="1">
      <alignment horizontal="left" vertical="top" wrapText="1"/>
    </xf>
    <xf numFmtId="4" fontId="0" fillId="0" borderId="0" xfId="0" applyNumberFormat="1"/>
    <xf numFmtId="4" fontId="0" fillId="0" borderId="0" xfId="0" applyNumberFormat="1" applyAlignment="1">
      <alignment horizontal="right"/>
    </xf>
    <xf numFmtId="49" fontId="9" fillId="38" borderId="0" xfId="0" applyNumberFormat="1" applyFont="1" applyFill="1" applyBorder="1" applyAlignment="1">
      <alignment horizontal="left" vertical="top" wrapText="1"/>
    </xf>
    <xf numFmtId="165" fontId="23" fillId="4" borderId="31" xfId="2" applyNumberFormat="1" applyFont="1" applyFill="1" applyBorder="1" applyAlignment="1" applyProtection="1">
      <alignment vertical="center"/>
      <protection locked="0"/>
    </xf>
    <xf numFmtId="165" fontId="23" fillId="4" borderId="30" xfId="2" applyNumberFormat="1" applyFont="1" applyFill="1" applyBorder="1" applyAlignment="1" applyProtection="1">
      <alignment vertical="center"/>
      <protection locked="0"/>
    </xf>
    <xf numFmtId="0" fontId="7" fillId="3" borderId="15"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20" fillId="6" borderId="0" xfId="6" applyFont="1" applyFill="1" applyAlignment="1" applyProtection="1">
      <alignment horizontal="center" vertical="center" wrapText="1"/>
    </xf>
    <xf numFmtId="0" fontId="12" fillId="0" borderId="0" xfId="9" applyFont="1" applyFill="1" applyAlignment="1" applyProtection="1">
      <alignment vertical="center"/>
    </xf>
    <xf numFmtId="0" fontId="7" fillId="3" borderId="1" xfId="6" applyFont="1" applyFill="1" applyBorder="1" applyAlignment="1" applyProtection="1">
      <alignment horizontal="center" vertical="center" wrapText="1"/>
    </xf>
    <xf numFmtId="0" fontId="7" fillId="3" borderId="145" xfId="6" applyFont="1" applyFill="1" applyBorder="1" applyAlignment="1" applyProtection="1">
      <alignment horizontal="left" vertical="center"/>
    </xf>
    <xf numFmtId="0" fontId="7" fillId="3" borderId="35" xfId="6" applyFont="1" applyFill="1" applyBorder="1" applyAlignment="1" applyProtection="1">
      <alignment horizontal="center" vertical="center" wrapText="1"/>
    </xf>
    <xf numFmtId="0" fontId="7" fillId="3" borderId="15"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16" fillId="6" borderId="0" xfId="9" applyFont="1" applyFill="1" applyAlignment="1" applyProtection="1">
      <alignment horizontal="center" vertical="center" wrapText="1"/>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2"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wrapText="1"/>
    </xf>
    <xf numFmtId="0" fontId="14" fillId="0" borderId="0" xfId="9" applyFont="1" applyFill="1" applyBorder="1" applyAlignment="1" applyProtection="1">
      <alignment horizontal="left" vertical="center" wrapText="1"/>
    </xf>
    <xf numFmtId="0" fontId="23" fillId="0" borderId="38" xfId="9" applyFont="1" applyFill="1" applyBorder="1" applyAlignment="1" applyProtection="1">
      <alignment vertical="top" wrapText="1"/>
    </xf>
    <xf numFmtId="0" fontId="23" fillId="0" borderId="29" xfId="9" applyFont="1" applyFill="1" applyBorder="1" applyAlignment="1" applyProtection="1">
      <alignment vertical="top" wrapText="1"/>
    </xf>
    <xf numFmtId="0" fontId="23" fillId="0" borderId="26" xfId="9" applyFont="1" applyFill="1" applyBorder="1" applyAlignment="1" applyProtection="1">
      <alignment vertical="top" wrapText="1"/>
    </xf>
    <xf numFmtId="0" fontId="7" fillId="3" borderId="3" xfId="9" applyFont="1" applyFill="1" applyBorder="1" applyAlignment="1" applyProtection="1">
      <alignment horizontal="left" vertical="center"/>
    </xf>
    <xf numFmtId="0" fontId="12" fillId="0" borderId="3" xfId="9" applyFont="1" applyFill="1" applyBorder="1" applyAlignment="1" applyProtection="1">
      <alignment horizontal="center" vertical="top" wrapText="1"/>
    </xf>
    <xf numFmtId="0" fontId="23" fillId="0" borderId="9" xfId="9" applyFont="1" applyFill="1" applyBorder="1" applyAlignment="1" applyProtection="1">
      <alignment vertical="top" wrapText="1"/>
    </xf>
    <xf numFmtId="0" fontId="7" fillId="3" borderId="6"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23" fillId="0" borderId="12" xfId="9" applyFont="1" applyFill="1" applyBorder="1" applyAlignment="1" applyProtection="1">
      <alignment vertical="top" wrapText="1"/>
    </xf>
    <xf numFmtId="0" fontId="7" fillId="3" borderId="3" xfId="6" applyFont="1" applyFill="1" applyBorder="1" applyAlignment="1" applyProtection="1">
      <alignment horizontal="left" vertical="center"/>
    </xf>
    <xf numFmtId="0" fontId="12" fillId="0" borderId="33" xfId="9" applyFont="1" applyFill="1" applyBorder="1" applyAlignment="1" applyProtection="1">
      <alignment vertical="top"/>
    </xf>
    <xf numFmtId="0" fontId="12" fillId="0" borderId="34" xfId="9" applyFont="1" applyFill="1" applyBorder="1" applyAlignment="1" applyProtection="1">
      <alignment vertical="top"/>
    </xf>
    <xf numFmtId="0" fontId="12" fillId="0" borderId="35" xfId="9" applyFont="1" applyFill="1" applyBorder="1" applyAlignment="1" applyProtection="1">
      <alignment vertical="top"/>
    </xf>
    <xf numFmtId="0" fontId="12" fillId="0" borderId="33" xfId="9" applyFont="1" applyFill="1" applyBorder="1" applyAlignment="1" applyProtection="1">
      <alignment horizontal="left" vertical="top"/>
    </xf>
    <xf numFmtId="0" fontId="7" fillId="3" borderId="14" xfId="9" applyFont="1" applyFill="1" applyBorder="1" applyAlignment="1" applyProtection="1">
      <alignment horizontal="center" vertical="center"/>
    </xf>
    <xf numFmtId="0" fontId="12" fillId="0" borderId="60" xfId="9" applyFont="1" applyFill="1" applyBorder="1" applyAlignment="1" applyProtection="1">
      <alignment horizontal="left" vertical="top"/>
    </xf>
    <xf numFmtId="0" fontId="7" fillId="3" borderId="110" xfId="6" applyFont="1" applyFill="1" applyBorder="1" applyAlignment="1" applyProtection="1">
      <alignment horizontal="center" vertical="center" wrapText="1"/>
    </xf>
    <xf numFmtId="0" fontId="7" fillId="3" borderId="20" xfId="6" applyFont="1" applyFill="1" applyBorder="1" applyAlignment="1" applyProtection="1">
      <alignment horizontal="center" vertical="center" wrapText="1"/>
    </xf>
    <xf numFmtId="0" fontId="20" fillId="0" borderId="0" xfId="6" applyFont="1" applyFill="1" applyAlignment="1" applyProtection="1">
      <alignment horizontal="center" vertical="center" wrapText="1"/>
    </xf>
    <xf numFmtId="0" fontId="12" fillId="0" borderId="2" xfId="9" applyFont="1" applyFill="1" applyBorder="1" applyAlignment="1" applyProtection="1">
      <alignment horizontal="left" vertical="top"/>
    </xf>
    <xf numFmtId="0" fontId="23" fillId="0" borderId="0" xfId="9" applyFont="1" applyFill="1" applyBorder="1" applyAlignment="1" applyProtection="1">
      <alignment horizontal="left" vertical="center" wrapText="1"/>
    </xf>
    <xf numFmtId="0" fontId="12" fillId="0" borderId="60" xfId="9" applyFont="1" applyFill="1" applyBorder="1" applyAlignment="1" applyProtection="1">
      <alignment vertical="top"/>
    </xf>
    <xf numFmtId="0" fontId="12" fillId="0" borderId="0" xfId="11" applyFont="1" applyFill="1" applyAlignment="1" applyProtection="1">
      <alignment vertical="center"/>
    </xf>
    <xf numFmtId="0" fontId="7" fillId="15" borderId="15" xfId="11" applyFont="1" applyFill="1" applyBorder="1" applyAlignment="1" applyProtection="1">
      <alignment horizontal="center" vertical="center"/>
    </xf>
    <xf numFmtId="0" fontId="7" fillId="15" borderId="20" xfId="11" applyFont="1" applyFill="1" applyBorder="1" applyAlignment="1" applyProtection="1">
      <alignment horizontal="center" vertical="center"/>
    </xf>
    <xf numFmtId="0" fontId="12" fillId="0" borderId="0" xfId="11" applyFont="1" applyFill="1" applyBorder="1" applyAlignment="1" applyProtection="1">
      <alignment vertical="center"/>
    </xf>
    <xf numFmtId="0" fontId="7" fillId="3" borderId="33" xfId="11" applyFont="1" applyFill="1" applyBorder="1" applyAlignment="1" applyProtection="1">
      <alignment horizontal="center" vertical="center"/>
    </xf>
    <xf numFmtId="0" fontId="7" fillId="3" borderId="35" xfId="11" applyFont="1" applyFill="1" applyBorder="1" applyAlignment="1" applyProtection="1">
      <alignment horizontal="center" vertical="center"/>
    </xf>
    <xf numFmtId="0" fontId="7" fillId="3" borderId="33" xfId="6" applyFont="1" applyFill="1" applyBorder="1" applyAlignment="1" applyProtection="1">
      <alignment horizontal="center" vertical="center"/>
    </xf>
    <xf numFmtId="0" fontId="92" fillId="3" borderId="33" xfId="11" applyFont="1" applyFill="1" applyBorder="1" applyAlignment="1" applyProtection="1">
      <alignment vertical="center"/>
    </xf>
    <xf numFmtId="0" fontId="96" fillId="0" borderId="34" xfId="22" applyFont="1" applyBorder="1" applyAlignment="1"/>
    <xf numFmtId="0" fontId="96" fillId="0" borderId="35" xfId="22" applyFont="1" applyBorder="1" applyAlignment="1"/>
    <xf numFmtId="0" fontId="7" fillId="3" borderId="55" xfId="11" applyFont="1" applyFill="1" applyBorder="1" applyAlignment="1" applyProtection="1">
      <alignment horizontal="center" vertical="center"/>
    </xf>
    <xf numFmtId="0" fontId="7" fillId="3" borderId="61" xfId="11" applyFont="1" applyFill="1" applyBorder="1" applyAlignment="1" applyProtection="1">
      <alignment horizontal="center" vertical="center"/>
    </xf>
    <xf numFmtId="0" fontId="7" fillId="3" borderId="33" xfId="11" applyFont="1" applyFill="1" applyBorder="1" applyAlignment="1" applyProtection="1">
      <alignment vertical="center"/>
    </xf>
    <xf numFmtId="0" fontId="7" fillId="3" borderId="3" xfId="11" applyFont="1" applyFill="1" applyBorder="1" applyAlignment="1" applyProtection="1">
      <alignment vertical="center"/>
    </xf>
    <xf numFmtId="0" fontId="92" fillId="3" borderId="34" xfId="9" applyFont="1" applyFill="1" applyBorder="1" applyAlignment="1" applyProtection="1">
      <alignment vertical="center"/>
    </xf>
    <xf numFmtId="0" fontId="92" fillId="3" borderId="35" xfId="9" applyFont="1" applyFill="1" applyBorder="1" applyAlignment="1" applyProtection="1">
      <alignment vertical="center"/>
    </xf>
    <xf numFmtId="9" fontId="51" fillId="0" borderId="317" xfId="11" applyNumberFormat="1" applyFont="1" applyFill="1" applyBorder="1" applyAlignment="1">
      <alignment vertical="center" wrapText="1"/>
    </xf>
    <xf numFmtId="9" fontId="51" fillId="0" borderId="0" xfId="11" applyNumberFormat="1" applyFont="1" applyFill="1" applyBorder="1" applyAlignment="1">
      <alignment vertical="center" wrapText="1"/>
    </xf>
    <xf numFmtId="9" fontId="51" fillId="0" borderId="147" xfId="11" applyNumberFormat="1" applyFont="1" applyFill="1" applyBorder="1" applyAlignment="1">
      <alignment vertical="center" wrapText="1"/>
    </xf>
    <xf numFmtId="0" fontId="92" fillId="3" borderId="34" xfId="11" applyFont="1" applyFill="1" applyBorder="1" applyAlignment="1" applyProtection="1">
      <alignment vertical="center"/>
    </xf>
    <xf numFmtId="0" fontId="92" fillId="3" borderId="35" xfId="11" applyFont="1" applyFill="1" applyBorder="1" applyAlignment="1" applyProtection="1">
      <alignment vertical="center"/>
    </xf>
    <xf numFmtId="9" fontId="65" fillId="0" borderId="317" xfId="11" applyNumberFormat="1" applyFont="1" applyFill="1" applyBorder="1" applyAlignment="1">
      <alignment vertical="center" wrapText="1"/>
    </xf>
    <xf numFmtId="9" fontId="65" fillId="0" borderId="0" xfId="11" applyNumberFormat="1" applyFont="1" applyFill="1" applyBorder="1" applyAlignment="1">
      <alignment vertical="center" wrapText="1"/>
    </xf>
    <xf numFmtId="9" fontId="65" fillId="0" borderId="147" xfId="11" applyNumberFormat="1" applyFont="1" applyFill="1" applyBorder="1" applyAlignment="1">
      <alignment vertical="center" wrapText="1"/>
    </xf>
    <xf numFmtId="0" fontId="7" fillId="3" borderId="14" xfId="6" applyFont="1" applyFill="1" applyBorder="1" applyAlignment="1" applyProtection="1">
      <alignment horizontal="center" vertical="center"/>
    </xf>
    <xf numFmtId="0" fontId="63" fillId="9" borderId="0" xfId="11" applyFont="1" applyFill="1" applyAlignment="1">
      <alignment vertical="center"/>
    </xf>
    <xf numFmtId="0" fontId="63" fillId="0" borderId="0" xfId="11" applyFont="1" applyAlignment="1">
      <alignment vertical="center"/>
    </xf>
    <xf numFmtId="0" fontId="92" fillId="3" borderId="33" xfId="9" applyFont="1" applyFill="1" applyBorder="1" applyAlignment="1" applyProtection="1">
      <alignment vertical="center"/>
    </xf>
    <xf numFmtId="0" fontId="134" fillId="0" borderId="0" xfId="5" applyFont="1" applyFill="1" applyAlignment="1" applyProtection="1">
      <alignment vertical="top" wrapText="1"/>
    </xf>
    <xf numFmtId="0" fontId="134" fillId="0" borderId="0" xfId="5" applyFont="1" applyFill="1" applyProtection="1"/>
    <xf numFmtId="0" fontId="134" fillId="0" borderId="0" xfId="5" applyFont="1" applyFill="1"/>
    <xf numFmtId="1" fontId="23" fillId="4" borderId="6" xfId="11" applyNumberFormat="1" applyFont="1" applyFill="1" applyBorder="1" applyAlignment="1" applyProtection="1">
      <alignment horizontal="right" vertical="center" wrapText="1"/>
      <protection locked="0"/>
    </xf>
    <xf numFmtId="0" fontId="0" fillId="0" borderId="0" xfId="0" applyAlignment="1" applyProtection="1">
      <alignment horizontal="left" wrapText="1"/>
    </xf>
    <xf numFmtId="0" fontId="23" fillId="0" borderId="9" xfId="9" applyFont="1" applyFill="1" applyBorder="1" applyAlignment="1" applyProtection="1">
      <alignment horizontal="left" vertical="top" wrapText="1"/>
    </xf>
    <xf numFmtId="0" fontId="23" fillId="0" borderId="10" xfId="9" applyFont="1" applyFill="1" applyBorder="1" applyAlignment="1" applyProtection="1">
      <alignment horizontal="left" vertical="top" wrapText="1"/>
    </xf>
    <xf numFmtId="0" fontId="7" fillId="3" borderId="14" xfId="6" applyFont="1" applyFill="1" applyBorder="1" applyAlignment="1" applyProtection="1">
      <alignment horizontal="left" vertical="center"/>
    </xf>
    <xf numFmtId="0" fontId="7" fillId="3" borderId="15" xfId="6" applyFont="1" applyFill="1" applyBorder="1" applyAlignment="1" applyProtection="1">
      <alignment horizontal="left" vertical="center"/>
    </xf>
    <xf numFmtId="0" fontId="7" fillId="3" borderId="19"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7" fillId="3" borderId="15" xfId="6" applyFont="1" applyFill="1" applyBorder="1" applyAlignment="1" applyProtection="1">
      <alignment horizontal="center" vertical="center"/>
    </xf>
    <xf numFmtId="0" fontId="7" fillId="3" borderId="20" xfId="6" applyFont="1" applyFill="1" applyBorder="1" applyAlignment="1" applyProtection="1">
      <alignment horizontal="center" vertical="center"/>
    </xf>
    <xf numFmtId="0" fontId="7" fillId="3" borderId="16" xfId="6" applyFont="1" applyFill="1" applyBorder="1" applyAlignment="1" applyProtection="1">
      <alignment horizontal="center" vertical="center"/>
    </xf>
    <xf numFmtId="0" fontId="7" fillId="3" borderId="21" xfId="6" applyFont="1" applyFill="1" applyBorder="1" applyAlignment="1" applyProtection="1">
      <alignment horizontal="center" vertical="center"/>
    </xf>
    <xf numFmtId="0" fontId="7" fillId="3" borderId="17" xfId="6" applyFont="1" applyFill="1" applyBorder="1" applyAlignment="1" applyProtection="1">
      <alignment horizontal="center" vertical="center" wrapText="1"/>
    </xf>
    <xf numFmtId="0" fontId="7" fillId="3" borderId="22" xfId="6" applyFont="1" applyFill="1" applyBorder="1" applyAlignment="1" applyProtection="1">
      <alignment horizontal="center" vertical="center" wrapText="1"/>
    </xf>
    <xf numFmtId="0" fontId="7" fillId="3" borderId="5" xfId="6" applyFont="1" applyFill="1" applyBorder="1" applyAlignment="1" applyProtection="1">
      <alignment horizontal="center" vertical="center" wrapText="1"/>
    </xf>
    <xf numFmtId="0" fontId="7" fillId="3" borderId="6" xfId="6" applyFont="1" applyFill="1" applyBorder="1" applyAlignment="1" applyProtection="1">
      <alignment horizontal="center" vertical="center" wrapText="1"/>
    </xf>
    <xf numFmtId="0" fontId="7" fillId="3" borderId="7" xfId="6" applyFont="1" applyFill="1" applyBorder="1" applyAlignment="1" applyProtection="1">
      <alignment horizontal="center" vertical="center" wrapText="1"/>
    </xf>
    <xf numFmtId="0" fontId="7" fillId="3" borderId="18" xfId="6" applyFont="1" applyFill="1" applyBorder="1" applyAlignment="1" applyProtection="1">
      <alignment horizontal="center" vertical="center" wrapText="1"/>
    </xf>
    <xf numFmtId="0" fontId="7" fillId="3" borderId="23" xfId="6" applyFont="1" applyFill="1" applyBorder="1" applyAlignment="1" applyProtection="1">
      <alignment horizontal="center" vertical="center" wrapText="1"/>
    </xf>
    <xf numFmtId="0" fontId="20" fillId="6" borderId="0" xfId="6" applyFont="1" applyFill="1" applyAlignment="1" applyProtection="1">
      <alignment horizontal="center" vertical="center" wrapText="1"/>
    </xf>
    <xf numFmtId="0" fontId="23" fillId="0" borderId="6" xfId="9" applyFont="1" applyFill="1" applyBorder="1" applyAlignment="1" applyProtection="1">
      <alignment horizontal="left" vertical="top" wrapText="1"/>
    </xf>
    <xf numFmtId="0" fontId="23" fillId="0" borderId="7" xfId="9" applyFont="1" applyFill="1" applyBorder="1" applyAlignment="1" applyProtection="1">
      <alignment horizontal="left" vertical="top" wrapText="1"/>
    </xf>
    <xf numFmtId="0" fontId="23" fillId="0" borderId="12" xfId="9" applyFont="1" applyFill="1" applyBorder="1" applyAlignment="1" applyProtection="1">
      <alignment horizontal="left" vertical="top" wrapText="1"/>
    </xf>
    <xf numFmtId="0" fontId="23" fillId="0" borderId="13" xfId="9" applyFont="1" applyFill="1" applyBorder="1" applyAlignment="1" applyProtection="1">
      <alignment horizontal="left" vertical="top" wrapText="1"/>
    </xf>
    <xf numFmtId="0" fontId="12" fillId="0" borderId="0" xfId="9" applyFont="1" applyFill="1" applyAlignment="1" applyProtection="1">
      <alignment vertical="center"/>
    </xf>
    <xf numFmtId="0" fontId="23" fillId="0" borderId="40" xfId="0" applyFont="1" applyBorder="1" applyAlignment="1" applyProtection="1">
      <alignment horizontal="left" vertical="top"/>
    </xf>
    <xf numFmtId="0" fontId="23" fillId="0" borderId="45" xfId="0" applyFont="1" applyBorder="1" applyAlignment="1" applyProtection="1">
      <alignment horizontal="left" vertical="top"/>
    </xf>
    <xf numFmtId="0" fontId="0" fillId="0" borderId="45" xfId="0" applyBorder="1" applyAlignment="1">
      <alignment horizontal="left" vertical="top"/>
    </xf>
    <xf numFmtId="0" fontId="0" fillId="0" borderId="27" xfId="0" applyBorder="1" applyAlignment="1">
      <alignment horizontal="left" vertical="top"/>
    </xf>
    <xf numFmtId="0" fontId="23" fillId="0" borderId="38" xfId="9" applyFont="1" applyFill="1" applyBorder="1" applyAlignment="1" applyProtection="1">
      <alignment horizontal="left" vertical="top" wrapText="1"/>
    </xf>
    <xf numFmtId="0" fontId="23" fillId="0" borderId="29" xfId="9" applyFont="1" applyFill="1" applyBorder="1" applyAlignment="1" applyProtection="1">
      <alignment horizontal="left" vertical="top" wrapText="1"/>
    </xf>
    <xf numFmtId="0" fontId="23" fillId="0" borderId="26" xfId="9" applyFont="1" applyFill="1" applyBorder="1" applyAlignment="1" applyProtection="1">
      <alignment horizontal="left" vertical="top" wrapText="1"/>
    </xf>
    <xf numFmtId="0" fontId="23" fillId="0" borderId="40" xfId="9" applyFont="1" applyFill="1" applyBorder="1" applyAlignment="1" applyProtection="1">
      <alignment horizontal="left" vertical="top" wrapText="1"/>
    </xf>
    <xf numFmtId="0" fontId="23" fillId="0" borderId="45" xfId="9" applyFont="1" applyFill="1" applyBorder="1" applyAlignment="1" applyProtection="1">
      <alignment horizontal="left" vertical="top" wrapText="1"/>
    </xf>
    <xf numFmtId="0" fontId="23" fillId="0" borderId="27" xfId="9" applyFont="1" applyFill="1" applyBorder="1" applyAlignment="1" applyProtection="1">
      <alignment horizontal="left" vertical="top" wrapText="1"/>
    </xf>
    <xf numFmtId="0" fontId="7" fillId="3" borderId="54" xfId="6" applyFont="1" applyFill="1" applyBorder="1" applyAlignment="1" applyProtection="1">
      <alignment horizontal="center" vertical="center" wrapText="1"/>
    </xf>
    <xf numFmtId="0" fontId="7" fillId="3" borderId="28" xfId="6" applyFont="1" applyFill="1" applyBorder="1" applyAlignment="1" applyProtection="1">
      <alignment horizontal="center" vertical="center" wrapText="1"/>
    </xf>
    <xf numFmtId="0" fontId="7" fillId="3" borderId="24" xfId="6" applyFont="1" applyFill="1" applyBorder="1" applyAlignment="1" applyProtection="1">
      <alignment horizontal="center" vertical="center" wrapText="1"/>
    </xf>
    <xf numFmtId="0" fontId="23" fillId="0" borderId="36" xfId="9" applyFont="1" applyFill="1" applyBorder="1" applyAlignment="1" applyProtection="1">
      <alignment horizontal="left" vertical="top" wrapText="1"/>
    </xf>
    <xf numFmtId="0" fontId="23" fillId="0" borderId="28" xfId="9" applyFont="1" applyFill="1" applyBorder="1" applyAlignment="1" applyProtection="1">
      <alignment horizontal="left" vertical="top" wrapText="1"/>
    </xf>
    <xf numFmtId="0" fontId="23" fillId="0" borderId="24" xfId="9" applyFont="1" applyFill="1" applyBorder="1" applyAlignment="1" applyProtection="1">
      <alignment horizontal="left" vertical="top" wrapText="1"/>
    </xf>
    <xf numFmtId="0" fontId="7" fillId="3" borderId="1" xfId="6" applyFont="1" applyFill="1" applyBorder="1" applyAlignment="1" applyProtection="1">
      <alignment horizontal="center" vertical="center" wrapText="1"/>
    </xf>
    <xf numFmtId="0" fontId="34" fillId="0" borderId="6" xfId="9" applyFont="1" applyFill="1" applyBorder="1" applyAlignment="1" applyProtection="1">
      <alignment horizontal="left" vertical="top" wrapText="1"/>
    </xf>
    <xf numFmtId="0" fontId="7" fillId="3" borderId="148" xfId="6" applyFont="1" applyFill="1" applyBorder="1" applyAlignment="1" applyProtection="1">
      <alignment horizontal="center" vertical="center" wrapText="1"/>
    </xf>
    <xf numFmtId="0" fontId="7" fillId="3" borderId="206" xfId="6" applyFont="1" applyFill="1" applyBorder="1" applyAlignment="1" applyProtection="1">
      <alignment horizontal="left" vertical="center"/>
    </xf>
    <xf numFmtId="0" fontId="7" fillId="3" borderId="145" xfId="6" applyFont="1" applyFill="1" applyBorder="1" applyAlignment="1" applyProtection="1">
      <alignment horizontal="left" vertical="center"/>
    </xf>
    <xf numFmtId="0" fontId="7" fillId="3" borderId="145" xfId="6" applyFont="1" applyFill="1" applyBorder="1" applyAlignment="1" applyProtection="1">
      <alignment horizontal="center" vertical="center"/>
    </xf>
    <xf numFmtId="0" fontId="7" fillId="3" borderId="280" xfId="6" applyFont="1" applyFill="1" applyBorder="1" applyAlignment="1" applyProtection="1">
      <alignment horizontal="center" vertical="center"/>
    </xf>
    <xf numFmtId="0" fontId="7" fillId="3" borderId="33" xfId="6" applyFont="1" applyFill="1" applyBorder="1" applyAlignment="1" applyProtection="1">
      <alignment horizontal="center" vertical="center" wrapText="1"/>
    </xf>
    <xf numFmtId="0" fontId="7" fillId="3" borderId="34" xfId="6" applyFont="1" applyFill="1" applyBorder="1" applyAlignment="1" applyProtection="1">
      <alignment horizontal="center" vertical="center" wrapText="1"/>
    </xf>
    <xf numFmtId="0" fontId="7" fillId="3" borderId="35" xfId="6" applyFont="1" applyFill="1" applyBorder="1" applyAlignment="1" applyProtection="1">
      <alignment horizontal="center" vertical="center" wrapText="1"/>
    </xf>
    <xf numFmtId="0" fontId="7" fillId="3" borderId="18" xfId="9" applyFont="1" applyFill="1" applyBorder="1" applyAlignment="1" applyProtection="1">
      <alignment horizontal="center" vertical="center"/>
    </xf>
    <xf numFmtId="0" fontId="7" fillId="3" borderId="23" xfId="9" applyFont="1" applyFill="1" applyBorder="1" applyAlignment="1" applyProtection="1">
      <alignment horizontal="center" vertical="center"/>
    </xf>
    <xf numFmtId="0" fontId="7" fillId="3" borderId="14" xfId="9" applyFont="1" applyFill="1" applyBorder="1" applyAlignment="1" applyProtection="1">
      <alignment horizontal="left" vertical="center"/>
    </xf>
    <xf numFmtId="0" fontId="7" fillId="3" borderId="15" xfId="9" applyFont="1" applyFill="1" applyBorder="1" applyAlignment="1" applyProtection="1">
      <alignment horizontal="left" vertical="center"/>
    </xf>
    <xf numFmtId="0" fontId="7" fillId="3" borderId="19"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16" xfId="9" applyFont="1" applyFill="1" applyBorder="1" applyAlignment="1" applyProtection="1">
      <alignment horizontal="center" vertical="center"/>
    </xf>
    <xf numFmtId="0" fontId="7" fillId="3" borderId="21" xfId="9" applyFont="1" applyFill="1" applyBorder="1" applyAlignment="1" applyProtection="1">
      <alignment horizontal="center" vertical="center"/>
    </xf>
    <xf numFmtId="0" fontId="7" fillId="3" borderId="5" xfId="9" applyFont="1" applyFill="1" applyBorder="1" applyAlignment="1" applyProtection="1">
      <alignment horizontal="center" vertical="center"/>
    </xf>
    <xf numFmtId="0" fontId="7" fillId="3" borderId="7" xfId="9" applyFont="1" applyFill="1" applyBorder="1" applyAlignment="1" applyProtection="1">
      <alignment horizontal="center" vertical="center"/>
    </xf>
    <xf numFmtId="0" fontId="7" fillId="3" borderId="55" xfId="9" applyFont="1" applyFill="1" applyBorder="1" applyAlignment="1" applyProtection="1">
      <alignment horizontal="center" vertical="center"/>
    </xf>
    <xf numFmtId="0" fontId="7" fillId="3" borderId="53" xfId="9" applyFont="1" applyFill="1" applyBorder="1" applyAlignment="1" applyProtection="1">
      <alignment horizontal="center" vertical="center"/>
    </xf>
    <xf numFmtId="0" fontId="7" fillId="3" borderId="17" xfId="9" applyFont="1" applyFill="1" applyBorder="1" applyAlignment="1" applyProtection="1">
      <alignment horizontal="center" vertical="center"/>
    </xf>
    <xf numFmtId="0" fontId="16" fillId="6" borderId="0" xfId="9" applyFont="1" applyFill="1" applyAlignment="1" applyProtection="1">
      <alignment horizontal="center" vertical="center" wrapText="1"/>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2"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wrapText="1"/>
    </xf>
    <xf numFmtId="0" fontId="14" fillId="0" borderId="0" xfId="9" applyFont="1" applyFill="1" applyBorder="1" applyAlignment="1" applyProtection="1">
      <alignment horizontal="left" vertical="center" wrapText="1"/>
    </xf>
    <xf numFmtId="0" fontId="23" fillId="0" borderId="38" xfId="9" applyFont="1" applyFill="1" applyBorder="1" applyAlignment="1" applyProtection="1">
      <alignment vertical="top" wrapText="1"/>
    </xf>
    <xf numFmtId="0" fontId="23" fillId="0" borderId="29" xfId="9" applyFont="1" applyFill="1" applyBorder="1" applyAlignment="1" applyProtection="1">
      <alignment vertical="top" wrapText="1"/>
    </xf>
    <xf numFmtId="0" fontId="23" fillId="0" borderId="26" xfId="9" applyFont="1" applyFill="1" applyBorder="1" applyAlignment="1" applyProtection="1">
      <alignment vertical="top" wrapText="1"/>
    </xf>
    <xf numFmtId="0" fontId="23" fillId="0" borderId="36" xfId="9" applyFont="1" applyFill="1" applyBorder="1" applyAlignment="1" applyProtection="1">
      <alignment vertical="top" wrapText="1"/>
    </xf>
    <xf numFmtId="0" fontId="23" fillId="0" borderId="28" xfId="9" applyFont="1" applyFill="1" applyBorder="1" applyAlignment="1" applyProtection="1">
      <alignment vertical="top" wrapText="1"/>
    </xf>
    <xf numFmtId="0" fontId="23" fillId="0" borderId="24" xfId="9" applyFont="1" applyFill="1" applyBorder="1" applyAlignment="1" applyProtection="1">
      <alignment vertical="top" wrapText="1"/>
    </xf>
    <xf numFmtId="0" fontId="23" fillId="0" borderId="40" xfId="9" applyFont="1" applyFill="1" applyBorder="1" applyAlignment="1" applyProtection="1">
      <alignment vertical="top" wrapText="1"/>
    </xf>
    <xf numFmtId="0" fontId="23" fillId="0" borderId="45" xfId="9" applyFont="1" applyFill="1" applyBorder="1" applyAlignment="1" applyProtection="1">
      <alignment vertical="top" wrapText="1"/>
    </xf>
    <xf numFmtId="0" fontId="23" fillId="0" borderId="27" xfId="9" applyFont="1" applyFill="1" applyBorder="1" applyAlignment="1" applyProtection="1">
      <alignment vertical="top" wrapText="1"/>
    </xf>
    <xf numFmtId="0" fontId="7" fillId="3" borderId="2" xfId="9" applyFont="1" applyFill="1" applyBorder="1" applyAlignment="1" applyProtection="1">
      <alignment horizontal="left" vertical="center"/>
    </xf>
    <xf numFmtId="0" fontId="7" fillId="3" borderId="3" xfId="9" applyFont="1" applyFill="1" applyBorder="1" applyAlignment="1" applyProtection="1">
      <alignment horizontal="left" vertical="center"/>
    </xf>
    <xf numFmtId="0" fontId="7" fillId="3" borderId="4" xfId="9" applyFont="1" applyFill="1" applyBorder="1" applyAlignment="1" applyProtection="1">
      <alignment horizontal="left" vertical="center"/>
    </xf>
    <xf numFmtId="0" fontId="12" fillId="0" borderId="3" xfId="9" applyFont="1" applyFill="1" applyBorder="1" applyAlignment="1" applyProtection="1">
      <alignment horizontal="center" vertical="top" wrapText="1"/>
    </xf>
    <xf numFmtId="0" fontId="12" fillId="0" borderId="4" xfId="9" applyFont="1" applyFill="1" applyBorder="1" applyAlignment="1" applyProtection="1">
      <alignment horizontal="center" vertical="top" wrapText="1"/>
    </xf>
    <xf numFmtId="0" fontId="23" fillId="0" borderId="9" xfId="9" applyFont="1" applyFill="1" applyBorder="1" applyAlignment="1" applyProtection="1">
      <alignment vertical="top" wrapText="1"/>
    </xf>
    <xf numFmtId="0" fontId="23" fillId="0" borderId="10" xfId="9" applyFont="1" applyFill="1" applyBorder="1" applyAlignment="1" applyProtection="1">
      <alignment vertical="top" wrapText="1"/>
    </xf>
    <xf numFmtId="0" fontId="20" fillId="6" borderId="0" xfId="6" applyNumberFormat="1" applyFont="1" applyFill="1" applyAlignment="1" applyProtection="1">
      <alignment horizontal="left" vertical="center" wrapText="1"/>
    </xf>
    <xf numFmtId="0" fontId="0" fillId="0" borderId="0" xfId="0" applyNumberFormat="1" applyAlignment="1">
      <alignment vertical="center"/>
    </xf>
    <xf numFmtId="0" fontId="0" fillId="0" borderId="0" xfId="0" applyAlignment="1" applyProtection="1">
      <alignment horizontal="center" vertical="center" wrapText="1"/>
    </xf>
    <xf numFmtId="0" fontId="7" fillId="3" borderId="5" xfId="6" applyFont="1" applyFill="1" applyBorder="1" applyAlignment="1" applyProtection="1">
      <alignment horizontal="left" vertical="center"/>
    </xf>
    <xf numFmtId="0" fontId="7" fillId="3" borderId="6" xfId="6" applyFont="1" applyFill="1" applyBorder="1" applyAlignment="1" applyProtection="1">
      <alignment horizontal="left" vertical="center"/>
    </xf>
    <xf numFmtId="0" fontId="7" fillId="3" borderId="11"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7" fillId="3" borderId="6" xfId="6" applyFont="1" applyFill="1" applyBorder="1" applyAlignment="1" applyProtection="1">
      <alignment horizontal="center" vertical="center"/>
    </xf>
    <xf numFmtId="0" fontId="7" fillId="3" borderId="12" xfId="6" applyFont="1" applyFill="1" applyBorder="1" applyAlignment="1" applyProtection="1">
      <alignment horizontal="center" vertical="center"/>
    </xf>
    <xf numFmtId="0" fontId="7" fillId="3" borderId="7" xfId="6" applyFont="1" applyFill="1" applyBorder="1" applyAlignment="1" applyProtection="1">
      <alignment horizontal="center" vertical="center"/>
    </xf>
    <xf numFmtId="0" fontId="7" fillId="3" borderId="13" xfId="6" applyFont="1" applyFill="1" applyBorder="1" applyAlignment="1" applyProtection="1">
      <alignment horizontal="center" vertical="center"/>
    </xf>
    <xf numFmtId="0" fontId="23" fillId="0" borderId="54" xfId="9" applyFont="1" applyFill="1" applyBorder="1" applyAlignment="1" applyProtection="1">
      <alignment horizontal="left" vertical="top" wrapText="1"/>
    </xf>
    <xf numFmtId="0" fontId="23" fillId="0" borderId="56" xfId="9" applyFont="1" applyFill="1" applyBorder="1" applyAlignment="1" applyProtection="1">
      <alignment horizontal="left" vertical="top" wrapText="1"/>
    </xf>
    <xf numFmtId="0" fontId="23" fillId="0" borderId="57" xfId="9" applyFont="1" applyFill="1" applyBorder="1" applyAlignment="1" applyProtection="1">
      <alignment horizontal="left" vertical="top" wrapText="1"/>
    </xf>
    <xf numFmtId="0" fontId="7" fillId="3" borderId="58" xfId="6" applyFont="1" applyFill="1" applyBorder="1" applyAlignment="1" applyProtection="1">
      <alignment horizontal="left" vertical="center"/>
    </xf>
    <xf numFmtId="0" fontId="7" fillId="3" borderId="59" xfId="6" applyFont="1" applyFill="1" applyBorder="1" applyAlignment="1" applyProtection="1">
      <alignment horizontal="left" vertical="center"/>
    </xf>
    <xf numFmtId="0" fontId="23" fillId="0" borderId="47" xfId="9" applyFont="1" applyFill="1" applyBorder="1" applyAlignment="1" applyProtection="1">
      <alignment horizontal="left" vertical="top" wrapText="1"/>
    </xf>
    <xf numFmtId="0" fontId="23" fillId="0" borderId="50" xfId="9" applyFont="1" applyFill="1" applyBorder="1" applyAlignment="1" applyProtection="1">
      <alignment horizontal="left" vertical="top" wrapText="1"/>
    </xf>
    <xf numFmtId="0" fontId="23" fillId="0" borderId="12" xfId="9" applyFont="1" applyFill="1" applyBorder="1" applyAlignment="1" applyProtection="1">
      <alignment vertical="top" wrapText="1"/>
    </xf>
    <xf numFmtId="0" fontId="23" fillId="0" borderId="13" xfId="9" applyFont="1" applyFill="1" applyBorder="1" applyAlignment="1" applyProtection="1">
      <alignment vertical="top" wrapText="1"/>
    </xf>
    <xf numFmtId="0" fontId="12" fillId="0" borderId="3" xfId="9" applyFont="1" applyFill="1" applyBorder="1" applyAlignment="1" applyProtection="1">
      <alignment vertical="top"/>
    </xf>
    <xf numFmtId="0" fontId="12" fillId="0" borderId="4" xfId="9" applyFont="1" applyFill="1" applyBorder="1" applyAlignment="1" applyProtection="1">
      <alignment vertical="top"/>
    </xf>
    <xf numFmtId="0" fontId="23" fillId="0" borderId="47" xfId="9" applyFont="1" applyFill="1" applyBorder="1" applyAlignment="1" applyProtection="1">
      <alignment vertical="top" wrapText="1"/>
    </xf>
    <xf numFmtId="0" fontId="23" fillId="0" borderId="50" xfId="9" applyFont="1" applyFill="1" applyBorder="1" applyAlignment="1" applyProtection="1">
      <alignment vertical="top" wrapText="1"/>
    </xf>
    <xf numFmtId="0" fontId="7" fillId="3" borderId="33" xfId="9" applyFont="1" applyFill="1" applyBorder="1" applyAlignment="1" applyProtection="1">
      <alignment horizontal="left" vertical="center"/>
    </xf>
    <xf numFmtId="0" fontId="7" fillId="3" borderId="35" xfId="9" applyFont="1" applyFill="1" applyBorder="1" applyAlignment="1" applyProtection="1">
      <alignment horizontal="left" vertical="center"/>
    </xf>
    <xf numFmtId="0" fontId="12" fillId="0" borderId="6" xfId="9" applyFont="1" applyFill="1" applyBorder="1" applyAlignment="1" applyProtection="1">
      <alignment vertical="top"/>
    </xf>
    <xf numFmtId="0" fontId="12" fillId="0" borderId="7" xfId="9" applyFont="1" applyFill="1" applyBorder="1" applyAlignment="1" applyProtection="1">
      <alignment vertical="top"/>
    </xf>
    <xf numFmtId="0" fontId="7" fillId="3" borderId="2" xfId="6" applyFont="1" applyFill="1" applyBorder="1" applyAlignment="1" applyProtection="1">
      <alignment horizontal="left" vertical="center"/>
    </xf>
    <xf numFmtId="0" fontId="7" fillId="3" borderId="3" xfId="6" applyFont="1" applyFill="1" applyBorder="1" applyAlignment="1" applyProtection="1">
      <alignment horizontal="left" vertical="center"/>
    </xf>
    <xf numFmtId="0" fontId="12" fillId="0" borderId="33" xfId="9" applyFont="1" applyFill="1" applyBorder="1" applyAlignment="1" applyProtection="1">
      <alignment vertical="top"/>
    </xf>
    <xf numFmtId="0" fontId="12" fillId="0" borderId="34" xfId="9" applyFont="1" applyFill="1" applyBorder="1" applyAlignment="1" applyProtection="1">
      <alignment vertical="top"/>
    </xf>
    <xf numFmtId="0" fontId="12" fillId="0" borderId="35" xfId="9" applyFont="1" applyFill="1" applyBorder="1" applyAlignment="1" applyProtection="1">
      <alignment vertical="top"/>
    </xf>
    <xf numFmtId="0" fontId="16" fillId="0" borderId="9" xfId="9" applyFont="1" applyFill="1" applyBorder="1" applyAlignment="1" applyProtection="1">
      <alignment horizontal="left" vertical="top" wrapText="1"/>
    </xf>
    <xf numFmtId="0" fontId="16" fillId="0" borderId="10" xfId="9" applyFont="1" applyFill="1" applyBorder="1" applyAlignment="1" applyProtection="1">
      <alignment horizontal="left" vertical="top" wrapText="1"/>
    </xf>
    <xf numFmtId="0" fontId="0" fillId="0" borderId="0" xfId="0" applyAlignment="1">
      <alignment vertical="top" wrapText="1"/>
    </xf>
    <xf numFmtId="0" fontId="9" fillId="0" borderId="9" xfId="0" applyFont="1" applyFill="1" applyBorder="1" applyAlignment="1" applyProtection="1">
      <alignment horizontal="left" vertical="top" wrapText="1"/>
    </xf>
    <xf numFmtId="0" fontId="9" fillId="0" borderId="10" xfId="0" applyFont="1" applyFill="1" applyBorder="1" applyAlignment="1" applyProtection="1">
      <alignment horizontal="left" vertical="top" wrapText="1"/>
    </xf>
    <xf numFmtId="0" fontId="9" fillId="0" borderId="12" xfId="0" applyFont="1" applyFill="1" applyBorder="1" applyAlignment="1" applyProtection="1">
      <alignment horizontal="left" vertical="top" wrapText="1"/>
    </xf>
    <xf numFmtId="0" fontId="9" fillId="0" borderId="13" xfId="0" applyFont="1" applyFill="1" applyBorder="1" applyAlignment="1" applyProtection="1">
      <alignment horizontal="left" vertical="top" wrapText="1"/>
    </xf>
    <xf numFmtId="0" fontId="9" fillId="0" borderId="40" xfId="0" applyFont="1" applyFill="1" applyBorder="1" applyAlignment="1">
      <alignment horizontal="left" vertical="top" wrapText="1"/>
    </xf>
    <xf numFmtId="0" fontId="9" fillId="0" borderId="45" xfId="0" applyFont="1" applyFill="1" applyBorder="1" applyAlignment="1">
      <alignment horizontal="left" vertical="top" wrapText="1"/>
    </xf>
    <xf numFmtId="0" fontId="9" fillId="0" borderId="27" xfId="0" applyFont="1" applyFill="1" applyBorder="1" applyAlignment="1">
      <alignment horizontal="left" vertical="top" wrapText="1"/>
    </xf>
    <xf numFmtId="0" fontId="9" fillId="0" borderId="36" xfId="0" applyFont="1" applyFill="1" applyBorder="1" applyAlignment="1">
      <alignment horizontal="left" vertical="top" wrapText="1"/>
    </xf>
    <xf numFmtId="0" fontId="9" fillId="0" borderId="28" xfId="0" applyFont="1" applyFill="1" applyBorder="1" applyAlignment="1">
      <alignment horizontal="left" vertical="top" wrapText="1"/>
    </xf>
    <xf numFmtId="0" fontId="9" fillId="0" borderId="24" xfId="0" applyFont="1" applyFill="1" applyBorder="1" applyAlignment="1">
      <alignment horizontal="left" vertical="top" wrapText="1"/>
    </xf>
    <xf numFmtId="0" fontId="23" fillId="0" borderId="56" xfId="9" applyFont="1" applyFill="1" applyBorder="1" applyAlignment="1" applyProtection="1">
      <alignment vertical="top" wrapText="1"/>
    </xf>
    <xf numFmtId="0" fontId="23" fillId="0" borderId="57" xfId="9" applyFont="1" applyFill="1" applyBorder="1" applyAlignment="1" applyProtection="1">
      <alignment vertical="top" wrapText="1"/>
    </xf>
    <xf numFmtId="0" fontId="12" fillId="0" borderId="33" xfId="9" applyFont="1" applyFill="1" applyBorder="1" applyAlignment="1" applyProtection="1">
      <alignment horizontal="left" vertical="top"/>
    </xf>
    <xf numFmtId="0" fontId="12" fillId="0" borderId="34" xfId="9" applyFont="1" applyFill="1" applyBorder="1" applyAlignment="1" applyProtection="1">
      <alignment horizontal="left" vertical="top"/>
    </xf>
    <xf numFmtId="0" fontId="12" fillId="0" borderId="35" xfId="9" applyFont="1" applyFill="1" applyBorder="1" applyAlignment="1" applyProtection="1">
      <alignment horizontal="left" vertical="top"/>
    </xf>
    <xf numFmtId="0" fontId="23" fillId="0" borderId="113" xfId="9" applyFont="1" applyFill="1" applyBorder="1" applyAlignment="1" applyProtection="1">
      <alignment vertical="top" wrapText="1"/>
    </xf>
    <xf numFmtId="0" fontId="23" fillId="0" borderId="114" xfId="9" applyFont="1" applyFill="1" applyBorder="1" applyAlignment="1" applyProtection="1">
      <alignment vertical="top" wrapText="1"/>
    </xf>
    <xf numFmtId="0" fontId="23" fillId="0" borderId="115" xfId="9" applyFont="1" applyFill="1" applyBorder="1" applyAlignment="1" applyProtection="1">
      <alignment vertical="top" wrapText="1"/>
    </xf>
    <xf numFmtId="0" fontId="0" fillId="0" borderId="29" xfId="0" applyBorder="1" applyAlignment="1">
      <alignment vertical="top" wrapText="1"/>
    </xf>
    <xf numFmtId="0" fontId="0" fillId="0" borderId="26" xfId="0" applyBorder="1" applyAlignment="1">
      <alignment vertical="top" wrapText="1"/>
    </xf>
    <xf numFmtId="0" fontId="92" fillId="3" borderId="33" xfId="9" applyFont="1" applyFill="1" applyBorder="1" applyAlignment="1" applyProtection="1">
      <alignment vertical="center" wrapText="1"/>
    </xf>
    <xf numFmtId="0" fontId="0" fillId="0" borderId="34" xfId="0" applyBorder="1" applyAlignment="1">
      <alignment vertical="center" wrapText="1"/>
    </xf>
    <xf numFmtId="0" fontId="0" fillId="0" borderId="35" xfId="0" applyBorder="1" applyAlignment="1">
      <alignment vertical="center" wrapText="1"/>
    </xf>
    <xf numFmtId="0" fontId="20" fillId="0" borderId="38" xfId="0" applyFont="1" applyFill="1" applyBorder="1" applyAlignment="1" applyProtection="1">
      <alignment vertical="top" wrapText="1"/>
    </xf>
    <xf numFmtId="0" fontId="20" fillId="0" borderId="29" xfId="0" applyFont="1" applyFill="1" applyBorder="1" applyAlignment="1" applyProtection="1">
      <alignment vertical="top" wrapText="1"/>
    </xf>
    <xf numFmtId="0" fontId="20" fillId="0" borderId="26" xfId="0" applyFont="1" applyFill="1" applyBorder="1" applyAlignment="1" applyProtection="1">
      <alignment vertical="top" wrapText="1"/>
    </xf>
    <xf numFmtId="0" fontId="20" fillId="0" borderId="40" xfId="0" applyFont="1" applyFill="1" applyBorder="1" applyAlignment="1" applyProtection="1">
      <alignment vertical="top" wrapText="1"/>
    </xf>
    <xf numFmtId="0" fontId="20" fillId="0" borderId="45" xfId="0" applyFont="1" applyFill="1" applyBorder="1" applyAlignment="1" applyProtection="1">
      <alignment vertical="top" wrapText="1"/>
    </xf>
    <xf numFmtId="0" fontId="20" fillId="0" borderId="27" xfId="0" applyFont="1" applyFill="1" applyBorder="1" applyAlignment="1" applyProtection="1">
      <alignment vertical="top" wrapText="1"/>
    </xf>
    <xf numFmtId="0" fontId="92" fillId="3" borderId="34" xfId="9" applyFont="1" applyFill="1" applyBorder="1" applyAlignment="1" applyProtection="1">
      <alignment vertical="center" wrapText="1"/>
    </xf>
    <xf numFmtId="0" fontId="92" fillId="3" borderId="35" xfId="9" applyFont="1" applyFill="1" applyBorder="1" applyAlignment="1" applyProtection="1">
      <alignment vertical="center" wrapText="1"/>
    </xf>
    <xf numFmtId="0" fontId="7" fillId="3" borderId="54" xfId="9" applyFont="1" applyFill="1" applyBorder="1" applyAlignment="1" applyProtection="1">
      <alignment horizontal="center" vertical="center"/>
    </xf>
    <xf numFmtId="0" fontId="7" fillId="3" borderId="28" xfId="9" applyFont="1" applyFill="1" applyBorder="1" applyAlignment="1" applyProtection="1">
      <alignment horizontal="center" vertical="center"/>
    </xf>
    <xf numFmtId="0" fontId="7" fillId="3" borderId="24" xfId="9" applyFont="1" applyFill="1" applyBorder="1" applyAlignment="1" applyProtection="1">
      <alignment horizontal="center" vertical="center"/>
    </xf>
    <xf numFmtId="0" fontId="7" fillId="3" borderId="14" xfId="9" applyFont="1" applyFill="1" applyBorder="1" applyAlignment="1" applyProtection="1">
      <alignment horizontal="center" vertical="center"/>
    </xf>
    <xf numFmtId="0" fontId="7" fillId="3" borderId="19" xfId="9" applyFont="1" applyFill="1" applyBorder="1" applyAlignment="1" applyProtection="1">
      <alignment horizontal="center" vertical="center"/>
    </xf>
    <xf numFmtId="0" fontId="7" fillId="3" borderId="52" xfId="9" applyFont="1" applyFill="1" applyBorder="1" applyAlignment="1" applyProtection="1">
      <alignment horizontal="center" vertical="center"/>
    </xf>
    <xf numFmtId="0" fontId="7" fillId="3" borderId="51" xfId="9" applyFont="1" applyFill="1" applyBorder="1" applyAlignment="1" applyProtection="1">
      <alignment horizontal="center" vertical="center"/>
    </xf>
    <xf numFmtId="0" fontId="12" fillId="0" borderId="3" xfId="9" applyFont="1" applyFill="1" applyBorder="1" applyAlignment="1" applyProtection="1">
      <alignment horizontal="left" vertical="top"/>
    </xf>
    <xf numFmtId="0" fontId="12" fillId="0" borderId="60" xfId="9" applyFont="1" applyFill="1" applyBorder="1" applyAlignment="1" applyProtection="1">
      <alignment horizontal="left" vertical="top"/>
    </xf>
    <xf numFmtId="0" fontId="12" fillId="0" borderId="4" xfId="9" applyFont="1" applyFill="1" applyBorder="1" applyAlignment="1" applyProtection="1">
      <alignment horizontal="left" vertical="top"/>
    </xf>
    <xf numFmtId="0" fontId="7" fillId="3" borderId="53" xfId="6" applyFont="1" applyFill="1" applyBorder="1" applyAlignment="1" applyProtection="1">
      <alignment horizontal="center" vertical="center" wrapText="1"/>
    </xf>
    <xf numFmtId="0" fontId="7" fillId="3" borderId="110" xfId="6" applyFont="1" applyFill="1" applyBorder="1" applyAlignment="1" applyProtection="1">
      <alignment horizontal="center" vertical="center" wrapText="1"/>
    </xf>
    <xf numFmtId="0" fontId="7" fillId="3" borderId="15" xfId="6" applyFont="1" applyFill="1" applyBorder="1" applyAlignment="1" applyProtection="1">
      <alignment horizontal="center" vertical="center" wrapText="1"/>
    </xf>
    <xf numFmtId="0" fontId="7" fillId="3" borderId="20" xfId="6" applyFont="1" applyFill="1" applyBorder="1" applyAlignment="1" applyProtection="1">
      <alignment horizontal="center" vertical="center" wrapText="1"/>
    </xf>
    <xf numFmtId="0" fontId="7" fillId="3" borderId="69" xfId="6" applyFont="1" applyFill="1" applyBorder="1" applyAlignment="1" applyProtection="1">
      <alignment horizontal="center" vertical="center" wrapText="1"/>
    </xf>
    <xf numFmtId="0" fontId="7" fillId="3" borderId="75" xfId="6" applyFont="1" applyFill="1" applyBorder="1" applyAlignment="1" applyProtection="1">
      <alignment horizontal="center" vertical="center" wrapText="1"/>
    </xf>
    <xf numFmtId="0" fontId="7" fillId="3" borderId="64" xfId="6" applyFont="1" applyFill="1" applyBorder="1" applyAlignment="1" applyProtection="1">
      <alignment horizontal="center" vertical="center" wrapText="1"/>
    </xf>
    <xf numFmtId="0" fontId="7" fillId="3" borderId="65" xfId="6" applyFont="1" applyFill="1" applyBorder="1" applyAlignment="1" applyProtection="1">
      <alignment horizontal="center" vertical="center" wrapText="1"/>
    </xf>
    <xf numFmtId="0" fontId="7" fillId="3" borderId="119" xfId="6" applyFont="1" applyFill="1" applyBorder="1" applyAlignment="1" applyProtection="1">
      <alignment horizontal="center" vertical="center" wrapText="1"/>
    </xf>
    <xf numFmtId="0" fontId="7" fillId="3" borderId="120" xfId="6" applyFont="1" applyFill="1" applyBorder="1" applyAlignment="1" applyProtection="1">
      <alignment horizontal="center" vertical="center" wrapText="1"/>
    </xf>
    <xf numFmtId="0" fontId="0" fillId="0" borderId="120" xfId="0" applyBorder="1" applyAlignment="1" applyProtection="1">
      <alignment horizontal="center" vertical="center" wrapText="1"/>
    </xf>
    <xf numFmtId="0" fontId="0" fillId="0" borderId="121" xfId="0" applyBorder="1" applyAlignment="1" applyProtection="1">
      <alignment horizontal="center" vertical="center" wrapText="1"/>
    </xf>
    <xf numFmtId="0" fontId="20" fillId="0" borderId="0" xfId="6" applyFont="1" applyFill="1" applyAlignment="1" applyProtection="1">
      <alignment horizontal="center" vertical="center" wrapText="1"/>
    </xf>
    <xf numFmtId="0" fontId="0" fillId="0" borderId="120" xfId="0" applyBorder="1" applyAlignment="1">
      <alignment horizontal="center" vertical="center" wrapText="1"/>
    </xf>
    <xf numFmtId="0" fontId="0" fillId="0" borderId="121" xfId="0" applyBorder="1" applyAlignment="1">
      <alignment horizontal="center" vertical="center" wrapText="1"/>
    </xf>
    <xf numFmtId="0" fontId="23" fillId="0" borderId="85" xfId="9" applyFont="1" applyFill="1" applyBorder="1" applyAlignment="1" applyProtection="1">
      <alignment horizontal="left" vertical="top" wrapText="1"/>
    </xf>
    <xf numFmtId="0" fontId="23" fillId="0" borderId="86" xfId="9" applyFont="1" applyFill="1" applyBorder="1" applyAlignment="1" applyProtection="1">
      <alignment horizontal="left" vertical="top" wrapText="1"/>
    </xf>
    <xf numFmtId="0" fontId="23" fillId="0" borderId="77" xfId="9" applyFont="1" applyFill="1" applyBorder="1" applyAlignment="1" applyProtection="1">
      <alignment horizontal="left" vertical="top" wrapText="1"/>
    </xf>
    <xf numFmtId="0" fontId="12" fillId="0" borderId="79" xfId="9" applyFont="1" applyFill="1" applyBorder="1" applyAlignment="1" applyProtection="1">
      <alignment horizontal="left" vertical="top"/>
    </xf>
    <xf numFmtId="0" fontId="12" fillId="0" borderId="80" xfId="9" applyFont="1" applyFill="1" applyBorder="1" applyAlignment="1" applyProtection="1">
      <alignment horizontal="left" vertical="top"/>
    </xf>
    <xf numFmtId="0" fontId="12" fillId="0" borderId="81" xfId="9" applyFont="1" applyFill="1" applyBorder="1" applyAlignment="1" applyProtection="1">
      <alignment horizontal="left" vertical="top"/>
    </xf>
    <xf numFmtId="0" fontId="23" fillId="0" borderId="82" xfId="9" applyFont="1" applyFill="1" applyBorder="1" applyAlignment="1" applyProtection="1">
      <alignment horizontal="left" vertical="top" wrapText="1"/>
    </xf>
    <xf numFmtId="0" fontId="23" fillId="0" borderId="83" xfId="9" applyFont="1" applyFill="1" applyBorder="1" applyAlignment="1" applyProtection="1">
      <alignment horizontal="left" vertical="top" wrapText="1"/>
    </xf>
    <xf numFmtId="0" fontId="23" fillId="0" borderId="76" xfId="9" applyFont="1" applyFill="1" applyBorder="1" applyAlignment="1" applyProtection="1">
      <alignment horizontal="left" vertical="top" wrapText="1"/>
    </xf>
    <xf numFmtId="0" fontId="23" fillId="0" borderId="87" xfId="9" applyFont="1" applyFill="1" applyBorder="1" applyAlignment="1" applyProtection="1">
      <alignment horizontal="left" vertical="top" wrapText="1"/>
    </xf>
    <xf numFmtId="0" fontId="23" fillId="0" borderId="88" xfId="9" applyFont="1" applyFill="1" applyBorder="1" applyAlignment="1" applyProtection="1">
      <alignment horizontal="left" vertical="top" wrapText="1"/>
    </xf>
    <xf numFmtId="0" fontId="23" fillId="0" borderId="78" xfId="9" applyFont="1" applyFill="1" applyBorder="1" applyAlignment="1" applyProtection="1">
      <alignment horizontal="left" vertical="top" wrapText="1"/>
    </xf>
    <xf numFmtId="0" fontId="7" fillId="3" borderId="66" xfId="6" applyFont="1" applyFill="1" applyBorder="1" applyAlignment="1" applyProtection="1">
      <alignment horizontal="center" vertical="center" wrapText="1"/>
    </xf>
    <xf numFmtId="0" fontId="7" fillId="3" borderId="67" xfId="6" applyFont="1" applyFill="1" applyBorder="1" applyAlignment="1" applyProtection="1">
      <alignment horizontal="center" vertical="center" wrapText="1"/>
    </xf>
    <xf numFmtId="0" fontId="0" fillId="0" borderId="23" xfId="0" applyBorder="1" applyAlignment="1" applyProtection="1">
      <alignment horizontal="center" vertical="center" wrapText="1"/>
    </xf>
    <xf numFmtId="0" fontId="12" fillId="0" borderId="2" xfId="9" applyFont="1" applyFill="1" applyBorder="1" applyAlignment="1" applyProtection="1">
      <alignment horizontal="left" vertical="top"/>
    </xf>
    <xf numFmtId="0" fontId="23" fillId="0" borderId="0" xfId="9" applyFont="1" applyFill="1" applyBorder="1" applyAlignment="1" applyProtection="1">
      <alignment horizontal="left" vertical="center" wrapText="1"/>
    </xf>
    <xf numFmtId="0" fontId="12" fillId="0" borderId="60" xfId="9" applyFont="1" applyFill="1" applyBorder="1" applyAlignment="1" applyProtection="1">
      <alignment vertical="top"/>
    </xf>
    <xf numFmtId="0" fontId="23" fillId="0" borderId="33" xfId="9" applyFont="1" applyFill="1" applyBorder="1" applyAlignment="1" applyProtection="1">
      <alignment vertical="top" wrapText="1"/>
    </xf>
    <xf numFmtId="0" fontId="23" fillId="0" borderId="34" xfId="9" applyFont="1" applyFill="1" applyBorder="1" applyAlignment="1" applyProtection="1">
      <alignment vertical="top" wrapText="1"/>
    </xf>
    <xf numFmtId="0" fontId="23" fillId="0" borderId="35" xfId="9" applyFont="1" applyFill="1" applyBorder="1" applyAlignment="1" applyProtection="1">
      <alignment vertical="top" wrapText="1"/>
    </xf>
    <xf numFmtId="0" fontId="7" fillId="3" borderId="14" xfId="6" applyFont="1" applyFill="1" applyBorder="1" applyAlignment="1" applyProtection="1">
      <alignment horizontal="center" vertical="center"/>
    </xf>
    <xf numFmtId="0" fontId="0" fillId="0" borderId="19" xfId="0" applyBorder="1" applyAlignment="1" applyProtection="1">
      <alignment horizontal="center" vertical="center"/>
    </xf>
    <xf numFmtId="0" fontId="0" fillId="0" borderId="21" xfId="0" applyBorder="1" applyAlignment="1" applyProtection="1">
      <alignment horizontal="center" vertical="center"/>
    </xf>
    <xf numFmtId="0" fontId="0" fillId="0" borderId="7" xfId="0" applyBorder="1" applyAlignment="1" applyProtection="1">
      <alignment horizontal="center" vertical="center" wrapText="1"/>
    </xf>
    <xf numFmtId="0" fontId="0" fillId="0" borderId="20" xfId="0" applyBorder="1" applyAlignment="1" applyProtection="1">
      <alignment horizontal="center" vertical="center"/>
    </xf>
    <xf numFmtId="0" fontId="0" fillId="0" borderId="38" xfId="0" applyFill="1" applyBorder="1" applyAlignment="1" applyProtection="1">
      <alignment horizontal="left" vertical="top" wrapText="1"/>
    </xf>
    <xf numFmtId="0" fontId="0" fillId="0" borderId="29" xfId="0" applyFill="1" applyBorder="1" applyAlignment="1" applyProtection="1">
      <alignment horizontal="left" vertical="top" wrapText="1"/>
    </xf>
    <xf numFmtId="0" fontId="0" fillId="0" borderId="26" xfId="0" applyFill="1" applyBorder="1" applyAlignment="1" applyProtection="1">
      <alignment horizontal="left" vertical="top" wrapText="1"/>
    </xf>
    <xf numFmtId="0" fontId="0" fillId="0" borderId="36" xfId="0" applyFill="1" applyBorder="1" applyAlignment="1" applyProtection="1">
      <alignment horizontal="left" vertical="top" wrapText="1"/>
    </xf>
    <xf numFmtId="0" fontId="0" fillId="0" borderId="28" xfId="0" applyFill="1" applyBorder="1" applyAlignment="1" applyProtection="1">
      <alignment horizontal="left" vertical="top" wrapText="1"/>
    </xf>
    <xf numFmtId="0" fontId="0" fillId="0" borderId="24" xfId="0" applyFill="1" applyBorder="1" applyAlignment="1" applyProtection="1">
      <alignment horizontal="left" vertical="top" wrapText="1"/>
    </xf>
    <xf numFmtId="0" fontId="0" fillId="0" borderId="40" xfId="0" applyFill="1" applyBorder="1" applyAlignment="1" applyProtection="1">
      <alignment horizontal="left" vertical="top" wrapText="1"/>
    </xf>
    <xf numFmtId="0" fontId="0" fillId="0" borderId="45" xfId="0" applyFill="1" applyBorder="1" applyAlignment="1" applyProtection="1">
      <alignment horizontal="left" vertical="top" wrapText="1"/>
    </xf>
    <xf numFmtId="0" fontId="0" fillId="0" borderId="27" xfId="0" applyFill="1" applyBorder="1" applyAlignment="1" applyProtection="1">
      <alignment horizontal="left" vertical="top" wrapText="1"/>
    </xf>
    <xf numFmtId="0" fontId="16" fillId="0" borderId="33" xfId="0" applyNumberFormat="1" applyFont="1" applyFill="1" applyBorder="1" applyAlignment="1" applyProtection="1">
      <alignment vertical="center" wrapText="1"/>
    </xf>
    <xf numFmtId="0" fontId="16" fillId="0" borderId="34" xfId="0" applyFont="1" applyFill="1" applyBorder="1" applyAlignment="1">
      <alignment vertical="center" wrapText="1"/>
    </xf>
    <xf numFmtId="0" fontId="16" fillId="0" borderId="35" xfId="0" applyFont="1" applyFill="1" applyBorder="1" applyAlignment="1">
      <alignment vertical="center" wrapText="1"/>
    </xf>
    <xf numFmtId="0" fontId="23" fillId="0" borderId="85" xfId="11" applyFont="1" applyFill="1" applyBorder="1" applyAlignment="1" applyProtection="1">
      <alignment horizontal="left" vertical="top" wrapText="1"/>
    </xf>
    <xf numFmtId="0" fontId="23" fillId="0" borderId="86" xfId="11" applyFont="1" applyFill="1" applyBorder="1" applyAlignment="1" applyProtection="1">
      <alignment horizontal="left" vertical="top" wrapText="1"/>
    </xf>
    <xf numFmtId="0" fontId="23" fillId="0" borderId="77" xfId="11" applyFont="1" applyFill="1" applyBorder="1" applyAlignment="1" applyProtection="1">
      <alignment horizontal="left" vertical="top" wrapText="1"/>
    </xf>
    <xf numFmtId="0" fontId="12" fillId="0" borderId="152" xfId="11" applyFont="1" applyFill="1" applyBorder="1" applyAlignment="1" applyProtection="1">
      <alignment horizontal="left" vertical="top"/>
    </xf>
    <xf numFmtId="0" fontId="0" fillId="0" borderId="80" xfId="0" applyBorder="1" applyAlignment="1">
      <alignment horizontal="left" vertical="top"/>
    </xf>
    <xf numFmtId="0" fontId="0" fillId="0" borderId="153" xfId="0" applyBorder="1" applyAlignment="1">
      <alignment horizontal="left" vertical="top"/>
    </xf>
    <xf numFmtId="0" fontId="12" fillId="0" borderId="0" xfId="11" applyFont="1" applyFill="1" applyAlignment="1" applyProtection="1">
      <alignment vertical="center"/>
    </xf>
    <xf numFmtId="0" fontId="12" fillId="0" borderId="79" xfId="11" applyFont="1" applyFill="1" applyBorder="1" applyAlignment="1" applyProtection="1">
      <alignment horizontal="left" vertical="top"/>
    </xf>
    <xf numFmtId="0" fontId="12" fillId="0" borderId="80" xfId="11" applyFont="1" applyFill="1" applyBorder="1" applyAlignment="1" applyProtection="1">
      <alignment horizontal="left" vertical="top"/>
    </xf>
    <xf numFmtId="0" fontId="12" fillId="0" borderId="81" xfId="11" applyFont="1" applyFill="1" applyBorder="1" applyAlignment="1" applyProtection="1">
      <alignment horizontal="left" vertical="top"/>
    </xf>
    <xf numFmtId="0" fontId="23" fillId="0" borderId="82" xfId="11" applyFont="1" applyFill="1" applyBorder="1" applyAlignment="1" applyProtection="1">
      <alignment horizontal="left" vertical="top" wrapText="1"/>
    </xf>
    <xf numFmtId="0" fontId="23" fillId="0" borderId="83" xfId="11" applyFont="1" applyFill="1" applyBorder="1" applyAlignment="1" applyProtection="1">
      <alignment horizontal="left" vertical="top" wrapText="1"/>
    </xf>
    <xf numFmtId="0" fontId="23" fillId="0" borderId="76" xfId="11" applyFont="1" applyFill="1" applyBorder="1" applyAlignment="1" applyProtection="1">
      <alignment horizontal="left" vertical="top" wrapText="1"/>
    </xf>
    <xf numFmtId="0" fontId="23" fillId="0" borderId="85" xfId="11" applyFont="1" applyFill="1" applyBorder="1" applyAlignment="1" applyProtection="1">
      <alignment vertical="top" wrapText="1"/>
    </xf>
    <xf numFmtId="0" fontId="23" fillId="0" borderId="86" xfId="11" applyFont="1" applyFill="1" applyBorder="1" applyAlignment="1" applyProtection="1">
      <alignment vertical="top" wrapText="1"/>
    </xf>
    <xf numFmtId="0" fontId="23" fillId="0" borderId="77" xfId="11" applyFont="1" applyFill="1" applyBorder="1" applyAlignment="1" applyProtection="1">
      <alignment vertical="top" wrapText="1"/>
    </xf>
    <xf numFmtId="0" fontId="7" fillId="3" borderId="14" xfId="6" applyFont="1" applyFill="1" applyBorder="1" applyAlignment="1" applyProtection="1">
      <alignment vertical="center"/>
    </xf>
    <xf numFmtId="0" fontId="7" fillId="3" borderId="15" xfId="6" applyFont="1" applyFill="1" applyBorder="1" applyAlignment="1" applyProtection="1">
      <alignment vertical="center"/>
    </xf>
    <xf numFmtId="0" fontId="7" fillId="3" borderId="19" xfId="6" applyFont="1" applyFill="1" applyBorder="1" applyAlignment="1" applyProtection="1">
      <alignment vertical="center"/>
    </xf>
    <xf numFmtId="0" fontId="7" fillId="3" borderId="20" xfId="6" applyFont="1" applyFill="1" applyBorder="1" applyAlignment="1" applyProtection="1">
      <alignment vertical="center"/>
    </xf>
    <xf numFmtId="0" fontId="16" fillId="0" borderId="34" xfId="0" applyNumberFormat="1" applyFont="1" applyFill="1" applyBorder="1" applyAlignment="1" applyProtection="1">
      <alignment vertical="center" wrapText="1"/>
    </xf>
    <xf numFmtId="0" fontId="16" fillId="0" borderId="35" xfId="0" applyNumberFormat="1" applyFont="1" applyFill="1" applyBorder="1" applyAlignment="1" applyProtection="1">
      <alignment vertical="center" wrapText="1"/>
    </xf>
    <xf numFmtId="0" fontId="7" fillId="3" borderId="251" xfId="6" applyFont="1" applyFill="1" applyBorder="1" applyAlignment="1" applyProtection="1">
      <alignment horizontal="center" vertical="center" wrapText="1"/>
    </xf>
    <xf numFmtId="0" fontId="7" fillId="3" borderId="279" xfId="6" applyFont="1" applyFill="1" applyBorder="1" applyAlignment="1" applyProtection="1">
      <alignment horizontal="center" vertical="center" wrapText="1"/>
    </xf>
    <xf numFmtId="0" fontId="7" fillId="3" borderId="277" xfId="6" applyFont="1" applyFill="1" applyBorder="1" applyAlignment="1" applyProtection="1">
      <alignment horizontal="center" vertical="center" wrapText="1"/>
    </xf>
    <xf numFmtId="0" fontId="7" fillId="3" borderId="278" xfId="6" applyFont="1" applyFill="1" applyBorder="1" applyAlignment="1" applyProtection="1">
      <alignment horizontal="center" vertical="center" wrapText="1"/>
    </xf>
    <xf numFmtId="0" fontId="7" fillId="3" borderId="252" xfId="6" applyFont="1" applyFill="1" applyBorder="1" applyAlignment="1" applyProtection="1">
      <alignment horizontal="center" vertical="center" wrapText="1"/>
    </xf>
    <xf numFmtId="0" fontId="7" fillId="15" borderId="15" xfId="11" applyFont="1" applyFill="1" applyBorder="1" applyAlignment="1" applyProtection="1">
      <alignment horizontal="center" vertical="center"/>
    </xf>
    <xf numFmtId="0" fontId="7" fillId="15" borderId="20" xfId="11" applyFont="1" applyFill="1" applyBorder="1" applyAlignment="1" applyProtection="1">
      <alignment horizontal="center" vertical="center"/>
    </xf>
    <xf numFmtId="0" fontId="7" fillId="15" borderId="15" xfId="6" applyFont="1" applyFill="1" applyBorder="1" applyAlignment="1" applyProtection="1">
      <alignment horizontal="center" vertical="center" wrapText="1"/>
    </xf>
    <xf numFmtId="0" fontId="7" fillId="15" borderId="20" xfId="6" applyFont="1" applyFill="1" applyBorder="1" applyAlignment="1" applyProtection="1">
      <alignment horizontal="center" vertical="center" wrapText="1"/>
    </xf>
    <xf numFmtId="0" fontId="7" fillId="15" borderId="16" xfId="6" applyFont="1" applyFill="1" applyBorder="1" applyAlignment="1" applyProtection="1">
      <alignment horizontal="center" vertical="center" wrapText="1"/>
    </xf>
    <xf numFmtId="0" fontId="7" fillId="15" borderId="21" xfId="6" applyFont="1" applyFill="1" applyBorder="1" applyAlignment="1" applyProtection="1">
      <alignment horizontal="center" vertical="center" wrapText="1"/>
    </xf>
    <xf numFmtId="0" fontId="7" fillId="3" borderId="276" xfId="6" applyFont="1" applyFill="1" applyBorder="1" applyAlignment="1" applyProtection="1">
      <alignment horizontal="center" vertical="center" wrapText="1"/>
    </xf>
    <xf numFmtId="0" fontId="7" fillId="3" borderId="176" xfId="6" applyFont="1" applyFill="1" applyBorder="1" applyAlignment="1" applyProtection="1">
      <alignment horizontal="center" vertical="center" wrapText="1"/>
    </xf>
    <xf numFmtId="0" fontId="7" fillId="3" borderId="182" xfId="6" applyFont="1" applyFill="1" applyBorder="1" applyAlignment="1" applyProtection="1">
      <alignment horizontal="center" vertical="center" wrapText="1"/>
    </xf>
    <xf numFmtId="0" fontId="23" fillId="0" borderId="165" xfId="11" applyFont="1" applyFill="1" applyBorder="1" applyAlignment="1" applyProtection="1">
      <alignment vertical="top" wrapText="1"/>
    </xf>
    <xf numFmtId="0" fontId="23" fillId="0" borderId="166" xfId="11" applyFont="1" applyFill="1" applyBorder="1" applyAlignment="1" applyProtection="1">
      <alignment vertical="top" wrapText="1"/>
    </xf>
    <xf numFmtId="0" fontId="23" fillId="0" borderId="299" xfId="11" applyFont="1" applyFill="1" applyBorder="1" applyAlignment="1" applyProtection="1">
      <alignment vertical="top" wrapText="1"/>
    </xf>
    <xf numFmtId="0" fontId="12" fillId="0" borderId="0" xfId="11" applyFont="1" applyFill="1" applyBorder="1" applyAlignment="1" applyProtection="1">
      <alignment vertical="center"/>
    </xf>
    <xf numFmtId="0" fontId="7" fillId="15" borderId="18" xfId="6" applyFont="1" applyFill="1" applyBorder="1" applyAlignment="1" applyProtection="1">
      <alignment horizontal="center" vertical="center" wrapText="1"/>
    </xf>
    <xf numFmtId="0" fontId="7" fillId="15" borderId="23" xfId="6" applyFont="1" applyFill="1" applyBorder="1" applyAlignment="1" applyProtection="1">
      <alignment horizontal="center" vertical="center" wrapText="1"/>
    </xf>
    <xf numFmtId="0" fontId="57" fillId="0" borderId="20" xfId="17" applyFont="1" applyFill="1" applyBorder="1" applyAlignment="1">
      <alignment horizontal="center" vertical="center" wrapText="1"/>
    </xf>
    <xf numFmtId="0" fontId="57" fillId="0" borderId="21" xfId="17" applyFont="1" applyFill="1" applyBorder="1" applyAlignment="1">
      <alignment horizontal="center" vertical="center" wrapText="1"/>
    </xf>
    <xf numFmtId="0" fontId="7" fillId="3" borderId="55" xfId="6" applyFont="1" applyFill="1" applyBorder="1" applyAlignment="1" applyProtection="1">
      <alignment horizontal="center" vertical="center" wrapText="1"/>
    </xf>
    <xf numFmtId="0" fontId="46" fillId="0" borderId="110" xfId="17" applyBorder="1" applyAlignment="1">
      <alignment horizontal="center" vertical="center" wrapText="1"/>
    </xf>
    <xf numFmtId="0" fontId="24" fillId="15" borderId="33" xfId="0" applyNumberFormat="1" applyFont="1" applyFill="1" applyBorder="1" applyAlignment="1" applyProtection="1">
      <alignment vertical="center"/>
    </xf>
    <xf numFmtId="0" fontId="24" fillId="15" borderId="34" xfId="0" applyNumberFormat="1" applyFont="1" applyFill="1" applyBorder="1" applyAlignment="1" applyProtection="1">
      <alignment vertical="center"/>
    </xf>
    <xf numFmtId="0" fontId="24" fillId="15" borderId="35" xfId="0" applyNumberFormat="1" applyFont="1" applyFill="1" applyBorder="1" applyAlignment="1" applyProtection="1">
      <alignment vertical="center"/>
    </xf>
    <xf numFmtId="0" fontId="12" fillId="0" borderId="159" xfId="11" applyFont="1" applyFill="1" applyBorder="1" applyAlignment="1" applyProtection="1">
      <alignment vertical="top"/>
    </xf>
    <xf numFmtId="0" fontId="12" fillId="0" borderId="160" xfId="11" applyFont="1" applyFill="1" applyBorder="1" applyAlignment="1" applyProtection="1">
      <alignment vertical="top"/>
    </xf>
    <xf numFmtId="0" fontId="12" fillId="0" borderId="297" xfId="11" applyFont="1" applyFill="1" applyBorder="1" applyAlignment="1" applyProtection="1">
      <alignment vertical="top"/>
    </xf>
    <xf numFmtId="0" fontId="23" fillId="0" borderId="162" xfId="11" applyFont="1" applyFill="1" applyBorder="1" applyAlignment="1" applyProtection="1">
      <alignment vertical="top" wrapText="1"/>
    </xf>
    <xf numFmtId="0" fontId="23" fillId="0" borderId="163" xfId="11" applyFont="1" applyFill="1" applyBorder="1" applyAlignment="1" applyProtection="1">
      <alignment vertical="top" wrapText="1"/>
    </xf>
    <xf numFmtId="0" fontId="23" fillId="0" borderId="298" xfId="11" applyFont="1" applyFill="1" applyBorder="1" applyAlignment="1" applyProtection="1">
      <alignment vertical="top" wrapText="1"/>
    </xf>
    <xf numFmtId="0" fontId="7" fillId="3" borderId="33" xfId="11" applyFont="1" applyFill="1" applyBorder="1" applyAlignment="1" applyProtection="1">
      <alignment horizontal="center" vertical="center"/>
    </xf>
    <xf numFmtId="0" fontId="7" fillId="3" borderId="34" xfId="11" applyFont="1" applyFill="1" applyBorder="1" applyAlignment="1" applyProtection="1">
      <alignment horizontal="center" vertical="center"/>
    </xf>
    <xf numFmtId="0" fontId="7" fillId="3" borderId="35" xfId="11" applyFont="1" applyFill="1" applyBorder="1" applyAlignment="1" applyProtection="1">
      <alignment horizontal="center" vertical="center"/>
    </xf>
    <xf numFmtId="0" fontId="7" fillId="3" borderId="131" xfId="6" applyFont="1" applyFill="1" applyBorder="1" applyAlignment="1" applyProtection="1">
      <alignment horizontal="center" vertical="center"/>
    </xf>
    <xf numFmtId="0" fontId="7" fillId="3" borderId="130" xfId="6" applyFont="1" applyFill="1" applyBorder="1" applyAlignment="1" applyProtection="1">
      <alignment horizontal="center" vertical="center"/>
    </xf>
    <xf numFmtId="0" fontId="7" fillId="3" borderId="33" xfId="6" applyFont="1" applyFill="1" applyBorder="1" applyAlignment="1" applyProtection="1">
      <alignment horizontal="center" vertical="center"/>
    </xf>
    <xf numFmtId="0" fontId="7" fillId="3" borderId="34" xfId="6" applyFont="1" applyFill="1" applyBorder="1" applyAlignment="1" applyProtection="1">
      <alignment horizontal="center" vertical="center"/>
    </xf>
    <xf numFmtId="0" fontId="7" fillId="3" borderId="18" xfId="6" applyFont="1" applyFill="1" applyBorder="1" applyAlignment="1" applyProtection="1">
      <alignment horizontal="center" vertical="center"/>
    </xf>
    <xf numFmtId="0" fontId="7" fillId="3" borderId="23" xfId="6" applyFont="1" applyFill="1" applyBorder="1" applyAlignment="1" applyProtection="1">
      <alignment horizontal="center" vertical="center"/>
    </xf>
    <xf numFmtId="9" fontId="50" fillId="0" borderId="175" xfId="11" applyNumberFormat="1" applyFont="1" applyFill="1" applyBorder="1" applyAlignment="1">
      <alignment vertical="center" wrapText="1"/>
    </xf>
    <xf numFmtId="9" fontId="50" fillId="0" borderId="176" xfId="11" applyNumberFormat="1" applyFont="1" applyFill="1" applyBorder="1" applyAlignment="1">
      <alignment vertical="center" wrapText="1"/>
    </xf>
    <xf numFmtId="9" fontId="50" fillId="0" borderId="177" xfId="11" applyNumberFormat="1" applyFont="1" applyFill="1" applyBorder="1" applyAlignment="1">
      <alignment vertical="center" wrapText="1"/>
    </xf>
    <xf numFmtId="0" fontId="92" fillId="3" borderId="33" xfId="11" applyFont="1" applyFill="1" applyBorder="1" applyAlignment="1" applyProtection="1">
      <alignment vertical="center"/>
    </xf>
    <xf numFmtId="0" fontId="96" fillId="0" borderId="34" xfId="22" applyFont="1" applyBorder="1" applyAlignment="1"/>
    <xf numFmtId="0" fontId="96" fillId="0" borderId="35" xfId="22" applyFont="1" applyBorder="1" applyAlignment="1"/>
    <xf numFmtId="0" fontId="16" fillId="0" borderId="131" xfId="11" applyFont="1" applyFill="1" applyBorder="1" applyAlignment="1" applyProtection="1">
      <alignment vertical="center" wrapText="1"/>
    </xf>
    <xf numFmtId="0" fontId="16" fillId="0" borderId="110" xfId="11" applyFont="1" applyFill="1" applyBorder="1" applyAlignment="1" applyProtection="1">
      <alignment vertical="center" wrapText="1"/>
    </xf>
    <xf numFmtId="0" fontId="16" fillId="0" borderId="22" xfId="11" applyFont="1" applyFill="1" applyBorder="1" applyAlignment="1" applyProtection="1">
      <alignment vertical="center" wrapText="1"/>
    </xf>
    <xf numFmtId="9" fontId="50" fillId="0" borderId="178" xfId="11" applyNumberFormat="1" applyFont="1" applyFill="1" applyBorder="1" applyAlignment="1">
      <alignment vertical="center" wrapText="1"/>
    </xf>
    <xf numFmtId="9" fontId="50" fillId="0" borderId="179" xfId="11" applyNumberFormat="1" applyFont="1" applyFill="1" applyBorder="1" applyAlignment="1">
      <alignment vertical="center" wrapText="1"/>
    </xf>
    <xf numFmtId="9" fontId="50" fillId="0" borderId="180" xfId="11" applyNumberFormat="1" applyFont="1" applyFill="1" applyBorder="1" applyAlignment="1">
      <alignment vertical="center" wrapText="1"/>
    </xf>
    <xf numFmtId="0" fontId="7" fillId="3" borderId="206" xfId="6" applyFont="1" applyFill="1" applyBorder="1" applyAlignment="1" applyProtection="1">
      <alignment vertical="center"/>
    </xf>
    <xf numFmtId="0" fontId="7" fillId="3" borderId="145" xfId="6" applyFont="1" applyFill="1" applyBorder="1" applyAlignment="1" applyProtection="1">
      <alignment vertical="center"/>
    </xf>
    <xf numFmtId="0" fontId="7" fillId="3" borderId="15" xfId="11" applyFont="1" applyFill="1" applyBorder="1" applyAlignment="1" applyProtection="1">
      <alignment horizontal="center" vertical="center"/>
    </xf>
    <xf numFmtId="0" fontId="7" fillId="3" borderId="145" xfId="11" applyFont="1" applyFill="1" applyBorder="1" applyAlignment="1" applyProtection="1">
      <alignment horizontal="center" vertical="center"/>
    </xf>
    <xf numFmtId="0" fontId="7" fillId="3" borderId="20" xfId="11" applyFont="1" applyFill="1" applyBorder="1" applyAlignment="1" applyProtection="1">
      <alignment horizontal="center" vertical="center"/>
    </xf>
    <xf numFmtId="0" fontId="7" fillId="3" borderId="16" xfId="11" applyFont="1" applyFill="1" applyBorder="1" applyAlignment="1" applyProtection="1">
      <alignment horizontal="center" vertical="center"/>
    </xf>
    <xf numFmtId="0" fontId="7" fillId="3" borderId="280" xfId="11" applyFont="1" applyFill="1" applyBorder="1" applyAlignment="1" applyProtection="1">
      <alignment horizontal="center" vertical="center"/>
    </xf>
    <xf numFmtId="0" fontId="7" fillId="3" borderId="21" xfId="11" applyFont="1" applyFill="1" applyBorder="1" applyAlignment="1" applyProtection="1">
      <alignment horizontal="center" vertical="center"/>
    </xf>
    <xf numFmtId="0" fontId="7" fillId="3" borderId="33" xfId="11" applyFont="1" applyFill="1" applyBorder="1" applyAlignment="1" applyProtection="1">
      <alignment horizontal="center" vertical="center" wrapText="1"/>
    </xf>
    <xf numFmtId="0" fontId="7" fillId="3" borderId="34" xfId="11" applyFont="1" applyFill="1" applyBorder="1" applyAlignment="1" applyProtection="1">
      <alignment horizontal="center" vertical="center" wrapText="1"/>
    </xf>
    <xf numFmtId="0" fontId="7" fillId="3" borderId="35" xfId="11" applyFont="1" applyFill="1" applyBorder="1" applyAlignment="1" applyProtection="1">
      <alignment horizontal="center" vertical="center" wrapText="1"/>
    </xf>
    <xf numFmtId="0" fontId="24" fillId="3" borderId="169" xfId="0" applyNumberFormat="1" applyFont="1" applyFill="1" applyBorder="1" applyAlignment="1" applyProtection="1">
      <alignment vertical="center"/>
    </xf>
    <xf numFmtId="0" fontId="24" fillId="3" borderId="170" xfId="0" applyNumberFormat="1" applyFont="1" applyFill="1" applyBorder="1" applyAlignment="1" applyProtection="1">
      <alignment vertical="center"/>
    </xf>
    <xf numFmtId="0" fontId="24" fillId="3" borderId="171" xfId="0" applyNumberFormat="1" applyFont="1" applyFill="1" applyBorder="1" applyAlignment="1" applyProtection="1">
      <alignment vertical="center"/>
    </xf>
    <xf numFmtId="9" fontId="65" fillId="0" borderId="172" xfId="11" applyNumberFormat="1" applyFont="1" applyFill="1" applyBorder="1" applyAlignment="1">
      <alignment vertical="center" wrapText="1"/>
    </xf>
    <xf numFmtId="9" fontId="65" fillId="0" borderId="173" xfId="11" applyNumberFormat="1" applyFont="1" applyFill="1" applyBorder="1" applyAlignment="1">
      <alignment vertical="center" wrapText="1"/>
    </xf>
    <xf numFmtId="9" fontId="65" fillId="0" borderId="174" xfId="11" applyNumberFormat="1" applyFont="1" applyFill="1" applyBorder="1" applyAlignment="1">
      <alignment vertical="center" wrapText="1"/>
    </xf>
    <xf numFmtId="0" fontId="7" fillId="3" borderId="55" xfId="11" applyFont="1" applyFill="1" applyBorder="1" applyAlignment="1" applyProtection="1">
      <alignment horizontal="center" vertical="center"/>
    </xf>
    <xf numFmtId="0" fontId="7" fillId="3" borderId="53" xfId="11" applyFont="1" applyFill="1" applyBorder="1" applyAlignment="1" applyProtection="1">
      <alignment horizontal="center" vertical="center"/>
    </xf>
    <xf numFmtId="0" fontId="7" fillId="3" borderId="61" xfId="11" applyFont="1" applyFill="1" applyBorder="1" applyAlignment="1" applyProtection="1">
      <alignment horizontal="center" vertical="center"/>
    </xf>
    <xf numFmtId="0" fontId="7" fillId="3" borderId="265" xfId="6" applyFont="1" applyFill="1" applyBorder="1" applyAlignment="1" applyProtection="1">
      <alignment horizontal="center" vertical="center" wrapText="1"/>
    </xf>
    <xf numFmtId="0" fontId="46" fillId="0" borderId="154" xfId="17" applyBorder="1" applyAlignment="1" applyProtection="1">
      <alignment horizontal="center" vertical="center" wrapText="1"/>
    </xf>
    <xf numFmtId="0" fontId="46" fillId="0" borderId="155" xfId="17" applyBorder="1" applyAlignment="1" applyProtection="1">
      <alignment horizontal="center" vertical="center" wrapText="1"/>
    </xf>
    <xf numFmtId="0" fontId="7" fillId="3" borderId="156" xfId="6" applyFont="1" applyFill="1" applyBorder="1" applyAlignment="1" applyProtection="1">
      <alignment horizontal="center" vertical="center" wrapText="1"/>
    </xf>
    <xf numFmtId="0" fontId="46" fillId="0" borderId="15" xfId="17" applyBorder="1" applyAlignment="1" applyProtection="1">
      <alignment horizontal="center" vertical="center" wrapText="1"/>
    </xf>
    <xf numFmtId="0" fontId="46" fillId="0" borderId="52" xfId="17" applyBorder="1" applyAlignment="1" applyProtection="1">
      <alignment horizontal="center" vertical="center" wrapText="1"/>
    </xf>
    <xf numFmtId="0" fontId="46" fillId="0" borderId="23" xfId="17" applyBorder="1" applyAlignment="1" applyProtection="1">
      <alignment horizontal="center" vertical="center" wrapText="1"/>
    </xf>
    <xf numFmtId="0" fontId="46" fillId="0" borderId="16" xfId="17" applyBorder="1" applyAlignment="1" applyProtection="1">
      <alignment horizontal="center" vertical="center" wrapText="1"/>
    </xf>
    <xf numFmtId="0" fontId="7" fillId="3" borderId="36" xfId="6" applyFont="1" applyFill="1" applyBorder="1" applyAlignment="1" applyProtection="1">
      <alignment horizontal="center" vertical="center" wrapText="1"/>
    </xf>
    <xf numFmtId="0" fontId="7" fillId="3" borderId="183" xfId="6" applyFont="1" applyFill="1" applyBorder="1" applyAlignment="1" applyProtection="1">
      <alignment horizontal="center" vertical="center"/>
    </xf>
    <xf numFmtId="0" fontId="46" fillId="0" borderId="271" xfId="17" applyBorder="1" applyAlignment="1" applyProtection="1">
      <alignment horizontal="center" vertical="center"/>
    </xf>
    <xf numFmtId="9" fontId="51" fillId="0" borderId="118" xfId="11" applyNumberFormat="1" applyFont="1" applyFill="1" applyBorder="1" applyAlignment="1">
      <alignment horizontal="left" vertical="top" wrapText="1"/>
    </xf>
    <xf numFmtId="9" fontId="51" fillId="0" borderId="42" xfId="11" applyNumberFormat="1" applyFont="1" applyFill="1" applyBorder="1" applyAlignment="1">
      <alignment horizontal="left" vertical="top" wrapText="1"/>
    </xf>
    <xf numFmtId="9" fontId="51" fillId="0" borderId="126" xfId="11" applyNumberFormat="1" applyFont="1" applyFill="1" applyBorder="1" applyAlignment="1">
      <alignment horizontal="left" vertical="top" wrapText="1"/>
    </xf>
    <xf numFmtId="9" fontId="51" fillId="0" borderId="40" xfId="11" applyNumberFormat="1" applyFont="1" applyFill="1" applyBorder="1" applyAlignment="1">
      <alignment horizontal="left" vertical="top" wrapText="1"/>
    </xf>
    <xf numFmtId="9" fontId="51" fillId="0" borderId="45" xfId="11" applyNumberFormat="1" applyFont="1" applyFill="1" applyBorder="1" applyAlignment="1">
      <alignment horizontal="left" vertical="top" wrapText="1"/>
    </xf>
    <xf numFmtId="9" fontId="51" fillId="0" borderId="27" xfId="11" applyNumberFormat="1" applyFont="1" applyFill="1" applyBorder="1" applyAlignment="1">
      <alignment horizontal="left" vertical="top" wrapText="1"/>
    </xf>
    <xf numFmtId="9" fontId="51" fillId="0" borderId="38" xfId="11" applyNumberFormat="1" applyFont="1" applyFill="1" applyBorder="1" applyAlignment="1">
      <alignment vertical="top" wrapText="1"/>
    </xf>
    <xf numFmtId="9" fontId="51" fillId="0" borderId="29" xfId="11" applyNumberFormat="1" applyFont="1" applyFill="1" applyBorder="1" applyAlignment="1">
      <alignment vertical="top" wrapText="1"/>
    </xf>
    <xf numFmtId="9" fontId="51" fillId="0" borderId="26" xfId="11" applyNumberFormat="1" applyFont="1" applyFill="1" applyBorder="1" applyAlignment="1">
      <alignment vertical="top" wrapText="1"/>
    </xf>
    <xf numFmtId="9" fontId="16" fillId="0" borderId="38" xfId="11" applyNumberFormat="1" applyFont="1" applyFill="1" applyBorder="1" applyAlignment="1">
      <alignment vertical="top" wrapText="1"/>
    </xf>
    <xf numFmtId="9" fontId="16" fillId="0" borderId="29" xfId="11" applyNumberFormat="1" applyFont="1" applyFill="1" applyBorder="1" applyAlignment="1">
      <alignment vertical="top" wrapText="1"/>
    </xf>
    <xf numFmtId="9" fontId="16" fillId="0" borderId="26" xfId="11" applyNumberFormat="1" applyFont="1" applyFill="1" applyBorder="1" applyAlignment="1">
      <alignment vertical="top" wrapText="1"/>
    </xf>
    <xf numFmtId="0" fontId="46" fillId="0" borderId="23" xfId="17" applyBorder="1" applyAlignment="1">
      <alignment horizontal="center" vertical="center" wrapText="1"/>
    </xf>
    <xf numFmtId="0" fontId="24" fillId="3" borderId="33" xfId="11" applyFont="1" applyFill="1" applyBorder="1" applyAlignment="1" applyProtection="1">
      <alignment vertical="center"/>
    </xf>
    <xf numFmtId="0" fontId="46" fillId="0" borderId="34" xfId="22" applyBorder="1" applyAlignment="1"/>
    <xf numFmtId="0" fontId="46" fillId="0" borderId="35" xfId="22" applyBorder="1" applyAlignment="1"/>
    <xf numFmtId="9" fontId="65" fillId="0" borderId="6" xfId="11" applyNumberFormat="1" applyFont="1" applyFill="1" applyBorder="1" applyAlignment="1">
      <alignment horizontal="left" vertical="center" wrapText="1"/>
    </xf>
    <xf numFmtId="0" fontId="66" fillId="0" borderId="6" xfId="22" applyFont="1" applyBorder="1" applyAlignment="1">
      <alignment horizontal="left" vertical="center" wrapText="1"/>
    </xf>
    <xf numFmtId="0" fontId="66" fillId="0" borderId="7" xfId="22" applyFont="1" applyBorder="1" applyAlignment="1">
      <alignment horizontal="left" vertical="center" wrapText="1"/>
    </xf>
    <xf numFmtId="9" fontId="51" fillId="0" borderId="52" xfId="11" applyNumberFormat="1" applyFont="1" applyFill="1" applyBorder="1" applyAlignment="1">
      <alignment horizontal="left" vertical="top" wrapText="1"/>
    </xf>
    <xf numFmtId="9" fontId="51" fillId="0" borderId="53" xfId="11" applyNumberFormat="1" applyFont="1" applyFill="1" applyBorder="1" applyAlignment="1">
      <alignment horizontal="left" vertical="top" wrapText="1"/>
    </xf>
    <xf numFmtId="9" fontId="51" fillId="0" borderId="17" xfId="11" applyNumberFormat="1" applyFont="1" applyFill="1" applyBorder="1" applyAlignment="1">
      <alignment horizontal="left" vertical="top" wrapText="1"/>
    </xf>
    <xf numFmtId="0" fontId="7" fillId="3" borderId="55" xfId="11" applyFont="1" applyFill="1" applyBorder="1" applyAlignment="1" applyProtection="1">
      <alignment horizontal="center" vertical="center" wrapText="1"/>
    </xf>
    <xf numFmtId="0" fontId="7" fillId="3" borderId="53" xfId="11" applyFont="1" applyFill="1" applyBorder="1" applyAlignment="1" applyProtection="1">
      <alignment horizontal="center" vertical="center" wrapText="1"/>
    </xf>
    <xf numFmtId="0" fontId="7" fillId="3" borderId="61" xfId="11" applyFont="1" applyFill="1" applyBorder="1" applyAlignment="1" applyProtection="1">
      <alignment horizontal="center" vertical="center" wrapText="1"/>
    </xf>
    <xf numFmtId="0" fontId="7" fillId="3" borderId="264" xfId="6" applyFont="1" applyFill="1" applyBorder="1" applyAlignment="1" applyProtection="1">
      <alignment horizontal="center" vertical="center" wrapText="1"/>
    </xf>
    <xf numFmtId="0" fontId="7" fillId="3" borderId="266" xfId="6" applyFont="1" applyFill="1" applyBorder="1" applyAlignment="1" applyProtection="1">
      <alignment horizontal="center" vertical="center" wrapText="1"/>
    </xf>
    <xf numFmtId="0" fontId="7" fillId="3" borderId="272" xfId="6" applyFont="1" applyFill="1" applyBorder="1" applyAlignment="1" applyProtection="1">
      <alignment horizontal="center" vertical="center" wrapText="1"/>
    </xf>
    <xf numFmtId="0" fontId="7" fillId="3" borderId="33" xfId="11" applyFont="1" applyFill="1" applyBorder="1" applyAlignment="1" applyProtection="1">
      <alignment vertical="center"/>
    </xf>
    <xf numFmtId="0" fontId="7" fillId="3" borderId="61" xfId="11" applyFont="1" applyFill="1" applyBorder="1" applyAlignment="1" applyProtection="1">
      <alignment vertical="center"/>
    </xf>
    <xf numFmtId="9" fontId="16" fillId="0" borderId="33" xfId="11" applyNumberFormat="1" applyFont="1" applyFill="1" applyBorder="1" applyAlignment="1">
      <alignment vertical="center" wrapText="1"/>
    </xf>
    <xf numFmtId="9" fontId="16" fillId="0" borderId="34" xfId="11" applyNumberFormat="1" applyFont="1" applyFill="1" applyBorder="1" applyAlignment="1">
      <alignment vertical="center" wrapText="1"/>
    </xf>
    <xf numFmtId="9" fontId="16" fillId="0" borderId="35" xfId="11" applyNumberFormat="1" applyFont="1" applyFill="1" applyBorder="1" applyAlignment="1">
      <alignment vertical="center" wrapText="1"/>
    </xf>
    <xf numFmtId="0" fontId="23" fillId="0" borderId="152" xfId="11" applyFont="1" applyFill="1" applyBorder="1" applyAlignment="1" applyProtection="1">
      <alignment horizontal="left" vertical="top" wrapText="1"/>
    </xf>
    <xf numFmtId="0" fontId="23" fillId="0" borderId="80" xfId="11" applyFont="1" applyFill="1" applyBorder="1" applyAlignment="1" applyProtection="1">
      <alignment horizontal="left" vertical="top" wrapText="1"/>
    </xf>
    <xf numFmtId="0" fontId="46" fillId="0" borderId="80" xfId="22" applyBorder="1" applyAlignment="1"/>
    <xf numFmtId="0" fontId="46" fillId="0" borderId="81" xfId="22" applyBorder="1" applyAlignment="1"/>
    <xf numFmtId="0" fontId="7" fillId="3" borderId="2" xfId="11" applyFont="1" applyFill="1" applyBorder="1" applyAlignment="1" applyProtection="1">
      <alignment vertical="center"/>
    </xf>
    <xf numFmtId="0" fontId="7" fillId="3" borderId="3" xfId="11" applyFont="1" applyFill="1" applyBorder="1" applyAlignment="1" applyProtection="1">
      <alignment vertical="center"/>
    </xf>
    <xf numFmtId="0" fontId="92" fillId="3" borderId="34" xfId="9" applyFont="1" applyFill="1" applyBorder="1" applyAlignment="1" applyProtection="1">
      <alignment vertical="center"/>
    </xf>
    <xf numFmtId="0" fontId="92" fillId="3" borderId="35" xfId="9" applyFont="1" applyFill="1" applyBorder="1" applyAlignment="1" applyProtection="1">
      <alignment vertical="center"/>
    </xf>
    <xf numFmtId="0" fontId="23" fillId="0" borderId="81" xfId="11" applyFont="1" applyFill="1" applyBorder="1" applyAlignment="1" applyProtection="1">
      <alignment horizontal="left" vertical="top" wrapText="1"/>
    </xf>
    <xf numFmtId="0" fontId="9" fillId="0" borderId="33" xfId="0" applyFont="1" applyBorder="1" applyAlignment="1">
      <alignment vertical="top" wrapText="1"/>
    </xf>
    <xf numFmtId="0" fontId="0" fillId="0" borderId="34" xfId="0" applyBorder="1" applyAlignment="1">
      <alignment vertical="top" wrapText="1"/>
    </xf>
    <xf numFmtId="0" fontId="0" fillId="0" borderId="35" xfId="0" applyBorder="1" applyAlignment="1">
      <alignment vertical="top" wrapText="1"/>
    </xf>
    <xf numFmtId="0" fontId="9" fillId="0" borderId="41"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55" xfId="0" applyFont="1" applyBorder="1" applyAlignment="1">
      <alignment horizontal="left" vertical="top" wrapText="1"/>
    </xf>
    <xf numFmtId="0" fontId="9" fillId="0" borderId="53" xfId="0" applyFont="1" applyBorder="1" applyAlignment="1">
      <alignment horizontal="left" vertical="top" wrapText="1"/>
    </xf>
    <xf numFmtId="0" fontId="9" fillId="0" borderId="17" xfId="0" applyFont="1" applyBorder="1" applyAlignment="1">
      <alignment horizontal="left" vertical="top" wrapText="1"/>
    </xf>
    <xf numFmtId="0" fontId="0" fillId="0" borderId="146" xfId="0" applyBorder="1" applyAlignment="1">
      <alignment vertical="top"/>
    </xf>
    <xf numFmtId="0" fontId="0" fillId="0" borderId="0" xfId="0" applyBorder="1" applyAlignment="1">
      <alignment vertical="top"/>
    </xf>
    <xf numFmtId="0" fontId="0" fillId="0" borderId="147" xfId="0" applyBorder="1" applyAlignment="1">
      <alignment vertical="top"/>
    </xf>
    <xf numFmtId="0" fontId="0" fillId="0" borderId="131" xfId="0" applyBorder="1" applyAlignment="1">
      <alignment vertical="top"/>
    </xf>
    <xf numFmtId="0" fontId="0" fillId="0" borderId="110" xfId="0" applyBorder="1" applyAlignment="1">
      <alignment vertical="top"/>
    </xf>
    <xf numFmtId="0" fontId="0" fillId="0" borderId="22" xfId="0" applyBorder="1" applyAlignment="1">
      <alignment vertical="top"/>
    </xf>
    <xf numFmtId="0" fontId="23" fillId="0" borderId="152" xfId="11" applyFont="1" applyFill="1" applyBorder="1" applyAlignment="1" applyProtection="1">
      <alignment horizontal="left" vertical="center" wrapText="1"/>
    </xf>
    <xf numFmtId="0" fontId="23" fillId="0" borderId="80" xfId="11" applyFont="1" applyFill="1" applyBorder="1" applyAlignment="1" applyProtection="1">
      <alignment horizontal="left" vertical="center" wrapText="1"/>
    </xf>
    <xf numFmtId="0" fontId="23" fillId="0" borderId="81" xfId="11" applyFont="1" applyFill="1" applyBorder="1" applyAlignment="1" applyProtection="1">
      <alignment horizontal="left" vertical="center" wrapText="1"/>
    </xf>
    <xf numFmtId="0" fontId="59" fillId="0" borderId="152" xfId="11" applyFont="1" applyFill="1" applyBorder="1" applyAlignment="1" applyProtection="1">
      <alignment horizontal="left" vertical="top" wrapText="1"/>
    </xf>
    <xf numFmtId="0" fontId="30" fillId="0" borderId="61" xfId="0" applyFont="1" applyBorder="1" applyAlignment="1">
      <alignment vertical="top" wrapText="1"/>
    </xf>
    <xf numFmtId="0" fontId="30" fillId="0" borderId="3" xfId="0" applyFont="1" applyBorder="1" applyAlignment="1">
      <alignment vertical="top" wrapText="1"/>
    </xf>
    <xf numFmtId="0" fontId="30" fillId="0" borderId="4" xfId="0" applyFont="1" applyBorder="1" applyAlignment="1">
      <alignment vertical="top" wrapText="1"/>
    </xf>
    <xf numFmtId="0" fontId="84" fillId="0" borderId="304" xfId="0" applyFont="1" applyBorder="1" applyAlignment="1">
      <alignment horizontal="center" vertical="center" wrapText="1"/>
    </xf>
    <xf numFmtId="0" fontId="84" fillId="0" borderId="305" xfId="0" applyFont="1" applyBorder="1" applyAlignment="1">
      <alignment horizontal="center" vertical="center" wrapText="1"/>
    </xf>
    <xf numFmtId="0" fontId="84" fillId="0" borderId="310" xfId="0" applyFont="1" applyBorder="1" applyAlignment="1">
      <alignment horizontal="center" vertical="center" wrapText="1"/>
    </xf>
    <xf numFmtId="0" fontId="84" fillId="0" borderId="222" xfId="0" applyFont="1" applyBorder="1" applyAlignment="1">
      <alignment horizontal="center" vertical="center" wrapText="1"/>
    </xf>
    <xf numFmtId="0" fontId="84" fillId="0" borderId="223" xfId="0" applyFont="1" applyBorder="1" applyAlignment="1">
      <alignment horizontal="center" vertical="center" wrapText="1"/>
    </xf>
    <xf numFmtId="0" fontId="84" fillId="0" borderId="311" xfId="0" applyFont="1" applyBorder="1" applyAlignment="1">
      <alignment horizontal="center" vertical="center" wrapText="1"/>
    </xf>
    <xf numFmtId="0" fontId="84" fillId="0" borderId="312" xfId="0" applyFont="1" applyBorder="1" applyAlignment="1">
      <alignment horizontal="center" vertical="center" wrapText="1"/>
    </xf>
    <xf numFmtId="0" fontId="84" fillId="0" borderId="300" xfId="0" applyFont="1" applyBorder="1" applyAlignment="1">
      <alignment horizontal="center" vertical="center" wrapText="1"/>
    </xf>
    <xf numFmtId="0" fontId="84" fillId="0" borderId="235" xfId="0" applyFont="1" applyBorder="1" applyAlignment="1">
      <alignment horizontal="center" vertical="center" wrapText="1"/>
    </xf>
    <xf numFmtId="0" fontId="84" fillId="0" borderId="236" xfId="0" applyFont="1" applyBorder="1" applyAlignment="1">
      <alignment horizontal="center" vertical="center" wrapText="1"/>
    </xf>
    <xf numFmtId="0" fontId="24" fillId="3" borderId="34" xfId="11" applyFont="1" applyFill="1" applyBorder="1" applyAlignment="1" applyProtection="1">
      <alignment vertical="center"/>
    </xf>
    <xf numFmtId="0" fontId="24" fillId="3" borderId="35" xfId="11" applyFont="1" applyFill="1" applyBorder="1" applyAlignment="1" applyProtection="1">
      <alignment vertical="center"/>
    </xf>
    <xf numFmtId="0" fontId="85" fillId="0" borderId="301" xfId="11" applyFont="1" applyFill="1" applyBorder="1" applyAlignment="1" applyProtection="1">
      <alignment horizontal="center" vertical="top" wrapText="1"/>
    </xf>
    <xf numFmtId="0" fontId="3" fillId="0" borderId="302" xfId="0" applyFont="1" applyBorder="1" applyAlignment="1">
      <alignment horizontal="center" vertical="top"/>
    </xf>
    <xf numFmtId="0" fontId="3" fillId="0" borderId="303" xfId="0" applyFont="1" applyBorder="1" applyAlignment="1">
      <alignment horizontal="center" vertical="top"/>
    </xf>
    <xf numFmtId="0" fontId="84" fillId="0" borderId="307" xfId="0" applyFont="1" applyBorder="1" applyAlignment="1">
      <alignment horizontal="center" vertical="center" wrapText="1"/>
    </xf>
    <xf numFmtId="0" fontId="84" fillId="0" borderId="308" xfId="0" applyFont="1" applyBorder="1" applyAlignment="1">
      <alignment horizontal="center" vertical="center" wrapText="1"/>
    </xf>
    <xf numFmtId="0" fontId="84" fillId="0" borderId="309" xfId="0" applyFont="1" applyBorder="1" applyAlignment="1">
      <alignment horizontal="center" vertical="center" wrapText="1"/>
    </xf>
    <xf numFmtId="0" fontId="23" fillId="0" borderId="33" xfId="11" applyFont="1" applyFill="1" applyBorder="1" applyAlignment="1" applyProtection="1">
      <alignment vertical="top" wrapText="1"/>
    </xf>
    <xf numFmtId="0" fontId="20" fillId="0" borderId="33" xfId="11" applyFont="1" applyFill="1" applyBorder="1" applyAlignment="1" applyProtection="1">
      <alignment horizontal="left" vertical="top" wrapText="1" indent="1"/>
    </xf>
    <xf numFmtId="0" fontId="0" fillId="0" borderId="34" xfId="0" applyBorder="1" applyAlignment="1">
      <alignment horizontal="left" vertical="top" indent="1"/>
    </xf>
    <xf numFmtId="0" fontId="0" fillId="0" borderId="35" xfId="0" applyBorder="1" applyAlignment="1">
      <alignment horizontal="left" vertical="top" indent="1"/>
    </xf>
    <xf numFmtId="9" fontId="51" fillId="0" borderId="317" xfId="11" applyNumberFormat="1" applyFont="1" applyFill="1" applyBorder="1" applyAlignment="1">
      <alignment vertical="center" wrapText="1"/>
    </xf>
    <xf numFmtId="9" fontId="51" fillId="0" borderId="0" xfId="11" applyNumberFormat="1" applyFont="1" applyFill="1" applyBorder="1" applyAlignment="1">
      <alignment vertical="center" wrapText="1"/>
    </xf>
    <xf numFmtId="9" fontId="51" fillId="0" borderId="147" xfId="11" applyNumberFormat="1" applyFont="1" applyFill="1" applyBorder="1" applyAlignment="1">
      <alignment vertical="center" wrapText="1"/>
    </xf>
    <xf numFmtId="0" fontId="23" fillId="0" borderId="33" xfId="11" applyFont="1" applyFill="1" applyBorder="1" applyAlignment="1" applyProtection="1">
      <alignment horizontal="left" vertical="top"/>
    </xf>
    <xf numFmtId="0" fontId="0" fillId="0" borderId="35" xfId="0" applyBorder="1" applyAlignment="1">
      <alignment horizontal="left" vertical="top"/>
    </xf>
    <xf numFmtId="0" fontId="0" fillId="0" borderId="34" xfId="0" applyBorder="1" applyAlignment="1">
      <alignment horizontal="left" vertical="top"/>
    </xf>
    <xf numFmtId="9" fontId="51" fillId="0" borderId="51" xfId="11" applyNumberFormat="1" applyFont="1" applyFill="1" applyBorder="1" applyAlignment="1">
      <alignment vertical="center" wrapText="1"/>
    </xf>
    <xf numFmtId="9" fontId="51" fillId="0" borderId="110" xfId="11" applyNumberFormat="1" applyFont="1" applyFill="1" applyBorder="1" applyAlignment="1">
      <alignment vertical="center" wrapText="1"/>
    </xf>
    <xf numFmtId="9" fontId="51" fillId="0" borderId="22" xfId="11" applyNumberFormat="1" applyFont="1" applyFill="1" applyBorder="1" applyAlignment="1">
      <alignment vertical="center" wrapText="1"/>
    </xf>
    <xf numFmtId="0" fontId="9" fillId="0" borderId="146" xfId="0" applyFont="1" applyFill="1" applyBorder="1" applyAlignment="1">
      <alignment vertical="center" wrapText="1"/>
    </xf>
    <xf numFmtId="0" fontId="9" fillId="0" borderId="0" xfId="0" applyFont="1" applyFill="1" applyBorder="1" applyAlignment="1">
      <alignment vertical="center" wrapText="1"/>
    </xf>
    <xf numFmtId="0" fontId="9" fillId="0" borderId="147" xfId="0" applyFont="1" applyFill="1" applyBorder="1" applyAlignment="1">
      <alignment vertical="center" wrapText="1"/>
    </xf>
    <xf numFmtId="0" fontId="92" fillId="3" borderId="34" xfId="11" applyFont="1" applyFill="1" applyBorder="1" applyAlignment="1" applyProtection="1">
      <alignment vertical="center"/>
    </xf>
    <xf numFmtId="0" fontId="92" fillId="3" borderId="35" xfId="11" applyFont="1" applyFill="1" applyBorder="1" applyAlignment="1" applyProtection="1">
      <alignment vertical="center"/>
    </xf>
    <xf numFmtId="0" fontId="7" fillId="3" borderId="33" xfId="22" applyFont="1" applyFill="1" applyBorder="1" applyAlignment="1"/>
    <xf numFmtId="0" fontId="7" fillId="3" borderId="34" xfId="22" applyFont="1" applyFill="1" applyBorder="1" applyAlignment="1"/>
    <xf numFmtId="0" fontId="7" fillId="3" borderId="35" xfId="22" applyFont="1" applyFill="1" applyBorder="1" applyAlignment="1"/>
    <xf numFmtId="9" fontId="65" fillId="0" borderId="317" xfId="11" applyNumberFormat="1" applyFont="1" applyFill="1" applyBorder="1" applyAlignment="1">
      <alignment vertical="center" wrapText="1"/>
    </xf>
    <xf numFmtId="9" fontId="65" fillId="0" borderId="0" xfId="11" applyNumberFormat="1" applyFont="1" applyFill="1" applyBorder="1" applyAlignment="1">
      <alignment vertical="center" wrapText="1"/>
    </xf>
    <xf numFmtId="9" fontId="65" fillId="0" borderId="147" xfId="11" applyNumberFormat="1" applyFont="1" applyFill="1" applyBorder="1" applyAlignment="1">
      <alignment vertical="center" wrapText="1"/>
    </xf>
    <xf numFmtId="0" fontId="24" fillId="3" borderId="53" xfId="11" applyFont="1" applyFill="1" applyBorder="1" applyAlignment="1" applyProtection="1">
      <alignment vertical="center"/>
    </xf>
    <xf numFmtId="0" fontId="24" fillId="3" borderId="17" xfId="11" applyFont="1" applyFill="1" applyBorder="1" applyAlignment="1" applyProtection="1">
      <alignment vertical="center"/>
    </xf>
    <xf numFmtId="0" fontId="7" fillId="3" borderId="33" xfId="22" applyFont="1" applyFill="1" applyBorder="1" applyAlignment="1">
      <alignment wrapText="1"/>
    </xf>
    <xf numFmtId="0" fontId="7" fillId="3" borderId="34" xfId="22" applyFont="1" applyFill="1" applyBorder="1" applyAlignment="1">
      <alignment wrapText="1"/>
    </xf>
    <xf numFmtId="0" fontId="7" fillId="3" borderId="35" xfId="22" applyFont="1" applyFill="1" applyBorder="1" applyAlignment="1">
      <alignment wrapText="1"/>
    </xf>
    <xf numFmtId="9" fontId="78" fillId="0" borderId="57" xfId="11" applyNumberFormat="1" applyFont="1" applyFill="1" applyBorder="1" applyAlignment="1">
      <alignment horizontal="left" vertical="top" wrapText="1"/>
    </xf>
    <xf numFmtId="9" fontId="78" fillId="0" borderId="45" xfId="11" applyNumberFormat="1" applyFont="1" applyFill="1" applyBorder="1" applyAlignment="1">
      <alignment horizontal="left" vertical="top" wrapText="1"/>
    </xf>
    <xf numFmtId="9" fontId="78" fillId="0" borderId="27" xfId="11" applyNumberFormat="1" applyFont="1" applyFill="1" applyBorder="1" applyAlignment="1">
      <alignment horizontal="left" vertical="top" wrapText="1"/>
    </xf>
    <xf numFmtId="9" fontId="78" fillId="0" borderId="38" xfId="11" applyNumberFormat="1" applyFont="1" applyFill="1" applyBorder="1" applyAlignment="1">
      <alignment horizontal="left" vertical="top" wrapText="1"/>
    </xf>
    <xf numFmtId="0" fontId="0" fillId="0" borderId="29" xfId="0" applyBorder="1" applyAlignment="1">
      <alignment horizontal="left" vertical="top"/>
    </xf>
    <xf numFmtId="0" fontId="0" fillId="0" borderId="201" xfId="0" applyBorder="1" applyAlignment="1">
      <alignment horizontal="left" vertical="top"/>
    </xf>
    <xf numFmtId="9" fontId="78" fillId="0" borderId="29" xfId="11" applyNumberFormat="1" applyFont="1" applyFill="1" applyBorder="1" applyAlignment="1">
      <alignment horizontal="left" vertical="top" wrapText="1"/>
    </xf>
    <xf numFmtId="9" fontId="78" fillId="0" borderId="201" xfId="11" applyNumberFormat="1" applyFont="1" applyFill="1" applyBorder="1" applyAlignment="1">
      <alignment horizontal="left" vertical="top" wrapText="1"/>
    </xf>
    <xf numFmtId="9" fontId="78" fillId="0" borderId="203" xfId="11" applyNumberFormat="1" applyFont="1" applyFill="1" applyBorder="1" applyAlignment="1">
      <alignment horizontal="left" vertical="top" wrapText="1"/>
    </xf>
    <xf numFmtId="9" fontId="78" fillId="0" borderId="204" xfId="11" applyNumberFormat="1" applyFont="1" applyFill="1" applyBorder="1" applyAlignment="1">
      <alignment horizontal="left" vertical="top" wrapText="1"/>
    </xf>
    <xf numFmtId="9" fontId="78" fillId="0" borderId="205" xfId="11" applyNumberFormat="1" applyFont="1" applyFill="1" applyBorder="1" applyAlignment="1">
      <alignment horizontal="left" vertical="top" wrapText="1"/>
    </xf>
    <xf numFmtId="0" fontId="12" fillId="0" borderId="54" xfId="11" applyFont="1" applyFill="1" applyBorder="1" applyAlignment="1" applyProtection="1">
      <alignment horizontal="left" vertical="center"/>
    </xf>
    <xf numFmtId="0" fontId="0" fillId="0" borderId="28" xfId="0" applyFont="1" applyBorder="1" applyAlignment="1">
      <alignment vertical="center"/>
    </xf>
    <xf numFmtId="0" fontId="0" fillId="0" borderId="24" xfId="0" applyFont="1" applyBorder="1" applyAlignment="1">
      <alignment vertical="center"/>
    </xf>
    <xf numFmtId="9" fontId="78" fillId="0" borderId="54" xfId="11" applyNumberFormat="1" applyFont="1" applyFill="1" applyBorder="1" applyAlignment="1">
      <alignment horizontal="left" vertical="top" wrapText="1"/>
    </xf>
    <xf numFmtId="9" fontId="78" fillId="0" borderId="28" xfId="11" applyNumberFormat="1" applyFont="1" applyFill="1" applyBorder="1" applyAlignment="1">
      <alignment horizontal="left" vertical="top" wrapText="1"/>
    </xf>
    <xf numFmtId="9" fontId="78" fillId="0" borderId="24" xfId="11" applyNumberFormat="1" applyFont="1" applyFill="1" applyBorder="1" applyAlignment="1">
      <alignment horizontal="left" vertical="top" wrapText="1"/>
    </xf>
    <xf numFmtId="9" fontId="78" fillId="0" borderId="56" xfId="11" applyNumberFormat="1" applyFont="1" applyFill="1" applyBorder="1" applyAlignment="1">
      <alignment horizontal="left" vertical="top" wrapText="1"/>
    </xf>
    <xf numFmtId="9" fontId="78" fillId="0" borderId="26" xfId="11" applyNumberFormat="1" applyFont="1" applyFill="1" applyBorder="1" applyAlignment="1">
      <alignment horizontal="left" vertical="top" wrapText="1"/>
    </xf>
    <xf numFmtId="0" fontId="0" fillId="0" borderId="29" xfId="0" applyBorder="1" applyAlignment="1">
      <alignment horizontal="left" vertical="top" wrapText="1"/>
    </xf>
    <xf numFmtId="0" fontId="0" fillId="0" borderId="201" xfId="0" applyBorder="1" applyAlignment="1">
      <alignment horizontal="left" vertical="top" wrapText="1"/>
    </xf>
    <xf numFmtId="9" fontId="78" fillId="0" borderId="38" xfId="11" applyNumberFormat="1" applyFont="1" applyFill="1" applyBorder="1" applyAlignment="1">
      <alignment horizontal="left" vertical="center" wrapText="1"/>
    </xf>
    <xf numFmtId="9" fontId="78" fillId="0" borderId="29" xfId="11" applyNumberFormat="1" applyFont="1" applyFill="1" applyBorder="1" applyAlignment="1">
      <alignment horizontal="left" vertical="center" wrapText="1"/>
    </xf>
    <xf numFmtId="9" fontId="78" fillId="0" borderId="26" xfId="11" applyNumberFormat="1" applyFont="1" applyFill="1" applyBorder="1" applyAlignment="1">
      <alignment horizontal="left" vertical="center" wrapText="1"/>
    </xf>
    <xf numFmtId="9" fontId="78" fillId="0" borderId="40" xfId="11" applyNumberFormat="1" applyFont="1" applyFill="1" applyBorder="1" applyAlignment="1">
      <alignment horizontal="left" vertical="center" wrapText="1"/>
    </xf>
    <xf numFmtId="9" fontId="78" fillId="0" borderId="45" xfId="11" applyNumberFormat="1" applyFont="1" applyFill="1" applyBorder="1" applyAlignment="1">
      <alignment horizontal="left" vertical="center" wrapText="1"/>
    </xf>
    <xf numFmtId="9" fontId="78" fillId="0" borderId="27" xfId="11" applyNumberFormat="1" applyFont="1" applyFill="1" applyBorder="1" applyAlignment="1">
      <alignment horizontal="left" vertical="center" wrapText="1"/>
    </xf>
    <xf numFmtId="9" fontId="78" fillId="0" borderId="197" xfId="11" applyNumberFormat="1" applyFont="1" applyFill="1" applyBorder="1" applyAlignment="1">
      <alignment horizontal="left" vertical="top" wrapText="1"/>
    </xf>
    <xf numFmtId="9" fontId="78" fillId="0" borderId="198" xfId="11" applyNumberFormat="1" applyFont="1" applyFill="1" applyBorder="1" applyAlignment="1">
      <alignment horizontal="left" vertical="top" wrapText="1"/>
    </xf>
    <xf numFmtId="9" fontId="78" fillId="0" borderId="199" xfId="11" applyNumberFormat="1" applyFont="1" applyFill="1" applyBorder="1" applyAlignment="1">
      <alignment horizontal="left" vertical="top" wrapText="1"/>
    </xf>
    <xf numFmtId="0" fontId="7" fillId="3" borderId="60" xfId="22" applyFont="1" applyFill="1" applyBorder="1" applyAlignment="1"/>
    <xf numFmtId="9" fontId="65" fillId="0" borderId="3" xfId="11" applyNumberFormat="1" applyFont="1" applyFill="1" applyBorder="1" applyAlignment="1">
      <alignment horizontal="left" vertical="center" wrapText="1"/>
    </xf>
    <xf numFmtId="0" fontId="66" fillId="0" borderId="3" xfId="0" applyFont="1" applyBorder="1" applyAlignment="1">
      <alignment horizontal="left" vertical="center" wrapText="1"/>
    </xf>
    <xf numFmtId="0" fontId="66" fillId="0" borderId="4" xfId="0" applyFont="1" applyBorder="1" applyAlignment="1">
      <alignment horizontal="left" vertical="center" wrapText="1"/>
    </xf>
    <xf numFmtId="9" fontId="78" fillId="0" borderId="36" xfId="11" applyNumberFormat="1" applyFont="1" applyFill="1" applyBorder="1" applyAlignment="1">
      <alignment horizontal="left" vertical="center" wrapText="1"/>
    </xf>
    <xf numFmtId="9" fontId="78" fillId="0" borderId="28" xfId="11" applyNumberFormat="1" applyFont="1" applyFill="1" applyBorder="1" applyAlignment="1">
      <alignment horizontal="left" vertical="center" wrapText="1"/>
    </xf>
    <xf numFmtId="9" fontId="78" fillId="0" borderId="24" xfId="11" applyNumberFormat="1" applyFont="1" applyFill="1" applyBorder="1" applyAlignment="1">
      <alignment horizontal="left" vertical="center" wrapText="1"/>
    </xf>
    <xf numFmtId="9" fontId="16" fillId="0" borderId="38" xfId="11" applyNumberFormat="1" applyFont="1" applyFill="1" applyBorder="1" applyAlignment="1">
      <alignment horizontal="left" vertical="center" wrapText="1"/>
    </xf>
    <xf numFmtId="9" fontId="16" fillId="0" borderId="29" xfId="11" applyNumberFormat="1" applyFont="1" applyFill="1" applyBorder="1" applyAlignment="1">
      <alignment horizontal="left" vertical="center" wrapText="1"/>
    </xf>
    <xf numFmtId="9" fontId="16" fillId="0" borderId="26" xfId="11" applyNumberFormat="1" applyFont="1" applyFill="1" applyBorder="1" applyAlignment="1">
      <alignment horizontal="left" vertical="center" wrapText="1"/>
    </xf>
    <xf numFmtId="0" fontId="9" fillId="0" borderId="55" xfId="0" applyFont="1" applyBorder="1" applyAlignment="1">
      <alignment vertical="top" wrapText="1"/>
    </xf>
    <xf numFmtId="0" fontId="9" fillId="0" borderId="53" xfId="0" applyFont="1" applyBorder="1" applyAlignment="1">
      <alignment vertical="top" wrapText="1"/>
    </xf>
    <xf numFmtId="0" fontId="9" fillId="0" borderId="17" xfId="0" applyFont="1" applyBorder="1" applyAlignment="1">
      <alignment vertical="top" wrapText="1"/>
    </xf>
    <xf numFmtId="0" fontId="9" fillId="0" borderId="146" xfId="0" applyFont="1" applyBorder="1" applyAlignment="1">
      <alignment vertical="top" wrapText="1"/>
    </xf>
    <xf numFmtId="0" fontId="9" fillId="0" borderId="0" xfId="0" applyFont="1" applyBorder="1" applyAlignment="1">
      <alignment vertical="top" wrapText="1"/>
    </xf>
    <xf numFmtId="0" fontId="9" fillId="0" borderId="147" xfId="0" applyFont="1" applyBorder="1" applyAlignment="1">
      <alignment vertical="top" wrapText="1"/>
    </xf>
    <xf numFmtId="0" fontId="9" fillId="0" borderId="131" xfId="0" applyFont="1" applyBorder="1" applyAlignment="1">
      <alignment vertical="top" wrapText="1"/>
    </xf>
    <xf numFmtId="0" fontId="9" fillId="0" borderId="110" xfId="0" applyFont="1" applyBorder="1" applyAlignment="1">
      <alignment vertical="top" wrapText="1"/>
    </xf>
    <xf numFmtId="0" fontId="9" fillId="0" borderId="22" xfId="0" applyFont="1" applyBorder="1" applyAlignment="1">
      <alignment vertical="top" wrapText="1"/>
    </xf>
    <xf numFmtId="0" fontId="78" fillId="0" borderId="85" xfId="11" applyNumberFormat="1" applyFont="1" applyFill="1" applyBorder="1" applyAlignment="1">
      <alignment horizontal="left" vertical="top" wrapText="1"/>
    </xf>
    <xf numFmtId="0" fontId="78" fillId="0" borderId="86" xfId="11" applyNumberFormat="1" applyFont="1" applyFill="1" applyBorder="1" applyAlignment="1">
      <alignment horizontal="left" vertical="top" wrapText="1"/>
    </xf>
    <xf numFmtId="0" fontId="78" fillId="0" borderId="77" xfId="11" applyNumberFormat="1" applyFont="1" applyFill="1" applyBorder="1" applyAlignment="1">
      <alignment horizontal="left" vertical="top" wrapText="1"/>
    </xf>
    <xf numFmtId="0" fontId="78" fillId="0" borderId="85" xfId="11" applyNumberFormat="1" applyFont="1" applyFill="1" applyBorder="1" applyAlignment="1">
      <alignment vertical="top" wrapText="1"/>
    </xf>
    <xf numFmtId="0" fontId="78" fillId="0" borderId="86" xfId="11" applyNumberFormat="1" applyFont="1" applyFill="1" applyBorder="1" applyAlignment="1">
      <alignment vertical="top" wrapText="1"/>
    </xf>
    <xf numFmtId="0" fontId="78" fillId="0" borderId="77" xfId="11" applyNumberFormat="1" applyFont="1" applyFill="1" applyBorder="1" applyAlignment="1">
      <alignment vertical="top" wrapText="1"/>
    </xf>
    <xf numFmtId="0" fontId="63" fillId="0" borderId="0" xfId="11" applyFont="1" applyFill="1" applyAlignment="1" applyProtection="1">
      <alignment vertical="center"/>
    </xf>
    <xf numFmtId="0" fontId="12" fillId="0" borderId="79" xfId="11" applyFont="1" applyFill="1" applyBorder="1" applyAlignment="1" applyProtection="1">
      <alignment vertical="center"/>
    </xf>
    <xf numFmtId="0" fontId="12" fillId="0" borderId="80" xfId="11" applyFont="1" applyFill="1" applyBorder="1" applyAlignment="1" applyProtection="1">
      <alignment vertical="center"/>
    </xf>
    <xf numFmtId="0" fontId="12" fillId="0" borderId="81" xfId="11" applyFont="1" applyFill="1" applyBorder="1" applyAlignment="1" applyProtection="1">
      <alignment vertical="center"/>
    </xf>
    <xf numFmtId="0" fontId="23" fillId="0" borderId="82" xfId="11" applyFont="1" applyFill="1" applyBorder="1" applyAlignment="1" applyProtection="1">
      <alignment vertical="top" wrapText="1"/>
    </xf>
    <xf numFmtId="0" fontId="23" fillId="0" borderId="83" xfId="11" applyFont="1" applyFill="1" applyBorder="1" applyAlignment="1" applyProtection="1">
      <alignment vertical="top" wrapText="1"/>
    </xf>
    <xf numFmtId="0" fontId="23" fillId="0" borderId="76" xfId="11" applyFont="1" applyFill="1" applyBorder="1" applyAlignment="1" applyProtection="1">
      <alignment vertical="top" wrapText="1"/>
    </xf>
    <xf numFmtId="0" fontId="46" fillId="0" borderId="34" xfId="22" applyBorder="1" applyAlignment="1" applyProtection="1">
      <alignment horizontal="center" vertical="center" wrapText="1"/>
    </xf>
    <xf numFmtId="0" fontId="46" fillId="0" borderId="35" xfId="22" applyBorder="1" applyAlignment="1" applyProtection="1">
      <alignment horizontal="center" vertical="center" wrapText="1"/>
    </xf>
    <xf numFmtId="0" fontId="46" fillId="0" borderId="57" xfId="22" applyBorder="1" applyAlignment="1" applyProtection="1">
      <alignment horizontal="center" vertical="center" wrapText="1"/>
    </xf>
    <xf numFmtId="0" fontId="46" fillId="0" borderId="7" xfId="22" applyBorder="1" applyAlignment="1" applyProtection="1">
      <alignment horizontal="center" vertical="center" wrapText="1"/>
    </xf>
    <xf numFmtId="0" fontId="46" fillId="0" borderId="28" xfId="22" applyBorder="1" applyAlignment="1" applyProtection="1">
      <alignment horizontal="center" vertical="center" wrapText="1"/>
    </xf>
    <xf numFmtId="0" fontId="46" fillId="0" borderId="37" xfId="22" applyBorder="1" applyAlignment="1" applyProtection="1">
      <alignment horizontal="center" vertical="center" wrapText="1"/>
    </xf>
    <xf numFmtId="0" fontId="7" fillId="3" borderId="31" xfId="6" applyFont="1" applyFill="1" applyBorder="1" applyAlignment="1" applyProtection="1">
      <alignment horizontal="center" vertical="center" wrapText="1"/>
    </xf>
    <xf numFmtId="0" fontId="46" fillId="0" borderId="30" xfId="22" applyBorder="1" applyAlignment="1" applyProtection="1">
      <alignment horizontal="center" vertical="center" wrapText="1"/>
    </xf>
    <xf numFmtId="0" fontId="46" fillId="0" borderId="6" xfId="22" applyBorder="1" applyAlignment="1" applyProtection="1">
      <alignment horizontal="center" vertical="center" wrapText="1"/>
    </xf>
    <xf numFmtId="0" fontId="46" fillId="0" borderId="36" xfId="22" applyBorder="1" applyAlignment="1" applyProtection="1">
      <alignment horizontal="center" vertical="center" wrapText="1"/>
    </xf>
    <xf numFmtId="0" fontId="46" fillId="0" borderId="53" xfId="22" applyBorder="1" applyAlignment="1" applyProtection="1">
      <alignment horizontal="center" vertical="center" wrapText="1"/>
    </xf>
    <xf numFmtId="0" fontId="46" fillId="0" borderId="17" xfId="22" applyBorder="1" applyAlignment="1" applyProtection="1">
      <alignment horizontal="center" vertical="center" wrapText="1"/>
    </xf>
    <xf numFmtId="0" fontId="16" fillId="0" borderId="33" xfId="0" applyFont="1" applyFill="1" applyBorder="1" applyAlignment="1">
      <alignment horizontal="left" vertical="center" wrapText="1"/>
    </xf>
    <xf numFmtId="0" fontId="16" fillId="0" borderId="34" xfId="0" applyFont="1" applyFill="1" applyBorder="1" applyAlignment="1">
      <alignment horizontal="left" vertical="center" wrapText="1"/>
    </xf>
    <xf numFmtId="0" fontId="16" fillId="0" borderId="35" xfId="0" applyFont="1" applyFill="1" applyBorder="1" applyAlignment="1">
      <alignment horizontal="left" vertical="center" wrapText="1"/>
    </xf>
    <xf numFmtId="0" fontId="78" fillId="0" borderId="6" xfId="11" applyNumberFormat="1" applyFont="1" applyFill="1" applyBorder="1" applyAlignment="1">
      <alignment horizontal="left" vertical="top" wrapText="1"/>
    </xf>
    <xf numFmtId="0" fontId="78" fillId="0" borderId="7" xfId="11" applyNumberFormat="1" applyFont="1" applyFill="1" applyBorder="1" applyAlignment="1">
      <alignment horizontal="left" vertical="top" wrapText="1"/>
    </xf>
    <xf numFmtId="0" fontId="78" fillId="0" borderId="9" xfId="11" applyNumberFormat="1" applyFont="1" applyFill="1" applyBorder="1" applyAlignment="1">
      <alignment horizontal="left" vertical="top" wrapText="1"/>
    </xf>
    <xf numFmtId="0" fontId="78" fillId="0" borderId="10" xfId="11" applyNumberFormat="1" applyFont="1" applyFill="1" applyBorder="1" applyAlignment="1">
      <alignment horizontal="left" vertical="top" wrapText="1"/>
    </xf>
    <xf numFmtId="0" fontId="78" fillId="0" borderId="12" xfId="11" applyNumberFormat="1" applyFont="1" applyFill="1" applyBorder="1" applyAlignment="1">
      <alignment horizontal="left" vertical="top" wrapText="1"/>
    </xf>
    <xf numFmtId="0" fontId="78" fillId="0" borderId="13" xfId="11" applyNumberFormat="1" applyFont="1" applyFill="1" applyBorder="1" applyAlignment="1">
      <alignment horizontal="left" vertical="top" wrapText="1"/>
    </xf>
    <xf numFmtId="9" fontId="51" fillId="0" borderId="38" xfId="11" applyNumberFormat="1" applyFont="1" applyFill="1" applyBorder="1" applyAlignment="1">
      <alignment horizontal="left" vertical="top" wrapText="1"/>
    </xf>
    <xf numFmtId="9" fontId="51" fillId="0" borderId="29" xfId="11" applyNumberFormat="1" applyFont="1" applyFill="1" applyBorder="1" applyAlignment="1">
      <alignment horizontal="left" vertical="top" wrapText="1"/>
    </xf>
    <xf numFmtId="9" fontId="51" fillId="0" borderId="26" xfId="11" applyNumberFormat="1" applyFont="1" applyFill="1" applyBorder="1" applyAlignment="1">
      <alignment horizontal="left" vertical="top" wrapText="1"/>
    </xf>
    <xf numFmtId="0" fontId="46" fillId="0" borderId="34" xfId="22" applyBorder="1" applyAlignment="1">
      <alignment vertical="center"/>
    </xf>
    <xf numFmtId="0" fontId="46" fillId="0" borderId="35" xfId="22" applyBorder="1" applyAlignment="1">
      <alignment vertical="center"/>
    </xf>
    <xf numFmtId="0" fontId="46" fillId="0" borderId="53" xfId="22" applyBorder="1" applyAlignment="1">
      <alignment horizontal="center" vertical="center" wrapText="1"/>
    </xf>
    <xf numFmtId="0" fontId="46" fillId="0" borderId="17" xfId="22" applyBorder="1" applyAlignment="1">
      <alignment horizontal="center" vertical="center" wrapText="1"/>
    </xf>
    <xf numFmtId="0" fontId="46" fillId="26" borderId="0" xfId="22" applyFill="1" applyAlignment="1">
      <alignment horizontal="center"/>
    </xf>
    <xf numFmtId="0" fontId="90" fillId="0" borderId="0" xfId="18" applyFont="1" applyAlignment="1">
      <alignment horizontal="left" wrapText="1"/>
    </xf>
    <xf numFmtId="9" fontId="51" fillId="0" borderId="36" xfId="11" applyNumberFormat="1" applyFont="1" applyFill="1" applyBorder="1" applyAlignment="1">
      <alignment horizontal="left" vertical="top" wrapText="1"/>
    </xf>
    <xf numFmtId="9" fontId="51" fillId="0" borderId="28" xfId="11" applyNumberFormat="1" applyFont="1" applyFill="1" applyBorder="1" applyAlignment="1">
      <alignment horizontal="left" vertical="top" wrapText="1"/>
    </xf>
    <xf numFmtId="9" fontId="51" fillId="0" borderId="24" xfId="11" applyNumberFormat="1" applyFont="1" applyFill="1" applyBorder="1" applyAlignment="1">
      <alignment horizontal="left" vertical="top" wrapText="1"/>
    </xf>
    <xf numFmtId="9" fontId="51" fillId="0" borderId="48" xfId="11" applyNumberFormat="1" applyFont="1" applyFill="1" applyBorder="1" applyAlignment="1">
      <alignment horizontal="left" vertical="top" wrapText="1"/>
    </xf>
    <xf numFmtId="9" fontId="51" fillId="0" borderId="114" xfId="11" applyNumberFormat="1" applyFont="1" applyFill="1" applyBorder="1" applyAlignment="1">
      <alignment horizontal="left" vertical="top" wrapText="1"/>
    </xf>
    <xf numFmtId="9" fontId="51" fillId="0" borderId="115" xfId="11" applyNumberFormat="1" applyFont="1" applyFill="1" applyBorder="1" applyAlignment="1">
      <alignment horizontal="left" vertical="top" wrapText="1"/>
    </xf>
    <xf numFmtId="0" fontId="46" fillId="0" borderId="34" xfId="22" applyBorder="1" applyAlignment="1">
      <alignment horizontal="center" vertical="center" wrapText="1"/>
    </xf>
    <xf numFmtId="0" fontId="46" fillId="0" borderId="35" xfId="22" applyBorder="1" applyAlignment="1">
      <alignment horizontal="center" vertical="center" wrapText="1"/>
    </xf>
    <xf numFmtId="0" fontId="46" fillId="0" borderId="148" xfId="22" applyBorder="1" applyAlignment="1">
      <alignment horizontal="center" vertical="center" wrapText="1"/>
    </xf>
    <xf numFmtId="0" fontId="46" fillId="0" borderId="23" xfId="22" applyBorder="1" applyAlignment="1">
      <alignment horizontal="center" vertical="center" wrapText="1"/>
    </xf>
    <xf numFmtId="0" fontId="46" fillId="0" borderId="57" xfId="22" applyBorder="1" applyAlignment="1">
      <alignment horizontal="center" vertical="center" wrapText="1"/>
    </xf>
    <xf numFmtId="0" fontId="46" fillId="0" borderId="7" xfId="22" applyBorder="1" applyAlignment="1">
      <alignment horizontal="center" vertical="center" wrapText="1"/>
    </xf>
    <xf numFmtId="0" fontId="46" fillId="0" borderId="28" xfId="22" applyBorder="1" applyAlignment="1">
      <alignment horizontal="center" vertical="center" wrapText="1"/>
    </xf>
    <xf numFmtId="0" fontId="46" fillId="0" borderId="37" xfId="22" applyBorder="1" applyAlignment="1">
      <alignment horizontal="center" vertical="center" wrapText="1"/>
    </xf>
    <xf numFmtId="0" fontId="46" fillId="0" borderId="30" xfId="22" applyBorder="1" applyAlignment="1">
      <alignment horizontal="center" vertical="center" wrapText="1"/>
    </xf>
    <xf numFmtId="0" fontId="46" fillId="0" borderId="6" xfId="22" applyBorder="1" applyAlignment="1">
      <alignment horizontal="center" vertical="center" wrapText="1"/>
    </xf>
    <xf numFmtId="0" fontId="46" fillId="0" borderId="36" xfId="22" applyBorder="1" applyAlignment="1">
      <alignment horizontal="center" vertical="center" wrapText="1"/>
    </xf>
    <xf numFmtId="9" fontId="73" fillId="0" borderId="38" xfId="11" applyNumberFormat="1" applyFont="1" applyFill="1" applyBorder="1" applyAlignment="1">
      <alignment horizontal="left" vertical="top" wrapText="1"/>
    </xf>
    <xf numFmtId="9" fontId="73" fillId="0" borderId="29" xfId="11" applyNumberFormat="1" applyFont="1" applyFill="1" applyBorder="1" applyAlignment="1">
      <alignment horizontal="left" vertical="top" wrapText="1"/>
    </xf>
    <xf numFmtId="9" fontId="73" fillId="0" borderId="26" xfId="11" applyNumberFormat="1" applyFont="1" applyFill="1" applyBorder="1" applyAlignment="1">
      <alignment horizontal="left" vertical="top" wrapText="1"/>
    </xf>
    <xf numFmtId="0" fontId="64" fillId="0" borderId="131" xfId="22" applyFont="1" applyFill="1" applyBorder="1" applyAlignment="1"/>
    <xf numFmtId="0" fontId="64" fillId="0" borderId="110" xfId="22" applyFont="1" applyFill="1" applyBorder="1" applyAlignment="1"/>
    <xf numFmtId="0" fontId="64" fillId="0" borderId="22" xfId="22" applyFont="1" applyFill="1" applyBorder="1" applyAlignment="1"/>
    <xf numFmtId="0" fontId="63" fillId="9" borderId="0" xfId="11" applyFont="1" applyFill="1" applyAlignment="1">
      <alignment vertical="center"/>
    </xf>
    <xf numFmtId="0" fontId="63" fillId="0" borderId="0" xfId="11" applyFont="1" applyAlignment="1">
      <alignment vertical="center"/>
    </xf>
    <xf numFmtId="9" fontId="65" fillId="0" borderId="15" xfId="11" applyNumberFormat="1" applyFont="1" applyFill="1" applyBorder="1" applyAlignment="1">
      <alignment horizontal="left" vertical="top" wrapText="1"/>
    </xf>
    <xf numFmtId="0" fontId="66" fillId="0" borderId="15" xfId="22" applyFont="1" applyBorder="1" applyAlignment="1">
      <alignment horizontal="left" vertical="top" wrapText="1"/>
    </xf>
    <xf numFmtId="0" fontId="66" fillId="0" borderId="16" xfId="22" applyFont="1" applyBorder="1" applyAlignment="1">
      <alignment horizontal="left" vertical="top" wrapText="1"/>
    </xf>
    <xf numFmtId="9" fontId="73" fillId="0" borderId="36" xfId="11" applyNumberFormat="1" applyFont="1" applyFill="1" applyBorder="1" applyAlignment="1">
      <alignment horizontal="left" vertical="top" wrapText="1"/>
    </xf>
    <xf numFmtId="9" fontId="73" fillId="0" borderId="28" xfId="11" applyNumberFormat="1" applyFont="1" applyFill="1" applyBorder="1" applyAlignment="1">
      <alignment horizontal="left" vertical="top" wrapText="1"/>
    </xf>
    <xf numFmtId="9" fontId="73" fillId="0" borderId="24" xfId="11" applyNumberFormat="1" applyFont="1" applyFill="1" applyBorder="1" applyAlignment="1">
      <alignment horizontal="left" vertical="top" wrapText="1"/>
    </xf>
    <xf numFmtId="0" fontId="46" fillId="0" borderId="57" xfId="22" applyBorder="1" applyAlignment="1">
      <alignment wrapText="1"/>
    </xf>
    <xf numFmtId="0" fontId="46" fillId="0" borderId="27" xfId="22" applyBorder="1" applyAlignment="1">
      <alignment wrapText="1"/>
    </xf>
    <xf numFmtId="0" fontId="59" fillId="0" borderId="207" xfId="0" applyFont="1" applyBorder="1" applyAlignment="1">
      <alignment vertical="center" wrapText="1"/>
    </xf>
    <xf numFmtId="0" fontId="59" fillId="0" borderId="208" xfId="0" applyFont="1" applyBorder="1" applyAlignment="1">
      <alignment vertical="center" wrapText="1"/>
    </xf>
    <xf numFmtId="0" fontId="59" fillId="0" borderId="195" xfId="0" applyFont="1" applyBorder="1" applyAlignment="1">
      <alignment vertical="center" wrapText="1"/>
    </xf>
    <xf numFmtId="0" fontId="59" fillId="0" borderId="184" xfId="0" applyFont="1" applyBorder="1" applyAlignment="1">
      <alignment vertical="center" wrapText="1"/>
    </xf>
    <xf numFmtId="0" fontId="46" fillId="0" borderId="56" xfId="22" applyBorder="1" applyAlignment="1">
      <alignment wrapText="1"/>
    </xf>
    <xf numFmtId="0" fontId="46" fillId="0" borderId="26" xfId="22" applyBorder="1" applyAlignment="1">
      <alignment wrapText="1"/>
    </xf>
    <xf numFmtId="9" fontId="78" fillId="0" borderId="317" xfId="11" applyNumberFormat="1" applyFont="1" applyFill="1" applyBorder="1" applyAlignment="1">
      <alignment vertical="top" wrapText="1"/>
    </xf>
    <xf numFmtId="9" fontId="78" fillId="0" borderId="0" xfId="11" applyNumberFormat="1" applyFont="1" applyFill="1" applyBorder="1" applyAlignment="1">
      <alignment vertical="top" wrapText="1"/>
    </xf>
    <xf numFmtId="9" fontId="78" fillId="0" borderId="147" xfId="11" applyNumberFormat="1" applyFont="1" applyFill="1" applyBorder="1" applyAlignment="1">
      <alignment vertical="top" wrapText="1"/>
    </xf>
    <xf numFmtId="9" fontId="78" fillId="0" borderId="51" xfId="11" applyNumberFormat="1" applyFont="1" applyFill="1" applyBorder="1" applyAlignment="1">
      <alignment vertical="top" wrapText="1"/>
    </xf>
    <xf numFmtId="9" fontId="78" fillId="0" borderId="110" xfId="11" applyNumberFormat="1" applyFont="1" applyFill="1" applyBorder="1" applyAlignment="1">
      <alignment vertical="top" wrapText="1"/>
    </xf>
    <xf numFmtId="9" fontId="78" fillId="0" borderId="22" xfId="11" applyNumberFormat="1" applyFont="1" applyFill="1" applyBorder="1" applyAlignment="1">
      <alignment vertical="top" wrapText="1"/>
    </xf>
    <xf numFmtId="0" fontId="7" fillId="3" borderId="35" xfId="11" applyFont="1" applyFill="1" applyBorder="1" applyAlignment="1" applyProtection="1">
      <alignment vertical="center"/>
    </xf>
    <xf numFmtId="0" fontId="7" fillId="3" borderId="54" xfId="11" applyFont="1" applyFill="1" applyBorder="1" applyAlignment="1" applyProtection="1">
      <alignment vertical="center"/>
    </xf>
    <xf numFmtId="0" fontId="7" fillId="3" borderId="24" xfId="11" applyFont="1" applyFill="1" applyBorder="1" applyAlignment="1" applyProtection="1">
      <alignment vertical="center"/>
    </xf>
    <xf numFmtId="9" fontId="78" fillId="0" borderId="118" xfId="11" applyNumberFormat="1" applyFont="1" applyFill="1" applyBorder="1" applyAlignment="1">
      <alignment vertical="top" wrapText="1"/>
    </xf>
    <xf numFmtId="9" fontId="78" fillId="0" borderId="42" xfId="11" applyNumberFormat="1" applyFont="1" applyFill="1" applyBorder="1" applyAlignment="1">
      <alignment vertical="top" wrapText="1"/>
    </xf>
    <xf numFmtId="9" fontId="78" fillId="0" borderId="126" xfId="11" applyNumberFormat="1" applyFont="1" applyFill="1" applyBorder="1" applyAlignment="1">
      <alignment vertical="top" wrapText="1"/>
    </xf>
    <xf numFmtId="9" fontId="65" fillId="0" borderId="318" xfId="11" applyNumberFormat="1" applyFont="1" applyFill="1" applyBorder="1" applyAlignment="1">
      <alignment vertical="top" wrapText="1"/>
    </xf>
    <xf numFmtId="9" fontId="65" fillId="0" borderId="34" xfId="11" applyNumberFormat="1" applyFont="1" applyFill="1" applyBorder="1" applyAlignment="1">
      <alignment vertical="top" wrapText="1"/>
    </xf>
    <xf numFmtId="9" fontId="65" fillId="0" borderId="35" xfId="11" applyNumberFormat="1" applyFont="1" applyFill="1" applyBorder="1" applyAlignment="1">
      <alignment vertical="top" wrapText="1"/>
    </xf>
    <xf numFmtId="9" fontId="65" fillId="0" borderId="319" xfId="11" applyNumberFormat="1" applyFont="1" applyFill="1" applyBorder="1" applyAlignment="1">
      <alignment vertical="top" wrapText="1"/>
    </xf>
    <xf numFmtId="9" fontId="65" fillId="0" borderId="320" xfId="11" applyNumberFormat="1" applyFont="1" applyFill="1" applyBorder="1" applyAlignment="1">
      <alignment vertical="top" wrapText="1"/>
    </xf>
    <xf numFmtId="9" fontId="65" fillId="0" borderId="321" xfId="11" applyNumberFormat="1" applyFont="1" applyFill="1" applyBorder="1" applyAlignment="1">
      <alignment vertical="top" wrapText="1"/>
    </xf>
    <xf numFmtId="0" fontId="92" fillId="3" borderId="33" xfId="9" applyFont="1" applyFill="1" applyBorder="1" applyAlignment="1" applyProtection="1">
      <alignment vertical="center"/>
    </xf>
    <xf numFmtId="0" fontId="5" fillId="3" borderId="33" xfId="9" applyFont="1" applyFill="1" applyBorder="1" applyAlignment="1" applyProtection="1">
      <alignment wrapText="1"/>
    </xf>
    <xf numFmtId="0" fontId="5" fillId="3" borderId="34" xfId="9" applyFont="1" applyFill="1" applyBorder="1" applyAlignment="1" applyProtection="1"/>
    <xf numFmtId="0" fontId="5" fillId="3" borderId="35" xfId="9" applyFont="1" applyFill="1" applyBorder="1" applyAlignment="1" applyProtection="1"/>
    <xf numFmtId="9" fontId="65" fillId="0" borderId="36" xfId="11" applyNumberFormat="1" applyFont="1" applyFill="1" applyBorder="1" applyAlignment="1">
      <alignment vertical="top" wrapText="1"/>
    </xf>
    <xf numFmtId="9" fontId="65" fillId="0" borderId="28" xfId="11" applyNumberFormat="1" applyFont="1" applyFill="1" applyBorder="1" applyAlignment="1">
      <alignment vertical="top" wrapText="1"/>
    </xf>
    <xf numFmtId="9" fontId="65" fillId="0" borderId="24" xfId="11" applyNumberFormat="1" applyFont="1" applyFill="1" applyBorder="1" applyAlignment="1">
      <alignment vertical="top" wrapText="1"/>
    </xf>
    <xf numFmtId="9" fontId="65" fillId="0" borderId="60" xfId="11" applyNumberFormat="1" applyFont="1" applyFill="1" applyBorder="1" applyAlignment="1">
      <alignment vertical="top" wrapText="1"/>
    </xf>
    <xf numFmtId="9" fontId="78" fillId="0" borderId="52" xfId="11" applyNumberFormat="1" applyFont="1" applyFill="1" applyBorder="1" applyAlignment="1">
      <alignment vertical="top" wrapText="1"/>
    </xf>
    <xf numFmtId="9" fontId="78" fillId="0" borderId="53" xfId="11" applyNumberFormat="1" applyFont="1" applyFill="1" applyBorder="1" applyAlignment="1">
      <alignment vertical="top" wrapText="1"/>
    </xf>
    <xf numFmtId="9" fontId="78" fillId="0" borderId="17" xfId="11" applyNumberFormat="1" applyFont="1" applyFill="1" applyBorder="1" applyAlignment="1">
      <alignment vertical="top" wrapText="1"/>
    </xf>
    <xf numFmtId="9" fontId="78" fillId="0" borderId="317" xfId="11" applyNumberFormat="1" applyFont="1" applyFill="1" applyBorder="1" applyAlignment="1">
      <alignment vertical="top"/>
    </xf>
    <xf numFmtId="9" fontId="78" fillId="0" borderId="0" xfId="11" applyNumberFormat="1" applyFont="1" applyFill="1" applyBorder="1" applyAlignment="1">
      <alignment vertical="top"/>
    </xf>
    <xf numFmtId="9" fontId="78" fillId="0" borderId="147" xfId="11" applyNumberFormat="1" applyFont="1" applyFill="1" applyBorder="1" applyAlignment="1">
      <alignment vertical="top"/>
    </xf>
    <xf numFmtId="0" fontId="20" fillId="0" borderId="38" xfId="6" applyFont="1" applyBorder="1" applyAlignment="1">
      <alignment horizontal="left" vertical="top" wrapText="1"/>
    </xf>
    <xf numFmtId="0" fontId="20" fillId="0" borderId="29" xfId="6" applyFont="1" applyBorder="1" applyAlignment="1">
      <alignment horizontal="left" vertical="top" wrapText="1"/>
    </xf>
    <xf numFmtId="0" fontId="20" fillId="0" borderId="26" xfId="6" applyFont="1" applyBorder="1" applyAlignment="1">
      <alignment horizontal="left" vertical="top" wrapText="1"/>
    </xf>
    <xf numFmtId="0" fontId="20" fillId="0" borderId="36" xfId="6" applyFont="1" applyBorder="1" applyAlignment="1">
      <alignment horizontal="left" vertical="top" wrapText="1"/>
    </xf>
    <xf numFmtId="0" fontId="20" fillId="0" borderId="28" xfId="6" applyFont="1" applyBorder="1" applyAlignment="1">
      <alignment horizontal="left" vertical="top" wrapText="1"/>
    </xf>
    <xf numFmtId="0" fontId="20" fillId="0" borderId="24" xfId="6" applyFont="1" applyBorder="1" applyAlignment="1">
      <alignment horizontal="left" vertical="top" wrapText="1"/>
    </xf>
    <xf numFmtId="0" fontId="20" fillId="0" borderId="38" xfId="6" applyFont="1" applyBorder="1" applyAlignment="1">
      <alignment horizontal="left" vertical="top"/>
    </xf>
    <xf numFmtId="0" fontId="20" fillId="0" borderId="29" xfId="6" applyFont="1" applyBorder="1" applyAlignment="1">
      <alignment horizontal="left" vertical="top"/>
    </xf>
    <xf numFmtId="0" fontId="20" fillId="0" borderId="26" xfId="6" applyFont="1" applyBorder="1" applyAlignment="1">
      <alignment horizontal="left" vertical="top"/>
    </xf>
    <xf numFmtId="0" fontId="20" fillId="0" borderId="40" xfId="6" applyFont="1" applyBorder="1" applyAlignment="1">
      <alignment vertical="top" wrapText="1"/>
    </xf>
    <xf numFmtId="0" fontId="20" fillId="0" borderId="45" xfId="6" applyFont="1" applyBorder="1" applyAlignment="1">
      <alignment vertical="top" wrapText="1"/>
    </xf>
    <xf numFmtId="0" fontId="20" fillId="0" borderId="27" xfId="6" applyFont="1" applyBorder="1" applyAlignment="1">
      <alignment vertical="top" wrapText="1"/>
    </xf>
  </cellXfs>
  <cellStyles count="12364">
    <cellStyle name="Att1" xfId="25" xr:uid="{00000000-0005-0000-0000-000000000000}"/>
    <cellStyle name="Att1 2" xfId="26" xr:uid="{00000000-0005-0000-0000-000001000000}"/>
    <cellStyle name="Att1 2 2" xfId="27" xr:uid="{00000000-0005-0000-0000-000002000000}"/>
    <cellStyle name="Att1 3" xfId="28" xr:uid="{00000000-0005-0000-0000-000003000000}"/>
    <cellStyle name="Att1 3 2" xfId="29" xr:uid="{00000000-0005-0000-0000-000004000000}"/>
    <cellStyle name="Att1 3 3" xfId="30" xr:uid="{00000000-0005-0000-0000-000005000000}"/>
    <cellStyle name="Att1 4" xfId="31" xr:uid="{00000000-0005-0000-0000-000006000000}"/>
    <cellStyle name="Att1 4 2" xfId="32" xr:uid="{00000000-0005-0000-0000-000007000000}"/>
    <cellStyle name="Att1 4 3" xfId="33" xr:uid="{00000000-0005-0000-0000-000008000000}"/>
    <cellStyle name="Comma" xfId="1" builtinId="3"/>
    <cellStyle name="Comma 10" xfId="12324" xr:uid="{00000000-0005-0000-0000-00000A000000}"/>
    <cellStyle name="Comma 11" xfId="12334" xr:uid="{00000000-0005-0000-0000-00000B000000}"/>
    <cellStyle name="Comma 12" xfId="12349" xr:uid="{00000000-0005-0000-0000-00000C000000}"/>
    <cellStyle name="Comma 2" xfId="10" xr:uid="{00000000-0005-0000-0000-00000D000000}"/>
    <cellStyle name="Comma 2 10" xfId="35" xr:uid="{00000000-0005-0000-0000-00000E000000}"/>
    <cellStyle name="Comma 2 10 2" xfId="36" xr:uid="{00000000-0005-0000-0000-00000F000000}"/>
    <cellStyle name="Comma 2 10 2 2" xfId="37" xr:uid="{00000000-0005-0000-0000-000010000000}"/>
    <cellStyle name="Comma 2 10 2 2 2" xfId="38" xr:uid="{00000000-0005-0000-0000-000011000000}"/>
    <cellStyle name="Comma 2 10 2 2 2 2" xfId="7181" xr:uid="{00000000-0005-0000-0000-000012000000}"/>
    <cellStyle name="Comma 2 10 2 2 3" xfId="7180" xr:uid="{00000000-0005-0000-0000-000013000000}"/>
    <cellStyle name="Comma 2 10 2 2 4" xfId="4782" xr:uid="{00000000-0005-0000-0000-000014000000}"/>
    <cellStyle name="Comma 2 10 2 3" xfId="39" xr:uid="{00000000-0005-0000-0000-000015000000}"/>
    <cellStyle name="Comma 2 10 2 3 2" xfId="7182" xr:uid="{00000000-0005-0000-0000-000016000000}"/>
    <cellStyle name="Comma 2 10 2 4" xfId="7179" xr:uid="{00000000-0005-0000-0000-000017000000}"/>
    <cellStyle name="Comma 2 10 2 5" xfId="4781" xr:uid="{00000000-0005-0000-0000-000018000000}"/>
    <cellStyle name="Comma 2 10 3" xfId="40" xr:uid="{00000000-0005-0000-0000-000019000000}"/>
    <cellStyle name="Comma 2 10 3 2" xfId="41" xr:uid="{00000000-0005-0000-0000-00001A000000}"/>
    <cellStyle name="Comma 2 10 3 2 2" xfId="7184" xr:uid="{00000000-0005-0000-0000-00001B000000}"/>
    <cellStyle name="Comma 2 10 3 3" xfId="7183" xr:uid="{00000000-0005-0000-0000-00001C000000}"/>
    <cellStyle name="Comma 2 10 3 4" xfId="4783" xr:uid="{00000000-0005-0000-0000-00001D000000}"/>
    <cellStyle name="Comma 2 10 4" xfId="42" xr:uid="{00000000-0005-0000-0000-00001E000000}"/>
    <cellStyle name="Comma 2 10 4 2" xfId="43" xr:uid="{00000000-0005-0000-0000-00001F000000}"/>
    <cellStyle name="Comma 2 10 4 2 2" xfId="7186" xr:uid="{00000000-0005-0000-0000-000020000000}"/>
    <cellStyle name="Comma 2 10 4 3" xfId="7185" xr:uid="{00000000-0005-0000-0000-000021000000}"/>
    <cellStyle name="Comma 2 10 4 4" xfId="4784" xr:uid="{00000000-0005-0000-0000-000022000000}"/>
    <cellStyle name="Comma 2 10 5" xfId="44" xr:uid="{00000000-0005-0000-0000-000023000000}"/>
    <cellStyle name="Comma 2 10 5 2" xfId="7187" xr:uid="{00000000-0005-0000-0000-000024000000}"/>
    <cellStyle name="Comma 2 10 6" xfId="7178" xr:uid="{00000000-0005-0000-0000-000025000000}"/>
    <cellStyle name="Comma 2 10 7" xfId="4780" xr:uid="{00000000-0005-0000-0000-000026000000}"/>
    <cellStyle name="Comma 2 11" xfId="45" xr:uid="{00000000-0005-0000-0000-000027000000}"/>
    <cellStyle name="Comma 2 11 2" xfId="46" xr:uid="{00000000-0005-0000-0000-000028000000}"/>
    <cellStyle name="Comma 2 11 2 2" xfId="47" xr:uid="{00000000-0005-0000-0000-000029000000}"/>
    <cellStyle name="Comma 2 11 2 2 2" xfId="48" xr:uid="{00000000-0005-0000-0000-00002A000000}"/>
    <cellStyle name="Comma 2 11 2 2 2 2" xfId="7191" xr:uid="{00000000-0005-0000-0000-00002B000000}"/>
    <cellStyle name="Comma 2 11 2 2 3" xfId="7190" xr:uid="{00000000-0005-0000-0000-00002C000000}"/>
    <cellStyle name="Comma 2 11 2 2 4" xfId="4787" xr:uid="{00000000-0005-0000-0000-00002D000000}"/>
    <cellStyle name="Comma 2 11 2 3" xfId="49" xr:uid="{00000000-0005-0000-0000-00002E000000}"/>
    <cellStyle name="Comma 2 11 2 3 2" xfId="7192" xr:uid="{00000000-0005-0000-0000-00002F000000}"/>
    <cellStyle name="Comma 2 11 2 4" xfId="7189" xr:uid="{00000000-0005-0000-0000-000030000000}"/>
    <cellStyle name="Comma 2 11 2 5" xfId="4786" xr:uid="{00000000-0005-0000-0000-000031000000}"/>
    <cellStyle name="Comma 2 11 3" xfId="50" xr:uid="{00000000-0005-0000-0000-000032000000}"/>
    <cellStyle name="Comma 2 11 3 2" xfId="51" xr:uid="{00000000-0005-0000-0000-000033000000}"/>
    <cellStyle name="Comma 2 11 3 2 2" xfId="7194" xr:uid="{00000000-0005-0000-0000-000034000000}"/>
    <cellStyle name="Comma 2 11 3 3" xfId="7193" xr:uid="{00000000-0005-0000-0000-000035000000}"/>
    <cellStyle name="Comma 2 11 3 4" xfId="4788" xr:uid="{00000000-0005-0000-0000-000036000000}"/>
    <cellStyle name="Comma 2 11 4" xfId="52" xr:uid="{00000000-0005-0000-0000-000037000000}"/>
    <cellStyle name="Comma 2 11 4 2" xfId="53" xr:uid="{00000000-0005-0000-0000-000038000000}"/>
    <cellStyle name="Comma 2 11 4 2 2" xfId="7196" xr:uid="{00000000-0005-0000-0000-000039000000}"/>
    <cellStyle name="Comma 2 11 4 3" xfId="7195" xr:uid="{00000000-0005-0000-0000-00003A000000}"/>
    <cellStyle name="Comma 2 11 4 4" xfId="4789" xr:uid="{00000000-0005-0000-0000-00003B000000}"/>
    <cellStyle name="Comma 2 11 5" xfId="54" xr:uid="{00000000-0005-0000-0000-00003C000000}"/>
    <cellStyle name="Comma 2 11 5 2" xfId="7197" xr:uid="{00000000-0005-0000-0000-00003D000000}"/>
    <cellStyle name="Comma 2 11 6" xfId="7188" xr:uid="{00000000-0005-0000-0000-00003E000000}"/>
    <cellStyle name="Comma 2 11 7" xfId="4785" xr:uid="{00000000-0005-0000-0000-00003F000000}"/>
    <cellStyle name="Comma 2 12" xfId="55" xr:uid="{00000000-0005-0000-0000-000040000000}"/>
    <cellStyle name="Comma 2 12 2" xfId="56" xr:uid="{00000000-0005-0000-0000-000041000000}"/>
    <cellStyle name="Comma 2 12 2 2" xfId="57" xr:uid="{00000000-0005-0000-0000-000042000000}"/>
    <cellStyle name="Comma 2 12 2 2 2" xfId="58" xr:uid="{00000000-0005-0000-0000-000043000000}"/>
    <cellStyle name="Comma 2 12 2 2 2 2" xfId="7201" xr:uid="{00000000-0005-0000-0000-000044000000}"/>
    <cellStyle name="Comma 2 12 2 2 3" xfId="7200" xr:uid="{00000000-0005-0000-0000-000045000000}"/>
    <cellStyle name="Comma 2 12 2 2 4" xfId="4792" xr:uid="{00000000-0005-0000-0000-000046000000}"/>
    <cellStyle name="Comma 2 12 2 3" xfId="59" xr:uid="{00000000-0005-0000-0000-000047000000}"/>
    <cellStyle name="Comma 2 12 2 3 2" xfId="7202" xr:uid="{00000000-0005-0000-0000-000048000000}"/>
    <cellStyle name="Comma 2 12 2 4" xfId="7199" xr:uid="{00000000-0005-0000-0000-000049000000}"/>
    <cellStyle name="Comma 2 12 2 5" xfId="4791" xr:uid="{00000000-0005-0000-0000-00004A000000}"/>
    <cellStyle name="Comma 2 12 3" xfId="60" xr:uid="{00000000-0005-0000-0000-00004B000000}"/>
    <cellStyle name="Comma 2 12 3 2" xfId="61" xr:uid="{00000000-0005-0000-0000-00004C000000}"/>
    <cellStyle name="Comma 2 12 3 2 2" xfId="7204" xr:uid="{00000000-0005-0000-0000-00004D000000}"/>
    <cellStyle name="Comma 2 12 3 3" xfId="7203" xr:uid="{00000000-0005-0000-0000-00004E000000}"/>
    <cellStyle name="Comma 2 12 3 4" xfId="4793" xr:uid="{00000000-0005-0000-0000-00004F000000}"/>
    <cellStyle name="Comma 2 12 4" xfId="62" xr:uid="{00000000-0005-0000-0000-000050000000}"/>
    <cellStyle name="Comma 2 12 4 2" xfId="63" xr:uid="{00000000-0005-0000-0000-000051000000}"/>
    <cellStyle name="Comma 2 12 4 2 2" xfId="7206" xr:uid="{00000000-0005-0000-0000-000052000000}"/>
    <cellStyle name="Comma 2 12 4 3" xfId="7205" xr:uid="{00000000-0005-0000-0000-000053000000}"/>
    <cellStyle name="Comma 2 12 4 4" xfId="4794" xr:uid="{00000000-0005-0000-0000-000054000000}"/>
    <cellStyle name="Comma 2 12 5" xfId="64" xr:uid="{00000000-0005-0000-0000-000055000000}"/>
    <cellStyle name="Comma 2 12 5 2" xfId="7207" xr:uid="{00000000-0005-0000-0000-000056000000}"/>
    <cellStyle name="Comma 2 12 6" xfId="7198" xr:uid="{00000000-0005-0000-0000-000057000000}"/>
    <cellStyle name="Comma 2 12 7" xfId="4790" xr:uid="{00000000-0005-0000-0000-000058000000}"/>
    <cellStyle name="Comma 2 13" xfId="65" xr:uid="{00000000-0005-0000-0000-000059000000}"/>
    <cellStyle name="Comma 2 13 2" xfId="66" xr:uid="{00000000-0005-0000-0000-00005A000000}"/>
    <cellStyle name="Comma 2 13 2 2" xfId="67" xr:uid="{00000000-0005-0000-0000-00005B000000}"/>
    <cellStyle name="Comma 2 13 2 2 2" xfId="68" xr:uid="{00000000-0005-0000-0000-00005C000000}"/>
    <cellStyle name="Comma 2 13 2 2 2 2" xfId="7211" xr:uid="{00000000-0005-0000-0000-00005D000000}"/>
    <cellStyle name="Comma 2 13 2 2 3" xfId="7210" xr:uid="{00000000-0005-0000-0000-00005E000000}"/>
    <cellStyle name="Comma 2 13 2 2 4" xfId="4797" xr:uid="{00000000-0005-0000-0000-00005F000000}"/>
    <cellStyle name="Comma 2 13 2 3" xfId="69" xr:uid="{00000000-0005-0000-0000-000060000000}"/>
    <cellStyle name="Comma 2 13 2 3 2" xfId="7212" xr:uid="{00000000-0005-0000-0000-000061000000}"/>
    <cellStyle name="Comma 2 13 2 4" xfId="7209" xr:uid="{00000000-0005-0000-0000-000062000000}"/>
    <cellStyle name="Comma 2 13 2 5" xfId="4796" xr:uid="{00000000-0005-0000-0000-000063000000}"/>
    <cellStyle name="Comma 2 13 3" xfId="70" xr:uid="{00000000-0005-0000-0000-000064000000}"/>
    <cellStyle name="Comma 2 13 3 2" xfId="71" xr:uid="{00000000-0005-0000-0000-000065000000}"/>
    <cellStyle name="Comma 2 13 3 2 2" xfId="7214" xr:uid="{00000000-0005-0000-0000-000066000000}"/>
    <cellStyle name="Comma 2 13 3 3" xfId="7213" xr:uid="{00000000-0005-0000-0000-000067000000}"/>
    <cellStyle name="Comma 2 13 3 4" xfId="4798" xr:uid="{00000000-0005-0000-0000-000068000000}"/>
    <cellStyle name="Comma 2 13 4" xfId="72" xr:uid="{00000000-0005-0000-0000-000069000000}"/>
    <cellStyle name="Comma 2 13 4 2" xfId="73" xr:uid="{00000000-0005-0000-0000-00006A000000}"/>
    <cellStyle name="Comma 2 13 4 2 2" xfId="7216" xr:uid="{00000000-0005-0000-0000-00006B000000}"/>
    <cellStyle name="Comma 2 13 4 3" xfId="7215" xr:uid="{00000000-0005-0000-0000-00006C000000}"/>
    <cellStyle name="Comma 2 13 4 4" xfId="4799" xr:uid="{00000000-0005-0000-0000-00006D000000}"/>
    <cellStyle name="Comma 2 13 5" xfId="74" xr:uid="{00000000-0005-0000-0000-00006E000000}"/>
    <cellStyle name="Comma 2 13 5 2" xfId="7217" xr:uid="{00000000-0005-0000-0000-00006F000000}"/>
    <cellStyle name="Comma 2 13 6" xfId="7208" xr:uid="{00000000-0005-0000-0000-000070000000}"/>
    <cellStyle name="Comma 2 13 7" xfId="4795" xr:uid="{00000000-0005-0000-0000-000071000000}"/>
    <cellStyle name="Comma 2 14" xfId="75" xr:uid="{00000000-0005-0000-0000-000072000000}"/>
    <cellStyle name="Comma 2 14 2" xfId="76" xr:uid="{00000000-0005-0000-0000-000073000000}"/>
    <cellStyle name="Comma 2 14 2 2" xfId="77" xr:uid="{00000000-0005-0000-0000-000074000000}"/>
    <cellStyle name="Comma 2 14 2 2 2" xfId="7220" xr:uid="{00000000-0005-0000-0000-000075000000}"/>
    <cellStyle name="Comma 2 14 2 3" xfId="7219" xr:uid="{00000000-0005-0000-0000-000076000000}"/>
    <cellStyle name="Comma 2 14 2 4" xfId="4801" xr:uid="{00000000-0005-0000-0000-000077000000}"/>
    <cellStyle name="Comma 2 14 3" xfId="78" xr:uid="{00000000-0005-0000-0000-000078000000}"/>
    <cellStyle name="Comma 2 14 3 2" xfId="79" xr:uid="{00000000-0005-0000-0000-000079000000}"/>
    <cellStyle name="Comma 2 14 3 2 2" xfId="7222" xr:uid="{00000000-0005-0000-0000-00007A000000}"/>
    <cellStyle name="Comma 2 14 3 3" xfId="7221" xr:uid="{00000000-0005-0000-0000-00007B000000}"/>
    <cellStyle name="Comma 2 14 3 4" xfId="4802" xr:uid="{00000000-0005-0000-0000-00007C000000}"/>
    <cellStyle name="Comma 2 14 4" xfId="80" xr:uid="{00000000-0005-0000-0000-00007D000000}"/>
    <cellStyle name="Comma 2 14 4 2" xfId="7223" xr:uid="{00000000-0005-0000-0000-00007E000000}"/>
    <cellStyle name="Comma 2 14 5" xfId="7218" xr:uid="{00000000-0005-0000-0000-00007F000000}"/>
    <cellStyle name="Comma 2 14 6" xfId="4800" xr:uid="{00000000-0005-0000-0000-000080000000}"/>
    <cellStyle name="Comma 2 15" xfId="81" xr:uid="{00000000-0005-0000-0000-000081000000}"/>
    <cellStyle name="Comma 2 15 2" xfId="82" xr:uid="{00000000-0005-0000-0000-000082000000}"/>
    <cellStyle name="Comma 2 15 2 2" xfId="83" xr:uid="{00000000-0005-0000-0000-000083000000}"/>
    <cellStyle name="Comma 2 15 2 2 2" xfId="7226" xr:uid="{00000000-0005-0000-0000-000084000000}"/>
    <cellStyle name="Comma 2 15 2 3" xfId="7225" xr:uid="{00000000-0005-0000-0000-000085000000}"/>
    <cellStyle name="Comma 2 15 2 4" xfId="4804" xr:uid="{00000000-0005-0000-0000-000086000000}"/>
    <cellStyle name="Comma 2 15 3" xfId="84" xr:uid="{00000000-0005-0000-0000-000087000000}"/>
    <cellStyle name="Comma 2 15 3 2" xfId="7227" xr:uid="{00000000-0005-0000-0000-000088000000}"/>
    <cellStyle name="Comma 2 15 4" xfId="7224" xr:uid="{00000000-0005-0000-0000-000089000000}"/>
    <cellStyle name="Comma 2 15 5" xfId="4803" xr:uid="{00000000-0005-0000-0000-00008A000000}"/>
    <cellStyle name="Comma 2 16" xfId="85" xr:uid="{00000000-0005-0000-0000-00008B000000}"/>
    <cellStyle name="Comma 2 16 2" xfId="86" xr:uid="{00000000-0005-0000-0000-00008C000000}"/>
    <cellStyle name="Comma 2 16 2 2" xfId="7229" xr:uid="{00000000-0005-0000-0000-00008D000000}"/>
    <cellStyle name="Comma 2 16 3" xfId="7228" xr:uid="{00000000-0005-0000-0000-00008E000000}"/>
    <cellStyle name="Comma 2 16 4" xfId="4805" xr:uid="{00000000-0005-0000-0000-00008F000000}"/>
    <cellStyle name="Comma 2 17" xfId="87" xr:uid="{00000000-0005-0000-0000-000090000000}"/>
    <cellStyle name="Comma 2 17 2" xfId="88" xr:uid="{00000000-0005-0000-0000-000091000000}"/>
    <cellStyle name="Comma 2 17 2 2" xfId="7231" xr:uid="{00000000-0005-0000-0000-000092000000}"/>
    <cellStyle name="Comma 2 17 3" xfId="7230" xr:uid="{00000000-0005-0000-0000-000093000000}"/>
    <cellStyle name="Comma 2 17 4" xfId="4806" xr:uid="{00000000-0005-0000-0000-000094000000}"/>
    <cellStyle name="Comma 2 18" xfId="89" xr:uid="{00000000-0005-0000-0000-000095000000}"/>
    <cellStyle name="Comma 2 18 2" xfId="7233" xr:uid="{00000000-0005-0000-0000-000096000000}"/>
    <cellStyle name="Comma 2 18 3" xfId="7232" xr:uid="{00000000-0005-0000-0000-000097000000}"/>
    <cellStyle name="Comma 2 18 4" xfId="4807" xr:uid="{00000000-0005-0000-0000-000098000000}"/>
    <cellStyle name="Comma 2 19" xfId="34" xr:uid="{00000000-0005-0000-0000-000099000000}"/>
    <cellStyle name="Comma 2 19 2" xfId="7234" xr:uid="{00000000-0005-0000-0000-00009A000000}"/>
    <cellStyle name="Comma 2 2" xfId="13" xr:uid="{00000000-0005-0000-0000-00009B000000}"/>
    <cellStyle name="Comma 2 2 10" xfId="91" xr:uid="{00000000-0005-0000-0000-00009C000000}"/>
    <cellStyle name="Comma 2 2 10 2" xfId="92" xr:uid="{00000000-0005-0000-0000-00009D000000}"/>
    <cellStyle name="Comma 2 2 10 2 2" xfId="93" xr:uid="{00000000-0005-0000-0000-00009E000000}"/>
    <cellStyle name="Comma 2 2 10 2 2 2" xfId="7238" xr:uid="{00000000-0005-0000-0000-00009F000000}"/>
    <cellStyle name="Comma 2 2 10 2 3" xfId="7237" xr:uid="{00000000-0005-0000-0000-0000A0000000}"/>
    <cellStyle name="Comma 2 2 10 2 4" xfId="4810" xr:uid="{00000000-0005-0000-0000-0000A1000000}"/>
    <cellStyle name="Comma 2 2 10 3" xfId="94" xr:uid="{00000000-0005-0000-0000-0000A2000000}"/>
    <cellStyle name="Comma 2 2 10 3 2" xfId="95" xr:uid="{00000000-0005-0000-0000-0000A3000000}"/>
    <cellStyle name="Comma 2 2 10 3 2 2" xfId="7240" xr:uid="{00000000-0005-0000-0000-0000A4000000}"/>
    <cellStyle name="Comma 2 2 10 3 3" xfId="7239" xr:uid="{00000000-0005-0000-0000-0000A5000000}"/>
    <cellStyle name="Comma 2 2 10 3 4" xfId="4811" xr:uid="{00000000-0005-0000-0000-0000A6000000}"/>
    <cellStyle name="Comma 2 2 10 4" xfId="96" xr:uid="{00000000-0005-0000-0000-0000A7000000}"/>
    <cellStyle name="Comma 2 2 10 4 2" xfId="7241" xr:uid="{00000000-0005-0000-0000-0000A8000000}"/>
    <cellStyle name="Comma 2 2 10 5" xfId="7236" xr:uid="{00000000-0005-0000-0000-0000A9000000}"/>
    <cellStyle name="Comma 2 2 10 6" xfId="4809" xr:uid="{00000000-0005-0000-0000-0000AA000000}"/>
    <cellStyle name="Comma 2 2 11" xfId="97" xr:uid="{00000000-0005-0000-0000-0000AB000000}"/>
    <cellStyle name="Comma 2 2 11 2" xfId="98" xr:uid="{00000000-0005-0000-0000-0000AC000000}"/>
    <cellStyle name="Comma 2 2 11 2 2" xfId="99" xr:uid="{00000000-0005-0000-0000-0000AD000000}"/>
    <cellStyle name="Comma 2 2 11 2 2 2" xfId="7244" xr:uid="{00000000-0005-0000-0000-0000AE000000}"/>
    <cellStyle name="Comma 2 2 11 2 3" xfId="7243" xr:uid="{00000000-0005-0000-0000-0000AF000000}"/>
    <cellStyle name="Comma 2 2 11 2 4" xfId="4813" xr:uid="{00000000-0005-0000-0000-0000B0000000}"/>
    <cellStyle name="Comma 2 2 11 3" xfId="100" xr:uid="{00000000-0005-0000-0000-0000B1000000}"/>
    <cellStyle name="Comma 2 2 11 3 2" xfId="7245" xr:uid="{00000000-0005-0000-0000-0000B2000000}"/>
    <cellStyle name="Comma 2 2 11 4" xfId="7242" xr:uid="{00000000-0005-0000-0000-0000B3000000}"/>
    <cellStyle name="Comma 2 2 11 5" xfId="4812" xr:uid="{00000000-0005-0000-0000-0000B4000000}"/>
    <cellStyle name="Comma 2 2 12" xfId="101" xr:uid="{00000000-0005-0000-0000-0000B5000000}"/>
    <cellStyle name="Comma 2 2 12 2" xfId="102" xr:uid="{00000000-0005-0000-0000-0000B6000000}"/>
    <cellStyle name="Comma 2 2 12 2 2" xfId="7247" xr:uid="{00000000-0005-0000-0000-0000B7000000}"/>
    <cellStyle name="Comma 2 2 12 3" xfId="7246" xr:uid="{00000000-0005-0000-0000-0000B8000000}"/>
    <cellStyle name="Comma 2 2 12 4" xfId="4814" xr:uid="{00000000-0005-0000-0000-0000B9000000}"/>
    <cellStyle name="Comma 2 2 13" xfId="103" xr:uid="{00000000-0005-0000-0000-0000BA000000}"/>
    <cellStyle name="Comma 2 2 13 2" xfId="104" xr:uid="{00000000-0005-0000-0000-0000BB000000}"/>
    <cellStyle name="Comma 2 2 13 2 2" xfId="7249" xr:uid="{00000000-0005-0000-0000-0000BC000000}"/>
    <cellStyle name="Comma 2 2 13 3" xfId="7248" xr:uid="{00000000-0005-0000-0000-0000BD000000}"/>
    <cellStyle name="Comma 2 2 13 4" xfId="4815" xr:uid="{00000000-0005-0000-0000-0000BE000000}"/>
    <cellStyle name="Comma 2 2 14" xfId="105" xr:uid="{00000000-0005-0000-0000-0000BF000000}"/>
    <cellStyle name="Comma 2 2 14 2" xfId="7251" xr:uid="{00000000-0005-0000-0000-0000C0000000}"/>
    <cellStyle name="Comma 2 2 14 3" xfId="7250" xr:uid="{00000000-0005-0000-0000-0000C1000000}"/>
    <cellStyle name="Comma 2 2 14 4" xfId="4816" xr:uid="{00000000-0005-0000-0000-0000C2000000}"/>
    <cellStyle name="Comma 2 2 15" xfId="90" xr:uid="{00000000-0005-0000-0000-0000C3000000}"/>
    <cellStyle name="Comma 2 2 15 2" xfId="7252" xr:uid="{00000000-0005-0000-0000-0000C4000000}"/>
    <cellStyle name="Comma 2 2 16" xfId="7235" xr:uid="{00000000-0005-0000-0000-0000C5000000}"/>
    <cellStyle name="Comma 2 2 17" xfId="4808" xr:uid="{00000000-0005-0000-0000-0000C6000000}"/>
    <cellStyle name="Comma 2 2 18" xfId="12327" xr:uid="{00000000-0005-0000-0000-0000C7000000}"/>
    <cellStyle name="Comma 2 2 19" xfId="12337" xr:uid="{00000000-0005-0000-0000-0000C8000000}"/>
    <cellStyle name="Comma 2 2 2" xfId="106" xr:uid="{00000000-0005-0000-0000-0000C9000000}"/>
    <cellStyle name="Comma 2 2 2 10" xfId="107" xr:uid="{00000000-0005-0000-0000-0000CA000000}"/>
    <cellStyle name="Comma 2 2 2 10 2" xfId="108" xr:uid="{00000000-0005-0000-0000-0000CB000000}"/>
    <cellStyle name="Comma 2 2 2 10 2 2" xfId="7255" xr:uid="{00000000-0005-0000-0000-0000CC000000}"/>
    <cellStyle name="Comma 2 2 2 10 3" xfId="7254" xr:uid="{00000000-0005-0000-0000-0000CD000000}"/>
    <cellStyle name="Comma 2 2 2 10 4" xfId="4818" xr:uid="{00000000-0005-0000-0000-0000CE000000}"/>
    <cellStyle name="Comma 2 2 2 11" xfId="109" xr:uid="{00000000-0005-0000-0000-0000CF000000}"/>
    <cellStyle name="Comma 2 2 2 11 2" xfId="7256" xr:uid="{00000000-0005-0000-0000-0000D0000000}"/>
    <cellStyle name="Comma 2 2 2 12" xfId="7253" xr:uid="{00000000-0005-0000-0000-0000D1000000}"/>
    <cellStyle name="Comma 2 2 2 13" xfId="4817" xr:uid="{00000000-0005-0000-0000-0000D2000000}"/>
    <cellStyle name="Comma 2 2 2 14" xfId="12332" xr:uid="{00000000-0005-0000-0000-0000D3000000}"/>
    <cellStyle name="Comma 2 2 2 15" xfId="12342" xr:uid="{00000000-0005-0000-0000-0000D4000000}"/>
    <cellStyle name="Comma 2 2 2 16" xfId="12357" xr:uid="{00000000-0005-0000-0000-0000D5000000}"/>
    <cellStyle name="Comma 2 2 2 2" xfId="110" xr:uid="{00000000-0005-0000-0000-0000D6000000}"/>
    <cellStyle name="Comma 2 2 2 2 10" xfId="111" xr:uid="{00000000-0005-0000-0000-0000D7000000}"/>
    <cellStyle name="Comma 2 2 2 2 10 2" xfId="7258" xr:uid="{00000000-0005-0000-0000-0000D8000000}"/>
    <cellStyle name="Comma 2 2 2 2 11" xfId="7257" xr:uid="{00000000-0005-0000-0000-0000D9000000}"/>
    <cellStyle name="Comma 2 2 2 2 12" xfId="4819" xr:uid="{00000000-0005-0000-0000-0000DA000000}"/>
    <cellStyle name="Comma 2 2 2 2 2" xfId="112" xr:uid="{00000000-0005-0000-0000-0000DB000000}"/>
    <cellStyle name="Comma 2 2 2 2 2 2" xfId="113" xr:uid="{00000000-0005-0000-0000-0000DC000000}"/>
    <cellStyle name="Comma 2 2 2 2 2 2 2" xfId="114" xr:uid="{00000000-0005-0000-0000-0000DD000000}"/>
    <cellStyle name="Comma 2 2 2 2 2 2 2 2" xfId="115" xr:uid="{00000000-0005-0000-0000-0000DE000000}"/>
    <cellStyle name="Comma 2 2 2 2 2 2 2 2 2" xfId="7262" xr:uid="{00000000-0005-0000-0000-0000DF000000}"/>
    <cellStyle name="Comma 2 2 2 2 2 2 2 3" xfId="7261" xr:uid="{00000000-0005-0000-0000-0000E0000000}"/>
    <cellStyle name="Comma 2 2 2 2 2 2 2 4" xfId="4822" xr:uid="{00000000-0005-0000-0000-0000E1000000}"/>
    <cellStyle name="Comma 2 2 2 2 2 2 3" xfId="116" xr:uid="{00000000-0005-0000-0000-0000E2000000}"/>
    <cellStyle name="Comma 2 2 2 2 2 2 3 2" xfId="7263" xr:uid="{00000000-0005-0000-0000-0000E3000000}"/>
    <cellStyle name="Comma 2 2 2 2 2 2 4" xfId="7260" xr:uid="{00000000-0005-0000-0000-0000E4000000}"/>
    <cellStyle name="Comma 2 2 2 2 2 2 5" xfId="4821" xr:uid="{00000000-0005-0000-0000-0000E5000000}"/>
    <cellStyle name="Comma 2 2 2 2 2 3" xfId="117" xr:uid="{00000000-0005-0000-0000-0000E6000000}"/>
    <cellStyle name="Comma 2 2 2 2 2 3 2" xfId="118" xr:uid="{00000000-0005-0000-0000-0000E7000000}"/>
    <cellStyle name="Comma 2 2 2 2 2 3 2 2" xfId="7265" xr:uid="{00000000-0005-0000-0000-0000E8000000}"/>
    <cellStyle name="Comma 2 2 2 2 2 3 3" xfId="7264" xr:uid="{00000000-0005-0000-0000-0000E9000000}"/>
    <cellStyle name="Comma 2 2 2 2 2 3 4" xfId="4823" xr:uid="{00000000-0005-0000-0000-0000EA000000}"/>
    <cellStyle name="Comma 2 2 2 2 2 4" xfId="119" xr:uid="{00000000-0005-0000-0000-0000EB000000}"/>
    <cellStyle name="Comma 2 2 2 2 2 4 2" xfId="120" xr:uid="{00000000-0005-0000-0000-0000EC000000}"/>
    <cellStyle name="Comma 2 2 2 2 2 4 2 2" xfId="7267" xr:uid="{00000000-0005-0000-0000-0000ED000000}"/>
    <cellStyle name="Comma 2 2 2 2 2 4 3" xfId="7266" xr:uid="{00000000-0005-0000-0000-0000EE000000}"/>
    <cellStyle name="Comma 2 2 2 2 2 4 4" xfId="4824" xr:uid="{00000000-0005-0000-0000-0000EF000000}"/>
    <cellStyle name="Comma 2 2 2 2 2 5" xfId="121" xr:uid="{00000000-0005-0000-0000-0000F0000000}"/>
    <cellStyle name="Comma 2 2 2 2 2 5 2" xfId="7268" xr:uid="{00000000-0005-0000-0000-0000F1000000}"/>
    <cellStyle name="Comma 2 2 2 2 2 6" xfId="7259" xr:uid="{00000000-0005-0000-0000-0000F2000000}"/>
    <cellStyle name="Comma 2 2 2 2 2 7" xfId="4820" xr:uid="{00000000-0005-0000-0000-0000F3000000}"/>
    <cellStyle name="Comma 2 2 2 2 3" xfId="122" xr:uid="{00000000-0005-0000-0000-0000F4000000}"/>
    <cellStyle name="Comma 2 2 2 2 3 2" xfId="123" xr:uid="{00000000-0005-0000-0000-0000F5000000}"/>
    <cellStyle name="Comma 2 2 2 2 3 2 2" xfId="124" xr:uid="{00000000-0005-0000-0000-0000F6000000}"/>
    <cellStyle name="Comma 2 2 2 2 3 2 2 2" xfId="125" xr:uid="{00000000-0005-0000-0000-0000F7000000}"/>
    <cellStyle name="Comma 2 2 2 2 3 2 2 2 2" xfId="7272" xr:uid="{00000000-0005-0000-0000-0000F8000000}"/>
    <cellStyle name="Comma 2 2 2 2 3 2 2 3" xfId="7271" xr:uid="{00000000-0005-0000-0000-0000F9000000}"/>
    <cellStyle name="Comma 2 2 2 2 3 2 2 4" xfId="4827" xr:uid="{00000000-0005-0000-0000-0000FA000000}"/>
    <cellStyle name="Comma 2 2 2 2 3 2 3" xfId="126" xr:uid="{00000000-0005-0000-0000-0000FB000000}"/>
    <cellStyle name="Comma 2 2 2 2 3 2 3 2" xfId="7273" xr:uid="{00000000-0005-0000-0000-0000FC000000}"/>
    <cellStyle name="Comma 2 2 2 2 3 2 4" xfId="7270" xr:uid="{00000000-0005-0000-0000-0000FD000000}"/>
    <cellStyle name="Comma 2 2 2 2 3 2 5" xfId="4826" xr:uid="{00000000-0005-0000-0000-0000FE000000}"/>
    <cellStyle name="Comma 2 2 2 2 3 3" xfId="127" xr:uid="{00000000-0005-0000-0000-0000FF000000}"/>
    <cellStyle name="Comma 2 2 2 2 3 3 2" xfId="128" xr:uid="{00000000-0005-0000-0000-000000010000}"/>
    <cellStyle name="Comma 2 2 2 2 3 3 2 2" xfId="7275" xr:uid="{00000000-0005-0000-0000-000001010000}"/>
    <cellStyle name="Comma 2 2 2 2 3 3 3" xfId="7274" xr:uid="{00000000-0005-0000-0000-000002010000}"/>
    <cellStyle name="Comma 2 2 2 2 3 3 4" xfId="4828" xr:uid="{00000000-0005-0000-0000-000003010000}"/>
    <cellStyle name="Comma 2 2 2 2 3 4" xfId="129" xr:uid="{00000000-0005-0000-0000-000004010000}"/>
    <cellStyle name="Comma 2 2 2 2 3 4 2" xfId="130" xr:uid="{00000000-0005-0000-0000-000005010000}"/>
    <cellStyle name="Comma 2 2 2 2 3 4 2 2" xfId="7277" xr:uid="{00000000-0005-0000-0000-000006010000}"/>
    <cellStyle name="Comma 2 2 2 2 3 4 3" xfId="7276" xr:uid="{00000000-0005-0000-0000-000007010000}"/>
    <cellStyle name="Comma 2 2 2 2 3 4 4" xfId="4829" xr:uid="{00000000-0005-0000-0000-000008010000}"/>
    <cellStyle name="Comma 2 2 2 2 3 5" xfId="131" xr:uid="{00000000-0005-0000-0000-000009010000}"/>
    <cellStyle name="Comma 2 2 2 2 3 5 2" xfId="7278" xr:uid="{00000000-0005-0000-0000-00000A010000}"/>
    <cellStyle name="Comma 2 2 2 2 3 6" xfId="7269" xr:uid="{00000000-0005-0000-0000-00000B010000}"/>
    <cellStyle name="Comma 2 2 2 2 3 7" xfId="4825" xr:uid="{00000000-0005-0000-0000-00000C010000}"/>
    <cellStyle name="Comma 2 2 2 2 4" xfId="132" xr:uid="{00000000-0005-0000-0000-00000D010000}"/>
    <cellStyle name="Comma 2 2 2 2 4 2" xfId="133" xr:uid="{00000000-0005-0000-0000-00000E010000}"/>
    <cellStyle name="Comma 2 2 2 2 4 2 2" xfId="134" xr:uid="{00000000-0005-0000-0000-00000F010000}"/>
    <cellStyle name="Comma 2 2 2 2 4 2 2 2" xfId="135" xr:uid="{00000000-0005-0000-0000-000010010000}"/>
    <cellStyle name="Comma 2 2 2 2 4 2 2 2 2" xfId="7282" xr:uid="{00000000-0005-0000-0000-000011010000}"/>
    <cellStyle name="Comma 2 2 2 2 4 2 2 3" xfId="7281" xr:uid="{00000000-0005-0000-0000-000012010000}"/>
    <cellStyle name="Comma 2 2 2 2 4 2 2 4" xfId="4832" xr:uid="{00000000-0005-0000-0000-000013010000}"/>
    <cellStyle name="Comma 2 2 2 2 4 2 3" xfId="136" xr:uid="{00000000-0005-0000-0000-000014010000}"/>
    <cellStyle name="Comma 2 2 2 2 4 2 3 2" xfId="7283" xr:uid="{00000000-0005-0000-0000-000015010000}"/>
    <cellStyle name="Comma 2 2 2 2 4 2 4" xfId="7280" xr:uid="{00000000-0005-0000-0000-000016010000}"/>
    <cellStyle name="Comma 2 2 2 2 4 2 5" xfId="4831" xr:uid="{00000000-0005-0000-0000-000017010000}"/>
    <cellStyle name="Comma 2 2 2 2 4 3" xfId="137" xr:uid="{00000000-0005-0000-0000-000018010000}"/>
    <cellStyle name="Comma 2 2 2 2 4 3 2" xfId="138" xr:uid="{00000000-0005-0000-0000-000019010000}"/>
    <cellStyle name="Comma 2 2 2 2 4 3 2 2" xfId="7285" xr:uid="{00000000-0005-0000-0000-00001A010000}"/>
    <cellStyle name="Comma 2 2 2 2 4 3 3" xfId="7284" xr:uid="{00000000-0005-0000-0000-00001B010000}"/>
    <cellStyle name="Comma 2 2 2 2 4 3 4" xfId="4833" xr:uid="{00000000-0005-0000-0000-00001C010000}"/>
    <cellStyle name="Comma 2 2 2 2 4 4" xfId="139" xr:uid="{00000000-0005-0000-0000-00001D010000}"/>
    <cellStyle name="Comma 2 2 2 2 4 4 2" xfId="140" xr:uid="{00000000-0005-0000-0000-00001E010000}"/>
    <cellStyle name="Comma 2 2 2 2 4 4 2 2" xfId="7287" xr:uid="{00000000-0005-0000-0000-00001F010000}"/>
    <cellStyle name="Comma 2 2 2 2 4 4 3" xfId="7286" xr:uid="{00000000-0005-0000-0000-000020010000}"/>
    <cellStyle name="Comma 2 2 2 2 4 4 4" xfId="4834" xr:uid="{00000000-0005-0000-0000-000021010000}"/>
    <cellStyle name="Comma 2 2 2 2 4 5" xfId="141" xr:uid="{00000000-0005-0000-0000-000022010000}"/>
    <cellStyle name="Comma 2 2 2 2 4 5 2" xfId="7288" xr:uid="{00000000-0005-0000-0000-000023010000}"/>
    <cellStyle name="Comma 2 2 2 2 4 6" xfId="7279" xr:uid="{00000000-0005-0000-0000-000024010000}"/>
    <cellStyle name="Comma 2 2 2 2 4 7" xfId="4830" xr:uid="{00000000-0005-0000-0000-000025010000}"/>
    <cellStyle name="Comma 2 2 2 2 5" xfId="142" xr:uid="{00000000-0005-0000-0000-000026010000}"/>
    <cellStyle name="Comma 2 2 2 2 5 2" xfId="143" xr:uid="{00000000-0005-0000-0000-000027010000}"/>
    <cellStyle name="Comma 2 2 2 2 5 2 2" xfId="144" xr:uid="{00000000-0005-0000-0000-000028010000}"/>
    <cellStyle name="Comma 2 2 2 2 5 2 2 2" xfId="145" xr:uid="{00000000-0005-0000-0000-000029010000}"/>
    <cellStyle name="Comma 2 2 2 2 5 2 2 2 2" xfId="7292" xr:uid="{00000000-0005-0000-0000-00002A010000}"/>
    <cellStyle name="Comma 2 2 2 2 5 2 2 3" xfId="7291" xr:uid="{00000000-0005-0000-0000-00002B010000}"/>
    <cellStyle name="Comma 2 2 2 2 5 2 2 4" xfId="4837" xr:uid="{00000000-0005-0000-0000-00002C010000}"/>
    <cellStyle name="Comma 2 2 2 2 5 2 3" xfId="146" xr:uid="{00000000-0005-0000-0000-00002D010000}"/>
    <cellStyle name="Comma 2 2 2 2 5 2 3 2" xfId="7293" xr:uid="{00000000-0005-0000-0000-00002E010000}"/>
    <cellStyle name="Comma 2 2 2 2 5 2 4" xfId="7290" xr:uid="{00000000-0005-0000-0000-00002F010000}"/>
    <cellStyle name="Comma 2 2 2 2 5 2 5" xfId="4836" xr:uid="{00000000-0005-0000-0000-000030010000}"/>
    <cellStyle name="Comma 2 2 2 2 5 3" xfId="147" xr:uid="{00000000-0005-0000-0000-000031010000}"/>
    <cellStyle name="Comma 2 2 2 2 5 3 2" xfId="148" xr:uid="{00000000-0005-0000-0000-000032010000}"/>
    <cellStyle name="Comma 2 2 2 2 5 3 2 2" xfId="7295" xr:uid="{00000000-0005-0000-0000-000033010000}"/>
    <cellStyle name="Comma 2 2 2 2 5 3 3" xfId="7294" xr:uid="{00000000-0005-0000-0000-000034010000}"/>
    <cellStyle name="Comma 2 2 2 2 5 3 4" xfId="4838" xr:uid="{00000000-0005-0000-0000-000035010000}"/>
    <cellStyle name="Comma 2 2 2 2 5 4" xfId="149" xr:uid="{00000000-0005-0000-0000-000036010000}"/>
    <cellStyle name="Comma 2 2 2 2 5 4 2" xfId="150" xr:uid="{00000000-0005-0000-0000-000037010000}"/>
    <cellStyle name="Comma 2 2 2 2 5 4 2 2" xfId="7297" xr:uid="{00000000-0005-0000-0000-000038010000}"/>
    <cellStyle name="Comma 2 2 2 2 5 4 3" xfId="7296" xr:uid="{00000000-0005-0000-0000-000039010000}"/>
    <cellStyle name="Comma 2 2 2 2 5 4 4" xfId="4839" xr:uid="{00000000-0005-0000-0000-00003A010000}"/>
    <cellStyle name="Comma 2 2 2 2 5 5" xfId="151" xr:uid="{00000000-0005-0000-0000-00003B010000}"/>
    <cellStyle name="Comma 2 2 2 2 5 5 2" xfId="7298" xr:uid="{00000000-0005-0000-0000-00003C010000}"/>
    <cellStyle name="Comma 2 2 2 2 5 6" xfId="7289" xr:uid="{00000000-0005-0000-0000-00003D010000}"/>
    <cellStyle name="Comma 2 2 2 2 5 7" xfId="4835" xr:uid="{00000000-0005-0000-0000-00003E010000}"/>
    <cellStyle name="Comma 2 2 2 2 6" xfId="152" xr:uid="{00000000-0005-0000-0000-00003F010000}"/>
    <cellStyle name="Comma 2 2 2 2 6 2" xfId="153" xr:uid="{00000000-0005-0000-0000-000040010000}"/>
    <cellStyle name="Comma 2 2 2 2 6 2 2" xfId="154" xr:uid="{00000000-0005-0000-0000-000041010000}"/>
    <cellStyle name="Comma 2 2 2 2 6 2 2 2" xfId="7301" xr:uid="{00000000-0005-0000-0000-000042010000}"/>
    <cellStyle name="Comma 2 2 2 2 6 2 3" xfId="7300" xr:uid="{00000000-0005-0000-0000-000043010000}"/>
    <cellStyle name="Comma 2 2 2 2 6 2 4" xfId="4841" xr:uid="{00000000-0005-0000-0000-000044010000}"/>
    <cellStyle name="Comma 2 2 2 2 6 3" xfId="155" xr:uid="{00000000-0005-0000-0000-000045010000}"/>
    <cellStyle name="Comma 2 2 2 2 6 3 2" xfId="156" xr:uid="{00000000-0005-0000-0000-000046010000}"/>
    <cellStyle name="Comma 2 2 2 2 6 3 2 2" xfId="7303" xr:uid="{00000000-0005-0000-0000-000047010000}"/>
    <cellStyle name="Comma 2 2 2 2 6 3 3" xfId="7302" xr:uid="{00000000-0005-0000-0000-000048010000}"/>
    <cellStyle name="Comma 2 2 2 2 6 3 4" xfId="4842" xr:uid="{00000000-0005-0000-0000-000049010000}"/>
    <cellStyle name="Comma 2 2 2 2 6 4" xfId="157" xr:uid="{00000000-0005-0000-0000-00004A010000}"/>
    <cellStyle name="Comma 2 2 2 2 6 4 2" xfId="7304" xr:uid="{00000000-0005-0000-0000-00004B010000}"/>
    <cellStyle name="Comma 2 2 2 2 6 5" xfId="7299" xr:uid="{00000000-0005-0000-0000-00004C010000}"/>
    <cellStyle name="Comma 2 2 2 2 6 6" xfId="4840" xr:uid="{00000000-0005-0000-0000-00004D010000}"/>
    <cellStyle name="Comma 2 2 2 2 7" xfId="158" xr:uid="{00000000-0005-0000-0000-00004E010000}"/>
    <cellStyle name="Comma 2 2 2 2 7 2" xfId="159" xr:uid="{00000000-0005-0000-0000-00004F010000}"/>
    <cellStyle name="Comma 2 2 2 2 7 2 2" xfId="160" xr:uid="{00000000-0005-0000-0000-000050010000}"/>
    <cellStyle name="Comma 2 2 2 2 7 2 2 2" xfId="7307" xr:uid="{00000000-0005-0000-0000-000051010000}"/>
    <cellStyle name="Comma 2 2 2 2 7 2 3" xfId="7306" xr:uid="{00000000-0005-0000-0000-000052010000}"/>
    <cellStyle name="Comma 2 2 2 2 7 2 4" xfId="4844" xr:uid="{00000000-0005-0000-0000-000053010000}"/>
    <cellStyle name="Comma 2 2 2 2 7 3" xfId="161" xr:uid="{00000000-0005-0000-0000-000054010000}"/>
    <cellStyle name="Comma 2 2 2 2 7 3 2" xfId="7308" xr:uid="{00000000-0005-0000-0000-000055010000}"/>
    <cellStyle name="Comma 2 2 2 2 7 4" xfId="7305" xr:uid="{00000000-0005-0000-0000-000056010000}"/>
    <cellStyle name="Comma 2 2 2 2 7 5" xfId="4843" xr:uid="{00000000-0005-0000-0000-000057010000}"/>
    <cellStyle name="Comma 2 2 2 2 8" xfId="162" xr:uid="{00000000-0005-0000-0000-000058010000}"/>
    <cellStyle name="Comma 2 2 2 2 8 2" xfId="163" xr:uid="{00000000-0005-0000-0000-000059010000}"/>
    <cellStyle name="Comma 2 2 2 2 8 2 2" xfId="7310" xr:uid="{00000000-0005-0000-0000-00005A010000}"/>
    <cellStyle name="Comma 2 2 2 2 8 3" xfId="7309" xr:uid="{00000000-0005-0000-0000-00005B010000}"/>
    <cellStyle name="Comma 2 2 2 2 8 4" xfId="4845" xr:uid="{00000000-0005-0000-0000-00005C010000}"/>
    <cellStyle name="Comma 2 2 2 2 9" xfId="164" xr:uid="{00000000-0005-0000-0000-00005D010000}"/>
    <cellStyle name="Comma 2 2 2 2 9 2" xfId="165" xr:uid="{00000000-0005-0000-0000-00005E010000}"/>
    <cellStyle name="Comma 2 2 2 2 9 2 2" xfId="7312" xr:uid="{00000000-0005-0000-0000-00005F010000}"/>
    <cellStyle name="Comma 2 2 2 2 9 3" xfId="7311" xr:uid="{00000000-0005-0000-0000-000060010000}"/>
    <cellStyle name="Comma 2 2 2 2 9 4" xfId="4846" xr:uid="{00000000-0005-0000-0000-000061010000}"/>
    <cellStyle name="Comma 2 2 2 3" xfId="166" xr:uid="{00000000-0005-0000-0000-000062010000}"/>
    <cellStyle name="Comma 2 2 2 3 2" xfId="167" xr:uid="{00000000-0005-0000-0000-000063010000}"/>
    <cellStyle name="Comma 2 2 2 3 2 2" xfId="168" xr:uid="{00000000-0005-0000-0000-000064010000}"/>
    <cellStyle name="Comma 2 2 2 3 2 2 2" xfId="169" xr:uid="{00000000-0005-0000-0000-000065010000}"/>
    <cellStyle name="Comma 2 2 2 3 2 2 2 2" xfId="7316" xr:uid="{00000000-0005-0000-0000-000066010000}"/>
    <cellStyle name="Comma 2 2 2 3 2 2 3" xfId="7315" xr:uid="{00000000-0005-0000-0000-000067010000}"/>
    <cellStyle name="Comma 2 2 2 3 2 2 4" xfId="4849" xr:uid="{00000000-0005-0000-0000-000068010000}"/>
    <cellStyle name="Comma 2 2 2 3 2 3" xfId="170" xr:uid="{00000000-0005-0000-0000-000069010000}"/>
    <cellStyle name="Comma 2 2 2 3 2 3 2" xfId="7317" xr:uid="{00000000-0005-0000-0000-00006A010000}"/>
    <cellStyle name="Comma 2 2 2 3 2 4" xfId="7314" xr:uid="{00000000-0005-0000-0000-00006B010000}"/>
    <cellStyle name="Comma 2 2 2 3 2 5" xfId="4848" xr:uid="{00000000-0005-0000-0000-00006C010000}"/>
    <cellStyle name="Comma 2 2 2 3 3" xfId="171" xr:uid="{00000000-0005-0000-0000-00006D010000}"/>
    <cellStyle name="Comma 2 2 2 3 3 2" xfId="172" xr:uid="{00000000-0005-0000-0000-00006E010000}"/>
    <cellStyle name="Comma 2 2 2 3 3 2 2" xfId="7319" xr:uid="{00000000-0005-0000-0000-00006F010000}"/>
    <cellStyle name="Comma 2 2 2 3 3 3" xfId="7318" xr:uid="{00000000-0005-0000-0000-000070010000}"/>
    <cellStyle name="Comma 2 2 2 3 3 4" xfId="4850" xr:uid="{00000000-0005-0000-0000-000071010000}"/>
    <cellStyle name="Comma 2 2 2 3 4" xfId="173" xr:uid="{00000000-0005-0000-0000-000072010000}"/>
    <cellStyle name="Comma 2 2 2 3 4 2" xfId="174" xr:uid="{00000000-0005-0000-0000-000073010000}"/>
    <cellStyle name="Comma 2 2 2 3 4 2 2" xfId="7321" xr:uid="{00000000-0005-0000-0000-000074010000}"/>
    <cellStyle name="Comma 2 2 2 3 4 3" xfId="7320" xr:uid="{00000000-0005-0000-0000-000075010000}"/>
    <cellStyle name="Comma 2 2 2 3 4 4" xfId="4851" xr:uid="{00000000-0005-0000-0000-000076010000}"/>
    <cellStyle name="Comma 2 2 2 3 5" xfId="175" xr:uid="{00000000-0005-0000-0000-000077010000}"/>
    <cellStyle name="Comma 2 2 2 3 5 2" xfId="7322" xr:uid="{00000000-0005-0000-0000-000078010000}"/>
    <cellStyle name="Comma 2 2 2 3 6" xfId="7313" xr:uid="{00000000-0005-0000-0000-000079010000}"/>
    <cellStyle name="Comma 2 2 2 3 7" xfId="4847" xr:uid="{00000000-0005-0000-0000-00007A010000}"/>
    <cellStyle name="Comma 2 2 2 4" xfId="176" xr:uid="{00000000-0005-0000-0000-00007B010000}"/>
    <cellStyle name="Comma 2 2 2 4 2" xfId="177" xr:uid="{00000000-0005-0000-0000-00007C010000}"/>
    <cellStyle name="Comma 2 2 2 4 2 2" xfId="178" xr:uid="{00000000-0005-0000-0000-00007D010000}"/>
    <cellStyle name="Comma 2 2 2 4 2 2 2" xfId="179" xr:uid="{00000000-0005-0000-0000-00007E010000}"/>
    <cellStyle name="Comma 2 2 2 4 2 2 2 2" xfId="7326" xr:uid="{00000000-0005-0000-0000-00007F010000}"/>
    <cellStyle name="Comma 2 2 2 4 2 2 3" xfId="7325" xr:uid="{00000000-0005-0000-0000-000080010000}"/>
    <cellStyle name="Comma 2 2 2 4 2 2 4" xfId="4854" xr:uid="{00000000-0005-0000-0000-000081010000}"/>
    <cellStyle name="Comma 2 2 2 4 2 3" xfId="180" xr:uid="{00000000-0005-0000-0000-000082010000}"/>
    <cellStyle name="Comma 2 2 2 4 2 3 2" xfId="7327" xr:uid="{00000000-0005-0000-0000-000083010000}"/>
    <cellStyle name="Comma 2 2 2 4 2 4" xfId="7324" xr:uid="{00000000-0005-0000-0000-000084010000}"/>
    <cellStyle name="Comma 2 2 2 4 2 5" xfId="4853" xr:uid="{00000000-0005-0000-0000-000085010000}"/>
    <cellStyle name="Comma 2 2 2 4 3" xfId="181" xr:uid="{00000000-0005-0000-0000-000086010000}"/>
    <cellStyle name="Comma 2 2 2 4 3 2" xfId="182" xr:uid="{00000000-0005-0000-0000-000087010000}"/>
    <cellStyle name="Comma 2 2 2 4 3 2 2" xfId="7329" xr:uid="{00000000-0005-0000-0000-000088010000}"/>
    <cellStyle name="Comma 2 2 2 4 3 3" xfId="7328" xr:uid="{00000000-0005-0000-0000-000089010000}"/>
    <cellStyle name="Comma 2 2 2 4 3 4" xfId="4855" xr:uid="{00000000-0005-0000-0000-00008A010000}"/>
    <cellStyle name="Comma 2 2 2 4 4" xfId="183" xr:uid="{00000000-0005-0000-0000-00008B010000}"/>
    <cellStyle name="Comma 2 2 2 4 4 2" xfId="184" xr:uid="{00000000-0005-0000-0000-00008C010000}"/>
    <cellStyle name="Comma 2 2 2 4 4 2 2" xfId="7331" xr:uid="{00000000-0005-0000-0000-00008D010000}"/>
    <cellStyle name="Comma 2 2 2 4 4 3" xfId="7330" xr:uid="{00000000-0005-0000-0000-00008E010000}"/>
    <cellStyle name="Comma 2 2 2 4 4 4" xfId="4856" xr:uid="{00000000-0005-0000-0000-00008F010000}"/>
    <cellStyle name="Comma 2 2 2 4 5" xfId="185" xr:uid="{00000000-0005-0000-0000-000090010000}"/>
    <cellStyle name="Comma 2 2 2 4 5 2" xfId="7332" xr:uid="{00000000-0005-0000-0000-000091010000}"/>
    <cellStyle name="Comma 2 2 2 4 6" xfId="7323" xr:uid="{00000000-0005-0000-0000-000092010000}"/>
    <cellStyle name="Comma 2 2 2 4 7" xfId="4852" xr:uid="{00000000-0005-0000-0000-000093010000}"/>
    <cellStyle name="Comma 2 2 2 5" xfId="186" xr:uid="{00000000-0005-0000-0000-000094010000}"/>
    <cellStyle name="Comma 2 2 2 5 2" xfId="187" xr:uid="{00000000-0005-0000-0000-000095010000}"/>
    <cellStyle name="Comma 2 2 2 5 2 2" xfId="188" xr:uid="{00000000-0005-0000-0000-000096010000}"/>
    <cellStyle name="Comma 2 2 2 5 2 2 2" xfId="189" xr:uid="{00000000-0005-0000-0000-000097010000}"/>
    <cellStyle name="Comma 2 2 2 5 2 2 2 2" xfId="7336" xr:uid="{00000000-0005-0000-0000-000098010000}"/>
    <cellStyle name="Comma 2 2 2 5 2 2 3" xfId="7335" xr:uid="{00000000-0005-0000-0000-000099010000}"/>
    <cellStyle name="Comma 2 2 2 5 2 2 4" xfId="4859" xr:uid="{00000000-0005-0000-0000-00009A010000}"/>
    <cellStyle name="Comma 2 2 2 5 2 3" xfId="190" xr:uid="{00000000-0005-0000-0000-00009B010000}"/>
    <cellStyle name="Comma 2 2 2 5 2 3 2" xfId="7337" xr:uid="{00000000-0005-0000-0000-00009C010000}"/>
    <cellStyle name="Comma 2 2 2 5 2 4" xfId="7334" xr:uid="{00000000-0005-0000-0000-00009D010000}"/>
    <cellStyle name="Comma 2 2 2 5 2 5" xfId="4858" xr:uid="{00000000-0005-0000-0000-00009E010000}"/>
    <cellStyle name="Comma 2 2 2 5 3" xfId="191" xr:uid="{00000000-0005-0000-0000-00009F010000}"/>
    <cellStyle name="Comma 2 2 2 5 3 2" xfId="192" xr:uid="{00000000-0005-0000-0000-0000A0010000}"/>
    <cellStyle name="Comma 2 2 2 5 3 2 2" xfId="7339" xr:uid="{00000000-0005-0000-0000-0000A1010000}"/>
    <cellStyle name="Comma 2 2 2 5 3 3" xfId="7338" xr:uid="{00000000-0005-0000-0000-0000A2010000}"/>
    <cellStyle name="Comma 2 2 2 5 3 4" xfId="4860" xr:uid="{00000000-0005-0000-0000-0000A3010000}"/>
    <cellStyle name="Comma 2 2 2 5 4" xfId="193" xr:uid="{00000000-0005-0000-0000-0000A4010000}"/>
    <cellStyle name="Comma 2 2 2 5 4 2" xfId="194" xr:uid="{00000000-0005-0000-0000-0000A5010000}"/>
    <cellStyle name="Comma 2 2 2 5 4 2 2" xfId="7341" xr:uid="{00000000-0005-0000-0000-0000A6010000}"/>
    <cellStyle name="Comma 2 2 2 5 4 3" xfId="7340" xr:uid="{00000000-0005-0000-0000-0000A7010000}"/>
    <cellStyle name="Comma 2 2 2 5 4 4" xfId="4861" xr:uid="{00000000-0005-0000-0000-0000A8010000}"/>
    <cellStyle name="Comma 2 2 2 5 5" xfId="195" xr:uid="{00000000-0005-0000-0000-0000A9010000}"/>
    <cellStyle name="Comma 2 2 2 5 5 2" xfId="7342" xr:uid="{00000000-0005-0000-0000-0000AA010000}"/>
    <cellStyle name="Comma 2 2 2 5 6" xfId="7333" xr:uid="{00000000-0005-0000-0000-0000AB010000}"/>
    <cellStyle name="Comma 2 2 2 5 7" xfId="4857" xr:uid="{00000000-0005-0000-0000-0000AC010000}"/>
    <cellStyle name="Comma 2 2 2 6" xfId="196" xr:uid="{00000000-0005-0000-0000-0000AD010000}"/>
    <cellStyle name="Comma 2 2 2 6 2" xfId="197" xr:uid="{00000000-0005-0000-0000-0000AE010000}"/>
    <cellStyle name="Comma 2 2 2 6 2 2" xfId="198" xr:uid="{00000000-0005-0000-0000-0000AF010000}"/>
    <cellStyle name="Comma 2 2 2 6 2 2 2" xfId="199" xr:uid="{00000000-0005-0000-0000-0000B0010000}"/>
    <cellStyle name="Comma 2 2 2 6 2 2 2 2" xfId="7346" xr:uid="{00000000-0005-0000-0000-0000B1010000}"/>
    <cellStyle name="Comma 2 2 2 6 2 2 3" xfId="7345" xr:uid="{00000000-0005-0000-0000-0000B2010000}"/>
    <cellStyle name="Comma 2 2 2 6 2 2 4" xfId="4864" xr:uid="{00000000-0005-0000-0000-0000B3010000}"/>
    <cellStyle name="Comma 2 2 2 6 2 3" xfId="200" xr:uid="{00000000-0005-0000-0000-0000B4010000}"/>
    <cellStyle name="Comma 2 2 2 6 2 3 2" xfId="7347" xr:uid="{00000000-0005-0000-0000-0000B5010000}"/>
    <cellStyle name="Comma 2 2 2 6 2 4" xfId="7344" xr:uid="{00000000-0005-0000-0000-0000B6010000}"/>
    <cellStyle name="Comma 2 2 2 6 2 5" xfId="4863" xr:uid="{00000000-0005-0000-0000-0000B7010000}"/>
    <cellStyle name="Comma 2 2 2 6 3" xfId="201" xr:uid="{00000000-0005-0000-0000-0000B8010000}"/>
    <cellStyle name="Comma 2 2 2 6 3 2" xfId="202" xr:uid="{00000000-0005-0000-0000-0000B9010000}"/>
    <cellStyle name="Comma 2 2 2 6 3 2 2" xfId="7349" xr:uid="{00000000-0005-0000-0000-0000BA010000}"/>
    <cellStyle name="Comma 2 2 2 6 3 3" xfId="7348" xr:uid="{00000000-0005-0000-0000-0000BB010000}"/>
    <cellStyle name="Comma 2 2 2 6 3 4" xfId="4865" xr:uid="{00000000-0005-0000-0000-0000BC010000}"/>
    <cellStyle name="Comma 2 2 2 6 4" xfId="203" xr:uid="{00000000-0005-0000-0000-0000BD010000}"/>
    <cellStyle name="Comma 2 2 2 6 4 2" xfId="204" xr:uid="{00000000-0005-0000-0000-0000BE010000}"/>
    <cellStyle name="Comma 2 2 2 6 4 2 2" xfId="7351" xr:uid="{00000000-0005-0000-0000-0000BF010000}"/>
    <cellStyle name="Comma 2 2 2 6 4 3" xfId="7350" xr:uid="{00000000-0005-0000-0000-0000C0010000}"/>
    <cellStyle name="Comma 2 2 2 6 4 4" xfId="4866" xr:uid="{00000000-0005-0000-0000-0000C1010000}"/>
    <cellStyle name="Comma 2 2 2 6 5" xfId="205" xr:uid="{00000000-0005-0000-0000-0000C2010000}"/>
    <cellStyle name="Comma 2 2 2 6 5 2" xfId="7352" xr:uid="{00000000-0005-0000-0000-0000C3010000}"/>
    <cellStyle name="Comma 2 2 2 6 6" xfId="7343" xr:uid="{00000000-0005-0000-0000-0000C4010000}"/>
    <cellStyle name="Comma 2 2 2 6 7" xfId="4862" xr:uid="{00000000-0005-0000-0000-0000C5010000}"/>
    <cellStyle name="Comma 2 2 2 7" xfId="206" xr:uid="{00000000-0005-0000-0000-0000C6010000}"/>
    <cellStyle name="Comma 2 2 2 7 2" xfId="207" xr:uid="{00000000-0005-0000-0000-0000C7010000}"/>
    <cellStyle name="Comma 2 2 2 7 2 2" xfId="208" xr:uid="{00000000-0005-0000-0000-0000C8010000}"/>
    <cellStyle name="Comma 2 2 2 7 2 2 2" xfId="7355" xr:uid="{00000000-0005-0000-0000-0000C9010000}"/>
    <cellStyle name="Comma 2 2 2 7 2 3" xfId="7354" xr:uid="{00000000-0005-0000-0000-0000CA010000}"/>
    <cellStyle name="Comma 2 2 2 7 2 4" xfId="4868" xr:uid="{00000000-0005-0000-0000-0000CB010000}"/>
    <cellStyle name="Comma 2 2 2 7 3" xfId="209" xr:uid="{00000000-0005-0000-0000-0000CC010000}"/>
    <cellStyle name="Comma 2 2 2 7 3 2" xfId="210" xr:uid="{00000000-0005-0000-0000-0000CD010000}"/>
    <cellStyle name="Comma 2 2 2 7 3 2 2" xfId="7357" xr:uid="{00000000-0005-0000-0000-0000CE010000}"/>
    <cellStyle name="Comma 2 2 2 7 3 3" xfId="7356" xr:uid="{00000000-0005-0000-0000-0000CF010000}"/>
    <cellStyle name="Comma 2 2 2 7 3 4" xfId="4869" xr:uid="{00000000-0005-0000-0000-0000D0010000}"/>
    <cellStyle name="Comma 2 2 2 7 4" xfId="211" xr:uid="{00000000-0005-0000-0000-0000D1010000}"/>
    <cellStyle name="Comma 2 2 2 7 4 2" xfId="7358" xr:uid="{00000000-0005-0000-0000-0000D2010000}"/>
    <cellStyle name="Comma 2 2 2 7 5" xfId="7353" xr:uid="{00000000-0005-0000-0000-0000D3010000}"/>
    <cellStyle name="Comma 2 2 2 7 6" xfId="4867" xr:uid="{00000000-0005-0000-0000-0000D4010000}"/>
    <cellStyle name="Comma 2 2 2 8" xfId="212" xr:uid="{00000000-0005-0000-0000-0000D5010000}"/>
    <cellStyle name="Comma 2 2 2 8 2" xfId="213" xr:uid="{00000000-0005-0000-0000-0000D6010000}"/>
    <cellStyle name="Comma 2 2 2 8 2 2" xfId="214" xr:uid="{00000000-0005-0000-0000-0000D7010000}"/>
    <cellStyle name="Comma 2 2 2 8 2 2 2" xfId="7361" xr:uid="{00000000-0005-0000-0000-0000D8010000}"/>
    <cellStyle name="Comma 2 2 2 8 2 3" xfId="7360" xr:uid="{00000000-0005-0000-0000-0000D9010000}"/>
    <cellStyle name="Comma 2 2 2 8 2 4" xfId="4871" xr:uid="{00000000-0005-0000-0000-0000DA010000}"/>
    <cellStyle name="Comma 2 2 2 8 3" xfId="215" xr:uid="{00000000-0005-0000-0000-0000DB010000}"/>
    <cellStyle name="Comma 2 2 2 8 3 2" xfId="7362" xr:uid="{00000000-0005-0000-0000-0000DC010000}"/>
    <cellStyle name="Comma 2 2 2 8 4" xfId="7359" xr:uid="{00000000-0005-0000-0000-0000DD010000}"/>
    <cellStyle name="Comma 2 2 2 8 5" xfId="4870" xr:uid="{00000000-0005-0000-0000-0000DE010000}"/>
    <cellStyle name="Comma 2 2 2 9" xfId="216" xr:uid="{00000000-0005-0000-0000-0000DF010000}"/>
    <cellStyle name="Comma 2 2 2 9 2" xfId="217" xr:uid="{00000000-0005-0000-0000-0000E0010000}"/>
    <cellStyle name="Comma 2 2 2 9 2 2" xfId="7364" xr:uid="{00000000-0005-0000-0000-0000E1010000}"/>
    <cellStyle name="Comma 2 2 2 9 3" xfId="7363" xr:uid="{00000000-0005-0000-0000-0000E2010000}"/>
    <cellStyle name="Comma 2 2 2 9 4" xfId="4872" xr:uid="{00000000-0005-0000-0000-0000E3010000}"/>
    <cellStyle name="Comma 2 2 20" xfId="12352" xr:uid="{00000000-0005-0000-0000-0000E4010000}"/>
    <cellStyle name="Comma 2 2 3" xfId="218" xr:uid="{00000000-0005-0000-0000-0000E5010000}"/>
    <cellStyle name="Comma 2 2 3 10" xfId="219" xr:uid="{00000000-0005-0000-0000-0000E6010000}"/>
    <cellStyle name="Comma 2 2 3 10 2" xfId="220" xr:uid="{00000000-0005-0000-0000-0000E7010000}"/>
    <cellStyle name="Comma 2 2 3 10 2 2" xfId="7367" xr:uid="{00000000-0005-0000-0000-0000E8010000}"/>
    <cellStyle name="Comma 2 2 3 10 3" xfId="7366" xr:uid="{00000000-0005-0000-0000-0000E9010000}"/>
    <cellStyle name="Comma 2 2 3 10 4" xfId="4874" xr:uid="{00000000-0005-0000-0000-0000EA010000}"/>
    <cellStyle name="Comma 2 2 3 11" xfId="221" xr:uid="{00000000-0005-0000-0000-0000EB010000}"/>
    <cellStyle name="Comma 2 2 3 11 2" xfId="7368" xr:uid="{00000000-0005-0000-0000-0000EC010000}"/>
    <cellStyle name="Comma 2 2 3 12" xfId="7365" xr:uid="{00000000-0005-0000-0000-0000ED010000}"/>
    <cellStyle name="Comma 2 2 3 13" xfId="4873" xr:uid="{00000000-0005-0000-0000-0000EE010000}"/>
    <cellStyle name="Comma 2 2 3 14" xfId="12347" xr:uid="{00000000-0005-0000-0000-0000EF010000}"/>
    <cellStyle name="Comma 2 2 3 15" xfId="12362" xr:uid="{00000000-0005-0000-0000-0000F0010000}"/>
    <cellStyle name="Comma 2 2 3 2" xfId="222" xr:uid="{00000000-0005-0000-0000-0000F1010000}"/>
    <cellStyle name="Comma 2 2 3 2 10" xfId="223" xr:uid="{00000000-0005-0000-0000-0000F2010000}"/>
    <cellStyle name="Comma 2 2 3 2 10 2" xfId="7370" xr:uid="{00000000-0005-0000-0000-0000F3010000}"/>
    <cellStyle name="Comma 2 2 3 2 11" xfId="7369" xr:uid="{00000000-0005-0000-0000-0000F4010000}"/>
    <cellStyle name="Comma 2 2 3 2 12" xfId="4875" xr:uid="{00000000-0005-0000-0000-0000F5010000}"/>
    <cellStyle name="Comma 2 2 3 2 2" xfId="224" xr:uid="{00000000-0005-0000-0000-0000F6010000}"/>
    <cellStyle name="Comma 2 2 3 2 2 2" xfId="225" xr:uid="{00000000-0005-0000-0000-0000F7010000}"/>
    <cellStyle name="Comma 2 2 3 2 2 2 2" xfId="226" xr:uid="{00000000-0005-0000-0000-0000F8010000}"/>
    <cellStyle name="Comma 2 2 3 2 2 2 2 2" xfId="227" xr:uid="{00000000-0005-0000-0000-0000F9010000}"/>
    <cellStyle name="Comma 2 2 3 2 2 2 2 2 2" xfId="7374" xr:uid="{00000000-0005-0000-0000-0000FA010000}"/>
    <cellStyle name="Comma 2 2 3 2 2 2 2 3" xfId="7373" xr:uid="{00000000-0005-0000-0000-0000FB010000}"/>
    <cellStyle name="Comma 2 2 3 2 2 2 2 4" xfId="4878" xr:uid="{00000000-0005-0000-0000-0000FC010000}"/>
    <cellStyle name="Comma 2 2 3 2 2 2 3" xfId="228" xr:uid="{00000000-0005-0000-0000-0000FD010000}"/>
    <cellStyle name="Comma 2 2 3 2 2 2 3 2" xfId="7375" xr:uid="{00000000-0005-0000-0000-0000FE010000}"/>
    <cellStyle name="Comma 2 2 3 2 2 2 4" xfId="7372" xr:uid="{00000000-0005-0000-0000-0000FF010000}"/>
    <cellStyle name="Comma 2 2 3 2 2 2 5" xfId="4877" xr:uid="{00000000-0005-0000-0000-000000020000}"/>
    <cellStyle name="Comma 2 2 3 2 2 3" xfId="229" xr:uid="{00000000-0005-0000-0000-000001020000}"/>
    <cellStyle name="Comma 2 2 3 2 2 3 2" xfId="230" xr:uid="{00000000-0005-0000-0000-000002020000}"/>
    <cellStyle name="Comma 2 2 3 2 2 3 2 2" xfId="7377" xr:uid="{00000000-0005-0000-0000-000003020000}"/>
    <cellStyle name="Comma 2 2 3 2 2 3 3" xfId="7376" xr:uid="{00000000-0005-0000-0000-000004020000}"/>
    <cellStyle name="Comma 2 2 3 2 2 3 4" xfId="4879" xr:uid="{00000000-0005-0000-0000-000005020000}"/>
    <cellStyle name="Comma 2 2 3 2 2 4" xfId="231" xr:uid="{00000000-0005-0000-0000-000006020000}"/>
    <cellStyle name="Comma 2 2 3 2 2 4 2" xfId="232" xr:uid="{00000000-0005-0000-0000-000007020000}"/>
    <cellStyle name="Comma 2 2 3 2 2 4 2 2" xfId="7379" xr:uid="{00000000-0005-0000-0000-000008020000}"/>
    <cellStyle name="Comma 2 2 3 2 2 4 3" xfId="7378" xr:uid="{00000000-0005-0000-0000-000009020000}"/>
    <cellStyle name="Comma 2 2 3 2 2 4 4" xfId="4880" xr:uid="{00000000-0005-0000-0000-00000A020000}"/>
    <cellStyle name="Comma 2 2 3 2 2 5" xfId="233" xr:uid="{00000000-0005-0000-0000-00000B020000}"/>
    <cellStyle name="Comma 2 2 3 2 2 5 2" xfId="7380" xr:uid="{00000000-0005-0000-0000-00000C020000}"/>
    <cellStyle name="Comma 2 2 3 2 2 6" xfId="7371" xr:uid="{00000000-0005-0000-0000-00000D020000}"/>
    <cellStyle name="Comma 2 2 3 2 2 7" xfId="4876" xr:uid="{00000000-0005-0000-0000-00000E020000}"/>
    <cellStyle name="Comma 2 2 3 2 3" xfId="234" xr:uid="{00000000-0005-0000-0000-00000F020000}"/>
    <cellStyle name="Comma 2 2 3 2 3 2" xfId="235" xr:uid="{00000000-0005-0000-0000-000010020000}"/>
    <cellStyle name="Comma 2 2 3 2 3 2 2" xfId="236" xr:uid="{00000000-0005-0000-0000-000011020000}"/>
    <cellStyle name="Comma 2 2 3 2 3 2 2 2" xfId="237" xr:uid="{00000000-0005-0000-0000-000012020000}"/>
    <cellStyle name="Comma 2 2 3 2 3 2 2 2 2" xfId="7384" xr:uid="{00000000-0005-0000-0000-000013020000}"/>
    <cellStyle name="Comma 2 2 3 2 3 2 2 3" xfId="7383" xr:uid="{00000000-0005-0000-0000-000014020000}"/>
    <cellStyle name="Comma 2 2 3 2 3 2 2 4" xfId="4883" xr:uid="{00000000-0005-0000-0000-000015020000}"/>
    <cellStyle name="Comma 2 2 3 2 3 2 3" xfId="238" xr:uid="{00000000-0005-0000-0000-000016020000}"/>
    <cellStyle name="Comma 2 2 3 2 3 2 3 2" xfId="7385" xr:uid="{00000000-0005-0000-0000-000017020000}"/>
    <cellStyle name="Comma 2 2 3 2 3 2 4" xfId="7382" xr:uid="{00000000-0005-0000-0000-000018020000}"/>
    <cellStyle name="Comma 2 2 3 2 3 2 5" xfId="4882" xr:uid="{00000000-0005-0000-0000-000019020000}"/>
    <cellStyle name="Comma 2 2 3 2 3 3" xfId="239" xr:uid="{00000000-0005-0000-0000-00001A020000}"/>
    <cellStyle name="Comma 2 2 3 2 3 3 2" xfId="240" xr:uid="{00000000-0005-0000-0000-00001B020000}"/>
    <cellStyle name="Comma 2 2 3 2 3 3 2 2" xfId="7387" xr:uid="{00000000-0005-0000-0000-00001C020000}"/>
    <cellStyle name="Comma 2 2 3 2 3 3 3" xfId="7386" xr:uid="{00000000-0005-0000-0000-00001D020000}"/>
    <cellStyle name="Comma 2 2 3 2 3 3 4" xfId="4884" xr:uid="{00000000-0005-0000-0000-00001E020000}"/>
    <cellStyle name="Comma 2 2 3 2 3 4" xfId="241" xr:uid="{00000000-0005-0000-0000-00001F020000}"/>
    <cellStyle name="Comma 2 2 3 2 3 4 2" xfId="242" xr:uid="{00000000-0005-0000-0000-000020020000}"/>
    <cellStyle name="Comma 2 2 3 2 3 4 2 2" xfId="7389" xr:uid="{00000000-0005-0000-0000-000021020000}"/>
    <cellStyle name="Comma 2 2 3 2 3 4 3" xfId="7388" xr:uid="{00000000-0005-0000-0000-000022020000}"/>
    <cellStyle name="Comma 2 2 3 2 3 4 4" xfId="4885" xr:uid="{00000000-0005-0000-0000-000023020000}"/>
    <cellStyle name="Comma 2 2 3 2 3 5" xfId="243" xr:uid="{00000000-0005-0000-0000-000024020000}"/>
    <cellStyle name="Comma 2 2 3 2 3 5 2" xfId="7390" xr:uid="{00000000-0005-0000-0000-000025020000}"/>
    <cellStyle name="Comma 2 2 3 2 3 6" xfId="7381" xr:uid="{00000000-0005-0000-0000-000026020000}"/>
    <cellStyle name="Comma 2 2 3 2 3 7" xfId="4881" xr:uid="{00000000-0005-0000-0000-000027020000}"/>
    <cellStyle name="Comma 2 2 3 2 4" xfId="244" xr:uid="{00000000-0005-0000-0000-000028020000}"/>
    <cellStyle name="Comma 2 2 3 2 4 2" xfId="245" xr:uid="{00000000-0005-0000-0000-000029020000}"/>
    <cellStyle name="Comma 2 2 3 2 4 2 2" xfId="246" xr:uid="{00000000-0005-0000-0000-00002A020000}"/>
    <cellStyle name="Comma 2 2 3 2 4 2 2 2" xfId="247" xr:uid="{00000000-0005-0000-0000-00002B020000}"/>
    <cellStyle name="Comma 2 2 3 2 4 2 2 2 2" xfId="7394" xr:uid="{00000000-0005-0000-0000-00002C020000}"/>
    <cellStyle name="Comma 2 2 3 2 4 2 2 3" xfId="7393" xr:uid="{00000000-0005-0000-0000-00002D020000}"/>
    <cellStyle name="Comma 2 2 3 2 4 2 2 4" xfId="4888" xr:uid="{00000000-0005-0000-0000-00002E020000}"/>
    <cellStyle name="Comma 2 2 3 2 4 2 3" xfId="248" xr:uid="{00000000-0005-0000-0000-00002F020000}"/>
    <cellStyle name="Comma 2 2 3 2 4 2 3 2" xfId="7395" xr:uid="{00000000-0005-0000-0000-000030020000}"/>
    <cellStyle name="Comma 2 2 3 2 4 2 4" xfId="7392" xr:uid="{00000000-0005-0000-0000-000031020000}"/>
    <cellStyle name="Comma 2 2 3 2 4 2 5" xfId="4887" xr:uid="{00000000-0005-0000-0000-000032020000}"/>
    <cellStyle name="Comma 2 2 3 2 4 3" xfId="249" xr:uid="{00000000-0005-0000-0000-000033020000}"/>
    <cellStyle name="Comma 2 2 3 2 4 3 2" xfId="250" xr:uid="{00000000-0005-0000-0000-000034020000}"/>
    <cellStyle name="Comma 2 2 3 2 4 3 2 2" xfId="7397" xr:uid="{00000000-0005-0000-0000-000035020000}"/>
    <cellStyle name="Comma 2 2 3 2 4 3 3" xfId="7396" xr:uid="{00000000-0005-0000-0000-000036020000}"/>
    <cellStyle name="Comma 2 2 3 2 4 3 4" xfId="4889" xr:uid="{00000000-0005-0000-0000-000037020000}"/>
    <cellStyle name="Comma 2 2 3 2 4 4" xfId="251" xr:uid="{00000000-0005-0000-0000-000038020000}"/>
    <cellStyle name="Comma 2 2 3 2 4 4 2" xfId="252" xr:uid="{00000000-0005-0000-0000-000039020000}"/>
    <cellStyle name="Comma 2 2 3 2 4 4 2 2" xfId="7399" xr:uid="{00000000-0005-0000-0000-00003A020000}"/>
    <cellStyle name="Comma 2 2 3 2 4 4 3" xfId="7398" xr:uid="{00000000-0005-0000-0000-00003B020000}"/>
    <cellStyle name="Comma 2 2 3 2 4 4 4" xfId="4890" xr:uid="{00000000-0005-0000-0000-00003C020000}"/>
    <cellStyle name="Comma 2 2 3 2 4 5" xfId="253" xr:uid="{00000000-0005-0000-0000-00003D020000}"/>
    <cellStyle name="Comma 2 2 3 2 4 5 2" xfId="7400" xr:uid="{00000000-0005-0000-0000-00003E020000}"/>
    <cellStyle name="Comma 2 2 3 2 4 6" xfId="7391" xr:uid="{00000000-0005-0000-0000-00003F020000}"/>
    <cellStyle name="Comma 2 2 3 2 4 7" xfId="4886" xr:uid="{00000000-0005-0000-0000-000040020000}"/>
    <cellStyle name="Comma 2 2 3 2 5" xfId="254" xr:uid="{00000000-0005-0000-0000-000041020000}"/>
    <cellStyle name="Comma 2 2 3 2 5 2" xfId="255" xr:uid="{00000000-0005-0000-0000-000042020000}"/>
    <cellStyle name="Comma 2 2 3 2 5 2 2" xfId="256" xr:uid="{00000000-0005-0000-0000-000043020000}"/>
    <cellStyle name="Comma 2 2 3 2 5 2 2 2" xfId="257" xr:uid="{00000000-0005-0000-0000-000044020000}"/>
    <cellStyle name="Comma 2 2 3 2 5 2 2 2 2" xfId="7404" xr:uid="{00000000-0005-0000-0000-000045020000}"/>
    <cellStyle name="Comma 2 2 3 2 5 2 2 3" xfId="7403" xr:uid="{00000000-0005-0000-0000-000046020000}"/>
    <cellStyle name="Comma 2 2 3 2 5 2 2 4" xfId="4893" xr:uid="{00000000-0005-0000-0000-000047020000}"/>
    <cellStyle name="Comma 2 2 3 2 5 2 3" xfId="258" xr:uid="{00000000-0005-0000-0000-000048020000}"/>
    <cellStyle name="Comma 2 2 3 2 5 2 3 2" xfId="7405" xr:uid="{00000000-0005-0000-0000-000049020000}"/>
    <cellStyle name="Comma 2 2 3 2 5 2 4" xfId="7402" xr:uid="{00000000-0005-0000-0000-00004A020000}"/>
    <cellStyle name="Comma 2 2 3 2 5 2 5" xfId="4892" xr:uid="{00000000-0005-0000-0000-00004B020000}"/>
    <cellStyle name="Comma 2 2 3 2 5 3" xfId="259" xr:uid="{00000000-0005-0000-0000-00004C020000}"/>
    <cellStyle name="Comma 2 2 3 2 5 3 2" xfId="260" xr:uid="{00000000-0005-0000-0000-00004D020000}"/>
    <cellStyle name="Comma 2 2 3 2 5 3 2 2" xfId="7407" xr:uid="{00000000-0005-0000-0000-00004E020000}"/>
    <cellStyle name="Comma 2 2 3 2 5 3 3" xfId="7406" xr:uid="{00000000-0005-0000-0000-00004F020000}"/>
    <cellStyle name="Comma 2 2 3 2 5 3 4" xfId="4894" xr:uid="{00000000-0005-0000-0000-000050020000}"/>
    <cellStyle name="Comma 2 2 3 2 5 4" xfId="261" xr:uid="{00000000-0005-0000-0000-000051020000}"/>
    <cellStyle name="Comma 2 2 3 2 5 4 2" xfId="262" xr:uid="{00000000-0005-0000-0000-000052020000}"/>
    <cellStyle name="Comma 2 2 3 2 5 4 2 2" xfId="7409" xr:uid="{00000000-0005-0000-0000-000053020000}"/>
    <cellStyle name="Comma 2 2 3 2 5 4 3" xfId="7408" xr:uid="{00000000-0005-0000-0000-000054020000}"/>
    <cellStyle name="Comma 2 2 3 2 5 4 4" xfId="4895" xr:uid="{00000000-0005-0000-0000-000055020000}"/>
    <cellStyle name="Comma 2 2 3 2 5 5" xfId="263" xr:uid="{00000000-0005-0000-0000-000056020000}"/>
    <cellStyle name="Comma 2 2 3 2 5 5 2" xfId="7410" xr:uid="{00000000-0005-0000-0000-000057020000}"/>
    <cellStyle name="Comma 2 2 3 2 5 6" xfId="7401" xr:uid="{00000000-0005-0000-0000-000058020000}"/>
    <cellStyle name="Comma 2 2 3 2 5 7" xfId="4891" xr:uid="{00000000-0005-0000-0000-000059020000}"/>
    <cellStyle name="Comma 2 2 3 2 6" xfId="264" xr:uid="{00000000-0005-0000-0000-00005A020000}"/>
    <cellStyle name="Comma 2 2 3 2 6 2" xfId="265" xr:uid="{00000000-0005-0000-0000-00005B020000}"/>
    <cellStyle name="Comma 2 2 3 2 6 2 2" xfId="266" xr:uid="{00000000-0005-0000-0000-00005C020000}"/>
    <cellStyle name="Comma 2 2 3 2 6 2 2 2" xfId="7413" xr:uid="{00000000-0005-0000-0000-00005D020000}"/>
    <cellStyle name="Comma 2 2 3 2 6 2 3" xfId="7412" xr:uid="{00000000-0005-0000-0000-00005E020000}"/>
    <cellStyle name="Comma 2 2 3 2 6 2 4" xfId="4897" xr:uid="{00000000-0005-0000-0000-00005F020000}"/>
    <cellStyle name="Comma 2 2 3 2 6 3" xfId="267" xr:uid="{00000000-0005-0000-0000-000060020000}"/>
    <cellStyle name="Comma 2 2 3 2 6 3 2" xfId="268" xr:uid="{00000000-0005-0000-0000-000061020000}"/>
    <cellStyle name="Comma 2 2 3 2 6 3 2 2" xfId="7415" xr:uid="{00000000-0005-0000-0000-000062020000}"/>
    <cellStyle name="Comma 2 2 3 2 6 3 3" xfId="7414" xr:uid="{00000000-0005-0000-0000-000063020000}"/>
    <cellStyle name="Comma 2 2 3 2 6 3 4" xfId="4898" xr:uid="{00000000-0005-0000-0000-000064020000}"/>
    <cellStyle name="Comma 2 2 3 2 6 4" xfId="269" xr:uid="{00000000-0005-0000-0000-000065020000}"/>
    <cellStyle name="Comma 2 2 3 2 6 4 2" xfId="7416" xr:uid="{00000000-0005-0000-0000-000066020000}"/>
    <cellStyle name="Comma 2 2 3 2 6 5" xfId="7411" xr:uid="{00000000-0005-0000-0000-000067020000}"/>
    <cellStyle name="Comma 2 2 3 2 6 6" xfId="4896" xr:uid="{00000000-0005-0000-0000-000068020000}"/>
    <cellStyle name="Comma 2 2 3 2 7" xfId="270" xr:uid="{00000000-0005-0000-0000-000069020000}"/>
    <cellStyle name="Comma 2 2 3 2 7 2" xfId="271" xr:uid="{00000000-0005-0000-0000-00006A020000}"/>
    <cellStyle name="Comma 2 2 3 2 7 2 2" xfId="272" xr:uid="{00000000-0005-0000-0000-00006B020000}"/>
    <cellStyle name="Comma 2 2 3 2 7 2 2 2" xfId="7419" xr:uid="{00000000-0005-0000-0000-00006C020000}"/>
    <cellStyle name="Comma 2 2 3 2 7 2 3" xfId="7418" xr:uid="{00000000-0005-0000-0000-00006D020000}"/>
    <cellStyle name="Comma 2 2 3 2 7 2 4" xfId="4900" xr:uid="{00000000-0005-0000-0000-00006E020000}"/>
    <cellStyle name="Comma 2 2 3 2 7 3" xfId="273" xr:uid="{00000000-0005-0000-0000-00006F020000}"/>
    <cellStyle name="Comma 2 2 3 2 7 3 2" xfId="7420" xr:uid="{00000000-0005-0000-0000-000070020000}"/>
    <cellStyle name="Comma 2 2 3 2 7 4" xfId="7417" xr:uid="{00000000-0005-0000-0000-000071020000}"/>
    <cellStyle name="Comma 2 2 3 2 7 5" xfId="4899" xr:uid="{00000000-0005-0000-0000-000072020000}"/>
    <cellStyle name="Comma 2 2 3 2 8" xfId="274" xr:uid="{00000000-0005-0000-0000-000073020000}"/>
    <cellStyle name="Comma 2 2 3 2 8 2" xfId="275" xr:uid="{00000000-0005-0000-0000-000074020000}"/>
    <cellStyle name="Comma 2 2 3 2 8 2 2" xfId="7422" xr:uid="{00000000-0005-0000-0000-000075020000}"/>
    <cellStyle name="Comma 2 2 3 2 8 3" xfId="7421" xr:uid="{00000000-0005-0000-0000-000076020000}"/>
    <cellStyle name="Comma 2 2 3 2 8 4" xfId="4901" xr:uid="{00000000-0005-0000-0000-000077020000}"/>
    <cellStyle name="Comma 2 2 3 2 9" xfId="276" xr:uid="{00000000-0005-0000-0000-000078020000}"/>
    <cellStyle name="Comma 2 2 3 2 9 2" xfId="277" xr:uid="{00000000-0005-0000-0000-000079020000}"/>
    <cellStyle name="Comma 2 2 3 2 9 2 2" xfId="7424" xr:uid="{00000000-0005-0000-0000-00007A020000}"/>
    <cellStyle name="Comma 2 2 3 2 9 3" xfId="7423" xr:uid="{00000000-0005-0000-0000-00007B020000}"/>
    <cellStyle name="Comma 2 2 3 2 9 4" xfId="4902" xr:uid="{00000000-0005-0000-0000-00007C020000}"/>
    <cellStyle name="Comma 2 2 3 3" xfId="278" xr:uid="{00000000-0005-0000-0000-00007D020000}"/>
    <cellStyle name="Comma 2 2 3 3 2" xfId="279" xr:uid="{00000000-0005-0000-0000-00007E020000}"/>
    <cellStyle name="Comma 2 2 3 3 2 2" xfId="280" xr:uid="{00000000-0005-0000-0000-00007F020000}"/>
    <cellStyle name="Comma 2 2 3 3 2 2 2" xfId="281" xr:uid="{00000000-0005-0000-0000-000080020000}"/>
    <cellStyle name="Comma 2 2 3 3 2 2 2 2" xfId="7428" xr:uid="{00000000-0005-0000-0000-000081020000}"/>
    <cellStyle name="Comma 2 2 3 3 2 2 3" xfId="7427" xr:uid="{00000000-0005-0000-0000-000082020000}"/>
    <cellStyle name="Comma 2 2 3 3 2 2 4" xfId="4905" xr:uid="{00000000-0005-0000-0000-000083020000}"/>
    <cellStyle name="Comma 2 2 3 3 2 3" xfId="282" xr:uid="{00000000-0005-0000-0000-000084020000}"/>
    <cellStyle name="Comma 2 2 3 3 2 3 2" xfId="7429" xr:uid="{00000000-0005-0000-0000-000085020000}"/>
    <cellStyle name="Comma 2 2 3 3 2 4" xfId="7426" xr:uid="{00000000-0005-0000-0000-000086020000}"/>
    <cellStyle name="Comma 2 2 3 3 2 5" xfId="4904" xr:uid="{00000000-0005-0000-0000-000087020000}"/>
    <cellStyle name="Comma 2 2 3 3 3" xfId="283" xr:uid="{00000000-0005-0000-0000-000088020000}"/>
    <cellStyle name="Comma 2 2 3 3 3 2" xfId="284" xr:uid="{00000000-0005-0000-0000-000089020000}"/>
    <cellStyle name="Comma 2 2 3 3 3 2 2" xfId="7431" xr:uid="{00000000-0005-0000-0000-00008A020000}"/>
    <cellStyle name="Comma 2 2 3 3 3 3" xfId="7430" xr:uid="{00000000-0005-0000-0000-00008B020000}"/>
    <cellStyle name="Comma 2 2 3 3 3 4" xfId="4906" xr:uid="{00000000-0005-0000-0000-00008C020000}"/>
    <cellStyle name="Comma 2 2 3 3 4" xfId="285" xr:uid="{00000000-0005-0000-0000-00008D020000}"/>
    <cellStyle name="Comma 2 2 3 3 4 2" xfId="286" xr:uid="{00000000-0005-0000-0000-00008E020000}"/>
    <cellStyle name="Comma 2 2 3 3 4 2 2" xfId="7433" xr:uid="{00000000-0005-0000-0000-00008F020000}"/>
    <cellStyle name="Comma 2 2 3 3 4 3" xfId="7432" xr:uid="{00000000-0005-0000-0000-000090020000}"/>
    <cellStyle name="Comma 2 2 3 3 4 4" xfId="4907" xr:uid="{00000000-0005-0000-0000-000091020000}"/>
    <cellStyle name="Comma 2 2 3 3 5" xfId="287" xr:uid="{00000000-0005-0000-0000-000092020000}"/>
    <cellStyle name="Comma 2 2 3 3 5 2" xfId="7434" xr:uid="{00000000-0005-0000-0000-000093020000}"/>
    <cellStyle name="Comma 2 2 3 3 6" xfId="7425" xr:uid="{00000000-0005-0000-0000-000094020000}"/>
    <cellStyle name="Comma 2 2 3 3 7" xfId="4903" xr:uid="{00000000-0005-0000-0000-000095020000}"/>
    <cellStyle name="Comma 2 2 3 4" xfId="288" xr:uid="{00000000-0005-0000-0000-000096020000}"/>
    <cellStyle name="Comma 2 2 3 4 2" xfId="289" xr:uid="{00000000-0005-0000-0000-000097020000}"/>
    <cellStyle name="Comma 2 2 3 4 2 2" xfId="290" xr:uid="{00000000-0005-0000-0000-000098020000}"/>
    <cellStyle name="Comma 2 2 3 4 2 2 2" xfId="291" xr:uid="{00000000-0005-0000-0000-000099020000}"/>
    <cellStyle name="Comma 2 2 3 4 2 2 2 2" xfId="7438" xr:uid="{00000000-0005-0000-0000-00009A020000}"/>
    <cellStyle name="Comma 2 2 3 4 2 2 3" xfId="7437" xr:uid="{00000000-0005-0000-0000-00009B020000}"/>
    <cellStyle name="Comma 2 2 3 4 2 2 4" xfId="4910" xr:uid="{00000000-0005-0000-0000-00009C020000}"/>
    <cellStyle name="Comma 2 2 3 4 2 3" xfId="292" xr:uid="{00000000-0005-0000-0000-00009D020000}"/>
    <cellStyle name="Comma 2 2 3 4 2 3 2" xfId="7439" xr:uid="{00000000-0005-0000-0000-00009E020000}"/>
    <cellStyle name="Comma 2 2 3 4 2 4" xfId="7436" xr:uid="{00000000-0005-0000-0000-00009F020000}"/>
    <cellStyle name="Comma 2 2 3 4 2 5" xfId="4909" xr:uid="{00000000-0005-0000-0000-0000A0020000}"/>
    <cellStyle name="Comma 2 2 3 4 3" xfId="293" xr:uid="{00000000-0005-0000-0000-0000A1020000}"/>
    <cellStyle name="Comma 2 2 3 4 3 2" xfId="294" xr:uid="{00000000-0005-0000-0000-0000A2020000}"/>
    <cellStyle name="Comma 2 2 3 4 3 2 2" xfId="7441" xr:uid="{00000000-0005-0000-0000-0000A3020000}"/>
    <cellStyle name="Comma 2 2 3 4 3 3" xfId="7440" xr:uid="{00000000-0005-0000-0000-0000A4020000}"/>
    <cellStyle name="Comma 2 2 3 4 3 4" xfId="4911" xr:uid="{00000000-0005-0000-0000-0000A5020000}"/>
    <cellStyle name="Comma 2 2 3 4 4" xfId="295" xr:uid="{00000000-0005-0000-0000-0000A6020000}"/>
    <cellStyle name="Comma 2 2 3 4 4 2" xfId="296" xr:uid="{00000000-0005-0000-0000-0000A7020000}"/>
    <cellStyle name="Comma 2 2 3 4 4 2 2" xfId="7443" xr:uid="{00000000-0005-0000-0000-0000A8020000}"/>
    <cellStyle name="Comma 2 2 3 4 4 3" xfId="7442" xr:uid="{00000000-0005-0000-0000-0000A9020000}"/>
    <cellStyle name="Comma 2 2 3 4 4 4" xfId="4912" xr:uid="{00000000-0005-0000-0000-0000AA020000}"/>
    <cellStyle name="Comma 2 2 3 4 5" xfId="297" xr:uid="{00000000-0005-0000-0000-0000AB020000}"/>
    <cellStyle name="Comma 2 2 3 4 5 2" xfId="7444" xr:uid="{00000000-0005-0000-0000-0000AC020000}"/>
    <cellStyle name="Comma 2 2 3 4 6" xfId="7435" xr:uid="{00000000-0005-0000-0000-0000AD020000}"/>
    <cellStyle name="Comma 2 2 3 4 7" xfId="4908" xr:uid="{00000000-0005-0000-0000-0000AE020000}"/>
    <cellStyle name="Comma 2 2 3 5" xfId="298" xr:uid="{00000000-0005-0000-0000-0000AF020000}"/>
    <cellStyle name="Comma 2 2 3 5 2" xfId="299" xr:uid="{00000000-0005-0000-0000-0000B0020000}"/>
    <cellStyle name="Comma 2 2 3 5 2 2" xfId="300" xr:uid="{00000000-0005-0000-0000-0000B1020000}"/>
    <cellStyle name="Comma 2 2 3 5 2 2 2" xfId="301" xr:uid="{00000000-0005-0000-0000-0000B2020000}"/>
    <cellStyle name="Comma 2 2 3 5 2 2 2 2" xfId="7448" xr:uid="{00000000-0005-0000-0000-0000B3020000}"/>
    <cellStyle name="Comma 2 2 3 5 2 2 3" xfId="7447" xr:uid="{00000000-0005-0000-0000-0000B4020000}"/>
    <cellStyle name="Comma 2 2 3 5 2 2 4" xfId="4915" xr:uid="{00000000-0005-0000-0000-0000B5020000}"/>
    <cellStyle name="Comma 2 2 3 5 2 3" xfId="302" xr:uid="{00000000-0005-0000-0000-0000B6020000}"/>
    <cellStyle name="Comma 2 2 3 5 2 3 2" xfId="7449" xr:uid="{00000000-0005-0000-0000-0000B7020000}"/>
    <cellStyle name="Comma 2 2 3 5 2 4" xfId="7446" xr:uid="{00000000-0005-0000-0000-0000B8020000}"/>
    <cellStyle name="Comma 2 2 3 5 2 5" xfId="4914" xr:uid="{00000000-0005-0000-0000-0000B9020000}"/>
    <cellStyle name="Comma 2 2 3 5 3" xfId="303" xr:uid="{00000000-0005-0000-0000-0000BA020000}"/>
    <cellStyle name="Comma 2 2 3 5 3 2" xfId="304" xr:uid="{00000000-0005-0000-0000-0000BB020000}"/>
    <cellStyle name="Comma 2 2 3 5 3 2 2" xfId="7451" xr:uid="{00000000-0005-0000-0000-0000BC020000}"/>
    <cellStyle name="Comma 2 2 3 5 3 3" xfId="7450" xr:uid="{00000000-0005-0000-0000-0000BD020000}"/>
    <cellStyle name="Comma 2 2 3 5 3 4" xfId="4916" xr:uid="{00000000-0005-0000-0000-0000BE020000}"/>
    <cellStyle name="Comma 2 2 3 5 4" xfId="305" xr:uid="{00000000-0005-0000-0000-0000BF020000}"/>
    <cellStyle name="Comma 2 2 3 5 4 2" xfId="306" xr:uid="{00000000-0005-0000-0000-0000C0020000}"/>
    <cellStyle name="Comma 2 2 3 5 4 2 2" xfId="7453" xr:uid="{00000000-0005-0000-0000-0000C1020000}"/>
    <cellStyle name="Comma 2 2 3 5 4 3" xfId="7452" xr:uid="{00000000-0005-0000-0000-0000C2020000}"/>
    <cellStyle name="Comma 2 2 3 5 4 4" xfId="4917" xr:uid="{00000000-0005-0000-0000-0000C3020000}"/>
    <cellStyle name="Comma 2 2 3 5 5" xfId="307" xr:uid="{00000000-0005-0000-0000-0000C4020000}"/>
    <cellStyle name="Comma 2 2 3 5 5 2" xfId="7454" xr:uid="{00000000-0005-0000-0000-0000C5020000}"/>
    <cellStyle name="Comma 2 2 3 5 6" xfId="7445" xr:uid="{00000000-0005-0000-0000-0000C6020000}"/>
    <cellStyle name="Comma 2 2 3 5 7" xfId="4913" xr:uid="{00000000-0005-0000-0000-0000C7020000}"/>
    <cellStyle name="Comma 2 2 3 6" xfId="308" xr:uid="{00000000-0005-0000-0000-0000C8020000}"/>
    <cellStyle name="Comma 2 2 3 6 2" xfId="309" xr:uid="{00000000-0005-0000-0000-0000C9020000}"/>
    <cellStyle name="Comma 2 2 3 6 2 2" xfId="310" xr:uid="{00000000-0005-0000-0000-0000CA020000}"/>
    <cellStyle name="Comma 2 2 3 6 2 2 2" xfId="311" xr:uid="{00000000-0005-0000-0000-0000CB020000}"/>
    <cellStyle name="Comma 2 2 3 6 2 2 2 2" xfId="7458" xr:uid="{00000000-0005-0000-0000-0000CC020000}"/>
    <cellStyle name="Comma 2 2 3 6 2 2 3" xfId="7457" xr:uid="{00000000-0005-0000-0000-0000CD020000}"/>
    <cellStyle name="Comma 2 2 3 6 2 2 4" xfId="4920" xr:uid="{00000000-0005-0000-0000-0000CE020000}"/>
    <cellStyle name="Comma 2 2 3 6 2 3" xfId="312" xr:uid="{00000000-0005-0000-0000-0000CF020000}"/>
    <cellStyle name="Comma 2 2 3 6 2 3 2" xfId="7459" xr:uid="{00000000-0005-0000-0000-0000D0020000}"/>
    <cellStyle name="Comma 2 2 3 6 2 4" xfId="7456" xr:uid="{00000000-0005-0000-0000-0000D1020000}"/>
    <cellStyle name="Comma 2 2 3 6 2 5" xfId="4919" xr:uid="{00000000-0005-0000-0000-0000D2020000}"/>
    <cellStyle name="Comma 2 2 3 6 3" xfId="313" xr:uid="{00000000-0005-0000-0000-0000D3020000}"/>
    <cellStyle name="Comma 2 2 3 6 3 2" xfId="314" xr:uid="{00000000-0005-0000-0000-0000D4020000}"/>
    <cellStyle name="Comma 2 2 3 6 3 2 2" xfId="7461" xr:uid="{00000000-0005-0000-0000-0000D5020000}"/>
    <cellStyle name="Comma 2 2 3 6 3 3" xfId="7460" xr:uid="{00000000-0005-0000-0000-0000D6020000}"/>
    <cellStyle name="Comma 2 2 3 6 3 4" xfId="4921" xr:uid="{00000000-0005-0000-0000-0000D7020000}"/>
    <cellStyle name="Comma 2 2 3 6 4" xfId="315" xr:uid="{00000000-0005-0000-0000-0000D8020000}"/>
    <cellStyle name="Comma 2 2 3 6 4 2" xfId="316" xr:uid="{00000000-0005-0000-0000-0000D9020000}"/>
    <cellStyle name="Comma 2 2 3 6 4 2 2" xfId="7463" xr:uid="{00000000-0005-0000-0000-0000DA020000}"/>
    <cellStyle name="Comma 2 2 3 6 4 3" xfId="7462" xr:uid="{00000000-0005-0000-0000-0000DB020000}"/>
    <cellStyle name="Comma 2 2 3 6 4 4" xfId="4922" xr:uid="{00000000-0005-0000-0000-0000DC020000}"/>
    <cellStyle name="Comma 2 2 3 6 5" xfId="317" xr:uid="{00000000-0005-0000-0000-0000DD020000}"/>
    <cellStyle name="Comma 2 2 3 6 5 2" xfId="7464" xr:uid="{00000000-0005-0000-0000-0000DE020000}"/>
    <cellStyle name="Comma 2 2 3 6 6" xfId="7455" xr:uid="{00000000-0005-0000-0000-0000DF020000}"/>
    <cellStyle name="Comma 2 2 3 6 7" xfId="4918" xr:uid="{00000000-0005-0000-0000-0000E0020000}"/>
    <cellStyle name="Comma 2 2 3 7" xfId="318" xr:uid="{00000000-0005-0000-0000-0000E1020000}"/>
    <cellStyle name="Comma 2 2 3 7 2" xfId="319" xr:uid="{00000000-0005-0000-0000-0000E2020000}"/>
    <cellStyle name="Comma 2 2 3 7 2 2" xfId="320" xr:uid="{00000000-0005-0000-0000-0000E3020000}"/>
    <cellStyle name="Comma 2 2 3 7 2 2 2" xfId="7467" xr:uid="{00000000-0005-0000-0000-0000E4020000}"/>
    <cellStyle name="Comma 2 2 3 7 2 3" xfId="7466" xr:uid="{00000000-0005-0000-0000-0000E5020000}"/>
    <cellStyle name="Comma 2 2 3 7 2 4" xfId="4924" xr:uid="{00000000-0005-0000-0000-0000E6020000}"/>
    <cellStyle name="Comma 2 2 3 7 3" xfId="321" xr:uid="{00000000-0005-0000-0000-0000E7020000}"/>
    <cellStyle name="Comma 2 2 3 7 3 2" xfId="322" xr:uid="{00000000-0005-0000-0000-0000E8020000}"/>
    <cellStyle name="Comma 2 2 3 7 3 2 2" xfId="7469" xr:uid="{00000000-0005-0000-0000-0000E9020000}"/>
    <cellStyle name="Comma 2 2 3 7 3 3" xfId="7468" xr:uid="{00000000-0005-0000-0000-0000EA020000}"/>
    <cellStyle name="Comma 2 2 3 7 3 4" xfId="4925" xr:uid="{00000000-0005-0000-0000-0000EB020000}"/>
    <cellStyle name="Comma 2 2 3 7 4" xfId="323" xr:uid="{00000000-0005-0000-0000-0000EC020000}"/>
    <cellStyle name="Comma 2 2 3 7 4 2" xfId="7470" xr:uid="{00000000-0005-0000-0000-0000ED020000}"/>
    <cellStyle name="Comma 2 2 3 7 5" xfId="7465" xr:uid="{00000000-0005-0000-0000-0000EE020000}"/>
    <cellStyle name="Comma 2 2 3 7 6" xfId="4923" xr:uid="{00000000-0005-0000-0000-0000EF020000}"/>
    <cellStyle name="Comma 2 2 3 8" xfId="324" xr:uid="{00000000-0005-0000-0000-0000F0020000}"/>
    <cellStyle name="Comma 2 2 3 8 2" xfId="325" xr:uid="{00000000-0005-0000-0000-0000F1020000}"/>
    <cellStyle name="Comma 2 2 3 8 2 2" xfId="326" xr:uid="{00000000-0005-0000-0000-0000F2020000}"/>
    <cellStyle name="Comma 2 2 3 8 2 2 2" xfId="7473" xr:uid="{00000000-0005-0000-0000-0000F3020000}"/>
    <cellStyle name="Comma 2 2 3 8 2 3" xfId="7472" xr:uid="{00000000-0005-0000-0000-0000F4020000}"/>
    <cellStyle name="Comma 2 2 3 8 2 4" xfId="4927" xr:uid="{00000000-0005-0000-0000-0000F5020000}"/>
    <cellStyle name="Comma 2 2 3 8 3" xfId="327" xr:uid="{00000000-0005-0000-0000-0000F6020000}"/>
    <cellStyle name="Comma 2 2 3 8 3 2" xfId="7474" xr:uid="{00000000-0005-0000-0000-0000F7020000}"/>
    <cellStyle name="Comma 2 2 3 8 4" xfId="7471" xr:uid="{00000000-0005-0000-0000-0000F8020000}"/>
    <cellStyle name="Comma 2 2 3 8 5" xfId="4926" xr:uid="{00000000-0005-0000-0000-0000F9020000}"/>
    <cellStyle name="Comma 2 2 3 9" xfId="328" xr:uid="{00000000-0005-0000-0000-0000FA020000}"/>
    <cellStyle name="Comma 2 2 3 9 2" xfId="329" xr:uid="{00000000-0005-0000-0000-0000FB020000}"/>
    <cellStyle name="Comma 2 2 3 9 2 2" xfId="7476" xr:uid="{00000000-0005-0000-0000-0000FC020000}"/>
    <cellStyle name="Comma 2 2 3 9 3" xfId="7475" xr:uid="{00000000-0005-0000-0000-0000FD020000}"/>
    <cellStyle name="Comma 2 2 3 9 4" xfId="4928" xr:uid="{00000000-0005-0000-0000-0000FE020000}"/>
    <cellStyle name="Comma 2 2 4" xfId="330" xr:uid="{00000000-0005-0000-0000-0000FF020000}"/>
    <cellStyle name="Comma 2 2 4 10" xfId="331" xr:uid="{00000000-0005-0000-0000-000000030000}"/>
    <cellStyle name="Comma 2 2 4 10 2" xfId="332" xr:uid="{00000000-0005-0000-0000-000001030000}"/>
    <cellStyle name="Comma 2 2 4 10 2 2" xfId="7479" xr:uid="{00000000-0005-0000-0000-000002030000}"/>
    <cellStyle name="Comma 2 2 4 10 3" xfId="7478" xr:uid="{00000000-0005-0000-0000-000003030000}"/>
    <cellStyle name="Comma 2 2 4 10 4" xfId="4930" xr:uid="{00000000-0005-0000-0000-000004030000}"/>
    <cellStyle name="Comma 2 2 4 11" xfId="333" xr:uid="{00000000-0005-0000-0000-000005030000}"/>
    <cellStyle name="Comma 2 2 4 11 2" xfId="7480" xr:uid="{00000000-0005-0000-0000-000006030000}"/>
    <cellStyle name="Comma 2 2 4 12" xfId="7477" xr:uid="{00000000-0005-0000-0000-000007030000}"/>
    <cellStyle name="Comma 2 2 4 13" xfId="4929" xr:uid="{00000000-0005-0000-0000-000008030000}"/>
    <cellStyle name="Comma 2 2 4 2" xfId="334" xr:uid="{00000000-0005-0000-0000-000009030000}"/>
    <cellStyle name="Comma 2 2 4 2 10" xfId="335" xr:uid="{00000000-0005-0000-0000-00000A030000}"/>
    <cellStyle name="Comma 2 2 4 2 10 2" xfId="7482" xr:uid="{00000000-0005-0000-0000-00000B030000}"/>
    <cellStyle name="Comma 2 2 4 2 11" xfId="7481" xr:uid="{00000000-0005-0000-0000-00000C030000}"/>
    <cellStyle name="Comma 2 2 4 2 12" xfId="4931" xr:uid="{00000000-0005-0000-0000-00000D030000}"/>
    <cellStyle name="Comma 2 2 4 2 2" xfId="336" xr:uid="{00000000-0005-0000-0000-00000E030000}"/>
    <cellStyle name="Comma 2 2 4 2 2 2" xfId="337" xr:uid="{00000000-0005-0000-0000-00000F030000}"/>
    <cellStyle name="Comma 2 2 4 2 2 2 2" xfId="338" xr:uid="{00000000-0005-0000-0000-000010030000}"/>
    <cellStyle name="Comma 2 2 4 2 2 2 2 2" xfId="339" xr:uid="{00000000-0005-0000-0000-000011030000}"/>
    <cellStyle name="Comma 2 2 4 2 2 2 2 2 2" xfId="7486" xr:uid="{00000000-0005-0000-0000-000012030000}"/>
    <cellStyle name="Comma 2 2 4 2 2 2 2 3" xfId="7485" xr:uid="{00000000-0005-0000-0000-000013030000}"/>
    <cellStyle name="Comma 2 2 4 2 2 2 2 4" xfId="4934" xr:uid="{00000000-0005-0000-0000-000014030000}"/>
    <cellStyle name="Comma 2 2 4 2 2 2 3" xfId="340" xr:uid="{00000000-0005-0000-0000-000015030000}"/>
    <cellStyle name="Comma 2 2 4 2 2 2 3 2" xfId="7487" xr:uid="{00000000-0005-0000-0000-000016030000}"/>
    <cellStyle name="Comma 2 2 4 2 2 2 4" xfId="7484" xr:uid="{00000000-0005-0000-0000-000017030000}"/>
    <cellStyle name="Comma 2 2 4 2 2 2 5" xfId="4933" xr:uid="{00000000-0005-0000-0000-000018030000}"/>
    <cellStyle name="Comma 2 2 4 2 2 3" xfId="341" xr:uid="{00000000-0005-0000-0000-000019030000}"/>
    <cellStyle name="Comma 2 2 4 2 2 3 2" xfId="342" xr:uid="{00000000-0005-0000-0000-00001A030000}"/>
    <cellStyle name="Comma 2 2 4 2 2 3 2 2" xfId="7489" xr:uid="{00000000-0005-0000-0000-00001B030000}"/>
    <cellStyle name="Comma 2 2 4 2 2 3 3" xfId="7488" xr:uid="{00000000-0005-0000-0000-00001C030000}"/>
    <cellStyle name="Comma 2 2 4 2 2 3 4" xfId="4935" xr:uid="{00000000-0005-0000-0000-00001D030000}"/>
    <cellStyle name="Comma 2 2 4 2 2 4" xfId="343" xr:uid="{00000000-0005-0000-0000-00001E030000}"/>
    <cellStyle name="Comma 2 2 4 2 2 4 2" xfId="344" xr:uid="{00000000-0005-0000-0000-00001F030000}"/>
    <cellStyle name="Comma 2 2 4 2 2 4 2 2" xfId="7491" xr:uid="{00000000-0005-0000-0000-000020030000}"/>
    <cellStyle name="Comma 2 2 4 2 2 4 3" xfId="7490" xr:uid="{00000000-0005-0000-0000-000021030000}"/>
    <cellStyle name="Comma 2 2 4 2 2 4 4" xfId="4936" xr:uid="{00000000-0005-0000-0000-000022030000}"/>
    <cellStyle name="Comma 2 2 4 2 2 5" xfId="345" xr:uid="{00000000-0005-0000-0000-000023030000}"/>
    <cellStyle name="Comma 2 2 4 2 2 5 2" xfId="7492" xr:uid="{00000000-0005-0000-0000-000024030000}"/>
    <cellStyle name="Comma 2 2 4 2 2 6" xfId="7483" xr:uid="{00000000-0005-0000-0000-000025030000}"/>
    <cellStyle name="Comma 2 2 4 2 2 7" xfId="4932" xr:uid="{00000000-0005-0000-0000-000026030000}"/>
    <cellStyle name="Comma 2 2 4 2 3" xfId="346" xr:uid="{00000000-0005-0000-0000-000027030000}"/>
    <cellStyle name="Comma 2 2 4 2 3 2" xfId="347" xr:uid="{00000000-0005-0000-0000-000028030000}"/>
    <cellStyle name="Comma 2 2 4 2 3 2 2" xfId="348" xr:uid="{00000000-0005-0000-0000-000029030000}"/>
    <cellStyle name="Comma 2 2 4 2 3 2 2 2" xfId="349" xr:uid="{00000000-0005-0000-0000-00002A030000}"/>
    <cellStyle name="Comma 2 2 4 2 3 2 2 2 2" xfId="7496" xr:uid="{00000000-0005-0000-0000-00002B030000}"/>
    <cellStyle name="Comma 2 2 4 2 3 2 2 3" xfId="7495" xr:uid="{00000000-0005-0000-0000-00002C030000}"/>
    <cellStyle name="Comma 2 2 4 2 3 2 2 4" xfId="4939" xr:uid="{00000000-0005-0000-0000-00002D030000}"/>
    <cellStyle name="Comma 2 2 4 2 3 2 3" xfId="350" xr:uid="{00000000-0005-0000-0000-00002E030000}"/>
    <cellStyle name="Comma 2 2 4 2 3 2 3 2" xfId="7497" xr:uid="{00000000-0005-0000-0000-00002F030000}"/>
    <cellStyle name="Comma 2 2 4 2 3 2 4" xfId="7494" xr:uid="{00000000-0005-0000-0000-000030030000}"/>
    <cellStyle name="Comma 2 2 4 2 3 2 5" xfId="4938" xr:uid="{00000000-0005-0000-0000-000031030000}"/>
    <cellStyle name="Comma 2 2 4 2 3 3" xfId="351" xr:uid="{00000000-0005-0000-0000-000032030000}"/>
    <cellStyle name="Comma 2 2 4 2 3 3 2" xfId="352" xr:uid="{00000000-0005-0000-0000-000033030000}"/>
    <cellStyle name="Comma 2 2 4 2 3 3 2 2" xfId="7499" xr:uid="{00000000-0005-0000-0000-000034030000}"/>
    <cellStyle name="Comma 2 2 4 2 3 3 3" xfId="7498" xr:uid="{00000000-0005-0000-0000-000035030000}"/>
    <cellStyle name="Comma 2 2 4 2 3 3 4" xfId="4940" xr:uid="{00000000-0005-0000-0000-000036030000}"/>
    <cellStyle name="Comma 2 2 4 2 3 4" xfId="353" xr:uid="{00000000-0005-0000-0000-000037030000}"/>
    <cellStyle name="Comma 2 2 4 2 3 4 2" xfId="354" xr:uid="{00000000-0005-0000-0000-000038030000}"/>
    <cellStyle name="Comma 2 2 4 2 3 4 2 2" xfId="7501" xr:uid="{00000000-0005-0000-0000-000039030000}"/>
    <cellStyle name="Comma 2 2 4 2 3 4 3" xfId="7500" xr:uid="{00000000-0005-0000-0000-00003A030000}"/>
    <cellStyle name="Comma 2 2 4 2 3 4 4" xfId="4941" xr:uid="{00000000-0005-0000-0000-00003B030000}"/>
    <cellStyle name="Comma 2 2 4 2 3 5" xfId="355" xr:uid="{00000000-0005-0000-0000-00003C030000}"/>
    <cellStyle name="Comma 2 2 4 2 3 5 2" xfId="7502" xr:uid="{00000000-0005-0000-0000-00003D030000}"/>
    <cellStyle name="Comma 2 2 4 2 3 6" xfId="7493" xr:uid="{00000000-0005-0000-0000-00003E030000}"/>
    <cellStyle name="Comma 2 2 4 2 3 7" xfId="4937" xr:uid="{00000000-0005-0000-0000-00003F030000}"/>
    <cellStyle name="Comma 2 2 4 2 4" xfId="356" xr:uid="{00000000-0005-0000-0000-000040030000}"/>
    <cellStyle name="Comma 2 2 4 2 4 2" xfId="357" xr:uid="{00000000-0005-0000-0000-000041030000}"/>
    <cellStyle name="Comma 2 2 4 2 4 2 2" xfId="358" xr:uid="{00000000-0005-0000-0000-000042030000}"/>
    <cellStyle name="Comma 2 2 4 2 4 2 2 2" xfId="359" xr:uid="{00000000-0005-0000-0000-000043030000}"/>
    <cellStyle name="Comma 2 2 4 2 4 2 2 2 2" xfId="7506" xr:uid="{00000000-0005-0000-0000-000044030000}"/>
    <cellStyle name="Comma 2 2 4 2 4 2 2 3" xfId="7505" xr:uid="{00000000-0005-0000-0000-000045030000}"/>
    <cellStyle name="Comma 2 2 4 2 4 2 2 4" xfId="4944" xr:uid="{00000000-0005-0000-0000-000046030000}"/>
    <cellStyle name="Comma 2 2 4 2 4 2 3" xfId="360" xr:uid="{00000000-0005-0000-0000-000047030000}"/>
    <cellStyle name="Comma 2 2 4 2 4 2 3 2" xfId="7507" xr:uid="{00000000-0005-0000-0000-000048030000}"/>
    <cellStyle name="Comma 2 2 4 2 4 2 4" xfId="7504" xr:uid="{00000000-0005-0000-0000-000049030000}"/>
    <cellStyle name="Comma 2 2 4 2 4 2 5" xfId="4943" xr:uid="{00000000-0005-0000-0000-00004A030000}"/>
    <cellStyle name="Comma 2 2 4 2 4 3" xfId="361" xr:uid="{00000000-0005-0000-0000-00004B030000}"/>
    <cellStyle name="Comma 2 2 4 2 4 3 2" xfId="362" xr:uid="{00000000-0005-0000-0000-00004C030000}"/>
    <cellStyle name="Comma 2 2 4 2 4 3 2 2" xfId="7509" xr:uid="{00000000-0005-0000-0000-00004D030000}"/>
    <cellStyle name="Comma 2 2 4 2 4 3 3" xfId="7508" xr:uid="{00000000-0005-0000-0000-00004E030000}"/>
    <cellStyle name="Comma 2 2 4 2 4 3 4" xfId="4945" xr:uid="{00000000-0005-0000-0000-00004F030000}"/>
    <cellStyle name="Comma 2 2 4 2 4 4" xfId="363" xr:uid="{00000000-0005-0000-0000-000050030000}"/>
    <cellStyle name="Comma 2 2 4 2 4 4 2" xfId="364" xr:uid="{00000000-0005-0000-0000-000051030000}"/>
    <cellStyle name="Comma 2 2 4 2 4 4 2 2" xfId="7511" xr:uid="{00000000-0005-0000-0000-000052030000}"/>
    <cellStyle name="Comma 2 2 4 2 4 4 3" xfId="7510" xr:uid="{00000000-0005-0000-0000-000053030000}"/>
    <cellStyle name="Comma 2 2 4 2 4 4 4" xfId="4946" xr:uid="{00000000-0005-0000-0000-000054030000}"/>
    <cellStyle name="Comma 2 2 4 2 4 5" xfId="365" xr:uid="{00000000-0005-0000-0000-000055030000}"/>
    <cellStyle name="Comma 2 2 4 2 4 5 2" xfId="7512" xr:uid="{00000000-0005-0000-0000-000056030000}"/>
    <cellStyle name="Comma 2 2 4 2 4 6" xfId="7503" xr:uid="{00000000-0005-0000-0000-000057030000}"/>
    <cellStyle name="Comma 2 2 4 2 4 7" xfId="4942" xr:uid="{00000000-0005-0000-0000-000058030000}"/>
    <cellStyle name="Comma 2 2 4 2 5" xfId="366" xr:uid="{00000000-0005-0000-0000-000059030000}"/>
    <cellStyle name="Comma 2 2 4 2 5 2" xfId="367" xr:uid="{00000000-0005-0000-0000-00005A030000}"/>
    <cellStyle name="Comma 2 2 4 2 5 2 2" xfId="368" xr:uid="{00000000-0005-0000-0000-00005B030000}"/>
    <cellStyle name="Comma 2 2 4 2 5 2 2 2" xfId="369" xr:uid="{00000000-0005-0000-0000-00005C030000}"/>
    <cellStyle name="Comma 2 2 4 2 5 2 2 2 2" xfId="7516" xr:uid="{00000000-0005-0000-0000-00005D030000}"/>
    <cellStyle name="Comma 2 2 4 2 5 2 2 3" xfId="7515" xr:uid="{00000000-0005-0000-0000-00005E030000}"/>
    <cellStyle name="Comma 2 2 4 2 5 2 2 4" xfId="4949" xr:uid="{00000000-0005-0000-0000-00005F030000}"/>
    <cellStyle name="Comma 2 2 4 2 5 2 3" xfId="370" xr:uid="{00000000-0005-0000-0000-000060030000}"/>
    <cellStyle name="Comma 2 2 4 2 5 2 3 2" xfId="7517" xr:uid="{00000000-0005-0000-0000-000061030000}"/>
    <cellStyle name="Comma 2 2 4 2 5 2 4" xfId="7514" xr:uid="{00000000-0005-0000-0000-000062030000}"/>
    <cellStyle name="Comma 2 2 4 2 5 2 5" xfId="4948" xr:uid="{00000000-0005-0000-0000-000063030000}"/>
    <cellStyle name="Comma 2 2 4 2 5 3" xfId="371" xr:uid="{00000000-0005-0000-0000-000064030000}"/>
    <cellStyle name="Comma 2 2 4 2 5 3 2" xfId="372" xr:uid="{00000000-0005-0000-0000-000065030000}"/>
    <cellStyle name="Comma 2 2 4 2 5 3 2 2" xfId="7519" xr:uid="{00000000-0005-0000-0000-000066030000}"/>
    <cellStyle name="Comma 2 2 4 2 5 3 3" xfId="7518" xr:uid="{00000000-0005-0000-0000-000067030000}"/>
    <cellStyle name="Comma 2 2 4 2 5 3 4" xfId="4950" xr:uid="{00000000-0005-0000-0000-000068030000}"/>
    <cellStyle name="Comma 2 2 4 2 5 4" xfId="373" xr:uid="{00000000-0005-0000-0000-000069030000}"/>
    <cellStyle name="Comma 2 2 4 2 5 4 2" xfId="374" xr:uid="{00000000-0005-0000-0000-00006A030000}"/>
    <cellStyle name="Comma 2 2 4 2 5 4 2 2" xfId="7521" xr:uid="{00000000-0005-0000-0000-00006B030000}"/>
    <cellStyle name="Comma 2 2 4 2 5 4 3" xfId="7520" xr:uid="{00000000-0005-0000-0000-00006C030000}"/>
    <cellStyle name="Comma 2 2 4 2 5 4 4" xfId="4951" xr:uid="{00000000-0005-0000-0000-00006D030000}"/>
    <cellStyle name="Comma 2 2 4 2 5 5" xfId="375" xr:uid="{00000000-0005-0000-0000-00006E030000}"/>
    <cellStyle name="Comma 2 2 4 2 5 5 2" xfId="7522" xr:uid="{00000000-0005-0000-0000-00006F030000}"/>
    <cellStyle name="Comma 2 2 4 2 5 6" xfId="7513" xr:uid="{00000000-0005-0000-0000-000070030000}"/>
    <cellStyle name="Comma 2 2 4 2 5 7" xfId="4947" xr:uid="{00000000-0005-0000-0000-000071030000}"/>
    <cellStyle name="Comma 2 2 4 2 6" xfId="376" xr:uid="{00000000-0005-0000-0000-000072030000}"/>
    <cellStyle name="Comma 2 2 4 2 6 2" xfId="377" xr:uid="{00000000-0005-0000-0000-000073030000}"/>
    <cellStyle name="Comma 2 2 4 2 6 2 2" xfId="378" xr:uid="{00000000-0005-0000-0000-000074030000}"/>
    <cellStyle name="Comma 2 2 4 2 6 2 2 2" xfId="7525" xr:uid="{00000000-0005-0000-0000-000075030000}"/>
    <cellStyle name="Comma 2 2 4 2 6 2 3" xfId="7524" xr:uid="{00000000-0005-0000-0000-000076030000}"/>
    <cellStyle name="Comma 2 2 4 2 6 2 4" xfId="4953" xr:uid="{00000000-0005-0000-0000-000077030000}"/>
    <cellStyle name="Comma 2 2 4 2 6 3" xfId="379" xr:uid="{00000000-0005-0000-0000-000078030000}"/>
    <cellStyle name="Comma 2 2 4 2 6 3 2" xfId="380" xr:uid="{00000000-0005-0000-0000-000079030000}"/>
    <cellStyle name="Comma 2 2 4 2 6 3 2 2" xfId="7527" xr:uid="{00000000-0005-0000-0000-00007A030000}"/>
    <cellStyle name="Comma 2 2 4 2 6 3 3" xfId="7526" xr:uid="{00000000-0005-0000-0000-00007B030000}"/>
    <cellStyle name="Comma 2 2 4 2 6 3 4" xfId="4954" xr:uid="{00000000-0005-0000-0000-00007C030000}"/>
    <cellStyle name="Comma 2 2 4 2 6 4" xfId="381" xr:uid="{00000000-0005-0000-0000-00007D030000}"/>
    <cellStyle name="Comma 2 2 4 2 6 4 2" xfId="7528" xr:uid="{00000000-0005-0000-0000-00007E030000}"/>
    <cellStyle name="Comma 2 2 4 2 6 5" xfId="7523" xr:uid="{00000000-0005-0000-0000-00007F030000}"/>
    <cellStyle name="Comma 2 2 4 2 6 6" xfId="4952" xr:uid="{00000000-0005-0000-0000-000080030000}"/>
    <cellStyle name="Comma 2 2 4 2 7" xfId="382" xr:uid="{00000000-0005-0000-0000-000081030000}"/>
    <cellStyle name="Comma 2 2 4 2 7 2" xfId="383" xr:uid="{00000000-0005-0000-0000-000082030000}"/>
    <cellStyle name="Comma 2 2 4 2 7 2 2" xfId="384" xr:uid="{00000000-0005-0000-0000-000083030000}"/>
    <cellStyle name="Comma 2 2 4 2 7 2 2 2" xfId="7531" xr:uid="{00000000-0005-0000-0000-000084030000}"/>
    <cellStyle name="Comma 2 2 4 2 7 2 3" xfId="7530" xr:uid="{00000000-0005-0000-0000-000085030000}"/>
    <cellStyle name="Comma 2 2 4 2 7 2 4" xfId="4956" xr:uid="{00000000-0005-0000-0000-000086030000}"/>
    <cellStyle name="Comma 2 2 4 2 7 3" xfId="385" xr:uid="{00000000-0005-0000-0000-000087030000}"/>
    <cellStyle name="Comma 2 2 4 2 7 3 2" xfId="7532" xr:uid="{00000000-0005-0000-0000-000088030000}"/>
    <cellStyle name="Comma 2 2 4 2 7 4" xfId="7529" xr:uid="{00000000-0005-0000-0000-000089030000}"/>
    <cellStyle name="Comma 2 2 4 2 7 5" xfId="4955" xr:uid="{00000000-0005-0000-0000-00008A030000}"/>
    <cellStyle name="Comma 2 2 4 2 8" xfId="386" xr:uid="{00000000-0005-0000-0000-00008B030000}"/>
    <cellStyle name="Comma 2 2 4 2 8 2" xfId="387" xr:uid="{00000000-0005-0000-0000-00008C030000}"/>
    <cellStyle name="Comma 2 2 4 2 8 2 2" xfId="7534" xr:uid="{00000000-0005-0000-0000-00008D030000}"/>
    <cellStyle name="Comma 2 2 4 2 8 3" xfId="7533" xr:uid="{00000000-0005-0000-0000-00008E030000}"/>
    <cellStyle name="Comma 2 2 4 2 8 4" xfId="4957" xr:uid="{00000000-0005-0000-0000-00008F030000}"/>
    <cellStyle name="Comma 2 2 4 2 9" xfId="388" xr:uid="{00000000-0005-0000-0000-000090030000}"/>
    <cellStyle name="Comma 2 2 4 2 9 2" xfId="389" xr:uid="{00000000-0005-0000-0000-000091030000}"/>
    <cellStyle name="Comma 2 2 4 2 9 2 2" xfId="7536" xr:uid="{00000000-0005-0000-0000-000092030000}"/>
    <cellStyle name="Comma 2 2 4 2 9 3" xfId="7535" xr:uid="{00000000-0005-0000-0000-000093030000}"/>
    <cellStyle name="Comma 2 2 4 2 9 4" xfId="4958" xr:uid="{00000000-0005-0000-0000-000094030000}"/>
    <cellStyle name="Comma 2 2 4 3" xfId="390" xr:uid="{00000000-0005-0000-0000-000095030000}"/>
    <cellStyle name="Comma 2 2 4 3 2" xfId="391" xr:uid="{00000000-0005-0000-0000-000096030000}"/>
    <cellStyle name="Comma 2 2 4 3 2 2" xfId="392" xr:uid="{00000000-0005-0000-0000-000097030000}"/>
    <cellStyle name="Comma 2 2 4 3 2 2 2" xfId="393" xr:uid="{00000000-0005-0000-0000-000098030000}"/>
    <cellStyle name="Comma 2 2 4 3 2 2 2 2" xfId="7540" xr:uid="{00000000-0005-0000-0000-000099030000}"/>
    <cellStyle name="Comma 2 2 4 3 2 2 3" xfId="7539" xr:uid="{00000000-0005-0000-0000-00009A030000}"/>
    <cellStyle name="Comma 2 2 4 3 2 2 4" xfId="4961" xr:uid="{00000000-0005-0000-0000-00009B030000}"/>
    <cellStyle name="Comma 2 2 4 3 2 3" xfId="394" xr:uid="{00000000-0005-0000-0000-00009C030000}"/>
    <cellStyle name="Comma 2 2 4 3 2 3 2" xfId="7541" xr:uid="{00000000-0005-0000-0000-00009D030000}"/>
    <cellStyle name="Comma 2 2 4 3 2 4" xfId="7538" xr:uid="{00000000-0005-0000-0000-00009E030000}"/>
    <cellStyle name="Comma 2 2 4 3 2 5" xfId="4960" xr:uid="{00000000-0005-0000-0000-00009F030000}"/>
    <cellStyle name="Comma 2 2 4 3 3" xfId="395" xr:uid="{00000000-0005-0000-0000-0000A0030000}"/>
    <cellStyle name="Comma 2 2 4 3 3 2" xfId="396" xr:uid="{00000000-0005-0000-0000-0000A1030000}"/>
    <cellStyle name="Comma 2 2 4 3 3 2 2" xfId="7543" xr:uid="{00000000-0005-0000-0000-0000A2030000}"/>
    <cellStyle name="Comma 2 2 4 3 3 3" xfId="7542" xr:uid="{00000000-0005-0000-0000-0000A3030000}"/>
    <cellStyle name="Comma 2 2 4 3 3 4" xfId="4962" xr:uid="{00000000-0005-0000-0000-0000A4030000}"/>
    <cellStyle name="Comma 2 2 4 3 4" xfId="397" xr:uid="{00000000-0005-0000-0000-0000A5030000}"/>
    <cellStyle name="Comma 2 2 4 3 4 2" xfId="398" xr:uid="{00000000-0005-0000-0000-0000A6030000}"/>
    <cellStyle name="Comma 2 2 4 3 4 2 2" xfId="7545" xr:uid="{00000000-0005-0000-0000-0000A7030000}"/>
    <cellStyle name="Comma 2 2 4 3 4 3" xfId="7544" xr:uid="{00000000-0005-0000-0000-0000A8030000}"/>
    <cellStyle name="Comma 2 2 4 3 4 4" xfId="4963" xr:uid="{00000000-0005-0000-0000-0000A9030000}"/>
    <cellStyle name="Comma 2 2 4 3 5" xfId="399" xr:uid="{00000000-0005-0000-0000-0000AA030000}"/>
    <cellStyle name="Comma 2 2 4 3 5 2" xfId="7546" xr:uid="{00000000-0005-0000-0000-0000AB030000}"/>
    <cellStyle name="Comma 2 2 4 3 6" xfId="7537" xr:uid="{00000000-0005-0000-0000-0000AC030000}"/>
    <cellStyle name="Comma 2 2 4 3 7" xfId="4959" xr:uid="{00000000-0005-0000-0000-0000AD030000}"/>
    <cellStyle name="Comma 2 2 4 4" xfId="400" xr:uid="{00000000-0005-0000-0000-0000AE030000}"/>
    <cellStyle name="Comma 2 2 4 4 2" xfId="401" xr:uid="{00000000-0005-0000-0000-0000AF030000}"/>
    <cellStyle name="Comma 2 2 4 4 2 2" xfId="402" xr:uid="{00000000-0005-0000-0000-0000B0030000}"/>
    <cellStyle name="Comma 2 2 4 4 2 2 2" xfId="403" xr:uid="{00000000-0005-0000-0000-0000B1030000}"/>
    <cellStyle name="Comma 2 2 4 4 2 2 2 2" xfId="7550" xr:uid="{00000000-0005-0000-0000-0000B2030000}"/>
    <cellStyle name="Comma 2 2 4 4 2 2 3" xfId="7549" xr:uid="{00000000-0005-0000-0000-0000B3030000}"/>
    <cellStyle name="Comma 2 2 4 4 2 2 4" xfId="4966" xr:uid="{00000000-0005-0000-0000-0000B4030000}"/>
    <cellStyle name="Comma 2 2 4 4 2 3" xfId="404" xr:uid="{00000000-0005-0000-0000-0000B5030000}"/>
    <cellStyle name="Comma 2 2 4 4 2 3 2" xfId="7551" xr:uid="{00000000-0005-0000-0000-0000B6030000}"/>
    <cellStyle name="Comma 2 2 4 4 2 4" xfId="7548" xr:uid="{00000000-0005-0000-0000-0000B7030000}"/>
    <cellStyle name="Comma 2 2 4 4 2 5" xfId="4965" xr:uid="{00000000-0005-0000-0000-0000B8030000}"/>
    <cellStyle name="Comma 2 2 4 4 3" xfId="405" xr:uid="{00000000-0005-0000-0000-0000B9030000}"/>
    <cellStyle name="Comma 2 2 4 4 3 2" xfId="406" xr:uid="{00000000-0005-0000-0000-0000BA030000}"/>
    <cellStyle name="Comma 2 2 4 4 3 2 2" xfId="7553" xr:uid="{00000000-0005-0000-0000-0000BB030000}"/>
    <cellStyle name="Comma 2 2 4 4 3 3" xfId="7552" xr:uid="{00000000-0005-0000-0000-0000BC030000}"/>
    <cellStyle name="Comma 2 2 4 4 3 4" xfId="4967" xr:uid="{00000000-0005-0000-0000-0000BD030000}"/>
    <cellStyle name="Comma 2 2 4 4 4" xfId="407" xr:uid="{00000000-0005-0000-0000-0000BE030000}"/>
    <cellStyle name="Comma 2 2 4 4 4 2" xfId="408" xr:uid="{00000000-0005-0000-0000-0000BF030000}"/>
    <cellStyle name="Comma 2 2 4 4 4 2 2" xfId="7555" xr:uid="{00000000-0005-0000-0000-0000C0030000}"/>
    <cellStyle name="Comma 2 2 4 4 4 3" xfId="7554" xr:uid="{00000000-0005-0000-0000-0000C1030000}"/>
    <cellStyle name="Comma 2 2 4 4 4 4" xfId="4968" xr:uid="{00000000-0005-0000-0000-0000C2030000}"/>
    <cellStyle name="Comma 2 2 4 4 5" xfId="409" xr:uid="{00000000-0005-0000-0000-0000C3030000}"/>
    <cellStyle name="Comma 2 2 4 4 5 2" xfId="7556" xr:uid="{00000000-0005-0000-0000-0000C4030000}"/>
    <cellStyle name="Comma 2 2 4 4 6" xfId="7547" xr:uid="{00000000-0005-0000-0000-0000C5030000}"/>
    <cellStyle name="Comma 2 2 4 4 7" xfId="4964" xr:uid="{00000000-0005-0000-0000-0000C6030000}"/>
    <cellStyle name="Comma 2 2 4 5" xfId="410" xr:uid="{00000000-0005-0000-0000-0000C7030000}"/>
    <cellStyle name="Comma 2 2 4 5 2" xfId="411" xr:uid="{00000000-0005-0000-0000-0000C8030000}"/>
    <cellStyle name="Comma 2 2 4 5 2 2" xfId="412" xr:uid="{00000000-0005-0000-0000-0000C9030000}"/>
    <cellStyle name="Comma 2 2 4 5 2 2 2" xfId="413" xr:uid="{00000000-0005-0000-0000-0000CA030000}"/>
    <cellStyle name="Comma 2 2 4 5 2 2 2 2" xfId="7560" xr:uid="{00000000-0005-0000-0000-0000CB030000}"/>
    <cellStyle name="Comma 2 2 4 5 2 2 3" xfId="7559" xr:uid="{00000000-0005-0000-0000-0000CC030000}"/>
    <cellStyle name="Comma 2 2 4 5 2 2 4" xfId="4971" xr:uid="{00000000-0005-0000-0000-0000CD030000}"/>
    <cellStyle name="Comma 2 2 4 5 2 3" xfId="414" xr:uid="{00000000-0005-0000-0000-0000CE030000}"/>
    <cellStyle name="Comma 2 2 4 5 2 3 2" xfId="7561" xr:uid="{00000000-0005-0000-0000-0000CF030000}"/>
    <cellStyle name="Comma 2 2 4 5 2 4" xfId="7558" xr:uid="{00000000-0005-0000-0000-0000D0030000}"/>
    <cellStyle name="Comma 2 2 4 5 2 5" xfId="4970" xr:uid="{00000000-0005-0000-0000-0000D1030000}"/>
    <cellStyle name="Comma 2 2 4 5 3" xfId="415" xr:uid="{00000000-0005-0000-0000-0000D2030000}"/>
    <cellStyle name="Comma 2 2 4 5 3 2" xfId="416" xr:uid="{00000000-0005-0000-0000-0000D3030000}"/>
    <cellStyle name="Comma 2 2 4 5 3 2 2" xfId="7563" xr:uid="{00000000-0005-0000-0000-0000D4030000}"/>
    <cellStyle name="Comma 2 2 4 5 3 3" xfId="7562" xr:uid="{00000000-0005-0000-0000-0000D5030000}"/>
    <cellStyle name="Comma 2 2 4 5 3 4" xfId="4972" xr:uid="{00000000-0005-0000-0000-0000D6030000}"/>
    <cellStyle name="Comma 2 2 4 5 4" xfId="417" xr:uid="{00000000-0005-0000-0000-0000D7030000}"/>
    <cellStyle name="Comma 2 2 4 5 4 2" xfId="418" xr:uid="{00000000-0005-0000-0000-0000D8030000}"/>
    <cellStyle name="Comma 2 2 4 5 4 2 2" xfId="7565" xr:uid="{00000000-0005-0000-0000-0000D9030000}"/>
    <cellStyle name="Comma 2 2 4 5 4 3" xfId="7564" xr:uid="{00000000-0005-0000-0000-0000DA030000}"/>
    <cellStyle name="Comma 2 2 4 5 4 4" xfId="4973" xr:uid="{00000000-0005-0000-0000-0000DB030000}"/>
    <cellStyle name="Comma 2 2 4 5 5" xfId="419" xr:uid="{00000000-0005-0000-0000-0000DC030000}"/>
    <cellStyle name="Comma 2 2 4 5 5 2" xfId="7566" xr:uid="{00000000-0005-0000-0000-0000DD030000}"/>
    <cellStyle name="Comma 2 2 4 5 6" xfId="7557" xr:uid="{00000000-0005-0000-0000-0000DE030000}"/>
    <cellStyle name="Comma 2 2 4 5 7" xfId="4969" xr:uid="{00000000-0005-0000-0000-0000DF030000}"/>
    <cellStyle name="Comma 2 2 4 6" xfId="420" xr:uid="{00000000-0005-0000-0000-0000E0030000}"/>
    <cellStyle name="Comma 2 2 4 6 2" xfId="421" xr:uid="{00000000-0005-0000-0000-0000E1030000}"/>
    <cellStyle name="Comma 2 2 4 6 2 2" xfId="422" xr:uid="{00000000-0005-0000-0000-0000E2030000}"/>
    <cellStyle name="Comma 2 2 4 6 2 2 2" xfId="423" xr:uid="{00000000-0005-0000-0000-0000E3030000}"/>
    <cellStyle name="Comma 2 2 4 6 2 2 2 2" xfId="7570" xr:uid="{00000000-0005-0000-0000-0000E4030000}"/>
    <cellStyle name="Comma 2 2 4 6 2 2 3" xfId="7569" xr:uid="{00000000-0005-0000-0000-0000E5030000}"/>
    <cellStyle name="Comma 2 2 4 6 2 2 4" xfId="4976" xr:uid="{00000000-0005-0000-0000-0000E6030000}"/>
    <cellStyle name="Comma 2 2 4 6 2 3" xfId="424" xr:uid="{00000000-0005-0000-0000-0000E7030000}"/>
    <cellStyle name="Comma 2 2 4 6 2 3 2" xfId="7571" xr:uid="{00000000-0005-0000-0000-0000E8030000}"/>
    <cellStyle name="Comma 2 2 4 6 2 4" xfId="7568" xr:uid="{00000000-0005-0000-0000-0000E9030000}"/>
    <cellStyle name="Comma 2 2 4 6 2 5" xfId="4975" xr:uid="{00000000-0005-0000-0000-0000EA030000}"/>
    <cellStyle name="Comma 2 2 4 6 3" xfId="425" xr:uid="{00000000-0005-0000-0000-0000EB030000}"/>
    <cellStyle name="Comma 2 2 4 6 3 2" xfId="426" xr:uid="{00000000-0005-0000-0000-0000EC030000}"/>
    <cellStyle name="Comma 2 2 4 6 3 2 2" xfId="7573" xr:uid="{00000000-0005-0000-0000-0000ED030000}"/>
    <cellStyle name="Comma 2 2 4 6 3 3" xfId="7572" xr:uid="{00000000-0005-0000-0000-0000EE030000}"/>
    <cellStyle name="Comma 2 2 4 6 3 4" xfId="4977" xr:uid="{00000000-0005-0000-0000-0000EF030000}"/>
    <cellStyle name="Comma 2 2 4 6 4" xfId="427" xr:uid="{00000000-0005-0000-0000-0000F0030000}"/>
    <cellStyle name="Comma 2 2 4 6 4 2" xfId="428" xr:uid="{00000000-0005-0000-0000-0000F1030000}"/>
    <cellStyle name="Comma 2 2 4 6 4 2 2" xfId="7575" xr:uid="{00000000-0005-0000-0000-0000F2030000}"/>
    <cellStyle name="Comma 2 2 4 6 4 3" xfId="7574" xr:uid="{00000000-0005-0000-0000-0000F3030000}"/>
    <cellStyle name="Comma 2 2 4 6 4 4" xfId="4978" xr:uid="{00000000-0005-0000-0000-0000F4030000}"/>
    <cellStyle name="Comma 2 2 4 6 5" xfId="429" xr:uid="{00000000-0005-0000-0000-0000F5030000}"/>
    <cellStyle name="Comma 2 2 4 6 5 2" xfId="7576" xr:uid="{00000000-0005-0000-0000-0000F6030000}"/>
    <cellStyle name="Comma 2 2 4 6 6" xfId="7567" xr:uid="{00000000-0005-0000-0000-0000F7030000}"/>
    <cellStyle name="Comma 2 2 4 6 7" xfId="4974" xr:uid="{00000000-0005-0000-0000-0000F8030000}"/>
    <cellStyle name="Comma 2 2 4 7" xfId="430" xr:uid="{00000000-0005-0000-0000-0000F9030000}"/>
    <cellStyle name="Comma 2 2 4 7 2" xfId="431" xr:uid="{00000000-0005-0000-0000-0000FA030000}"/>
    <cellStyle name="Comma 2 2 4 7 2 2" xfId="432" xr:uid="{00000000-0005-0000-0000-0000FB030000}"/>
    <cellStyle name="Comma 2 2 4 7 2 2 2" xfId="7579" xr:uid="{00000000-0005-0000-0000-0000FC030000}"/>
    <cellStyle name="Comma 2 2 4 7 2 3" xfId="7578" xr:uid="{00000000-0005-0000-0000-0000FD030000}"/>
    <cellStyle name="Comma 2 2 4 7 2 4" xfId="4980" xr:uid="{00000000-0005-0000-0000-0000FE030000}"/>
    <cellStyle name="Comma 2 2 4 7 3" xfId="433" xr:uid="{00000000-0005-0000-0000-0000FF030000}"/>
    <cellStyle name="Comma 2 2 4 7 3 2" xfId="434" xr:uid="{00000000-0005-0000-0000-000000040000}"/>
    <cellStyle name="Comma 2 2 4 7 3 2 2" xfId="7581" xr:uid="{00000000-0005-0000-0000-000001040000}"/>
    <cellStyle name="Comma 2 2 4 7 3 3" xfId="7580" xr:uid="{00000000-0005-0000-0000-000002040000}"/>
    <cellStyle name="Comma 2 2 4 7 3 4" xfId="4981" xr:uid="{00000000-0005-0000-0000-000003040000}"/>
    <cellStyle name="Comma 2 2 4 7 4" xfId="435" xr:uid="{00000000-0005-0000-0000-000004040000}"/>
    <cellStyle name="Comma 2 2 4 7 4 2" xfId="7582" xr:uid="{00000000-0005-0000-0000-000005040000}"/>
    <cellStyle name="Comma 2 2 4 7 5" xfId="7577" xr:uid="{00000000-0005-0000-0000-000006040000}"/>
    <cellStyle name="Comma 2 2 4 7 6" xfId="4979" xr:uid="{00000000-0005-0000-0000-000007040000}"/>
    <cellStyle name="Comma 2 2 4 8" xfId="436" xr:uid="{00000000-0005-0000-0000-000008040000}"/>
    <cellStyle name="Comma 2 2 4 8 2" xfId="437" xr:uid="{00000000-0005-0000-0000-000009040000}"/>
    <cellStyle name="Comma 2 2 4 8 2 2" xfId="438" xr:uid="{00000000-0005-0000-0000-00000A040000}"/>
    <cellStyle name="Comma 2 2 4 8 2 2 2" xfId="7585" xr:uid="{00000000-0005-0000-0000-00000B040000}"/>
    <cellStyle name="Comma 2 2 4 8 2 3" xfId="7584" xr:uid="{00000000-0005-0000-0000-00000C040000}"/>
    <cellStyle name="Comma 2 2 4 8 2 4" xfId="4983" xr:uid="{00000000-0005-0000-0000-00000D040000}"/>
    <cellStyle name="Comma 2 2 4 8 3" xfId="439" xr:uid="{00000000-0005-0000-0000-00000E040000}"/>
    <cellStyle name="Comma 2 2 4 8 3 2" xfId="7586" xr:uid="{00000000-0005-0000-0000-00000F040000}"/>
    <cellStyle name="Comma 2 2 4 8 4" xfId="7583" xr:uid="{00000000-0005-0000-0000-000010040000}"/>
    <cellStyle name="Comma 2 2 4 8 5" xfId="4982" xr:uid="{00000000-0005-0000-0000-000011040000}"/>
    <cellStyle name="Comma 2 2 4 9" xfId="440" xr:uid="{00000000-0005-0000-0000-000012040000}"/>
    <cellStyle name="Comma 2 2 4 9 2" xfId="441" xr:uid="{00000000-0005-0000-0000-000013040000}"/>
    <cellStyle name="Comma 2 2 4 9 2 2" xfId="7588" xr:uid="{00000000-0005-0000-0000-000014040000}"/>
    <cellStyle name="Comma 2 2 4 9 3" xfId="7587" xr:uid="{00000000-0005-0000-0000-000015040000}"/>
    <cellStyle name="Comma 2 2 4 9 4" xfId="4984" xr:uid="{00000000-0005-0000-0000-000016040000}"/>
    <cellStyle name="Comma 2 2 5" xfId="442" xr:uid="{00000000-0005-0000-0000-000017040000}"/>
    <cellStyle name="Comma 2 2 5 10" xfId="443" xr:uid="{00000000-0005-0000-0000-000018040000}"/>
    <cellStyle name="Comma 2 2 5 10 2" xfId="7590" xr:uid="{00000000-0005-0000-0000-000019040000}"/>
    <cellStyle name="Comma 2 2 5 11" xfId="7589" xr:uid="{00000000-0005-0000-0000-00001A040000}"/>
    <cellStyle name="Comma 2 2 5 12" xfId="4985" xr:uid="{00000000-0005-0000-0000-00001B040000}"/>
    <cellStyle name="Comma 2 2 5 2" xfId="444" xr:uid="{00000000-0005-0000-0000-00001C040000}"/>
    <cellStyle name="Comma 2 2 5 2 2" xfId="445" xr:uid="{00000000-0005-0000-0000-00001D040000}"/>
    <cellStyle name="Comma 2 2 5 2 2 2" xfId="446" xr:uid="{00000000-0005-0000-0000-00001E040000}"/>
    <cellStyle name="Comma 2 2 5 2 2 2 2" xfId="447" xr:uid="{00000000-0005-0000-0000-00001F040000}"/>
    <cellStyle name="Comma 2 2 5 2 2 2 2 2" xfId="7594" xr:uid="{00000000-0005-0000-0000-000020040000}"/>
    <cellStyle name="Comma 2 2 5 2 2 2 3" xfId="7593" xr:uid="{00000000-0005-0000-0000-000021040000}"/>
    <cellStyle name="Comma 2 2 5 2 2 2 4" xfId="4988" xr:uid="{00000000-0005-0000-0000-000022040000}"/>
    <cellStyle name="Comma 2 2 5 2 2 3" xfId="448" xr:uid="{00000000-0005-0000-0000-000023040000}"/>
    <cellStyle name="Comma 2 2 5 2 2 3 2" xfId="7595" xr:uid="{00000000-0005-0000-0000-000024040000}"/>
    <cellStyle name="Comma 2 2 5 2 2 4" xfId="7592" xr:uid="{00000000-0005-0000-0000-000025040000}"/>
    <cellStyle name="Comma 2 2 5 2 2 5" xfId="4987" xr:uid="{00000000-0005-0000-0000-000026040000}"/>
    <cellStyle name="Comma 2 2 5 2 3" xfId="449" xr:uid="{00000000-0005-0000-0000-000027040000}"/>
    <cellStyle name="Comma 2 2 5 2 3 2" xfId="450" xr:uid="{00000000-0005-0000-0000-000028040000}"/>
    <cellStyle name="Comma 2 2 5 2 3 2 2" xfId="7597" xr:uid="{00000000-0005-0000-0000-000029040000}"/>
    <cellStyle name="Comma 2 2 5 2 3 3" xfId="7596" xr:uid="{00000000-0005-0000-0000-00002A040000}"/>
    <cellStyle name="Comma 2 2 5 2 3 4" xfId="4989" xr:uid="{00000000-0005-0000-0000-00002B040000}"/>
    <cellStyle name="Comma 2 2 5 2 4" xfId="451" xr:uid="{00000000-0005-0000-0000-00002C040000}"/>
    <cellStyle name="Comma 2 2 5 2 4 2" xfId="452" xr:uid="{00000000-0005-0000-0000-00002D040000}"/>
    <cellStyle name="Comma 2 2 5 2 4 2 2" xfId="7599" xr:uid="{00000000-0005-0000-0000-00002E040000}"/>
    <cellStyle name="Comma 2 2 5 2 4 3" xfId="7598" xr:uid="{00000000-0005-0000-0000-00002F040000}"/>
    <cellStyle name="Comma 2 2 5 2 4 4" xfId="4990" xr:uid="{00000000-0005-0000-0000-000030040000}"/>
    <cellStyle name="Comma 2 2 5 2 5" xfId="453" xr:uid="{00000000-0005-0000-0000-000031040000}"/>
    <cellStyle name="Comma 2 2 5 2 5 2" xfId="7600" xr:uid="{00000000-0005-0000-0000-000032040000}"/>
    <cellStyle name="Comma 2 2 5 2 6" xfId="7591" xr:uid="{00000000-0005-0000-0000-000033040000}"/>
    <cellStyle name="Comma 2 2 5 2 7" xfId="4986" xr:uid="{00000000-0005-0000-0000-000034040000}"/>
    <cellStyle name="Comma 2 2 5 3" xfId="454" xr:uid="{00000000-0005-0000-0000-000035040000}"/>
    <cellStyle name="Comma 2 2 5 3 2" xfId="455" xr:uid="{00000000-0005-0000-0000-000036040000}"/>
    <cellStyle name="Comma 2 2 5 3 2 2" xfId="456" xr:uid="{00000000-0005-0000-0000-000037040000}"/>
    <cellStyle name="Comma 2 2 5 3 2 2 2" xfId="457" xr:uid="{00000000-0005-0000-0000-000038040000}"/>
    <cellStyle name="Comma 2 2 5 3 2 2 2 2" xfId="7604" xr:uid="{00000000-0005-0000-0000-000039040000}"/>
    <cellStyle name="Comma 2 2 5 3 2 2 3" xfId="7603" xr:uid="{00000000-0005-0000-0000-00003A040000}"/>
    <cellStyle name="Comma 2 2 5 3 2 2 4" xfId="4993" xr:uid="{00000000-0005-0000-0000-00003B040000}"/>
    <cellStyle name="Comma 2 2 5 3 2 3" xfId="458" xr:uid="{00000000-0005-0000-0000-00003C040000}"/>
    <cellStyle name="Comma 2 2 5 3 2 3 2" xfId="7605" xr:uid="{00000000-0005-0000-0000-00003D040000}"/>
    <cellStyle name="Comma 2 2 5 3 2 4" xfId="7602" xr:uid="{00000000-0005-0000-0000-00003E040000}"/>
    <cellStyle name="Comma 2 2 5 3 2 5" xfId="4992" xr:uid="{00000000-0005-0000-0000-00003F040000}"/>
    <cellStyle name="Comma 2 2 5 3 3" xfId="459" xr:uid="{00000000-0005-0000-0000-000040040000}"/>
    <cellStyle name="Comma 2 2 5 3 3 2" xfId="460" xr:uid="{00000000-0005-0000-0000-000041040000}"/>
    <cellStyle name="Comma 2 2 5 3 3 2 2" xfId="7607" xr:uid="{00000000-0005-0000-0000-000042040000}"/>
    <cellStyle name="Comma 2 2 5 3 3 3" xfId="7606" xr:uid="{00000000-0005-0000-0000-000043040000}"/>
    <cellStyle name="Comma 2 2 5 3 3 4" xfId="4994" xr:uid="{00000000-0005-0000-0000-000044040000}"/>
    <cellStyle name="Comma 2 2 5 3 4" xfId="461" xr:uid="{00000000-0005-0000-0000-000045040000}"/>
    <cellStyle name="Comma 2 2 5 3 4 2" xfId="462" xr:uid="{00000000-0005-0000-0000-000046040000}"/>
    <cellStyle name="Comma 2 2 5 3 4 2 2" xfId="7609" xr:uid="{00000000-0005-0000-0000-000047040000}"/>
    <cellStyle name="Comma 2 2 5 3 4 3" xfId="7608" xr:uid="{00000000-0005-0000-0000-000048040000}"/>
    <cellStyle name="Comma 2 2 5 3 4 4" xfId="4995" xr:uid="{00000000-0005-0000-0000-000049040000}"/>
    <cellStyle name="Comma 2 2 5 3 5" xfId="463" xr:uid="{00000000-0005-0000-0000-00004A040000}"/>
    <cellStyle name="Comma 2 2 5 3 5 2" xfId="7610" xr:uid="{00000000-0005-0000-0000-00004B040000}"/>
    <cellStyle name="Comma 2 2 5 3 6" xfId="7601" xr:uid="{00000000-0005-0000-0000-00004C040000}"/>
    <cellStyle name="Comma 2 2 5 3 7" xfId="4991" xr:uid="{00000000-0005-0000-0000-00004D040000}"/>
    <cellStyle name="Comma 2 2 5 4" xfId="464" xr:uid="{00000000-0005-0000-0000-00004E040000}"/>
    <cellStyle name="Comma 2 2 5 4 2" xfId="465" xr:uid="{00000000-0005-0000-0000-00004F040000}"/>
    <cellStyle name="Comma 2 2 5 4 2 2" xfId="466" xr:uid="{00000000-0005-0000-0000-000050040000}"/>
    <cellStyle name="Comma 2 2 5 4 2 2 2" xfId="467" xr:uid="{00000000-0005-0000-0000-000051040000}"/>
    <cellStyle name="Comma 2 2 5 4 2 2 2 2" xfId="7614" xr:uid="{00000000-0005-0000-0000-000052040000}"/>
    <cellStyle name="Comma 2 2 5 4 2 2 3" xfId="7613" xr:uid="{00000000-0005-0000-0000-000053040000}"/>
    <cellStyle name="Comma 2 2 5 4 2 2 4" xfId="4998" xr:uid="{00000000-0005-0000-0000-000054040000}"/>
    <cellStyle name="Comma 2 2 5 4 2 3" xfId="468" xr:uid="{00000000-0005-0000-0000-000055040000}"/>
    <cellStyle name="Comma 2 2 5 4 2 3 2" xfId="7615" xr:uid="{00000000-0005-0000-0000-000056040000}"/>
    <cellStyle name="Comma 2 2 5 4 2 4" xfId="7612" xr:uid="{00000000-0005-0000-0000-000057040000}"/>
    <cellStyle name="Comma 2 2 5 4 2 5" xfId="4997" xr:uid="{00000000-0005-0000-0000-000058040000}"/>
    <cellStyle name="Comma 2 2 5 4 3" xfId="469" xr:uid="{00000000-0005-0000-0000-000059040000}"/>
    <cellStyle name="Comma 2 2 5 4 3 2" xfId="470" xr:uid="{00000000-0005-0000-0000-00005A040000}"/>
    <cellStyle name="Comma 2 2 5 4 3 2 2" xfId="7617" xr:uid="{00000000-0005-0000-0000-00005B040000}"/>
    <cellStyle name="Comma 2 2 5 4 3 3" xfId="7616" xr:uid="{00000000-0005-0000-0000-00005C040000}"/>
    <cellStyle name="Comma 2 2 5 4 3 4" xfId="4999" xr:uid="{00000000-0005-0000-0000-00005D040000}"/>
    <cellStyle name="Comma 2 2 5 4 4" xfId="471" xr:uid="{00000000-0005-0000-0000-00005E040000}"/>
    <cellStyle name="Comma 2 2 5 4 4 2" xfId="472" xr:uid="{00000000-0005-0000-0000-00005F040000}"/>
    <cellStyle name="Comma 2 2 5 4 4 2 2" xfId="7619" xr:uid="{00000000-0005-0000-0000-000060040000}"/>
    <cellStyle name="Comma 2 2 5 4 4 3" xfId="7618" xr:uid="{00000000-0005-0000-0000-000061040000}"/>
    <cellStyle name="Comma 2 2 5 4 4 4" xfId="5000" xr:uid="{00000000-0005-0000-0000-000062040000}"/>
    <cellStyle name="Comma 2 2 5 4 5" xfId="473" xr:uid="{00000000-0005-0000-0000-000063040000}"/>
    <cellStyle name="Comma 2 2 5 4 5 2" xfId="7620" xr:uid="{00000000-0005-0000-0000-000064040000}"/>
    <cellStyle name="Comma 2 2 5 4 6" xfId="7611" xr:uid="{00000000-0005-0000-0000-000065040000}"/>
    <cellStyle name="Comma 2 2 5 4 7" xfId="4996" xr:uid="{00000000-0005-0000-0000-000066040000}"/>
    <cellStyle name="Comma 2 2 5 5" xfId="474" xr:uid="{00000000-0005-0000-0000-000067040000}"/>
    <cellStyle name="Comma 2 2 5 5 2" xfId="475" xr:uid="{00000000-0005-0000-0000-000068040000}"/>
    <cellStyle name="Comma 2 2 5 5 2 2" xfId="476" xr:uid="{00000000-0005-0000-0000-000069040000}"/>
    <cellStyle name="Comma 2 2 5 5 2 2 2" xfId="477" xr:uid="{00000000-0005-0000-0000-00006A040000}"/>
    <cellStyle name="Comma 2 2 5 5 2 2 2 2" xfId="7624" xr:uid="{00000000-0005-0000-0000-00006B040000}"/>
    <cellStyle name="Comma 2 2 5 5 2 2 3" xfId="7623" xr:uid="{00000000-0005-0000-0000-00006C040000}"/>
    <cellStyle name="Comma 2 2 5 5 2 2 4" xfId="5003" xr:uid="{00000000-0005-0000-0000-00006D040000}"/>
    <cellStyle name="Comma 2 2 5 5 2 3" xfId="478" xr:uid="{00000000-0005-0000-0000-00006E040000}"/>
    <cellStyle name="Comma 2 2 5 5 2 3 2" xfId="7625" xr:uid="{00000000-0005-0000-0000-00006F040000}"/>
    <cellStyle name="Comma 2 2 5 5 2 4" xfId="7622" xr:uid="{00000000-0005-0000-0000-000070040000}"/>
    <cellStyle name="Comma 2 2 5 5 2 5" xfId="5002" xr:uid="{00000000-0005-0000-0000-000071040000}"/>
    <cellStyle name="Comma 2 2 5 5 3" xfId="479" xr:uid="{00000000-0005-0000-0000-000072040000}"/>
    <cellStyle name="Comma 2 2 5 5 3 2" xfId="480" xr:uid="{00000000-0005-0000-0000-000073040000}"/>
    <cellStyle name="Comma 2 2 5 5 3 2 2" xfId="7627" xr:uid="{00000000-0005-0000-0000-000074040000}"/>
    <cellStyle name="Comma 2 2 5 5 3 3" xfId="7626" xr:uid="{00000000-0005-0000-0000-000075040000}"/>
    <cellStyle name="Comma 2 2 5 5 3 4" xfId="5004" xr:uid="{00000000-0005-0000-0000-000076040000}"/>
    <cellStyle name="Comma 2 2 5 5 4" xfId="481" xr:uid="{00000000-0005-0000-0000-000077040000}"/>
    <cellStyle name="Comma 2 2 5 5 4 2" xfId="482" xr:uid="{00000000-0005-0000-0000-000078040000}"/>
    <cellStyle name="Comma 2 2 5 5 4 2 2" xfId="7629" xr:uid="{00000000-0005-0000-0000-000079040000}"/>
    <cellStyle name="Comma 2 2 5 5 4 3" xfId="7628" xr:uid="{00000000-0005-0000-0000-00007A040000}"/>
    <cellStyle name="Comma 2 2 5 5 4 4" xfId="5005" xr:uid="{00000000-0005-0000-0000-00007B040000}"/>
    <cellStyle name="Comma 2 2 5 5 5" xfId="483" xr:uid="{00000000-0005-0000-0000-00007C040000}"/>
    <cellStyle name="Comma 2 2 5 5 5 2" xfId="7630" xr:uid="{00000000-0005-0000-0000-00007D040000}"/>
    <cellStyle name="Comma 2 2 5 5 6" xfId="7621" xr:uid="{00000000-0005-0000-0000-00007E040000}"/>
    <cellStyle name="Comma 2 2 5 5 7" xfId="5001" xr:uid="{00000000-0005-0000-0000-00007F040000}"/>
    <cellStyle name="Comma 2 2 5 6" xfId="484" xr:uid="{00000000-0005-0000-0000-000080040000}"/>
    <cellStyle name="Comma 2 2 5 6 2" xfId="485" xr:uid="{00000000-0005-0000-0000-000081040000}"/>
    <cellStyle name="Comma 2 2 5 6 2 2" xfId="486" xr:uid="{00000000-0005-0000-0000-000082040000}"/>
    <cellStyle name="Comma 2 2 5 6 2 2 2" xfId="7633" xr:uid="{00000000-0005-0000-0000-000083040000}"/>
    <cellStyle name="Comma 2 2 5 6 2 3" xfId="7632" xr:uid="{00000000-0005-0000-0000-000084040000}"/>
    <cellStyle name="Comma 2 2 5 6 2 4" xfId="5007" xr:uid="{00000000-0005-0000-0000-000085040000}"/>
    <cellStyle name="Comma 2 2 5 6 3" xfId="487" xr:uid="{00000000-0005-0000-0000-000086040000}"/>
    <cellStyle name="Comma 2 2 5 6 3 2" xfId="488" xr:uid="{00000000-0005-0000-0000-000087040000}"/>
    <cellStyle name="Comma 2 2 5 6 3 2 2" xfId="7635" xr:uid="{00000000-0005-0000-0000-000088040000}"/>
    <cellStyle name="Comma 2 2 5 6 3 3" xfId="7634" xr:uid="{00000000-0005-0000-0000-000089040000}"/>
    <cellStyle name="Comma 2 2 5 6 3 4" xfId="5008" xr:uid="{00000000-0005-0000-0000-00008A040000}"/>
    <cellStyle name="Comma 2 2 5 6 4" xfId="489" xr:uid="{00000000-0005-0000-0000-00008B040000}"/>
    <cellStyle name="Comma 2 2 5 6 4 2" xfId="7636" xr:uid="{00000000-0005-0000-0000-00008C040000}"/>
    <cellStyle name="Comma 2 2 5 6 5" xfId="7631" xr:uid="{00000000-0005-0000-0000-00008D040000}"/>
    <cellStyle name="Comma 2 2 5 6 6" xfId="5006" xr:uid="{00000000-0005-0000-0000-00008E040000}"/>
    <cellStyle name="Comma 2 2 5 7" xfId="490" xr:uid="{00000000-0005-0000-0000-00008F040000}"/>
    <cellStyle name="Comma 2 2 5 7 2" xfId="491" xr:uid="{00000000-0005-0000-0000-000090040000}"/>
    <cellStyle name="Comma 2 2 5 7 2 2" xfId="492" xr:uid="{00000000-0005-0000-0000-000091040000}"/>
    <cellStyle name="Comma 2 2 5 7 2 2 2" xfId="7639" xr:uid="{00000000-0005-0000-0000-000092040000}"/>
    <cellStyle name="Comma 2 2 5 7 2 3" xfId="7638" xr:uid="{00000000-0005-0000-0000-000093040000}"/>
    <cellStyle name="Comma 2 2 5 7 2 4" xfId="5010" xr:uid="{00000000-0005-0000-0000-000094040000}"/>
    <cellStyle name="Comma 2 2 5 7 3" xfId="493" xr:uid="{00000000-0005-0000-0000-000095040000}"/>
    <cellStyle name="Comma 2 2 5 7 3 2" xfId="7640" xr:uid="{00000000-0005-0000-0000-000096040000}"/>
    <cellStyle name="Comma 2 2 5 7 4" xfId="7637" xr:uid="{00000000-0005-0000-0000-000097040000}"/>
    <cellStyle name="Comma 2 2 5 7 5" xfId="5009" xr:uid="{00000000-0005-0000-0000-000098040000}"/>
    <cellStyle name="Comma 2 2 5 8" xfId="494" xr:uid="{00000000-0005-0000-0000-000099040000}"/>
    <cellStyle name="Comma 2 2 5 8 2" xfId="495" xr:uid="{00000000-0005-0000-0000-00009A040000}"/>
    <cellStyle name="Comma 2 2 5 8 2 2" xfId="7642" xr:uid="{00000000-0005-0000-0000-00009B040000}"/>
    <cellStyle name="Comma 2 2 5 8 3" xfId="7641" xr:uid="{00000000-0005-0000-0000-00009C040000}"/>
    <cellStyle name="Comma 2 2 5 8 4" xfId="5011" xr:uid="{00000000-0005-0000-0000-00009D040000}"/>
    <cellStyle name="Comma 2 2 5 9" xfId="496" xr:uid="{00000000-0005-0000-0000-00009E040000}"/>
    <cellStyle name="Comma 2 2 5 9 2" xfId="497" xr:uid="{00000000-0005-0000-0000-00009F040000}"/>
    <cellStyle name="Comma 2 2 5 9 2 2" xfId="7644" xr:uid="{00000000-0005-0000-0000-0000A0040000}"/>
    <cellStyle name="Comma 2 2 5 9 3" xfId="7643" xr:uid="{00000000-0005-0000-0000-0000A1040000}"/>
    <cellStyle name="Comma 2 2 5 9 4" xfId="5012" xr:uid="{00000000-0005-0000-0000-0000A2040000}"/>
    <cellStyle name="Comma 2 2 6" xfId="498" xr:uid="{00000000-0005-0000-0000-0000A3040000}"/>
    <cellStyle name="Comma 2 2 6 2" xfId="499" xr:uid="{00000000-0005-0000-0000-0000A4040000}"/>
    <cellStyle name="Comma 2 2 6 2 2" xfId="500" xr:uid="{00000000-0005-0000-0000-0000A5040000}"/>
    <cellStyle name="Comma 2 2 6 2 2 2" xfId="501" xr:uid="{00000000-0005-0000-0000-0000A6040000}"/>
    <cellStyle name="Comma 2 2 6 2 2 2 2" xfId="7648" xr:uid="{00000000-0005-0000-0000-0000A7040000}"/>
    <cellStyle name="Comma 2 2 6 2 2 3" xfId="7647" xr:uid="{00000000-0005-0000-0000-0000A8040000}"/>
    <cellStyle name="Comma 2 2 6 2 2 4" xfId="5015" xr:uid="{00000000-0005-0000-0000-0000A9040000}"/>
    <cellStyle name="Comma 2 2 6 2 3" xfId="502" xr:uid="{00000000-0005-0000-0000-0000AA040000}"/>
    <cellStyle name="Comma 2 2 6 2 3 2" xfId="7649" xr:uid="{00000000-0005-0000-0000-0000AB040000}"/>
    <cellStyle name="Comma 2 2 6 2 4" xfId="7646" xr:uid="{00000000-0005-0000-0000-0000AC040000}"/>
    <cellStyle name="Comma 2 2 6 2 5" xfId="5014" xr:uid="{00000000-0005-0000-0000-0000AD040000}"/>
    <cellStyle name="Comma 2 2 6 3" xfId="503" xr:uid="{00000000-0005-0000-0000-0000AE040000}"/>
    <cellStyle name="Comma 2 2 6 3 2" xfId="504" xr:uid="{00000000-0005-0000-0000-0000AF040000}"/>
    <cellStyle name="Comma 2 2 6 3 2 2" xfId="7651" xr:uid="{00000000-0005-0000-0000-0000B0040000}"/>
    <cellStyle name="Comma 2 2 6 3 3" xfId="7650" xr:uid="{00000000-0005-0000-0000-0000B1040000}"/>
    <cellStyle name="Comma 2 2 6 3 4" xfId="5016" xr:uid="{00000000-0005-0000-0000-0000B2040000}"/>
    <cellStyle name="Comma 2 2 6 4" xfId="505" xr:uid="{00000000-0005-0000-0000-0000B3040000}"/>
    <cellStyle name="Comma 2 2 6 4 2" xfId="506" xr:uid="{00000000-0005-0000-0000-0000B4040000}"/>
    <cellStyle name="Comma 2 2 6 4 2 2" xfId="7653" xr:uid="{00000000-0005-0000-0000-0000B5040000}"/>
    <cellStyle name="Comma 2 2 6 4 3" xfId="7652" xr:uid="{00000000-0005-0000-0000-0000B6040000}"/>
    <cellStyle name="Comma 2 2 6 4 4" xfId="5017" xr:uid="{00000000-0005-0000-0000-0000B7040000}"/>
    <cellStyle name="Comma 2 2 6 5" xfId="507" xr:uid="{00000000-0005-0000-0000-0000B8040000}"/>
    <cellStyle name="Comma 2 2 6 5 2" xfId="7654" xr:uid="{00000000-0005-0000-0000-0000B9040000}"/>
    <cellStyle name="Comma 2 2 6 6" xfId="7645" xr:uid="{00000000-0005-0000-0000-0000BA040000}"/>
    <cellStyle name="Comma 2 2 6 7" xfId="5013" xr:uid="{00000000-0005-0000-0000-0000BB040000}"/>
    <cellStyle name="Comma 2 2 7" xfId="508" xr:uid="{00000000-0005-0000-0000-0000BC040000}"/>
    <cellStyle name="Comma 2 2 7 2" xfId="509" xr:uid="{00000000-0005-0000-0000-0000BD040000}"/>
    <cellStyle name="Comma 2 2 7 2 2" xfId="510" xr:uid="{00000000-0005-0000-0000-0000BE040000}"/>
    <cellStyle name="Comma 2 2 7 2 2 2" xfId="511" xr:uid="{00000000-0005-0000-0000-0000BF040000}"/>
    <cellStyle name="Comma 2 2 7 2 2 2 2" xfId="7658" xr:uid="{00000000-0005-0000-0000-0000C0040000}"/>
    <cellStyle name="Comma 2 2 7 2 2 3" xfId="7657" xr:uid="{00000000-0005-0000-0000-0000C1040000}"/>
    <cellStyle name="Comma 2 2 7 2 2 4" xfId="5020" xr:uid="{00000000-0005-0000-0000-0000C2040000}"/>
    <cellStyle name="Comma 2 2 7 2 3" xfId="512" xr:uid="{00000000-0005-0000-0000-0000C3040000}"/>
    <cellStyle name="Comma 2 2 7 2 3 2" xfId="7659" xr:uid="{00000000-0005-0000-0000-0000C4040000}"/>
    <cellStyle name="Comma 2 2 7 2 4" xfId="7656" xr:uid="{00000000-0005-0000-0000-0000C5040000}"/>
    <cellStyle name="Comma 2 2 7 2 5" xfId="5019" xr:uid="{00000000-0005-0000-0000-0000C6040000}"/>
    <cellStyle name="Comma 2 2 7 3" xfId="513" xr:uid="{00000000-0005-0000-0000-0000C7040000}"/>
    <cellStyle name="Comma 2 2 7 3 2" xfId="514" xr:uid="{00000000-0005-0000-0000-0000C8040000}"/>
    <cellStyle name="Comma 2 2 7 3 2 2" xfId="7661" xr:uid="{00000000-0005-0000-0000-0000C9040000}"/>
    <cellStyle name="Comma 2 2 7 3 3" xfId="7660" xr:uid="{00000000-0005-0000-0000-0000CA040000}"/>
    <cellStyle name="Comma 2 2 7 3 4" xfId="5021" xr:uid="{00000000-0005-0000-0000-0000CB040000}"/>
    <cellStyle name="Comma 2 2 7 4" xfId="515" xr:uid="{00000000-0005-0000-0000-0000CC040000}"/>
    <cellStyle name="Comma 2 2 7 4 2" xfId="516" xr:uid="{00000000-0005-0000-0000-0000CD040000}"/>
    <cellStyle name="Comma 2 2 7 4 2 2" xfId="7663" xr:uid="{00000000-0005-0000-0000-0000CE040000}"/>
    <cellStyle name="Comma 2 2 7 4 3" xfId="7662" xr:uid="{00000000-0005-0000-0000-0000CF040000}"/>
    <cellStyle name="Comma 2 2 7 4 4" xfId="5022" xr:uid="{00000000-0005-0000-0000-0000D0040000}"/>
    <cellStyle name="Comma 2 2 7 5" xfId="517" xr:uid="{00000000-0005-0000-0000-0000D1040000}"/>
    <cellStyle name="Comma 2 2 7 5 2" xfId="7664" xr:uid="{00000000-0005-0000-0000-0000D2040000}"/>
    <cellStyle name="Comma 2 2 7 6" xfId="7655" xr:uid="{00000000-0005-0000-0000-0000D3040000}"/>
    <cellStyle name="Comma 2 2 7 7" xfId="5018" xr:uid="{00000000-0005-0000-0000-0000D4040000}"/>
    <cellStyle name="Comma 2 2 8" xfId="518" xr:uid="{00000000-0005-0000-0000-0000D5040000}"/>
    <cellStyle name="Comma 2 2 8 2" xfId="519" xr:uid="{00000000-0005-0000-0000-0000D6040000}"/>
    <cellStyle name="Comma 2 2 8 2 2" xfId="520" xr:uid="{00000000-0005-0000-0000-0000D7040000}"/>
    <cellStyle name="Comma 2 2 8 2 2 2" xfId="521" xr:uid="{00000000-0005-0000-0000-0000D8040000}"/>
    <cellStyle name="Comma 2 2 8 2 2 2 2" xfId="7668" xr:uid="{00000000-0005-0000-0000-0000D9040000}"/>
    <cellStyle name="Comma 2 2 8 2 2 3" xfId="7667" xr:uid="{00000000-0005-0000-0000-0000DA040000}"/>
    <cellStyle name="Comma 2 2 8 2 2 4" xfId="5025" xr:uid="{00000000-0005-0000-0000-0000DB040000}"/>
    <cellStyle name="Comma 2 2 8 2 3" xfId="522" xr:uid="{00000000-0005-0000-0000-0000DC040000}"/>
    <cellStyle name="Comma 2 2 8 2 3 2" xfId="7669" xr:uid="{00000000-0005-0000-0000-0000DD040000}"/>
    <cellStyle name="Comma 2 2 8 2 4" xfId="7666" xr:uid="{00000000-0005-0000-0000-0000DE040000}"/>
    <cellStyle name="Comma 2 2 8 2 5" xfId="5024" xr:uid="{00000000-0005-0000-0000-0000DF040000}"/>
    <cellStyle name="Comma 2 2 8 3" xfId="523" xr:uid="{00000000-0005-0000-0000-0000E0040000}"/>
    <cellStyle name="Comma 2 2 8 3 2" xfId="524" xr:uid="{00000000-0005-0000-0000-0000E1040000}"/>
    <cellStyle name="Comma 2 2 8 3 2 2" xfId="7671" xr:uid="{00000000-0005-0000-0000-0000E2040000}"/>
    <cellStyle name="Comma 2 2 8 3 3" xfId="7670" xr:uid="{00000000-0005-0000-0000-0000E3040000}"/>
    <cellStyle name="Comma 2 2 8 3 4" xfId="5026" xr:uid="{00000000-0005-0000-0000-0000E4040000}"/>
    <cellStyle name="Comma 2 2 8 4" xfId="525" xr:uid="{00000000-0005-0000-0000-0000E5040000}"/>
    <cellStyle name="Comma 2 2 8 4 2" xfId="526" xr:uid="{00000000-0005-0000-0000-0000E6040000}"/>
    <cellStyle name="Comma 2 2 8 4 2 2" xfId="7673" xr:uid="{00000000-0005-0000-0000-0000E7040000}"/>
    <cellStyle name="Comma 2 2 8 4 3" xfId="7672" xr:uid="{00000000-0005-0000-0000-0000E8040000}"/>
    <cellStyle name="Comma 2 2 8 4 4" xfId="5027" xr:uid="{00000000-0005-0000-0000-0000E9040000}"/>
    <cellStyle name="Comma 2 2 8 5" xfId="527" xr:uid="{00000000-0005-0000-0000-0000EA040000}"/>
    <cellStyle name="Comma 2 2 8 5 2" xfId="7674" xr:uid="{00000000-0005-0000-0000-0000EB040000}"/>
    <cellStyle name="Comma 2 2 8 6" xfId="7665" xr:uid="{00000000-0005-0000-0000-0000EC040000}"/>
    <cellStyle name="Comma 2 2 8 7" xfId="5023" xr:uid="{00000000-0005-0000-0000-0000ED040000}"/>
    <cellStyle name="Comma 2 2 9" xfId="528" xr:uid="{00000000-0005-0000-0000-0000EE040000}"/>
    <cellStyle name="Comma 2 2 9 2" xfId="529" xr:uid="{00000000-0005-0000-0000-0000EF040000}"/>
    <cellStyle name="Comma 2 2 9 2 2" xfId="530" xr:uid="{00000000-0005-0000-0000-0000F0040000}"/>
    <cellStyle name="Comma 2 2 9 2 2 2" xfId="531" xr:uid="{00000000-0005-0000-0000-0000F1040000}"/>
    <cellStyle name="Comma 2 2 9 2 2 2 2" xfId="7678" xr:uid="{00000000-0005-0000-0000-0000F2040000}"/>
    <cellStyle name="Comma 2 2 9 2 2 3" xfId="7677" xr:uid="{00000000-0005-0000-0000-0000F3040000}"/>
    <cellStyle name="Comma 2 2 9 2 2 4" xfId="5030" xr:uid="{00000000-0005-0000-0000-0000F4040000}"/>
    <cellStyle name="Comma 2 2 9 2 3" xfId="532" xr:uid="{00000000-0005-0000-0000-0000F5040000}"/>
    <cellStyle name="Comma 2 2 9 2 3 2" xfId="7679" xr:uid="{00000000-0005-0000-0000-0000F6040000}"/>
    <cellStyle name="Comma 2 2 9 2 4" xfId="7676" xr:uid="{00000000-0005-0000-0000-0000F7040000}"/>
    <cellStyle name="Comma 2 2 9 2 5" xfId="5029" xr:uid="{00000000-0005-0000-0000-0000F8040000}"/>
    <cellStyle name="Comma 2 2 9 3" xfId="533" xr:uid="{00000000-0005-0000-0000-0000F9040000}"/>
    <cellStyle name="Comma 2 2 9 3 2" xfId="534" xr:uid="{00000000-0005-0000-0000-0000FA040000}"/>
    <cellStyle name="Comma 2 2 9 3 2 2" xfId="7681" xr:uid="{00000000-0005-0000-0000-0000FB040000}"/>
    <cellStyle name="Comma 2 2 9 3 3" xfId="7680" xr:uid="{00000000-0005-0000-0000-0000FC040000}"/>
    <cellStyle name="Comma 2 2 9 3 4" xfId="5031" xr:uid="{00000000-0005-0000-0000-0000FD040000}"/>
    <cellStyle name="Comma 2 2 9 4" xfId="535" xr:uid="{00000000-0005-0000-0000-0000FE040000}"/>
    <cellStyle name="Comma 2 2 9 4 2" xfId="536" xr:uid="{00000000-0005-0000-0000-0000FF040000}"/>
    <cellStyle name="Comma 2 2 9 4 2 2" xfId="7683" xr:uid="{00000000-0005-0000-0000-000000050000}"/>
    <cellStyle name="Comma 2 2 9 4 3" xfId="7682" xr:uid="{00000000-0005-0000-0000-000001050000}"/>
    <cellStyle name="Comma 2 2 9 4 4" xfId="5032" xr:uid="{00000000-0005-0000-0000-000002050000}"/>
    <cellStyle name="Comma 2 2 9 5" xfId="537" xr:uid="{00000000-0005-0000-0000-000003050000}"/>
    <cellStyle name="Comma 2 2 9 5 2" xfId="7684" xr:uid="{00000000-0005-0000-0000-000004050000}"/>
    <cellStyle name="Comma 2 2 9 6" xfId="7675" xr:uid="{00000000-0005-0000-0000-000005050000}"/>
    <cellStyle name="Comma 2 2 9 7" xfId="5028" xr:uid="{00000000-0005-0000-0000-000006050000}"/>
    <cellStyle name="Comma 2 20" xfId="7177" xr:uid="{00000000-0005-0000-0000-000007050000}"/>
    <cellStyle name="Comma 2 21" xfId="4779" xr:uid="{00000000-0005-0000-0000-000008050000}"/>
    <cellStyle name="Comma 2 22" xfId="12325" xr:uid="{00000000-0005-0000-0000-000009050000}"/>
    <cellStyle name="Comma 2 23" xfId="12335" xr:uid="{00000000-0005-0000-0000-00000A050000}"/>
    <cellStyle name="Comma 2 24" xfId="12350" xr:uid="{00000000-0005-0000-0000-00000B050000}"/>
    <cellStyle name="Comma 2 3" xfId="538" xr:uid="{00000000-0005-0000-0000-00000C050000}"/>
    <cellStyle name="Comma 2 3 10" xfId="539" xr:uid="{00000000-0005-0000-0000-00000D050000}"/>
    <cellStyle name="Comma 2 3 10 2" xfId="540" xr:uid="{00000000-0005-0000-0000-00000E050000}"/>
    <cellStyle name="Comma 2 3 10 2 2" xfId="541" xr:uid="{00000000-0005-0000-0000-00000F050000}"/>
    <cellStyle name="Comma 2 3 10 2 2 2" xfId="7688" xr:uid="{00000000-0005-0000-0000-000010050000}"/>
    <cellStyle name="Comma 2 3 10 2 3" xfId="7687" xr:uid="{00000000-0005-0000-0000-000011050000}"/>
    <cellStyle name="Comma 2 3 10 2 4" xfId="5035" xr:uid="{00000000-0005-0000-0000-000012050000}"/>
    <cellStyle name="Comma 2 3 10 3" xfId="542" xr:uid="{00000000-0005-0000-0000-000013050000}"/>
    <cellStyle name="Comma 2 3 10 3 2" xfId="543" xr:uid="{00000000-0005-0000-0000-000014050000}"/>
    <cellStyle name="Comma 2 3 10 3 2 2" xfId="7690" xr:uid="{00000000-0005-0000-0000-000015050000}"/>
    <cellStyle name="Comma 2 3 10 3 3" xfId="7689" xr:uid="{00000000-0005-0000-0000-000016050000}"/>
    <cellStyle name="Comma 2 3 10 3 4" xfId="5036" xr:uid="{00000000-0005-0000-0000-000017050000}"/>
    <cellStyle name="Comma 2 3 10 4" xfId="544" xr:uid="{00000000-0005-0000-0000-000018050000}"/>
    <cellStyle name="Comma 2 3 10 4 2" xfId="7691" xr:uid="{00000000-0005-0000-0000-000019050000}"/>
    <cellStyle name="Comma 2 3 10 5" xfId="7686" xr:uid="{00000000-0005-0000-0000-00001A050000}"/>
    <cellStyle name="Comma 2 3 10 6" xfId="5034" xr:uid="{00000000-0005-0000-0000-00001B050000}"/>
    <cellStyle name="Comma 2 3 11" xfId="545" xr:uid="{00000000-0005-0000-0000-00001C050000}"/>
    <cellStyle name="Comma 2 3 11 2" xfId="546" xr:uid="{00000000-0005-0000-0000-00001D050000}"/>
    <cellStyle name="Comma 2 3 11 2 2" xfId="547" xr:uid="{00000000-0005-0000-0000-00001E050000}"/>
    <cellStyle name="Comma 2 3 11 2 2 2" xfId="7694" xr:uid="{00000000-0005-0000-0000-00001F050000}"/>
    <cellStyle name="Comma 2 3 11 2 3" xfId="7693" xr:uid="{00000000-0005-0000-0000-000020050000}"/>
    <cellStyle name="Comma 2 3 11 2 4" xfId="5038" xr:uid="{00000000-0005-0000-0000-000021050000}"/>
    <cellStyle name="Comma 2 3 11 3" xfId="548" xr:uid="{00000000-0005-0000-0000-000022050000}"/>
    <cellStyle name="Comma 2 3 11 3 2" xfId="7695" xr:uid="{00000000-0005-0000-0000-000023050000}"/>
    <cellStyle name="Comma 2 3 11 4" xfId="7692" xr:uid="{00000000-0005-0000-0000-000024050000}"/>
    <cellStyle name="Comma 2 3 11 5" xfId="5037" xr:uid="{00000000-0005-0000-0000-000025050000}"/>
    <cellStyle name="Comma 2 3 12" xfId="549" xr:uid="{00000000-0005-0000-0000-000026050000}"/>
    <cellStyle name="Comma 2 3 12 2" xfId="550" xr:uid="{00000000-0005-0000-0000-000027050000}"/>
    <cellStyle name="Comma 2 3 12 2 2" xfId="7697" xr:uid="{00000000-0005-0000-0000-000028050000}"/>
    <cellStyle name="Comma 2 3 12 3" xfId="7696" xr:uid="{00000000-0005-0000-0000-000029050000}"/>
    <cellStyle name="Comma 2 3 12 4" xfId="5039" xr:uid="{00000000-0005-0000-0000-00002A050000}"/>
    <cellStyle name="Comma 2 3 13" xfId="551" xr:uid="{00000000-0005-0000-0000-00002B050000}"/>
    <cellStyle name="Comma 2 3 13 2" xfId="552" xr:uid="{00000000-0005-0000-0000-00002C050000}"/>
    <cellStyle name="Comma 2 3 13 2 2" xfId="7699" xr:uid="{00000000-0005-0000-0000-00002D050000}"/>
    <cellStyle name="Comma 2 3 13 3" xfId="7698" xr:uid="{00000000-0005-0000-0000-00002E050000}"/>
    <cellStyle name="Comma 2 3 13 4" xfId="5040" xr:uid="{00000000-0005-0000-0000-00002F050000}"/>
    <cellStyle name="Comma 2 3 14" xfId="553" xr:uid="{00000000-0005-0000-0000-000030050000}"/>
    <cellStyle name="Comma 2 3 14 2" xfId="7700" xr:uid="{00000000-0005-0000-0000-000031050000}"/>
    <cellStyle name="Comma 2 3 15" xfId="7685" xr:uid="{00000000-0005-0000-0000-000032050000}"/>
    <cellStyle name="Comma 2 3 16" xfId="5033" xr:uid="{00000000-0005-0000-0000-000033050000}"/>
    <cellStyle name="Comma 2 3 17" xfId="12330" xr:uid="{00000000-0005-0000-0000-000034050000}"/>
    <cellStyle name="Comma 2 3 18" xfId="12340" xr:uid="{00000000-0005-0000-0000-000035050000}"/>
    <cellStyle name="Comma 2 3 19" xfId="12355" xr:uid="{00000000-0005-0000-0000-000036050000}"/>
    <cellStyle name="Comma 2 3 2" xfId="554" xr:uid="{00000000-0005-0000-0000-000037050000}"/>
    <cellStyle name="Comma 2 3 2 10" xfId="555" xr:uid="{00000000-0005-0000-0000-000038050000}"/>
    <cellStyle name="Comma 2 3 2 10 2" xfId="556" xr:uid="{00000000-0005-0000-0000-000039050000}"/>
    <cellStyle name="Comma 2 3 2 10 2 2" xfId="7703" xr:uid="{00000000-0005-0000-0000-00003A050000}"/>
    <cellStyle name="Comma 2 3 2 10 3" xfId="7702" xr:uid="{00000000-0005-0000-0000-00003B050000}"/>
    <cellStyle name="Comma 2 3 2 10 4" xfId="5042" xr:uid="{00000000-0005-0000-0000-00003C050000}"/>
    <cellStyle name="Comma 2 3 2 11" xfId="557" xr:uid="{00000000-0005-0000-0000-00003D050000}"/>
    <cellStyle name="Comma 2 3 2 11 2" xfId="7704" xr:uid="{00000000-0005-0000-0000-00003E050000}"/>
    <cellStyle name="Comma 2 3 2 12" xfId="7701" xr:uid="{00000000-0005-0000-0000-00003F050000}"/>
    <cellStyle name="Comma 2 3 2 13" xfId="5041" xr:uid="{00000000-0005-0000-0000-000040050000}"/>
    <cellStyle name="Comma 2 3 2 2" xfId="558" xr:uid="{00000000-0005-0000-0000-000041050000}"/>
    <cellStyle name="Comma 2 3 2 2 10" xfId="559" xr:uid="{00000000-0005-0000-0000-000042050000}"/>
    <cellStyle name="Comma 2 3 2 2 10 2" xfId="7706" xr:uid="{00000000-0005-0000-0000-000043050000}"/>
    <cellStyle name="Comma 2 3 2 2 11" xfId="7705" xr:uid="{00000000-0005-0000-0000-000044050000}"/>
    <cellStyle name="Comma 2 3 2 2 12" xfId="5043" xr:uid="{00000000-0005-0000-0000-000045050000}"/>
    <cellStyle name="Comma 2 3 2 2 2" xfId="560" xr:uid="{00000000-0005-0000-0000-000046050000}"/>
    <cellStyle name="Comma 2 3 2 2 2 2" xfId="561" xr:uid="{00000000-0005-0000-0000-000047050000}"/>
    <cellStyle name="Comma 2 3 2 2 2 2 2" xfId="562" xr:uid="{00000000-0005-0000-0000-000048050000}"/>
    <cellStyle name="Comma 2 3 2 2 2 2 2 2" xfId="563" xr:uid="{00000000-0005-0000-0000-000049050000}"/>
    <cellStyle name="Comma 2 3 2 2 2 2 2 2 2" xfId="7710" xr:uid="{00000000-0005-0000-0000-00004A050000}"/>
    <cellStyle name="Comma 2 3 2 2 2 2 2 3" xfId="7709" xr:uid="{00000000-0005-0000-0000-00004B050000}"/>
    <cellStyle name="Comma 2 3 2 2 2 2 2 4" xfId="5046" xr:uid="{00000000-0005-0000-0000-00004C050000}"/>
    <cellStyle name="Comma 2 3 2 2 2 2 3" xfId="564" xr:uid="{00000000-0005-0000-0000-00004D050000}"/>
    <cellStyle name="Comma 2 3 2 2 2 2 3 2" xfId="7711" xr:uid="{00000000-0005-0000-0000-00004E050000}"/>
    <cellStyle name="Comma 2 3 2 2 2 2 4" xfId="7708" xr:uid="{00000000-0005-0000-0000-00004F050000}"/>
    <cellStyle name="Comma 2 3 2 2 2 2 5" xfId="5045" xr:uid="{00000000-0005-0000-0000-000050050000}"/>
    <cellStyle name="Comma 2 3 2 2 2 3" xfId="565" xr:uid="{00000000-0005-0000-0000-000051050000}"/>
    <cellStyle name="Comma 2 3 2 2 2 3 2" xfId="566" xr:uid="{00000000-0005-0000-0000-000052050000}"/>
    <cellStyle name="Comma 2 3 2 2 2 3 2 2" xfId="7713" xr:uid="{00000000-0005-0000-0000-000053050000}"/>
    <cellStyle name="Comma 2 3 2 2 2 3 3" xfId="7712" xr:uid="{00000000-0005-0000-0000-000054050000}"/>
    <cellStyle name="Comma 2 3 2 2 2 3 4" xfId="5047" xr:uid="{00000000-0005-0000-0000-000055050000}"/>
    <cellStyle name="Comma 2 3 2 2 2 4" xfId="567" xr:uid="{00000000-0005-0000-0000-000056050000}"/>
    <cellStyle name="Comma 2 3 2 2 2 4 2" xfId="568" xr:uid="{00000000-0005-0000-0000-000057050000}"/>
    <cellStyle name="Comma 2 3 2 2 2 4 2 2" xfId="7715" xr:uid="{00000000-0005-0000-0000-000058050000}"/>
    <cellStyle name="Comma 2 3 2 2 2 4 3" xfId="7714" xr:uid="{00000000-0005-0000-0000-000059050000}"/>
    <cellStyle name="Comma 2 3 2 2 2 4 4" xfId="5048" xr:uid="{00000000-0005-0000-0000-00005A050000}"/>
    <cellStyle name="Comma 2 3 2 2 2 5" xfId="569" xr:uid="{00000000-0005-0000-0000-00005B050000}"/>
    <cellStyle name="Comma 2 3 2 2 2 5 2" xfId="7716" xr:uid="{00000000-0005-0000-0000-00005C050000}"/>
    <cellStyle name="Comma 2 3 2 2 2 6" xfId="7707" xr:uid="{00000000-0005-0000-0000-00005D050000}"/>
    <cellStyle name="Comma 2 3 2 2 2 7" xfId="5044" xr:uid="{00000000-0005-0000-0000-00005E050000}"/>
    <cellStyle name="Comma 2 3 2 2 3" xfId="570" xr:uid="{00000000-0005-0000-0000-00005F050000}"/>
    <cellStyle name="Comma 2 3 2 2 3 2" xfId="571" xr:uid="{00000000-0005-0000-0000-000060050000}"/>
    <cellStyle name="Comma 2 3 2 2 3 2 2" xfId="572" xr:uid="{00000000-0005-0000-0000-000061050000}"/>
    <cellStyle name="Comma 2 3 2 2 3 2 2 2" xfId="573" xr:uid="{00000000-0005-0000-0000-000062050000}"/>
    <cellStyle name="Comma 2 3 2 2 3 2 2 2 2" xfId="7720" xr:uid="{00000000-0005-0000-0000-000063050000}"/>
    <cellStyle name="Comma 2 3 2 2 3 2 2 3" xfId="7719" xr:uid="{00000000-0005-0000-0000-000064050000}"/>
    <cellStyle name="Comma 2 3 2 2 3 2 2 4" xfId="5051" xr:uid="{00000000-0005-0000-0000-000065050000}"/>
    <cellStyle name="Comma 2 3 2 2 3 2 3" xfId="574" xr:uid="{00000000-0005-0000-0000-000066050000}"/>
    <cellStyle name="Comma 2 3 2 2 3 2 3 2" xfId="7721" xr:uid="{00000000-0005-0000-0000-000067050000}"/>
    <cellStyle name="Comma 2 3 2 2 3 2 4" xfId="7718" xr:uid="{00000000-0005-0000-0000-000068050000}"/>
    <cellStyle name="Comma 2 3 2 2 3 2 5" xfId="5050" xr:uid="{00000000-0005-0000-0000-000069050000}"/>
    <cellStyle name="Comma 2 3 2 2 3 3" xfId="575" xr:uid="{00000000-0005-0000-0000-00006A050000}"/>
    <cellStyle name="Comma 2 3 2 2 3 3 2" xfId="576" xr:uid="{00000000-0005-0000-0000-00006B050000}"/>
    <cellStyle name="Comma 2 3 2 2 3 3 2 2" xfId="7723" xr:uid="{00000000-0005-0000-0000-00006C050000}"/>
    <cellStyle name="Comma 2 3 2 2 3 3 3" xfId="7722" xr:uid="{00000000-0005-0000-0000-00006D050000}"/>
    <cellStyle name="Comma 2 3 2 2 3 3 4" xfId="5052" xr:uid="{00000000-0005-0000-0000-00006E050000}"/>
    <cellStyle name="Comma 2 3 2 2 3 4" xfId="577" xr:uid="{00000000-0005-0000-0000-00006F050000}"/>
    <cellStyle name="Comma 2 3 2 2 3 4 2" xfId="578" xr:uid="{00000000-0005-0000-0000-000070050000}"/>
    <cellStyle name="Comma 2 3 2 2 3 4 2 2" xfId="7725" xr:uid="{00000000-0005-0000-0000-000071050000}"/>
    <cellStyle name="Comma 2 3 2 2 3 4 3" xfId="7724" xr:uid="{00000000-0005-0000-0000-000072050000}"/>
    <cellStyle name="Comma 2 3 2 2 3 4 4" xfId="5053" xr:uid="{00000000-0005-0000-0000-000073050000}"/>
    <cellStyle name="Comma 2 3 2 2 3 5" xfId="579" xr:uid="{00000000-0005-0000-0000-000074050000}"/>
    <cellStyle name="Comma 2 3 2 2 3 5 2" xfId="7726" xr:uid="{00000000-0005-0000-0000-000075050000}"/>
    <cellStyle name="Comma 2 3 2 2 3 6" xfId="7717" xr:uid="{00000000-0005-0000-0000-000076050000}"/>
    <cellStyle name="Comma 2 3 2 2 3 7" xfId="5049" xr:uid="{00000000-0005-0000-0000-000077050000}"/>
    <cellStyle name="Comma 2 3 2 2 4" xfId="580" xr:uid="{00000000-0005-0000-0000-000078050000}"/>
    <cellStyle name="Comma 2 3 2 2 4 2" xfId="581" xr:uid="{00000000-0005-0000-0000-000079050000}"/>
    <cellStyle name="Comma 2 3 2 2 4 2 2" xfId="582" xr:uid="{00000000-0005-0000-0000-00007A050000}"/>
    <cellStyle name="Comma 2 3 2 2 4 2 2 2" xfId="583" xr:uid="{00000000-0005-0000-0000-00007B050000}"/>
    <cellStyle name="Comma 2 3 2 2 4 2 2 2 2" xfId="7730" xr:uid="{00000000-0005-0000-0000-00007C050000}"/>
    <cellStyle name="Comma 2 3 2 2 4 2 2 3" xfId="7729" xr:uid="{00000000-0005-0000-0000-00007D050000}"/>
    <cellStyle name="Comma 2 3 2 2 4 2 2 4" xfId="5056" xr:uid="{00000000-0005-0000-0000-00007E050000}"/>
    <cellStyle name="Comma 2 3 2 2 4 2 3" xfId="584" xr:uid="{00000000-0005-0000-0000-00007F050000}"/>
    <cellStyle name="Comma 2 3 2 2 4 2 3 2" xfId="7731" xr:uid="{00000000-0005-0000-0000-000080050000}"/>
    <cellStyle name="Comma 2 3 2 2 4 2 4" xfId="7728" xr:uid="{00000000-0005-0000-0000-000081050000}"/>
    <cellStyle name="Comma 2 3 2 2 4 2 5" xfId="5055" xr:uid="{00000000-0005-0000-0000-000082050000}"/>
    <cellStyle name="Comma 2 3 2 2 4 3" xfId="585" xr:uid="{00000000-0005-0000-0000-000083050000}"/>
    <cellStyle name="Comma 2 3 2 2 4 3 2" xfId="586" xr:uid="{00000000-0005-0000-0000-000084050000}"/>
    <cellStyle name="Comma 2 3 2 2 4 3 2 2" xfId="7733" xr:uid="{00000000-0005-0000-0000-000085050000}"/>
    <cellStyle name="Comma 2 3 2 2 4 3 3" xfId="7732" xr:uid="{00000000-0005-0000-0000-000086050000}"/>
    <cellStyle name="Comma 2 3 2 2 4 3 4" xfId="5057" xr:uid="{00000000-0005-0000-0000-000087050000}"/>
    <cellStyle name="Comma 2 3 2 2 4 4" xfId="587" xr:uid="{00000000-0005-0000-0000-000088050000}"/>
    <cellStyle name="Comma 2 3 2 2 4 4 2" xfId="588" xr:uid="{00000000-0005-0000-0000-000089050000}"/>
    <cellStyle name="Comma 2 3 2 2 4 4 2 2" xfId="7735" xr:uid="{00000000-0005-0000-0000-00008A050000}"/>
    <cellStyle name="Comma 2 3 2 2 4 4 3" xfId="7734" xr:uid="{00000000-0005-0000-0000-00008B050000}"/>
    <cellStyle name="Comma 2 3 2 2 4 4 4" xfId="5058" xr:uid="{00000000-0005-0000-0000-00008C050000}"/>
    <cellStyle name="Comma 2 3 2 2 4 5" xfId="589" xr:uid="{00000000-0005-0000-0000-00008D050000}"/>
    <cellStyle name="Comma 2 3 2 2 4 5 2" xfId="7736" xr:uid="{00000000-0005-0000-0000-00008E050000}"/>
    <cellStyle name="Comma 2 3 2 2 4 6" xfId="7727" xr:uid="{00000000-0005-0000-0000-00008F050000}"/>
    <cellStyle name="Comma 2 3 2 2 4 7" xfId="5054" xr:uid="{00000000-0005-0000-0000-000090050000}"/>
    <cellStyle name="Comma 2 3 2 2 5" xfId="590" xr:uid="{00000000-0005-0000-0000-000091050000}"/>
    <cellStyle name="Comma 2 3 2 2 5 2" xfId="591" xr:uid="{00000000-0005-0000-0000-000092050000}"/>
    <cellStyle name="Comma 2 3 2 2 5 2 2" xfId="592" xr:uid="{00000000-0005-0000-0000-000093050000}"/>
    <cellStyle name="Comma 2 3 2 2 5 2 2 2" xfId="593" xr:uid="{00000000-0005-0000-0000-000094050000}"/>
    <cellStyle name="Comma 2 3 2 2 5 2 2 2 2" xfId="7740" xr:uid="{00000000-0005-0000-0000-000095050000}"/>
    <cellStyle name="Comma 2 3 2 2 5 2 2 3" xfId="7739" xr:uid="{00000000-0005-0000-0000-000096050000}"/>
    <cellStyle name="Comma 2 3 2 2 5 2 2 4" xfId="5061" xr:uid="{00000000-0005-0000-0000-000097050000}"/>
    <cellStyle name="Comma 2 3 2 2 5 2 3" xfId="594" xr:uid="{00000000-0005-0000-0000-000098050000}"/>
    <cellStyle name="Comma 2 3 2 2 5 2 3 2" xfId="7741" xr:uid="{00000000-0005-0000-0000-000099050000}"/>
    <cellStyle name="Comma 2 3 2 2 5 2 4" xfId="7738" xr:uid="{00000000-0005-0000-0000-00009A050000}"/>
    <cellStyle name="Comma 2 3 2 2 5 2 5" xfId="5060" xr:uid="{00000000-0005-0000-0000-00009B050000}"/>
    <cellStyle name="Comma 2 3 2 2 5 3" xfId="595" xr:uid="{00000000-0005-0000-0000-00009C050000}"/>
    <cellStyle name="Comma 2 3 2 2 5 3 2" xfId="596" xr:uid="{00000000-0005-0000-0000-00009D050000}"/>
    <cellStyle name="Comma 2 3 2 2 5 3 2 2" xfId="7743" xr:uid="{00000000-0005-0000-0000-00009E050000}"/>
    <cellStyle name="Comma 2 3 2 2 5 3 3" xfId="7742" xr:uid="{00000000-0005-0000-0000-00009F050000}"/>
    <cellStyle name="Comma 2 3 2 2 5 3 4" xfId="5062" xr:uid="{00000000-0005-0000-0000-0000A0050000}"/>
    <cellStyle name="Comma 2 3 2 2 5 4" xfId="597" xr:uid="{00000000-0005-0000-0000-0000A1050000}"/>
    <cellStyle name="Comma 2 3 2 2 5 4 2" xfId="598" xr:uid="{00000000-0005-0000-0000-0000A2050000}"/>
    <cellStyle name="Comma 2 3 2 2 5 4 2 2" xfId="7745" xr:uid="{00000000-0005-0000-0000-0000A3050000}"/>
    <cellStyle name="Comma 2 3 2 2 5 4 3" xfId="7744" xr:uid="{00000000-0005-0000-0000-0000A4050000}"/>
    <cellStyle name="Comma 2 3 2 2 5 4 4" xfId="5063" xr:uid="{00000000-0005-0000-0000-0000A5050000}"/>
    <cellStyle name="Comma 2 3 2 2 5 5" xfId="599" xr:uid="{00000000-0005-0000-0000-0000A6050000}"/>
    <cellStyle name="Comma 2 3 2 2 5 5 2" xfId="7746" xr:uid="{00000000-0005-0000-0000-0000A7050000}"/>
    <cellStyle name="Comma 2 3 2 2 5 6" xfId="7737" xr:uid="{00000000-0005-0000-0000-0000A8050000}"/>
    <cellStyle name="Comma 2 3 2 2 5 7" xfId="5059" xr:uid="{00000000-0005-0000-0000-0000A9050000}"/>
    <cellStyle name="Comma 2 3 2 2 6" xfId="600" xr:uid="{00000000-0005-0000-0000-0000AA050000}"/>
    <cellStyle name="Comma 2 3 2 2 6 2" xfId="601" xr:uid="{00000000-0005-0000-0000-0000AB050000}"/>
    <cellStyle name="Comma 2 3 2 2 6 2 2" xfId="602" xr:uid="{00000000-0005-0000-0000-0000AC050000}"/>
    <cellStyle name="Comma 2 3 2 2 6 2 2 2" xfId="7749" xr:uid="{00000000-0005-0000-0000-0000AD050000}"/>
    <cellStyle name="Comma 2 3 2 2 6 2 3" xfId="7748" xr:uid="{00000000-0005-0000-0000-0000AE050000}"/>
    <cellStyle name="Comma 2 3 2 2 6 2 4" xfId="5065" xr:uid="{00000000-0005-0000-0000-0000AF050000}"/>
    <cellStyle name="Comma 2 3 2 2 6 3" xfId="603" xr:uid="{00000000-0005-0000-0000-0000B0050000}"/>
    <cellStyle name="Comma 2 3 2 2 6 3 2" xfId="604" xr:uid="{00000000-0005-0000-0000-0000B1050000}"/>
    <cellStyle name="Comma 2 3 2 2 6 3 2 2" xfId="7751" xr:uid="{00000000-0005-0000-0000-0000B2050000}"/>
    <cellStyle name="Comma 2 3 2 2 6 3 3" xfId="7750" xr:uid="{00000000-0005-0000-0000-0000B3050000}"/>
    <cellStyle name="Comma 2 3 2 2 6 3 4" xfId="5066" xr:uid="{00000000-0005-0000-0000-0000B4050000}"/>
    <cellStyle name="Comma 2 3 2 2 6 4" xfId="605" xr:uid="{00000000-0005-0000-0000-0000B5050000}"/>
    <cellStyle name="Comma 2 3 2 2 6 4 2" xfId="7752" xr:uid="{00000000-0005-0000-0000-0000B6050000}"/>
    <cellStyle name="Comma 2 3 2 2 6 5" xfId="7747" xr:uid="{00000000-0005-0000-0000-0000B7050000}"/>
    <cellStyle name="Comma 2 3 2 2 6 6" xfId="5064" xr:uid="{00000000-0005-0000-0000-0000B8050000}"/>
    <cellStyle name="Comma 2 3 2 2 7" xfId="606" xr:uid="{00000000-0005-0000-0000-0000B9050000}"/>
    <cellStyle name="Comma 2 3 2 2 7 2" xfId="607" xr:uid="{00000000-0005-0000-0000-0000BA050000}"/>
    <cellStyle name="Comma 2 3 2 2 7 2 2" xfId="608" xr:uid="{00000000-0005-0000-0000-0000BB050000}"/>
    <cellStyle name="Comma 2 3 2 2 7 2 2 2" xfId="7755" xr:uid="{00000000-0005-0000-0000-0000BC050000}"/>
    <cellStyle name="Comma 2 3 2 2 7 2 3" xfId="7754" xr:uid="{00000000-0005-0000-0000-0000BD050000}"/>
    <cellStyle name="Comma 2 3 2 2 7 2 4" xfId="5068" xr:uid="{00000000-0005-0000-0000-0000BE050000}"/>
    <cellStyle name="Comma 2 3 2 2 7 3" xfId="609" xr:uid="{00000000-0005-0000-0000-0000BF050000}"/>
    <cellStyle name="Comma 2 3 2 2 7 3 2" xfId="7756" xr:uid="{00000000-0005-0000-0000-0000C0050000}"/>
    <cellStyle name="Comma 2 3 2 2 7 4" xfId="7753" xr:uid="{00000000-0005-0000-0000-0000C1050000}"/>
    <cellStyle name="Comma 2 3 2 2 7 5" xfId="5067" xr:uid="{00000000-0005-0000-0000-0000C2050000}"/>
    <cellStyle name="Comma 2 3 2 2 8" xfId="610" xr:uid="{00000000-0005-0000-0000-0000C3050000}"/>
    <cellStyle name="Comma 2 3 2 2 8 2" xfId="611" xr:uid="{00000000-0005-0000-0000-0000C4050000}"/>
    <cellStyle name="Comma 2 3 2 2 8 2 2" xfId="7758" xr:uid="{00000000-0005-0000-0000-0000C5050000}"/>
    <cellStyle name="Comma 2 3 2 2 8 3" xfId="7757" xr:uid="{00000000-0005-0000-0000-0000C6050000}"/>
    <cellStyle name="Comma 2 3 2 2 8 4" xfId="5069" xr:uid="{00000000-0005-0000-0000-0000C7050000}"/>
    <cellStyle name="Comma 2 3 2 2 9" xfId="612" xr:uid="{00000000-0005-0000-0000-0000C8050000}"/>
    <cellStyle name="Comma 2 3 2 2 9 2" xfId="613" xr:uid="{00000000-0005-0000-0000-0000C9050000}"/>
    <cellStyle name="Comma 2 3 2 2 9 2 2" xfId="7760" xr:uid="{00000000-0005-0000-0000-0000CA050000}"/>
    <cellStyle name="Comma 2 3 2 2 9 3" xfId="7759" xr:uid="{00000000-0005-0000-0000-0000CB050000}"/>
    <cellStyle name="Comma 2 3 2 2 9 4" xfId="5070" xr:uid="{00000000-0005-0000-0000-0000CC050000}"/>
    <cellStyle name="Comma 2 3 2 3" xfId="614" xr:uid="{00000000-0005-0000-0000-0000CD050000}"/>
    <cellStyle name="Comma 2 3 2 3 2" xfId="615" xr:uid="{00000000-0005-0000-0000-0000CE050000}"/>
    <cellStyle name="Comma 2 3 2 3 2 2" xfId="616" xr:uid="{00000000-0005-0000-0000-0000CF050000}"/>
    <cellStyle name="Comma 2 3 2 3 2 2 2" xfId="617" xr:uid="{00000000-0005-0000-0000-0000D0050000}"/>
    <cellStyle name="Comma 2 3 2 3 2 2 2 2" xfId="7764" xr:uid="{00000000-0005-0000-0000-0000D1050000}"/>
    <cellStyle name="Comma 2 3 2 3 2 2 3" xfId="7763" xr:uid="{00000000-0005-0000-0000-0000D2050000}"/>
    <cellStyle name="Comma 2 3 2 3 2 2 4" xfId="5073" xr:uid="{00000000-0005-0000-0000-0000D3050000}"/>
    <cellStyle name="Comma 2 3 2 3 2 3" xfId="618" xr:uid="{00000000-0005-0000-0000-0000D4050000}"/>
    <cellStyle name="Comma 2 3 2 3 2 3 2" xfId="7765" xr:uid="{00000000-0005-0000-0000-0000D5050000}"/>
    <cellStyle name="Comma 2 3 2 3 2 4" xfId="7762" xr:uid="{00000000-0005-0000-0000-0000D6050000}"/>
    <cellStyle name="Comma 2 3 2 3 2 5" xfId="5072" xr:uid="{00000000-0005-0000-0000-0000D7050000}"/>
    <cellStyle name="Comma 2 3 2 3 3" xfId="619" xr:uid="{00000000-0005-0000-0000-0000D8050000}"/>
    <cellStyle name="Comma 2 3 2 3 3 2" xfId="620" xr:uid="{00000000-0005-0000-0000-0000D9050000}"/>
    <cellStyle name="Comma 2 3 2 3 3 2 2" xfId="7767" xr:uid="{00000000-0005-0000-0000-0000DA050000}"/>
    <cellStyle name="Comma 2 3 2 3 3 3" xfId="7766" xr:uid="{00000000-0005-0000-0000-0000DB050000}"/>
    <cellStyle name="Comma 2 3 2 3 3 4" xfId="5074" xr:uid="{00000000-0005-0000-0000-0000DC050000}"/>
    <cellStyle name="Comma 2 3 2 3 4" xfId="621" xr:uid="{00000000-0005-0000-0000-0000DD050000}"/>
    <cellStyle name="Comma 2 3 2 3 4 2" xfId="622" xr:uid="{00000000-0005-0000-0000-0000DE050000}"/>
    <cellStyle name="Comma 2 3 2 3 4 2 2" xfId="7769" xr:uid="{00000000-0005-0000-0000-0000DF050000}"/>
    <cellStyle name="Comma 2 3 2 3 4 3" xfId="7768" xr:uid="{00000000-0005-0000-0000-0000E0050000}"/>
    <cellStyle name="Comma 2 3 2 3 4 4" xfId="5075" xr:uid="{00000000-0005-0000-0000-0000E1050000}"/>
    <cellStyle name="Comma 2 3 2 3 5" xfId="623" xr:uid="{00000000-0005-0000-0000-0000E2050000}"/>
    <cellStyle name="Comma 2 3 2 3 5 2" xfId="7770" xr:uid="{00000000-0005-0000-0000-0000E3050000}"/>
    <cellStyle name="Comma 2 3 2 3 6" xfId="7761" xr:uid="{00000000-0005-0000-0000-0000E4050000}"/>
    <cellStyle name="Comma 2 3 2 3 7" xfId="5071" xr:uid="{00000000-0005-0000-0000-0000E5050000}"/>
    <cellStyle name="Comma 2 3 2 4" xfId="624" xr:uid="{00000000-0005-0000-0000-0000E6050000}"/>
    <cellStyle name="Comma 2 3 2 4 2" xfId="625" xr:uid="{00000000-0005-0000-0000-0000E7050000}"/>
    <cellStyle name="Comma 2 3 2 4 2 2" xfId="626" xr:uid="{00000000-0005-0000-0000-0000E8050000}"/>
    <cellStyle name="Comma 2 3 2 4 2 2 2" xfId="627" xr:uid="{00000000-0005-0000-0000-0000E9050000}"/>
    <cellStyle name="Comma 2 3 2 4 2 2 2 2" xfId="7774" xr:uid="{00000000-0005-0000-0000-0000EA050000}"/>
    <cellStyle name="Comma 2 3 2 4 2 2 3" xfId="7773" xr:uid="{00000000-0005-0000-0000-0000EB050000}"/>
    <cellStyle name="Comma 2 3 2 4 2 2 4" xfId="5078" xr:uid="{00000000-0005-0000-0000-0000EC050000}"/>
    <cellStyle name="Comma 2 3 2 4 2 3" xfId="628" xr:uid="{00000000-0005-0000-0000-0000ED050000}"/>
    <cellStyle name="Comma 2 3 2 4 2 3 2" xfId="7775" xr:uid="{00000000-0005-0000-0000-0000EE050000}"/>
    <cellStyle name="Comma 2 3 2 4 2 4" xfId="7772" xr:uid="{00000000-0005-0000-0000-0000EF050000}"/>
    <cellStyle name="Comma 2 3 2 4 2 5" xfId="5077" xr:uid="{00000000-0005-0000-0000-0000F0050000}"/>
    <cellStyle name="Comma 2 3 2 4 3" xfId="629" xr:uid="{00000000-0005-0000-0000-0000F1050000}"/>
    <cellStyle name="Comma 2 3 2 4 3 2" xfId="630" xr:uid="{00000000-0005-0000-0000-0000F2050000}"/>
    <cellStyle name="Comma 2 3 2 4 3 2 2" xfId="7777" xr:uid="{00000000-0005-0000-0000-0000F3050000}"/>
    <cellStyle name="Comma 2 3 2 4 3 3" xfId="7776" xr:uid="{00000000-0005-0000-0000-0000F4050000}"/>
    <cellStyle name="Comma 2 3 2 4 3 4" xfId="5079" xr:uid="{00000000-0005-0000-0000-0000F5050000}"/>
    <cellStyle name="Comma 2 3 2 4 4" xfId="631" xr:uid="{00000000-0005-0000-0000-0000F6050000}"/>
    <cellStyle name="Comma 2 3 2 4 4 2" xfId="632" xr:uid="{00000000-0005-0000-0000-0000F7050000}"/>
    <cellStyle name="Comma 2 3 2 4 4 2 2" xfId="7779" xr:uid="{00000000-0005-0000-0000-0000F8050000}"/>
    <cellStyle name="Comma 2 3 2 4 4 3" xfId="7778" xr:uid="{00000000-0005-0000-0000-0000F9050000}"/>
    <cellStyle name="Comma 2 3 2 4 4 4" xfId="5080" xr:uid="{00000000-0005-0000-0000-0000FA050000}"/>
    <cellStyle name="Comma 2 3 2 4 5" xfId="633" xr:uid="{00000000-0005-0000-0000-0000FB050000}"/>
    <cellStyle name="Comma 2 3 2 4 5 2" xfId="7780" xr:uid="{00000000-0005-0000-0000-0000FC050000}"/>
    <cellStyle name="Comma 2 3 2 4 6" xfId="7771" xr:uid="{00000000-0005-0000-0000-0000FD050000}"/>
    <cellStyle name="Comma 2 3 2 4 7" xfId="5076" xr:uid="{00000000-0005-0000-0000-0000FE050000}"/>
    <cellStyle name="Comma 2 3 2 5" xfId="634" xr:uid="{00000000-0005-0000-0000-0000FF050000}"/>
    <cellStyle name="Comma 2 3 2 5 2" xfId="635" xr:uid="{00000000-0005-0000-0000-000000060000}"/>
    <cellStyle name="Comma 2 3 2 5 2 2" xfId="636" xr:uid="{00000000-0005-0000-0000-000001060000}"/>
    <cellStyle name="Comma 2 3 2 5 2 2 2" xfId="637" xr:uid="{00000000-0005-0000-0000-000002060000}"/>
    <cellStyle name="Comma 2 3 2 5 2 2 2 2" xfId="7784" xr:uid="{00000000-0005-0000-0000-000003060000}"/>
    <cellStyle name="Comma 2 3 2 5 2 2 3" xfId="7783" xr:uid="{00000000-0005-0000-0000-000004060000}"/>
    <cellStyle name="Comma 2 3 2 5 2 2 4" xfId="5083" xr:uid="{00000000-0005-0000-0000-000005060000}"/>
    <cellStyle name="Comma 2 3 2 5 2 3" xfId="638" xr:uid="{00000000-0005-0000-0000-000006060000}"/>
    <cellStyle name="Comma 2 3 2 5 2 3 2" xfId="7785" xr:uid="{00000000-0005-0000-0000-000007060000}"/>
    <cellStyle name="Comma 2 3 2 5 2 4" xfId="7782" xr:uid="{00000000-0005-0000-0000-000008060000}"/>
    <cellStyle name="Comma 2 3 2 5 2 5" xfId="5082" xr:uid="{00000000-0005-0000-0000-000009060000}"/>
    <cellStyle name="Comma 2 3 2 5 3" xfId="639" xr:uid="{00000000-0005-0000-0000-00000A060000}"/>
    <cellStyle name="Comma 2 3 2 5 3 2" xfId="640" xr:uid="{00000000-0005-0000-0000-00000B060000}"/>
    <cellStyle name="Comma 2 3 2 5 3 2 2" xfId="7787" xr:uid="{00000000-0005-0000-0000-00000C060000}"/>
    <cellStyle name="Comma 2 3 2 5 3 3" xfId="7786" xr:uid="{00000000-0005-0000-0000-00000D060000}"/>
    <cellStyle name="Comma 2 3 2 5 3 4" xfId="5084" xr:uid="{00000000-0005-0000-0000-00000E060000}"/>
    <cellStyle name="Comma 2 3 2 5 4" xfId="641" xr:uid="{00000000-0005-0000-0000-00000F060000}"/>
    <cellStyle name="Comma 2 3 2 5 4 2" xfId="642" xr:uid="{00000000-0005-0000-0000-000010060000}"/>
    <cellStyle name="Comma 2 3 2 5 4 2 2" xfId="7789" xr:uid="{00000000-0005-0000-0000-000011060000}"/>
    <cellStyle name="Comma 2 3 2 5 4 3" xfId="7788" xr:uid="{00000000-0005-0000-0000-000012060000}"/>
    <cellStyle name="Comma 2 3 2 5 4 4" xfId="5085" xr:uid="{00000000-0005-0000-0000-000013060000}"/>
    <cellStyle name="Comma 2 3 2 5 5" xfId="643" xr:uid="{00000000-0005-0000-0000-000014060000}"/>
    <cellStyle name="Comma 2 3 2 5 5 2" xfId="7790" xr:uid="{00000000-0005-0000-0000-000015060000}"/>
    <cellStyle name="Comma 2 3 2 5 6" xfId="7781" xr:uid="{00000000-0005-0000-0000-000016060000}"/>
    <cellStyle name="Comma 2 3 2 5 7" xfId="5081" xr:uid="{00000000-0005-0000-0000-000017060000}"/>
    <cellStyle name="Comma 2 3 2 6" xfId="644" xr:uid="{00000000-0005-0000-0000-000018060000}"/>
    <cellStyle name="Comma 2 3 2 6 2" xfId="645" xr:uid="{00000000-0005-0000-0000-000019060000}"/>
    <cellStyle name="Comma 2 3 2 6 2 2" xfId="646" xr:uid="{00000000-0005-0000-0000-00001A060000}"/>
    <cellStyle name="Comma 2 3 2 6 2 2 2" xfId="647" xr:uid="{00000000-0005-0000-0000-00001B060000}"/>
    <cellStyle name="Comma 2 3 2 6 2 2 2 2" xfId="7794" xr:uid="{00000000-0005-0000-0000-00001C060000}"/>
    <cellStyle name="Comma 2 3 2 6 2 2 3" xfId="7793" xr:uid="{00000000-0005-0000-0000-00001D060000}"/>
    <cellStyle name="Comma 2 3 2 6 2 2 4" xfId="5088" xr:uid="{00000000-0005-0000-0000-00001E060000}"/>
    <cellStyle name="Comma 2 3 2 6 2 3" xfId="648" xr:uid="{00000000-0005-0000-0000-00001F060000}"/>
    <cellStyle name="Comma 2 3 2 6 2 3 2" xfId="7795" xr:uid="{00000000-0005-0000-0000-000020060000}"/>
    <cellStyle name="Comma 2 3 2 6 2 4" xfId="7792" xr:uid="{00000000-0005-0000-0000-000021060000}"/>
    <cellStyle name="Comma 2 3 2 6 2 5" xfId="5087" xr:uid="{00000000-0005-0000-0000-000022060000}"/>
    <cellStyle name="Comma 2 3 2 6 3" xfId="649" xr:uid="{00000000-0005-0000-0000-000023060000}"/>
    <cellStyle name="Comma 2 3 2 6 3 2" xfId="650" xr:uid="{00000000-0005-0000-0000-000024060000}"/>
    <cellStyle name="Comma 2 3 2 6 3 2 2" xfId="7797" xr:uid="{00000000-0005-0000-0000-000025060000}"/>
    <cellStyle name="Comma 2 3 2 6 3 3" xfId="7796" xr:uid="{00000000-0005-0000-0000-000026060000}"/>
    <cellStyle name="Comma 2 3 2 6 3 4" xfId="5089" xr:uid="{00000000-0005-0000-0000-000027060000}"/>
    <cellStyle name="Comma 2 3 2 6 4" xfId="651" xr:uid="{00000000-0005-0000-0000-000028060000}"/>
    <cellStyle name="Comma 2 3 2 6 4 2" xfId="652" xr:uid="{00000000-0005-0000-0000-000029060000}"/>
    <cellStyle name="Comma 2 3 2 6 4 2 2" xfId="7799" xr:uid="{00000000-0005-0000-0000-00002A060000}"/>
    <cellStyle name="Comma 2 3 2 6 4 3" xfId="7798" xr:uid="{00000000-0005-0000-0000-00002B060000}"/>
    <cellStyle name="Comma 2 3 2 6 4 4" xfId="5090" xr:uid="{00000000-0005-0000-0000-00002C060000}"/>
    <cellStyle name="Comma 2 3 2 6 5" xfId="653" xr:uid="{00000000-0005-0000-0000-00002D060000}"/>
    <cellStyle name="Comma 2 3 2 6 5 2" xfId="7800" xr:uid="{00000000-0005-0000-0000-00002E060000}"/>
    <cellStyle name="Comma 2 3 2 6 6" xfId="7791" xr:uid="{00000000-0005-0000-0000-00002F060000}"/>
    <cellStyle name="Comma 2 3 2 6 7" xfId="5086" xr:uid="{00000000-0005-0000-0000-000030060000}"/>
    <cellStyle name="Comma 2 3 2 7" xfId="654" xr:uid="{00000000-0005-0000-0000-000031060000}"/>
    <cellStyle name="Comma 2 3 2 7 2" xfId="655" xr:uid="{00000000-0005-0000-0000-000032060000}"/>
    <cellStyle name="Comma 2 3 2 7 2 2" xfId="656" xr:uid="{00000000-0005-0000-0000-000033060000}"/>
    <cellStyle name="Comma 2 3 2 7 2 2 2" xfId="7803" xr:uid="{00000000-0005-0000-0000-000034060000}"/>
    <cellStyle name="Comma 2 3 2 7 2 3" xfId="7802" xr:uid="{00000000-0005-0000-0000-000035060000}"/>
    <cellStyle name="Comma 2 3 2 7 2 4" xfId="5092" xr:uid="{00000000-0005-0000-0000-000036060000}"/>
    <cellStyle name="Comma 2 3 2 7 3" xfId="657" xr:uid="{00000000-0005-0000-0000-000037060000}"/>
    <cellStyle name="Comma 2 3 2 7 3 2" xfId="658" xr:uid="{00000000-0005-0000-0000-000038060000}"/>
    <cellStyle name="Comma 2 3 2 7 3 2 2" xfId="7805" xr:uid="{00000000-0005-0000-0000-000039060000}"/>
    <cellStyle name="Comma 2 3 2 7 3 3" xfId="7804" xr:uid="{00000000-0005-0000-0000-00003A060000}"/>
    <cellStyle name="Comma 2 3 2 7 3 4" xfId="5093" xr:uid="{00000000-0005-0000-0000-00003B060000}"/>
    <cellStyle name="Comma 2 3 2 7 4" xfId="659" xr:uid="{00000000-0005-0000-0000-00003C060000}"/>
    <cellStyle name="Comma 2 3 2 7 4 2" xfId="7806" xr:uid="{00000000-0005-0000-0000-00003D060000}"/>
    <cellStyle name="Comma 2 3 2 7 5" xfId="7801" xr:uid="{00000000-0005-0000-0000-00003E060000}"/>
    <cellStyle name="Comma 2 3 2 7 6" xfId="5091" xr:uid="{00000000-0005-0000-0000-00003F060000}"/>
    <cellStyle name="Comma 2 3 2 8" xfId="660" xr:uid="{00000000-0005-0000-0000-000040060000}"/>
    <cellStyle name="Comma 2 3 2 8 2" xfId="661" xr:uid="{00000000-0005-0000-0000-000041060000}"/>
    <cellStyle name="Comma 2 3 2 8 2 2" xfId="662" xr:uid="{00000000-0005-0000-0000-000042060000}"/>
    <cellStyle name="Comma 2 3 2 8 2 2 2" xfId="7809" xr:uid="{00000000-0005-0000-0000-000043060000}"/>
    <cellStyle name="Comma 2 3 2 8 2 3" xfId="7808" xr:uid="{00000000-0005-0000-0000-000044060000}"/>
    <cellStyle name="Comma 2 3 2 8 2 4" xfId="5095" xr:uid="{00000000-0005-0000-0000-000045060000}"/>
    <cellStyle name="Comma 2 3 2 8 3" xfId="663" xr:uid="{00000000-0005-0000-0000-000046060000}"/>
    <cellStyle name="Comma 2 3 2 8 3 2" xfId="7810" xr:uid="{00000000-0005-0000-0000-000047060000}"/>
    <cellStyle name="Comma 2 3 2 8 4" xfId="7807" xr:uid="{00000000-0005-0000-0000-000048060000}"/>
    <cellStyle name="Comma 2 3 2 8 5" xfId="5094" xr:uid="{00000000-0005-0000-0000-000049060000}"/>
    <cellStyle name="Comma 2 3 2 9" xfId="664" xr:uid="{00000000-0005-0000-0000-00004A060000}"/>
    <cellStyle name="Comma 2 3 2 9 2" xfId="665" xr:uid="{00000000-0005-0000-0000-00004B060000}"/>
    <cellStyle name="Comma 2 3 2 9 2 2" xfId="7812" xr:uid="{00000000-0005-0000-0000-00004C060000}"/>
    <cellStyle name="Comma 2 3 2 9 3" xfId="7811" xr:uid="{00000000-0005-0000-0000-00004D060000}"/>
    <cellStyle name="Comma 2 3 2 9 4" xfId="5096" xr:uid="{00000000-0005-0000-0000-00004E060000}"/>
    <cellStyle name="Comma 2 3 3" xfId="666" xr:uid="{00000000-0005-0000-0000-00004F060000}"/>
    <cellStyle name="Comma 2 3 3 10" xfId="667" xr:uid="{00000000-0005-0000-0000-000050060000}"/>
    <cellStyle name="Comma 2 3 3 10 2" xfId="668" xr:uid="{00000000-0005-0000-0000-000051060000}"/>
    <cellStyle name="Comma 2 3 3 10 2 2" xfId="7815" xr:uid="{00000000-0005-0000-0000-000052060000}"/>
    <cellStyle name="Comma 2 3 3 10 3" xfId="7814" xr:uid="{00000000-0005-0000-0000-000053060000}"/>
    <cellStyle name="Comma 2 3 3 10 4" xfId="5098" xr:uid="{00000000-0005-0000-0000-000054060000}"/>
    <cellStyle name="Comma 2 3 3 11" xfId="669" xr:uid="{00000000-0005-0000-0000-000055060000}"/>
    <cellStyle name="Comma 2 3 3 11 2" xfId="7816" xr:uid="{00000000-0005-0000-0000-000056060000}"/>
    <cellStyle name="Comma 2 3 3 12" xfId="7813" xr:uid="{00000000-0005-0000-0000-000057060000}"/>
    <cellStyle name="Comma 2 3 3 13" xfId="5097" xr:uid="{00000000-0005-0000-0000-000058060000}"/>
    <cellStyle name="Comma 2 3 3 2" xfId="670" xr:uid="{00000000-0005-0000-0000-000059060000}"/>
    <cellStyle name="Comma 2 3 3 2 10" xfId="671" xr:uid="{00000000-0005-0000-0000-00005A060000}"/>
    <cellStyle name="Comma 2 3 3 2 10 2" xfId="7818" xr:uid="{00000000-0005-0000-0000-00005B060000}"/>
    <cellStyle name="Comma 2 3 3 2 11" xfId="7817" xr:uid="{00000000-0005-0000-0000-00005C060000}"/>
    <cellStyle name="Comma 2 3 3 2 12" xfId="5099" xr:uid="{00000000-0005-0000-0000-00005D060000}"/>
    <cellStyle name="Comma 2 3 3 2 2" xfId="672" xr:uid="{00000000-0005-0000-0000-00005E060000}"/>
    <cellStyle name="Comma 2 3 3 2 2 2" xfId="673" xr:uid="{00000000-0005-0000-0000-00005F060000}"/>
    <cellStyle name="Comma 2 3 3 2 2 2 2" xfId="674" xr:uid="{00000000-0005-0000-0000-000060060000}"/>
    <cellStyle name="Comma 2 3 3 2 2 2 2 2" xfId="675" xr:uid="{00000000-0005-0000-0000-000061060000}"/>
    <cellStyle name="Comma 2 3 3 2 2 2 2 2 2" xfId="7822" xr:uid="{00000000-0005-0000-0000-000062060000}"/>
    <cellStyle name="Comma 2 3 3 2 2 2 2 3" xfId="7821" xr:uid="{00000000-0005-0000-0000-000063060000}"/>
    <cellStyle name="Comma 2 3 3 2 2 2 2 4" xfId="5102" xr:uid="{00000000-0005-0000-0000-000064060000}"/>
    <cellStyle name="Comma 2 3 3 2 2 2 3" xfId="676" xr:uid="{00000000-0005-0000-0000-000065060000}"/>
    <cellStyle name="Comma 2 3 3 2 2 2 3 2" xfId="7823" xr:uid="{00000000-0005-0000-0000-000066060000}"/>
    <cellStyle name="Comma 2 3 3 2 2 2 4" xfId="7820" xr:uid="{00000000-0005-0000-0000-000067060000}"/>
    <cellStyle name="Comma 2 3 3 2 2 2 5" xfId="5101" xr:uid="{00000000-0005-0000-0000-000068060000}"/>
    <cellStyle name="Comma 2 3 3 2 2 3" xfId="677" xr:uid="{00000000-0005-0000-0000-000069060000}"/>
    <cellStyle name="Comma 2 3 3 2 2 3 2" xfId="678" xr:uid="{00000000-0005-0000-0000-00006A060000}"/>
    <cellStyle name="Comma 2 3 3 2 2 3 2 2" xfId="7825" xr:uid="{00000000-0005-0000-0000-00006B060000}"/>
    <cellStyle name="Comma 2 3 3 2 2 3 3" xfId="7824" xr:uid="{00000000-0005-0000-0000-00006C060000}"/>
    <cellStyle name="Comma 2 3 3 2 2 3 4" xfId="5103" xr:uid="{00000000-0005-0000-0000-00006D060000}"/>
    <cellStyle name="Comma 2 3 3 2 2 4" xfId="679" xr:uid="{00000000-0005-0000-0000-00006E060000}"/>
    <cellStyle name="Comma 2 3 3 2 2 4 2" xfId="680" xr:uid="{00000000-0005-0000-0000-00006F060000}"/>
    <cellStyle name="Comma 2 3 3 2 2 4 2 2" xfId="7827" xr:uid="{00000000-0005-0000-0000-000070060000}"/>
    <cellStyle name="Comma 2 3 3 2 2 4 3" xfId="7826" xr:uid="{00000000-0005-0000-0000-000071060000}"/>
    <cellStyle name="Comma 2 3 3 2 2 4 4" xfId="5104" xr:uid="{00000000-0005-0000-0000-000072060000}"/>
    <cellStyle name="Comma 2 3 3 2 2 5" xfId="681" xr:uid="{00000000-0005-0000-0000-000073060000}"/>
    <cellStyle name="Comma 2 3 3 2 2 5 2" xfId="7828" xr:uid="{00000000-0005-0000-0000-000074060000}"/>
    <cellStyle name="Comma 2 3 3 2 2 6" xfId="7819" xr:uid="{00000000-0005-0000-0000-000075060000}"/>
    <cellStyle name="Comma 2 3 3 2 2 7" xfId="5100" xr:uid="{00000000-0005-0000-0000-000076060000}"/>
    <cellStyle name="Comma 2 3 3 2 3" xfId="682" xr:uid="{00000000-0005-0000-0000-000077060000}"/>
    <cellStyle name="Comma 2 3 3 2 3 2" xfId="683" xr:uid="{00000000-0005-0000-0000-000078060000}"/>
    <cellStyle name="Comma 2 3 3 2 3 2 2" xfId="684" xr:uid="{00000000-0005-0000-0000-000079060000}"/>
    <cellStyle name="Comma 2 3 3 2 3 2 2 2" xfId="685" xr:uid="{00000000-0005-0000-0000-00007A060000}"/>
    <cellStyle name="Comma 2 3 3 2 3 2 2 2 2" xfId="7832" xr:uid="{00000000-0005-0000-0000-00007B060000}"/>
    <cellStyle name="Comma 2 3 3 2 3 2 2 3" xfId="7831" xr:uid="{00000000-0005-0000-0000-00007C060000}"/>
    <cellStyle name="Comma 2 3 3 2 3 2 2 4" xfId="5107" xr:uid="{00000000-0005-0000-0000-00007D060000}"/>
    <cellStyle name="Comma 2 3 3 2 3 2 3" xfId="686" xr:uid="{00000000-0005-0000-0000-00007E060000}"/>
    <cellStyle name="Comma 2 3 3 2 3 2 3 2" xfId="7833" xr:uid="{00000000-0005-0000-0000-00007F060000}"/>
    <cellStyle name="Comma 2 3 3 2 3 2 4" xfId="7830" xr:uid="{00000000-0005-0000-0000-000080060000}"/>
    <cellStyle name="Comma 2 3 3 2 3 2 5" xfId="5106" xr:uid="{00000000-0005-0000-0000-000081060000}"/>
    <cellStyle name="Comma 2 3 3 2 3 3" xfId="687" xr:uid="{00000000-0005-0000-0000-000082060000}"/>
    <cellStyle name="Comma 2 3 3 2 3 3 2" xfId="688" xr:uid="{00000000-0005-0000-0000-000083060000}"/>
    <cellStyle name="Comma 2 3 3 2 3 3 2 2" xfId="7835" xr:uid="{00000000-0005-0000-0000-000084060000}"/>
    <cellStyle name="Comma 2 3 3 2 3 3 3" xfId="7834" xr:uid="{00000000-0005-0000-0000-000085060000}"/>
    <cellStyle name="Comma 2 3 3 2 3 3 4" xfId="5108" xr:uid="{00000000-0005-0000-0000-000086060000}"/>
    <cellStyle name="Comma 2 3 3 2 3 4" xfId="689" xr:uid="{00000000-0005-0000-0000-000087060000}"/>
    <cellStyle name="Comma 2 3 3 2 3 4 2" xfId="690" xr:uid="{00000000-0005-0000-0000-000088060000}"/>
    <cellStyle name="Comma 2 3 3 2 3 4 2 2" xfId="7837" xr:uid="{00000000-0005-0000-0000-000089060000}"/>
    <cellStyle name="Comma 2 3 3 2 3 4 3" xfId="7836" xr:uid="{00000000-0005-0000-0000-00008A060000}"/>
    <cellStyle name="Comma 2 3 3 2 3 4 4" xfId="5109" xr:uid="{00000000-0005-0000-0000-00008B060000}"/>
    <cellStyle name="Comma 2 3 3 2 3 5" xfId="691" xr:uid="{00000000-0005-0000-0000-00008C060000}"/>
    <cellStyle name="Comma 2 3 3 2 3 5 2" xfId="7838" xr:uid="{00000000-0005-0000-0000-00008D060000}"/>
    <cellStyle name="Comma 2 3 3 2 3 6" xfId="7829" xr:uid="{00000000-0005-0000-0000-00008E060000}"/>
    <cellStyle name="Comma 2 3 3 2 3 7" xfId="5105" xr:uid="{00000000-0005-0000-0000-00008F060000}"/>
    <cellStyle name="Comma 2 3 3 2 4" xfId="692" xr:uid="{00000000-0005-0000-0000-000090060000}"/>
    <cellStyle name="Comma 2 3 3 2 4 2" xfId="693" xr:uid="{00000000-0005-0000-0000-000091060000}"/>
    <cellStyle name="Comma 2 3 3 2 4 2 2" xfId="694" xr:uid="{00000000-0005-0000-0000-000092060000}"/>
    <cellStyle name="Comma 2 3 3 2 4 2 2 2" xfId="695" xr:uid="{00000000-0005-0000-0000-000093060000}"/>
    <cellStyle name="Comma 2 3 3 2 4 2 2 2 2" xfId="7842" xr:uid="{00000000-0005-0000-0000-000094060000}"/>
    <cellStyle name="Comma 2 3 3 2 4 2 2 3" xfId="7841" xr:uid="{00000000-0005-0000-0000-000095060000}"/>
    <cellStyle name="Comma 2 3 3 2 4 2 2 4" xfId="5112" xr:uid="{00000000-0005-0000-0000-000096060000}"/>
    <cellStyle name="Comma 2 3 3 2 4 2 3" xfId="696" xr:uid="{00000000-0005-0000-0000-000097060000}"/>
    <cellStyle name="Comma 2 3 3 2 4 2 3 2" xfId="7843" xr:uid="{00000000-0005-0000-0000-000098060000}"/>
    <cellStyle name="Comma 2 3 3 2 4 2 4" xfId="7840" xr:uid="{00000000-0005-0000-0000-000099060000}"/>
    <cellStyle name="Comma 2 3 3 2 4 2 5" xfId="5111" xr:uid="{00000000-0005-0000-0000-00009A060000}"/>
    <cellStyle name="Comma 2 3 3 2 4 3" xfId="697" xr:uid="{00000000-0005-0000-0000-00009B060000}"/>
    <cellStyle name="Comma 2 3 3 2 4 3 2" xfId="698" xr:uid="{00000000-0005-0000-0000-00009C060000}"/>
    <cellStyle name="Comma 2 3 3 2 4 3 2 2" xfId="7845" xr:uid="{00000000-0005-0000-0000-00009D060000}"/>
    <cellStyle name="Comma 2 3 3 2 4 3 3" xfId="7844" xr:uid="{00000000-0005-0000-0000-00009E060000}"/>
    <cellStyle name="Comma 2 3 3 2 4 3 4" xfId="5113" xr:uid="{00000000-0005-0000-0000-00009F060000}"/>
    <cellStyle name="Comma 2 3 3 2 4 4" xfId="699" xr:uid="{00000000-0005-0000-0000-0000A0060000}"/>
    <cellStyle name="Comma 2 3 3 2 4 4 2" xfId="700" xr:uid="{00000000-0005-0000-0000-0000A1060000}"/>
    <cellStyle name="Comma 2 3 3 2 4 4 2 2" xfId="7847" xr:uid="{00000000-0005-0000-0000-0000A2060000}"/>
    <cellStyle name="Comma 2 3 3 2 4 4 3" xfId="7846" xr:uid="{00000000-0005-0000-0000-0000A3060000}"/>
    <cellStyle name="Comma 2 3 3 2 4 4 4" xfId="5114" xr:uid="{00000000-0005-0000-0000-0000A4060000}"/>
    <cellStyle name="Comma 2 3 3 2 4 5" xfId="701" xr:uid="{00000000-0005-0000-0000-0000A5060000}"/>
    <cellStyle name="Comma 2 3 3 2 4 5 2" xfId="7848" xr:uid="{00000000-0005-0000-0000-0000A6060000}"/>
    <cellStyle name="Comma 2 3 3 2 4 6" xfId="7839" xr:uid="{00000000-0005-0000-0000-0000A7060000}"/>
    <cellStyle name="Comma 2 3 3 2 4 7" xfId="5110" xr:uid="{00000000-0005-0000-0000-0000A8060000}"/>
    <cellStyle name="Comma 2 3 3 2 5" xfId="702" xr:uid="{00000000-0005-0000-0000-0000A9060000}"/>
    <cellStyle name="Comma 2 3 3 2 5 2" xfId="703" xr:uid="{00000000-0005-0000-0000-0000AA060000}"/>
    <cellStyle name="Comma 2 3 3 2 5 2 2" xfId="704" xr:uid="{00000000-0005-0000-0000-0000AB060000}"/>
    <cellStyle name="Comma 2 3 3 2 5 2 2 2" xfId="705" xr:uid="{00000000-0005-0000-0000-0000AC060000}"/>
    <cellStyle name="Comma 2 3 3 2 5 2 2 2 2" xfId="7852" xr:uid="{00000000-0005-0000-0000-0000AD060000}"/>
    <cellStyle name="Comma 2 3 3 2 5 2 2 3" xfId="7851" xr:uid="{00000000-0005-0000-0000-0000AE060000}"/>
    <cellStyle name="Comma 2 3 3 2 5 2 2 4" xfId="5117" xr:uid="{00000000-0005-0000-0000-0000AF060000}"/>
    <cellStyle name="Comma 2 3 3 2 5 2 3" xfId="706" xr:uid="{00000000-0005-0000-0000-0000B0060000}"/>
    <cellStyle name="Comma 2 3 3 2 5 2 3 2" xfId="7853" xr:uid="{00000000-0005-0000-0000-0000B1060000}"/>
    <cellStyle name="Comma 2 3 3 2 5 2 4" xfId="7850" xr:uid="{00000000-0005-0000-0000-0000B2060000}"/>
    <cellStyle name="Comma 2 3 3 2 5 2 5" xfId="5116" xr:uid="{00000000-0005-0000-0000-0000B3060000}"/>
    <cellStyle name="Comma 2 3 3 2 5 3" xfId="707" xr:uid="{00000000-0005-0000-0000-0000B4060000}"/>
    <cellStyle name="Comma 2 3 3 2 5 3 2" xfId="708" xr:uid="{00000000-0005-0000-0000-0000B5060000}"/>
    <cellStyle name="Comma 2 3 3 2 5 3 2 2" xfId="7855" xr:uid="{00000000-0005-0000-0000-0000B6060000}"/>
    <cellStyle name="Comma 2 3 3 2 5 3 3" xfId="7854" xr:uid="{00000000-0005-0000-0000-0000B7060000}"/>
    <cellStyle name="Comma 2 3 3 2 5 3 4" xfId="5118" xr:uid="{00000000-0005-0000-0000-0000B8060000}"/>
    <cellStyle name="Comma 2 3 3 2 5 4" xfId="709" xr:uid="{00000000-0005-0000-0000-0000B9060000}"/>
    <cellStyle name="Comma 2 3 3 2 5 4 2" xfId="710" xr:uid="{00000000-0005-0000-0000-0000BA060000}"/>
    <cellStyle name="Comma 2 3 3 2 5 4 2 2" xfId="7857" xr:uid="{00000000-0005-0000-0000-0000BB060000}"/>
    <cellStyle name="Comma 2 3 3 2 5 4 3" xfId="7856" xr:uid="{00000000-0005-0000-0000-0000BC060000}"/>
    <cellStyle name="Comma 2 3 3 2 5 4 4" xfId="5119" xr:uid="{00000000-0005-0000-0000-0000BD060000}"/>
    <cellStyle name="Comma 2 3 3 2 5 5" xfId="711" xr:uid="{00000000-0005-0000-0000-0000BE060000}"/>
    <cellStyle name="Comma 2 3 3 2 5 5 2" xfId="7858" xr:uid="{00000000-0005-0000-0000-0000BF060000}"/>
    <cellStyle name="Comma 2 3 3 2 5 6" xfId="7849" xr:uid="{00000000-0005-0000-0000-0000C0060000}"/>
    <cellStyle name="Comma 2 3 3 2 5 7" xfId="5115" xr:uid="{00000000-0005-0000-0000-0000C1060000}"/>
    <cellStyle name="Comma 2 3 3 2 6" xfId="712" xr:uid="{00000000-0005-0000-0000-0000C2060000}"/>
    <cellStyle name="Comma 2 3 3 2 6 2" xfId="713" xr:uid="{00000000-0005-0000-0000-0000C3060000}"/>
    <cellStyle name="Comma 2 3 3 2 6 2 2" xfId="714" xr:uid="{00000000-0005-0000-0000-0000C4060000}"/>
    <cellStyle name="Comma 2 3 3 2 6 2 2 2" xfId="7861" xr:uid="{00000000-0005-0000-0000-0000C5060000}"/>
    <cellStyle name="Comma 2 3 3 2 6 2 3" xfId="7860" xr:uid="{00000000-0005-0000-0000-0000C6060000}"/>
    <cellStyle name="Comma 2 3 3 2 6 2 4" xfId="5121" xr:uid="{00000000-0005-0000-0000-0000C7060000}"/>
    <cellStyle name="Comma 2 3 3 2 6 3" xfId="715" xr:uid="{00000000-0005-0000-0000-0000C8060000}"/>
    <cellStyle name="Comma 2 3 3 2 6 3 2" xfId="716" xr:uid="{00000000-0005-0000-0000-0000C9060000}"/>
    <cellStyle name="Comma 2 3 3 2 6 3 2 2" xfId="7863" xr:uid="{00000000-0005-0000-0000-0000CA060000}"/>
    <cellStyle name="Comma 2 3 3 2 6 3 3" xfId="7862" xr:uid="{00000000-0005-0000-0000-0000CB060000}"/>
    <cellStyle name="Comma 2 3 3 2 6 3 4" xfId="5122" xr:uid="{00000000-0005-0000-0000-0000CC060000}"/>
    <cellStyle name="Comma 2 3 3 2 6 4" xfId="717" xr:uid="{00000000-0005-0000-0000-0000CD060000}"/>
    <cellStyle name="Comma 2 3 3 2 6 4 2" xfId="7864" xr:uid="{00000000-0005-0000-0000-0000CE060000}"/>
    <cellStyle name="Comma 2 3 3 2 6 5" xfId="7859" xr:uid="{00000000-0005-0000-0000-0000CF060000}"/>
    <cellStyle name="Comma 2 3 3 2 6 6" xfId="5120" xr:uid="{00000000-0005-0000-0000-0000D0060000}"/>
    <cellStyle name="Comma 2 3 3 2 7" xfId="718" xr:uid="{00000000-0005-0000-0000-0000D1060000}"/>
    <cellStyle name="Comma 2 3 3 2 7 2" xfId="719" xr:uid="{00000000-0005-0000-0000-0000D2060000}"/>
    <cellStyle name="Comma 2 3 3 2 7 2 2" xfId="720" xr:uid="{00000000-0005-0000-0000-0000D3060000}"/>
    <cellStyle name="Comma 2 3 3 2 7 2 2 2" xfId="7867" xr:uid="{00000000-0005-0000-0000-0000D4060000}"/>
    <cellStyle name="Comma 2 3 3 2 7 2 3" xfId="7866" xr:uid="{00000000-0005-0000-0000-0000D5060000}"/>
    <cellStyle name="Comma 2 3 3 2 7 2 4" xfId="5124" xr:uid="{00000000-0005-0000-0000-0000D6060000}"/>
    <cellStyle name="Comma 2 3 3 2 7 3" xfId="721" xr:uid="{00000000-0005-0000-0000-0000D7060000}"/>
    <cellStyle name="Comma 2 3 3 2 7 3 2" xfId="7868" xr:uid="{00000000-0005-0000-0000-0000D8060000}"/>
    <cellStyle name="Comma 2 3 3 2 7 4" xfId="7865" xr:uid="{00000000-0005-0000-0000-0000D9060000}"/>
    <cellStyle name="Comma 2 3 3 2 7 5" xfId="5123" xr:uid="{00000000-0005-0000-0000-0000DA060000}"/>
    <cellStyle name="Comma 2 3 3 2 8" xfId="722" xr:uid="{00000000-0005-0000-0000-0000DB060000}"/>
    <cellStyle name="Comma 2 3 3 2 8 2" xfId="723" xr:uid="{00000000-0005-0000-0000-0000DC060000}"/>
    <cellStyle name="Comma 2 3 3 2 8 2 2" xfId="7870" xr:uid="{00000000-0005-0000-0000-0000DD060000}"/>
    <cellStyle name="Comma 2 3 3 2 8 3" xfId="7869" xr:uid="{00000000-0005-0000-0000-0000DE060000}"/>
    <cellStyle name="Comma 2 3 3 2 8 4" xfId="5125" xr:uid="{00000000-0005-0000-0000-0000DF060000}"/>
    <cellStyle name="Comma 2 3 3 2 9" xfId="724" xr:uid="{00000000-0005-0000-0000-0000E0060000}"/>
    <cellStyle name="Comma 2 3 3 2 9 2" xfId="725" xr:uid="{00000000-0005-0000-0000-0000E1060000}"/>
    <cellStyle name="Comma 2 3 3 2 9 2 2" xfId="7872" xr:uid="{00000000-0005-0000-0000-0000E2060000}"/>
    <cellStyle name="Comma 2 3 3 2 9 3" xfId="7871" xr:uid="{00000000-0005-0000-0000-0000E3060000}"/>
    <cellStyle name="Comma 2 3 3 2 9 4" xfId="5126" xr:uid="{00000000-0005-0000-0000-0000E4060000}"/>
    <cellStyle name="Comma 2 3 3 3" xfId="726" xr:uid="{00000000-0005-0000-0000-0000E5060000}"/>
    <cellStyle name="Comma 2 3 3 3 2" xfId="727" xr:uid="{00000000-0005-0000-0000-0000E6060000}"/>
    <cellStyle name="Comma 2 3 3 3 2 2" xfId="728" xr:uid="{00000000-0005-0000-0000-0000E7060000}"/>
    <cellStyle name="Comma 2 3 3 3 2 2 2" xfId="729" xr:uid="{00000000-0005-0000-0000-0000E8060000}"/>
    <cellStyle name="Comma 2 3 3 3 2 2 2 2" xfId="7876" xr:uid="{00000000-0005-0000-0000-0000E9060000}"/>
    <cellStyle name="Comma 2 3 3 3 2 2 3" xfId="7875" xr:uid="{00000000-0005-0000-0000-0000EA060000}"/>
    <cellStyle name="Comma 2 3 3 3 2 2 4" xfId="5129" xr:uid="{00000000-0005-0000-0000-0000EB060000}"/>
    <cellStyle name="Comma 2 3 3 3 2 3" xfId="730" xr:uid="{00000000-0005-0000-0000-0000EC060000}"/>
    <cellStyle name="Comma 2 3 3 3 2 3 2" xfId="7877" xr:uid="{00000000-0005-0000-0000-0000ED060000}"/>
    <cellStyle name="Comma 2 3 3 3 2 4" xfId="7874" xr:uid="{00000000-0005-0000-0000-0000EE060000}"/>
    <cellStyle name="Comma 2 3 3 3 2 5" xfId="5128" xr:uid="{00000000-0005-0000-0000-0000EF060000}"/>
    <cellStyle name="Comma 2 3 3 3 3" xfId="731" xr:uid="{00000000-0005-0000-0000-0000F0060000}"/>
    <cellStyle name="Comma 2 3 3 3 3 2" xfId="732" xr:uid="{00000000-0005-0000-0000-0000F1060000}"/>
    <cellStyle name="Comma 2 3 3 3 3 2 2" xfId="7879" xr:uid="{00000000-0005-0000-0000-0000F2060000}"/>
    <cellStyle name="Comma 2 3 3 3 3 3" xfId="7878" xr:uid="{00000000-0005-0000-0000-0000F3060000}"/>
    <cellStyle name="Comma 2 3 3 3 3 4" xfId="5130" xr:uid="{00000000-0005-0000-0000-0000F4060000}"/>
    <cellStyle name="Comma 2 3 3 3 4" xfId="733" xr:uid="{00000000-0005-0000-0000-0000F5060000}"/>
    <cellStyle name="Comma 2 3 3 3 4 2" xfId="734" xr:uid="{00000000-0005-0000-0000-0000F6060000}"/>
    <cellStyle name="Comma 2 3 3 3 4 2 2" xfId="7881" xr:uid="{00000000-0005-0000-0000-0000F7060000}"/>
    <cellStyle name="Comma 2 3 3 3 4 3" xfId="7880" xr:uid="{00000000-0005-0000-0000-0000F8060000}"/>
    <cellStyle name="Comma 2 3 3 3 4 4" xfId="5131" xr:uid="{00000000-0005-0000-0000-0000F9060000}"/>
    <cellStyle name="Comma 2 3 3 3 5" xfId="735" xr:uid="{00000000-0005-0000-0000-0000FA060000}"/>
    <cellStyle name="Comma 2 3 3 3 5 2" xfId="7882" xr:uid="{00000000-0005-0000-0000-0000FB060000}"/>
    <cellStyle name="Comma 2 3 3 3 6" xfId="7873" xr:uid="{00000000-0005-0000-0000-0000FC060000}"/>
    <cellStyle name="Comma 2 3 3 3 7" xfId="5127" xr:uid="{00000000-0005-0000-0000-0000FD060000}"/>
    <cellStyle name="Comma 2 3 3 4" xfId="736" xr:uid="{00000000-0005-0000-0000-0000FE060000}"/>
    <cellStyle name="Comma 2 3 3 4 2" xfId="737" xr:uid="{00000000-0005-0000-0000-0000FF060000}"/>
    <cellStyle name="Comma 2 3 3 4 2 2" xfId="738" xr:uid="{00000000-0005-0000-0000-000000070000}"/>
    <cellStyle name="Comma 2 3 3 4 2 2 2" xfId="739" xr:uid="{00000000-0005-0000-0000-000001070000}"/>
    <cellStyle name="Comma 2 3 3 4 2 2 2 2" xfId="7886" xr:uid="{00000000-0005-0000-0000-000002070000}"/>
    <cellStyle name="Comma 2 3 3 4 2 2 3" xfId="7885" xr:uid="{00000000-0005-0000-0000-000003070000}"/>
    <cellStyle name="Comma 2 3 3 4 2 2 4" xfId="5134" xr:uid="{00000000-0005-0000-0000-000004070000}"/>
    <cellStyle name="Comma 2 3 3 4 2 3" xfId="740" xr:uid="{00000000-0005-0000-0000-000005070000}"/>
    <cellStyle name="Comma 2 3 3 4 2 3 2" xfId="7887" xr:uid="{00000000-0005-0000-0000-000006070000}"/>
    <cellStyle name="Comma 2 3 3 4 2 4" xfId="7884" xr:uid="{00000000-0005-0000-0000-000007070000}"/>
    <cellStyle name="Comma 2 3 3 4 2 5" xfId="5133" xr:uid="{00000000-0005-0000-0000-000008070000}"/>
    <cellStyle name="Comma 2 3 3 4 3" xfId="741" xr:uid="{00000000-0005-0000-0000-000009070000}"/>
    <cellStyle name="Comma 2 3 3 4 3 2" xfId="742" xr:uid="{00000000-0005-0000-0000-00000A070000}"/>
    <cellStyle name="Comma 2 3 3 4 3 2 2" xfId="7889" xr:uid="{00000000-0005-0000-0000-00000B070000}"/>
    <cellStyle name="Comma 2 3 3 4 3 3" xfId="7888" xr:uid="{00000000-0005-0000-0000-00000C070000}"/>
    <cellStyle name="Comma 2 3 3 4 3 4" xfId="5135" xr:uid="{00000000-0005-0000-0000-00000D070000}"/>
    <cellStyle name="Comma 2 3 3 4 4" xfId="743" xr:uid="{00000000-0005-0000-0000-00000E070000}"/>
    <cellStyle name="Comma 2 3 3 4 4 2" xfId="744" xr:uid="{00000000-0005-0000-0000-00000F070000}"/>
    <cellStyle name="Comma 2 3 3 4 4 2 2" xfId="7891" xr:uid="{00000000-0005-0000-0000-000010070000}"/>
    <cellStyle name="Comma 2 3 3 4 4 3" xfId="7890" xr:uid="{00000000-0005-0000-0000-000011070000}"/>
    <cellStyle name="Comma 2 3 3 4 4 4" xfId="5136" xr:uid="{00000000-0005-0000-0000-000012070000}"/>
    <cellStyle name="Comma 2 3 3 4 5" xfId="745" xr:uid="{00000000-0005-0000-0000-000013070000}"/>
    <cellStyle name="Comma 2 3 3 4 5 2" xfId="7892" xr:uid="{00000000-0005-0000-0000-000014070000}"/>
    <cellStyle name="Comma 2 3 3 4 6" xfId="7883" xr:uid="{00000000-0005-0000-0000-000015070000}"/>
    <cellStyle name="Comma 2 3 3 4 7" xfId="5132" xr:uid="{00000000-0005-0000-0000-000016070000}"/>
    <cellStyle name="Comma 2 3 3 5" xfId="746" xr:uid="{00000000-0005-0000-0000-000017070000}"/>
    <cellStyle name="Comma 2 3 3 5 2" xfId="747" xr:uid="{00000000-0005-0000-0000-000018070000}"/>
    <cellStyle name="Comma 2 3 3 5 2 2" xfId="748" xr:uid="{00000000-0005-0000-0000-000019070000}"/>
    <cellStyle name="Comma 2 3 3 5 2 2 2" xfId="749" xr:uid="{00000000-0005-0000-0000-00001A070000}"/>
    <cellStyle name="Comma 2 3 3 5 2 2 2 2" xfId="7896" xr:uid="{00000000-0005-0000-0000-00001B070000}"/>
    <cellStyle name="Comma 2 3 3 5 2 2 3" xfId="7895" xr:uid="{00000000-0005-0000-0000-00001C070000}"/>
    <cellStyle name="Comma 2 3 3 5 2 2 4" xfId="5139" xr:uid="{00000000-0005-0000-0000-00001D070000}"/>
    <cellStyle name="Comma 2 3 3 5 2 3" xfId="750" xr:uid="{00000000-0005-0000-0000-00001E070000}"/>
    <cellStyle name="Comma 2 3 3 5 2 3 2" xfId="7897" xr:uid="{00000000-0005-0000-0000-00001F070000}"/>
    <cellStyle name="Comma 2 3 3 5 2 4" xfId="7894" xr:uid="{00000000-0005-0000-0000-000020070000}"/>
    <cellStyle name="Comma 2 3 3 5 2 5" xfId="5138" xr:uid="{00000000-0005-0000-0000-000021070000}"/>
    <cellStyle name="Comma 2 3 3 5 3" xfId="751" xr:uid="{00000000-0005-0000-0000-000022070000}"/>
    <cellStyle name="Comma 2 3 3 5 3 2" xfId="752" xr:uid="{00000000-0005-0000-0000-000023070000}"/>
    <cellStyle name="Comma 2 3 3 5 3 2 2" xfId="7899" xr:uid="{00000000-0005-0000-0000-000024070000}"/>
    <cellStyle name="Comma 2 3 3 5 3 3" xfId="7898" xr:uid="{00000000-0005-0000-0000-000025070000}"/>
    <cellStyle name="Comma 2 3 3 5 3 4" xfId="5140" xr:uid="{00000000-0005-0000-0000-000026070000}"/>
    <cellStyle name="Comma 2 3 3 5 4" xfId="753" xr:uid="{00000000-0005-0000-0000-000027070000}"/>
    <cellStyle name="Comma 2 3 3 5 4 2" xfId="754" xr:uid="{00000000-0005-0000-0000-000028070000}"/>
    <cellStyle name="Comma 2 3 3 5 4 2 2" xfId="7901" xr:uid="{00000000-0005-0000-0000-000029070000}"/>
    <cellStyle name="Comma 2 3 3 5 4 3" xfId="7900" xr:uid="{00000000-0005-0000-0000-00002A070000}"/>
    <cellStyle name="Comma 2 3 3 5 4 4" xfId="5141" xr:uid="{00000000-0005-0000-0000-00002B070000}"/>
    <cellStyle name="Comma 2 3 3 5 5" xfId="755" xr:uid="{00000000-0005-0000-0000-00002C070000}"/>
    <cellStyle name="Comma 2 3 3 5 5 2" xfId="7902" xr:uid="{00000000-0005-0000-0000-00002D070000}"/>
    <cellStyle name="Comma 2 3 3 5 6" xfId="7893" xr:uid="{00000000-0005-0000-0000-00002E070000}"/>
    <cellStyle name="Comma 2 3 3 5 7" xfId="5137" xr:uid="{00000000-0005-0000-0000-00002F070000}"/>
    <cellStyle name="Comma 2 3 3 6" xfId="756" xr:uid="{00000000-0005-0000-0000-000030070000}"/>
    <cellStyle name="Comma 2 3 3 6 2" xfId="757" xr:uid="{00000000-0005-0000-0000-000031070000}"/>
    <cellStyle name="Comma 2 3 3 6 2 2" xfId="758" xr:uid="{00000000-0005-0000-0000-000032070000}"/>
    <cellStyle name="Comma 2 3 3 6 2 2 2" xfId="759" xr:uid="{00000000-0005-0000-0000-000033070000}"/>
    <cellStyle name="Comma 2 3 3 6 2 2 2 2" xfId="7906" xr:uid="{00000000-0005-0000-0000-000034070000}"/>
    <cellStyle name="Comma 2 3 3 6 2 2 3" xfId="7905" xr:uid="{00000000-0005-0000-0000-000035070000}"/>
    <cellStyle name="Comma 2 3 3 6 2 2 4" xfId="5144" xr:uid="{00000000-0005-0000-0000-000036070000}"/>
    <cellStyle name="Comma 2 3 3 6 2 3" xfId="760" xr:uid="{00000000-0005-0000-0000-000037070000}"/>
    <cellStyle name="Comma 2 3 3 6 2 3 2" xfId="7907" xr:uid="{00000000-0005-0000-0000-000038070000}"/>
    <cellStyle name="Comma 2 3 3 6 2 4" xfId="7904" xr:uid="{00000000-0005-0000-0000-000039070000}"/>
    <cellStyle name="Comma 2 3 3 6 2 5" xfId="5143" xr:uid="{00000000-0005-0000-0000-00003A070000}"/>
    <cellStyle name="Comma 2 3 3 6 3" xfId="761" xr:uid="{00000000-0005-0000-0000-00003B070000}"/>
    <cellStyle name="Comma 2 3 3 6 3 2" xfId="762" xr:uid="{00000000-0005-0000-0000-00003C070000}"/>
    <cellStyle name="Comma 2 3 3 6 3 2 2" xfId="7909" xr:uid="{00000000-0005-0000-0000-00003D070000}"/>
    <cellStyle name="Comma 2 3 3 6 3 3" xfId="7908" xr:uid="{00000000-0005-0000-0000-00003E070000}"/>
    <cellStyle name="Comma 2 3 3 6 3 4" xfId="5145" xr:uid="{00000000-0005-0000-0000-00003F070000}"/>
    <cellStyle name="Comma 2 3 3 6 4" xfId="763" xr:uid="{00000000-0005-0000-0000-000040070000}"/>
    <cellStyle name="Comma 2 3 3 6 4 2" xfId="764" xr:uid="{00000000-0005-0000-0000-000041070000}"/>
    <cellStyle name="Comma 2 3 3 6 4 2 2" xfId="7911" xr:uid="{00000000-0005-0000-0000-000042070000}"/>
    <cellStyle name="Comma 2 3 3 6 4 3" xfId="7910" xr:uid="{00000000-0005-0000-0000-000043070000}"/>
    <cellStyle name="Comma 2 3 3 6 4 4" xfId="5146" xr:uid="{00000000-0005-0000-0000-000044070000}"/>
    <cellStyle name="Comma 2 3 3 6 5" xfId="765" xr:uid="{00000000-0005-0000-0000-000045070000}"/>
    <cellStyle name="Comma 2 3 3 6 5 2" xfId="7912" xr:uid="{00000000-0005-0000-0000-000046070000}"/>
    <cellStyle name="Comma 2 3 3 6 6" xfId="7903" xr:uid="{00000000-0005-0000-0000-000047070000}"/>
    <cellStyle name="Comma 2 3 3 6 7" xfId="5142" xr:uid="{00000000-0005-0000-0000-000048070000}"/>
    <cellStyle name="Comma 2 3 3 7" xfId="766" xr:uid="{00000000-0005-0000-0000-000049070000}"/>
    <cellStyle name="Comma 2 3 3 7 2" xfId="767" xr:uid="{00000000-0005-0000-0000-00004A070000}"/>
    <cellStyle name="Comma 2 3 3 7 2 2" xfId="768" xr:uid="{00000000-0005-0000-0000-00004B070000}"/>
    <cellStyle name="Comma 2 3 3 7 2 2 2" xfId="7915" xr:uid="{00000000-0005-0000-0000-00004C070000}"/>
    <cellStyle name="Comma 2 3 3 7 2 3" xfId="7914" xr:uid="{00000000-0005-0000-0000-00004D070000}"/>
    <cellStyle name="Comma 2 3 3 7 2 4" xfId="5148" xr:uid="{00000000-0005-0000-0000-00004E070000}"/>
    <cellStyle name="Comma 2 3 3 7 3" xfId="769" xr:uid="{00000000-0005-0000-0000-00004F070000}"/>
    <cellStyle name="Comma 2 3 3 7 3 2" xfId="770" xr:uid="{00000000-0005-0000-0000-000050070000}"/>
    <cellStyle name="Comma 2 3 3 7 3 2 2" xfId="7917" xr:uid="{00000000-0005-0000-0000-000051070000}"/>
    <cellStyle name="Comma 2 3 3 7 3 3" xfId="7916" xr:uid="{00000000-0005-0000-0000-000052070000}"/>
    <cellStyle name="Comma 2 3 3 7 3 4" xfId="5149" xr:uid="{00000000-0005-0000-0000-000053070000}"/>
    <cellStyle name="Comma 2 3 3 7 4" xfId="771" xr:uid="{00000000-0005-0000-0000-000054070000}"/>
    <cellStyle name="Comma 2 3 3 7 4 2" xfId="7918" xr:uid="{00000000-0005-0000-0000-000055070000}"/>
    <cellStyle name="Comma 2 3 3 7 5" xfId="7913" xr:uid="{00000000-0005-0000-0000-000056070000}"/>
    <cellStyle name="Comma 2 3 3 7 6" xfId="5147" xr:uid="{00000000-0005-0000-0000-000057070000}"/>
    <cellStyle name="Comma 2 3 3 8" xfId="772" xr:uid="{00000000-0005-0000-0000-000058070000}"/>
    <cellStyle name="Comma 2 3 3 8 2" xfId="773" xr:uid="{00000000-0005-0000-0000-000059070000}"/>
    <cellStyle name="Comma 2 3 3 8 2 2" xfId="774" xr:uid="{00000000-0005-0000-0000-00005A070000}"/>
    <cellStyle name="Comma 2 3 3 8 2 2 2" xfId="7921" xr:uid="{00000000-0005-0000-0000-00005B070000}"/>
    <cellStyle name="Comma 2 3 3 8 2 3" xfId="7920" xr:uid="{00000000-0005-0000-0000-00005C070000}"/>
    <cellStyle name="Comma 2 3 3 8 2 4" xfId="5151" xr:uid="{00000000-0005-0000-0000-00005D070000}"/>
    <cellStyle name="Comma 2 3 3 8 3" xfId="775" xr:uid="{00000000-0005-0000-0000-00005E070000}"/>
    <cellStyle name="Comma 2 3 3 8 3 2" xfId="7922" xr:uid="{00000000-0005-0000-0000-00005F070000}"/>
    <cellStyle name="Comma 2 3 3 8 4" xfId="7919" xr:uid="{00000000-0005-0000-0000-000060070000}"/>
    <cellStyle name="Comma 2 3 3 8 5" xfId="5150" xr:uid="{00000000-0005-0000-0000-000061070000}"/>
    <cellStyle name="Comma 2 3 3 9" xfId="776" xr:uid="{00000000-0005-0000-0000-000062070000}"/>
    <cellStyle name="Comma 2 3 3 9 2" xfId="777" xr:uid="{00000000-0005-0000-0000-000063070000}"/>
    <cellStyle name="Comma 2 3 3 9 2 2" xfId="7924" xr:uid="{00000000-0005-0000-0000-000064070000}"/>
    <cellStyle name="Comma 2 3 3 9 3" xfId="7923" xr:uid="{00000000-0005-0000-0000-000065070000}"/>
    <cellStyle name="Comma 2 3 3 9 4" xfId="5152" xr:uid="{00000000-0005-0000-0000-000066070000}"/>
    <cellStyle name="Comma 2 3 4" xfId="778" xr:uid="{00000000-0005-0000-0000-000067070000}"/>
    <cellStyle name="Comma 2 3 4 10" xfId="779" xr:uid="{00000000-0005-0000-0000-000068070000}"/>
    <cellStyle name="Comma 2 3 4 10 2" xfId="780" xr:uid="{00000000-0005-0000-0000-000069070000}"/>
    <cellStyle name="Comma 2 3 4 10 2 2" xfId="7927" xr:uid="{00000000-0005-0000-0000-00006A070000}"/>
    <cellStyle name="Comma 2 3 4 10 3" xfId="7926" xr:uid="{00000000-0005-0000-0000-00006B070000}"/>
    <cellStyle name="Comma 2 3 4 10 4" xfId="5154" xr:uid="{00000000-0005-0000-0000-00006C070000}"/>
    <cellStyle name="Comma 2 3 4 11" xfId="781" xr:uid="{00000000-0005-0000-0000-00006D070000}"/>
    <cellStyle name="Comma 2 3 4 11 2" xfId="7928" xr:uid="{00000000-0005-0000-0000-00006E070000}"/>
    <cellStyle name="Comma 2 3 4 12" xfId="7925" xr:uid="{00000000-0005-0000-0000-00006F070000}"/>
    <cellStyle name="Comma 2 3 4 13" xfId="5153" xr:uid="{00000000-0005-0000-0000-000070070000}"/>
    <cellStyle name="Comma 2 3 4 2" xfId="782" xr:uid="{00000000-0005-0000-0000-000071070000}"/>
    <cellStyle name="Comma 2 3 4 2 10" xfId="783" xr:uid="{00000000-0005-0000-0000-000072070000}"/>
    <cellStyle name="Comma 2 3 4 2 10 2" xfId="7930" xr:uid="{00000000-0005-0000-0000-000073070000}"/>
    <cellStyle name="Comma 2 3 4 2 11" xfId="7929" xr:uid="{00000000-0005-0000-0000-000074070000}"/>
    <cellStyle name="Comma 2 3 4 2 12" xfId="5155" xr:uid="{00000000-0005-0000-0000-000075070000}"/>
    <cellStyle name="Comma 2 3 4 2 2" xfId="784" xr:uid="{00000000-0005-0000-0000-000076070000}"/>
    <cellStyle name="Comma 2 3 4 2 2 2" xfId="785" xr:uid="{00000000-0005-0000-0000-000077070000}"/>
    <cellStyle name="Comma 2 3 4 2 2 2 2" xfId="786" xr:uid="{00000000-0005-0000-0000-000078070000}"/>
    <cellStyle name="Comma 2 3 4 2 2 2 2 2" xfId="787" xr:uid="{00000000-0005-0000-0000-000079070000}"/>
    <cellStyle name="Comma 2 3 4 2 2 2 2 2 2" xfId="7934" xr:uid="{00000000-0005-0000-0000-00007A070000}"/>
    <cellStyle name="Comma 2 3 4 2 2 2 2 3" xfId="7933" xr:uid="{00000000-0005-0000-0000-00007B070000}"/>
    <cellStyle name="Comma 2 3 4 2 2 2 2 4" xfId="5158" xr:uid="{00000000-0005-0000-0000-00007C070000}"/>
    <cellStyle name="Comma 2 3 4 2 2 2 3" xfId="788" xr:uid="{00000000-0005-0000-0000-00007D070000}"/>
    <cellStyle name="Comma 2 3 4 2 2 2 3 2" xfId="7935" xr:uid="{00000000-0005-0000-0000-00007E070000}"/>
    <cellStyle name="Comma 2 3 4 2 2 2 4" xfId="7932" xr:uid="{00000000-0005-0000-0000-00007F070000}"/>
    <cellStyle name="Comma 2 3 4 2 2 2 5" xfId="5157" xr:uid="{00000000-0005-0000-0000-000080070000}"/>
    <cellStyle name="Comma 2 3 4 2 2 3" xfId="789" xr:uid="{00000000-0005-0000-0000-000081070000}"/>
    <cellStyle name="Comma 2 3 4 2 2 3 2" xfId="790" xr:uid="{00000000-0005-0000-0000-000082070000}"/>
    <cellStyle name="Comma 2 3 4 2 2 3 2 2" xfId="7937" xr:uid="{00000000-0005-0000-0000-000083070000}"/>
    <cellStyle name="Comma 2 3 4 2 2 3 3" xfId="7936" xr:uid="{00000000-0005-0000-0000-000084070000}"/>
    <cellStyle name="Comma 2 3 4 2 2 3 4" xfId="5159" xr:uid="{00000000-0005-0000-0000-000085070000}"/>
    <cellStyle name="Comma 2 3 4 2 2 4" xfId="791" xr:uid="{00000000-0005-0000-0000-000086070000}"/>
    <cellStyle name="Comma 2 3 4 2 2 4 2" xfId="792" xr:uid="{00000000-0005-0000-0000-000087070000}"/>
    <cellStyle name="Comma 2 3 4 2 2 4 2 2" xfId="7939" xr:uid="{00000000-0005-0000-0000-000088070000}"/>
    <cellStyle name="Comma 2 3 4 2 2 4 3" xfId="7938" xr:uid="{00000000-0005-0000-0000-000089070000}"/>
    <cellStyle name="Comma 2 3 4 2 2 4 4" xfId="5160" xr:uid="{00000000-0005-0000-0000-00008A070000}"/>
    <cellStyle name="Comma 2 3 4 2 2 5" xfId="793" xr:uid="{00000000-0005-0000-0000-00008B070000}"/>
    <cellStyle name="Comma 2 3 4 2 2 5 2" xfId="7940" xr:uid="{00000000-0005-0000-0000-00008C070000}"/>
    <cellStyle name="Comma 2 3 4 2 2 6" xfId="7931" xr:uid="{00000000-0005-0000-0000-00008D070000}"/>
    <cellStyle name="Comma 2 3 4 2 2 7" xfId="5156" xr:uid="{00000000-0005-0000-0000-00008E070000}"/>
    <cellStyle name="Comma 2 3 4 2 3" xfId="794" xr:uid="{00000000-0005-0000-0000-00008F070000}"/>
    <cellStyle name="Comma 2 3 4 2 3 2" xfId="795" xr:uid="{00000000-0005-0000-0000-000090070000}"/>
    <cellStyle name="Comma 2 3 4 2 3 2 2" xfId="796" xr:uid="{00000000-0005-0000-0000-000091070000}"/>
    <cellStyle name="Comma 2 3 4 2 3 2 2 2" xfId="797" xr:uid="{00000000-0005-0000-0000-000092070000}"/>
    <cellStyle name="Comma 2 3 4 2 3 2 2 2 2" xfId="7944" xr:uid="{00000000-0005-0000-0000-000093070000}"/>
    <cellStyle name="Comma 2 3 4 2 3 2 2 3" xfId="7943" xr:uid="{00000000-0005-0000-0000-000094070000}"/>
    <cellStyle name="Comma 2 3 4 2 3 2 2 4" xfId="5163" xr:uid="{00000000-0005-0000-0000-000095070000}"/>
    <cellStyle name="Comma 2 3 4 2 3 2 3" xfId="798" xr:uid="{00000000-0005-0000-0000-000096070000}"/>
    <cellStyle name="Comma 2 3 4 2 3 2 3 2" xfId="7945" xr:uid="{00000000-0005-0000-0000-000097070000}"/>
    <cellStyle name="Comma 2 3 4 2 3 2 4" xfId="7942" xr:uid="{00000000-0005-0000-0000-000098070000}"/>
    <cellStyle name="Comma 2 3 4 2 3 2 5" xfId="5162" xr:uid="{00000000-0005-0000-0000-000099070000}"/>
    <cellStyle name="Comma 2 3 4 2 3 3" xfId="799" xr:uid="{00000000-0005-0000-0000-00009A070000}"/>
    <cellStyle name="Comma 2 3 4 2 3 3 2" xfId="800" xr:uid="{00000000-0005-0000-0000-00009B070000}"/>
    <cellStyle name="Comma 2 3 4 2 3 3 2 2" xfId="7947" xr:uid="{00000000-0005-0000-0000-00009C070000}"/>
    <cellStyle name="Comma 2 3 4 2 3 3 3" xfId="7946" xr:uid="{00000000-0005-0000-0000-00009D070000}"/>
    <cellStyle name="Comma 2 3 4 2 3 3 4" xfId="5164" xr:uid="{00000000-0005-0000-0000-00009E070000}"/>
    <cellStyle name="Comma 2 3 4 2 3 4" xfId="801" xr:uid="{00000000-0005-0000-0000-00009F070000}"/>
    <cellStyle name="Comma 2 3 4 2 3 4 2" xfId="802" xr:uid="{00000000-0005-0000-0000-0000A0070000}"/>
    <cellStyle name="Comma 2 3 4 2 3 4 2 2" xfId="7949" xr:uid="{00000000-0005-0000-0000-0000A1070000}"/>
    <cellStyle name="Comma 2 3 4 2 3 4 3" xfId="7948" xr:uid="{00000000-0005-0000-0000-0000A2070000}"/>
    <cellStyle name="Comma 2 3 4 2 3 4 4" xfId="5165" xr:uid="{00000000-0005-0000-0000-0000A3070000}"/>
    <cellStyle name="Comma 2 3 4 2 3 5" xfId="803" xr:uid="{00000000-0005-0000-0000-0000A4070000}"/>
    <cellStyle name="Comma 2 3 4 2 3 5 2" xfId="7950" xr:uid="{00000000-0005-0000-0000-0000A5070000}"/>
    <cellStyle name="Comma 2 3 4 2 3 6" xfId="7941" xr:uid="{00000000-0005-0000-0000-0000A6070000}"/>
    <cellStyle name="Comma 2 3 4 2 3 7" xfId="5161" xr:uid="{00000000-0005-0000-0000-0000A7070000}"/>
    <cellStyle name="Comma 2 3 4 2 4" xfId="804" xr:uid="{00000000-0005-0000-0000-0000A8070000}"/>
    <cellStyle name="Comma 2 3 4 2 4 2" xfId="805" xr:uid="{00000000-0005-0000-0000-0000A9070000}"/>
    <cellStyle name="Comma 2 3 4 2 4 2 2" xfId="806" xr:uid="{00000000-0005-0000-0000-0000AA070000}"/>
    <cellStyle name="Comma 2 3 4 2 4 2 2 2" xfId="807" xr:uid="{00000000-0005-0000-0000-0000AB070000}"/>
    <cellStyle name="Comma 2 3 4 2 4 2 2 2 2" xfId="7954" xr:uid="{00000000-0005-0000-0000-0000AC070000}"/>
    <cellStyle name="Comma 2 3 4 2 4 2 2 3" xfId="7953" xr:uid="{00000000-0005-0000-0000-0000AD070000}"/>
    <cellStyle name="Comma 2 3 4 2 4 2 2 4" xfId="5168" xr:uid="{00000000-0005-0000-0000-0000AE070000}"/>
    <cellStyle name="Comma 2 3 4 2 4 2 3" xfId="808" xr:uid="{00000000-0005-0000-0000-0000AF070000}"/>
    <cellStyle name="Comma 2 3 4 2 4 2 3 2" xfId="7955" xr:uid="{00000000-0005-0000-0000-0000B0070000}"/>
    <cellStyle name="Comma 2 3 4 2 4 2 4" xfId="7952" xr:uid="{00000000-0005-0000-0000-0000B1070000}"/>
    <cellStyle name="Comma 2 3 4 2 4 2 5" xfId="5167" xr:uid="{00000000-0005-0000-0000-0000B2070000}"/>
    <cellStyle name="Comma 2 3 4 2 4 3" xfId="809" xr:uid="{00000000-0005-0000-0000-0000B3070000}"/>
    <cellStyle name="Comma 2 3 4 2 4 3 2" xfId="810" xr:uid="{00000000-0005-0000-0000-0000B4070000}"/>
    <cellStyle name="Comma 2 3 4 2 4 3 2 2" xfId="7957" xr:uid="{00000000-0005-0000-0000-0000B5070000}"/>
    <cellStyle name="Comma 2 3 4 2 4 3 3" xfId="7956" xr:uid="{00000000-0005-0000-0000-0000B6070000}"/>
    <cellStyle name="Comma 2 3 4 2 4 3 4" xfId="5169" xr:uid="{00000000-0005-0000-0000-0000B7070000}"/>
    <cellStyle name="Comma 2 3 4 2 4 4" xfId="811" xr:uid="{00000000-0005-0000-0000-0000B8070000}"/>
    <cellStyle name="Comma 2 3 4 2 4 4 2" xfId="812" xr:uid="{00000000-0005-0000-0000-0000B9070000}"/>
    <cellStyle name="Comma 2 3 4 2 4 4 2 2" xfId="7959" xr:uid="{00000000-0005-0000-0000-0000BA070000}"/>
    <cellStyle name="Comma 2 3 4 2 4 4 3" xfId="7958" xr:uid="{00000000-0005-0000-0000-0000BB070000}"/>
    <cellStyle name="Comma 2 3 4 2 4 4 4" xfId="5170" xr:uid="{00000000-0005-0000-0000-0000BC070000}"/>
    <cellStyle name="Comma 2 3 4 2 4 5" xfId="813" xr:uid="{00000000-0005-0000-0000-0000BD070000}"/>
    <cellStyle name="Comma 2 3 4 2 4 5 2" xfId="7960" xr:uid="{00000000-0005-0000-0000-0000BE070000}"/>
    <cellStyle name="Comma 2 3 4 2 4 6" xfId="7951" xr:uid="{00000000-0005-0000-0000-0000BF070000}"/>
    <cellStyle name="Comma 2 3 4 2 4 7" xfId="5166" xr:uid="{00000000-0005-0000-0000-0000C0070000}"/>
    <cellStyle name="Comma 2 3 4 2 5" xfId="814" xr:uid="{00000000-0005-0000-0000-0000C1070000}"/>
    <cellStyle name="Comma 2 3 4 2 5 2" xfId="815" xr:uid="{00000000-0005-0000-0000-0000C2070000}"/>
    <cellStyle name="Comma 2 3 4 2 5 2 2" xfId="816" xr:uid="{00000000-0005-0000-0000-0000C3070000}"/>
    <cellStyle name="Comma 2 3 4 2 5 2 2 2" xfId="817" xr:uid="{00000000-0005-0000-0000-0000C4070000}"/>
    <cellStyle name="Comma 2 3 4 2 5 2 2 2 2" xfId="7964" xr:uid="{00000000-0005-0000-0000-0000C5070000}"/>
    <cellStyle name="Comma 2 3 4 2 5 2 2 3" xfId="7963" xr:uid="{00000000-0005-0000-0000-0000C6070000}"/>
    <cellStyle name="Comma 2 3 4 2 5 2 2 4" xfId="5173" xr:uid="{00000000-0005-0000-0000-0000C7070000}"/>
    <cellStyle name="Comma 2 3 4 2 5 2 3" xfId="818" xr:uid="{00000000-0005-0000-0000-0000C8070000}"/>
    <cellStyle name="Comma 2 3 4 2 5 2 3 2" xfId="7965" xr:uid="{00000000-0005-0000-0000-0000C9070000}"/>
    <cellStyle name="Comma 2 3 4 2 5 2 4" xfId="7962" xr:uid="{00000000-0005-0000-0000-0000CA070000}"/>
    <cellStyle name="Comma 2 3 4 2 5 2 5" xfId="5172" xr:uid="{00000000-0005-0000-0000-0000CB070000}"/>
    <cellStyle name="Comma 2 3 4 2 5 3" xfId="819" xr:uid="{00000000-0005-0000-0000-0000CC070000}"/>
    <cellStyle name="Comma 2 3 4 2 5 3 2" xfId="820" xr:uid="{00000000-0005-0000-0000-0000CD070000}"/>
    <cellStyle name="Comma 2 3 4 2 5 3 2 2" xfId="7967" xr:uid="{00000000-0005-0000-0000-0000CE070000}"/>
    <cellStyle name="Comma 2 3 4 2 5 3 3" xfId="7966" xr:uid="{00000000-0005-0000-0000-0000CF070000}"/>
    <cellStyle name="Comma 2 3 4 2 5 3 4" xfId="5174" xr:uid="{00000000-0005-0000-0000-0000D0070000}"/>
    <cellStyle name="Comma 2 3 4 2 5 4" xfId="821" xr:uid="{00000000-0005-0000-0000-0000D1070000}"/>
    <cellStyle name="Comma 2 3 4 2 5 4 2" xfId="822" xr:uid="{00000000-0005-0000-0000-0000D2070000}"/>
    <cellStyle name="Comma 2 3 4 2 5 4 2 2" xfId="7969" xr:uid="{00000000-0005-0000-0000-0000D3070000}"/>
    <cellStyle name="Comma 2 3 4 2 5 4 3" xfId="7968" xr:uid="{00000000-0005-0000-0000-0000D4070000}"/>
    <cellStyle name="Comma 2 3 4 2 5 4 4" xfId="5175" xr:uid="{00000000-0005-0000-0000-0000D5070000}"/>
    <cellStyle name="Comma 2 3 4 2 5 5" xfId="823" xr:uid="{00000000-0005-0000-0000-0000D6070000}"/>
    <cellStyle name="Comma 2 3 4 2 5 5 2" xfId="7970" xr:uid="{00000000-0005-0000-0000-0000D7070000}"/>
    <cellStyle name="Comma 2 3 4 2 5 6" xfId="7961" xr:uid="{00000000-0005-0000-0000-0000D8070000}"/>
    <cellStyle name="Comma 2 3 4 2 5 7" xfId="5171" xr:uid="{00000000-0005-0000-0000-0000D9070000}"/>
    <cellStyle name="Comma 2 3 4 2 6" xfId="824" xr:uid="{00000000-0005-0000-0000-0000DA070000}"/>
    <cellStyle name="Comma 2 3 4 2 6 2" xfId="825" xr:uid="{00000000-0005-0000-0000-0000DB070000}"/>
    <cellStyle name="Comma 2 3 4 2 6 2 2" xfId="826" xr:uid="{00000000-0005-0000-0000-0000DC070000}"/>
    <cellStyle name="Comma 2 3 4 2 6 2 2 2" xfId="7973" xr:uid="{00000000-0005-0000-0000-0000DD070000}"/>
    <cellStyle name="Comma 2 3 4 2 6 2 3" xfId="7972" xr:uid="{00000000-0005-0000-0000-0000DE070000}"/>
    <cellStyle name="Comma 2 3 4 2 6 2 4" xfId="5177" xr:uid="{00000000-0005-0000-0000-0000DF070000}"/>
    <cellStyle name="Comma 2 3 4 2 6 3" xfId="827" xr:uid="{00000000-0005-0000-0000-0000E0070000}"/>
    <cellStyle name="Comma 2 3 4 2 6 3 2" xfId="828" xr:uid="{00000000-0005-0000-0000-0000E1070000}"/>
    <cellStyle name="Comma 2 3 4 2 6 3 2 2" xfId="7975" xr:uid="{00000000-0005-0000-0000-0000E2070000}"/>
    <cellStyle name="Comma 2 3 4 2 6 3 3" xfId="7974" xr:uid="{00000000-0005-0000-0000-0000E3070000}"/>
    <cellStyle name="Comma 2 3 4 2 6 3 4" xfId="5178" xr:uid="{00000000-0005-0000-0000-0000E4070000}"/>
    <cellStyle name="Comma 2 3 4 2 6 4" xfId="829" xr:uid="{00000000-0005-0000-0000-0000E5070000}"/>
    <cellStyle name="Comma 2 3 4 2 6 4 2" xfId="7976" xr:uid="{00000000-0005-0000-0000-0000E6070000}"/>
    <cellStyle name="Comma 2 3 4 2 6 5" xfId="7971" xr:uid="{00000000-0005-0000-0000-0000E7070000}"/>
    <cellStyle name="Comma 2 3 4 2 6 6" xfId="5176" xr:uid="{00000000-0005-0000-0000-0000E8070000}"/>
    <cellStyle name="Comma 2 3 4 2 7" xfId="830" xr:uid="{00000000-0005-0000-0000-0000E9070000}"/>
    <cellStyle name="Comma 2 3 4 2 7 2" xfId="831" xr:uid="{00000000-0005-0000-0000-0000EA070000}"/>
    <cellStyle name="Comma 2 3 4 2 7 2 2" xfId="832" xr:uid="{00000000-0005-0000-0000-0000EB070000}"/>
    <cellStyle name="Comma 2 3 4 2 7 2 2 2" xfId="7979" xr:uid="{00000000-0005-0000-0000-0000EC070000}"/>
    <cellStyle name="Comma 2 3 4 2 7 2 3" xfId="7978" xr:uid="{00000000-0005-0000-0000-0000ED070000}"/>
    <cellStyle name="Comma 2 3 4 2 7 2 4" xfId="5180" xr:uid="{00000000-0005-0000-0000-0000EE070000}"/>
    <cellStyle name="Comma 2 3 4 2 7 3" xfId="833" xr:uid="{00000000-0005-0000-0000-0000EF070000}"/>
    <cellStyle name="Comma 2 3 4 2 7 3 2" xfId="7980" xr:uid="{00000000-0005-0000-0000-0000F0070000}"/>
    <cellStyle name="Comma 2 3 4 2 7 4" xfId="7977" xr:uid="{00000000-0005-0000-0000-0000F1070000}"/>
    <cellStyle name="Comma 2 3 4 2 7 5" xfId="5179" xr:uid="{00000000-0005-0000-0000-0000F2070000}"/>
    <cellStyle name="Comma 2 3 4 2 8" xfId="834" xr:uid="{00000000-0005-0000-0000-0000F3070000}"/>
    <cellStyle name="Comma 2 3 4 2 8 2" xfId="835" xr:uid="{00000000-0005-0000-0000-0000F4070000}"/>
    <cellStyle name="Comma 2 3 4 2 8 2 2" xfId="7982" xr:uid="{00000000-0005-0000-0000-0000F5070000}"/>
    <cellStyle name="Comma 2 3 4 2 8 3" xfId="7981" xr:uid="{00000000-0005-0000-0000-0000F6070000}"/>
    <cellStyle name="Comma 2 3 4 2 8 4" xfId="5181" xr:uid="{00000000-0005-0000-0000-0000F7070000}"/>
    <cellStyle name="Comma 2 3 4 2 9" xfId="836" xr:uid="{00000000-0005-0000-0000-0000F8070000}"/>
    <cellStyle name="Comma 2 3 4 2 9 2" xfId="837" xr:uid="{00000000-0005-0000-0000-0000F9070000}"/>
    <cellStyle name="Comma 2 3 4 2 9 2 2" xfId="7984" xr:uid="{00000000-0005-0000-0000-0000FA070000}"/>
    <cellStyle name="Comma 2 3 4 2 9 3" xfId="7983" xr:uid="{00000000-0005-0000-0000-0000FB070000}"/>
    <cellStyle name="Comma 2 3 4 2 9 4" xfId="5182" xr:uid="{00000000-0005-0000-0000-0000FC070000}"/>
    <cellStyle name="Comma 2 3 4 3" xfId="838" xr:uid="{00000000-0005-0000-0000-0000FD070000}"/>
    <cellStyle name="Comma 2 3 4 3 2" xfId="839" xr:uid="{00000000-0005-0000-0000-0000FE070000}"/>
    <cellStyle name="Comma 2 3 4 3 2 2" xfId="840" xr:uid="{00000000-0005-0000-0000-0000FF070000}"/>
    <cellStyle name="Comma 2 3 4 3 2 2 2" xfId="841" xr:uid="{00000000-0005-0000-0000-000000080000}"/>
    <cellStyle name="Comma 2 3 4 3 2 2 2 2" xfId="7988" xr:uid="{00000000-0005-0000-0000-000001080000}"/>
    <cellStyle name="Comma 2 3 4 3 2 2 3" xfId="7987" xr:uid="{00000000-0005-0000-0000-000002080000}"/>
    <cellStyle name="Comma 2 3 4 3 2 2 4" xfId="5185" xr:uid="{00000000-0005-0000-0000-000003080000}"/>
    <cellStyle name="Comma 2 3 4 3 2 3" xfId="842" xr:uid="{00000000-0005-0000-0000-000004080000}"/>
    <cellStyle name="Comma 2 3 4 3 2 3 2" xfId="7989" xr:uid="{00000000-0005-0000-0000-000005080000}"/>
    <cellStyle name="Comma 2 3 4 3 2 4" xfId="7986" xr:uid="{00000000-0005-0000-0000-000006080000}"/>
    <cellStyle name="Comma 2 3 4 3 2 5" xfId="5184" xr:uid="{00000000-0005-0000-0000-000007080000}"/>
    <cellStyle name="Comma 2 3 4 3 3" xfId="843" xr:uid="{00000000-0005-0000-0000-000008080000}"/>
    <cellStyle name="Comma 2 3 4 3 3 2" xfId="844" xr:uid="{00000000-0005-0000-0000-000009080000}"/>
    <cellStyle name="Comma 2 3 4 3 3 2 2" xfId="7991" xr:uid="{00000000-0005-0000-0000-00000A080000}"/>
    <cellStyle name="Comma 2 3 4 3 3 3" xfId="7990" xr:uid="{00000000-0005-0000-0000-00000B080000}"/>
    <cellStyle name="Comma 2 3 4 3 3 4" xfId="5186" xr:uid="{00000000-0005-0000-0000-00000C080000}"/>
    <cellStyle name="Comma 2 3 4 3 4" xfId="845" xr:uid="{00000000-0005-0000-0000-00000D080000}"/>
    <cellStyle name="Comma 2 3 4 3 4 2" xfId="846" xr:uid="{00000000-0005-0000-0000-00000E080000}"/>
    <cellStyle name="Comma 2 3 4 3 4 2 2" xfId="7993" xr:uid="{00000000-0005-0000-0000-00000F080000}"/>
    <cellStyle name="Comma 2 3 4 3 4 3" xfId="7992" xr:uid="{00000000-0005-0000-0000-000010080000}"/>
    <cellStyle name="Comma 2 3 4 3 4 4" xfId="5187" xr:uid="{00000000-0005-0000-0000-000011080000}"/>
    <cellStyle name="Comma 2 3 4 3 5" xfId="847" xr:uid="{00000000-0005-0000-0000-000012080000}"/>
    <cellStyle name="Comma 2 3 4 3 5 2" xfId="7994" xr:uid="{00000000-0005-0000-0000-000013080000}"/>
    <cellStyle name="Comma 2 3 4 3 6" xfId="7985" xr:uid="{00000000-0005-0000-0000-000014080000}"/>
    <cellStyle name="Comma 2 3 4 3 7" xfId="5183" xr:uid="{00000000-0005-0000-0000-000015080000}"/>
    <cellStyle name="Comma 2 3 4 4" xfId="848" xr:uid="{00000000-0005-0000-0000-000016080000}"/>
    <cellStyle name="Comma 2 3 4 4 2" xfId="849" xr:uid="{00000000-0005-0000-0000-000017080000}"/>
    <cellStyle name="Comma 2 3 4 4 2 2" xfId="850" xr:uid="{00000000-0005-0000-0000-000018080000}"/>
    <cellStyle name="Comma 2 3 4 4 2 2 2" xfId="851" xr:uid="{00000000-0005-0000-0000-000019080000}"/>
    <cellStyle name="Comma 2 3 4 4 2 2 2 2" xfId="7998" xr:uid="{00000000-0005-0000-0000-00001A080000}"/>
    <cellStyle name="Comma 2 3 4 4 2 2 3" xfId="7997" xr:uid="{00000000-0005-0000-0000-00001B080000}"/>
    <cellStyle name="Comma 2 3 4 4 2 2 4" xfId="5190" xr:uid="{00000000-0005-0000-0000-00001C080000}"/>
    <cellStyle name="Comma 2 3 4 4 2 3" xfId="852" xr:uid="{00000000-0005-0000-0000-00001D080000}"/>
    <cellStyle name="Comma 2 3 4 4 2 3 2" xfId="7999" xr:uid="{00000000-0005-0000-0000-00001E080000}"/>
    <cellStyle name="Comma 2 3 4 4 2 4" xfId="7996" xr:uid="{00000000-0005-0000-0000-00001F080000}"/>
    <cellStyle name="Comma 2 3 4 4 2 5" xfId="5189" xr:uid="{00000000-0005-0000-0000-000020080000}"/>
    <cellStyle name="Comma 2 3 4 4 3" xfId="853" xr:uid="{00000000-0005-0000-0000-000021080000}"/>
    <cellStyle name="Comma 2 3 4 4 3 2" xfId="854" xr:uid="{00000000-0005-0000-0000-000022080000}"/>
    <cellStyle name="Comma 2 3 4 4 3 2 2" xfId="8001" xr:uid="{00000000-0005-0000-0000-000023080000}"/>
    <cellStyle name="Comma 2 3 4 4 3 3" xfId="8000" xr:uid="{00000000-0005-0000-0000-000024080000}"/>
    <cellStyle name="Comma 2 3 4 4 3 4" xfId="5191" xr:uid="{00000000-0005-0000-0000-000025080000}"/>
    <cellStyle name="Comma 2 3 4 4 4" xfId="855" xr:uid="{00000000-0005-0000-0000-000026080000}"/>
    <cellStyle name="Comma 2 3 4 4 4 2" xfId="856" xr:uid="{00000000-0005-0000-0000-000027080000}"/>
    <cellStyle name="Comma 2 3 4 4 4 2 2" xfId="8003" xr:uid="{00000000-0005-0000-0000-000028080000}"/>
    <cellStyle name="Comma 2 3 4 4 4 3" xfId="8002" xr:uid="{00000000-0005-0000-0000-000029080000}"/>
    <cellStyle name="Comma 2 3 4 4 4 4" xfId="5192" xr:uid="{00000000-0005-0000-0000-00002A080000}"/>
    <cellStyle name="Comma 2 3 4 4 5" xfId="857" xr:uid="{00000000-0005-0000-0000-00002B080000}"/>
    <cellStyle name="Comma 2 3 4 4 5 2" xfId="8004" xr:uid="{00000000-0005-0000-0000-00002C080000}"/>
    <cellStyle name="Comma 2 3 4 4 6" xfId="7995" xr:uid="{00000000-0005-0000-0000-00002D080000}"/>
    <cellStyle name="Comma 2 3 4 4 7" xfId="5188" xr:uid="{00000000-0005-0000-0000-00002E080000}"/>
    <cellStyle name="Comma 2 3 4 5" xfId="858" xr:uid="{00000000-0005-0000-0000-00002F080000}"/>
    <cellStyle name="Comma 2 3 4 5 2" xfId="859" xr:uid="{00000000-0005-0000-0000-000030080000}"/>
    <cellStyle name="Comma 2 3 4 5 2 2" xfId="860" xr:uid="{00000000-0005-0000-0000-000031080000}"/>
    <cellStyle name="Comma 2 3 4 5 2 2 2" xfId="861" xr:uid="{00000000-0005-0000-0000-000032080000}"/>
    <cellStyle name="Comma 2 3 4 5 2 2 2 2" xfId="8008" xr:uid="{00000000-0005-0000-0000-000033080000}"/>
    <cellStyle name="Comma 2 3 4 5 2 2 3" xfId="8007" xr:uid="{00000000-0005-0000-0000-000034080000}"/>
    <cellStyle name="Comma 2 3 4 5 2 2 4" xfId="5195" xr:uid="{00000000-0005-0000-0000-000035080000}"/>
    <cellStyle name="Comma 2 3 4 5 2 3" xfId="862" xr:uid="{00000000-0005-0000-0000-000036080000}"/>
    <cellStyle name="Comma 2 3 4 5 2 3 2" xfId="8009" xr:uid="{00000000-0005-0000-0000-000037080000}"/>
    <cellStyle name="Comma 2 3 4 5 2 4" xfId="8006" xr:uid="{00000000-0005-0000-0000-000038080000}"/>
    <cellStyle name="Comma 2 3 4 5 2 5" xfId="5194" xr:uid="{00000000-0005-0000-0000-000039080000}"/>
    <cellStyle name="Comma 2 3 4 5 3" xfId="863" xr:uid="{00000000-0005-0000-0000-00003A080000}"/>
    <cellStyle name="Comma 2 3 4 5 3 2" xfId="864" xr:uid="{00000000-0005-0000-0000-00003B080000}"/>
    <cellStyle name="Comma 2 3 4 5 3 2 2" xfId="8011" xr:uid="{00000000-0005-0000-0000-00003C080000}"/>
    <cellStyle name="Comma 2 3 4 5 3 3" xfId="8010" xr:uid="{00000000-0005-0000-0000-00003D080000}"/>
    <cellStyle name="Comma 2 3 4 5 3 4" xfId="5196" xr:uid="{00000000-0005-0000-0000-00003E080000}"/>
    <cellStyle name="Comma 2 3 4 5 4" xfId="865" xr:uid="{00000000-0005-0000-0000-00003F080000}"/>
    <cellStyle name="Comma 2 3 4 5 4 2" xfId="866" xr:uid="{00000000-0005-0000-0000-000040080000}"/>
    <cellStyle name="Comma 2 3 4 5 4 2 2" xfId="8013" xr:uid="{00000000-0005-0000-0000-000041080000}"/>
    <cellStyle name="Comma 2 3 4 5 4 3" xfId="8012" xr:uid="{00000000-0005-0000-0000-000042080000}"/>
    <cellStyle name="Comma 2 3 4 5 4 4" xfId="5197" xr:uid="{00000000-0005-0000-0000-000043080000}"/>
    <cellStyle name="Comma 2 3 4 5 5" xfId="867" xr:uid="{00000000-0005-0000-0000-000044080000}"/>
    <cellStyle name="Comma 2 3 4 5 5 2" xfId="8014" xr:uid="{00000000-0005-0000-0000-000045080000}"/>
    <cellStyle name="Comma 2 3 4 5 6" xfId="8005" xr:uid="{00000000-0005-0000-0000-000046080000}"/>
    <cellStyle name="Comma 2 3 4 5 7" xfId="5193" xr:uid="{00000000-0005-0000-0000-000047080000}"/>
    <cellStyle name="Comma 2 3 4 6" xfId="868" xr:uid="{00000000-0005-0000-0000-000048080000}"/>
    <cellStyle name="Comma 2 3 4 6 2" xfId="869" xr:uid="{00000000-0005-0000-0000-000049080000}"/>
    <cellStyle name="Comma 2 3 4 6 2 2" xfId="870" xr:uid="{00000000-0005-0000-0000-00004A080000}"/>
    <cellStyle name="Comma 2 3 4 6 2 2 2" xfId="871" xr:uid="{00000000-0005-0000-0000-00004B080000}"/>
    <cellStyle name="Comma 2 3 4 6 2 2 2 2" xfId="8018" xr:uid="{00000000-0005-0000-0000-00004C080000}"/>
    <cellStyle name="Comma 2 3 4 6 2 2 3" xfId="8017" xr:uid="{00000000-0005-0000-0000-00004D080000}"/>
    <cellStyle name="Comma 2 3 4 6 2 2 4" xfId="5200" xr:uid="{00000000-0005-0000-0000-00004E080000}"/>
    <cellStyle name="Comma 2 3 4 6 2 3" xfId="872" xr:uid="{00000000-0005-0000-0000-00004F080000}"/>
    <cellStyle name="Comma 2 3 4 6 2 3 2" xfId="8019" xr:uid="{00000000-0005-0000-0000-000050080000}"/>
    <cellStyle name="Comma 2 3 4 6 2 4" xfId="8016" xr:uid="{00000000-0005-0000-0000-000051080000}"/>
    <cellStyle name="Comma 2 3 4 6 2 5" xfId="5199" xr:uid="{00000000-0005-0000-0000-000052080000}"/>
    <cellStyle name="Comma 2 3 4 6 3" xfId="873" xr:uid="{00000000-0005-0000-0000-000053080000}"/>
    <cellStyle name="Comma 2 3 4 6 3 2" xfId="874" xr:uid="{00000000-0005-0000-0000-000054080000}"/>
    <cellStyle name="Comma 2 3 4 6 3 2 2" xfId="8021" xr:uid="{00000000-0005-0000-0000-000055080000}"/>
    <cellStyle name="Comma 2 3 4 6 3 3" xfId="8020" xr:uid="{00000000-0005-0000-0000-000056080000}"/>
    <cellStyle name="Comma 2 3 4 6 3 4" xfId="5201" xr:uid="{00000000-0005-0000-0000-000057080000}"/>
    <cellStyle name="Comma 2 3 4 6 4" xfId="875" xr:uid="{00000000-0005-0000-0000-000058080000}"/>
    <cellStyle name="Comma 2 3 4 6 4 2" xfId="876" xr:uid="{00000000-0005-0000-0000-000059080000}"/>
    <cellStyle name="Comma 2 3 4 6 4 2 2" xfId="8023" xr:uid="{00000000-0005-0000-0000-00005A080000}"/>
    <cellStyle name="Comma 2 3 4 6 4 3" xfId="8022" xr:uid="{00000000-0005-0000-0000-00005B080000}"/>
    <cellStyle name="Comma 2 3 4 6 4 4" xfId="5202" xr:uid="{00000000-0005-0000-0000-00005C080000}"/>
    <cellStyle name="Comma 2 3 4 6 5" xfId="877" xr:uid="{00000000-0005-0000-0000-00005D080000}"/>
    <cellStyle name="Comma 2 3 4 6 5 2" xfId="8024" xr:uid="{00000000-0005-0000-0000-00005E080000}"/>
    <cellStyle name="Comma 2 3 4 6 6" xfId="8015" xr:uid="{00000000-0005-0000-0000-00005F080000}"/>
    <cellStyle name="Comma 2 3 4 6 7" xfId="5198" xr:uid="{00000000-0005-0000-0000-000060080000}"/>
    <cellStyle name="Comma 2 3 4 7" xfId="878" xr:uid="{00000000-0005-0000-0000-000061080000}"/>
    <cellStyle name="Comma 2 3 4 7 2" xfId="879" xr:uid="{00000000-0005-0000-0000-000062080000}"/>
    <cellStyle name="Comma 2 3 4 7 2 2" xfId="880" xr:uid="{00000000-0005-0000-0000-000063080000}"/>
    <cellStyle name="Comma 2 3 4 7 2 2 2" xfId="8027" xr:uid="{00000000-0005-0000-0000-000064080000}"/>
    <cellStyle name="Comma 2 3 4 7 2 3" xfId="8026" xr:uid="{00000000-0005-0000-0000-000065080000}"/>
    <cellStyle name="Comma 2 3 4 7 2 4" xfId="5204" xr:uid="{00000000-0005-0000-0000-000066080000}"/>
    <cellStyle name="Comma 2 3 4 7 3" xfId="881" xr:uid="{00000000-0005-0000-0000-000067080000}"/>
    <cellStyle name="Comma 2 3 4 7 3 2" xfId="882" xr:uid="{00000000-0005-0000-0000-000068080000}"/>
    <cellStyle name="Comma 2 3 4 7 3 2 2" xfId="8029" xr:uid="{00000000-0005-0000-0000-000069080000}"/>
    <cellStyle name="Comma 2 3 4 7 3 3" xfId="8028" xr:uid="{00000000-0005-0000-0000-00006A080000}"/>
    <cellStyle name="Comma 2 3 4 7 3 4" xfId="5205" xr:uid="{00000000-0005-0000-0000-00006B080000}"/>
    <cellStyle name="Comma 2 3 4 7 4" xfId="883" xr:uid="{00000000-0005-0000-0000-00006C080000}"/>
    <cellStyle name="Comma 2 3 4 7 4 2" xfId="8030" xr:uid="{00000000-0005-0000-0000-00006D080000}"/>
    <cellStyle name="Comma 2 3 4 7 5" xfId="8025" xr:uid="{00000000-0005-0000-0000-00006E080000}"/>
    <cellStyle name="Comma 2 3 4 7 6" xfId="5203" xr:uid="{00000000-0005-0000-0000-00006F080000}"/>
    <cellStyle name="Comma 2 3 4 8" xfId="884" xr:uid="{00000000-0005-0000-0000-000070080000}"/>
    <cellStyle name="Comma 2 3 4 8 2" xfId="885" xr:uid="{00000000-0005-0000-0000-000071080000}"/>
    <cellStyle name="Comma 2 3 4 8 2 2" xfId="886" xr:uid="{00000000-0005-0000-0000-000072080000}"/>
    <cellStyle name="Comma 2 3 4 8 2 2 2" xfId="8033" xr:uid="{00000000-0005-0000-0000-000073080000}"/>
    <cellStyle name="Comma 2 3 4 8 2 3" xfId="8032" xr:uid="{00000000-0005-0000-0000-000074080000}"/>
    <cellStyle name="Comma 2 3 4 8 2 4" xfId="5207" xr:uid="{00000000-0005-0000-0000-000075080000}"/>
    <cellStyle name="Comma 2 3 4 8 3" xfId="887" xr:uid="{00000000-0005-0000-0000-000076080000}"/>
    <cellStyle name="Comma 2 3 4 8 3 2" xfId="8034" xr:uid="{00000000-0005-0000-0000-000077080000}"/>
    <cellStyle name="Comma 2 3 4 8 4" xfId="8031" xr:uid="{00000000-0005-0000-0000-000078080000}"/>
    <cellStyle name="Comma 2 3 4 8 5" xfId="5206" xr:uid="{00000000-0005-0000-0000-000079080000}"/>
    <cellStyle name="Comma 2 3 4 9" xfId="888" xr:uid="{00000000-0005-0000-0000-00007A080000}"/>
    <cellStyle name="Comma 2 3 4 9 2" xfId="889" xr:uid="{00000000-0005-0000-0000-00007B080000}"/>
    <cellStyle name="Comma 2 3 4 9 2 2" xfId="8036" xr:uid="{00000000-0005-0000-0000-00007C080000}"/>
    <cellStyle name="Comma 2 3 4 9 3" xfId="8035" xr:uid="{00000000-0005-0000-0000-00007D080000}"/>
    <cellStyle name="Comma 2 3 4 9 4" xfId="5208" xr:uid="{00000000-0005-0000-0000-00007E080000}"/>
    <cellStyle name="Comma 2 3 5" xfId="890" xr:uid="{00000000-0005-0000-0000-00007F080000}"/>
    <cellStyle name="Comma 2 3 5 10" xfId="891" xr:uid="{00000000-0005-0000-0000-000080080000}"/>
    <cellStyle name="Comma 2 3 5 10 2" xfId="8038" xr:uid="{00000000-0005-0000-0000-000081080000}"/>
    <cellStyle name="Comma 2 3 5 11" xfId="8037" xr:uid="{00000000-0005-0000-0000-000082080000}"/>
    <cellStyle name="Comma 2 3 5 12" xfId="5209" xr:uid="{00000000-0005-0000-0000-000083080000}"/>
    <cellStyle name="Comma 2 3 5 2" xfId="892" xr:uid="{00000000-0005-0000-0000-000084080000}"/>
    <cellStyle name="Comma 2 3 5 2 2" xfId="893" xr:uid="{00000000-0005-0000-0000-000085080000}"/>
    <cellStyle name="Comma 2 3 5 2 2 2" xfId="894" xr:uid="{00000000-0005-0000-0000-000086080000}"/>
    <cellStyle name="Comma 2 3 5 2 2 2 2" xfId="895" xr:uid="{00000000-0005-0000-0000-000087080000}"/>
    <cellStyle name="Comma 2 3 5 2 2 2 2 2" xfId="8042" xr:uid="{00000000-0005-0000-0000-000088080000}"/>
    <cellStyle name="Comma 2 3 5 2 2 2 3" xfId="8041" xr:uid="{00000000-0005-0000-0000-000089080000}"/>
    <cellStyle name="Comma 2 3 5 2 2 2 4" xfId="5212" xr:uid="{00000000-0005-0000-0000-00008A080000}"/>
    <cellStyle name="Comma 2 3 5 2 2 3" xfId="896" xr:uid="{00000000-0005-0000-0000-00008B080000}"/>
    <cellStyle name="Comma 2 3 5 2 2 3 2" xfId="8043" xr:uid="{00000000-0005-0000-0000-00008C080000}"/>
    <cellStyle name="Comma 2 3 5 2 2 4" xfId="8040" xr:uid="{00000000-0005-0000-0000-00008D080000}"/>
    <cellStyle name="Comma 2 3 5 2 2 5" xfId="5211" xr:uid="{00000000-0005-0000-0000-00008E080000}"/>
    <cellStyle name="Comma 2 3 5 2 3" xfId="897" xr:uid="{00000000-0005-0000-0000-00008F080000}"/>
    <cellStyle name="Comma 2 3 5 2 3 2" xfId="898" xr:uid="{00000000-0005-0000-0000-000090080000}"/>
    <cellStyle name="Comma 2 3 5 2 3 2 2" xfId="8045" xr:uid="{00000000-0005-0000-0000-000091080000}"/>
    <cellStyle name="Comma 2 3 5 2 3 3" xfId="8044" xr:uid="{00000000-0005-0000-0000-000092080000}"/>
    <cellStyle name="Comma 2 3 5 2 3 4" xfId="5213" xr:uid="{00000000-0005-0000-0000-000093080000}"/>
    <cellStyle name="Comma 2 3 5 2 4" xfId="899" xr:uid="{00000000-0005-0000-0000-000094080000}"/>
    <cellStyle name="Comma 2 3 5 2 4 2" xfId="900" xr:uid="{00000000-0005-0000-0000-000095080000}"/>
    <cellStyle name="Comma 2 3 5 2 4 2 2" xfId="8047" xr:uid="{00000000-0005-0000-0000-000096080000}"/>
    <cellStyle name="Comma 2 3 5 2 4 3" xfId="8046" xr:uid="{00000000-0005-0000-0000-000097080000}"/>
    <cellStyle name="Comma 2 3 5 2 4 4" xfId="5214" xr:uid="{00000000-0005-0000-0000-000098080000}"/>
    <cellStyle name="Comma 2 3 5 2 5" xfId="901" xr:uid="{00000000-0005-0000-0000-000099080000}"/>
    <cellStyle name="Comma 2 3 5 2 5 2" xfId="8048" xr:uid="{00000000-0005-0000-0000-00009A080000}"/>
    <cellStyle name="Comma 2 3 5 2 6" xfId="8039" xr:uid="{00000000-0005-0000-0000-00009B080000}"/>
    <cellStyle name="Comma 2 3 5 2 7" xfId="5210" xr:uid="{00000000-0005-0000-0000-00009C080000}"/>
    <cellStyle name="Comma 2 3 5 3" xfId="902" xr:uid="{00000000-0005-0000-0000-00009D080000}"/>
    <cellStyle name="Comma 2 3 5 3 2" xfId="903" xr:uid="{00000000-0005-0000-0000-00009E080000}"/>
    <cellStyle name="Comma 2 3 5 3 2 2" xfId="904" xr:uid="{00000000-0005-0000-0000-00009F080000}"/>
    <cellStyle name="Comma 2 3 5 3 2 2 2" xfId="905" xr:uid="{00000000-0005-0000-0000-0000A0080000}"/>
    <cellStyle name="Comma 2 3 5 3 2 2 2 2" xfId="8052" xr:uid="{00000000-0005-0000-0000-0000A1080000}"/>
    <cellStyle name="Comma 2 3 5 3 2 2 3" xfId="8051" xr:uid="{00000000-0005-0000-0000-0000A2080000}"/>
    <cellStyle name="Comma 2 3 5 3 2 2 4" xfId="5217" xr:uid="{00000000-0005-0000-0000-0000A3080000}"/>
    <cellStyle name="Comma 2 3 5 3 2 3" xfId="906" xr:uid="{00000000-0005-0000-0000-0000A4080000}"/>
    <cellStyle name="Comma 2 3 5 3 2 3 2" xfId="8053" xr:uid="{00000000-0005-0000-0000-0000A5080000}"/>
    <cellStyle name="Comma 2 3 5 3 2 4" xfId="8050" xr:uid="{00000000-0005-0000-0000-0000A6080000}"/>
    <cellStyle name="Comma 2 3 5 3 2 5" xfId="5216" xr:uid="{00000000-0005-0000-0000-0000A7080000}"/>
    <cellStyle name="Comma 2 3 5 3 3" xfId="907" xr:uid="{00000000-0005-0000-0000-0000A8080000}"/>
    <cellStyle name="Comma 2 3 5 3 3 2" xfId="908" xr:uid="{00000000-0005-0000-0000-0000A9080000}"/>
    <cellStyle name="Comma 2 3 5 3 3 2 2" xfId="8055" xr:uid="{00000000-0005-0000-0000-0000AA080000}"/>
    <cellStyle name="Comma 2 3 5 3 3 3" xfId="8054" xr:uid="{00000000-0005-0000-0000-0000AB080000}"/>
    <cellStyle name="Comma 2 3 5 3 3 4" xfId="5218" xr:uid="{00000000-0005-0000-0000-0000AC080000}"/>
    <cellStyle name="Comma 2 3 5 3 4" xfId="909" xr:uid="{00000000-0005-0000-0000-0000AD080000}"/>
    <cellStyle name="Comma 2 3 5 3 4 2" xfId="910" xr:uid="{00000000-0005-0000-0000-0000AE080000}"/>
    <cellStyle name="Comma 2 3 5 3 4 2 2" xfId="8057" xr:uid="{00000000-0005-0000-0000-0000AF080000}"/>
    <cellStyle name="Comma 2 3 5 3 4 3" xfId="8056" xr:uid="{00000000-0005-0000-0000-0000B0080000}"/>
    <cellStyle name="Comma 2 3 5 3 4 4" xfId="5219" xr:uid="{00000000-0005-0000-0000-0000B1080000}"/>
    <cellStyle name="Comma 2 3 5 3 5" xfId="911" xr:uid="{00000000-0005-0000-0000-0000B2080000}"/>
    <cellStyle name="Comma 2 3 5 3 5 2" xfId="8058" xr:uid="{00000000-0005-0000-0000-0000B3080000}"/>
    <cellStyle name="Comma 2 3 5 3 6" xfId="8049" xr:uid="{00000000-0005-0000-0000-0000B4080000}"/>
    <cellStyle name="Comma 2 3 5 3 7" xfId="5215" xr:uid="{00000000-0005-0000-0000-0000B5080000}"/>
    <cellStyle name="Comma 2 3 5 4" xfId="912" xr:uid="{00000000-0005-0000-0000-0000B6080000}"/>
    <cellStyle name="Comma 2 3 5 4 2" xfId="913" xr:uid="{00000000-0005-0000-0000-0000B7080000}"/>
    <cellStyle name="Comma 2 3 5 4 2 2" xfId="914" xr:uid="{00000000-0005-0000-0000-0000B8080000}"/>
    <cellStyle name="Comma 2 3 5 4 2 2 2" xfId="915" xr:uid="{00000000-0005-0000-0000-0000B9080000}"/>
    <cellStyle name="Comma 2 3 5 4 2 2 2 2" xfId="8062" xr:uid="{00000000-0005-0000-0000-0000BA080000}"/>
    <cellStyle name="Comma 2 3 5 4 2 2 3" xfId="8061" xr:uid="{00000000-0005-0000-0000-0000BB080000}"/>
    <cellStyle name="Comma 2 3 5 4 2 2 4" xfId="5222" xr:uid="{00000000-0005-0000-0000-0000BC080000}"/>
    <cellStyle name="Comma 2 3 5 4 2 3" xfId="916" xr:uid="{00000000-0005-0000-0000-0000BD080000}"/>
    <cellStyle name="Comma 2 3 5 4 2 3 2" xfId="8063" xr:uid="{00000000-0005-0000-0000-0000BE080000}"/>
    <cellStyle name="Comma 2 3 5 4 2 4" xfId="8060" xr:uid="{00000000-0005-0000-0000-0000BF080000}"/>
    <cellStyle name="Comma 2 3 5 4 2 5" xfId="5221" xr:uid="{00000000-0005-0000-0000-0000C0080000}"/>
    <cellStyle name="Comma 2 3 5 4 3" xfId="917" xr:uid="{00000000-0005-0000-0000-0000C1080000}"/>
    <cellStyle name="Comma 2 3 5 4 3 2" xfId="918" xr:uid="{00000000-0005-0000-0000-0000C2080000}"/>
    <cellStyle name="Comma 2 3 5 4 3 2 2" xfId="8065" xr:uid="{00000000-0005-0000-0000-0000C3080000}"/>
    <cellStyle name="Comma 2 3 5 4 3 3" xfId="8064" xr:uid="{00000000-0005-0000-0000-0000C4080000}"/>
    <cellStyle name="Comma 2 3 5 4 3 4" xfId="5223" xr:uid="{00000000-0005-0000-0000-0000C5080000}"/>
    <cellStyle name="Comma 2 3 5 4 4" xfId="919" xr:uid="{00000000-0005-0000-0000-0000C6080000}"/>
    <cellStyle name="Comma 2 3 5 4 4 2" xfId="920" xr:uid="{00000000-0005-0000-0000-0000C7080000}"/>
    <cellStyle name="Comma 2 3 5 4 4 2 2" xfId="8067" xr:uid="{00000000-0005-0000-0000-0000C8080000}"/>
    <cellStyle name="Comma 2 3 5 4 4 3" xfId="8066" xr:uid="{00000000-0005-0000-0000-0000C9080000}"/>
    <cellStyle name="Comma 2 3 5 4 4 4" xfId="5224" xr:uid="{00000000-0005-0000-0000-0000CA080000}"/>
    <cellStyle name="Comma 2 3 5 4 5" xfId="921" xr:uid="{00000000-0005-0000-0000-0000CB080000}"/>
    <cellStyle name="Comma 2 3 5 4 5 2" xfId="8068" xr:uid="{00000000-0005-0000-0000-0000CC080000}"/>
    <cellStyle name="Comma 2 3 5 4 6" xfId="8059" xr:uid="{00000000-0005-0000-0000-0000CD080000}"/>
    <cellStyle name="Comma 2 3 5 4 7" xfId="5220" xr:uid="{00000000-0005-0000-0000-0000CE080000}"/>
    <cellStyle name="Comma 2 3 5 5" xfId="922" xr:uid="{00000000-0005-0000-0000-0000CF080000}"/>
    <cellStyle name="Comma 2 3 5 5 2" xfId="923" xr:uid="{00000000-0005-0000-0000-0000D0080000}"/>
    <cellStyle name="Comma 2 3 5 5 2 2" xfId="924" xr:uid="{00000000-0005-0000-0000-0000D1080000}"/>
    <cellStyle name="Comma 2 3 5 5 2 2 2" xfId="925" xr:uid="{00000000-0005-0000-0000-0000D2080000}"/>
    <cellStyle name="Comma 2 3 5 5 2 2 2 2" xfId="8072" xr:uid="{00000000-0005-0000-0000-0000D3080000}"/>
    <cellStyle name="Comma 2 3 5 5 2 2 3" xfId="8071" xr:uid="{00000000-0005-0000-0000-0000D4080000}"/>
    <cellStyle name="Comma 2 3 5 5 2 2 4" xfId="5227" xr:uid="{00000000-0005-0000-0000-0000D5080000}"/>
    <cellStyle name="Comma 2 3 5 5 2 3" xfId="926" xr:uid="{00000000-0005-0000-0000-0000D6080000}"/>
    <cellStyle name="Comma 2 3 5 5 2 3 2" xfId="8073" xr:uid="{00000000-0005-0000-0000-0000D7080000}"/>
    <cellStyle name="Comma 2 3 5 5 2 4" xfId="8070" xr:uid="{00000000-0005-0000-0000-0000D8080000}"/>
    <cellStyle name="Comma 2 3 5 5 2 5" xfId="5226" xr:uid="{00000000-0005-0000-0000-0000D9080000}"/>
    <cellStyle name="Comma 2 3 5 5 3" xfId="927" xr:uid="{00000000-0005-0000-0000-0000DA080000}"/>
    <cellStyle name="Comma 2 3 5 5 3 2" xfId="928" xr:uid="{00000000-0005-0000-0000-0000DB080000}"/>
    <cellStyle name="Comma 2 3 5 5 3 2 2" xfId="8075" xr:uid="{00000000-0005-0000-0000-0000DC080000}"/>
    <cellStyle name="Comma 2 3 5 5 3 3" xfId="8074" xr:uid="{00000000-0005-0000-0000-0000DD080000}"/>
    <cellStyle name="Comma 2 3 5 5 3 4" xfId="5228" xr:uid="{00000000-0005-0000-0000-0000DE080000}"/>
    <cellStyle name="Comma 2 3 5 5 4" xfId="929" xr:uid="{00000000-0005-0000-0000-0000DF080000}"/>
    <cellStyle name="Comma 2 3 5 5 4 2" xfId="930" xr:uid="{00000000-0005-0000-0000-0000E0080000}"/>
    <cellStyle name="Comma 2 3 5 5 4 2 2" xfId="8077" xr:uid="{00000000-0005-0000-0000-0000E1080000}"/>
    <cellStyle name="Comma 2 3 5 5 4 3" xfId="8076" xr:uid="{00000000-0005-0000-0000-0000E2080000}"/>
    <cellStyle name="Comma 2 3 5 5 4 4" xfId="5229" xr:uid="{00000000-0005-0000-0000-0000E3080000}"/>
    <cellStyle name="Comma 2 3 5 5 5" xfId="931" xr:uid="{00000000-0005-0000-0000-0000E4080000}"/>
    <cellStyle name="Comma 2 3 5 5 5 2" xfId="8078" xr:uid="{00000000-0005-0000-0000-0000E5080000}"/>
    <cellStyle name="Comma 2 3 5 5 6" xfId="8069" xr:uid="{00000000-0005-0000-0000-0000E6080000}"/>
    <cellStyle name="Comma 2 3 5 5 7" xfId="5225" xr:uid="{00000000-0005-0000-0000-0000E7080000}"/>
    <cellStyle name="Comma 2 3 5 6" xfId="932" xr:uid="{00000000-0005-0000-0000-0000E8080000}"/>
    <cellStyle name="Comma 2 3 5 6 2" xfId="933" xr:uid="{00000000-0005-0000-0000-0000E9080000}"/>
    <cellStyle name="Comma 2 3 5 6 2 2" xfId="934" xr:uid="{00000000-0005-0000-0000-0000EA080000}"/>
    <cellStyle name="Comma 2 3 5 6 2 2 2" xfId="8081" xr:uid="{00000000-0005-0000-0000-0000EB080000}"/>
    <cellStyle name="Comma 2 3 5 6 2 3" xfId="8080" xr:uid="{00000000-0005-0000-0000-0000EC080000}"/>
    <cellStyle name="Comma 2 3 5 6 2 4" xfId="5231" xr:uid="{00000000-0005-0000-0000-0000ED080000}"/>
    <cellStyle name="Comma 2 3 5 6 3" xfId="935" xr:uid="{00000000-0005-0000-0000-0000EE080000}"/>
    <cellStyle name="Comma 2 3 5 6 3 2" xfId="936" xr:uid="{00000000-0005-0000-0000-0000EF080000}"/>
    <cellStyle name="Comma 2 3 5 6 3 2 2" xfId="8083" xr:uid="{00000000-0005-0000-0000-0000F0080000}"/>
    <cellStyle name="Comma 2 3 5 6 3 3" xfId="8082" xr:uid="{00000000-0005-0000-0000-0000F1080000}"/>
    <cellStyle name="Comma 2 3 5 6 3 4" xfId="5232" xr:uid="{00000000-0005-0000-0000-0000F2080000}"/>
    <cellStyle name="Comma 2 3 5 6 4" xfId="937" xr:uid="{00000000-0005-0000-0000-0000F3080000}"/>
    <cellStyle name="Comma 2 3 5 6 4 2" xfId="8084" xr:uid="{00000000-0005-0000-0000-0000F4080000}"/>
    <cellStyle name="Comma 2 3 5 6 5" xfId="8079" xr:uid="{00000000-0005-0000-0000-0000F5080000}"/>
    <cellStyle name="Comma 2 3 5 6 6" xfId="5230" xr:uid="{00000000-0005-0000-0000-0000F6080000}"/>
    <cellStyle name="Comma 2 3 5 7" xfId="938" xr:uid="{00000000-0005-0000-0000-0000F7080000}"/>
    <cellStyle name="Comma 2 3 5 7 2" xfId="939" xr:uid="{00000000-0005-0000-0000-0000F8080000}"/>
    <cellStyle name="Comma 2 3 5 7 2 2" xfId="940" xr:uid="{00000000-0005-0000-0000-0000F9080000}"/>
    <cellStyle name="Comma 2 3 5 7 2 2 2" xfId="8087" xr:uid="{00000000-0005-0000-0000-0000FA080000}"/>
    <cellStyle name="Comma 2 3 5 7 2 3" xfId="8086" xr:uid="{00000000-0005-0000-0000-0000FB080000}"/>
    <cellStyle name="Comma 2 3 5 7 2 4" xfId="5234" xr:uid="{00000000-0005-0000-0000-0000FC080000}"/>
    <cellStyle name="Comma 2 3 5 7 3" xfId="941" xr:uid="{00000000-0005-0000-0000-0000FD080000}"/>
    <cellStyle name="Comma 2 3 5 7 3 2" xfId="8088" xr:uid="{00000000-0005-0000-0000-0000FE080000}"/>
    <cellStyle name="Comma 2 3 5 7 4" xfId="8085" xr:uid="{00000000-0005-0000-0000-0000FF080000}"/>
    <cellStyle name="Comma 2 3 5 7 5" xfId="5233" xr:uid="{00000000-0005-0000-0000-000000090000}"/>
    <cellStyle name="Comma 2 3 5 8" xfId="942" xr:uid="{00000000-0005-0000-0000-000001090000}"/>
    <cellStyle name="Comma 2 3 5 8 2" xfId="943" xr:uid="{00000000-0005-0000-0000-000002090000}"/>
    <cellStyle name="Comma 2 3 5 8 2 2" xfId="8090" xr:uid="{00000000-0005-0000-0000-000003090000}"/>
    <cellStyle name="Comma 2 3 5 8 3" xfId="8089" xr:uid="{00000000-0005-0000-0000-000004090000}"/>
    <cellStyle name="Comma 2 3 5 8 4" xfId="5235" xr:uid="{00000000-0005-0000-0000-000005090000}"/>
    <cellStyle name="Comma 2 3 5 9" xfId="944" xr:uid="{00000000-0005-0000-0000-000006090000}"/>
    <cellStyle name="Comma 2 3 5 9 2" xfId="945" xr:uid="{00000000-0005-0000-0000-000007090000}"/>
    <cellStyle name="Comma 2 3 5 9 2 2" xfId="8092" xr:uid="{00000000-0005-0000-0000-000008090000}"/>
    <cellStyle name="Comma 2 3 5 9 3" xfId="8091" xr:uid="{00000000-0005-0000-0000-000009090000}"/>
    <cellStyle name="Comma 2 3 5 9 4" xfId="5236" xr:uid="{00000000-0005-0000-0000-00000A090000}"/>
    <cellStyle name="Comma 2 3 6" xfId="946" xr:uid="{00000000-0005-0000-0000-00000B090000}"/>
    <cellStyle name="Comma 2 3 6 2" xfId="947" xr:uid="{00000000-0005-0000-0000-00000C090000}"/>
    <cellStyle name="Comma 2 3 6 2 2" xfId="948" xr:uid="{00000000-0005-0000-0000-00000D090000}"/>
    <cellStyle name="Comma 2 3 6 2 2 2" xfId="949" xr:uid="{00000000-0005-0000-0000-00000E090000}"/>
    <cellStyle name="Comma 2 3 6 2 2 2 2" xfId="8096" xr:uid="{00000000-0005-0000-0000-00000F090000}"/>
    <cellStyle name="Comma 2 3 6 2 2 3" xfId="8095" xr:uid="{00000000-0005-0000-0000-000010090000}"/>
    <cellStyle name="Comma 2 3 6 2 2 4" xfId="5239" xr:uid="{00000000-0005-0000-0000-000011090000}"/>
    <cellStyle name="Comma 2 3 6 2 3" xfId="950" xr:uid="{00000000-0005-0000-0000-000012090000}"/>
    <cellStyle name="Comma 2 3 6 2 3 2" xfId="8097" xr:uid="{00000000-0005-0000-0000-000013090000}"/>
    <cellStyle name="Comma 2 3 6 2 4" xfId="8094" xr:uid="{00000000-0005-0000-0000-000014090000}"/>
    <cellStyle name="Comma 2 3 6 2 5" xfId="5238" xr:uid="{00000000-0005-0000-0000-000015090000}"/>
    <cellStyle name="Comma 2 3 6 3" xfId="951" xr:uid="{00000000-0005-0000-0000-000016090000}"/>
    <cellStyle name="Comma 2 3 6 3 2" xfId="952" xr:uid="{00000000-0005-0000-0000-000017090000}"/>
    <cellStyle name="Comma 2 3 6 3 2 2" xfId="8099" xr:uid="{00000000-0005-0000-0000-000018090000}"/>
    <cellStyle name="Comma 2 3 6 3 3" xfId="8098" xr:uid="{00000000-0005-0000-0000-000019090000}"/>
    <cellStyle name="Comma 2 3 6 3 4" xfId="5240" xr:uid="{00000000-0005-0000-0000-00001A090000}"/>
    <cellStyle name="Comma 2 3 6 4" xfId="953" xr:uid="{00000000-0005-0000-0000-00001B090000}"/>
    <cellStyle name="Comma 2 3 6 4 2" xfId="954" xr:uid="{00000000-0005-0000-0000-00001C090000}"/>
    <cellStyle name="Comma 2 3 6 4 2 2" xfId="8101" xr:uid="{00000000-0005-0000-0000-00001D090000}"/>
    <cellStyle name="Comma 2 3 6 4 3" xfId="8100" xr:uid="{00000000-0005-0000-0000-00001E090000}"/>
    <cellStyle name="Comma 2 3 6 4 4" xfId="5241" xr:uid="{00000000-0005-0000-0000-00001F090000}"/>
    <cellStyle name="Comma 2 3 6 5" xfId="955" xr:uid="{00000000-0005-0000-0000-000020090000}"/>
    <cellStyle name="Comma 2 3 6 5 2" xfId="8102" xr:uid="{00000000-0005-0000-0000-000021090000}"/>
    <cellStyle name="Comma 2 3 6 6" xfId="8093" xr:uid="{00000000-0005-0000-0000-000022090000}"/>
    <cellStyle name="Comma 2 3 6 7" xfId="5237" xr:uid="{00000000-0005-0000-0000-000023090000}"/>
    <cellStyle name="Comma 2 3 7" xfId="956" xr:uid="{00000000-0005-0000-0000-000024090000}"/>
    <cellStyle name="Comma 2 3 7 2" xfId="957" xr:uid="{00000000-0005-0000-0000-000025090000}"/>
    <cellStyle name="Comma 2 3 7 2 2" xfId="958" xr:uid="{00000000-0005-0000-0000-000026090000}"/>
    <cellStyle name="Comma 2 3 7 2 2 2" xfId="959" xr:uid="{00000000-0005-0000-0000-000027090000}"/>
    <cellStyle name="Comma 2 3 7 2 2 2 2" xfId="8106" xr:uid="{00000000-0005-0000-0000-000028090000}"/>
    <cellStyle name="Comma 2 3 7 2 2 3" xfId="8105" xr:uid="{00000000-0005-0000-0000-000029090000}"/>
    <cellStyle name="Comma 2 3 7 2 2 4" xfId="5244" xr:uid="{00000000-0005-0000-0000-00002A090000}"/>
    <cellStyle name="Comma 2 3 7 2 3" xfId="960" xr:uid="{00000000-0005-0000-0000-00002B090000}"/>
    <cellStyle name="Comma 2 3 7 2 3 2" xfId="8107" xr:uid="{00000000-0005-0000-0000-00002C090000}"/>
    <cellStyle name="Comma 2 3 7 2 4" xfId="8104" xr:uid="{00000000-0005-0000-0000-00002D090000}"/>
    <cellStyle name="Comma 2 3 7 2 5" xfId="5243" xr:uid="{00000000-0005-0000-0000-00002E090000}"/>
    <cellStyle name="Comma 2 3 7 3" xfId="961" xr:uid="{00000000-0005-0000-0000-00002F090000}"/>
    <cellStyle name="Comma 2 3 7 3 2" xfId="962" xr:uid="{00000000-0005-0000-0000-000030090000}"/>
    <cellStyle name="Comma 2 3 7 3 2 2" xfId="8109" xr:uid="{00000000-0005-0000-0000-000031090000}"/>
    <cellStyle name="Comma 2 3 7 3 3" xfId="8108" xr:uid="{00000000-0005-0000-0000-000032090000}"/>
    <cellStyle name="Comma 2 3 7 3 4" xfId="5245" xr:uid="{00000000-0005-0000-0000-000033090000}"/>
    <cellStyle name="Comma 2 3 7 4" xfId="963" xr:uid="{00000000-0005-0000-0000-000034090000}"/>
    <cellStyle name="Comma 2 3 7 4 2" xfId="964" xr:uid="{00000000-0005-0000-0000-000035090000}"/>
    <cellStyle name="Comma 2 3 7 4 2 2" xfId="8111" xr:uid="{00000000-0005-0000-0000-000036090000}"/>
    <cellStyle name="Comma 2 3 7 4 3" xfId="8110" xr:uid="{00000000-0005-0000-0000-000037090000}"/>
    <cellStyle name="Comma 2 3 7 4 4" xfId="5246" xr:uid="{00000000-0005-0000-0000-000038090000}"/>
    <cellStyle name="Comma 2 3 7 5" xfId="965" xr:uid="{00000000-0005-0000-0000-000039090000}"/>
    <cellStyle name="Comma 2 3 7 5 2" xfId="8112" xr:uid="{00000000-0005-0000-0000-00003A090000}"/>
    <cellStyle name="Comma 2 3 7 6" xfId="8103" xr:uid="{00000000-0005-0000-0000-00003B090000}"/>
    <cellStyle name="Comma 2 3 7 7" xfId="5242" xr:uid="{00000000-0005-0000-0000-00003C090000}"/>
    <cellStyle name="Comma 2 3 8" xfId="966" xr:uid="{00000000-0005-0000-0000-00003D090000}"/>
    <cellStyle name="Comma 2 3 8 2" xfId="967" xr:uid="{00000000-0005-0000-0000-00003E090000}"/>
    <cellStyle name="Comma 2 3 8 2 2" xfId="968" xr:uid="{00000000-0005-0000-0000-00003F090000}"/>
    <cellStyle name="Comma 2 3 8 2 2 2" xfId="969" xr:uid="{00000000-0005-0000-0000-000040090000}"/>
    <cellStyle name="Comma 2 3 8 2 2 2 2" xfId="8116" xr:uid="{00000000-0005-0000-0000-000041090000}"/>
    <cellStyle name="Comma 2 3 8 2 2 3" xfId="8115" xr:uid="{00000000-0005-0000-0000-000042090000}"/>
    <cellStyle name="Comma 2 3 8 2 2 4" xfId="5249" xr:uid="{00000000-0005-0000-0000-000043090000}"/>
    <cellStyle name="Comma 2 3 8 2 3" xfId="970" xr:uid="{00000000-0005-0000-0000-000044090000}"/>
    <cellStyle name="Comma 2 3 8 2 3 2" xfId="8117" xr:uid="{00000000-0005-0000-0000-000045090000}"/>
    <cellStyle name="Comma 2 3 8 2 4" xfId="8114" xr:uid="{00000000-0005-0000-0000-000046090000}"/>
    <cellStyle name="Comma 2 3 8 2 5" xfId="5248" xr:uid="{00000000-0005-0000-0000-000047090000}"/>
    <cellStyle name="Comma 2 3 8 3" xfId="971" xr:uid="{00000000-0005-0000-0000-000048090000}"/>
    <cellStyle name="Comma 2 3 8 3 2" xfId="972" xr:uid="{00000000-0005-0000-0000-000049090000}"/>
    <cellStyle name="Comma 2 3 8 3 2 2" xfId="8119" xr:uid="{00000000-0005-0000-0000-00004A090000}"/>
    <cellStyle name="Comma 2 3 8 3 3" xfId="8118" xr:uid="{00000000-0005-0000-0000-00004B090000}"/>
    <cellStyle name="Comma 2 3 8 3 4" xfId="5250" xr:uid="{00000000-0005-0000-0000-00004C090000}"/>
    <cellStyle name="Comma 2 3 8 4" xfId="973" xr:uid="{00000000-0005-0000-0000-00004D090000}"/>
    <cellStyle name="Comma 2 3 8 4 2" xfId="974" xr:uid="{00000000-0005-0000-0000-00004E090000}"/>
    <cellStyle name="Comma 2 3 8 4 2 2" xfId="8121" xr:uid="{00000000-0005-0000-0000-00004F090000}"/>
    <cellStyle name="Comma 2 3 8 4 3" xfId="8120" xr:uid="{00000000-0005-0000-0000-000050090000}"/>
    <cellStyle name="Comma 2 3 8 4 4" xfId="5251" xr:uid="{00000000-0005-0000-0000-000051090000}"/>
    <cellStyle name="Comma 2 3 8 5" xfId="975" xr:uid="{00000000-0005-0000-0000-000052090000}"/>
    <cellStyle name="Comma 2 3 8 5 2" xfId="8122" xr:uid="{00000000-0005-0000-0000-000053090000}"/>
    <cellStyle name="Comma 2 3 8 6" xfId="8113" xr:uid="{00000000-0005-0000-0000-000054090000}"/>
    <cellStyle name="Comma 2 3 8 7" xfId="5247" xr:uid="{00000000-0005-0000-0000-000055090000}"/>
    <cellStyle name="Comma 2 3 9" xfId="976" xr:uid="{00000000-0005-0000-0000-000056090000}"/>
    <cellStyle name="Comma 2 3 9 2" xfId="977" xr:uid="{00000000-0005-0000-0000-000057090000}"/>
    <cellStyle name="Comma 2 3 9 2 2" xfId="978" xr:uid="{00000000-0005-0000-0000-000058090000}"/>
    <cellStyle name="Comma 2 3 9 2 2 2" xfId="979" xr:uid="{00000000-0005-0000-0000-000059090000}"/>
    <cellStyle name="Comma 2 3 9 2 2 2 2" xfId="8126" xr:uid="{00000000-0005-0000-0000-00005A090000}"/>
    <cellStyle name="Comma 2 3 9 2 2 3" xfId="8125" xr:uid="{00000000-0005-0000-0000-00005B090000}"/>
    <cellStyle name="Comma 2 3 9 2 2 4" xfId="5254" xr:uid="{00000000-0005-0000-0000-00005C090000}"/>
    <cellStyle name="Comma 2 3 9 2 3" xfId="980" xr:uid="{00000000-0005-0000-0000-00005D090000}"/>
    <cellStyle name="Comma 2 3 9 2 3 2" xfId="8127" xr:uid="{00000000-0005-0000-0000-00005E090000}"/>
    <cellStyle name="Comma 2 3 9 2 4" xfId="8124" xr:uid="{00000000-0005-0000-0000-00005F090000}"/>
    <cellStyle name="Comma 2 3 9 2 5" xfId="5253" xr:uid="{00000000-0005-0000-0000-000060090000}"/>
    <cellStyle name="Comma 2 3 9 3" xfId="981" xr:uid="{00000000-0005-0000-0000-000061090000}"/>
    <cellStyle name="Comma 2 3 9 3 2" xfId="982" xr:uid="{00000000-0005-0000-0000-000062090000}"/>
    <cellStyle name="Comma 2 3 9 3 2 2" xfId="8129" xr:uid="{00000000-0005-0000-0000-000063090000}"/>
    <cellStyle name="Comma 2 3 9 3 3" xfId="8128" xr:uid="{00000000-0005-0000-0000-000064090000}"/>
    <cellStyle name="Comma 2 3 9 3 4" xfId="5255" xr:uid="{00000000-0005-0000-0000-000065090000}"/>
    <cellStyle name="Comma 2 3 9 4" xfId="983" xr:uid="{00000000-0005-0000-0000-000066090000}"/>
    <cellStyle name="Comma 2 3 9 4 2" xfId="984" xr:uid="{00000000-0005-0000-0000-000067090000}"/>
    <cellStyle name="Comma 2 3 9 4 2 2" xfId="8131" xr:uid="{00000000-0005-0000-0000-000068090000}"/>
    <cellStyle name="Comma 2 3 9 4 3" xfId="8130" xr:uid="{00000000-0005-0000-0000-000069090000}"/>
    <cellStyle name="Comma 2 3 9 4 4" xfId="5256" xr:uid="{00000000-0005-0000-0000-00006A090000}"/>
    <cellStyle name="Comma 2 3 9 5" xfId="985" xr:uid="{00000000-0005-0000-0000-00006B090000}"/>
    <cellStyle name="Comma 2 3 9 5 2" xfId="8132" xr:uid="{00000000-0005-0000-0000-00006C090000}"/>
    <cellStyle name="Comma 2 3 9 6" xfId="8123" xr:uid="{00000000-0005-0000-0000-00006D090000}"/>
    <cellStyle name="Comma 2 3 9 7" xfId="5252" xr:uid="{00000000-0005-0000-0000-00006E090000}"/>
    <cellStyle name="Comma 2 4" xfId="986" xr:uid="{00000000-0005-0000-0000-00006F090000}"/>
    <cellStyle name="Comma 2 4 10" xfId="987" xr:uid="{00000000-0005-0000-0000-000070090000}"/>
    <cellStyle name="Comma 2 4 10 2" xfId="988" xr:uid="{00000000-0005-0000-0000-000071090000}"/>
    <cellStyle name="Comma 2 4 10 2 2" xfId="989" xr:uid="{00000000-0005-0000-0000-000072090000}"/>
    <cellStyle name="Comma 2 4 10 2 2 2" xfId="8136" xr:uid="{00000000-0005-0000-0000-000073090000}"/>
    <cellStyle name="Comma 2 4 10 2 3" xfId="8135" xr:uid="{00000000-0005-0000-0000-000074090000}"/>
    <cellStyle name="Comma 2 4 10 2 4" xfId="5259" xr:uid="{00000000-0005-0000-0000-000075090000}"/>
    <cellStyle name="Comma 2 4 10 3" xfId="990" xr:uid="{00000000-0005-0000-0000-000076090000}"/>
    <cellStyle name="Comma 2 4 10 3 2" xfId="991" xr:uid="{00000000-0005-0000-0000-000077090000}"/>
    <cellStyle name="Comma 2 4 10 3 2 2" xfId="8138" xr:uid="{00000000-0005-0000-0000-000078090000}"/>
    <cellStyle name="Comma 2 4 10 3 3" xfId="8137" xr:uid="{00000000-0005-0000-0000-000079090000}"/>
    <cellStyle name="Comma 2 4 10 3 4" xfId="5260" xr:uid="{00000000-0005-0000-0000-00007A090000}"/>
    <cellStyle name="Comma 2 4 10 4" xfId="992" xr:uid="{00000000-0005-0000-0000-00007B090000}"/>
    <cellStyle name="Comma 2 4 10 4 2" xfId="8139" xr:uid="{00000000-0005-0000-0000-00007C090000}"/>
    <cellStyle name="Comma 2 4 10 5" xfId="8134" xr:uid="{00000000-0005-0000-0000-00007D090000}"/>
    <cellStyle name="Comma 2 4 10 6" xfId="5258" xr:uid="{00000000-0005-0000-0000-00007E090000}"/>
    <cellStyle name="Comma 2 4 11" xfId="993" xr:uid="{00000000-0005-0000-0000-00007F090000}"/>
    <cellStyle name="Comma 2 4 11 2" xfId="994" xr:uid="{00000000-0005-0000-0000-000080090000}"/>
    <cellStyle name="Comma 2 4 11 2 2" xfId="995" xr:uid="{00000000-0005-0000-0000-000081090000}"/>
    <cellStyle name="Comma 2 4 11 2 2 2" xfId="8142" xr:uid="{00000000-0005-0000-0000-000082090000}"/>
    <cellStyle name="Comma 2 4 11 2 3" xfId="8141" xr:uid="{00000000-0005-0000-0000-000083090000}"/>
    <cellStyle name="Comma 2 4 11 2 4" xfId="5262" xr:uid="{00000000-0005-0000-0000-000084090000}"/>
    <cellStyle name="Comma 2 4 11 3" xfId="996" xr:uid="{00000000-0005-0000-0000-000085090000}"/>
    <cellStyle name="Comma 2 4 11 3 2" xfId="8143" xr:uid="{00000000-0005-0000-0000-000086090000}"/>
    <cellStyle name="Comma 2 4 11 4" xfId="8140" xr:uid="{00000000-0005-0000-0000-000087090000}"/>
    <cellStyle name="Comma 2 4 11 5" xfId="5261" xr:uid="{00000000-0005-0000-0000-000088090000}"/>
    <cellStyle name="Comma 2 4 12" xfId="997" xr:uid="{00000000-0005-0000-0000-000089090000}"/>
    <cellStyle name="Comma 2 4 12 2" xfId="998" xr:uid="{00000000-0005-0000-0000-00008A090000}"/>
    <cellStyle name="Comma 2 4 12 2 2" xfId="8145" xr:uid="{00000000-0005-0000-0000-00008B090000}"/>
    <cellStyle name="Comma 2 4 12 3" xfId="8144" xr:uid="{00000000-0005-0000-0000-00008C090000}"/>
    <cellStyle name="Comma 2 4 12 4" xfId="5263" xr:uid="{00000000-0005-0000-0000-00008D090000}"/>
    <cellStyle name="Comma 2 4 13" xfId="999" xr:uid="{00000000-0005-0000-0000-00008E090000}"/>
    <cellStyle name="Comma 2 4 13 2" xfId="1000" xr:uid="{00000000-0005-0000-0000-00008F090000}"/>
    <cellStyle name="Comma 2 4 13 2 2" xfId="8147" xr:uid="{00000000-0005-0000-0000-000090090000}"/>
    <cellStyle name="Comma 2 4 13 3" xfId="8146" xr:uid="{00000000-0005-0000-0000-000091090000}"/>
    <cellStyle name="Comma 2 4 13 4" xfId="5264" xr:uid="{00000000-0005-0000-0000-000092090000}"/>
    <cellStyle name="Comma 2 4 14" xfId="1001" xr:uid="{00000000-0005-0000-0000-000093090000}"/>
    <cellStyle name="Comma 2 4 14 2" xfId="8148" xr:uid="{00000000-0005-0000-0000-000094090000}"/>
    <cellStyle name="Comma 2 4 15" xfId="8133" xr:uid="{00000000-0005-0000-0000-000095090000}"/>
    <cellStyle name="Comma 2 4 16" xfId="5257" xr:uid="{00000000-0005-0000-0000-000096090000}"/>
    <cellStyle name="Comma 2 4 17" xfId="12345" xr:uid="{00000000-0005-0000-0000-000097090000}"/>
    <cellStyle name="Comma 2 4 18" xfId="12360" xr:uid="{00000000-0005-0000-0000-000098090000}"/>
    <cellStyle name="Comma 2 4 2" xfId="1002" xr:uid="{00000000-0005-0000-0000-000099090000}"/>
    <cellStyle name="Comma 2 4 2 10" xfId="1003" xr:uid="{00000000-0005-0000-0000-00009A090000}"/>
    <cellStyle name="Comma 2 4 2 10 2" xfId="1004" xr:uid="{00000000-0005-0000-0000-00009B090000}"/>
    <cellStyle name="Comma 2 4 2 10 2 2" xfId="8151" xr:uid="{00000000-0005-0000-0000-00009C090000}"/>
    <cellStyle name="Comma 2 4 2 10 3" xfId="8150" xr:uid="{00000000-0005-0000-0000-00009D090000}"/>
    <cellStyle name="Comma 2 4 2 10 4" xfId="5266" xr:uid="{00000000-0005-0000-0000-00009E090000}"/>
    <cellStyle name="Comma 2 4 2 11" xfId="1005" xr:uid="{00000000-0005-0000-0000-00009F090000}"/>
    <cellStyle name="Comma 2 4 2 11 2" xfId="8152" xr:uid="{00000000-0005-0000-0000-0000A0090000}"/>
    <cellStyle name="Comma 2 4 2 12" xfId="8149" xr:uid="{00000000-0005-0000-0000-0000A1090000}"/>
    <cellStyle name="Comma 2 4 2 13" xfId="5265" xr:uid="{00000000-0005-0000-0000-0000A2090000}"/>
    <cellStyle name="Comma 2 4 2 2" xfId="1006" xr:uid="{00000000-0005-0000-0000-0000A3090000}"/>
    <cellStyle name="Comma 2 4 2 2 10" xfId="1007" xr:uid="{00000000-0005-0000-0000-0000A4090000}"/>
    <cellStyle name="Comma 2 4 2 2 10 2" xfId="8154" xr:uid="{00000000-0005-0000-0000-0000A5090000}"/>
    <cellStyle name="Comma 2 4 2 2 11" xfId="8153" xr:uid="{00000000-0005-0000-0000-0000A6090000}"/>
    <cellStyle name="Comma 2 4 2 2 12" xfId="5267" xr:uid="{00000000-0005-0000-0000-0000A7090000}"/>
    <cellStyle name="Comma 2 4 2 2 2" xfId="1008" xr:uid="{00000000-0005-0000-0000-0000A8090000}"/>
    <cellStyle name="Comma 2 4 2 2 2 2" xfId="1009" xr:uid="{00000000-0005-0000-0000-0000A9090000}"/>
    <cellStyle name="Comma 2 4 2 2 2 2 2" xfId="1010" xr:uid="{00000000-0005-0000-0000-0000AA090000}"/>
    <cellStyle name="Comma 2 4 2 2 2 2 2 2" xfId="1011" xr:uid="{00000000-0005-0000-0000-0000AB090000}"/>
    <cellStyle name="Comma 2 4 2 2 2 2 2 2 2" xfId="8158" xr:uid="{00000000-0005-0000-0000-0000AC090000}"/>
    <cellStyle name="Comma 2 4 2 2 2 2 2 3" xfId="8157" xr:uid="{00000000-0005-0000-0000-0000AD090000}"/>
    <cellStyle name="Comma 2 4 2 2 2 2 2 4" xfId="5270" xr:uid="{00000000-0005-0000-0000-0000AE090000}"/>
    <cellStyle name="Comma 2 4 2 2 2 2 3" xfId="1012" xr:uid="{00000000-0005-0000-0000-0000AF090000}"/>
    <cellStyle name="Comma 2 4 2 2 2 2 3 2" xfId="8159" xr:uid="{00000000-0005-0000-0000-0000B0090000}"/>
    <cellStyle name="Comma 2 4 2 2 2 2 4" xfId="8156" xr:uid="{00000000-0005-0000-0000-0000B1090000}"/>
    <cellStyle name="Comma 2 4 2 2 2 2 5" xfId="5269" xr:uid="{00000000-0005-0000-0000-0000B2090000}"/>
    <cellStyle name="Comma 2 4 2 2 2 3" xfId="1013" xr:uid="{00000000-0005-0000-0000-0000B3090000}"/>
    <cellStyle name="Comma 2 4 2 2 2 3 2" xfId="1014" xr:uid="{00000000-0005-0000-0000-0000B4090000}"/>
    <cellStyle name="Comma 2 4 2 2 2 3 2 2" xfId="8161" xr:uid="{00000000-0005-0000-0000-0000B5090000}"/>
    <cellStyle name="Comma 2 4 2 2 2 3 3" xfId="8160" xr:uid="{00000000-0005-0000-0000-0000B6090000}"/>
    <cellStyle name="Comma 2 4 2 2 2 3 4" xfId="5271" xr:uid="{00000000-0005-0000-0000-0000B7090000}"/>
    <cellStyle name="Comma 2 4 2 2 2 4" xfId="1015" xr:uid="{00000000-0005-0000-0000-0000B8090000}"/>
    <cellStyle name="Comma 2 4 2 2 2 4 2" xfId="1016" xr:uid="{00000000-0005-0000-0000-0000B9090000}"/>
    <cellStyle name="Comma 2 4 2 2 2 4 2 2" xfId="8163" xr:uid="{00000000-0005-0000-0000-0000BA090000}"/>
    <cellStyle name="Comma 2 4 2 2 2 4 3" xfId="8162" xr:uid="{00000000-0005-0000-0000-0000BB090000}"/>
    <cellStyle name="Comma 2 4 2 2 2 4 4" xfId="5272" xr:uid="{00000000-0005-0000-0000-0000BC090000}"/>
    <cellStyle name="Comma 2 4 2 2 2 5" xfId="1017" xr:uid="{00000000-0005-0000-0000-0000BD090000}"/>
    <cellStyle name="Comma 2 4 2 2 2 5 2" xfId="8164" xr:uid="{00000000-0005-0000-0000-0000BE090000}"/>
    <cellStyle name="Comma 2 4 2 2 2 6" xfId="8155" xr:uid="{00000000-0005-0000-0000-0000BF090000}"/>
    <cellStyle name="Comma 2 4 2 2 2 7" xfId="5268" xr:uid="{00000000-0005-0000-0000-0000C0090000}"/>
    <cellStyle name="Comma 2 4 2 2 3" xfId="1018" xr:uid="{00000000-0005-0000-0000-0000C1090000}"/>
    <cellStyle name="Comma 2 4 2 2 3 2" xfId="1019" xr:uid="{00000000-0005-0000-0000-0000C2090000}"/>
    <cellStyle name="Comma 2 4 2 2 3 2 2" xfId="1020" xr:uid="{00000000-0005-0000-0000-0000C3090000}"/>
    <cellStyle name="Comma 2 4 2 2 3 2 2 2" xfId="1021" xr:uid="{00000000-0005-0000-0000-0000C4090000}"/>
    <cellStyle name="Comma 2 4 2 2 3 2 2 2 2" xfId="8168" xr:uid="{00000000-0005-0000-0000-0000C5090000}"/>
    <cellStyle name="Comma 2 4 2 2 3 2 2 3" xfId="8167" xr:uid="{00000000-0005-0000-0000-0000C6090000}"/>
    <cellStyle name="Comma 2 4 2 2 3 2 2 4" xfId="5275" xr:uid="{00000000-0005-0000-0000-0000C7090000}"/>
    <cellStyle name="Comma 2 4 2 2 3 2 3" xfId="1022" xr:uid="{00000000-0005-0000-0000-0000C8090000}"/>
    <cellStyle name="Comma 2 4 2 2 3 2 3 2" xfId="8169" xr:uid="{00000000-0005-0000-0000-0000C9090000}"/>
    <cellStyle name="Comma 2 4 2 2 3 2 4" xfId="8166" xr:uid="{00000000-0005-0000-0000-0000CA090000}"/>
    <cellStyle name="Comma 2 4 2 2 3 2 5" xfId="5274" xr:uid="{00000000-0005-0000-0000-0000CB090000}"/>
    <cellStyle name="Comma 2 4 2 2 3 3" xfId="1023" xr:uid="{00000000-0005-0000-0000-0000CC090000}"/>
    <cellStyle name="Comma 2 4 2 2 3 3 2" xfId="1024" xr:uid="{00000000-0005-0000-0000-0000CD090000}"/>
    <cellStyle name="Comma 2 4 2 2 3 3 2 2" xfId="8171" xr:uid="{00000000-0005-0000-0000-0000CE090000}"/>
    <cellStyle name="Comma 2 4 2 2 3 3 3" xfId="8170" xr:uid="{00000000-0005-0000-0000-0000CF090000}"/>
    <cellStyle name="Comma 2 4 2 2 3 3 4" xfId="5276" xr:uid="{00000000-0005-0000-0000-0000D0090000}"/>
    <cellStyle name="Comma 2 4 2 2 3 4" xfId="1025" xr:uid="{00000000-0005-0000-0000-0000D1090000}"/>
    <cellStyle name="Comma 2 4 2 2 3 4 2" xfId="1026" xr:uid="{00000000-0005-0000-0000-0000D2090000}"/>
    <cellStyle name="Comma 2 4 2 2 3 4 2 2" xfId="8173" xr:uid="{00000000-0005-0000-0000-0000D3090000}"/>
    <cellStyle name="Comma 2 4 2 2 3 4 3" xfId="8172" xr:uid="{00000000-0005-0000-0000-0000D4090000}"/>
    <cellStyle name="Comma 2 4 2 2 3 4 4" xfId="5277" xr:uid="{00000000-0005-0000-0000-0000D5090000}"/>
    <cellStyle name="Comma 2 4 2 2 3 5" xfId="1027" xr:uid="{00000000-0005-0000-0000-0000D6090000}"/>
    <cellStyle name="Comma 2 4 2 2 3 5 2" xfId="8174" xr:uid="{00000000-0005-0000-0000-0000D7090000}"/>
    <cellStyle name="Comma 2 4 2 2 3 6" xfId="8165" xr:uid="{00000000-0005-0000-0000-0000D8090000}"/>
    <cellStyle name="Comma 2 4 2 2 3 7" xfId="5273" xr:uid="{00000000-0005-0000-0000-0000D9090000}"/>
    <cellStyle name="Comma 2 4 2 2 4" xfId="1028" xr:uid="{00000000-0005-0000-0000-0000DA090000}"/>
    <cellStyle name="Comma 2 4 2 2 4 2" xfId="1029" xr:uid="{00000000-0005-0000-0000-0000DB090000}"/>
    <cellStyle name="Comma 2 4 2 2 4 2 2" xfId="1030" xr:uid="{00000000-0005-0000-0000-0000DC090000}"/>
    <cellStyle name="Comma 2 4 2 2 4 2 2 2" xfId="1031" xr:uid="{00000000-0005-0000-0000-0000DD090000}"/>
    <cellStyle name="Comma 2 4 2 2 4 2 2 2 2" xfId="8178" xr:uid="{00000000-0005-0000-0000-0000DE090000}"/>
    <cellStyle name="Comma 2 4 2 2 4 2 2 3" xfId="8177" xr:uid="{00000000-0005-0000-0000-0000DF090000}"/>
    <cellStyle name="Comma 2 4 2 2 4 2 2 4" xfId="5280" xr:uid="{00000000-0005-0000-0000-0000E0090000}"/>
    <cellStyle name="Comma 2 4 2 2 4 2 3" xfId="1032" xr:uid="{00000000-0005-0000-0000-0000E1090000}"/>
    <cellStyle name="Comma 2 4 2 2 4 2 3 2" xfId="8179" xr:uid="{00000000-0005-0000-0000-0000E2090000}"/>
    <cellStyle name="Comma 2 4 2 2 4 2 4" xfId="8176" xr:uid="{00000000-0005-0000-0000-0000E3090000}"/>
    <cellStyle name="Comma 2 4 2 2 4 2 5" xfId="5279" xr:uid="{00000000-0005-0000-0000-0000E4090000}"/>
    <cellStyle name="Comma 2 4 2 2 4 3" xfId="1033" xr:uid="{00000000-0005-0000-0000-0000E5090000}"/>
    <cellStyle name="Comma 2 4 2 2 4 3 2" xfId="1034" xr:uid="{00000000-0005-0000-0000-0000E6090000}"/>
    <cellStyle name="Comma 2 4 2 2 4 3 2 2" xfId="8181" xr:uid="{00000000-0005-0000-0000-0000E7090000}"/>
    <cellStyle name="Comma 2 4 2 2 4 3 3" xfId="8180" xr:uid="{00000000-0005-0000-0000-0000E8090000}"/>
    <cellStyle name="Comma 2 4 2 2 4 3 4" xfId="5281" xr:uid="{00000000-0005-0000-0000-0000E9090000}"/>
    <cellStyle name="Comma 2 4 2 2 4 4" xfId="1035" xr:uid="{00000000-0005-0000-0000-0000EA090000}"/>
    <cellStyle name="Comma 2 4 2 2 4 4 2" xfId="1036" xr:uid="{00000000-0005-0000-0000-0000EB090000}"/>
    <cellStyle name="Comma 2 4 2 2 4 4 2 2" xfId="8183" xr:uid="{00000000-0005-0000-0000-0000EC090000}"/>
    <cellStyle name="Comma 2 4 2 2 4 4 3" xfId="8182" xr:uid="{00000000-0005-0000-0000-0000ED090000}"/>
    <cellStyle name="Comma 2 4 2 2 4 4 4" xfId="5282" xr:uid="{00000000-0005-0000-0000-0000EE090000}"/>
    <cellStyle name="Comma 2 4 2 2 4 5" xfId="1037" xr:uid="{00000000-0005-0000-0000-0000EF090000}"/>
    <cellStyle name="Comma 2 4 2 2 4 5 2" xfId="8184" xr:uid="{00000000-0005-0000-0000-0000F0090000}"/>
    <cellStyle name="Comma 2 4 2 2 4 6" xfId="8175" xr:uid="{00000000-0005-0000-0000-0000F1090000}"/>
    <cellStyle name="Comma 2 4 2 2 4 7" xfId="5278" xr:uid="{00000000-0005-0000-0000-0000F2090000}"/>
    <cellStyle name="Comma 2 4 2 2 5" xfId="1038" xr:uid="{00000000-0005-0000-0000-0000F3090000}"/>
    <cellStyle name="Comma 2 4 2 2 5 2" xfId="1039" xr:uid="{00000000-0005-0000-0000-0000F4090000}"/>
    <cellStyle name="Comma 2 4 2 2 5 2 2" xfId="1040" xr:uid="{00000000-0005-0000-0000-0000F5090000}"/>
    <cellStyle name="Comma 2 4 2 2 5 2 2 2" xfId="1041" xr:uid="{00000000-0005-0000-0000-0000F6090000}"/>
    <cellStyle name="Comma 2 4 2 2 5 2 2 2 2" xfId="8188" xr:uid="{00000000-0005-0000-0000-0000F7090000}"/>
    <cellStyle name="Comma 2 4 2 2 5 2 2 3" xfId="8187" xr:uid="{00000000-0005-0000-0000-0000F8090000}"/>
    <cellStyle name="Comma 2 4 2 2 5 2 2 4" xfId="5285" xr:uid="{00000000-0005-0000-0000-0000F9090000}"/>
    <cellStyle name="Comma 2 4 2 2 5 2 3" xfId="1042" xr:uid="{00000000-0005-0000-0000-0000FA090000}"/>
    <cellStyle name="Comma 2 4 2 2 5 2 3 2" xfId="8189" xr:uid="{00000000-0005-0000-0000-0000FB090000}"/>
    <cellStyle name="Comma 2 4 2 2 5 2 4" xfId="8186" xr:uid="{00000000-0005-0000-0000-0000FC090000}"/>
    <cellStyle name="Comma 2 4 2 2 5 2 5" xfId="5284" xr:uid="{00000000-0005-0000-0000-0000FD090000}"/>
    <cellStyle name="Comma 2 4 2 2 5 3" xfId="1043" xr:uid="{00000000-0005-0000-0000-0000FE090000}"/>
    <cellStyle name="Comma 2 4 2 2 5 3 2" xfId="1044" xr:uid="{00000000-0005-0000-0000-0000FF090000}"/>
    <cellStyle name="Comma 2 4 2 2 5 3 2 2" xfId="8191" xr:uid="{00000000-0005-0000-0000-0000000A0000}"/>
    <cellStyle name="Comma 2 4 2 2 5 3 3" xfId="8190" xr:uid="{00000000-0005-0000-0000-0000010A0000}"/>
    <cellStyle name="Comma 2 4 2 2 5 3 4" xfId="5286" xr:uid="{00000000-0005-0000-0000-0000020A0000}"/>
    <cellStyle name="Comma 2 4 2 2 5 4" xfId="1045" xr:uid="{00000000-0005-0000-0000-0000030A0000}"/>
    <cellStyle name="Comma 2 4 2 2 5 4 2" xfId="1046" xr:uid="{00000000-0005-0000-0000-0000040A0000}"/>
    <cellStyle name="Comma 2 4 2 2 5 4 2 2" xfId="8193" xr:uid="{00000000-0005-0000-0000-0000050A0000}"/>
    <cellStyle name="Comma 2 4 2 2 5 4 3" xfId="8192" xr:uid="{00000000-0005-0000-0000-0000060A0000}"/>
    <cellStyle name="Comma 2 4 2 2 5 4 4" xfId="5287" xr:uid="{00000000-0005-0000-0000-0000070A0000}"/>
    <cellStyle name="Comma 2 4 2 2 5 5" xfId="1047" xr:uid="{00000000-0005-0000-0000-0000080A0000}"/>
    <cellStyle name="Comma 2 4 2 2 5 5 2" xfId="8194" xr:uid="{00000000-0005-0000-0000-0000090A0000}"/>
    <cellStyle name="Comma 2 4 2 2 5 6" xfId="8185" xr:uid="{00000000-0005-0000-0000-00000A0A0000}"/>
    <cellStyle name="Comma 2 4 2 2 5 7" xfId="5283" xr:uid="{00000000-0005-0000-0000-00000B0A0000}"/>
    <cellStyle name="Comma 2 4 2 2 6" xfId="1048" xr:uid="{00000000-0005-0000-0000-00000C0A0000}"/>
    <cellStyle name="Comma 2 4 2 2 6 2" xfId="1049" xr:uid="{00000000-0005-0000-0000-00000D0A0000}"/>
    <cellStyle name="Comma 2 4 2 2 6 2 2" xfId="1050" xr:uid="{00000000-0005-0000-0000-00000E0A0000}"/>
    <cellStyle name="Comma 2 4 2 2 6 2 2 2" xfId="8197" xr:uid="{00000000-0005-0000-0000-00000F0A0000}"/>
    <cellStyle name="Comma 2 4 2 2 6 2 3" xfId="8196" xr:uid="{00000000-0005-0000-0000-0000100A0000}"/>
    <cellStyle name="Comma 2 4 2 2 6 2 4" xfId="5289" xr:uid="{00000000-0005-0000-0000-0000110A0000}"/>
    <cellStyle name="Comma 2 4 2 2 6 3" xfId="1051" xr:uid="{00000000-0005-0000-0000-0000120A0000}"/>
    <cellStyle name="Comma 2 4 2 2 6 3 2" xfId="1052" xr:uid="{00000000-0005-0000-0000-0000130A0000}"/>
    <cellStyle name="Comma 2 4 2 2 6 3 2 2" xfId="8199" xr:uid="{00000000-0005-0000-0000-0000140A0000}"/>
    <cellStyle name="Comma 2 4 2 2 6 3 3" xfId="8198" xr:uid="{00000000-0005-0000-0000-0000150A0000}"/>
    <cellStyle name="Comma 2 4 2 2 6 3 4" xfId="5290" xr:uid="{00000000-0005-0000-0000-0000160A0000}"/>
    <cellStyle name="Comma 2 4 2 2 6 4" xfId="1053" xr:uid="{00000000-0005-0000-0000-0000170A0000}"/>
    <cellStyle name="Comma 2 4 2 2 6 4 2" xfId="8200" xr:uid="{00000000-0005-0000-0000-0000180A0000}"/>
    <cellStyle name="Comma 2 4 2 2 6 5" xfId="8195" xr:uid="{00000000-0005-0000-0000-0000190A0000}"/>
    <cellStyle name="Comma 2 4 2 2 6 6" xfId="5288" xr:uid="{00000000-0005-0000-0000-00001A0A0000}"/>
    <cellStyle name="Comma 2 4 2 2 7" xfId="1054" xr:uid="{00000000-0005-0000-0000-00001B0A0000}"/>
    <cellStyle name="Comma 2 4 2 2 7 2" xfId="1055" xr:uid="{00000000-0005-0000-0000-00001C0A0000}"/>
    <cellStyle name="Comma 2 4 2 2 7 2 2" xfId="1056" xr:uid="{00000000-0005-0000-0000-00001D0A0000}"/>
    <cellStyle name="Comma 2 4 2 2 7 2 2 2" xfId="8203" xr:uid="{00000000-0005-0000-0000-00001E0A0000}"/>
    <cellStyle name="Comma 2 4 2 2 7 2 3" xfId="8202" xr:uid="{00000000-0005-0000-0000-00001F0A0000}"/>
    <cellStyle name="Comma 2 4 2 2 7 2 4" xfId="5292" xr:uid="{00000000-0005-0000-0000-0000200A0000}"/>
    <cellStyle name="Comma 2 4 2 2 7 3" xfId="1057" xr:uid="{00000000-0005-0000-0000-0000210A0000}"/>
    <cellStyle name="Comma 2 4 2 2 7 3 2" xfId="8204" xr:uid="{00000000-0005-0000-0000-0000220A0000}"/>
    <cellStyle name="Comma 2 4 2 2 7 4" xfId="8201" xr:uid="{00000000-0005-0000-0000-0000230A0000}"/>
    <cellStyle name="Comma 2 4 2 2 7 5" xfId="5291" xr:uid="{00000000-0005-0000-0000-0000240A0000}"/>
    <cellStyle name="Comma 2 4 2 2 8" xfId="1058" xr:uid="{00000000-0005-0000-0000-0000250A0000}"/>
    <cellStyle name="Comma 2 4 2 2 8 2" xfId="1059" xr:uid="{00000000-0005-0000-0000-0000260A0000}"/>
    <cellStyle name="Comma 2 4 2 2 8 2 2" xfId="8206" xr:uid="{00000000-0005-0000-0000-0000270A0000}"/>
    <cellStyle name="Comma 2 4 2 2 8 3" xfId="8205" xr:uid="{00000000-0005-0000-0000-0000280A0000}"/>
    <cellStyle name="Comma 2 4 2 2 8 4" xfId="5293" xr:uid="{00000000-0005-0000-0000-0000290A0000}"/>
    <cellStyle name="Comma 2 4 2 2 9" xfId="1060" xr:uid="{00000000-0005-0000-0000-00002A0A0000}"/>
    <cellStyle name="Comma 2 4 2 2 9 2" xfId="1061" xr:uid="{00000000-0005-0000-0000-00002B0A0000}"/>
    <cellStyle name="Comma 2 4 2 2 9 2 2" xfId="8208" xr:uid="{00000000-0005-0000-0000-00002C0A0000}"/>
    <cellStyle name="Comma 2 4 2 2 9 3" xfId="8207" xr:uid="{00000000-0005-0000-0000-00002D0A0000}"/>
    <cellStyle name="Comma 2 4 2 2 9 4" xfId="5294" xr:uid="{00000000-0005-0000-0000-00002E0A0000}"/>
    <cellStyle name="Comma 2 4 2 3" xfId="1062" xr:uid="{00000000-0005-0000-0000-00002F0A0000}"/>
    <cellStyle name="Comma 2 4 2 3 2" xfId="1063" xr:uid="{00000000-0005-0000-0000-0000300A0000}"/>
    <cellStyle name="Comma 2 4 2 3 2 2" xfId="1064" xr:uid="{00000000-0005-0000-0000-0000310A0000}"/>
    <cellStyle name="Comma 2 4 2 3 2 2 2" xfId="1065" xr:uid="{00000000-0005-0000-0000-0000320A0000}"/>
    <cellStyle name="Comma 2 4 2 3 2 2 2 2" xfId="8212" xr:uid="{00000000-0005-0000-0000-0000330A0000}"/>
    <cellStyle name="Comma 2 4 2 3 2 2 3" xfId="8211" xr:uid="{00000000-0005-0000-0000-0000340A0000}"/>
    <cellStyle name="Comma 2 4 2 3 2 2 4" xfId="5297" xr:uid="{00000000-0005-0000-0000-0000350A0000}"/>
    <cellStyle name="Comma 2 4 2 3 2 3" xfId="1066" xr:uid="{00000000-0005-0000-0000-0000360A0000}"/>
    <cellStyle name="Comma 2 4 2 3 2 3 2" xfId="8213" xr:uid="{00000000-0005-0000-0000-0000370A0000}"/>
    <cellStyle name="Comma 2 4 2 3 2 4" xfId="8210" xr:uid="{00000000-0005-0000-0000-0000380A0000}"/>
    <cellStyle name="Comma 2 4 2 3 2 5" xfId="5296" xr:uid="{00000000-0005-0000-0000-0000390A0000}"/>
    <cellStyle name="Comma 2 4 2 3 3" xfId="1067" xr:uid="{00000000-0005-0000-0000-00003A0A0000}"/>
    <cellStyle name="Comma 2 4 2 3 3 2" xfId="1068" xr:uid="{00000000-0005-0000-0000-00003B0A0000}"/>
    <cellStyle name="Comma 2 4 2 3 3 2 2" xfId="8215" xr:uid="{00000000-0005-0000-0000-00003C0A0000}"/>
    <cellStyle name="Comma 2 4 2 3 3 3" xfId="8214" xr:uid="{00000000-0005-0000-0000-00003D0A0000}"/>
    <cellStyle name="Comma 2 4 2 3 3 4" xfId="5298" xr:uid="{00000000-0005-0000-0000-00003E0A0000}"/>
    <cellStyle name="Comma 2 4 2 3 4" xfId="1069" xr:uid="{00000000-0005-0000-0000-00003F0A0000}"/>
    <cellStyle name="Comma 2 4 2 3 4 2" xfId="1070" xr:uid="{00000000-0005-0000-0000-0000400A0000}"/>
    <cellStyle name="Comma 2 4 2 3 4 2 2" xfId="8217" xr:uid="{00000000-0005-0000-0000-0000410A0000}"/>
    <cellStyle name="Comma 2 4 2 3 4 3" xfId="8216" xr:uid="{00000000-0005-0000-0000-0000420A0000}"/>
    <cellStyle name="Comma 2 4 2 3 4 4" xfId="5299" xr:uid="{00000000-0005-0000-0000-0000430A0000}"/>
    <cellStyle name="Comma 2 4 2 3 5" xfId="1071" xr:uid="{00000000-0005-0000-0000-0000440A0000}"/>
    <cellStyle name="Comma 2 4 2 3 5 2" xfId="8218" xr:uid="{00000000-0005-0000-0000-0000450A0000}"/>
    <cellStyle name="Comma 2 4 2 3 6" xfId="8209" xr:uid="{00000000-0005-0000-0000-0000460A0000}"/>
    <cellStyle name="Comma 2 4 2 3 7" xfId="5295" xr:uid="{00000000-0005-0000-0000-0000470A0000}"/>
    <cellStyle name="Comma 2 4 2 4" xfId="1072" xr:uid="{00000000-0005-0000-0000-0000480A0000}"/>
    <cellStyle name="Comma 2 4 2 4 2" xfId="1073" xr:uid="{00000000-0005-0000-0000-0000490A0000}"/>
    <cellStyle name="Comma 2 4 2 4 2 2" xfId="1074" xr:uid="{00000000-0005-0000-0000-00004A0A0000}"/>
    <cellStyle name="Comma 2 4 2 4 2 2 2" xfId="1075" xr:uid="{00000000-0005-0000-0000-00004B0A0000}"/>
    <cellStyle name="Comma 2 4 2 4 2 2 2 2" xfId="8222" xr:uid="{00000000-0005-0000-0000-00004C0A0000}"/>
    <cellStyle name="Comma 2 4 2 4 2 2 3" xfId="8221" xr:uid="{00000000-0005-0000-0000-00004D0A0000}"/>
    <cellStyle name="Comma 2 4 2 4 2 2 4" xfId="5302" xr:uid="{00000000-0005-0000-0000-00004E0A0000}"/>
    <cellStyle name="Comma 2 4 2 4 2 3" xfId="1076" xr:uid="{00000000-0005-0000-0000-00004F0A0000}"/>
    <cellStyle name="Comma 2 4 2 4 2 3 2" xfId="8223" xr:uid="{00000000-0005-0000-0000-0000500A0000}"/>
    <cellStyle name="Comma 2 4 2 4 2 4" xfId="8220" xr:uid="{00000000-0005-0000-0000-0000510A0000}"/>
    <cellStyle name="Comma 2 4 2 4 2 5" xfId="5301" xr:uid="{00000000-0005-0000-0000-0000520A0000}"/>
    <cellStyle name="Comma 2 4 2 4 3" xfId="1077" xr:uid="{00000000-0005-0000-0000-0000530A0000}"/>
    <cellStyle name="Comma 2 4 2 4 3 2" xfId="1078" xr:uid="{00000000-0005-0000-0000-0000540A0000}"/>
    <cellStyle name="Comma 2 4 2 4 3 2 2" xfId="8225" xr:uid="{00000000-0005-0000-0000-0000550A0000}"/>
    <cellStyle name="Comma 2 4 2 4 3 3" xfId="8224" xr:uid="{00000000-0005-0000-0000-0000560A0000}"/>
    <cellStyle name="Comma 2 4 2 4 3 4" xfId="5303" xr:uid="{00000000-0005-0000-0000-0000570A0000}"/>
    <cellStyle name="Comma 2 4 2 4 4" xfId="1079" xr:uid="{00000000-0005-0000-0000-0000580A0000}"/>
    <cellStyle name="Comma 2 4 2 4 4 2" xfId="1080" xr:uid="{00000000-0005-0000-0000-0000590A0000}"/>
    <cellStyle name="Comma 2 4 2 4 4 2 2" xfId="8227" xr:uid="{00000000-0005-0000-0000-00005A0A0000}"/>
    <cellStyle name="Comma 2 4 2 4 4 3" xfId="8226" xr:uid="{00000000-0005-0000-0000-00005B0A0000}"/>
    <cellStyle name="Comma 2 4 2 4 4 4" xfId="5304" xr:uid="{00000000-0005-0000-0000-00005C0A0000}"/>
    <cellStyle name="Comma 2 4 2 4 5" xfId="1081" xr:uid="{00000000-0005-0000-0000-00005D0A0000}"/>
    <cellStyle name="Comma 2 4 2 4 5 2" xfId="8228" xr:uid="{00000000-0005-0000-0000-00005E0A0000}"/>
    <cellStyle name="Comma 2 4 2 4 6" xfId="8219" xr:uid="{00000000-0005-0000-0000-00005F0A0000}"/>
    <cellStyle name="Comma 2 4 2 4 7" xfId="5300" xr:uid="{00000000-0005-0000-0000-0000600A0000}"/>
    <cellStyle name="Comma 2 4 2 5" xfId="1082" xr:uid="{00000000-0005-0000-0000-0000610A0000}"/>
    <cellStyle name="Comma 2 4 2 5 2" xfId="1083" xr:uid="{00000000-0005-0000-0000-0000620A0000}"/>
    <cellStyle name="Comma 2 4 2 5 2 2" xfId="1084" xr:uid="{00000000-0005-0000-0000-0000630A0000}"/>
    <cellStyle name="Comma 2 4 2 5 2 2 2" xfId="1085" xr:uid="{00000000-0005-0000-0000-0000640A0000}"/>
    <cellStyle name="Comma 2 4 2 5 2 2 2 2" xfId="8232" xr:uid="{00000000-0005-0000-0000-0000650A0000}"/>
    <cellStyle name="Comma 2 4 2 5 2 2 3" xfId="8231" xr:uid="{00000000-0005-0000-0000-0000660A0000}"/>
    <cellStyle name="Comma 2 4 2 5 2 2 4" xfId="5307" xr:uid="{00000000-0005-0000-0000-0000670A0000}"/>
    <cellStyle name="Comma 2 4 2 5 2 3" xfId="1086" xr:uid="{00000000-0005-0000-0000-0000680A0000}"/>
    <cellStyle name="Comma 2 4 2 5 2 3 2" xfId="8233" xr:uid="{00000000-0005-0000-0000-0000690A0000}"/>
    <cellStyle name="Comma 2 4 2 5 2 4" xfId="8230" xr:uid="{00000000-0005-0000-0000-00006A0A0000}"/>
    <cellStyle name="Comma 2 4 2 5 2 5" xfId="5306" xr:uid="{00000000-0005-0000-0000-00006B0A0000}"/>
    <cellStyle name="Comma 2 4 2 5 3" xfId="1087" xr:uid="{00000000-0005-0000-0000-00006C0A0000}"/>
    <cellStyle name="Comma 2 4 2 5 3 2" xfId="1088" xr:uid="{00000000-0005-0000-0000-00006D0A0000}"/>
    <cellStyle name="Comma 2 4 2 5 3 2 2" xfId="8235" xr:uid="{00000000-0005-0000-0000-00006E0A0000}"/>
    <cellStyle name="Comma 2 4 2 5 3 3" xfId="8234" xr:uid="{00000000-0005-0000-0000-00006F0A0000}"/>
    <cellStyle name="Comma 2 4 2 5 3 4" xfId="5308" xr:uid="{00000000-0005-0000-0000-0000700A0000}"/>
    <cellStyle name="Comma 2 4 2 5 4" xfId="1089" xr:uid="{00000000-0005-0000-0000-0000710A0000}"/>
    <cellStyle name="Comma 2 4 2 5 4 2" xfId="1090" xr:uid="{00000000-0005-0000-0000-0000720A0000}"/>
    <cellStyle name="Comma 2 4 2 5 4 2 2" xfId="8237" xr:uid="{00000000-0005-0000-0000-0000730A0000}"/>
    <cellStyle name="Comma 2 4 2 5 4 3" xfId="8236" xr:uid="{00000000-0005-0000-0000-0000740A0000}"/>
    <cellStyle name="Comma 2 4 2 5 4 4" xfId="5309" xr:uid="{00000000-0005-0000-0000-0000750A0000}"/>
    <cellStyle name="Comma 2 4 2 5 5" xfId="1091" xr:uid="{00000000-0005-0000-0000-0000760A0000}"/>
    <cellStyle name="Comma 2 4 2 5 5 2" xfId="8238" xr:uid="{00000000-0005-0000-0000-0000770A0000}"/>
    <cellStyle name="Comma 2 4 2 5 6" xfId="8229" xr:uid="{00000000-0005-0000-0000-0000780A0000}"/>
    <cellStyle name="Comma 2 4 2 5 7" xfId="5305" xr:uid="{00000000-0005-0000-0000-0000790A0000}"/>
    <cellStyle name="Comma 2 4 2 6" xfId="1092" xr:uid="{00000000-0005-0000-0000-00007A0A0000}"/>
    <cellStyle name="Comma 2 4 2 6 2" xfId="1093" xr:uid="{00000000-0005-0000-0000-00007B0A0000}"/>
    <cellStyle name="Comma 2 4 2 6 2 2" xfId="1094" xr:uid="{00000000-0005-0000-0000-00007C0A0000}"/>
    <cellStyle name="Comma 2 4 2 6 2 2 2" xfId="1095" xr:uid="{00000000-0005-0000-0000-00007D0A0000}"/>
    <cellStyle name="Comma 2 4 2 6 2 2 2 2" xfId="8242" xr:uid="{00000000-0005-0000-0000-00007E0A0000}"/>
    <cellStyle name="Comma 2 4 2 6 2 2 3" xfId="8241" xr:uid="{00000000-0005-0000-0000-00007F0A0000}"/>
    <cellStyle name="Comma 2 4 2 6 2 2 4" xfId="5312" xr:uid="{00000000-0005-0000-0000-0000800A0000}"/>
    <cellStyle name="Comma 2 4 2 6 2 3" xfId="1096" xr:uid="{00000000-0005-0000-0000-0000810A0000}"/>
    <cellStyle name="Comma 2 4 2 6 2 3 2" xfId="8243" xr:uid="{00000000-0005-0000-0000-0000820A0000}"/>
    <cellStyle name="Comma 2 4 2 6 2 4" xfId="8240" xr:uid="{00000000-0005-0000-0000-0000830A0000}"/>
    <cellStyle name="Comma 2 4 2 6 2 5" xfId="5311" xr:uid="{00000000-0005-0000-0000-0000840A0000}"/>
    <cellStyle name="Comma 2 4 2 6 3" xfId="1097" xr:uid="{00000000-0005-0000-0000-0000850A0000}"/>
    <cellStyle name="Comma 2 4 2 6 3 2" xfId="1098" xr:uid="{00000000-0005-0000-0000-0000860A0000}"/>
    <cellStyle name="Comma 2 4 2 6 3 2 2" xfId="8245" xr:uid="{00000000-0005-0000-0000-0000870A0000}"/>
    <cellStyle name="Comma 2 4 2 6 3 3" xfId="8244" xr:uid="{00000000-0005-0000-0000-0000880A0000}"/>
    <cellStyle name="Comma 2 4 2 6 3 4" xfId="5313" xr:uid="{00000000-0005-0000-0000-0000890A0000}"/>
    <cellStyle name="Comma 2 4 2 6 4" xfId="1099" xr:uid="{00000000-0005-0000-0000-00008A0A0000}"/>
    <cellStyle name="Comma 2 4 2 6 4 2" xfId="1100" xr:uid="{00000000-0005-0000-0000-00008B0A0000}"/>
    <cellStyle name="Comma 2 4 2 6 4 2 2" xfId="8247" xr:uid="{00000000-0005-0000-0000-00008C0A0000}"/>
    <cellStyle name="Comma 2 4 2 6 4 3" xfId="8246" xr:uid="{00000000-0005-0000-0000-00008D0A0000}"/>
    <cellStyle name="Comma 2 4 2 6 4 4" xfId="5314" xr:uid="{00000000-0005-0000-0000-00008E0A0000}"/>
    <cellStyle name="Comma 2 4 2 6 5" xfId="1101" xr:uid="{00000000-0005-0000-0000-00008F0A0000}"/>
    <cellStyle name="Comma 2 4 2 6 5 2" xfId="8248" xr:uid="{00000000-0005-0000-0000-0000900A0000}"/>
    <cellStyle name="Comma 2 4 2 6 6" xfId="8239" xr:uid="{00000000-0005-0000-0000-0000910A0000}"/>
    <cellStyle name="Comma 2 4 2 6 7" xfId="5310" xr:uid="{00000000-0005-0000-0000-0000920A0000}"/>
    <cellStyle name="Comma 2 4 2 7" xfId="1102" xr:uid="{00000000-0005-0000-0000-0000930A0000}"/>
    <cellStyle name="Comma 2 4 2 7 2" xfId="1103" xr:uid="{00000000-0005-0000-0000-0000940A0000}"/>
    <cellStyle name="Comma 2 4 2 7 2 2" xfId="1104" xr:uid="{00000000-0005-0000-0000-0000950A0000}"/>
    <cellStyle name="Comma 2 4 2 7 2 2 2" xfId="8251" xr:uid="{00000000-0005-0000-0000-0000960A0000}"/>
    <cellStyle name="Comma 2 4 2 7 2 3" xfId="8250" xr:uid="{00000000-0005-0000-0000-0000970A0000}"/>
    <cellStyle name="Comma 2 4 2 7 2 4" xfId="5316" xr:uid="{00000000-0005-0000-0000-0000980A0000}"/>
    <cellStyle name="Comma 2 4 2 7 3" xfId="1105" xr:uid="{00000000-0005-0000-0000-0000990A0000}"/>
    <cellStyle name="Comma 2 4 2 7 3 2" xfId="1106" xr:uid="{00000000-0005-0000-0000-00009A0A0000}"/>
    <cellStyle name="Comma 2 4 2 7 3 2 2" xfId="8253" xr:uid="{00000000-0005-0000-0000-00009B0A0000}"/>
    <cellStyle name="Comma 2 4 2 7 3 3" xfId="8252" xr:uid="{00000000-0005-0000-0000-00009C0A0000}"/>
    <cellStyle name="Comma 2 4 2 7 3 4" xfId="5317" xr:uid="{00000000-0005-0000-0000-00009D0A0000}"/>
    <cellStyle name="Comma 2 4 2 7 4" xfId="1107" xr:uid="{00000000-0005-0000-0000-00009E0A0000}"/>
    <cellStyle name="Comma 2 4 2 7 4 2" xfId="8254" xr:uid="{00000000-0005-0000-0000-00009F0A0000}"/>
    <cellStyle name="Comma 2 4 2 7 5" xfId="8249" xr:uid="{00000000-0005-0000-0000-0000A00A0000}"/>
    <cellStyle name="Comma 2 4 2 7 6" xfId="5315" xr:uid="{00000000-0005-0000-0000-0000A10A0000}"/>
    <cellStyle name="Comma 2 4 2 8" xfId="1108" xr:uid="{00000000-0005-0000-0000-0000A20A0000}"/>
    <cellStyle name="Comma 2 4 2 8 2" xfId="1109" xr:uid="{00000000-0005-0000-0000-0000A30A0000}"/>
    <cellStyle name="Comma 2 4 2 8 2 2" xfId="1110" xr:uid="{00000000-0005-0000-0000-0000A40A0000}"/>
    <cellStyle name="Comma 2 4 2 8 2 2 2" xfId="8257" xr:uid="{00000000-0005-0000-0000-0000A50A0000}"/>
    <cellStyle name="Comma 2 4 2 8 2 3" xfId="8256" xr:uid="{00000000-0005-0000-0000-0000A60A0000}"/>
    <cellStyle name="Comma 2 4 2 8 2 4" xfId="5319" xr:uid="{00000000-0005-0000-0000-0000A70A0000}"/>
    <cellStyle name="Comma 2 4 2 8 3" xfId="1111" xr:uid="{00000000-0005-0000-0000-0000A80A0000}"/>
    <cellStyle name="Comma 2 4 2 8 3 2" xfId="8258" xr:uid="{00000000-0005-0000-0000-0000A90A0000}"/>
    <cellStyle name="Comma 2 4 2 8 4" xfId="8255" xr:uid="{00000000-0005-0000-0000-0000AA0A0000}"/>
    <cellStyle name="Comma 2 4 2 8 5" xfId="5318" xr:uid="{00000000-0005-0000-0000-0000AB0A0000}"/>
    <cellStyle name="Comma 2 4 2 9" xfId="1112" xr:uid="{00000000-0005-0000-0000-0000AC0A0000}"/>
    <cellStyle name="Comma 2 4 2 9 2" xfId="1113" xr:uid="{00000000-0005-0000-0000-0000AD0A0000}"/>
    <cellStyle name="Comma 2 4 2 9 2 2" xfId="8260" xr:uid="{00000000-0005-0000-0000-0000AE0A0000}"/>
    <cellStyle name="Comma 2 4 2 9 3" xfId="8259" xr:uid="{00000000-0005-0000-0000-0000AF0A0000}"/>
    <cellStyle name="Comma 2 4 2 9 4" xfId="5320" xr:uid="{00000000-0005-0000-0000-0000B00A0000}"/>
    <cellStyle name="Comma 2 4 3" xfId="1114" xr:uid="{00000000-0005-0000-0000-0000B10A0000}"/>
    <cellStyle name="Comma 2 4 3 10" xfId="1115" xr:uid="{00000000-0005-0000-0000-0000B20A0000}"/>
    <cellStyle name="Comma 2 4 3 10 2" xfId="1116" xr:uid="{00000000-0005-0000-0000-0000B30A0000}"/>
    <cellStyle name="Comma 2 4 3 10 2 2" xfId="8263" xr:uid="{00000000-0005-0000-0000-0000B40A0000}"/>
    <cellStyle name="Comma 2 4 3 10 3" xfId="8262" xr:uid="{00000000-0005-0000-0000-0000B50A0000}"/>
    <cellStyle name="Comma 2 4 3 10 4" xfId="5322" xr:uid="{00000000-0005-0000-0000-0000B60A0000}"/>
    <cellStyle name="Comma 2 4 3 11" xfId="1117" xr:uid="{00000000-0005-0000-0000-0000B70A0000}"/>
    <cellStyle name="Comma 2 4 3 11 2" xfId="8264" xr:uid="{00000000-0005-0000-0000-0000B80A0000}"/>
    <cellStyle name="Comma 2 4 3 12" xfId="8261" xr:uid="{00000000-0005-0000-0000-0000B90A0000}"/>
    <cellStyle name="Comma 2 4 3 13" xfId="5321" xr:uid="{00000000-0005-0000-0000-0000BA0A0000}"/>
    <cellStyle name="Comma 2 4 3 2" xfId="1118" xr:uid="{00000000-0005-0000-0000-0000BB0A0000}"/>
    <cellStyle name="Comma 2 4 3 2 10" xfId="1119" xr:uid="{00000000-0005-0000-0000-0000BC0A0000}"/>
    <cellStyle name="Comma 2 4 3 2 10 2" xfId="8266" xr:uid="{00000000-0005-0000-0000-0000BD0A0000}"/>
    <cellStyle name="Comma 2 4 3 2 11" xfId="8265" xr:uid="{00000000-0005-0000-0000-0000BE0A0000}"/>
    <cellStyle name="Comma 2 4 3 2 12" xfId="5323" xr:uid="{00000000-0005-0000-0000-0000BF0A0000}"/>
    <cellStyle name="Comma 2 4 3 2 2" xfId="1120" xr:uid="{00000000-0005-0000-0000-0000C00A0000}"/>
    <cellStyle name="Comma 2 4 3 2 2 2" xfId="1121" xr:uid="{00000000-0005-0000-0000-0000C10A0000}"/>
    <cellStyle name="Comma 2 4 3 2 2 2 2" xfId="1122" xr:uid="{00000000-0005-0000-0000-0000C20A0000}"/>
    <cellStyle name="Comma 2 4 3 2 2 2 2 2" xfId="1123" xr:uid="{00000000-0005-0000-0000-0000C30A0000}"/>
    <cellStyle name="Comma 2 4 3 2 2 2 2 2 2" xfId="8270" xr:uid="{00000000-0005-0000-0000-0000C40A0000}"/>
    <cellStyle name="Comma 2 4 3 2 2 2 2 3" xfId="8269" xr:uid="{00000000-0005-0000-0000-0000C50A0000}"/>
    <cellStyle name="Comma 2 4 3 2 2 2 2 4" xfId="5326" xr:uid="{00000000-0005-0000-0000-0000C60A0000}"/>
    <cellStyle name="Comma 2 4 3 2 2 2 3" xfId="1124" xr:uid="{00000000-0005-0000-0000-0000C70A0000}"/>
    <cellStyle name="Comma 2 4 3 2 2 2 3 2" xfId="8271" xr:uid="{00000000-0005-0000-0000-0000C80A0000}"/>
    <cellStyle name="Comma 2 4 3 2 2 2 4" xfId="8268" xr:uid="{00000000-0005-0000-0000-0000C90A0000}"/>
    <cellStyle name="Comma 2 4 3 2 2 2 5" xfId="5325" xr:uid="{00000000-0005-0000-0000-0000CA0A0000}"/>
    <cellStyle name="Comma 2 4 3 2 2 3" xfId="1125" xr:uid="{00000000-0005-0000-0000-0000CB0A0000}"/>
    <cellStyle name="Comma 2 4 3 2 2 3 2" xfId="1126" xr:uid="{00000000-0005-0000-0000-0000CC0A0000}"/>
    <cellStyle name="Comma 2 4 3 2 2 3 2 2" xfId="8273" xr:uid="{00000000-0005-0000-0000-0000CD0A0000}"/>
    <cellStyle name="Comma 2 4 3 2 2 3 3" xfId="8272" xr:uid="{00000000-0005-0000-0000-0000CE0A0000}"/>
    <cellStyle name="Comma 2 4 3 2 2 3 4" xfId="5327" xr:uid="{00000000-0005-0000-0000-0000CF0A0000}"/>
    <cellStyle name="Comma 2 4 3 2 2 4" xfId="1127" xr:uid="{00000000-0005-0000-0000-0000D00A0000}"/>
    <cellStyle name="Comma 2 4 3 2 2 4 2" xfId="1128" xr:uid="{00000000-0005-0000-0000-0000D10A0000}"/>
    <cellStyle name="Comma 2 4 3 2 2 4 2 2" xfId="8275" xr:uid="{00000000-0005-0000-0000-0000D20A0000}"/>
    <cellStyle name="Comma 2 4 3 2 2 4 3" xfId="8274" xr:uid="{00000000-0005-0000-0000-0000D30A0000}"/>
    <cellStyle name="Comma 2 4 3 2 2 4 4" xfId="5328" xr:uid="{00000000-0005-0000-0000-0000D40A0000}"/>
    <cellStyle name="Comma 2 4 3 2 2 5" xfId="1129" xr:uid="{00000000-0005-0000-0000-0000D50A0000}"/>
    <cellStyle name="Comma 2 4 3 2 2 5 2" xfId="8276" xr:uid="{00000000-0005-0000-0000-0000D60A0000}"/>
    <cellStyle name="Comma 2 4 3 2 2 6" xfId="8267" xr:uid="{00000000-0005-0000-0000-0000D70A0000}"/>
    <cellStyle name="Comma 2 4 3 2 2 7" xfId="5324" xr:uid="{00000000-0005-0000-0000-0000D80A0000}"/>
    <cellStyle name="Comma 2 4 3 2 3" xfId="1130" xr:uid="{00000000-0005-0000-0000-0000D90A0000}"/>
    <cellStyle name="Comma 2 4 3 2 3 2" xfId="1131" xr:uid="{00000000-0005-0000-0000-0000DA0A0000}"/>
    <cellStyle name="Comma 2 4 3 2 3 2 2" xfId="1132" xr:uid="{00000000-0005-0000-0000-0000DB0A0000}"/>
    <cellStyle name="Comma 2 4 3 2 3 2 2 2" xfId="1133" xr:uid="{00000000-0005-0000-0000-0000DC0A0000}"/>
    <cellStyle name="Comma 2 4 3 2 3 2 2 2 2" xfId="8280" xr:uid="{00000000-0005-0000-0000-0000DD0A0000}"/>
    <cellStyle name="Comma 2 4 3 2 3 2 2 3" xfId="8279" xr:uid="{00000000-0005-0000-0000-0000DE0A0000}"/>
    <cellStyle name="Comma 2 4 3 2 3 2 2 4" xfId="5331" xr:uid="{00000000-0005-0000-0000-0000DF0A0000}"/>
    <cellStyle name="Comma 2 4 3 2 3 2 3" xfId="1134" xr:uid="{00000000-0005-0000-0000-0000E00A0000}"/>
    <cellStyle name="Comma 2 4 3 2 3 2 3 2" xfId="8281" xr:uid="{00000000-0005-0000-0000-0000E10A0000}"/>
    <cellStyle name="Comma 2 4 3 2 3 2 4" xfId="8278" xr:uid="{00000000-0005-0000-0000-0000E20A0000}"/>
    <cellStyle name="Comma 2 4 3 2 3 2 5" xfId="5330" xr:uid="{00000000-0005-0000-0000-0000E30A0000}"/>
    <cellStyle name="Comma 2 4 3 2 3 3" xfId="1135" xr:uid="{00000000-0005-0000-0000-0000E40A0000}"/>
    <cellStyle name="Comma 2 4 3 2 3 3 2" xfId="1136" xr:uid="{00000000-0005-0000-0000-0000E50A0000}"/>
    <cellStyle name="Comma 2 4 3 2 3 3 2 2" xfId="8283" xr:uid="{00000000-0005-0000-0000-0000E60A0000}"/>
    <cellStyle name="Comma 2 4 3 2 3 3 3" xfId="8282" xr:uid="{00000000-0005-0000-0000-0000E70A0000}"/>
    <cellStyle name="Comma 2 4 3 2 3 3 4" xfId="5332" xr:uid="{00000000-0005-0000-0000-0000E80A0000}"/>
    <cellStyle name="Comma 2 4 3 2 3 4" xfId="1137" xr:uid="{00000000-0005-0000-0000-0000E90A0000}"/>
    <cellStyle name="Comma 2 4 3 2 3 4 2" xfId="1138" xr:uid="{00000000-0005-0000-0000-0000EA0A0000}"/>
    <cellStyle name="Comma 2 4 3 2 3 4 2 2" xfId="8285" xr:uid="{00000000-0005-0000-0000-0000EB0A0000}"/>
    <cellStyle name="Comma 2 4 3 2 3 4 3" xfId="8284" xr:uid="{00000000-0005-0000-0000-0000EC0A0000}"/>
    <cellStyle name="Comma 2 4 3 2 3 4 4" xfId="5333" xr:uid="{00000000-0005-0000-0000-0000ED0A0000}"/>
    <cellStyle name="Comma 2 4 3 2 3 5" xfId="1139" xr:uid="{00000000-0005-0000-0000-0000EE0A0000}"/>
    <cellStyle name="Comma 2 4 3 2 3 5 2" xfId="8286" xr:uid="{00000000-0005-0000-0000-0000EF0A0000}"/>
    <cellStyle name="Comma 2 4 3 2 3 6" xfId="8277" xr:uid="{00000000-0005-0000-0000-0000F00A0000}"/>
    <cellStyle name="Comma 2 4 3 2 3 7" xfId="5329" xr:uid="{00000000-0005-0000-0000-0000F10A0000}"/>
    <cellStyle name="Comma 2 4 3 2 4" xfId="1140" xr:uid="{00000000-0005-0000-0000-0000F20A0000}"/>
    <cellStyle name="Comma 2 4 3 2 4 2" xfId="1141" xr:uid="{00000000-0005-0000-0000-0000F30A0000}"/>
    <cellStyle name="Comma 2 4 3 2 4 2 2" xfId="1142" xr:uid="{00000000-0005-0000-0000-0000F40A0000}"/>
    <cellStyle name="Comma 2 4 3 2 4 2 2 2" xfId="1143" xr:uid="{00000000-0005-0000-0000-0000F50A0000}"/>
    <cellStyle name="Comma 2 4 3 2 4 2 2 2 2" xfId="8290" xr:uid="{00000000-0005-0000-0000-0000F60A0000}"/>
    <cellStyle name="Comma 2 4 3 2 4 2 2 3" xfId="8289" xr:uid="{00000000-0005-0000-0000-0000F70A0000}"/>
    <cellStyle name="Comma 2 4 3 2 4 2 2 4" xfId="5336" xr:uid="{00000000-0005-0000-0000-0000F80A0000}"/>
    <cellStyle name="Comma 2 4 3 2 4 2 3" xfId="1144" xr:uid="{00000000-0005-0000-0000-0000F90A0000}"/>
    <cellStyle name="Comma 2 4 3 2 4 2 3 2" xfId="8291" xr:uid="{00000000-0005-0000-0000-0000FA0A0000}"/>
    <cellStyle name="Comma 2 4 3 2 4 2 4" xfId="8288" xr:uid="{00000000-0005-0000-0000-0000FB0A0000}"/>
    <cellStyle name="Comma 2 4 3 2 4 2 5" xfId="5335" xr:uid="{00000000-0005-0000-0000-0000FC0A0000}"/>
    <cellStyle name="Comma 2 4 3 2 4 3" xfId="1145" xr:uid="{00000000-0005-0000-0000-0000FD0A0000}"/>
    <cellStyle name="Comma 2 4 3 2 4 3 2" xfId="1146" xr:uid="{00000000-0005-0000-0000-0000FE0A0000}"/>
    <cellStyle name="Comma 2 4 3 2 4 3 2 2" xfId="8293" xr:uid="{00000000-0005-0000-0000-0000FF0A0000}"/>
    <cellStyle name="Comma 2 4 3 2 4 3 3" xfId="8292" xr:uid="{00000000-0005-0000-0000-0000000B0000}"/>
    <cellStyle name="Comma 2 4 3 2 4 3 4" xfId="5337" xr:uid="{00000000-0005-0000-0000-0000010B0000}"/>
    <cellStyle name="Comma 2 4 3 2 4 4" xfId="1147" xr:uid="{00000000-0005-0000-0000-0000020B0000}"/>
    <cellStyle name="Comma 2 4 3 2 4 4 2" xfId="1148" xr:uid="{00000000-0005-0000-0000-0000030B0000}"/>
    <cellStyle name="Comma 2 4 3 2 4 4 2 2" xfId="8295" xr:uid="{00000000-0005-0000-0000-0000040B0000}"/>
    <cellStyle name="Comma 2 4 3 2 4 4 3" xfId="8294" xr:uid="{00000000-0005-0000-0000-0000050B0000}"/>
    <cellStyle name="Comma 2 4 3 2 4 4 4" xfId="5338" xr:uid="{00000000-0005-0000-0000-0000060B0000}"/>
    <cellStyle name="Comma 2 4 3 2 4 5" xfId="1149" xr:uid="{00000000-0005-0000-0000-0000070B0000}"/>
    <cellStyle name="Comma 2 4 3 2 4 5 2" xfId="8296" xr:uid="{00000000-0005-0000-0000-0000080B0000}"/>
    <cellStyle name="Comma 2 4 3 2 4 6" xfId="8287" xr:uid="{00000000-0005-0000-0000-0000090B0000}"/>
    <cellStyle name="Comma 2 4 3 2 4 7" xfId="5334" xr:uid="{00000000-0005-0000-0000-00000A0B0000}"/>
    <cellStyle name="Comma 2 4 3 2 5" xfId="1150" xr:uid="{00000000-0005-0000-0000-00000B0B0000}"/>
    <cellStyle name="Comma 2 4 3 2 5 2" xfId="1151" xr:uid="{00000000-0005-0000-0000-00000C0B0000}"/>
    <cellStyle name="Comma 2 4 3 2 5 2 2" xfId="1152" xr:uid="{00000000-0005-0000-0000-00000D0B0000}"/>
    <cellStyle name="Comma 2 4 3 2 5 2 2 2" xfId="1153" xr:uid="{00000000-0005-0000-0000-00000E0B0000}"/>
    <cellStyle name="Comma 2 4 3 2 5 2 2 2 2" xfId="8300" xr:uid="{00000000-0005-0000-0000-00000F0B0000}"/>
    <cellStyle name="Comma 2 4 3 2 5 2 2 3" xfId="8299" xr:uid="{00000000-0005-0000-0000-0000100B0000}"/>
    <cellStyle name="Comma 2 4 3 2 5 2 2 4" xfId="5341" xr:uid="{00000000-0005-0000-0000-0000110B0000}"/>
    <cellStyle name="Comma 2 4 3 2 5 2 3" xfId="1154" xr:uid="{00000000-0005-0000-0000-0000120B0000}"/>
    <cellStyle name="Comma 2 4 3 2 5 2 3 2" xfId="8301" xr:uid="{00000000-0005-0000-0000-0000130B0000}"/>
    <cellStyle name="Comma 2 4 3 2 5 2 4" xfId="8298" xr:uid="{00000000-0005-0000-0000-0000140B0000}"/>
    <cellStyle name="Comma 2 4 3 2 5 2 5" xfId="5340" xr:uid="{00000000-0005-0000-0000-0000150B0000}"/>
    <cellStyle name="Comma 2 4 3 2 5 3" xfId="1155" xr:uid="{00000000-0005-0000-0000-0000160B0000}"/>
    <cellStyle name="Comma 2 4 3 2 5 3 2" xfId="1156" xr:uid="{00000000-0005-0000-0000-0000170B0000}"/>
    <cellStyle name="Comma 2 4 3 2 5 3 2 2" xfId="8303" xr:uid="{00000000-0005-0000-0000-0000180B0000}"/>
    <cellStyle name="Comma 2 4 3 2 5 3 3" xfId="8302" xr:uid="{00000000-0005-0000-0000-0000190B0000}"/>
    <cellStyle name="Comma 2 4 3 2 5 3 4" xfId="5342" xr:uid="{00000000-0005-0000-0000-00001A0B0000}"/>
    <cellStyle name="Comma 2 4 3 2 5 4" xfId="1157" xr:uid="{00000000-0005-0000-0000-00001B0B0000}"/>
    <cellStyle name="Comma 2 4 3 2 5 4 2" xfId="1158" xr:uid="{00000000-0005-0000-0000-00001C0B0000}"/>
    <cellStyle name="Comma 2 4 3 2 5 4 2 2" xfId="8305" xr:uid="{00000000-0005-0000-0000-00001D0B0000}"/>
    <cellStyle name="Comma 2 4 3 2 5 4 3" xfId="8304" xr:uid="{00000000-0005-0000-0000-00001E0B0000}"/>
    <cellStyle name="Comma 2 4 3 2 5 4 4" xfId="5343" xr:uid="{00000000-0005-0000-0000-00001F0B0000}"/>
    <cellStyle name="Comma 2 4 3 2 5 5" xfId="1159" xr:uid="{00000000-0005-0000-0000-0000200B0000}"/>
    <cellStyle name="Comma 2 4 3 2 5 5 2" xfId="8306" xr:uid="{00000000-0005-0000-0000-0000210B0000}"/>
    <cellStyle name="Comma 2 4 3 2 5 6" xfId="8297" xr:uid="{00000000-0005-0000-0000-0000220B0000}"/>
    <cellStyle name="Comma 2 4 3 2 5 7" xfId="5339" xr:uid="{00000000-0005-0000-0000-0000230B0000}"/>
    <cellStyle name="Comma 2 4 3 2 6" xfId="1160" xr:uid="{00000000-0005-0000-0000-0000240B0000}"/>
    <cellStyle name="Comma 2 4 3 2 6 2" xfId="1161" xr:uid="{00000000-0005-0000-0000-0000250B0000}"/>
    <cellStyle name="Comma 2 4 3 2 6 2 2" xfId="1162" xr:uid="{00000000-0005-0000-0000-0000260B0000}"/>
    <cellStyle name="Comma 2 4 3 2 6 2 2 2" xfId="8309" xr:uid="{00000000-0005-0000-0000-0000270B0000}"/>
    <cellStyle name="Comma 2 4 3 2 6 2 3" xfId="8308" xr:uid="{00000000-0005-0000-0000-0000280B0000}"/>
    <cellStyle name="Comma 2 4 3 2 6 2 4" xfId="5345" xr:uid="{00000000-0005-0000-0000-0000290B0000}"/>
    <cellStyle name="Comma 2 4 3 2 6 3" xfId="1163" xr:uid="{00000000-0005-0000-0000-00002A0B0000}"/>
    <cellStyle name="Comma 2 4 3 2 6 3 2" xfId="1164" xr:uid="{00000000-0005-0000-0000-00002B0B0000}"/>
    <cellStyle name="Comma 2 4 3 2 6 3 2 2" xfId="8311" xr:uid="{00000000-0005-0000-0000-00002C0B0000}"/>
    <cellStyle name="Comma 2 4 3 2 6 3 3" xfId="8310" xr:uid="{00000000-0005-0000-0000-00002D0B0000}"/>
    <cellStyle name="Comma 2 4 3 2 6 3 4" xfId="5346" xr:uid="{00000000-0005-0000-0000-00002E0B0000}"/>
    <cellStyle name="Comma 2 4 3 2 6 4" xfId="1165" xr:uid="{00000000-0005-0000-0000-00002F0B0000}"/>
    <cellStyle name="Comma 2 4 3 2 6 4 2" xfId="8312" xr:uid="{00000000-0005-0000-0000-0000300B0000}"/>
    <cellStyle name="Comma 2 4 3 2 6 5" xfId="8307" xr:uid="{00000000-0005-0000-0000-0000310B0000}"/>
    <cellStyle name="Comma 2 4 3 2 6 6" xfId="5344" xr:uid="{00000000-0005-0000-0000-0000320B0000}"/>
    <cellStyle name="Comma 2 4 3 2 7" xfId="1166" xr:uid="{00000000-0005-0000-0000-0000330B0000}"/>
    <cellStyle name="Comma 2 4 3 2 7 2" xfId="1167" xr:uid="{00000000-0005-0000-0000-0000340B0000}"/>
    <cellStyle name="Comma 2 4 3 2 7 2 2" xfId="1168" xr:uid="{00000000-0005-0000-0000-0000350B0000}"/>
    <cellStyle name="Comma 2 4 3 2 7 2 2 2" xfId="8315" xr:uid="{00000000-0005-0000-0000-0000360B0000}"/>
    <cellStyle name="Comma 2 4 3 2 7 2 3" xfId="8314" xr:uid="{00000000-0005-0000-0000-0000370B0000}"/>
    <cellStyle name="Comma 2 4 3 2 7 2 4" xfId="5348" xr:uid="{00000000-0005-0000-0000-0000380B0000}"/>
    <cellStyle name="Comma 2 4 3 2 7 3" xfId="1169" xr:uid="{00000000-0005-0000-0000-0000390B0000}"/>
    <cellStyle name="Comma 2 4 3 2 7 3 2" xfId="8316" xr:uid="{00000000-0005-0000-0000-00003A0B0000}"/>
    <cellStyle name="Comma 2 4 3 2 7 4" xfId="8313" xr:uid="{00000000-0005-0000-0000-00003B0B0000}"/>
    <cellStyle name="Comma 2 4 3 2 7 5" xfId="5347" xr:uid="{00000000-0005-0000-0000-00003C0B0000}"/>
    <cellStyle name="Comma 2 4 3 2 8" xfId="1170" xr:uid="{00000000-0005-0000-0000-00003D0B0000}"/>
    <cellStyle name="Comma 2 4 3 2 8 2" xfId="1171" xr:uid="{00000000-0005-0000-0000-00003E0B0000}"/>
    <cellStyle name="Comma 2 4 3 2 8 2 2" xfId="8318" xr:uid="{00000000-0005-0000-0000-00003F0B0000}"/>
    <cellStyle name="Comma 2 4 3 2 8 3" xfId="8317" xr:uid="{00000000-0005-0000-0000-0000400B0000}"/>
    <cellStyle name="Comma 2 4 3 2 8 4" xfId="5349" xr:uid="{00000000-0005-0000-0000-0000410B0000}"/>
    <cellStyle name="Comma 2 4 3 2 9" xfId="1172" xr:uid="{00000000-0005-0000-0000-0000420B0000}"/>
    <cellStyle name="Comma 2 4 3 2 9 2" xfId="1173" xr:uid="{00000000-0005-0000-0000-0000430B0000}"/>
    <cellStyle name="Comma 2 4 3 2 9 2 2" xfId="8320" xr:uid="{00000000-0005-0000-0000-0000440B0000}"/>
    <cellStyle name="Comma 2 4 3 2 9 3" xfId="8319" xr:uid="{00000000-0005-0000-0000-0000450B0000}"/>
    <cellStyle name="Comma 2 4 3 2 9 4" xfId="5350" xr:uid="{00000000-0005-0000-0000-0000460B0000}"/>
    <cellStyle name="Comma 2 4 3 3" xfId="1174" xr:uid="{00000000-0005-0000-0000-0000470B0000}"/>
    <cellStyle name="Comma 2 4 3 3 2" xfId="1175" xr:uid="{00000000-0005-0000-0000-0000480B0000}"/>
    <cellStyle name="Comma 2 4 3 3 2 2" xfId="1176" xr:uid="{00000000-0005-0000-0000-0000490B0000}"/>
    <cellStyle name="Comma 2 4 3 3 2 2 2" xfId="1177" xr:uid="{00000000-0005-0000-0000-00004A0B0000}"/>
    <cellStyle name="Comma 2 4 3 3 2 2 2 2" xfId="8324" xr:uid="{00000000-0005-0000-0000-00004B0B0000}"/>
    <cellStyle name="Comma 2 4 3 3 2 2 3" xfId="8323" xr:uid="{00000000-0005-0000-0000-00004C0B0000}"/>
    <cellStyle name="Comma 2 4 3 3 2 2 4" xfId="5353" xr:uid="{00000000-0005-0000-0000-00004D0B0000}"/>
    <cellStyle name="Comma 2 4 3 3 2 3" xfId="1178" xr:uid="{00000000-0005-0000-0000-00004E0B0000}"/>
    <cellStyle name="Comma 2 4 3 3 2 3 2" xfId="8325" xr:uid="{00000000-0005-0000-0000-00004F0B0000}"/>
    <cellStyle name="Comma 2 4 3 3 2 4" xfId="8322" xr:uid="{00000000-0005-0000-0000-0000500B0000}"/>
    <cellStyle name="Comma 2 4 3 3 2 5" xfId="5352" xr:uid="{00000000-0005-0000-0000-0000510B0000}"/>
    <cellStyle name="Comma 2 4 3 3 3" xfId="1179" xr:uid="{00000000-0005-0000-0000-0000520B0000}"/>
    <cellStyle name="Comma 2 4 3 3 3 2" xfId="1180" xr:uid="{00000000-0005-0000-0000-0000530B0000}"/>
    <cellStyle name="Comma 2 4 3 3 3 2 2" xfId="8327" xr:uid="{00000000-0005-0000-0000-0000540B0000}"/>
    <cellStyle name="Comma 2 4 3 3 3 3" xfId="8326" xr:uid="{00000000-0005-0000-0000-0000550B0000}"/>
    <cellStyle name="Comma 2 4 3 3 3 4" xfId="5354" xr:uid="{00000000-0005-0000-0000-0000560B0000}"/>
    <cellStyle name="Comma 2 4 3 3 4" xfId="1181" xr:uid="{00000000-0005-0000-0000-0000570B0000}"/>
    <cellStyle name="Comma 2 4 3 3 4 2" xfId="1182" xr:uid="{00000000-0005-0000-0000-0000580B0000}"/>
    <cellStyle name="Comma 2 4 3 3 4 2 2" xfId="8329" xr:uid="{00000000-0005-0000-0000-0000590B0000}"/>
    <cellStyle name="Comma 2 4 3 3 4 3" xfId="8328" xr:uid="{00000000-0005-0000-0000-00005A0B0000}"/>
    <cellStyle name="Comma 2 4 3 3 4 4" xfId="5355" xr:uid="{00000000-0005-0000-0000-00005B0B0000}"/>
    <cellStyle name="Comma 2 4 3 3 5" xfId="1183" xr:uid="{00000000-0005-0000-0000-00005C0B0000}"/>
    <cellStyle name="Comma 2 4 3 3 5 2" xfId="8330" xr:uid="{00000000-0005-0000-0000-00005D0B0000}"/>
    <cellStyle name="Comma 2 4 3 3 6" xfId="8321" xr:uid="{00000000-0005-0000-0000-00005E0B0000}"/>
    <cellStyle name="Comma 2 4 3 3 7" xfId="5351" xr:uid="{00000000-0005-0000-0000-00005F0B0000}"/>
    <cellStyle name="Comma 2 4 3 4" xfId="1184" xr:uid="{00000000-0005-0000-0000-0000600B0000}"/>
    <cellStyle name="Comma 2 4 3 4 2" xfId="1185" xr:uid="{00000000-0005-0000-0000-0000610B0000}"/>
    <cellStyle name="Comma 2 4 3 4 2 2" xfId="1186" xr:uid="{00000000-0005-0000-0000-0000620B0000}"/>
    <cellStyle name="Comma 2 4 3 4 2 2 2" xfId="1187" xr:uid="{00000000-0005-0000-0000-0000630B0000}"/>
    <cellStyle name="Comma 2 4 3 4 2 2 2 2" xfId="8334" xr:uid="{00000000-0005-0000-0000-0000640B0000}"/>
    <cellStyle name="Comma 2 4 3 4 2 2 3" xfId="8333" xr:uid="{00000000-0005-0000-0000-0000650B0000}"/>
    <cellStyle name="Comma 2 4 3 4 2 2 4" xfId="5358" xr:uid="{00000000-0005-0000-0000-0000660B0000}"/>
    <cellStyle name="Comma 2 4 3 4 2 3" xfId="1188" xr:uid="{00000000-0005-0000-0000-0000670B0000}"/>
    <cellStyle name="Comma 2 4 3 4 2 3 2" xfId="8335" xr:uid="{00000000-0005-0000-0000-0000680B0000}"/>
    <cellStyle name="Comma 2 4 3 4 2 4" xfId="8332" xr:uid="{00000000-0005-0000-0000-0000690B0000}"/>
    <cellStyle name="Comma 2 4 3 4 2 5" xfId="5357" xr:uid="{00000000-0005-0000-0000-00006A0B0000}"/>
    <cellStyle name="Comma 2 4 3 4 3" xfId="1189" xr:uid="{00000000-0005-0000-0000-00006B0B0000}"/>
    <cellStyle name="Comma 2 4 3 4 3 2" xfId="1190" xr:uid="{00000000-0005-0000-0000-00006C0B0000}"/>
    <cellStyle name="Comma 2 4 3 4 3 2 2" xfId="8337" xr:uid="{00000000-0005-0000-0000-00006D0B0000}"/>
    <cellStyle name="Comma 2 4 3 4 3 3" xfId="8336" xr:uid="{00000000-0005-0000-0000-00006E0B0000}"/>
    <cellStyle name="Comma 2 4 3 4 3 4" xfId="5359" xr:uid="{00000000-0005-0000-0000-00006F0B0000}"/>
    <cellStyle name="Comma 2 4 3 4 4" xfId="1191" xr:uid="{00000000-0005-0000-0000-0000700B0000}"/>
    <cellStyle name="Comma 2 4 3 4 4 2" xfId="1192" xr:uid="{00000000-0005-0000-0000-0000710B0000}"/>
    <cellStyle name="Comma 2 4 3 4 4 2 2" xfId="8339" xr:uid="{00000000-0005-0000-0000-0000720B0000}"/>
    <cellStyle name="Comma 2 4 3 4 4 3" xfId="8338" xr:uid="{00000000-0005-0000-0000-0000730B0000}"/>
    <cellStyle name="Comma 2 4 3 4 4 4" xfId="5360" xr:uid="{00000000-0005-0000-0000-0000740B0000}"/>
    <cellStyle name="Comma 2 4 3 4 5" xfId="1193" xr:uid="{00000000-0005-0000-0000-0000750B0000}"/>
    <cellStyle name="Comma 2 4 3 4 5 2" xfId="8340" xr:uid="{00000000-0005-0000-0000-0000760B0000}"/>
    <cellStyle name="Comma 2 4 3 4 6" xfId="8331" xr:uid="{00000000-0005-0000-0000-0000770B0000}"/>
    <cellStyle name="Comma 2 4 3 4 7" xfId="5356" xr:uid="{00000000-0005-0000-0000-0000780B0000}"/>
    <cellStyle name="Comma 2 4 3 5" xfId="1194" xr:uid="{00000000-0005-0000-0000-0000790B0000}"/>
    <cellStyle name="Comma 2 4 3 5 2" xfId="1195" xr:uid="{00000000-0005-0000-0000-00007A0B0000}"/>
    <cellStyle name="Comma 2 4 3 5 2 2" xfId="1196" xr:uid="{00000000-0005-0000-0000-00007B0B0000}"/>
    <cellStyle name="Comma 2 4 3 5 2 2 2" xfId="1197" xr:uid="{00000000-0005-0000-0000-00007C0B0000}"/>
    <cellStyle name="Comma 2 4 3 5 2 2 2 2" xfId="8344" xr:uid="{00000000-0005-0000-0000-00007D0B0000}"/>
    <cellStyle name="Comma 2 4 3 5 2 2 3" xfId="8343" xr:uid="{00000000-0005-0000-0000-00007E0B0000}"/>
    <cellStyle name="Comma 2 4 3 5 2 2 4" xfId="5363" xr:uid="{00000000-0005-0000-0000-00007F0B0000}"/>
    <cellStyle name="Comma 2 4 3 5 2 3" xfId="1198" xr:uid="{00000000-0005-0000-0000-0000800B0000}"/>
    <cellStyle name="Comma 2 4 3 5 2 3 2" xfId="8345" xr:uid="{00000000-0005-0000-0000-0000810B0000}"/>
    <cellStyle name="Comma 2 4 3 5 2 4" xfId="8342" xr:uid="{00000000-0005-0000-0000-0000820B0000}"/>
    <cellStyle name="Comma 2 4 3 5 2 5" xfId="5362" xr:uid="{00000000-0005-0000-0000-0000830B0000}"/>
    <cellStyle name="Comma 2 4 3 5 3" xfId="1199" xr:uid="{00000000-0005-0000-0000-0000840B0000}"/>
    <cellStyle name="Comma 2 4 3 5 3 2" xfId="1200" xr:uid="{00000000-0005-0000-0000-0000850B0000}"/>
    <cellStyle name="Comma 2 4 3 5 3 2 2" xfId="8347" xr:uid="{00000000-0005-0000-0000-0000860B0000}"/>
    <cellStyle name="Comma 2 4 3 5 3 3" xfId="8346" xr:uid="{00000000-0005-0000-0000-0000870B0000}"/>
    <cellStyle name="Comma 2 4 3 5 3 4" xfId="5364" xr:uid="{00000000-0005-0000-0000-0000880B0000}"/>
    <cellStyle name="Comma 2 4 3 5 4" xfId="1201" xr:uid="{00000000-0005-0000-0000-0000890B0000}"/>
    <cellStyle name="Comma 2 4 3 5 4 2" xfId="1202" xr:uid="{00000000-0005-0000-0000-00008A0B0000}"/>
    <cellStyle name="Comma 2 4 3 5 4 2 2" xfId="8349" xr:uid="{00000000-0005-0000-0000-00008B0B0000}"/>
    <cellStyle name="Comma 2 4 3 5 4 3" xfId="8348" xr:uid="{00000000-0005-0000-0000-00008C0B0000}"/>
    <cellStyle name="Comma 2 4 3 5 4 4" xfId="5365" xr:uid="{00000000-0005-0000-0000-00008D0B0000}"/>
    <cellStyle name="Comma 2 4 3 5 5" xfId="1203" xr:uid="{00000000-0005-0000-0000-00008E0B0000}"/>
    <cellStyle name="Comma 2 4 3 5 5 2" xfId="8350" xr:uid="{00000000-0005-0000-0000-00008F0B0000}"/>
    <cellStyle name="Comma 2 4 3 5 6" xfId="8341" xr:uid="{00000000-0005-0000-0000-0000900B0000}"/>
    <cellStyle name="Comma 2 4 3 5 7" xfId="5361" xr:uid="{00000000-0005-0000-0000-0000910B0000}"/>
    <cellStyle name="Comma 2 4 3 6" xfId="1204" xr:uid="{00000000-0005-0000-0000-0000920B0000}"/>
    <cellStyle name="Comma 2 4 3 6 2" xfId="1205" xr:uid="{00000000-0005-0000-0000-0000930B0000}"/>
    <cellStyle name="Comma 2 4 3 6 2 2" xfId="1206" xr:uid="{00000000-0005-0000-0000-0000940B0000}"/>
    <cellStyle name="Comma 2 4 3 6 2 2 2" xfId="1207" xr:uid="{00000000-0005-0000-0000-0000950B0000}"/>
    <cellStyle name="Comma 2 4 3 6 2 2 2 2" xfId="8354" xr:uid="{00000000-0005-0000-0000-0000960B0000}"/>
    <cellStyle name="Comma 2 4 3 6 2 2 3" xfId="8353" xr:uid="{00000000-0005-0000-0000-0000970B0000}"/>
    <cellStyle name="Comma 2 4 3 6 2 2 4" xfId="5368" xr:uid="{00000000-0005-0000-0000-0000980B0000}"/>
    <cellStyle name="Comma 2 4 3 6 2 3" xfId="1208" xr:uid="{00000000-0005-0000-0000-0000990B0000}"/>
    <cellStyle name="Comma 2 4 3 6 2 3 2" xfId="8355" xr:uid="{00000000-0005-0000-0000-00009A0B0000}"/>
    <cellStyle name="Comma 2 4 3 6 2 4" xfId="8352" xr:uid="{00000000-0005-0000-0000-00009B0B0000}"/>
    <cellStyle name="Comma 2 4 3 6 2 5" xfId="5367" xr:uid="{00000000-0005-0000-0000-00009C0B0000}"/>
    <cellStyle name="Comma 2 4 3 6 3" xfId="1209" xr:uid="{00000000-0005-0000-0000-00009D0B0000}"/>
    <cellStyle name="Comma 2 4 3 6 3 2" xfId="1210" xr:uid="{00000000-0005-0000-0000-00009E0B0000}"/>
    <cellStyle name="Comma 2 4 3 6 3 2 2" xfId="8357" xr:uid="{00000000-0005-0000-0000-00009F0B0000}"/>
    <cellStyle name="Comma 2 4 3 6 3 3" xfId="8356" xr:uid="{00000000-0005-0000-0000-0000A00B0000}"/>
    <cellStyle name="Comma 2 4 3 6 3 4" xfId="5369" xr:uid="{00000000-0005-0000-0000-0000A10B0000}"/>
    <cellStyle name="Comma 2 4 3 6 4" xfId="1211" xr:uid="{00000000-0005-0000-0000-0000A20B0000}"/>
    <cellStyle name="Comma 2 4 3 6 4 2" xfId="1212" xr:uid="{00000000-0005-0000-0000-0000A30B0000}"/>
    <cellStyle name="Comma 2 4 3 6 4 2 2" xfId="8359" xr:uid="{00000000-0005-0000-0000-0000A40B0000}"/>
    <cellStyle name="Comma 2 4 3 6 4 3" xfId="8358" xr:uid="{00000000-0005-0000-0000-0000A50B0000}"/>
    <cellStyle name="Comma 2 4 3 6 4 4" xfId="5370" xr:uid="{00000000-0005-0000-0000-0000A60B0000}"/>
    <cellStyle name="Comma 2 4 3 6 5" xfId="1213" xr:uid="{00000000-0005-0000-0000-0000A70B0000}"/>
    <cellStyle name="Comma 2 4 3 6 5 2" xfId="8360" xr:uid="{00000000-0005-0000-0000-0000A80B0000}"/>
    <cellStyle name="Comma 2 4 3 6 6" xfId="8351" xr:uid="{00000000-0005-0000-0000-0000A90B0000}"/>
    <cellStyle name="Comma 2 4 3 6 7" xfId="5366" xr:uid="{00000000-0005-0000-0000-0000AA0B0000}"/>
    <cellStyle name="Comma 2 4 3 7" xfId="1214" xr:uid="{00000000-0005-0000-0000-0000AB0B0000}"/>
    <cellStyle name="Comma 2 4 3 7 2" xfId="1215" xr:uid="{00000000-0005-0000-0000-0000AC0B0000}"/>
    <cellStyle name="Comma 2 4 3 7 2 2" xfId="1216" xr:uid="{00000000-0005-0000-0000-0000AD0B0000}"/>
    <cellStyle name="Comma 2 4 3 7 2 2 2" xfId="8363" xr:uid="{00000000-0005-0000-0000-0000AE0B0000}"/>
    <cellStyle name="Comma 2 4 3 7 2 3" xfId="8362" xr:uid="{00000000-0005-0000-0000-0000AF0B0000}"/>
    <cellStyle name="Comma 2 4 3 7 2 4" xfId="5372" xr:uid="{00000000-0005-0000-0000-0000B00B0000}"/>
    <cellStyle name="Comma 2 4 3 7 3" xfId="1217" xr:uid="{00000000-0005-0000-0000-0000B10B0000}"/>
    <cellStyle name="Comma 2 4 3 7 3 2" xfId="1218" xr:uid="{00000000-0005-0000-0000-0000B20B0000}"/>
    <cellStyle name="Comma 2 4 3 7 3 2 2" xfId="8365" xr:uid="{00000000-0005-0000-0000-0000B30B0000}"/>
    <cellStyle name="Comma 2 4 3 7 3 3" xfId="8364" xr:uid="{00000000-0005-0000-0000-0000B40B0000}"/>
    <cellStyle name="Comma 2 4 3 7 3 4" xfId="5373" xr:uid="{00000000-0005-0000-0000-0000B50B0000}"/>
    <cellStyle name="Comma 2 4 3 7 4" xfId="1219" xr:uid="{00000000-0005-0000-0000-0000B60B0000}"/>
    <cellStyle name="Comma 2 4 3 7 4 2" xfId="8366" xr:uid="{00000000-0005-0000-0000-0000B70B0000}"/>
    <cellStyle name="Comma 2 4 3 7 5" xfId="8361" xr:uid="{00000000-0005-0000-0000-0000B80B0000}"/>
    <cellStyle name="Comma 2 4 3 7 6" xfId="5371" xr:uid="{00000000-0005-0000-0000-0000B90B0000}"/>
    <cellStyle name="Comma 2 4 3 8" xfId="1220" xr:uid="{00000000-0005-0000-0000-0000BA0B0000}"/>
    <cellStyle name="Comma 2 4 3 8 2" xfId="1221" xr:uid="{00000000-0005-0000-0000-0000BB0B0000}"/>
    <cellStyle name="Comma 2 4 3 8 2 2" xfId="1222" xr:uid="{00000000-0005-0000-0000-0000BC0B0000}"/>
    <cellStyle name="Comma 2 4 3 8 2 2 2" xfId="8369" xr:uid="{00000000-0005-0000-0000-0000BD0B0000}"/>
    <cellStyle name="Comma 2 4 3 8 2 3" xfId="8368" xr:uid="{00000000-0005-0000-0000-0000BE0B0000}"/>
    <cellStyle name="Comma 2 4 3 8 2 4" xfId="5375" xr:uid="{00000000-0005-0000-0000-0000BF0B0000}"/>
    <cellStyle name="Comma 2 4 3 8 3" xfId="1223" xr:uid="{00000000-0005-0000-0000-0000C00B0000}"/>
    <cellStyle name="Comma 2 4 3 8 3 2" xfId="8370" xr:uid="{00000000-0005-0000-0000-0000C10B0000}"/>
    <cellStyle name="Comma 2 4 3 8 4" xfId="8367" xr:uid="{00000000-0005-0000-0000-0000C20B0000}"/>
    <cellStyle name="Comma 2 4 3 8 5" xfId="5374" xr:uid="{00000000-0005-0000-0000-0000C30B0000}"/>
    <cellStyle name="Comma 2 4 3 9" xfId="1224" xr:uid="{00000000-0005-0000-0000-0000C40B0000}"/>
    <cellStyle name="Comma 2 4 3 9 2" xfId="1225" xr:uid="{00000000-0005-0000-0000-0000C50B0000}"/>
    <cellStyle name="Comma 2 4 3 9 2 2" xfId="8372" xr:uid="{00000000-0005-0000-0000-0000C60B0000}"/>
    <cellStyle name="Comma 2 4 3 9 3" xfId="8371" xr:uid="{00000000-0005-0000-0000-0000C70B0000}"/>
    <cellStyle name="Comma 2 4 3 9 4" xfId="5376" xr:uid="{00000000-0005-0000-0000-0000C80B0000}"/>
    <cellStyle name="Comma 2 4 4" xfId="1226" xr:uid="{00000000-0005-0000-0000-0000C90B0000}"/>
    <cellStyle name="Comma 2 4 4 10" xfId="1227" xr:uid="{00000000-0005-0000-0000-0000CA0B0000}"/>
    <cellStyle name="Comma 2 4 4 10 2" xfId="1228" xr:uid="{00000000-0005-0000-0000-0000CB0B0000}"/>
    <cellStyle name="Comma 2 4 4 10 2 2" xfId="8375" xr:uid="{00000000-0005-0000-0000-0000CC0B0000}"/>
    <cellStyle name="Comma 2 4 4 10 3" xfId="8374" xr:uid="{00000000-0005-0000-0000-0000CD0B0000}"/>
    <cellStyle name="Comma 2 4 4 10 4" xfId="5378" xr:uid="{00000000-0005-0000-0000-0000CE0B0000}"/>
    <cellStyle name="Comma 2 4 4 11" xfId="1229" xr:uid="{00000000-0005-0000-0000-0000CF0B0000}"/>
    <cellStyle name="Comma 2 4 4 11 2" xfId="8376" xr:uid="{00000000-0005-0000-0000-0000D00B0000}"/>
    <cellStyle name="Comma 2 4 4 12" xfId="8373" xr:uid="{00000000-0005-0000-0000-0000D10B0000}"/>
    <cellStyle name="Comma 2 4 4 13" xfId="5377" xr:uid="{00000000-0005-0000-0000-0000D20B0000}"/>
    <cellStyle name="Comma 2 4 4 2" xfId="1230" xr:uid="{00000000-0005-0000-0000-0000D30B0000}"/>
    <cellStyle name="Comma 2 4 4 2 10" xfId="1231" xr:uid="{00000000-0005-0000-0000-0000D40B0000}"/>
    <cellStyle name="Comma 2 4 4 2 10 2" xfId="8378" xr:uid="{00000000-0005-0000-0000-0000D50B0000}"/>
    <cellStyle name="Comma 2 4 4 2 11" xfId="8377" xr:uid="{00000000-0005-0000-0000-0000D60B0000}"/>
    <cellStyle name="Comma 2 4 4 2 12" xfId="5379" xr:uid="{00000000-0005-0000-0000-0000D70B0000}"/>
    <cellStyle name="Comma 2 4 4 2 2" xfId="1232" xr:uid="{00000000-0005-0000-0000-0000D80B0000}"/>
    <cellStyle name="Comma 2 4 4 2 2 2" xfId="1233" xr:uid="{00000000-0005-0000-0000-0000D90B0000}"/>
    <cellStyle name="Comma 2 4 4 2 2 2 2" xfId="1234" xr:uid="{00000000-0005-0000-0000-0000DA0B0000}"/>
    <cellStyle name="Comma 2 4 4 2 2 2 2 2" xfId="1235" xr:uid="{00000000-0005-0000-0000-0000DB0B0000}"/>
    <cellStyle name="Comma 2 4 4 2 2 2 2 2 2" xfId="8382" xr:uid="{00000000-0005-0000-0000-0000DC0B0000}"/>
    <cellStyle name="Comma 2 4 4 2 2 2 2 3" xfId="8381" xr:uid="{00000000-0005-0000-0000-0000DD0B0000}"/>
    <cellStyle name="Comma 2 4 4 2 2 2 2 4" xfId="5382" xr:uid="{00000000-0005-0000-0000-0000DE0B0000}"/>
    <cellStyle name="Comma 2 4 4 2 2 2 3" xfId="1236" xr:uid="{00000000-0005-0000-0000-0000DF0B0000}"/>
    <cellStyle name="Comma 2 4 4 2 2 2 3 2" xfId="8383" xr:uid="{00000000-0005-0000-0000-0000E00B0000}"/>
    <cellStyle name="Comma 2 4 4 2 2 2 4" xfId="8380" xr:uid="{00000000-0005-0000-0000-0000E10B0000}"/>
    <cellStyle name="Comma 2 4 4 2 2 2 5" xfId="5381" xr:uid="{00000000-0005-0000-0000-0000E20B0000}"/>
    <cellStyle name="Comma 2 4 4 2 2 3" xfId="1237" xr:uid="{00000000-0005-0000-0000-0000E30B0000}"/>
    <cellStyle name="Comma 2 4 4 2 2 3 2" xfId="1238" xr:uid="{00000000-0005-0000-0000-0000E40B0000}"/>
    <cellStyle name="Comma 2 4 4 2 2 3 2 2" xfId="8385" xr:uid="{00000000-0005-0000-0000-0000E50B0000}"/>
    <cellStyle name="Comma 2 4 4 2 2 3 3" xfId="8384" xr:uid="{00000000-0005-0000-0000-0000E60B0000}"/>
    <cellStyle name="Comma 2 4 4 2 2 3 4" xfId="5383" xr:uid="{00000000-0005-0000-0000-0000E70B0000}"/>
    <cellStyle name="Comma 2 4 4 2 2 4" xfId="1239" xr:uid="{00000000-0005-0000-0000-0000E80B0000}"/>
    <cellStyle name="Comma 2 4 4 2 2 4 2" xfId="1240" xr:uid="{00000000-0005-0000-0000-0000E90B0000}"/>
    <cellStyle name="Comma 2 4 4 2 2 4 2 2" xfId="8387" xr:uid="{00000000-0005-0000-0000-0000EA0B0000}"/>
    <cellStyle name="Comma 2 4 4 2 2 4 3" xfId="8386" xr:uid="{00000000-0005-0000-0000-0000EB0B0000}"/>
    <cellStyle name="Comma 2 4 4 2 2 4 4" xfId="5384" xr:uid="{00000000-0005-0000-0000-0000EC0B0000}"/>
    <cellStyle name="Comma 2 4 4 2 2 5" xfId="1241" xr:uid="{00000000-0005-0000-0000-0000ED0B0000}"/>
    <cellStyle name="Comma 2 4 4 2 2 5 2" xfId="8388" xr:uid="{00000000-0005-0000-0000-0000EE0B0000}"/>
    <cellStyle name="Comma 2 4 4 2 2 6" xfId="8379" xr:uid="{00000000-0005-0000-0000-0000EF0B0000}"/>
    <cellStyle name="Comma 2 4 4 2 2 7" xfId="5380" xr:uid="{00000000-0005-0000-0000-0000F00B0000}"/>
    <cellStyle name="Comma 2 4 4 2 3" xfId="1242" xr:uid="{00000000-0005-0000-0000-0000F10B0000}"/>
    <cellStyle name="Comma 2 4 4 2 3 2" xfId="1243" xr:uid="{00000000-0005-0000-0000-0000F20B0000}"/>
    <cellStyle name="Comma 2 4 4 2 3 2 2" xfId="1244" xr:uid="{00000000-0005-0000-0000-0000F30B0000}"/>
    <cellStyle name="Comma 2 4 4 2 3 2 2 2" xfId="1245" xr:uid="{00000000-0005-0000-0000-0000F40B0000}"/>
    <cellStyle name="Comma 2 4 4 2 3 2 2 2 2" xfId="8392" xr:uid="{00000000-0005-0000-0000-0000F50B0000}"/>
    <cellStyle name="Comma 2 4 4 2 3 2 2 3" xfId="8391" xr:uid="{00000000-0005-0000-0000-0000F60B0000}"/>
    <cellStyle name="Comma 2 4 4 2 3 2 2 4" xfId="5387" xr:uid="{00000000-0005-0000-0000-0000F70B0000}"/>
    <cellStyle name="Comma 2 4 4 2 3 2 3" xfId="1246" xr:uid="{00000000-0005-0000-0000-0000F80B0000}"/>
    <cellStyle name="Comma 2 4 4 2 3 2 3 2" xfId="8393" xr:uid="{00000000-0005-0000-0000-0000F90B0000}"/>
    <cellStyle name="Comma 2 4 4 2 3 2 4" xfId="8390" xr:uid="{00000000-0005-0000-0000-0000FA0B0000}"/>
    <cellStyle name="Comma 2 4 4 2 3 2 5" xfId="5386" xr:uid="{00000000-0005-0000-0000-0000FB0B0000}"/>
    <cellStyle name="Comma 2 4 4 2 3 3" xfId="1247" xr:uid="{00000000-0005-0000-0000-0000FC0B0000}"/>
    <cellStyle name="Comma 2 4 4 2 3 3 2" xfId="1248" xr:uid="{00000000-0005-0000-0000-0000FD0B0000}"/>
    <cellStyle name="Comma 2 4 4 2 3 3 2 2" xfId="8395" xr:uid="{00000000-0005-0000-0000-0000FE0B0000}"/>
    <cellStyle name="Comma 2 4 4 2 3 3 3" xfId="8394" xr:uid="{00000000-0005-0000-0000-0000FF0B0000}"/>
    <cellStyle name="Comma 2 4 4 2 3 3 4" xfId="5388" xr:uid="{00000000-0005-0000-0000-0000000C0000}"/>
    <cellStyle name="Comma 2 4 4 2 3 4" xfId="1249" xr:uid="{00000000-0005-0000-0000-0000010C0000}"/>
    <cellStyle name="Comma 2 4 4 2 3 4 2" xfId="1250" xr:uid="{00000000-0005-0000-0000-0000020C0000}"/>
    <cellStyle name="Comma 2 4 4 2 3 4 2 2" xfId="8397" xr:uid="{00000000-0005-0000-0000-0000030C0000}"/>
    <cellStyle name="Comma 2 4 4 2 3 4 3" xfId="8396" xr:uid="{00000000-0005-0000-0000-0000040C0000}"/>
    <cellStyle name="Comma 2 4 4 2 3 4 4" xfId="5389" xr:uid="{00000000-0005-0000-0000-0000050C0000}"/>
    <cellStyle name="Comma 2 4 4 2 3 5" xfId="1251" xr:uid="{00000000-0005-0000-0000-0000060C0000}"/>
    <cellStyle name="Comma 2 4 4 2 3 5 2" xfId="8398" xr:uid="{00000000-0005-0000-0000-0000070C0000}"/>
    <cellStyle name="Comma 2 4 4 2 3 6" xfId="8389" xr:uid="{00000000-0005-0000-0000-0000080C0000}"/>
    <cellStyle name="Comma 2 4 4 2 3 7" xfId="5385" xr:uid="{00000000-0005-0000-0000-0000090C0000}"/>
    <cellStyle name="Comma 2 4 4 2 4" xfId="1252" xr:uid="{00000000-0005-0000-0000-00000A0C0000}"/>
    <cellStyle name="Comma 2 4 4 2 4 2" xfId="1253" xr:uid="{00000000-0005-0000-0000-00000B0C0000}"/>
    <cellStyle name="Comma 2 4 4 2 4 2 2" xfId="1254" xr:uid="{00000000-0005-0000-0000-00000C0C0000}"/>
    <cellStyle name="Comma 2 4 4 2 4 2 2 2" xfId="1255" xr:uid="{00000000-0005-0000-0000-00000D0C0000}"/>
    <cellStyle name="Comma 2 4 4 2 4 2 2 2 2" xfId="8402" xr:uid="{00000000-0005-0000-0000-00000E0C0000}"/>
    <cellStyle name="Comma 2 4 4 2 4 2 2 3" xfId="8401" xr:uid="{00000000-0005-0000-0000-00000F0C0000}"/>
    <cellStyle name="Comma 2 4 4 2 4 2 2 4" xfId="5392" xr:uid="{00000000-0005-0000-0000-0000100C0000}"/>
    <cellStyle name="Comma 2 4 4 2 4 2 3" xfId="1256" xr:uid="{00000000-0005-0000-0000-0000110C0000}"/>
    <cellStyle name="Comma 2 4 4 2 4 2 3 2" xfId="8403" xr:uid="{00000000-0005-0000-0000-0000120C0000}"/>
    <cellStyle name="Comma 2 4 4 2 4 2 4" xfId="8400" xr:uid="{00000000-0005-0000-0000-0000130C0000}"/>
    <cellStyle name="Comma 2 4 4 2 4 2 5" xfId="5391" xr:uid="{00000000-0005-0000-0000-0000140C0000}"/>
    <cellStyle name="Comma 2 4 4 2 4 3" xfId="1257" xr:uid="{00000000-0005-0000-0000-0000150C0000}"/>
    <cellStyle name="Comma 2 4 4 2 4 3 2" xfId="1258" xr:uid="{00000000-0005-0000-0000-0000160C0000}"/>
    <cellStyle name="Comma 2 4 4 2 4 3 2 2" xfId="8405" xr:uid="{00000000-0005-0000-0000-0000170C0000}"/>
    <cellStyle name="Comma 2 4 4 2 4 3 3" xfId="8404" xr:uid="{00000000-0005-0000-0000-0000180C0000}"/>
    <cellStyle name="Comma 2 4 4 2 4 3 4" xfId="5393" xr:uid="{00000000-0005-0000-0000-0000190C0000}"/>
    <cellStyle name="Comma 2 4 4 2 4 4" xfId="1259" xr:uid="{00000000-0005-0000-0000-00001A0C0000}"/>
    <cellStyle name="Comma 2 4 4 2 4 4 2" xfId="1260" xr:uid="{00000000-0005-0000-0000-00001B0C0000}"/>
    <cellStyle name="Comma 2 4 4 2 4 4 2 2" xfId="8407" xr:uid="{00000000-0005-0000-0000-00001C0C0000}"/>
    <cellStyle name="Comma 2 4 4 2 4 4 3" xfId="8406" xr:uid="{00000000-0005-0000-0000-00001D0C0000}"/>
    <cellStyle name="Comma 2 4 4 2 4 4 4" xfId="5394" xr:uid="{00000000-0005-0000-0000-00001E0C0000}"/>
    <cellStyle name="Comma 2 4 4 2 4 5" xfId="1261" xr:uid="{00000000-0005-0000-0000-00001F0C0000}"/>
    <cellStyle name="Comma 2 4 4 2 4 5 2" xfId="8408" xr:uid="{00000000-0005-0000-0000-0000200C0000}"/>
    <cellStyle name="Comma 2 4 4 2 4 6" xfId="8399" xr:uid="{00000000-0005-0000-0000-0000210C0000}"/>
    <cellStyle name="Comma 2 4 4 2 4 7" xfId="5390" xr:uid="{00000000-0005-0000-0000-0000220C0000}"/>
    <cellStyle name="Comma 2 4 4 2 5" xfId="1262" xr:uid="{00000000-0005-0000-0000-0000230C0000}"/>
    <cellStyle name="Comma 2 4 4 2 5 2" xfId="1263" xr:uid="{00000000-0005-0000-0000-0000240C0000}"/>
    <cellStyle name="Comma 2 4 4 2 5 2 2" xfId="1264" xr:uid="{00000000-0005-0000-0000-0000250C0000}"/>
    <cellStyle name="Comma 2 4 4 2 5 2 2 2" xfId="1265" xr:uid="{00000000-0005-0000-0000-0000260C0000}"/>
    <cellStyle name="Comma 2 4 4 2 5 2 2 2 2" xfId="8412" xr:uid="{00000000-0005-0000-0000-0000270C0000}"/>
    <cellStyle name="Comma 2 4 4 2 5 2 2 3" xfId="8411" xr:uid="{00000000-0005-0000-0000-0000280C0000}"/>
    <cellStyle name="Comma 2 4 4 2 5 2 2 4" xfId="5397" xr:uid="{00000000-0005-0000-0000-0000290C0000}"/>
    <cellStyle name="Comma 2 4 4 2 5 2 3" xfId="1266" xr:uid="{00000000-0005-0000-0000-00002A0C0000}"/>
    <cellStyle name="Comma 2 4 4 2 5 2 3 2" xfId="8413" xr:uid="{00000000-0005-0000-0000-00002B0C0000}"/>
    <cellStyle name="Comma 2 4 4 2 5 2 4" xfId="8410" xr:uid="{00000000-0005-0000-0000-00002C0C0000}"/>
    <cellStyle name="Comma 2 4 4 2 5 2 5" xfId="5396" xr:uid="{00000000-0005-0000-0000-00002D0C0000}"/>
    <cellStyle name="Comma 2 4 4 2 5 3" xfId="1267" xr:uid="{00000000-0005-0000-0000-00002E0C0000}"/>
    <cellStyle name="Comma 2 4 4 2 5 3 2" xfId="1268" xr:uid="{00000000-0005-0000-0000-00002F0C0000}"/>
    <cellStyle name="Comma 2 4 4 2 5 3 2 2" xfId="8415" xr:uid="{00000000-0005-0000-0000-0000300C0000}"/>
    <cellStyle name="Comma 2 4 4 2 5 3 3" xfId="8414" xr:uid="{00000000-0005-0000-0000-0000310C0000}"/>
    <cellStyle name="Comma 2 4 4 2 5 3 4" xfId="5398" xr:uid="{00000000-0005-0000-0000-0000320C0000}"/>
    <cellStyle name="Comma 2 4 4 2 5 4" xfId="1269" xr:uid="{00000000-0005-0000-0000-0000330C0000}"/>
    <cellStyle name="Comma 2 4 4 2 5 4 2" xfId="1270" xr:uid="{00000000-0005-0000-0000-0000340C0000}"/>
    <cellStyle name="Comma 2 4 4 2 5 4 2 2" xfId="8417" xr:uid="{00000000-0005-0000-0000-0000350C0000}"/>
    <cellStyle name="Comma 2 4 4 2 5 4 3" xfId="8416" xr:uid="{00000000-0005-0000-0000-0000360C0000}"/>
    <cellStyle name="Comma 2 4 4 2 5 4 4" xfId="5399" xr:uid="{00000000-0005-0000-0000-0000370C0000}"/>
    <cellStyle name="Comma 2 4 4 2 5 5" xfId="1271" xr:uid="{00000000-0005-0000-0000-0000380C0000}"/>
    <cellStyle name="Comma 2 4 4 2 5 5 2" xfId="8418" xr:uid="{00000000-0005-0000-0000-0000390C0000}"/>
    <cellStyle name="Comma 2 4 4 2 5 6" xfId="8409" xr:uid="{00000000-0005-0000-0000-00003A0C0000}"/>
    <cellStyle name="Comma 2 4 4 2 5 7" xfId="5395" xr:uid="{00000000-0005-0000-0000-00003B0C0000}"/>
    <cellStyle name="Comma 2 4 4 2 6" xfId="1272" xr:uid="{00000000-0005-0000-0000-00003C0C0000}"/>
    <cellStyle name="Comma 2 4 4 2 6 2" xfId="1273" xr:uid="{00000000-0005-0000-0000-00003D0C0000}"/>
    <cellStyle name="Comma 2 4 4 2 6 2 2" xfId="1274" xr:uid="{00000000-0005-0000-0000-00003E0C0000}"/>
    <cellStyle name="Comma 2 4 4 2 6 2 2 2" xfId="8421" xr:uid="{00000000-0005-0000-0000-00003F0C0000}"/>
    <cellStyle name="Comma 2 4 4 2 6 2 3" xfId="8420" xr:uid="{00000000-0005-0000-0000-0000400C0000}"/>
    <cellStyle name="Comma 2 4 4 2 6 2 4" xfId="5401" xr:uid="{00000000-0005-0000-0000-0000410C0000}"/>
    <cellStyle name="Comma 2 4 4 2 6 3" xfId="1275" xr:uid="{00000000-0005-0000-0000-0000420C0000}"/>
    <cellStyle name="Comma 2 4 4 2 6 3 2" xfId="1276" xr:uid="{00000000-0005-0000-0000-0000430C0000}"/>
    <cellStyle name="Comma 2 4 4 2 6 3 2 2" xfId="8423" xr:uid="{00000000-0005-0000-0000-0000440C0000}"/>
    <cellStyle name="Comma 2 4 4 2 6 3 3" xfId="8422" xr:uid="{00000000-0005-0000-0000-0000450C0000}"/>
    <cellStyle name="Comma 2 4 4 2 6 3 4" xfId="5402" xr:uid="{00000000-0005-0000-0000-0000460C0000}"/>
    <cellStyle name="Comma 2 4 4 2 6 4" xfId="1277" xr:uid="{00000000-0005-0000-0000-0000470C0000}"/>
    <cellStyle name="Comma 2 4 4 2 6 4 2" xfId="8424" xr:uid="{00000000-0005-0000-0000-0000480C0000}"/>
    <cellStyle name="Comma 2 4 4 2 6 5" xfId="8419" xr:uid="{00000000-0005-0000-0000-0000490C0000}"/>
    <cellStyle name="Comma 2 4 4 2 6 6" xfId="5400" xr:uid="{00000000-0005-0000-0000-00004A0C0000}"/>
    <cellStyle name="Comma 2 4 4 2 7" xfId="1278" xr:uid="{00000000-0005-0000-0000-00004B0C0000}"/>
    <cellStyle name="Comma 2 4 4 2 7 2" xfId="1279" xr:uid="{00000000-0005-0000-0000-00004C0C0000}"/>
    <cellStyle name="Comma 2 4 4 2 7 2 2" xfId="1280" xr:uid="{00000000-0005-0000-0000-00004D0C0000}"/>
    <cellStyle name="Comma 2 4 4 2 7 2 2 2" xfId="8427" xr:uid="{00000000-0005-0000-0000-00004E0C0000}"/>
    <cellStyle name="Comma 2 4 4 2 7 2 3" xfId="8426" xr:uid="{00000000-0005-0000-0000-00004F0C0000}"/>
    <cellStyle name="Comma 2 4 4 2 7 2 4" xfId="5404" xr:uid="{00000000-0005-0000-0000-0000500C0000}"/>
    <cellStyle name="Comma 2 4 4 2 7 3" xfId="1281" xr:uid="{00000000-0005-0000-0000-0000510C0000}"/>
    <cellStyle name="Comma 2 4 4 2 7 3 2" xfId="8428" xr:uid="{00000000-0005-0000-0000-0000520C0000}"/>
    <cellStyle name="Comma 2 4 4 2 7 4" xfId="8425" xr:uid="{00000000-0005-0000-0000-0000530C0000}"/>
    <cellStyle name="Comma 2 4 4 2 7 5" xfId="5403" xr:uid="{00000000-0005-0000-0000-0000540C0000}"/>
    <cellStyle name="Comma 2 4 4 2 8" xfId="1282" xr:uid="{00000000-0005-0000-0000-0000550C0000}"/>
    <cellStyle name="Comma 2 4 4 2 8 2" xfId="1283" xr:uid="{00000000-0005-0000-0000-0000560C0000}"/>
    <cellStyle name="Comma 2 4 4 2 8 2 2" xfId="8430" xr:uid="{00000000-0005-0000-0000-0000570C0000}"/>
    <cellStyle name="Comma 2 4 4 2 8 3" xfId="8429" xr:uid="{00000000-0005-0000-0000-0000580C0000}"/>
    <cellStyle name="Comma 2 4 4 2 8 4" xfId="5405" xr:uid="{00000000-0005-0000-0000-0000590C0000}"/>
    <cellStyle name="Comma 2 4 4 2 9" xfId="1284" xr:uid="{00000000-0005-0000-0000-00005A0C0000}"/>
    <cellStyle name="Comma 2 4 4 2 9 2" xfId="1285" xr:uid="{00000000-0005-0000-0000-00005B0C0000}"/>
    <cellStyle name="Comma 2 4 4 2 9 2 2" xfId="8432" xr:uid="{00000000-0005-0000-0000-00005C0C0000}"/>
    <cellStyle name="Comma 2 4 4 2 9 3" xfId="8431" xr:uid="{00000000-0005-0000-0000-00005D0C0000}"/>
    <cellStyle name="Comma 2 4 4 2 9 4" xfId="5406" xr:uid="{00000000-0005-0000-0000-00005E0C0000}"/>
    <cellStyle name="Comma 2 4 4 3" xfId="1286" xr:uid="{00000000-0005-0000-0000-00005F0C0000}"/>
    <cellStyle name="Comma 2 4 4 3 2" xfId="1287" xr:uid="{00000000-0005-0000-0000-0000600C0000}"/>
    <cellStyle name="Comma 2 4 4 3 2 2" xfId="1288" xr:uid="{00000000-0005-0000-0000-0000610C0000}"/>
    <cellStyle name="Comma 2 4 4 3 2 2 2" xfId="1289" xr:uid="{00000000-0005-0000-0000-0000620C0000}"/>
    <cellStyle name="Comma 2 4 4 3 2 2 2 2" xfId="8436" xr:uid="{00000000-0005-0000-0000-0000630C0000}"/>
    <cellStyle name="Comma 2 4 4 3 2 2 3" xfId="8435" xr:uid="{00000000-0005-0000-0000-0000640C0000}"/>
    <cellStyle name="Comma 2 4 4 3 2 2 4" xfId="5409" xr:uid="{00000000-0005-0000-0000-0000650C0000}"/>
    <cellStyle name="Comma 2 4 4 3 2 3" xfId="1290" xr:uid="{00000000-0005-0000-0000-0000660C0000}"/>
    <cellStyle name="Comma 2 4 4 3 2 3 2" xfId="8437" xr:uid="{00000000-0005-0000-0000-0000670C0000}"/>
    <cellStyle name="Comma 2 4 4 3 2 4" xfId="8434" xr:uid="{00000000-0005-0000-0000-0000680C0000}"/>
    <cellStyle name="Comma 2 4 4 3 2 5" xfId="5408" xr:uid="{00000000-0005-0000-0000-0000690C0000}"/>
    <cellStyle name="Comma 2 4 4 3 3" xfId="1291" xr:uid="{00000000-0005-0000-0000-00006A0C0000}"/>
    <cellStyle name="Comma 2 4 4 3 3 2" xfId="1292" xr:uid="{00000000-0005-0000-0000-00006B0C0000}"/>
    <cellStyle name="Comma 2 4 4 3 3 2 2" xfId="8439" xr:uid="{00000000-0005-0000-0000-00006C0C0000}"/>
    <cellStyle name="Comma 2 4 4 3 3 3" xfId="8438" xr:uid="{00000000-0005-0000-0000-00006D0C0000}"/>
    <cellStyle name="Comma 2 4 4 3 3 4" xfId="5410" xr:uid="{00000000-0005-0000-0000-00006E0C0000}"/>
    <cellStyle name="Comma 2 4 4 3 4" xfId="1293" xr:uid="{00000000-0005-0000-0000-00006F0C0000}"/>
    <cellStyle name="Comma 2 4 4 3 4 2" xfId="1294" xr:uid="{00000000-0005-0000-0000-0000700C0000}"/>
    <cellStyle name="Comma 2 4 4 3 4 2 2" xfId="8441" xr:uid="{00000000-0005-0000-0000-0000710C0000}"/>
    <cellStyle name="Comma 2 4 4 3 4 3" xfId="8440" xr:uid="{00000000-0005-0000-0000-0000720C0000}"/>
    <cellStyle name="Comma 2 4 4 3 4 4" xfId="5411" xr:uid="{00000000-0005-0000-0000-0000730C0000}"/>
    <cellStyle name="Comma 2 4 4 3 5" xfId="1295" xr:uid="{00000000-0005-0000-0000-0000740C0000}"/>
    <cellStyle name="Comma 2 4 4 3 5 2" xfId="8442" xr:uid="{00000000-0005-0000-0000-0000750C0000}"/>
    <cellStyle name="Comma 2 4 4 3 6" xfId="8433" xr:uid="{00000000-0005-0000-0000-0000760C0000}"/>
    <cellStyle name="Comma 2 4 4 3 7" xfId="5407" xr:uid="{00000000-0005-0000-0000-0000770C0000}"/>
    <cellStyle name="Comma 2 4 4 4" xfId="1296" xr:uid="{00000000-0005-0000-0000-0000780C0000}"/>
    <cellStyle name="Comma 2 4 4 4 2" xfId="1297" xr:uid="{00000000-0005-0000-0000-0000790C0000}"/>
    <cellStyle name="Comma 2 4 4 4 2 2" xfId="1298" xr:uid="{00000000-0005-0000-0000-00007A0C0000}"/>
    <cellStyle name="Comma 2 4 4 4 2 2 2" xfId="1299" xr:uid="{00000000-0005-0000-0000-00007B0C0000}"/>
    <cellStyle name="Comma 2 4 4 4 2 2 2 2" xfId="8446" xr:uid="{00000000-0005-0000-0000-00007C0C0000}"/>
    <cellStyle name="Comma 2 4 4 4 2 2 3" xfId="8445" xr:uid="{00000000-0005-0000-0000-00007D0C0000}"/>
    <cellStyle name="Comma 2 4 4 4 2 2 4" xfId="5414" xr:uid="{00000000-0005-0000-0000-00007E0C0000}"/>
    <cellStyle name="Comma 2 4 4 4 2 3" xfId="1300" xr:uid="{00000000-0005-0000-0000-00007F0C0000}"/>
    <cellStyle name="Comma 2 4 4 4 2 3 2" xfId="8447" xr:uid="{00000000-0005-0000-0000-0000800C0000}"/>
    <cellStyle name="Comma 2 4 4 4 2 4" xfId="8444" xr:uid="{00000000-0005-0000-0000-0000810C0000}"/>
    <cellStyle name="Comma 2 4 4 4 2 5" xfId="5413" xr:uid="{00000000-0005-0000-0000-0000820C0000}"/>
    <cellStyle name="Comma 2 4 4 4 3" xfId="1301" xr:uid="{00000000-0005-0000-0000-0000830C0000}"/>
    <cellStyle name="Comma 2 4 4 4 3 2" xfId="1302" xr:uid="{00000000-0005-0000-0000-0000840C0000}"/>
    <cellStyle name="Comma 2 4 4 4 3 2 2" xfId="8449" xr:uid="{00000000-0005-0000-0000-0000850C0000}"/>
    <cellStyle name="Comma 2 4 4 4 3 3" xfId="8448" xr:uid="{00000000-0005-0000-0000-0000860C0000}"/>
    <cellStyle name="Comma 2 4 4 4 3 4" xfId="5415" xr:uid="{00000000-0005-0000-0000-0000870C0000}"/>
    <cellStyle name="Comma 2 4 4 4 4" xfId="1303" xr:uid="{00000000-0005-0000-0000-0000880C0000}"/>
    <cellStyle name="Comma 2 4 4 4 4 2" xfId="1304" xr:uid="{00000000-0005-0000-0000-0000890C0000}"/>
    <cellStyle name="Comma 2 4 4 4 4 2 2" xfId="8451" xr:uid="{00000000-0005-0000-0000-00008A0C0000}"/>
    <cellStyle name="Comma 2 4 4 4 4 3" xfId="8450" xr:uid="{00000000-0005-0000-0000-00008B0C0000}"/>
    <cellStyle name="Comma 2 4 4 4 4 4" xfId="5416" xr:uid="{00000000-0005-0000-0000-00008C0C0000}"/>
    <cellStyle name="Comma 2 4 4 4 5" xfId="1305" xr:uid="{00000000-0005-0000-0000-00008D0C0000}"/>
    <cellStyle name="Comma 2 4 4 4 5 2" xfId="8452" xr:uid="{00000000-0005-0000-0000-00008E0C0000}"/>
    <cellStyle name="Comma 2 4 4 4 6" xfId="8443" xr:uid="{00000000-0005-0000-0000-00008F0C0000}"/>
    <cellStyle name="Comma 2 4 4 4 7" xfId="5412" xr:uid="{00000000-0005-0000-0000-0000900C0000}"/>
    <cellStyle name="Comma 2 4 4 5" xfId="1306" xr:uid="{00000000-0005-0000-0000-0000910C0000}"/>
    <cellStyle name="Comma 2 4 4 5 2" xfId="1307" xr:uid="{00000000-0005-0000-0000-0000920C0000}"/>
    <cellStyle name="Comma 2 4 4 5 2 2" xfId="1308" xr:uid="{00000000-0005-0000-0000-0000930C0000}"/>
    <cellStyle name="Comma 2 4 4 5 2 2 2" xfId="1309" xr:uid="{00000000-0005-0000-0000-0000940C0000}"/>
    <cellStyle name="Comma 2 4 4 5 2 2 2 2" xfId="8456" xr:uid="{00000000-0005-0000-0000-0000950C0000}"/>
    <cellStyle name="Comma 2 4 4 5 2 2 3" xfId="8455" xr:uid="{00000000-0005-0000-0000-0000960C0000}"/>
    <cellStyle name="Comma 2 4 4 5 2 2 4" xfId="5419" xr:uid="{00000000-0005-0000-0000-0000970C0000}"/>
    <cellStyle name="Comma 2 4 4 5 2 3" xfId="1310" xr:uid="{00000000-0005-0000-0000-0000980C0000}"/>
    <cellStyle name="Comma 2 4 4 5 2 3 2" xfId="8457" xr:uid="{00000000-0005-0000-0000-0000990C0000}"/>
    <cellStyle name="Comma 2 4 4 5 2 4" xfId="8454" xr:uid="{00000000-0005-0000-0000-00009A0C0000}"/>
    <cellStyle name="Comma 2 4 4 5 2 5" xfId="5418" xr:uid="{00000000-0005-0000-0000-00009B0C0000}"/>
    <cellStyle name="Comma 2 4 4 5 3" xfId="1311" xr:uid="{00000000-0005-0000-0000-00009C0C0000}"/>
    <cellStyle name="Comma 2 4 4 5 3 2" xfId="1312" xr:uid="{00000000-0005-0000-0000-00009D0C0000}"/>
    <cellStyle name="Comma 2 4 4 5 3 2 2" xfId="8459" xr:uid="{00000000-0005-0000-0000-00009E0C0000}"/>
    <cellStyle name="Comma 2 4 4 5 3 3" xfId="8458" xr:uid="{00000000-0005-0000-0000-00009F0C0000}"/>
    <cellStyle name="Comma 2 4 4 5 3 4" xfId="5420" xr:uid="{00000000-0005-0000-0000-0000A00C0000}"/>
    <cellStyle name="Comma 2 4 4 5 4" xfId="1313" xr:uid="{00000000-0005-0000-0000-0000A10C0000}"/>
    <cellStyle name="Comma 2 4 4 5 4 2" xfId="1314" xr:uid="{00000000-0005-0000-0000-0000A20C0000}"/>
    <cellStyle name="Comma 2 4 4 5 4 2 2" xfId="8461" xr:uid="{00000000-0005-0000-0000-0000A30C0000}"/>
    <cellStyle name="Comma 2 4 4 5 4 3" xfId="8460" xr:uid="{00000000-0005-0000-0000-0000A40C0000}"/>
    <cellStyle name="Comma 2 4 4 5 4 4" xfId="5421" xr:uid="{00000000-0005-0000-0000-0000A50C0000}"/>
    <cellStyle name="Comma 2 4 4 5 5" xfId="1315" xr:uid="{00000000-0005-0000-0000-0000A60C0000}"/>
    <cellStyle name="Comma 2 4 4 5 5 2" xfId="8462" xr:uid="{00000000-0005-0000-0000-0000A70C0000}"/>
    <cellStyle name="Comma 2 4 4 5 6" xfId="8453" xr:uid="{00000000-0005-0000-0000-0000A80C0000}"/>
    <cellStyle name="Comma 2 4 4 5 7" xfId="5417" xr:uid="{00000000-0005-0000-0000-0000A90C0000}"/>
    <cellStyle name="Comma 2 4 4 6" xfId="1316" xr:uid="{00000000-0005-0000-0000-0000AA0C0000}"/>
    <cellStyle name="Comma 2 4 4 6 2" xfId="1317" xr:uid="{00000000-0005-0000-0000-0000AB0C0000}"/>
    <cellStyle name="Comma 2 4 4 6 2 2" xfId="1318" xr:uid="{00000000-0005-0000-0000-0000AC0C0000}"/>
    <cellStyle name="Comma 2 4 4 6 2 2 2" xfId="1319" xr:uid="{00000000-0005-0000-0000-0000AD0C0000}"/>
    <cellStyle name="Comma 2 4 4 6 2 2 2 2" xfId="8466" xr:uid="{00000000-0005-0000-0000-0000AE0C0000}"/>
    <cellStyle name="Comma 2 4 4 6 2 2 3" xfId="8465" xr:uid="{00000000-0005-0000-0000-0000AF0C0000}"/>
    <cellStyle name="Comma 2 4 4 6 2 2 4" xfId="5424" xr:uid="{00000000-0005-0000-0000-0000B00C0000}"/>
    <cellStyle name="Comma 2 4 4 6 2 3" xfId="1320" xr:uid="{00000000-0005-0000-0000-0000B10C0000}"/>
    <cellStyle name="Comma 2 4 4 6 2 3 2" xfId="8467" xr:uid="{00000000-0005-0000-0000-0000B20C0000}"/>
    <cellStyle name="Comma 2 4 4 6 2 4" xfId="8464" xr:uid="{00000000-0005-0000-0000-0000B30C0000}"/>
    <cellStyle name="Comma 2 4 4 6 2 5" xfId="5423" xr:uid="{00000000-0005-0000-0000-0000B40C0000}"/>
    <cellStyle name="Comma 2 4 4 6 3" xfId="1321" xr:uid="{00000000-0005-0000-0000-0000B50C0000}"/>
    <cellStyle name="Comma 2 4 4 6 3 2" xfId="1322" xr:uid="{00000000-0005-0000-0000-0000B60C0000}"/>
    <cellStyle name="Comma 2 4 4 6 3 2 2" xfId="8469" xr:uid="{00000000-0005-0000-0000-0000B70C0000}"/>
    <cellStyle name="Comma 2 4 4 6 3 3" xfId="8468" xr:uid="{00000000-0005-0000-0000-0000B80C0000}"/>
    <cellStyle name="Comma 2 4 4 6 3 4" xfId="5425" xr:uid="{00000000-0005-0000-0000-0000B90C0000}"/>
    <cellStyle name="Comma 2 4 4 6 4" xfId="1323" xr:uid="{00000000-0005-0000-0000-0000BA0C0000}"/>
    <cellStyle name="Comma 2 4 4 6 4 2" xfId="1324" xr:uid="{00000000-0005-0000-0000-0000BB0C0000}"/>
    <cellStyle name="Comma 2 4 4 6 4 2 2" xfId="8471" xr:uid="{00000000-0005-0000-0000-0000BC0C0000}"/>
    <cellStyle name="Comma 2 4 4 6 4 3" xfId="8470" xr:uid="{00000000-0005-0000-0000-0000BD0C0000}"/>
    <cellStyle name="Comma 2 4 4 6 4 4" xfId="5426" xr:uid="{00000000-0005-0000-0000-0000BE0C0000}"/>
    <cellStyle name="Comma 2 4 4 6 5" xfId="1325" xr:uid="{00000000-0005-0000-0000-0000BF0C0000}"/>
    <cellStyle name="Comma 2 4 4 6 5 2" xfId="8472" xr:uid="{00000000-0005-0000-0000-0000C00C0000}"/>
    <cellStyle name="Comma 2 4 4 6 6" xfId="8463" xr:uid="{00000000-0005-0000-0000-0000C10C0000}"/>
    <cellStyle name="Comma 2 4 4 6 7" xfId="5422" xr:uid="{00000000-0005-0000-0000-0000C20C0000}"/>
    <cellStyle name="Comma 2 4 4 7" xfId="1326" xr:uid="{00000000-0005-0000-0000-0000C30C0000}"/>
    <cellStyle name="Comma 2 4 4 7 2" xfId="1327" xr:uid="{00000000-0005-0000-0000-0000C40C0000}"/>
    <cellStyle name="Comma 2 4 4 7 2 2" xfId="1328" xr:uid="{00000000-0005-0000-0000-0000C50C0000}"/>
    <cellStyle name="Comma 2 4 4 7 2 2 2" xfId="8475" xr:uid="{00000000-0005-0000-0000-0000C60C0000}"/>
    <cellStyle name="Comma 2 4 4 7 2 3" xfId="8474" xr:uid="{00000000-0005-0000-0000-0000C70C0000}"/>
    <cellStyle name="Comma 2 4 4 7 2 4" xfId="5428" xr:uid="{00000000-0005-0000-0000-0000C80C0000}"/>
    <cellStyle name="Comma 2 4 4 7 3" xfId="1329" xr:uid="{00000000-0005-0000-0000-0000C90C0000}"/>
    <cellStyle name="Comma 2 4 4 7 3 2" xfId="1330" xr:uid="{00000000-0005-0000-0000-0000CA0C0000}"/>
    <cellStyle name="Comma 2 4 4 7 3 2 2" xfId="8477" xr:uid="{00000000-0005-0000-0000-0000CB0C0000}"/>
    <cellStyle name="Comma 2 4 4 7 3 3" xfId="8476" xr:uid="{00000000-0005-0000-0000-0000CC0C0000}"/>
    <cellStyle name="Comma 2 4 4 7 3 4" xfId="5429" xr:uid="{00000000-0005-0000-0000-0000CD0C0000}"/>
    <cellStyle name="Comma 2 4 4 7 4" xfId="1331" xr:uid="{00000000-0005-0000-0000-0000CE0C0000}"/>
    <cellStyle name="Comma 2 4 4 7 4 2" xfId="8478" xr:uid="{00000000-0005-0000-0000-0000CF0C0000}"/>
    <cellStyle name="Comma 2 4 4 7 5" xfId="8473" xr:uid="{00000000-0005-0000-0000-0000D00C0000}"/>
    <cellStyle name="Comma 2 4 4 7 6" xfId="5427" xr:uid="{00000000-0005-0000-0000-0000D10C0000}"/>
    <cellStyle name="Comma 2 4 4 8" xfId="1332" xr:uid="{00000000-0005-0000-0000-0000D20C0000}"/>
    <cellStyle name="Comma 2 4 4 8 2" xfId="1333" xr:uid="{00000000-0005-0000-0000-0000D30C0000}"/>
    <cellStyle name="Comma 2 4 4 8 2 2" xfId="1334" xr:uid="{00000000-0005-0000-0000-0000D40C0000}"/>
    <cellStyle name="Comma 2 4 4 8 2 2 2" xfId="8481" xr:uid="{00000000-0005-0000-0000-0000D50C0000}"/>
    <cellStyle name="Comma 2 4 4 8 2 3" xfId="8480" xr:uid="{00000000-0005-0000-0000-0000D60C0000}"/>
    <cellStyle name="Comma 2 4 4 8 2 4" xfId="5431" xr:uid="{00000000-0005-0000-0000-0000D70C0000}"/>
    <cellStyle name="Comma 2 4 4 8 3" xfId="1335" xr:uid="{00000000-0005-0000-0000-0000D80C0000}"/>
    <cellStyle name="Comma 2 4 4 8 3 2" xfId="8482" xr:uid="{00000000-0005-0000-0000-0000D90C0000}"/>
    <cellStyle name="Comma 2 4 4 8 4" xfId="8479" xr:uid="{00000000-0005-0000-0000-0000DA0C0000}"/>
    <cellStyle name="Comma 2 4 4 8 5" xfId="5430" xr:uid="{00000000-0005-0000-0000-0000DB0C0000}"/>
    <cellStyle name="Comma 2 4 4 9" xfId="1336" xr:uid="{00000000-0005-0000-0000-0000DC0C0000}"/>
    <cellStyle name="Comma 2 4 4 9 2" xfId="1337" xr:uid="{00000000-0005-0000-0000-0000DD0C0000}"/>
    <cellStyle name="Comma 2 4 4 9 2 2" xfId="8484" xr:uid="{00000000-0005-0000-0000-0000DE0C0000}"/>
    <cellStyle name="Comma 2 4 4 9 3" xfId="8483" xr:uid="{00000000-0005-0000-0000-0000DF0C0000}"/>
    <cellStyle name="Comma 2 4 4 9 4" xfId="5432" xr:uid="{00000000-0005-0000-0000-0000E00C0000}"/>
    <cellStyle name="Comma 2 4 5" xfId="1338" xr:uid="{00000000-0005-0000-0000-0000E10C0000}"/>
    <cellStyle name="Comma 2 4 5 10" xfId="1339" xr:uid="{00000000-0005-0000-0000-0000E20C0000}"/>
    <cellStyle name="Comma 2 4 5 10 2" xfId="8486" xr:uid="{00000000-0005-0000-0000-0000E30C0000}"/>
    <cellStyle name="Comma 2 4 5 11" xfId="8485" xr:uid="{00000000-0005-0000-0000-0000E40C0000}"/>
    <cellStyle name="Comma 2 4 5 12" xfId="5433" xr:uid="{00000000-0005-0000-0000-0000E50C0000}"/>
    <cellStyle name="Comma 2 4 5 2" xfId="1340" xr:uid="{00000000-0005-0000-0000-0000E60C0000}"/>
    <cellStyle name="Comma 2 4 5 2 2" xfId="1341" xr:uid="{00000000-0005-0000-0000-0000E70C0000}"/>
    <cellStyle name="Comma 2 4 5 2 2 2" xfId="1342" xr:uid="{00000000-0005-0000-0000-0000E80C0000}"/>
    <cellStyle name="Comma 2 4 5 2 2 2 2" xfId="1343" xr:uid="{00000000-0005-0000-0000-0000E90C0000}"/>
    <cellStyle name="Comma 2 4 5 2 2 2 2 2" xfId="8490" xr:uid="{00000000-0005-0000-0000-0000EA0C0000}"/>
    <cellStyle name="Comma 2 4 5 2 2 2 3" xfId="8489" xr:uid="{00000000-0005-0000-0000-0000EB0C0000}"/>
    <cellStyle name="Comma 2 4 5 2 2 2 4" xfId="5436" xr:uid="{00000000-0005-0000-0000-0000EC0C0000}"/>
    <cellStyle name="Comma 2 4 5 2 2 3" xfId="1344" xr:uid="{00000000-0005-0000-0000-0000ED0C0000}"/>
    <cellStyle name="Comma 2 4 5 2 2 3 2" xfId="8491" xr:uid="{00000000-0005-0000-0000-0000EE0C0000}"/>
    <cellStyle name="Comma 2 4 5 2 2 4" xfId="8488" xr:uid="{00000000-0005-0000-0000-0000EF0C0000}"/>
    <cellStyle name="Comma 2 4 5 2 2 5" xfId="5435" xr:uid="{00000000-0005-0000-0000-0000F00C0000}"/>
    <cellStyle name="Comma 2 4 5 2 3" xfId="1345" xr:uid="{00000000-0005-0000-0000-0000F10C0000}"/>
    <cellStyle name="Comma 2 4 5 2 3 2" xfId="1346" xr:uid="{00000000-0005-0000-0000-0000F20C0000}"/>
    <cellStyle name="Comma 2 4 5 2 3 2 2" xfId="8493" xr:uid="{00000000-0005-0000-0000-0000F30C0000}"/>
    <cellStyle name="Comma 2 4 5 2 3 3" xfId="8492" xr:uid="{00000000-0005-0000-0000-0000F40C0000}"/>
    <cellStyle name="Comma 2 4 5 2 3 4" xfId="5437" xr:uid="{00000000-0005-0000-0000-0000F50C0000}"/>
    <cellStyle name="Comma 2 4 5 2 4" xfId="1347" xr:uid="{00000000-0005-0000-0000-0000F60C0000}"/>
    <cellStyle name="Comma 2 4 5 2 4 2" xfId="1348" xr:uid="{00000000-0005-0000-0000-0000F70C0000}"/>
    <cellStyle name="Comma 2 4 5 2 4 2 2" xfId="8495" xr:uid="{00000000-0005-0000-0000-0000F80C0000}"/>
    <cellStyle name="Comma 2 4 5 2 4 3" xfId="8494" xr:uid="{00000000-0005-0000-0000-0000F90C0000}"/>
    <cellStyle name="Comma 2 4 5 2 4 4" xfId="5438" xr:uid="{00000000-0005-0000-0000-0000FA0C0000}"/>
    <cellStyle name="Comma 2 4 5 2 5" xfId="1349" xr:uid="{00000000-0005-0000-0000-0000FB0C0000}"/>
    <cellStyle name="Comma 2 4 5 2 5 2" xfId="8496" xr:uid="{00000000-0005-0000-0000-0000FC0C0000}"/>
    <cellStyle name="Comma 2 4 5 2 6" xfId="8487" xr:uid="{00000000-0005-0000-0000-0000FD0C0000}"/>
    <cellStyle name="Comma 2 4 5 2 7" xfId="5434" xr:uid="{00000000-0005-0000-0000-0000FE0C0000}"/>
    <cellStyle name="Comma 2 4 5 3" xfId="1350" xr:uid="{00000000-0005-0000-0000-0000FF0C0000}"/>
    <cellStyle name="Comma 2 4 5 3 2" xfId="1351" xr:uid="{00000000-0005-0000-0000-0000000D0000}"/>
    <cellStyle name="Comma 2 4 5 3 2 2" xfId="1352" xr:uid="{00000000-0005-0000-0000-0000010D0000}"/>
    <cellStyle name="Comma 2 4 5 3 2 2 2" xfId="1353" xr:uid="{00000000-0005-0000-0000-0000020D0000}"/>
    <cellStyle name="Comma 2 4 5 3 2 2 2 2" xfId="8500" xr:uid="{00000000-0005-0000-0000-0000030D0000}"/>
    <cellStyle name="Comma 2 4 5 3 2 2 3" xfId="8499" xr:uid="{00000000-0005-0000-0000-0000040D0000}"/>
    <cellStyle name="Comma 2 4 5 3 2 2 4" xfId="5441" xr:uid="{00000000-0005-0000-0000-0000050D0000}"/>
    <cellStyle name="Comma 2 4 5 3 2 3" xfId="1354" xr:uid="{00000000-0005-0000-0000-0000060D0000}"/>
    <cellStyle name="Comma 2 4 5 3 2 3 2" xfId="8501" xr:uid="{00000000-0005-0000-0000-0000070D0000}"/>
    <cellStyle name="Comma 2 4 5 3 2 4" xfId="8498" xr:uid="{00000000-0005-0000-0000-0000080D0000}"/>
    <cellStyle name="Comma 2 4 5 3 2 5" xfId="5440" xr:uid="{00000000-0005-0000-0000-0000090D0000}"/>
    <cellStyle name="Comma 2 4 5 3 3" xfId="1355" xr:uid="{00000000-0005-0000-0000-00000A0D0000}"/>
    <cellStyle name="Comma 2 4 5 3 3 2" xfId="1356" xr:uid="{00000000-0005-0000-0000-00000B0D0000}"/>
    <cellStyle name="Comma 2 4 5 3 3 2 2" xfId="8503" xr:uid="{00000000-0005-0000-0000-00000C0D0000}"/>
    <cellStyle name="Comma 2 4 5 3 3 3" xfId="8502" xr:uid="{00000000-0005-0000-0000-00000D0D0000}"/>
    <cellStyle name="Comma 2 4 5 3 3 4" xfId="5442" xr:uid="{00000000-0005-0000-0000-00000E0D0000}"/>
    <cellStyle name="Comma 2 4 5 3 4" xfId="1357" xr:uid="{00000000-0005-0000-0000-00000F0D0000}"/>
    <cellStyle name="Comma 2 4 5 3 4 2" xfId="1358" xr:uid="{00000000-0005-0000-0000-0000100D0000}"/>
    <cellStyle name="Comma 2 4 5 3 4 2 2" xfId="8505" xr:uid="{00000000-0005-0000-0000-0000110D0000}"/>
    <cellStyle name="Comma 2 4 5 3 4 3" xfId="8504" xr:uid="{00000000-0005-0000-0000-0000120D0000}"/>
    <cellStyle name="Comma 2 4 5 3 4 4" xfId="5443" xr:uid="{00000000-0005-0000-0000-0000130D0000}"/>
    <cellStyle name="Comma 2 4 5 3 5" xfId="1359" xr:uid="{00000000-0005-0000-0000-0000140D0000}"/>
    <cellStyle name="Comma 2 4 5 3 5 2" xfId="8506" xr:uid="{00000000-0005-0000-0000-0000150D0000}"/>
    <cellStyle name="Comma 2 4 5 3 6" xfId="8497" xr:uid="{00000000-0005-0000-0000-0000160D0000}"/>
    <cellStyle name="Comma 2 4 5 3 7" xfId="5439" xr:uid="{00000000-0005-0000-0000-0000170D0000}"/>
    <cellStyle name="Comma 2 4 5 4" xfId="1360" xr:uid="{00000000-0005-0000-0000-0000180D0000}"/>
    <cellStyle name="Comma 2 4 5 4 2" xfId="1361" xr:uid="{00000000-0005-0000-0000-0000190D0000}"/>
    <cellStyle name="Comma 2 4 5 4 2 2" xfId="1362" xr:uid="{00000000-0005-0000-0000-00001A0D0000}"/>
    <cellStyle name="Comma 2 4 5 4 2 2 2" xfId="1363" xr:uid="{00000000-0005-0000-0000-00001B0D0000}"/>
    <cellStyle name="Comma 2 4 5 4 2 2 2 2" xfId="8510" xr:uid="{00000000-0005-0000-0000-00001C0D0000}"/>
    <cellStyle name="Comma 2 4 5 4 2 2 3" xfId="8509" xr:uid="{00000000-0005-0000-0000-00001D0D0000}"/>
    <cellStyle name="Comma 2 4 5 4 2 2 4" xfId="5446" xr:uid="{00000000-0005-0000-0000-00001E0D0000}"/>
    <cellStyle name="Comma 2 4 5 4 2 3" xfId="1364" xr:uid="{00000000-0005-0000-0000-00001F0D0000}"/>
    <cellStyle name="Comma 2 4 5 4 2 3 2" xfId="8511" xr:uid="{00000000-0005-0000-0000-0000200D0000}"/>
    <cellStyle name="Comma 2 4 5 4 2 4" xfId="8508" xr:uid="{00000000-0005-0000-0000-0000210D0000}"/>
    <cellStyle name="Comma 2 4 5 4 2 5" xfId="5445" xr:uid="{00000000-0005-0000-0000-0000220D0000}"/>
    <cellStyle name="Comma 2 4 5 4 3" xfId="1365" xr:uid="{00000000-0005-0000-0000-0000230D0000}"/>
    <cellStyle name="Comma 2 4 5 4 3 2" xfId="1366" xr:uid="{00000000-0005-0000-0000-0000240D0000}"/>
    <cellStyle name="Comma 2 4 5 4 3 2 2" xfId="8513" xr:uid="{00000000-0005-0000-0000-0000250D0000}"/>
    <cellStyle name="Comma 2 4 5 4 3 3" xfId="8512" xr:uid="{00000000-0005-0000-0000-0000260D0000}"/>
    <cellStyle name="Comma 2 4 5 4 3 4" xfId="5447" xr:uid="{00000000-0005-0000-0000-0000270D0000}"/>
    <cellStyle name="Comma 2 4 5 4 4" xfId="1367" xr:uid="{00000000-0005-0000-0000-0000280D0000}"/>
    <cellStyle name="Comma 2 4 5 4 4 2" xfId="1368" xr:uid="{00000000-0005-0000-0000-0000290D0000}"/>
    <cellStyle name="Comma 2 4 5 4 4 2 2" xfId="8515" xr:uid="{00000000-0005-0000-0000-00002A0D0000}"/>
    <cellStyle name="Comma 2 4 5 4 4 3" xfId="8514" xr:uid="{00000000-0005-0000-0000-00002B0D0000}"/>
    <cellStyle name="Comma 2 4 5 4 4 4" xfId="5448" xr:uid="{00000000-0005-0000-0000-00002C0D0000}"/>
    <cellStyle name="Comma 2 4 5 4 5" xfId="1369" xr:uid="{00000000-0005-0000-0000-00002D0D0000}"/>
    <cellStyle name="Comma 2 4 5 4 5 2" xfId="8516" xr:uid="{00000000-0005-0000-0000-00002E0D0000}"/>
    <cellStyle name="Comma 2 4 5 4 6" xfId="8507" xr:uid="{00000000-0005-0000-0000-00002F0D0000}"/>
    <cellStyle name="Comma 2 4 5 4 7" xfId="5444" xr:uid="{00000000-0005-0000-0000-0000300D0000}"/>
    <cellStyle name="Comma 2 4 5 5" xfId="1370" xr:uid="{00000000-0005-0000-0000-0000310D0000}"/>
    <cellStyle name="Comma 2 4 5 5 2" xfId="1371" xr:uid="{00000000-0005-0000-0000-0000320D0000}"/>
    <cellStyle name="Comma 2 4 5 5 2 2" xfId="1372" xr:uid="{00000000-0005-0000-0000-0000330D0000}"/>
    <cellStyle name="Comma 2 4 5 5 2 2 2" xfId="1373" xr:uid="{00000000-0005-0000-0000-0000340D0000}"/>
    <cellStyle name="Comma 2 4 5 5 2 2 2 2" xfId="8520" xr:uid="{00000000-0005-0000-0000-0000350D0000}"/>
    <cellStyle name="Comma 2 4 5 5 2 2 3" xfId="8519" xr:uid="{00000000-0005-0000-0000-0000360D0000}"/>
    <cellStyle name="Comma 2 4 5 5 2 2 4" xfId="5451" xr:uid="{00000000-0005-0000-0000-0000370D0000}"/>
    <cellStyle name="Comma 2 4 5 5 2 3" xfId="1374" xr:uid="{00000000-0005-0000-0000-0000380D0000}"/>
    <cellStyle name="Comma 2 4 5 5 2 3 2" xfId="8521" xr:uid="{00000000-0005-0000-0000-0000390D0000}"/>
    <cellStyle name="Comma 2 4 5 5 2 4" xfId="8518" xr:uid="{00000000-0005-0000-0000-00003A0D0000}"/>
    <cellStyle name="Comma 2 4 5 5 2 5" xfId="5450" xr:uid="{00000000-0005-0000-0000-00003B0D0000}"/>
    <cellStyle name="Comma 2 4 5 5 3" xfId="1375" xr:uid="{00000000-0005-0000-0000-00003C0D0000}"/>
    <cellStyle name="Comma 2 4 5 5 3 2" xfId="1376" xr:uid="{00000000-0005-0000-0000-00003D0D0000}"/>
    <cellStyle name="Comma 2 4 5 5 3 2 2" xfId="8523" xr:uid="{00000000-0005-0000-0000-00003E0D0000}"/>
    <cellStyle name="Comma 2 4 5 5 3 3" xfId="8522" xr:uid="{00000000-0005-0000-0000-00003F0D0000}"/>
    <cellStyle name="Comma 2 4 5 5 3 4" xfId="5452" xr:uid="{00000000-0005-0000-0000-0000400D0000}"/>
    <cellStyle name="Comma 2 4 5 5 4" xfId="1377" xr:uid="{00000000-0005-0000-0000-0000410D0000}"/>
    <cellStyle name="Comma 2 4 5 5 4 2" xfId="1378" xr:uid="{00000000-0005-0000-0000-0000420D0000}"/>
    <cellStyle name="Comma 2 4 5 5 4 2 2" xfId="8525" xr:uid="{00000000-0005-0000-0000-0000430D0000}"/>
    <cellStyle name="Comma 2 4 5 5 4 3" xfId="8524" xr:uid="{00000000-0005-0000-0000-0000440D0000}"/>
    <cellStyle name="Comma 2 4 5 5 4 4" xfId="5453" xr:uid="{00000000-0005-0000-0000-0000450D0000}"/>
    <cellStyle name="Comma 2 4 5 5 5" xfId="1379" xr:uid="{00000000-0005-0000-0000-0000460D0000}"/>
    <cellStyle name="Comma 2 4 5 5 5 2" xfId="8526" xr:uid="{00000000-0005-0000-0000-0000470D0000}"/>
    <cellStyle name="Comma 2 4 5 5 6" xfId="8517" xr:uid="{00000000-0005-0000-0000-0000480D0000}"/>
    <cellStyle name="Comma 2 4 5 5 7" xfId="5449" xr:uid="{00000000-0005-0000-0000-0000490D0000}"/>
    <cellStyle name="Comma 2 4 5 6" xfId="1380" xr:uid="{00000000-0005-0000-0000-00004A0D0000}"/>
    <cellStyle name="Comma 2 4 5 6 2" xfId="1381" xr:uid="{00000000-0005-0000-0000-00004B0D0000}"/>
    <cellStyle name="Comma 2 4 5 6 2 2" xfId="1382" xr:uid="{00000000-0005-0000-0000-00004C0D0000}"/>
    <cellStyle name="Comma 2 4 5 6 2 2 2" xfId="8529" xr:uid="{00000000-0005-0000-0000-00004D0D0000}"/>
    <cellStyle name="Comma 2 4 5 6 2 3" xfId="8528" xr:uid="{00000000-0005-0000-0000-00004E0D0000}"/>
    <cellStyle name="Comma 2 4 5 6 2 4" xfId="5455" xr:uid="{00000000-0005-0000-0000-00004F0D0000}"/>
    <cellStyle name="Comma 2 4 5 6 3" xfId="1383" xr:uid="{00000000-0005-0000-0000-0000500D0000}"/>
    <cellStyle name="Comma 2 4 5 6 3 2" xfId="1384" xr:uid="{00000000-0005-0000-0000-0000510D0000}"/>
    <cellStyle name="Comma 2 4 5 6 3 2 2" xfId="8531" xr:uid="{00000000-0005-0000-0000-0000520D0000}"/>
    <cellStyle name="Comma 2 4 5 6 3 3" xfId="8530" xr:uid="{00000000-0005-0000-0000-0000530D0000}"/>
    <cellStyle name="Comma 2 4 5 6 3 4" xfId="5456" xr:uid="{00000000-0005-0000-0000-0000540D0000}"/>
    <cellStyle name="Comma 2 4 5 6 4" xfId="1385" xr:uid="{00000000-0005-0000-0000-0000550D0000}"/>
    <cellStyle name="Comma 2 4 5 6 4 2" xfId="8532" xr:uid="{00000000-0005-0000-0000-0000560D0000}"/>
    <cellStyle name="Comma 2 4 5 6 5" xfId="8527" xr:uid="{00000000-0005-0000-0000-0000570D0000}"/>
    <cellStyle name="Comma 2 4 5 6 6" xfId="5454" xr:uid="{00000000-0005-0000-0000-0000580D0000}"/>
    <cellStyle name="Comma 2 4 5 7" xfId="1386" xr:uid="{00000000-0005-0000-0000-0000590D0000}"/>
    <cellStyle name="Comma 2 4 5 7 2" xfId="1387" xr:uid="{00000000-0005-0000-0000-00005A0D0000}"/>
    <cellStyle name="Comma 2 4 5 7 2 2" xfId="1388" xr:uid="{00000000-0005-0000-0000-00005B0D0000}"/>
    <cellStyle name="Comma 2 4 5 7 2 2 2" xfId="8535" xr:uid="{00000000-0005-0000-0000-00005C0D0000}"/>
    <cellStyle name="Comma 2 4 5 7 2 3" xfId="8534" xr:uid="{00000000-0005-0000-0000-00005D0D0000}"/>
    <cellStyle name="Comma 2 4 5 7 2 4" xfId="5458" xr:uid="{00000000-0005-0000-0000-00005E0D0000}"/>
    <cellStyle name="Comma 2 4 5 7 3" xfId="1389" xr:uid="{00000000-0005-0000-0000-00005F0D0000}"/>
    <cellStyle name="Comma 2 4 5 7 3 2" xfId="8536" xr:uid="{00000000-0005-0000-0000-0000600D0000}"/>
    <cellStyle name="Comma 2 4 5 7 4" xfId="8533" xr:uid="{00000000-0005-0000-0000-0000610D0000}"/>
    <cellStyle name="Comma 2 4 5 7 5" xfId="5457" xr:uid="{00000000-0005-0000-0000-0000620D0000}"/>
    <cellStyle name="Comma 2 4 5 8" xfId="1390" xr:uid="{00000000-0005-0000-0000-0000630D0000}"/>
    <cellStyle name="Comma 2 4 5 8 2" xfId="1391" xr:uid="{00000000-0005-0000-0000-0000640D0000}"/>
    <cellStyle name="Comma 2 4 5 8 2 2" xfId="8538" xr:uid="{00000000-0005-0000-0000-0000650D0000}"/>
    <cellStyle name="Comma 2 4 5 8 3" xfId="8537" xr:uid="{00000000-0005-0000-0000-0000660D0000}"/>
    <cellStyle name="Comma 2 4 5 8 4" xfId="5459" xr:uid="{00000000-0005-0000-0000-0000670D0000}"/>
    <cellStyle name="Comma 2 4 5 9" xfId="1392" xr:uid="{00000000-0005-0000-0000-0000680D0000}"/>
    <cellStyle name="Comma 2 4 5 9 2" xfId="1393" xr:uid="{00000000-0005-0000-0000-0000690D0000}"/>
    <cellStyle name="Comma 2 4 5 9 2 2" xfId="8540" xr:uid="{00000000-0005-0000-0000-00006A0D0000}"/>
    <cellStyle name="Comma 2 4 5 9 3" xfId="8539" xr:uid="{00000000-0005-0000-0000-00006B0D0000}"/>
    <cellStyle name="Comma 2 4 5 9 4" xfId="5460" xr:uid="{00000000-0005-0000-0000-00006C0D0000}"/>
    <cellStyle name="Comma 2 4 6" xfId="1394" xr:uid="{00000000-0005-0000-0000-00006D0D0000}"/>
    <cellStyle name="Comma 2 4 6 2" xfId="1395" xr:uid="{00000000-0005-0000-0000-00006E0D0000}"/>
    <cellStyle name="Comma 2 4 6 2 2" xfId="1396" xr:uid="{00000000-0005-0000-0000-00006F0D0000}"/>
    <cellStyle name="Comma 2 4 6 2 2 2" xfId="1397" xr:uid="{00000000-0005-0000-0000-0000700D0000}"/>
    <cellStyle name="Comma 2 4 6 2 2 2 2" xfId="8544" xr:uid="{00000000-0005-0000-0000-0000710D0000}"/>
    <cellStyle name="Comma 2 4 6 2 2 3" xfId="8543" xr:uid="{00000000-0005-0000-0000-0000720D0000}"/>
    <cellStyle name="Comma 2 4 6 2 2 4" xfId="5463" xr:uid="{00000000-0005-0000-0000-0000730D0000}"/>
    <cellStyle name="Comma 2 4 6 2 3" xfId="1398" xr:uid="{00000000-0005-0000-0000-0000740D0000}"/>
    <cellStyle name="Comma 2 4 6 2 3 2" xfId="8545" xr:uid="{00000000-0005-0000-0000-0000750D0000}"/>
    <cellStyle name="Comma 2 4 6 2 4" xfId="8542" xr:uid="{00000000-0005-0000-0000-0000760D0000}"/>
    <cellStyle name="Comma 2 4 6 2 5" xfId="5462" xr:uid="{00000000-0005-0000-0000-0000770D0000}"/>
    <cellStyle name="Comma 2 4 6 3" xfId="1399" xr:uid="{00000000-0005-0000-0000-0000780D0000}"/>
    <cellStyle name="Comma 2 4 6 3 2" xfId="1400" xr:uid="{00000000-0005-0000-0000-0000790D0000}"/>
    <cellStyle name="Comma 2 4 6 3 2 2" xfId="8547" xr:uid="{00000000-0005-0000-0000-00007A0D0000}"/>
    <cellStyle name="Comma 2 4 6 3 3" xfId="8546" xr:uid="{00000000-0005-0000-0000-00007B0D0000}"/>
    <cellStyle name="Comma 2 4 6 3 4" xfId="5464" xr:uid="{00000000-0005-0000-0000-00007C0D0000}"/>
    <cellStyle name="Comma 2 4 6 4" xfId="1401" xr:uid="{00000000-0005-0000-0000-00007D0D0000}"/>
    <cellStyle name="Comma 2 4 6 4 2" xfId="1402" xr:uid="{00000000-0005-0000-0000-00007E0D0000}"/>
    <cellStyle name="Comma 2 4 6 4 2 2" xfId="8549" xr:uid="{00000000-0005-0000-0000-00007F0D0000}"/>
    <cellStyle name="Comma 2 4 6 4 3" xfId="8548" xr:uid="{00000000-0005-0000-0000-0000800D0000}"/>
    <cellStyle name="Comma 2 4 6 4 4" xfId="5465" xr:uid="{00000000-0005-0000-0000-0000810D0000}"/>
    <cellStyle name="Comma 2 4 6 5" xfId="1403" xr:uid="{00000000-0005-0000-0000-0000820D0000}"/>
    <cellStyle name="Comma 2 4 6 5 2" xfId="8550" xr:uid="{00000000-0005-0000-0000-0000830D0000}"/>
    <cellStyle name="Comma 2 4 6 6" xfId="8541" xr:uid="{00000000-0005-0000-0000-0000840D0000}"/>
    <cellStyle name="Comma 2 4 6 7" xfId="5461" xr:uid="{00000000-0005-0000-0000-0000850D0000}"/>
    <cellStyle name="Comma 2 4 7" xfId="1404" xr:uid="{00000000-0005-0000-0000-0000860D0000}"/>
    <cellStyle name="Comma 2 4 7 2" xfId="1405" xr:uid="{00000000-0005-0000-0000-0000870D0000}"/>
    <cellStyle name="Comma 2 4 7 2 2" xfId="1406" xr:uid="{00000000-0005-0000-0000-0000880D0000}"/>
    <cellStyle name="Comma 2 4 7 2 2 2" xfId="1407" xr:uid="{00000000-0005-0000-0000-0000890D0000}"/>
    <cellStyle name="Comma 2 4 7 2 2 2 2" xfId="8554" xr:uid="{00000000-0005-0000-0000-00008A0D0000}"/>
    <cellStyle name="Comma 2 4 7 2 2 3" xfId="8553" xr:uid="{00000000-0005-0000-0000-00008B0D0000}"/>
    <cellStyle name="Comma 2 4 7 2 2 4" xfId="5468" xr:uid="{00000000-0005-0000-0000-00008C0D0000}"/>
    <cellStyle name="Comma 2 4 7 2 3" xfId="1408" xr:uid="{00000000-0005-0000-0000-00008D0D0000}"/>
    <cellStyle name="Comma 2 4 7 2 3 2" xfId="8555" xr:uid="{00000000-0005-0000-0000-00008E0D0000}"/>
    <cellStyle name="Comma 2 4 7 2 4" xfId="8552" xr:uid="{00000000-0005-0000-0000-00008F0D0000}"/>
    <cellStyle name="Comma 2 4 7 2 5" xfId="5467" xr:uid="{00000000-0005-0000-0000-0000900D0000}"/>
    <cellStyle name="Comma 2 4 7 3" xfId="1409" xr:uid="{00000000-0005-0000-0000-0000910D0000}"/>
    <cellStyle name="Comma 2 4 7 3 2" xfId="1410" xr:uid="{00000000-0005-0000-0000-0000920D0000}"/>
    <cellStyle name="Comma 2 4 7 3 2 2" xfId="8557" xr:uid="{00000000-0005-0000-0000-0000930D0000}"/>
    <cellStyle name="Comma 2 4 7 3 3" xfId="8556" xr:uid="{00000000-0005-0000-0000-0000940D0000}"/>
    <cellStyle name="Comma 2 4 7 3 4" xfId="5469" xr:uid="{00000000-0005-0000-0000-0000950D0000}"/>
    <cellStyle name="Comma 2 4 7 4" xfId="1411" xr:uid="{00000000-0005-0000-0000-0000960D0000}"/>
    <cellStyle name="Comma 2 4 7 4 2" xfId="1412" xr:uid="{00000000-0005-0000-0000-0000970D0000}"/>
    <cellStyle name="Comma 2 4 7 4 2 2" xfId="8559" xr:uid="{00000000-0005-0000-0000-0000980D0000}"/>
    <cellStyle name="Comma 2 4 7 4 3" xfId="8558" xr:uid="{00000000-0005-0000-0000-0000990D0000}"/>
    <cellStyle name="Comma 2 4 7 4 4" xfId="5470" xr:uid="{00000000-0005-0000-0000-00009A0D0000}"/>
    <cellStyle name="Comma 2 4 7 5" xfId="1413" xr:uid="{00000000-0005-0000-0000-00009B0D0000}"/>
    <cellStyle name="Comma 2 4 7 5 2" xfId="8560" xr:uid="{00000000-0005-0000-0000-00009C0D0000}"/>
    <cellStyle name="Comma 2 4 7 6" xfId="8551" xr:uid="{00000000-0005-0000-0000-00009D0D0000}"/>
    <cellStyle name="Comma 2 4 7 7" xfId="5466" xr:uid="{00000000-0005-0000-0000-00009E0D0000}"/>
    <cellStyle name="Comma 2 4 8" xfId="1414" xr:uid="{00000000-0005-0000-0000-00009F0D0000}"/>
    <cellStyle name="Comma 2 4 8 2" xfId="1415" xr:uid="{00000000-0005-0000-0000-0000A00D0000}"/>
    <cellStyle name="Comma 2 4 8 2 2" xfId="1416" xr:uid="{00000000-0005-0000-0000-0000A10D0000}"/>
    <cellStyle name="Comma 2 4 8 2 2 2" xfId="1417" xr:uid="{00000000-0005-0000-0000-0000A20D0000}"/>
    <cellStyle name="Comma 2 4 8 2 2 2 2" xfId="8564" xr:uid="{00000000-0005-0000-0000-0000A30D0000}"/>
    <cellStyle name="Comma 2 4 8 2 2 3" xfId="8563" xr:uid="{00000000-0005-0000-0000-0000A40D0000}"/>
    <cellStyle name="Comma 2 4 8 2 2 4" xfId="5473" xr:uid="{00000000-0005-0000-0000-0000A50D0000}"/>
    <cellStyle name="Comma 2 4 8 2 3" xfId="1418" xr:uid="{00000000-0005-0000-0000-0000A60D0000}"/>
    <cellStyle name="Comma 2 4 8 2 3 2" xfId="8565" xr:uid="{00000000-0005-0000-0000-0000A70D0000}"/>
    <cellStyle name="Comma 2 4 8 2 4" xfId="8562" xr:uid="{00000000-0005-0000-0000-0000A80D0000}"/>
    <cellStyle name="Comma 2 4 8 2 5" xfId="5472" xr:uid="{00000000-0005-0000-0000-0000A90D0000}"/>
    <cellStyle name="Comma 2 4 8 3" xfId="1419" xr:uid="{00000000-0005-0000-0000-0000AA0D0000}"/>
    <cellStyle name="Comma 2 4 8 3 2" xfId="1420" xr:uid="{00000000-0005-0000-0000-0000AB0D0000}"/>
    <cellStyle name="Comma 2 4 8 3 2 2" xfId="8567" xr:uid="{00000000-0005-0000-0000-0000AC0D0000}"/>
    <cellStyle name="Comma 2 4 8 3 3" xfId="8566" xr:uid="{00000000-0005-0000-0000-0000AD0D0000}"/>
    <cellStyle name="Comma 2 4 8 3 4" xfId="5474" xr:uid="{00000000-0005-0000-0000-0000AE0D0000}"/>
    <cellStyle name="Comma 2 4 8 4" xfId="1421" xr:uid="{00000000-0005-0000-0000-0000AF0D0000}"/>
    <cellStyle name="Comma 2 4 8 4 2" xfId="1422" xr:uid="{00000000-0005-0000-0000-0000B00D0000}"/>
    <cellStyle name="Comma 2 4 8 4 2 2" xfId="8569" xr:uid="{00000000-0005-0000-0000-0000B10D0000}"/>
    <cellStyle name="Comma 2 4 8 4 3" xfId="8568" xr:uid="{00000000-0005-0000-0000-0000B20D0000}"/>
    <cellStyle name="Comma 2 4 8 4 4" xfId="5475" xr:uid="{00000000-0005-0000-0000-0000B30D0000}"/>
    <cellStyle name="Comma 2 4 8 5" xfId="1423" xr:uid="{00000000-0005-0000-0000-0000B40D0000}"/>
    <cellStyle name="Comma 2 4 8 5 2" xfId="8570" xr:uid="{00000000-0005-0000-0000-0000B50D0000}"/>
    <cellStyle name="Comma 2 4 8 6" xfId="8561" xr:uid="{00000000-0005-0000-0000-0000B60D0000}"/>
    <cellStyle name="Comma 2 4 8 7" xfId="5471" xr:uid="{00000000-0005-0000-0000-0000B70D0000}"/>
    <cellStyle name="Comma 2 4 9" xfId="1424" xr:uid="{00000000-0005-0000-0000-0000B80D0000}"/>
    <cellStyle name="Comma 2 4 9 2" xfId="1425" xr:uid="{00000000-0005-0000-0000-0000B90D0000}"/>
    <cellStyle name="Comma 2 4 9 2 2" xfId="1426" xr:uid="{00000000-0005-0000-0000-0000BA0D0000}"/>
    <cellStyle name="Comma 2 4 9 2 2 2" xfId="1427" xr:uid="{00000000-0005-0000-0000-0000BB0D0000}"/>
    <cellStyle name="Comma 2 4 9 2 2 2 2" xfId="8574" xr:uid="{00000000-0005-0000-0000-0000BC0D0000}"/>
    <cellStyle name="Comma 2 4 9 2 2 3" xfId="8573" xr:uid="{00000000-0005-0000-0000-0000BD0D0000}"/>
    <cellStyle name="Comma 2 4 9 2 2 4" xfId="5478" xr:uid="{00000000-0005-0000-0000-0000BE0D0000}"/>
    <cellStyle name="Comma 2 4 9 2 3" xfId="1428" xr:uid="{00000000-0005-0000-0000-0000BF0D0000}"/>
    <cellStyle name="Comma 2 4 9 2 3 2" xfId="8575" xr:uid="{00000000-0005-0000-0000-0000C00D0000}"/>
    <cellStyle name="Comma 2 4 9 2 4" xfId="8572" xr:uid="{00000000-0005-0000-0000-0000C10D0000}"/>
    <cellStyle name="Comma 2 4 9 2 5" xfId="5477" xr:uid="{00000000-0005-0000-0000-0000C20D0000}"/>
    <cellStyle name="Comma 2 4 9 3" xfId="1429" xr:uid="{00000000-0005-0000-0000-0000C30D0000}"/>
    <cellStyle name="Comma 2 4 9 3 2" xfId="1430" xr:uid="{00000000-0005-0000-0000-0000C40D0000}"/>
    <cellStyle name="Comma 2 4 9 3 2 2" xfId="8577" xr:uid="{00000000-0005-0000-0000-0000C50D0000}"/>
    <cellStyle name="Comma 2 4 9 3 3" xfId="8576" xr:uid="{00000000-0005-0000-0000-0000C60D0000}"/>
    <cellStyle name="Comma 2 4 9 3 4" xfId="5479" xr:uid="{00000000-0005-0000-0000-0000C70D0000}"/>
    <cellStyle name="Comma 2 4 9 4" xfId="1431" xr:uid="{00000000-0005-0000-0000-0000C80D0000}"/>
    <cellStyle name="Comma 2 4 9 4 2" xfId="1432" xr:uid="{00000000-0005-0000-0000-0000C90D0000}"/>
    <cellStyle name="Comma 2 4 9 4 2 2" xfId="8579" xr:uid="{00000000-0005-0000-0000-0000CA0D0000}"/>
    <cellStyle name="Comma 2 4 9 4 3" xfId="8578" xr:uid="{00000000-0005-0000-0000-0000CB0D0000}"/>
    <cellStyle name="Comma 2 4 9 4 4" xfId="5480" xr:uid="{00000000-0005-0000-0000-0000CC0D0000}"/>
    <cellStyle name="Comma 2 4 9 5" xfId="1433" xr:uid="{00000000-0005-0000-0000-0000CD0D0000}"/>
    <cellStyle name="Comma 2 4 9 5 2" xfId="8580" xr:uid="{00000000-0005-0000-0000-0000CE0D0000}"/>
    <cellStyle name="Comma 2 4 9 6" xfId="8571" xr:uid="{00000000-0005-0000-0000-0000CF0D0000}"/>
    <cellStyle name="Comma 2 4 9 7" xfId="5476" xr:uid="{00000000-0005-0000-0000-0000D00D0000}"/>
    <cellStyle name="Comma 2 5" xfId="1434" xr:uid="{00000000-0005-0000-0000-0000D10D0000}"/>
    <cellStyle name="Comma 2 5 10" xfId="1435" xr:uid="{00000000-0005-0000-0000-0000D20D0000}"/>
    <cellStyle name="Comma 2 5 10 2" xfId="1436" xr:uid="{00000000-0005-0000-0000-0000D30D0000}"/>
    <cellStyle name="Comma 2 5 10 2 2" xfId="1437" xr:uid="{00000000-0005-0000-0000-0000D40D0000}"/>
    <cellStyle name="Comma 2 5 10 2 2 2" xfId="8584" xr:uid="{00000000-0005-0000-0000-0000D50D0000}"/>
    <cellStyle name="Comma 2 5 10 2 3" xfId="8583" xr:uid="{00000000-0005-0000-0000-0000D60D0000}"/>
    <cellStyle name="Comma 2 5 10 2 4" xfId="5483" xr:uid="{00000000-0005-0000-0000-0000D70D0000}"/>
    <cellStyle name="Comma 2 5 10 3" xfId="1438" xr:uid="{00000000-0005-0000-0000-0000D80D0000}"/>
    <cellStyle name="Comma 2 5 10 3 2" xfId="1439" xr:uid="{00000000-0005-0000-0000-0000D90D0000}"/>
    <cellStyle name="Comma 2 5 10 3 2 2" xfId="8586" xr:uid="{00000000-0005-0000-0000-0000DA0D0000}"/>
    <cellStyle name="Comma 2 5 10 3 3" xfId="8585" xr:uid="{00000000-0005-0000-0000-0000DB0D0000}"/>
    <cellStyle name="Comma 2 5 10 3 4" xfId="5484" xr:uid="{00000000-0005-0000-0000-0000DC0D0000}"/>
    <cellStyle name="Comma 2 5 10 4" xfId="1440" xr:uid="{00000000-0005-0000-0000-0000DD0D0000}"/>
    <cellStyle name="Comma 2 5 10 4 2" xfId="8587" xr:uid="{00000000-0005-0000-0000-0000DE0D0000}"/>
    <cellStyle name="Comma 2 5 10 5" xfId="8582" xr:uid="{00000000-0005-0000-0000-0000DF0D0000}"/>
    <cellStyle name="Comma 2 5 10 6" xfId="5482" xr:uid="{00000000-0005-0000-0000-0000E00D0000}"/>
    <cellStyle name="Comma 2 5 11" xfId="1441" xr:uid="{00000000-0005-0000-0000-0000E10D0000}"/>
    <cellStyle name="Comma 2 5 11 2" xfId="1442" xr:uid="{00000000-0005-0000-0000-0000E20D0000}"/>
    <cellStyle name="Comma 2 5 11 2 2" xfId="1443" xr:uid="{00000000-0005-0000-0000-0000E30D0000}"/>
    <cellStyle name="Comma 2 5 11 2 2 2" xfId="8590" xr:uid="{00000000-0005-0000-0000-0000E40D0000}"/>
    <cellStyle name="Comma 2 5 11 2 3" xfId="8589" xr:uid="{00000000-0005-0000-0000-0000E50D0000}"/>
    <cellStyle name="Comma 2 5 11 2 4" xfId="5486" xr:uid="{00000000-0005-0000-0000-0000E60D0000}"/>
    <cellStyle name="Comma 2 5 11 3" xfId="1444" xr:uid="{00000000-0005-0000-0000-0000E70D0000}"/>
    <cellStyle name="Comma 2 5 11 3 2" xfId="8591" xr:uid="{00000000-0005-0000-0000-0000E80D0000}"/>
    <cellStyle name="Comma 2 5 11 4" xfId="8588" xr:uid="{00000000-0005-0000-0000-0000E90D0000}"/>
    <cellStyle name="Comma 2 5 11 5" xfId="5485" xr:uid="{00000000-0005-0000-0000-0000EA0D0000}"/>
    <cellStyle name="Comma 2 5 12" xfId="1445" xr:uid="{00000000-0005-0000-0000-0000EB0D0000}"/>
    <cellStyle name="Comma 2 5 12 2" xfId="1446" xr:uid="{00000000-0005-0000-0000-0000EC0D0000}"/>
    <cellStyle name="Comma 2 5 12 2 2" xfId="8593" xr:uid="{00000000-0005-0000-0000-0000ED0D0000}"/>
    <cellStyle name="Comma 2 5 12 3" xfId="8592" xr:uid="{00000000-0005-0000-0000-0000EE0D0000}"/>
    <cellStyle name="Comma 2 5 12 4" xfId="5487" xr:uid="{00000000-0005-0000-0000-0000EF0D0000}"/>
    <cellStyle name="Comma 2 5 13" xfId="1447" xr:uid="{00000000-0005-0000-0000-0000F00D0000}"/>
    <cellStyle name="Comma 2 5 13 2" xfId="1448" xr:uid="{00000000-0005-0000-0000-0000F10D0000}"/>
    <cellStyle name="Comma 2 5 13 2 2" xfId="8595" xr:uid="{00000000-0005-0000-0000-0000F20D0000}"/>
    <cellStyle name="Comma 2 5 13 3" xfId="8594" xr:uid="{00000000-0005-0000-0000-0000F30D0000}"/>
    <cellStyle name="Comma 2 5 13 4" xfId="5488" xr:uid="{00000000-0005-0000-0000-0000F40D0000}"/>
    <cellStyle name="Comma 2 5 14" xfId="1449" xr:uid="{00000000-0005-0000-0000-0000F50D0000}"/>
    <cellStyle name="Comma 2 5 14 2" xfId="8596" xr:uid="{00000000-0005-0000-0000-0000F60D0000}"/>
    <cellStyle name="Comma 2 5 15" xfId="8581" xr:uid="{00000000-0005-0000-0000-0000F70D0000}"/>
    <cellStyle name="Comma 2 5 16" xfId="5481" xr:uid="{00000000-0005-0000-0000-0000F80D0000}"/>
    <cellStyle name="Comma 2 5 2" xfId="1450" xr:uid="{00000000-0005-0000-0000-0000F90D0000}"/>
    <cellStyle name="Comma 2 5 2 10" xfId="1451" xr:uid="{00000000-0005-0000-0000-0000FA0D0000}"/>
    <cellStyle name="Comma 2 5 2 10 2" xfId="1452" xr:uid="{00000000-0005-0000-0000-0000FB0D0000}"/>
    <cellStyle name="Comma 2 5 2 10 2 2" xfId="8599" xr:uid="{00000000-0005-0000-0000-0000FC0D0000}"/>
    <cellStyle name="Comma 2 5 2 10 3" xfId="8598" xr:uid="{00000000-0005-0000-0000-0000FD0D0000}"/>
    <cellStyle name="Comma 2 5 2 10 4" xfId="5490" xr:uid="{00000000-0005-0000-0000-0000FE0D0000}"/>
    <cellStyle name="Comma 2 5 2 11" xfId="1453" xr:uid="{00000000-0005-0000-0000-0000FF0D0000}"/>
    <cellStyle name="Comma 2 5 2 11 2" xfId="8600" xr:uid="{00000000-0005-0000-0000-0000000E0000}"/>
    <cellStyle name="Comma 2 5 2 12" xfId="8597" xr:uid="{00000000-0005-0000-0000-0000010E0000}"/>
    <cellStyle name="Comma 2 5 2 13" xfId="5489" xr:uid="{00000000-0005-0000-0000-0000020E0000}"/>
    <cellStyle name="Comma 2 5 2 2" xfId="1454" xr:uid="{00000000-0005-0000-0000-0000030E0000}"/>
    <cellStyle name="Comma 2 5 2 2 10" xfId="1455" xr:uid="{00000000-0005-0000-0000-0000040E0000}"/>
    <cellStyle name="Comma 2 5 2 2 10 2" xfId="8602" xr:uid="{00000000-0005-0000-0000-0000050E0000}"/>
    <cellStyle name="Comma 2 5 2 2 11" xfId="8601" xr:uid="{00000000-0005-0000-0000-0000060E0000}"/>
    <cellStyle name="Comma 2 5 2 2 12" xfId="5491" xr:uid="{00000000-0005-0000-0000-0000070E0000}"/>
    <cellStyle name="Comma 2 5 2 2 2" xfId="1456" xr:uid="{00000000-0005-0000-0000-0000080E0000}"/>
    <cellStyle name="Comma 2 5 2 2 2 2" xfId="1457" xr:uid="{00000000-0005-0000-0000-0000090E0000}"/>
    <cellStyle name="Comma 2 5 2 2 2 2 2" xfId="1458" xr:uid="{00000000-0005-0000-0000-00000A0E0000}"/>
    <cellStyle name="Comma 2 5 2 2 2 2 2 2" xfId="1459" xr:uid="{00000000-0005-0000-0000-00000B0E0000}"/>
    <cellStyle name="Comma 2 5 2 2 2 2 2 2 2" xfId="8606" xr:uid="{00000000-0005-0000-0000-00000C0E0000}"/>
    <cellStyle name="Comma 2 5 2 2 2 2 2 3" xfId="8605" xr:uid="{00000000-0005-0000-0000-00000D0E0000}"/>
    <cellStyle name="Comma 2 5 2 2 2 2 2 4" xfId="5494" xr:uid="{00000000-0005-0000-0000-00000E0E0000}"/>
    <cellStyle name="Comma 2 5 2 2 2 2 3" xfId="1460" xr:uid="{00000000-0005-0000-0000-00000F0E0000}"/>
    <cellStyle name="Comma 2 5 2 2 2 2 3 2" xfId="8607" xr:uid="{00000000-0005-0000-0000-0000100E0000}"/>
    <cellStyle name="Comma 2 5 2 2 2 2 4" xfId="8604" xr:uid="{00000000-0005-0000-0000-0000110E0000}"/>
    <cellStyle name="Comma 2 5 2 2 2 2 5" xfId="5493" xr:uid="{00000000-0005-0000-0000-0000120E0000}"/>
    <cellStyle name="Comma 2 5 2 2 2 3" xfId="1461" xr:uid="{00000000-0005-0000-0000-0000130E0000}"/>
    <cellStyle name="Comma 2 5 2 2 2 3 2" xfId="1462" xr:uid="{00000000-0005-0000-0000-0000140E0000}"/>
    <cellStyle name="Comma 2 5 2 2 2 3 2 2" xfId="8609" xr:uid="{00000000-0005-0000-0000-0000150E0000}"/>
    <cellStyle name="Comma 2 5 2 2 2 3 3" xfId="8608" xr:uid="{00000000-0005-0000-0000-0000160E0000}"/>
    <cellStyle name="Comma 2 5 2 2 2 3 4" xfId="5495" xr:uid="{00000000-0005-0000-0000-0000170E0000}"/>
    <cellStyle name="Comma 2 5 2 2 2 4" xfId="1463" xr:uid="{00000000-0005-0000-0000-0000180E0000}"/>
    <cellStyle name="Comma 2 5 2 2 2 4 2" xfId="1464" xr:uid="{00000000-0005-0000-0000-0000190E0000}"/>
    <cellStyle name="Comma 2 5 2 2 2 4 2 2" xfId="8611" xr:uid="{00000000-0005-0000-0000-00001A0E0000}"/>
    <cellStyle name="Comma 2 5 2 2 2 4 3" xfId="8610" xr:uid="{00000000-0005-0000-0000-00001B0E0000}"/>
    <cellStyle name="Comma 2 5 2 2 2 4 4" xfId="5496" xr:uid="{00000000-0005-0000-0000-00001C0E0000}"/>
    <cellStyle name="Comma 2 5 2 2 2 5" xfId="1465" xr:uid="{00000000-0005-0000-0000-00001D0E0000}"/>
    <cellStyle name="Comma 2 5 2 2 2 5 2" xfId="8612" xr:uid="{00000000-0005-0000-0000-00001E0E0000}"/>
    <cellStyle name="Comma 2 5 2 2 2 6" xfId="8603" xr:uid="{00000000-0005-0000-0000-00001F0E0000}"/>
    <cellStyle name="Comma 2 5 2 2 2 7" xfId="5492" xr:uid="{00000000-0005-0000-0000-0000200E0000}"/>
    <cellStyle name="Comma 2 5 2 2 3" xfId="1466" xr:uid="{00000000-0005-0000-0000-0000210E0000}"/>
    <cellStyle name="Comma 2 5 2 2 3 2" xfId="1467" xr:uid="{00000000-0005-0000-0000-0000220E0000}"/>
    <cellStyle name="Comma 2 5 2 2 3 2 2" xfId="1468" xr:uid="{00000000-0005-0000-0000-0000230E0000}"/>
    <cellStyle name="Comma 2 5 2 2 3 2 2 2" xfId="1469" xr:uid="{00000000-0005-0000-0000-0000240E0000}"/>
    <cellStyle name="Comma 2 5 2 2 3 2 2 2 2" xfId="8616" xr:uid="{00000000-0005-0000-0000-0000250E0000}"/>
    <cellStyle name="Comma 2 5 2 2 3 2 2 3" xfId="8615" xr:uid="{00000000-0005-0000-0000-0000260E0000}"/>
    <cellStyle name="Comma 2 5 2 2 3 2 2 4" xfId="5499" xr:uid="{00000000-0005-0000-0000-0000270E0000}"/>
    <cellStyle name="Comma 2 5 2 2 3 2 3" xfId="1470" xr:uid="{00000000-0005-0000-0000-0000280E0000}"/>
    <cellStyle name="Comma 2 5 2 2 3 2 3 2" xfId="8617" xr:uid="{00000000-0005-0000-0000-0000290E0000}"/>
    <cellStyle name="Comma 2 5 2 2 3 2 4" xfId="8614" xr:uid="{00000000-0005-0000-0000-00002A0E0000}"/>
    <cellStyle name="Comma 2 5 2 2 3 2 5" xfId="5498" xr:uid="{00000000-0005-0000-0000-00002B0E0000}"/>
    <cellStyle name="Comma 2 5 2 2 3 3" xfId="1471" xr:uid="{00000000-0005-0000-0000-00002C0E0000}"/>
    <cellStyle name="Comma 2 5 2 2 3 3 2" xfId="1472" xr:uid="{00000000-0005-0000-0000-00002D0E0000}"/>
    <cellStyle name="Comma 2 5 2 2 3 3 2 2" xfId="8619" xr:uid="{00000000-0005-0000-0000-00002E0E0000}"/>
    <cellStyle name="Comma 2 5 2 2 3 3 3" xfId="8618" xr:uid="{00000000-0005-0000-0000-00002F0E0000}"/>
    <cellStyle name="Comma 2 5 2 2 3 3 4" xfId="5500" xr:uid="{00000000-0005-0000-0000-0000300E0000}"/>
    <cellStyle name="Comma 2 5 2 2 3 4" xfId="1473" xr:uid="{00000000-0005-0000-0000-0000310E0000}"/>
    <cellStyle name="Comma 2 5 2 2 3 4 2" xfId="1474" xr:uid="{00000000-0005-0000-0000-0000320E0000}"/>
    <cellStyle name="Comma 2 5 2 2 3 4 2 2" xfId="8621" xr:uid="{00000000-0005-0000-0000-0000330E0000}"/>
    <cellStyle name="Comma 2 5 2 2 3 4 3" xfId="8620" xr:uid="{00000000-0005-0000-0000-0000340E0000}"/>
    <cellStyle name="Comma 2 5 2 2 3 4 4" xfId="5501" xr:uid="{00000000-0005-0000-0000-0000350E0000}"/>
    <cellStyle name="Comma 2 5 2 2 3 5" xfId="1475" xr:uid="{00000000-0005-0000-0000-0000360E0000}"/>
    <cellStyle name="Comma 2 5 2 2 3 5 2" xfId="8622" xr:uid="{00000000-0005-0000-0000-0000370E0000}"/>
    <cellStyle name="Comma 2 5 2 2 3 6" xfId="8613" xr:uid="{00000000-0005-0000-0000-0000380E0000}"/>
    <cellStyle name="Comma 2 5 2 2 3 7" xfId="5497" xr:uid="{00000000-0005-0000-0000-0000390E0000}"/>
    <cellStyle name="Comma 2 5 2 2 4" xfId="1476" xr:uid="{00000000-0005-0000-0000-00003A0E0000}"/>
    <cellStyle name="Comma 2 5 2 2 4 2" xfId="1477" xr:uid="{00000000-0005-0000-0000-00003B0E0000}"/>
    <cellStyle name="Comma 2 5 2 2 4 2 2" xfId="1478" xr:uid="{00000000-0005-0000-0000-00003C0E0000}"/>
    <cellStyle name="Comma 2 5 2 2 4 2 2 2" xfId="1479" xr:uid="{00000000-0005-0000-0000-00003D0E0000}"/>
    <cellStyle name="Comma 2 5 2 2 4 2 2 2 2" xfId="8626" xr:uid="{00000000-0005-0000-0000-00003E0E0000}"/>
    <cellStyle name="Comma 2 5 2 2 4 2 2 3" xfId="8625" xr:uid="{00000000-0005-0000-0000-00003F0E0000}"/>
    <cellStyle name="Comma 2 5 2 2 4 2 2 4" xfId="5504" xr:uid="{00000000-0005-0000-0000-0000400E0000}"/>
    <cellStyle name="Comma 2 5 2 2 4 2 3" xfId="1480" xr:uid="{00000000-0005-0000-0000-0000410E0000}"/>
    <cellStyle name="Comma 2 5 2 2 4 2 3 2" xfId="8627" xr:uid="{00000000-0005-0000-0000-0000420E0000}"/>
    <cellStyle name="Comma 2 5 2 2 4 2 4" xfId="8624" xr:uid="{00000000-0005-0000-0000-0000430E0000}"/>
    <cellStyle name="Comma 2 5 2 2 4 2 5" xfId="5503" xr:uid="{00000000-0005-0000-0000-0000440E0000}"/>
    <cellStyle name="Comma 2 5 2 2 4 3" xfId="1481" xr:uid="{00000000-0005-0000-0000-0000450E0000}"/>
    <cellStyle name="Comma 2 5 2 2 4 3 2" xfId="1482" xr:uid="{00000000-0005-0000-0000-0000460E0000}"/>
    <cellStyle name="Comma 2 5 2 2 4 3 2 2" xfId="8629" xr:uid="{00000000-0005-0000-0000-0000470E0000}"/>
    <cellStyle name="Comma 2 5 2 2 4 3 3" xfId="8628" xr:uid="{00000000-0005-0000-0000-0000480E0000}"/>
    <cellStyle name="Comma 2 5 2 2 4 3 4" xfId="5505" xr:uid="{00000000-0005-0000-0000-0000490E0000}"/>
    <cellStyle name="Comma 2 5 2 2 4 4" xfId="1483" xr:uid="{00000000-0005-0000-0000-00004A0E0000}"/>
    <cellStyle name="Comma 2 5 2 2 4 4 2" xfId="1484" xr:uid="{00000000-0005-0000-0000-00004B0E0000}"/>
    <cellStyle name="Comma 2 5 2 2 4 4 2 2" xfId="8631" xr:uid="{00000000-0005-0000-0000-00004C0E0000}"/>
    <cellStyle name="Comma 2 5 2 2 4 4 3" xfId="8630" xr:uid="{00000000-0005-0000-0000-00004D0E0000}"/>
    <cellStyle name="Comma 2 5 2 2 4 4 4" xfId="5506" xr:uid="{00000000-0005-0000-0000-00004E0E0000}"/>
    <cellStyle name="Comma 2 5 2 2 4 5" xfId="1485" xr:uid="{00000000-0005-0000-0000-00004F0E0000}"/>
    <cellStyle name="Comma 2 5 2 2 4 5 2" xfId="8632" xr:uid="{00000000-0005-0000-0000-0000500E0000}"/>
    <cellStyle name="Comma 2 5 2 2 4 6" xfId="8623" xr:uid="{00000000-0005-0000-0000-0000510E0000}"/>
    <cellStyle name="Comma 2 5 2 2 4 7" xfId="5502" xr:uid="{00000000-0005-0000-0000-0000520E0000}"/>
    <cellStyle name="Comma 2 5 2 2 5" xfId="1486" xr:uid="{00000000-0005-0000-0000-0000530E0000}"/>
    <cellStyle name="Comma 2 5 2 2 5 2" xfId="1487" xr:uid="{00000000-0005-0000-0000-0000540E0000}"/>
    <cellStyle name="Comma 2 5 2 2 5 2 2" xfId="1488" xr:uid="{00000000-0005-0000-0000-0000550E0000}"/>
    <cellStyle name="Comma 2 5 2 2 5 2 2 2" xfId="1489" xr:uid="{00000000-0005-0000-0000-0000560E0000}"/>
    <cellStyle name="Comma 2 5 2 2 5 2 2 2 2" xfId="8636" xr:uid="{00000000-0005-0000-0000-0000570E0000}"/>
    <cellStyle name="Comma 2 5 2 2 5 2 2 3" xfId="8635" xr:uid="{00000000-0005-0000-0000-0000580E0000}"/>
    <cellStyle name="Comma 2 5 2 2 5 2 2 4" xfId="5509" xr:uid="{00000000-0005-0000-0000-0000590E0000}"/>
    <cellStyle name="Comma 2 5 2 2 5 2 3" xfId="1490" xr:uid="{00000000-0005-0000-0000-00005A0E0000}"/>
    <cellStyle name="Comma 2 5 2 2 5 2 3 2" xfId="8637" xr:uid="{00000000-0005-0000-0000-00005B0E0000}"/>
    <cellStyle name="Comma 2 5 2 2 5 2 4" xfId="8634" xr:uid="{00000000-0005-0000-0000-00005C0E0000}"/>
    <cellStyle name="Comma 2 5 2 2 5 2 5" xfId="5508" xr:uid="{00000000-0005-0000-0000-00005D0E0000}"/>
    <cellStyle name="Comma 2 5 2 2 5 3" xfId="1491" xr:uid="{00000000-0005-0000-0000-00005E0E0000}"/>
    <cellStyle name="Comma 2 5 2 2 5 3 2" xfId="1492" xr:uid="{00000000-0005-0000-0000-00005F0E0000}"/>
    <cellStyle name="Comma 2 5 2 2 5 3 2 2" xfId="8639" xr:uid="{00000000-0005-0000-0000-0000600E0000}"/>
    <cellStyle name="Comma 2 5 2 2 5 3 3" xfId="8638" xr:uid="{00000000-0005-0000-0000-0000610E0000}"/>
    <cellStyle name="Comma 2 5 2 2 5 3 4" xfId="5510" xr:uid="{00000000-0005-0000-0000-0000620E0000}"/>
    <cellStyle name="Comma 2 5 2 2 5 4" xfId="1493" xr:uid="{00000000-0005-0000-0000-0000630E0000}"/>
    <cellStyle name="Comma 2 5 2 2 5 4 2" xfId="1494" xr:uid="{00000000-0005-0000-0000-0000640E0000}"/>
    <cellStyle name="Comma 2 5 2 2 5 4 2 2" xfId="8641" xr:uid="{00000000-0005-0000-0000-0000650E0000}"/>
    <cellStyle name="Comma 2 5 2 2 5 4 3" xfId="8640" xr:uid="{00000000-0005-0000-0000-0000660E0000}"/>
    <cellStyle name="Comma 2 5 2 2 5 4 4" xfId="5511" xr:uid="{00000000-0005-0000-0000-0000670E0000}"/>
    <cellStyle name="Comma 2 5 2 2 5 5" xfId="1495" xr:uid="{00000000-0005-0000-0000-0000680E0000}"/>
    <cellStyle name="Comma 2 5 2 2 5 5 2" xfId="8642" xr:uid="{00000000-0005-0000-0000-0000690E0000}"/>
    <cellStyle name="Comma 2 5 2 2 5 6" xfId="8633" xr:uid="{00000000-0005-0000-0000-00006A0E0000}"/>
    <cellStyle name="Comma 2 5 2 2 5 7" xfId="5507" xr:uid="{00000000-0005-0000-0000-00006B0E0000}"/>
    <cellStyle name="Comma 2 5 2 2 6" xfId="1496" xr:uid="{00000000-0005-0000-0000-00006C0E0000}"/>
    <cellStyle name="Comma 2 5 2 2 6 2" xfId="1497" xr:uid="{00000000-0005-0000-0000-00006D0E0000}"/>
    <cellStyle name="Comma 2 5 2 2 6 2 2" xfId="1498" xr:uid="{00000000-0005-0000-0000-00006E0E0000}"/>
    <cellStyle name="Comma 2 5 2 2 6 2 2 2" xfId="8645" xr:uid="{00000000-0005-0000-0000-00006F0E0000}"/>
    <cellStyle name="Comma 2 5 2 2 6 2 3" xfId="8644" xr:uid="{00000000-0005-0000-0000-0000700E0000}"/>
    <cellStyle name="Comma 2 5 2 2 6 2 4" xfId="5513" xr:uid="{00000000-0005-0000-0000-0000710E0000}"/>
    <cellStyle name="Comma 2 5 2 2 6 3" xfId="1499" xr:uid="{00000000-0005-0000-0000-0000720E0000}"/>
    <cellStyle name="Comma 2 5 2 2 6 3 2" xfId="1500" xr:uid="{00000000-0005-0000-0000-0000730E0000}"/>
    <cellStyle name="Comma 2 5 2 2 6 3 2 2" xfId="8647" xr:uid="{00000000-0005-0000-0000-0000740E0000}"/>
    <cellStyle name="Comma 2 5 2 2 6 3 3" xfId="8646" xr:uid="{00000000-0005-0000-0000-0000750E0000}"/>
    <cellStyle name="Comma 2 5 2 2 6 3 4" xfId="5514" xr:uid="{00000000-0005-0000-0000-0000760E0000}"/>
    <cellStyle name="Comma 2 5 2 2 6 4" xfId="1501" xr:uid="{00000000-0005-0000-0000-0000770E0000}"/>
    <cellStyle name="Comma 2 5 2 2 6 4 2" xfId="8648" xr:uid="{00000000-0005-0000-0000-0000780E0000}"/>
    <cellStyle name="Comma 2 5 2 2 6 5" xfId="8643" xr:uid="{00000000-0005-0000-0000-0000790E0000}"/>
    <cellStyle name="Comma 2 5 2 2 6 6" xfId="5512" xr:uid="{00000000-0005-0000-0000-00007A0E0000}"/>
    <cellStyle name="Comma 2 5 2 2 7" xfId="1502" xr:uid="{00000000-0005-0000-0000-00007B0E0000}"/>
    <cellStyle name="Comma 2 5 2 2 7 2" xfId="1503" xr:uid="{00000000-0005-0000-0000-00007C0E0000}"/>
    <cellStyle name="Comma 2 5 2 2 7 2 2" xfId="1504" xr:uid="{00000000-0005-0000-0000-00007D0E0000}"/>
    <cellStyle name="Comma 2 5 2 2 7 2 2 2" xfId="8651" xr:uid="{00000000-0005-0000-0000-00007E0E0000}"/>
    <cellStyle name="Comma 2 5 2 2 7 2 3" xfId="8650" xr:uid="{00000000-0005-0000-0000-00007F0E0000}"/>
    <cellStyle name="Comma 2 5 2 2 7 2 4" xfId="5516" xr:uid="{00000000-0005-0000-0000-0000800E0000}"/>
    <cellStyle name="Comma 2 5 2 2 7 3" xfId="1505" xr:uid="{00000000-0005-0000-0000-0000810E0000}"/>
    <cellStyle name="Comma 2 5 2 2 7 3 2" xfId="8652" xr:uid="{00000000-0005-0000-0000-0000820E0000}"/>
    <cellStyle name="Comma 2 5 2 2 7 4" xfId="8649" xr:uid="{00000000-0005-0000-0000-0000830E0000}"/>
    <cellStyle name="Comma 2 5 2 2 7 5" xfId="5515" xr:uid="{00000000-0005-0000-0000-0000840E0000}"/>
    <cellStyle name="Comma 2 5 2 2 8" xfId="1506" xr:uid="{00000000-0005-0000-0000-0000850E0000}"/>
    <cellStyle name="Comma 2 5 2 2 8 2" xfId="1507" xr:uid="{00000000-0005-0000-0000-0000860E0000}"/>
    <cellStyle name="Comma 2 5 2 2 8 2 2" xfId="8654" xr:uid="{00000000-0005-0000-0000-0000870E0000}"/>
    <cellStyle name="Comma 2 5 2 2 8 3" xfId="8653" xr:uid="{00000000-0005-0000-0000-0000880E0000}"/>
    <cellStyle name="Comma 2 5 2 2 8 4" xfId="5517" xr:uid="{00000000-0005-0000-0000-0000890E0000}"/>
    <cellStyle name="Comma 2 5 2 2 9" xfId="1508" xr:uid="{00000000-0005-0000-0000-00008A0E0000}"/>
    <cellStyle name="Comma 2 5 2 2 9 2" xfId="1509" xr:uid="{00000000-0005-0000-0000-00008B0E0000}"/>
    <cellStyle name="Comma 2 5 2 2 9 2 2" xfId="8656" xr:uid="{00000000-0005-0000-0000-00008C0E0000}"/>
    <cellStyle name="Comma 2 5 2 2 9 3" xfId="8655" xr:uid="{00000000-0005-0000-0000-00008D0E0000}"/>
    <cellStyle name="Comma 2 5 2 2 9 4" xfId="5518" xr:uid="{00000000-0005-0000-0000-00008E0E0000}"/>
    <cellStyle name="Comma 2 5 2 3" xfId="1510" xr:uid="{00000000-0005-0000-0000-00008F0E0000}"/>
    <cellStyle name="Comma 2 5 2 3 2" xfId="1511" xr:uid="{00000000-0005-0000-0000-0000900E0000}"/>
    <cellStyle name="Comma 2 5 2 3 2 2" xfId="1512" xr:uid="{00000000-0005-0000-0000-0000910E0000}"/>
    <cellStyle name="Comma 2 5 2 3 2 2 2" xfId="1513" xr:uid="{00000000-0005-0000-0000-0000920E0000}"/>
    <cellStyle name="Comma 2 5 2 3 2 2 2 2" xfId="8660" xr:uid="{00000000-0005-0000-0000-0000930E0000}"/>
    <cellStyle name="Comma 2 5 2 3 2 2 3" xfId="8659" xr:uid="{00000000-0005-0000-0000-0000940E0000}"/>
    <cellStyle name="Comma 2 5 2 3 2 2 4" xfId="5521" xr:uid="{00000000-0005-0000-0000-0000950E0000}"/>
    <cellStyle name="Comma 2 5 2 3 2 3" xfId="1514" xr:uid="{00000000-0005-0000-0000-0000960E0000}"/>
    <cellStyle name="Comma 2 5 2 3 2 3 2" xfId="8661" xr:uid="{00000000-0005-0000-0000-0000970E0000}"/>
    <cellStyle name="Comma 2 5 2 3 2 4" xfId="8658" xr:uid="{00000000-0005-0000-0000-0000980E0000}"/>
    <cellStyle name="Comma 2 5 2 3 2 5" xfId="5520" xr:uid="{00000000-0005-0000-0000-0000990E0000}"/>
    <cellStyle name="Comma 2 5 2 3 3" xfId="1515" xr:uid="{00000000-0005-0000-0000-00009A0E0000}"/>
    <cellStyle name="Comma 2 5 2 3 3 2" xfId="1516" xr:uid="{00000000-0005-0000-0000-00009B0E0000}"/>
    <cellStyle name="Comma 2 5 2 3 3 2 2" xfId="8663" xr:uid="{00000000-0005-0000-0000-00009C0E0000}"/>
    <cellStyle name="Comma 2 5 2 3 3 3" xfId="8662" xr:uid="{00000000-0005-0000-0000-00009D0E0000}"/>
    <cellStyle name="Comma 2 5 2 3 3 4" xfId="5522" xr:uid="{00000000-0005-0000-0000-00009E0E0000}"/>
    <cellStyle name="Comma 2 5 2 3 4" xfId="1517" xr:uid="{00000000-0005-0000-0000-00009F0E0000}"/>
    <cellStyle name="Comma 2 5 2 3 4 2" xfId="1518" xr:uid="{00000000-0005-0000-0000-0000A00E0000}"/>
    <cellStyle name="Comma 2 5 2 3 4 2 2" xfId="8665" xr:uid="{00000000-0005-0000-0000-0000A10E0000}"/>
    <cellStyle name="Comma 2 5 2 3 4 3" xfId="8664" xr:uid="{00000000-0005-0000-0000-0000A20E0000}"/>
    <cellStyle name="Comma 2 5 2 3 4 4" xfId="5523" xr:uid="{00000000-0005-0000-0000-0000A30E0000}"/>
    <cellStyle name="Comma 2 5 2 3 5" xfId="1519" xr:uid="{00000000-0005-0000-0000-0000A40E0000}"/>
    <cellStyle name="Comma 2 5 2 3 5 2" xfId="8666" xr:uid="{00000000-0005-0000-0000-0000A50E0000}"/>
    <cellStyle name="Comma 2 5 2 3 6" xfId="8657" xr:uid="{00000000-0005-0000-0000-0000A60E0000}"/>
    <cellStyle name="Comma 2 5 2 3 7" xfId="5519" xr:uid="{00000000-0005-0000-0000-0000A70E0000}"/>
    <cellStyle name="Comma 2 5 2 4" xfId="1520" xr:uid="{00000000-0005-0000-0000-0000A80E0000}"/>
    <cellStyle name="Comma 2 5 2 4 2" xfId="1521" xr:uid="{00000000-0005-0000-0000-0000A90E0000}"/>
    <cellStyle name="Comma 2 5 2 4 2 2" xfId="1522" xr:uid="{00000000-0005-0000-0000-0000AA0E0000}"/>
    <cellStyle name="Comma 2 5 2 4 2 2 2" xfId="1523" xr:uid="{00000000-0005-0000-0000-0000AB0E0000}"/>
    <cellStyle name="Comma 2 5 2 4 2 2 2 2" xfId="8670" xr:uid="{00000000-0005-0000-0000-0000AC0E0000}"/>
    <cellStyle name="Comma 2 5 2 4 2 2 3" xfId="8669" xr:uid="{00000000-0005-0000-0000-0000AD0E0000}"/>
    <cellStyle name="Comma 2 5 2 4 2 2 4" xfId="5526" xr:uid="{00000000-0005-0000-0000-0000AE0E0000}"/>
    <cellStyle name="Comma 2 5 2 4 2 3" xfId="1524" xr:uid="{00000000-0005-0000-0000-0000AF0E0000}"/>
    <cellStyle name="Comma 2 5 2 4 2 3 2" xfId="8671" xr:uid="{00000000-0005-0000-0000-0000B00E0000}"/>
    <cellStyle name="Comma 2 5 2 4 2 4" xfId="8668" xr:uid="{00000000-0005-0000-0000-0000B10E0000}"/>
    <cellStyle name="Comma 2 5 2 4 2 5" xfId="5525" xr:uid="{00000000-0005-0000-0000-0000B20E0000}"/>
    <cellStyle name="Comma 2 5 2 4 3" xfId="1525" xr:uid="{00000000-0005-0000-0000-0000B30E0000}"/>
    <cellStyle name="Comma 2 5 2 4 3 2" xfId="1526" xr:uid="{00000000-0005-0000-0000-0000B40E0000}"/>
    <cellStyle name="Comma 2 5 2 4 3 2 2" xfId="8673" xr:uid="{00000000-0005-0000-0000-0000B50E0000}"/>
    <cellStyle name="Comma 2 5 2 4 3 3" xfId="8672" xr:uid="{00000000-0005-0000-0000-0000B60E0000}"/>
    <cellStyle name="Comma 2 5 2 4 3 4" xfId="5527" xr:uid="{00000000-0005-0000-0000-0000B70E0000}"/>
    <cellStyle name="Comma 2 5 2 4 4" xfId="1527" xr:uid="{00000000-0005-0000-0000-0000B80E0000}"/>
    <cellStyle name="Comma 2 5 2 4 4 2" xfId="1528" xr:uid="{00000000-0005-0000-0000-0000B90E0000}"/>
    <cellStyle name="Comma 2 5 2 4 4 2 2" xfId="8675" xr:uid="{00000000-0005-0000-0000-0000BA0E0000}"/>
    <cellStyle name="Comma 2 5 2 4 4 3" xfId="8674" xr:uid="{00000000-0005-0000-0000-0000BB0E0000}"/>
    <cellStyle name="Comma 2 5 2 4 4 4" xfId="5528" xr:uid="{00000000-0005-0000-0000-0000BC0E0000}"/>
    <cellStyle name="Comma 2 5 2 4 5" xfId="1529" xr:uid="{00000000-0005-0000-0000-0000BD0E0000}"/>
    <cellStyle name="Comma 2 5 2 4 5 2" xfId="8676" xr:uid="{00000000-0005-0000-0000-0000BE0E0000}"/>
    <cellStyle name="Comma 2 5 2 4 6" xfId="8667" xr:uid="{00000000-0005-0000-0000-0000BF0E0000}"/>
    <cellStyle name="Comma 2 5 2 4 7" xfId="5524" xr:uid="{00000000-0005-0000-0000-0000C00E0000}"/>
    <cellStyle name="Comma 2 5 2 5" xfId="1530" xr:uid="{00000000-0005-0000-0000-0000C10E0000}"/>
    <cellStyle name="Comma 2 5 2 5 2" xfId="1531" xr:uid="{00000000-0005-0000-0000-0000C20E0000}"/>
    <cellStyle name="Comma 2 5 2 5 2 2" xfId="1532" xr:uid="{00000000-0005-0000-0000-0000C30E0000}"/>
    <cellStyle name="Comma 2 5 2 5 2 2 2" xfId="1533" xr:uid="{00000000-0005-0000-0000-0000C40E0000}"/>
    <cellStyle name="Comma 2 5 2 5 2 2 2 2" xfId="8680" xr:uid="{00000000-0005-0000-0000-0000C50E0000}"/>
    <cellStyle name="Comma 2 5 2 5 2 2 3" xfId="8679" xr:uid="{00000000-0005-0000-0000-0000C60E0000}"/>
    <cellStyle name="Comma 2 5 2 5 2 2 4" xfId="5531" xr:uid="{00000000-0005-0000-0000-0000C70E0000}"/>
    <cellStyle name="Comma 2 5 2 5 2 3" xfId="1534" xr:uid="{00000000-0005-0000-0000-0000C80E0000}"/>
    <cellStyle name="Comma 2 5 2 5 2 3 2" xfId="8681" xr:uid="{00000000-0005-0000-0000-0000C90E0000}"/>
    <cellStyle name="Comma 2 5 2 5 2 4" xfId="8678" xr:uid="{00000000-0005-0000-0000-0000CA0E0000}"/>
    <cellStyle name="Comma 2 5 2 5 2 5" xfId="5530" xr:uid="{00000000-0005-0000-0000-0000CB0E0000}"/>
    <cellStyle name="Comma 2 5 2 5 3" xfId="1535" xr:uid="{00000000-0005-0000-0000-0000CC0E0000}"/>
    <cellStyle name="Comma 2 5 2 5 3 2" xfId="1536" xr:uid="{00000000-0005-0000-0000-0000CD0E0000}"/>
    <cellStyle name="Comma 2 5 2 5 3 2 2" xfId="8683" xr:uid="{00000000-0005-0000-0000-0000CE0E0000}"/>
    <cellStyle name="Comma 2 5 2 5 3 3" xfId="8682" xr:uid="{00000000-0005-0000-0000-0000CF0E0000}"/>
    <cellStyle name="Comma 2 5 2 5 3 4" xfId="5532" xr:uid="{00000000-0005-0000-0000-0000D00E0000}"/>
    <cellStyle name="Comma 2 5 2 5 4" xfId="1537" xr:uid="{00000000-0005-0000-0000-0000D10E0000}"/>
    <cellStyle name="Comma 2 5 2 5 4 2" xfId="1538" xr:uid="{00000000-0005-0000-0000-0000D20E0000}"/>
    <cellStyle name="Comma 2 5 2 5 4 2 2" xfId="8685" xr:uid="{00000000-0005-0000-0000-0000D30E0000}"/>
    <cellStyle name="Comma 2 5 2 5 4 3" xfId="8684" xr:uid="{00000000-0005-0000-0000-0000D40E0000}"/>
    <cellStyle name="Comma 2 5 2 5 4 4" xfId="5533" xr:uid="{00000000-0005-0000-0000-0000D50E0000}"/>
    <cellStyle name="Comma 2 5 2 5 5" xfId="1539" xr:uid="{00000000-0005-0000-0000-0000D60E0000}"/>
    <cellStyle name="Comma 2 5 2 5 5 2" xfId="8686" xr:uid="{00000000-0005-0000-0000-0000D70E0000}"/>
    <cellStyle name="Comma 2 5 2 5 6" xfId="8677" xr:uid="{00000000-0005-0000-0000-0000D80E0000}"/>
    <cellStyle name="Comma 2 5 2 5 7" xfId="5529" xr:uid="{00000000-0005-0000-0000-0000D90E0000}"/>
    <cellStyle name="Comma 2 5 2 6" xfId="1540" xr:uid="{00000000-0005-0000-0000-0000DA0E0000}"/>
    <cellStyle name="Comma 2 5 2 6 2" xfId="1541" xr:uid="{00000000-0005-0000-0000-0000DB0E0000}"/>
    <cellStyle name="Comma 2 5 2 6 2 2" xfId="1542" xr:uid="{00000000-0005-0000-0000-0000DC0E0000}"/>
    <cellStyle name="Comma 2 5 2 6 2 2 2" xfId="1543" xr:uid="{00000000-0005-0000-0000-0000DD0E0000}"/>
    <cellStyle name="Comma 2 5 2 6 2 2 2 2" xfId="8690" xr:uid="{00000000-0005-0000-0000-0000DE0E0000}"/>
    <cellStyle name="Comma 2 5 2 6 2 2 3" xfId="8689" xr:uid="{00000000-0005-0000-0000-0000DF0E0000}"/>
    <cellStyle name="Comma 2 5 2 6 2 2 4" xfId="5536" xr:uid="{00000000-0005-0000-0000-0000E00E0000}"/>
    <cellStyle name="Comma 2 5 2 6 2 3" xfId="1544" xr:uid="{00000000-0005-0000-0000-0000E10E0000}"/>
    <cellStyle name="Comma 2 5 2 6 2 3 2" xfId="8691" xr:uid="{00000000-0005-0000-0000-0000E20E0000}"/>
    <cellStyle name="Comma 2 5 2 6 2 4" xfId="8688" xr:uid="{00000000-0005-0000-0000-0000E30E0000}"/>
    <cellStyle name="Comma 2 5 2 6 2 5" xfId="5535" xr:uid="{00000000-0005-0000-0000-0000E40E0000}"/>
    <cellStyle name="Comma 2 5 2 6 3" xfId="1545" xr:uid="{00000000-0005-0000-0000-0000E50E0000}"/>
    <cellStyle name="Comma 2 5 2 6 3 2" xfId="1546" xr:uid="{00000000-0005-0000-0000-0000E60E0000}"/>
    <cellStyle name="Comma 2 5 2 6 3 2 2" xfId="8693" xr:uid="{00000000-0005-0000-0000-0000E70E0000}"/>
    <cellStyle name="Comma 2 5 2 6 3 3" xfId="8692" xr:uid="{00000000-0005-0000-0000-0000E80E0000}"/>
    <cellStyle name="Comma 2 5 2 6 3 4" xfId="5537" xr:uid="{00000000-0005-0000-0000-0000E90E0000}"/>
    <cellStyle name="Comma 2 5 2 6 4" xfId="1547" xr:uid="{00000000-0005-0000-0000-0000EA0E0000}"/>
    <cellStyle name="Comma 2 5 2 6 4 2" xfId="1548" xr:uid="{00000000-0005-0000-0000-0000EB0E0000}"/>
    <cellStyle name="Comma 2 5 2 6 4 2 2" xfId="8695" xr:uid="{00000000-0005-0000-0000-0000EC0E0000}"/>
    <cellStyle name="Comma 2 5 2 6 4 3" xfId="8694" xr:uid="{00000000-0005-0000-0000-0000ED0E0000}"/>
    <cellStyle name="Comma 2 5 2 6 4 4" xfId="5538" xr:uid="{00000000-0005-0000-0000-0000EE0E0000}"/>
    <cellStyle name="Comma 2 5 2 6 5" xfId="1549" xr:uid="{00000000-0005-0000-0000-0000EF0E0000}"/>
    <cellStyle name="Comma 2 5 2 6 5 2" xfId="8696" xr:uid="{00000000-0005-0000-0000-0000F00E0000}"/>
    <cellStyle name="Comma 2 5 2 6 6" xfId="8687" xr:uid="{00000000-0005-0000-0000-0000F10E0000}"/>
    <cellStyle name="Comma 2 5 2 6 7" xfId="5534" xr:uid="{00000000-0005-0000-0000-0000F20E0000}"/>
    <cellStyle name="Comma 2 5 2 7" xfId="1550" xr:uid="{00000000-0005-0000-0000-0000F30E0000}"/>
    <cellStyle name="Comma 2 5 2 7 2" xfId="1551" xr:uid="{00000000-0005-0000-0000-0000F40E0000}"/>
    <cellStyle name="Comma 2 5 2 7 2 2" xfId="1552" xr:uid="{00000000-0005-0000-0000-0000F50E0000}"/>
    <cellStyle name="Comma 2 5 2 7 2 2 2" xfId="8699" xr:uid="{00000000-0005-0000-0000-0000F60E0000}"/>
    <cellStyle name="Comma 2 5 2 7 2 3" xfId="8698" xr:uid="{00000000-0005-0000-0000-0000F70E0000}"/>
    <cellStyle name="Comma 2 5 2 7 2 4" xfId="5540" xr:uid="{00000000-0005-0000-0000-0000F80E0000}"/>
    <cellStyle name="Comma 2 5 2 7 3" xfId="1553" xr:uid="{00000000-0005-0000-0000-0000F90E0000}"/>
    <cellStyle name="Comma 2 5 2 7 3 2" xfId="1554" xr:uid="{00000000-0005-0000-0000-0000FA0E0000}"/>
    <cellStyle name="Comma 2 5 2 7 3 2 2" xfId="8701" xr:uid="{00000000-0005-0000-0000-0000FB0E0000}"/>
    <cellStyle name="Comma 2 5 2 7 3 3" xfId="8700" xr:uid="{00000000-0005-0000-0000-0000FC0E0000}"/>
    <cellStyle name="Comma 2 5 2 7 3 4" xfId="5541" xr:uid="{00000000-0005-0000-0000-0000FD0E0000}"/>
    <cellStyle name="Comma 2 5 2 7 4" xfId="1555" xr:uid="{00000000-0005-0000-0000-0000FE0E0000}"/>
    <cellStyle name="Comma 2 5 2 7 4 2" xfId="8702" xr:uid="{00000000-0005-0000-0000-0000FF0E0000}"/>
    <cellStyle name="Comma 2 5 2 7 5" xfId="8697" xr:uid="{00000000-0005-0000-0000-0000000F0000}"/>
    <cellStyle name="Comma 2 5 2 7 6" xfId="5539" xr:uid="{00000000-0005-0000-0000-0000010F0000}"/>
    <cellStyle name="Comma 2 5 2 8" xfId="1556" xr:uid="{00000000-0005-0000-0000-0000020F0000}"/>
    <cellStyle name="Comma 2 5 2 8 2" xfId="1557" xr:uid="{00000000-0005-0000-0000-0000030F0000}"/>
    <cellStyle name="Comma 2 5 2 8 2 2" xfId="1558" xr:uid="{00000000-0005-0000-0000-0000040F0000}"/>
    <cellStyle name="Comma 2 5 2 8 2 2 2" xfId="8705" xr:uid="{00000000-0005-0000-0000-0000050F0000}"/>
    <cellStyle name="Comma 2 5 2 8 2 3" xfId="8704" xr:uid="{00000000-0005-0000-0000-0000060F0000}"/>
    <cellStyle name="Comma 2 5 2 8 2 4" xfId="5543" xr:uid="{00000000-0005-0000-0000-0000070F0000}"/>
    <cellStyle name="Comma 2 5 2 8 3" xfId="1559" xr:uid="{00000000-0005-0000-0000-0000080F0000}"/>
    <cellStyle name="Comma 2 5 2 8 3 2" xfId="8706" xr:uid="{00000000-0005-0000-0000-0000090F0000}"/>
    <cellStyle name="Comma 2 5 2 8 4" xfId="8703" xr:uid="{00000000-0005-0000-0000-00000A0F0000}"/>
    <cellStyle name="Comma 2 5 2 8 5" xfId="5542" xr:uid="{00000000-0005-0000-0000-00000B0F0000}"/>
    <cellStyle name="Comma 2 5 2 9" xfId="1560" xr:uid="{00000000-0005-0000-0000-00000C0F0000}"/>
    <cellStyle name="Comma 2 5 2 9 2" xfId="1561" xr:uid="{00000000-0005-0000-0000-00000D0F0000}"/>
    <cellStyle name="Comma 2 5 2 9 2 2" xfId="8708" xr:uid="{00000000-0005-0000-0000-00000E0F0000}"/>
    <cellStyle name="Comma 2 5 2 9 3" xfId="8707" xr:uid="{00000000-0005-0000-0000-00000F0F0000}"/>
    <cellStyle name="Comma 2 5 2 9 4" xfId="5544" xr:uid="{00000000-0005-0000-0000-0000100F0000}"/>
    <cellStyle name="Comma 2 5 3" xfId="1562" xr:uid="{00000000-0005-0000-0000-0000110F0000}"/>
    <cellStyle name="Comma 2 5 3 10" xfId="1563" xr:uid="{00000000-0005-0000-0000-0000120F0000}"/>
    <cellStyle name="Comma 2 5 3 10 2" xfId="1564" xr:uid="{00000000-0005-0000-0000-0000130F0000}"/>
    <cellStyle name="Comma 2 5 3 10 2 2" xfId="8711" xr:uid="{00000000-0005-0000-0000-0000140F0000}"/>
    <cellStyle name="Comma 2 5 3 10 3" xfId="8710" xr:uid="{00000000-0005-0000-0000-0000150F0000}"/>
    <cellStyle name="Comma 2 5 3 10 4" xfId="5546" xr:uid="{00000000-0005-0000-0000-0000160F0000}"/>
    <cellStyle name="Comma 2 5 3 11" xfId="1565" xr:uid="{00000000-0005-0000-0000-0000170F0000}"/>
    <cellStyle name="Comma 2 5 3 11 2" xfId="8712" xr:uid="{00000000-0005-0000-0000-0000180F0000}"/>
    <cellStyle name="Comma 2 5 3 12" xfId="8709" xr:uid="{00000000-0005-0000-0000-0000190F0000}"/>
    <cellStyle name="Comma 2 5 3 13" xfId="5545" xr:uid="{00000000-0005-0000-0000-00001A0F0000}"/>
    <cellStyle name="Comma 2 5 3 2" xfId="1566" xr:uid="{00000000-0005-0000-0000-00001B0F0000}"/>
    <cellStyle name="Comma 2 5 3 2 10" xfId="1567" xr:uid="{00000000-0005-0000-0000-00001C0F0000}"/>
    <cellStyle name="Comma 2 5 3 2 10 2" xfId="8714" xr:uid="{00000000-0005-0000-0000-00001D0F0000}"/>
    <cellStyle name="Comma 2 5 3 2 11" xfId="8713" xr:uid="{00000000-0005-0000-0000-00001E0F0000}"/>
    <cellStyle name="Comma 2 5 3 2 12" xfId="5547" xr:uid="{00000000-0005-0000-0000-00001F0F0000}"/>
    <cellStyle name="Comma 2 5 3 2 2" xfId="1568" xr:uid="{00000000-0005-0000-0000-0000200F0000}"/>
    <cellStyle name="Comma 2 5 3 2 2 2" xfId="1569" xr:uid="{00000000-0005-0000-0000-0000210F0000}"/>
    <cellStyle name="Comma 2 5 3 2 2 2 2" xfId="1570" xr:uid="{00000000-0005-0000-0000-0000220F0000}"/>
    <cellStyle name="Comma 2 5 3 2 2 2 2 2" xfId="1571" xr:uid="{00000000-0005-0000-0000-0000230F0000}"/>
    <cellStyle name="Comma 2 5 3 2 2 2 2 2 2" xfId="8718" xr:uid="{00000000-0005-0000-0000-0000240F0000}"/>
    <cellStyle name="Comma 2 5 3 2 2 2 2 3" xfId="8717" xr:uid="{00000000-0005-0000-0000-0000250F0000}"/>
    <cellStyle name="Comma 2 5 3 2 2 2 2 4" xfId="5550" xr:uid="{00000000-0005-0000-0000-0000260F0000}"/>
    <cellStyle name="Comma 2 5 3 2 2 2 3" xfId="1572" xr:uid="{00000000-0005-0000-0000-0000270F0000}"/>
    <cellStyle name="Comma 2 5 3 2 2 2 3 2" xfId="8719" xr:uid="{00000000-0005-0000-0000-0000280F0000}"/>
    <cellStyle name="Comma 2 5 3 2 2 2 4" xfId="8716" xr:uid="{00000000-0005-0000-0000-0000290F0000}"/>
    <cellStyle name="Comma 2 5 3 2 2 2 5" xfId="5549" xr:uid="{00000000-0005-0000-0000-00002A0F0000}"/>
    <cellStyle name="Comma 2 5 3 2 2 3" xfId="1573" xr:uid="{00000000-0005-0000-0000-00002B0F0000}"/>
    <cellStyle name="Comma 2 5 3 2 2 3 2" xfId="1574" xr:uid="{00000000-0005-0000-0000-00002C0F0000}"/>
    <cellStyle name="Comma 2 5 3 2 2 3 2 2" xfId="8721" xr:uid="{00000000-0005-0000-0000-00002D0F0000}"/>
    <cellStyle name="Comma 2 5 3 2 2 3 3" xfId="8720" xr:uid="{00000000-0005-0000-0000-00002E0F0000}"/>
    <cellStyle name="Comma 2 5 3 2 2 3 4" xfId="5551" xr:uid="{00000000-0005-0000-0000-00002F0F0000}"/>
    <cellStyle name="Comma 2 5 3 2 2 4" xfId="1575" xr:uid="{00000000-0005-0000-0000-0000300F0000}"/>
    <cellStyle name="Comma 2 5 3 2 2 4 2" xfId="1576" xr:uid="{00000000-0005-0000-0000-0000310F0000}"/>
    <cellStyle name="Comma 2 5 3 2 2 4 2 2" xfId="8723" xr:uid="{00000000-0005-0000-0000-0000320F0000}"/>
    <cellStyle name="Comma 2 5 3 2 2 4 3" xfId="8722" xr:uid="{00000000-0005-0000-0000-0000330F0000}"/>
    <cellStyle name="Comma 2 5 3 2 2 4 4" xfId="5552" xr:uid="{00000000-0005-0000-0000-0000340F0000}"/>
    <cellStyle name="Comma 2 5 3 2 2 5" xfId="1577" xr:uid="{00000000-0005-0000-0000-0000350F0000}"/>
    <cellStyle name="Comma 2 5 3 2 2 5 2" xfId="8724" xr:uid="{00000000-0005-0000-0000-0000360F0000}"/>
    <cellStyle name="Comma 2 5 3 2 2 6" xfId="8715" xr:uid="{00000000-0005-0000-0000-0000370F0000}"/>
    <cellStyle name="Comma 2 5 3 2 2 7" xfId="5548" xr:uid="{00000000-0005-0000-0000-0000380F0000}"/>
    <cellStyle name="Comma 2 5 3 2 3" xfId="1578" xr:uid="{00000000-0005-0000-0000-0000390F0000}"/>
    <cellStyle name="Comma 2 5 3 2 3 2" xfId="1579" xr:uid="{00000000-0005-0000-0000-00003A0F0000}"/>
    <cellStyle name="Comma 2 5 3 2 3 2 2" xfId="1580" xr:uid="{00000000-0005-0000-0000-00003B0F0000}"/>
    <cellStyle name="Comma 2 5 3 2 3 2 2 2" xfId="1581" xr:uid="{00000000-0005-0000-0000-00003C0F0000}"/>
    <cellStyle name="Comma 2 5 3 2 3 2 2 2 2" xfId="8728" xr:uid="{00000000-0005-0000-0000-00003D0F0000}"/>
    <cellStyle name="Comma 2 5 3 2 3 2 2 3" xfId="8727" xr:uid="{00000000-0005-0000-0000-00003E0F0000}"/>
    <cellStyle name="Comma 2 5 3 2 3 2 2 4" xfId="5555" xr:uid="{00000000-0005-0000-0000-00003F0F0000}"/>
    <cellStyle name="Comma 2 5 3 2 3 2 3" xfId="1582" xr:uid="{00000000-0005-0000-0000-0000400F0000}"/>
    <cellStyle name="Comma 2 5 3 2 3 2 3 2" xfId="8729" xr:uid="{00000000-0005-0000-0000-0000410F0000}"/>
    <cellStyle name="Comma 2 5 3 2 3 2 4" xfId="8726" xr:uid="{00000000-0005-0000-0000-0000420F0000}"/>
    <cellStyle name="Comma 2 5 3 2 3 2 5" xfId="5554" xr:uid="{00000000-0005-0000-0000-0000430F0000}"/>
    <cellStyle name="Comma 2 5 3 2 3 3" xfId="1583" xr:uid="{00000000-0005-0000-0000-0000440F0000}"/>
    <cellStyle name="Comma 2 5 3 2 3 3 2" xfId="1584" xr:uid="{00000000-0005-0000-0000-0000450F0000}"/>
    <cellStyle name="Comma 2 5 3 2 3 3 2 2" xfId="8731" xr:uid="{00000000-0005-0000-0000-0000460F0000}"/>
    <cellStyle name="Comma 2 5 3 2 3 3 3" xfId="8730" xr:uid="{00000000-0005-0000-0000-0000470F0000}"/>
    <cellStyle name="Comma 2 5 3 2 3 3 4" xfId="5556" xr:uid="{00000000-0005-0000-0000-0000480F0000}"/>
    <cellStyle name="Comma 2 5 3 2 3 4" xfId="1585" xr:uid="{00000000-0005-0000-0000-0000490F0000}"/>
    <cellStyle name="Comma 2 5 3 2 3 4 2" xfId="1586" xr:uid="{00000000-0005-0000-0000-00004A0F0000}"/>
    <cellStyle name="Comma 2 5 3 2 3 4 2 2" xfId="8733" xr:uid="{00000000-0005-0000-0000-00004B0F0000}"/>
    <cellStyle name="Comma 2 5 3 2 3 4 3" xfId="8732" xr:uid="{00000000-0005-0000-0000-00004C0F0000}"/>
    <cellStyle name="Comma 2 5 3 2 3 4 4" xfId="5557" xr:uid="{00000000-0005-0000-0000-00004D0F0000}"/>
    <cellStyle name="Comma 2 5 3 2 3 5" xfId="1587" xr:uid="{00000000-0005-0000-0000-00004E0F0000}"/>
    <cellStyle name="Comma 2 5 3 2 3 5 2" xfId="8734" xr:uid="{00000000-0005-0000-0000-00004F0F0000}"/>
    <cellStyle name="Comma 2 5 3 2 3 6" xfId="8725" xr:uid="{00000000-0005-0000-0000-0000500F0000}"/>
    <cellStyle name="Comma 2 5 3 2 3 7" xfId="5553" xr:uid="{00000000-0005-0000-0000-0000510F0000}"/>
    <cellStyle name="Comma 2 5 3 2 4" xfId="1588" xr:uid="{00000000-0005-0000-0000-0000520F0000}"/>
    <cellStyle name="Comma 2 5 3 2 4 2" xfId="1589" xr:uid="{00000000-0005-0000-0000-0000530F0000}"/>
    <cellStyle name="Comma 2 5 3 2 4 2 2" xfId="1590" xr:uid="{00000000-0005-0000-0000-0000540F0000}"/>
    <cellStyle name="Comma 2 5 3 2 4 2 2 2" xfId="1591" xr:uid="{00000000-0005-0000-0000-0000550F0000}"/>
    <cellStyle name="Comma 2 5 3 2 4 2 2 2 2" xfId="8738" xr:uid="{00000000-0005-0000-0000-0000560F0000}"/>
    <cellStyle name="Comma 2 5 3 2 4 2 2 3" xfId="8737" xr:uid="{00000000-0005-0000-0000-0000570F0000}"/>
    <cellStyle name="Comma 2 5 3 2 4 2 2 4" xfId="5560" xr:uid="{00000000-0005-0000-0000-0000580F0000}"/>
    <cellStyle name="Comma 2 5 3 2 4 2 3" xfId="1592" xr:uid="{00000000-0005-0000-0000-0000590F0000}"/>
    <cellStyle name="Comma 2 5 3 2 4 2 3 2" xfId="8739" xr:uid="{00000000-0005-0000-0000-00005A0F0000}"/>
    <cellStyle name="Comma 2 5 3 2 4 2 4" xfId="8736" xr:uid="{00000000-0005-0000-0000-00005B0F0000}"/>
    <cellStyle name="Comma 2 5 3 2 4 2 5" xfId="5559" xr:uid="{00000000-0005-0000-0000-00005C0F0000}"/>
    <cellStyle name="Comma 2 5 3 2 4 3" xfId="1593" xr:uid="{00000000-0005-0000-0000-00005D0F0000}"/>
    <cellStyle name="Comma 2 5 3 2 4 3 2" xfId="1594" xr:uid="{00000000-0005-0000-0000-00005E0F0000}"/>
    <cellStyle name="Comma 2 5 3 2 4 3 2 2" xfId="8741" xr:uid="{00000000-0005-0000-0000-00005F0F0000}"/>
    <cellStyle name="Comma 2 5 3 2 4 3 3" xfId="8740" xr:uid="{00000000-0005-0000-0000-0000600F0000}"/>
    <cellStyle name="Comma 2 5 3 2 4 3 4" xfId="5561" xr:uid="{00000000-0005-0000-0000-0000610F0000}"/>
    <cellStyle name="Comma 2 5 3 2 4 4" xfId="1595" xr:uid="{00000000-0005-0000-0000-0000620F0000}"/>
    <cellStyle name="Comma 2 5 3 2 4 4 2" xfId="1596" xr:uid="{00000000-0005-0000-0000-0000630F0000}"/>
    <cellStyle name="Comma 2 5 3 2 4 4 2 2" xfId="8743" xr:uid="{00000000-0005-0000-0000-0000640F0000}"/>
    <cellStyle name="Comma 2 5 3 2 4 4 3" xfId="8742" xr:uid="{00000000-0005-0000-0000-0000650F0000}"/>
    <cellStyle name="Comma 2 5 3 2 4 4 4" xfId="5562" xr:uid="{00000000-0005-0000-0000-0000660F0000}"/>
    <cellStyle name="Comma 2 5 3 2 4 5" xfId="1597" xr:uid="{00000000-0005-0000-0000-0000670F0000}"/>
    <cellStyle name="Comma 2 5 3 2 4 5 2" xfId="8744" xr:uid="{00000000-0005-0000-0000-0000680F0000}"/>
    <cellStyle name="Comma 2 5 3 2 4 6" xfId="8735" xr:uid="{00000000-0005-0000-0000-0000690F0000}"/>
    <cellStyle name="Comma 2 5 3 2 4 7" xfId="5558" xr:uid="{00000000-0005-0000-0000-00006A0F0000}"/>
    <cellStyle name="Comma 2 5 3 2 5" xfId="1598" xr:uid="{00000000-0005-0000-0000-00006B0F0000}"/>
    <cellStyle name="Comma 2 5 3 2 5 2" xfId="1599" xr:uid="{00000000-0005-0000-0000-00006C0F0000}"/>
    <cellStyle name="Comma 2 5 3 2 5 2 2" xfId="1600" xr:uid="{00000000-0005-0000-0000-00006D0F0000}"/>
    <cellStyle name="Comma 2 5 3 2 5 2 2 2" xfId="1601" xr:uid="{00000000-0005-0000-0000-00006E0F0000}"/>
    <cellStyle name="Comma 2 5 3 2 5 2 2 2 2" xfId="8748" xr:uid="{00000000-0005-0000-0000-00006F0F0000}"/>
    <cellStyle name="Comma 2 5 3 2 5 2 2 3" xfId="8747" xr:uid="{00000000-0005-0000-0000-0000700F0000}"/>
    <cellStyle name="Comma 2 5 3 2 5 2 2 4" xfId="5565" xr:uid="{00000000-0005-0000-0000-0000710F0000}"/>
    <cellStyle name="Comma 2 5 3 2 5 2 3" xfId="1602" xr:uid="{00000000-0005-0000-0000-0000720F0000}"/>
    <cellStyle name="Comma 2 5 3 2 5 2 3 2" xfId="8749" xr:uid="{00000000-0005-0000-0000-0000730F0000}"/>
    <cellStyle name="Comma 2 5 3 2 5 2 4" xfId="8746" xr:uid="{00000000-0005-0000-0000-0000740F0000}"/>
    <cellStyle name="Comma 2 5 3 2 5 2 5" xfId="5564" xr:uid="{00000000-0005-0000-0000-0000750F0000}"/>
    <cellStyle name="Comma 2 5 3 2 5 3" xfId="1603" xr:uid="{00000000-0005-0000-0000-0000760F0000}"/>
    <cellStyle name="Comma 2 5 3 2 5 3 2" xfId="1604" xr:uid="{00000000-0005-0000-0000-0000770F0000}"/>
    <cellStyle name="Comma 2 5 3 2 5 3 2 2" xfId="8751" xr:uid="{00000000-0005-0000-0000-0000780F0000}"/>
    <cellStyle name="Comma 2 5 3 2 5 3 3" xfId="8750" xr:uid="{00000000-0005-0000-0000-0000790F0000}"/>
    <cellStyle name="Comma 2 5 3 2 5 3 4" xfId="5566" xr:uid="{00000000-0005-0000-0000-00007A0F0000}"/>
    <cellStyle name="Comma 2 5 3 2 5 4" xfId="1605" xr:uid="{00000000-0005-0000-0000-00007B0F0000}"/>
    <cellStyle name="Comma 2 5 3 2 5 4 2" xfId="1606" xr:uid="{00000000-0005-0000-0000-00007C0F0000}"/>
    <cellStyle name="Comma 2 5 3 2 5 4 2 2" xfId="8753" xr:uid="{00000000-0005-0000-0000-00007D0F0000}"/>
    <cellStyle name="Comma 2 5 3 2 5 4 3" xfId="8752" xr:uid="{00000000-0005-0000-0000-00007E0F0000}"/>
    <cellStyle name="Comma 2 5 3 2 5 4 4" xfId="5567" xr:uid="{00000000-0005-0000-0000-00007F0F0000}"/>
    <cellStyle name="Comma 2 5 3 2 5 5" xfId="1607" xr:uid="{00000000-0005-0000-0000-0000800F0000}"/>
    <cellStyle name="Comma 2 5 3 2 5 5 2" xfId="8754" xr:uid="{00000000-0005-0000-0000-0000810F0000}"/>
    <cellStyle name="Comma 2 5 3 2 5 6" xfId="8745" xr:uid="{00000000-0005-0000-0000-0000820F0000}"/>
    <cellStyle name="Comma 2 5 3 2 5 7" xfId="5563" xr:uid="{00000000-0005-0000-0000-0000830F0000}"/>
    <cellStyle name="Comma 2 5 3 2 6" xfId="1608" xr:uid="{00000000-0005-0000-0000-0000840F0000}"/>
    <cellStyle name="Comma 2 5 3 2 6 2" xfId="1609" xr:uid="{00000000-0005-0000-0000-0000850F0000}"/>
    <cellStyle name="Comma 2 5 3 2 6 2 2" xfId="1610" xr:uid="{00000000-0005-0000-0000-0000860F0000}"/>
    <cellStyle name="Comma 2 5 3 2 6 2 2 2" xfId="8757" xr:uid="{00000000-0005-0000-0000-0000870F0000}"/>
    <cellStyle name="Comma 2 5 3 2 6 2 3" xfId="8756" xr:uid="{00000000-0005-0000-0000-0000880F0000}"/>
    <cellStyle name="Comma 2 5 3 2 6 2 4" xfId="5569" xr:uid="{00000000-0005-0000-0000-0000890F0000}"/>
    <cellStyle name="Comma 2 5 3 2 6 3" xfId="1611" xr:uid="{00000000-0005-0000-0000-00008A0F0000}"/>
    <cellStyle name="Comma 2 5 3 2 6 3 2" xfId="1612" xr:uid="{00000000-0005-0000-0000-00008B0F0000}"/>
    <cellStyle name="Comma 2 5 3 2 6 3 2 2" xfId="8759" xr:uid="{00000000-0005-0000-0000-00008C0F0000}"/>
    <cellStyle name="Comma 2 5 3 2 6 3 3" xfId="8758" xr:uid="{00000000-0005-0000-0000-00008D0F0000}"/>
    <cellStyle name="Comma 2 5 3 2 6 3 4" xfId="5570" xr:uid="{00000000-0005-0000-0000-00008E0F0000}"/>
    <cellStyle name="Comma 2 5 3 2 6 4" xfId="1613" xr:uid="{00000000-0005-0000-0000-00008F0F0000}"/>
    <cellStyle name="Comma 2 5 3 2 6 4 2" xfId="8760" xr:uid="{00000000-0005-0000-0000-0000900F0000}"/>
    <cellStyle name="Comma 2 5 3 2 6 5" xfId="8755" xr:uid="{00000000-0005-0000-0000-0000910F0000}"/>
    <cellStyle name="Comma 2 5 3 2 6 6" xfId="5568" xr:uid="{00000000-0005-0000-0000-0000920F0000}"/>
    <cellStyle name="Comma 2 5 3 2 7" xfId="1614" xr:uid="{00000000-0005-0000-0000-0000930F0000}"/>
    <cellStyle name="Comma 2 5 3 2 7 2" xfId="1615" xr:uid="{00000000-0005-0000-0000-0000940F0000}"/>
    <cellStyle name="Comma 2 5 3 2 7 2 2" xfId="1616" xr:uid="{00000000-0005-0000-0000-0000950F0000}"/>
    <cellStyle name="Comma 2 5 3 2 7 2 2 2" xfId="8763" xr:uid="{00000000-0005-0000-0000-0000960F0000}"/>
    <cellStyle name="Comma 2 5 3 2 7 2 3" xfId="8762" xr:uid="{00000000-0005-0000-0000-0000970F0000}"/>
    <cellStyle name="Comma 2 5 3 2 7 2 4" xfId="5572" xr:uid="{00000000-0005-0000-0000-0000980F0000}"/>
    <cellStyle name="Comma 2 5 3 2 7 3" xfId="1617" xr:uid="{00000000-0005-0000-0000-0000990F0000}"/>
    <cellStyle name="Comma 2 5 3 2 7 3 2" xfId="8764" xr:uid="{00000000-0005-0000-0000-00009A0F0000}"/>
    <cellStyle name="Comma 2 5 3 2 7 4" xfId="8761" xr:uid="{00000000-0005-0000-0000-00009B0F0000}"/>
    <cellStyle name="Comma 2 5 3 2 7 5" xfId="5571" xr:uid="{00000000-0005-0000-0000-00009C0F0000}"/>
    <cellStyle name="Comma 2 5 3 2 8" xfId="1618" xr:uid="{00000000-0005-0000-0000-00009D0F0000}"/>
    <cellStyle name="Comma 2 5 3 2 8 2" xfId="1619" xr:uid="{00000000-0005-0000-0000-00009E0F0000}"/>
    <cellStyle name="Comma 2 5 3 2 8 2 2" xfId="8766" xr:uid="{00000000-0005-0000-0000-00009F0F0000}"/>
    <cellStyle name="Comma 2 5 3 2 8 3" xfId="8765" xr:uid="{00000000-0005-0000-0000-0000A00F0000}"/>
    <cellStyle name="Comma 2 5 3 2 8 4" xfId="5573" xr:uid="{00000000-0005-0000-0000-0000A10F0000}"/>
    <cellStyle name="Comma 2 5 3 2 9" xfId="1620" xr:uid="{00000000-0005-0000-0000-0000A20F0000}"/>
    <cellStyle name="Comma 2 5 3 2 9 2" xfId="1621" xr:uid="{00000000-0005-0000-0000-0000A30F0000}"/>
    <cellStyle name="Comma 2 5 3 2 9 2 2" xfId="8768" xr:uid="{00000000-0005-0000-0000-0000A40F0000}"/>
    <cellStyle name="Comma 2 5 3 2 9 3" xfId="8767" xr:uid="{00000000-0005-0000-0000-0000A50F0000}"/>
    <cellStyle name="Comma 2 5 3 2 9 4" xfId="5574" xr:uid="{00000000-0005-0000-0000-0000A60F0000}"/>
    <cellStyle name="Comma 2 5 3 3" xfId="1622" xr:uid="{00000000-0005-0000-0000-0000A70F0000}"/>
    <cellStyle name="Comma 2 5 3 3 2" xfId="1623" xr:uid="{00000000-0005-0000-0000-0000A80F0000}"/>
    <cellStyle name="Comma 2 5 3 3 2 2" xfId="1624" xr:uid="{00000000-0005-0000-0000-0000A90F0000}"/>
    <cellStyle name="Comma 2 5 3 3 2 2 2" xfId="1625" xr:uid="{00000000-0005-0000-0000-0000AA0F0000}"/>
    <cellStyle name="Comma 2 5 3 3 2 2 2 2" xfId="8772" xr:uid="{00000000-0005-0000-0000-0000AB0F0000}"/>
    <cellStyle name="Comma 2 5 3 3 2 2 3" xfId="8771" xr:uid="{00000000-0005-0000-0000-0000AC0F0000}"/>
    <cellStyle name="Comma 2 5 3 3 2 2 4" xfId="5577" xr:uid="{00000000-0005-0000-0000-0000AD0F0000}"/>
    <cellStyle name="Comma 2 5 3 3 2 3" xfId="1626" xr:uid="{00000000-0005-0000-0000-0000AE0F0000}"/>
    <cellStyle name="Comma 2 5 3 3 2 3 2" xfId="8773" xr:uid="{00000000-0005-0000-0000-0000AF0F0000}"/>
    <cellStyle name="Comma 2 5 3 3 2 4" xfId="8770" xr:uid="{00000000-0005-0000-0000-0000B00F0000}"/>
    <cellStyle name="Comma 2 5 3 3 2 5" xfId="5576" xr:uid="{00000000-0005-0000-0000-0000B10F0000}"/>
    <cellStyle name="Comma 2 5 3 3 3" xfId="1627" xr:uid="{00000000-0005-0000-0000-0000B20F0000}"/>
    <cellStyle name="Comma 2 5 3 3 3 2" xfId="1628" xr:uid="{00000000-0005-0000-0000-0000B30F0000}"/>
    <cellStyle name="Comma 2 5 3 3 3 2 2" xfId="8775" xr:uid="{00000000-0005-0000-0000-0000B40F0000}"/>
    <cellStyle name="Comma 2 5 3 3 3 3" xfId="8774" xr:uid="{00000000-0005-0000-0000-0000B50F0000}"/>
    <cellStyle name="Comma 2 5 3 3 3 4" xfId="5578" xr:uid="{00000000-0005-0000-0000-0000B60F0000}"/>
    <cellStyle name="Comma 2 5 3 3 4" xfId="1629" xr:uid="{00000000-0005-0000-0000-0000B70F0000}"/>
    <cellStyle name="Comma 2 5 3 3 4 2" xfId="1630" xr:uid="{00000000-0005-0000-0000-0000B80F0000}"/>
    <cellStyle name="Comma 2 5 3 3 4 2 2" xfId="8777" xr:uid="{00000000-0005-0000-0000-0000B90F0000}"/>
    <cellStyle name="Comma 2 5 3 3 4 3" xfId="8776" xr:uid="{00000000-0005-0000-0000-0000BA0F0000}"/>
    <cellStyle name="Comma 2 5 3 3 4 4" xfId="5579" xr:uid="{00000000-0005-0000-0000-0000BB0F0000}"/>
    <cellStyle name="Comma 2 5 3 3 5" xfId="1631" xr:uid="{00000000-0005-0000-0000-0000BC0F0000}"/>
    <cellStyle name="Comma 2 5 3 3 5 2" xfId="8778" xr:uid="{00000000-0005-0000-0000-0000BD0F0000}"/>
    <cellStyle name="Comma 2 5 3 3 6" xfId="8769" xr:uid="{00000000-0005-0000-0000-0000BE0F0000}"/>
    <cellStyle name="Comma 2 5 3 3 7" xfId="5575" xr:uid="{00000000-0005-0000-0000-0000BF0F0000}"/>
    <cellStyle name="Comma 2 5 3 4" xfId="1632" xr:uid="{00000000-0005-0000-0000-0000C00F0000}"/>
    <cellStyle name="Comma 2 5 3 4 2" xfId="1633" xr:uid="{00000000-0005-0000-0000-0000C10F0000}"/>
    <cellStyle name="Comma 2 5 3 4 2 2" xfId="1634" xr:uid="{00000000-0005-0000-0000-0000C20F0000}"/>
    <cellStyle name="Comma 2 5 3 4 2 2 2" xfId="1635" xr:uid="{00000000-0005-0000-0000-0000C30F0000}"/>
    <cellStyle name="Comma 2 5 3 4 2 2 2 2" xfId="8782" xr:uid="{00000000-0005-0000-0000-0000C40F0000}"/>
    <cellStyle name="Comma 2 5 3 4 2 2 3" xfId="8781" xr:uid="{00000000-0005-0000-0000-0000C50F0000}"/>
    <cellStyle name="Comma 2 5 3 4 2 2 4" xfId="5582" xr:uid="{00000000-0005-0000-0000-0000C60F0000}"/>
    <cellStyle name="Comma 2 5 3 4 2 3" xfId="1636" xr:uid="{00000000-0005-0000-0000-0000C70F0000}"/>
    <cellStyle name="Comma 2 5 3 4 2 3 2" xfId="8783" xr:uid="{00000000-0005-0000-0000-0000C80F0000}"/>
    <cellStyle name="Comma 2 5 3 4 2 4" xfId="8780" xr:uid="{00000000-0005-0000-0000-0000C90F0000}"/>
    <cellStyle name="Comma 2 5 3 4 2 5" xfId="5581" xr:uid="{00000000-0005-0000-0000-0000CA0F0000}"/>
    <cellStyle name="Comma 2 5 3 4 3" xfId="1637" xr:uid="{00000000-0005-0000-0000-0000CB0F0000}"/>
    <cellStyle name="Comma 2 5 3 4 3 2" xfId="1638" xr:uid="{00000000-0005-0000-0000-0000CC0F0000}"/>
    <cellStyle name="Comma 2 5 3 4 3 2 2" xfId="8785" xr:uid="{00000000-0005-0000-0000-0000CD0F0000}"/>
    <cellStyle name="Comma 2 5 3 4 3 3" xfId="8784" xr:uid="{00000000-0005-0000-0000-0000CE0F0000}"/>
    <cellStyle name="Comma 2 5 3 4 3 4" xfId="5583" xr:uid="{00000000-0005-0000-0000-0000CF0F0000}"/>
    <cellStyle name="Comma 2 5 3 4 4" xfId="1639" xr:uid="{00000000-0005-0000-0000-0000D00F0000}"/>
    <cellStyle name="Comma 2 5 3 4 4 2" xfId="1640" xr:uid="{00000000-0005-0000-0000-0000D10F0000}"/>
    <cellStyle name="Comma 2 5 3 4 4 2 2" xfId="8787" xr:uid="{00000000-0005-0000-0000-0000D20F0000}"/>
    <cellStyle name="Comma 2 5 3 4 4 3" xfId="8786" xr:uid="{00000000-0005-0000-0000-0000D30F0000}"/>
    <cellStyle name="Comma 2 5 3 4 4 4" xfId="5584" xr:uid="{00000000-0005-0000-0000-0000D40F0000}"/>
    <cellStyle name="Comma 2 5 3 4 5" xfId="1641" xr:uid="{00000000-0005-0000-0000-0000D50F0000}"/>
    <cellStyle name="Comma 2 5 3 4 5 2" xfId="8788" xr:uid="{00000000-0005-0000-0000-0000D60F0000}"/>
    <cellStyle name="Comma 2 5 3 4 6" xfId="8779" xr:uid="{00000000-0005-0000-0000-0000D70F0000}"/>
    <cellStyle name="Comma 2 5 3 4 7" xfId="5580" xr:uid="{00000000-0005-0000-0000-0000D80F0000}"/>
    <cellStyle name="Comma 2 5 3 5" xfId="1642" xr:uid="{00000000-0005-0000-0000-0000D90F0000}"/>
    <cellStyle name="Comma 2 5 3 5 2" xfId="1643" xr:uid="{00000000-0005-0000-0000-0000DA0F0000}"/>
    <cellStyle name="Comma 2 5 3 5 2 2" xfId="1644" xr:uid="{00000000-0005-0000-0000-0000DB0F0000}"/>
    <cellStyle name="Comma 2 5 3 5 2 2 2" xfId="1645" xr:uid="{00000000-0005-0000-0000-0000DC0F0000}"/>
    <cellStyle name="Comma 2 5 3 5 2 2 2 2" xfId="8792" xr:uid="{00000000-0005-0000-0000-0000DD0F0000}"/>
    <cellStyle name="Comma 2 5 3 5 2 2 3" xfId="8791" xr:uid="{00000000-0005-0000-0000-0000DE0F0000}"/>
    <cellStyle name="Comma 2 5 3 5 2 2 4" xfId="5587" xr:uid="{00000000-0005-0000-0000-0000DF0F0000}"/>
    <cellStyle name="Comma 2 5 3 5 2 3" xfId="1646" xr:uid="{00000000-0005-0000-0000-0000E00F0000}"/>
    <cellStyle name="Comma 2 5 3 5 2 3 2" xfId="8793" xr:uid="{00000000-0005-0000-0000-0000E10F0000}"/>
    <cellStyle name="Comma 2 5 3 5 2 4" xfId="8790" xr:uid="{00000000-0005-0000-0000-0000E20F0000}"/>
    <cellStyle name="Comma 2 5 3 5 2 5" xfId="5586" xr:uid="{00000000-0005-0000-0000-0000E30F0000}"/>
    <cellStyle name="Comma 2 5 3 5 3" xfId="1647" xr:uid="{00000000-0005-0000-0000-0000E40F0000}"/>
    <cellStyle name="Comma 2 5 3 5 3 2" xfId="1648" xr:uid="{00000000-0005-0000-0000-0000E50F0000}"/>
    <cellStyle name="Comma 2 5 3 5 3 2 2" xfId="8795" xr:uid="{00000000-0005-0000-0000-0000E60F0000}"/>
    <cellStyle name="Comma 2 5 3 5 3 3" xfId="8794" xr:uid="{00000000-0005-0000-0000-0000E70F0000}"/>
    <cellStyle name="Comma 2 5 3 5 3 4" xfId="5588" xr:uid="{00000000-0005-0000-0000-0000E80F0000}"/>
    <cellStyle name="Comma 2 5 3 5 4" xfId="1649" xr:uid="{00000000-0005-0000-0000-0000E90F0000}"/>
    <cellStyle name="Comma 2 5 3 5 4 2" xfId="1650" xr:uid="{00000000-0005-0000-0000-0000EA0F0000}"/>
    <cellStyle name="Comma 2 5 3 5 4 2 2" xfId="8797" xr:uid="{00000000-0005-0000-0000-0000EB0F0000}"/>
    <cellStyle name="Comma 2 5 3 5 4 3" xfId="8796" xr:uid="{00000000-0005-0000-0000-0000EC0F0000}"/>
    <cellStyle name="Comma 2 5 3 5 4 4" xfId="5589" xr:uid="{00000000-0005-0000-0000-0000ED0F0000}"/>
    <cellStyle name="Comma 2 5 3 5 5" xfId="1651" xr:uid="{00000000-0005-0000-0000-0000EE0F0000}"/>
    <cellStyle name="Comma 2 5 3 5 5 2" xfId="8798" xr:uid="{00000000-0005-0000-0000-0000EF0F0000}"/>
    <cellStyle name="Comma 2 5 3 5 6" xfId="8789" xr:uid="{00000000-0005-0000-0000-0000F00F0000}"/>
    <cellStyle name="Comma 2 5 3 5 7" xfId="5585" xr:uid="{00000000-0005-0000-0000-0000F10F0000}"/>
    <cellStyle name="Comma 2 5 3 6" xfId="1652" xr:uid="{00000000-0005-0000-0000-0000F20F0000}"/>
    <cellStyle name="Comma 2 5 3 6 2" xfId="1653" xr:uid="{00000000-0005-0000-0000-0000F30F0000}"/>
    <cellStyle name="Comma 2 5 3 6 2 2" xfId="1654" xr:uid="{00000000-0005-0000-0000-0000F40F0000}"/>
    <cellStyle name="Comma 2 5 3 6 2 2 2" xfId="1655" xr:uid="{00000000-0005-0000-0000-0000F50F0000}"/>
    <cellStyle name="Comma 2 5 3 6 2 2 2 2" xfId="8802" xr:uid="{00000000-0005-0000-0000-0000F60F0000}"/>
    <cellStyle name="Comma 2 5 3 6 2 2 3" xfId="8801" xr:uid="{00000000-0005-0000-0000-0000F70F0000}"/>
    <cellStyle name="Comma 2 5 3 6 2 2 4" xfId="5592" xr:uid="{00000000-0005-0000-0000-0000F80F0000}"/>
    <cellStyle name="Comma 2 5 3 6 2 3" xfId="1656" xr:uid="{00000000-0005-0000-0000-0000F90F0000}"/>
    <cellStyle name="Comma 2 5 3 6 2 3 2" xfId="8803" xr:uid="{00000000-0005-0000-0000-0000FA0F0000}"/>
    <cellStyle name="Comma 2 5 3 6 2 4" xfId="8800" xr:uid="{00000000-0005-0000-0000-0000FB0F0000}"/>
    <cellStyle name="Comma 2 5 3 6 2 5" xfId="5591" xr:uid="{00000000-0005-0000-0000-0000FC0F0000}"/>
    <cellStyle name="Comma 2 5 3 6 3" xfId="1657" xr:uid="{00000000-0005-0000-0000-0000FD0F0000}"/>
    <cellStyle name="Comma 2 5 3 6 3 2" xfId="1658" xr:uid="{00000000-0005-0000-0000-0000FE0F0000}"/>
    <cellStyle name="Comma 2 5 3 6 3 2 2" xfId="8805" xr:uid="{00000000-0005-0000-0000-0000FF0F0000}"/>
    <cellStyle name="Comma 2 5 3 6 3 3" xfId="8804" xr:uid="{00000000-0005-0000-0000-000000100000}"/>
    <cellStyle name="Comma 2 5 3 6 3 4" xfId="5593" xr:uid="{00000000-0005-0000-0000-000001100000}"/>
    <cellStyle name="Comma 2 5 3 6 4" xfId="1659" xr:uid="{00000000-0005-0000-0000-000002100000}"/>
    <cellStyle name="Comma 2 5 3 6 4 2" xfId="1660" xr:uid="{00000000-0005-0000-0000-000003100000}"/>
    <cellStyle name="Comma 2 5 3 6 4 2 2" xfId="8807" xr:uid="{00000000-0005-0000-0000-000004100000}"/>
    <cellStyle name="Comma 2 5 3 6 4 3" xfId="8806" xr:uid="{00000000-0005-0000-0000-000005100000}"/>
    <cellStyle name="Comma 2 5 3 6 4 4" xfId="5594" xr:uid="{00000000-0005-0000-0000-000006100000}"/>
    <cellStyle name="Comma 2 5 3 6 5" xfId="1661" xr:uid="{00000000-0005-0000-0000-000007100000}"/>
    <cellStyle name="Comma 2 5 3 6 5 2" xfId="8808" xr:uid="{00000000-0005-0000-0000-000008100000}"/>
    <cellStyle name="Comma 2 5 3 6 6" xfId="8799" xr:uid="{00000000-0005-0000-0000-000009100000}"/>
    <cellStyle name="Comma 2 5 3 6 7" xfId="5590" xr:uid="{00000000-0005-0000-0000-00000A100000}"/>
    <cellStyle name="Comma 2 5 3 7" xfId="1662" xr:uid="{00000000-0005-0000-0000-00000B100000}"/>
    <cellStyle name="Comma 2 5 3 7 2" xfId="1663" xr:uid="{00000000-0005-0000-0000-00000C100000}"/>
    <cellStyle name="Comma 2 5 3 7 2 2" xfId="1664" xr:uid="{00000000-0005-0000-0000-00000D100000}"/>
    <cellStyle name="Comma 2 5 3 7 2 2 2" xfId="8811" xr:uid="{00000000-0005-0000-0000-00000E100000}"/>
    <cellStyle name="Comma 2 5 3 7 2 3" xfId="8810" xr:uid="{00000000-0005-0000-0000-00000F100000}"/>
    <cellStyle name="Comma 2 5 3 7 2 4" xfId="5596" xr:uid="{00000000-0005-0000-0000-000010100000}"/>
    <cellStyle name="Comma 2 5 3 7 3" xfId="1665" xr:uid="{00000000-0005-0000-0000-000011100000}"/>
    <cellStyle name="Comma 2 5 3 7 3 2" xfId="1666" xr:uid="{00000000-0005-0000-0000-000012100000}"/>
    <cellStyle name="Comma 2 5 3 7 3 2 2" xfId="8813" xr:uid="{00000000-0005-0000-0000-000013100000}"/>
    <cellStyle name="Comma 2 5 3 7 3 3" xfId="8812" xr:uid="{00000000-0005-0000-0000-000014100000}"/>
    <cellStyle name="Comma 2 5 3 7 3 4" xfId="5597" xr:uid="{00000000-0005-0000-0000-000015100000}"/>
    <cellStyle name="Comma 2 5 3 7 4" xfId="1667" xr:uid="{00000000-0005-0000-0000-000016100000}"/>
    <cellStyle name="Comma 2 5 3 7 4 2" xfId="8814" xr:uid="{00000000-0005-0000-0000-000017100000}"/>
    <cellStyle name="Comma 2 5 3 7 5" xfId="8809" xr:uid="{00000000-0005-0000-0000-000018100000}"/>
    <cellStyle name="Comma 2 5 3 7 6" xfId="5595" xr:uid="{00000000-0005-0000-0000-000019100000}"/>
    <cellStyle name="Comma 2 5 3 8" xfId="1668" xr:uid="{00000000-0005-0000-0000-00001A100000}"/>
    <cellStyle name="Comma 2 5 3 8 2" xfId="1669" xr:uid="{00000000-0005-0000-0000-00001B100000}"/>
    <cellStyle name="Comma 2 5 3 8 2 2" xfId="1670" xr:uid="{00000000-0005-0000-0000-00001C100000}"/>
    <cellStyle name="Comma 2 5 3 8 2 2 2" xfId="8817" xr:uid="{00000000-0005-0000-0000-00001D100000}"/>
    <cellStyle name="Comma 2 5 3 8 2 3" xfId="8816" xr:uid="{00000000-0005-0000-0000-00001E100000}"/>
    <cellStyle name="Comma 2 5 3 8 2 4" xfId="5599" xr:uid="{00000000-0005-0000-0000-00001F100000}"/>
    <cellStyle name="Comma 2 5 3 8 3" xfId="1671" xr:uid="{00000000-0005-0000-0000-000020100000}"/>
    <cellStyle name="Comma 2 5 3 8 3 2" xfId="8818" xr:uid="{00000000-0005-0000-0000-000021100000}"/>
    <cellStyle name="Comma 2 5 3 8 4" xfId="8815" xr:uid="{00000000-0005-0000-0000-000022100000}"/>
    <cellStyle name="Comma 2 5 3 8 5" xfId="5598" xr:uid="{00000000-0005-0000-0000-000023100000}"/>
    <cellStyle name="Comma 2 5 3 9" xfId="1672" xr:uid="{00000000-0005-0000-0000-000024100000}"/>
    <cellStyle name="Comma 2 5 3 9 2" xfId="1673" xr:uid="{00000000-0005-0000-0000-000025100000}"/>
    <cellStyle name="Comma 2 5 3 9 2 2" xfId="8820" xr:uid="{00000000-0005-0000-0000-000026100000}"/>
    <cellStyle name="Comma 2 5 3 9 3" xfId="8819" xr:uid="{00000000-0005-0000-0000-000027100000}"/>
    <cellStyle name="Comma 2 5 3 9 4" xfId="5600" xr:uid="{00000000-0005-0000-0000-000028100000}"/>
    <cellStyle name="Comma 2 5 4" xfId="1674" xr:uid="{00000000-0005-0000-0000-000029100000}"/>
    <cellStyle name="Comma 2 5 4 10" xfId="1675" xr:uid="{00000000-0005-0000-0000-00002A100000}"/>
    <cellStyle name="Comma 2 5 4 10 2" xfId="1676" xr:uid="{00000000-0005-0000-0000-00002B100000}"/>
    <cellStyle name="Comma 2 5 4 10 2 2" xfId="8823" xr:uid="{00000000-0005-0000-0000-00002C100000}"/>
    <cellStyle name="Comma 2 5 4 10 3" xfId="8822" xr:uid="{00000000-0005-0000-0000-00002D100000}"/>
    <cellStyle name="Comma 2 5 4 10 4" xfId="5602" xr:uid="{00000000-0005-0000-0000-00002E100000}"/>
    <cellStyle name="Comma 2 5 4 11" xfId="1677" xr:uid="{00000000-0005-0000-0000-00002F100000}"/>
    <cellStyle name="Comma 2 5 4 11 2" xfId="8824" xr:uid="{00000000-0005-0000-0000-000030100000}"/>
    <cellStyle name="Comma 2 5 4 12" xfId="8821" xr:uid="{00000000-0005-0000-0000-000031100000}"/>
    <cellStyle name="Comma 2 5 4 13" xfId="5601" xr:uid="{00000000-0005-0000-0000-000032100000}"/>
    <cellStyle name="Comma 2 5 4 2" xfId="1678" xr:uid="{00000000-0005-0000-0000-000033100000}"/>
    <cellStyle name="Comma 2 5 4 2 10" xfId="1679" xr:uid="{00000000-0005-0000-0000-000034100000}"/>
    <cellStyle name="Comma 2 5 4 2 10 2" xfId="8826" xr:uid="{00000000-0005-0000-0000-000035100000}"/>
    <cellStyle name="Comma 2 5 4 2 11" xfId="8825" xr:uid="{00000000-0005-0000-0000-000036100000}"/>
    <cellStyle name="Comma 2 5 4 2 12" xfId="5603" xr:uid="{00000000-0005-0000-0000-000037100000}"/>
    <cellStyle name="Comma 2 5 4 2 2" xfId="1680" xr:uid="{00000000-0005-0000-0000-000038100000}"/>
    <cellStyle name="Comma 2 5 4 2 2 2" xfId="1681" xr:uid="{00000000-0005-0000-0000-000039100000}"/>
    <cellStyle name="Comma 2 5 4 2 2 2 2" xfId="1682" xr:uid="{00000000-0005-0000-0000-00003A100000}"/>
    <cellStyle name="Comma 2 5 4 2 2 2 2 2" xfId="1683" xr:uid="{00000000-0005-0000-0000-00003B100000}"/>
    <cellStyle name="Comma 2 5 4 2 2 2 2 2 2" xfId="8830" xr:uid="{00000000-0005-0000-0000-00003C100000}"/>
    <cellStyle name="Comma 2 5 4 2 2 2 2 3" xfId="8829" xr:uid="{00000000-0005-0000-0000-00003D100000}"/>
    <cellStyle name="Comma 2 5 4 2 2 2 2 4" xfId="5606" xr:uid="{00000000-0005-0000-0000-00003E100000}"/>
    <cellStyle name="Comma 2 5 4 2 2 2 3" xfId="1684" xr:uid="{00000000-0005-0000-0000-00003F100000}"/>
    <cellStyle name="Comma 2 5 4 2 2 2 3 2" xfId="8831" xr:uid="{00000000-0005-0000-0000-000040100000}"/>
    <cellStyle name="Comma 2 5 4 2 2 2 4" xfId="8828" xr:uid="{00000000-0005-0000-0000-000041100000}"/>
    <cellStyle name="Comma 2 5 4 2 2 2 5" xfId="5605" xr:uid="{00000000-0005-0000-0000-000042100000}"/>
    <cellStyle name="Comma 2 5 4 2 2 3" xfId="1685" xr:uid="{00000000-0005-0000-0000-000043100000}"/>
    <cellStyle name="Comma 2 5 4 2 2 3 2" xfId="1686" xr:uid="{00000000-0005-0000-0000-000044100000}"/>
    <cellStyle name="Comma 2 5 4 2 2 3 2 2" xfId="8833" xr:uid="{00000000-0005-0000-0000-000045100000}"/>
    <cellStyle name="Comma 2 5 4 2 2 3 3" xfId="8832" xr:uid="{00000000-0005-0000-0000-000046100000}"/>
    <cellStyle name="Comma 2 5 4 2 2 3 4" xfId="5607" xr:uid="{00000000-0005-0000-0000-000047100000}"/>
    <cellStyle name="Comma 2 5 4 2 2 4" xfId="1687" xr:uid="{00000000-0005-0000-0000-000048100000}"/>
    <cellStyle name="Comma 2 5 4 2 2 4 2" xfId="1688" xr:uid="{00000000-0005-0000-0000-000049100000}"/>
    <cellStyle name="Comma 2 5 4 2 2 4 2 2" xfId="8835" xr:uid="{00000000-0005-0000-0000-00004A100000}"/>
    <cellStyle name="Comma 2 5 4 2 2 4 3" xfId="8834" xr:uid="{00000000-0005-0000-0000-00004B100000}"/>
    <cellStyle name="Comma 2 5 4 2 2 4 4" xfId="5608" xr:uid="{00000000-0005-0000-0000-00004C100000}"/>
    <cellStyle name="Comma 2 5 4 2 2 5" xfId="1689" xr:uid="{00000000-0005-0000-0000-00004D100000}"/>
    <cellStyle name="Comma 2 5 4 2 2 5 2" xfId="8836" xr:uid="{00000000-0005-0000-0000-00004E100000}"/>
    <cellStyle name="Comma 2 5 4 2 2 6" xfId="8827" xr:uid="{00000000-0005-0000-0000-00004F100000}"/>
    <cellStyle name="Comma 2 5 4 2 2 7" xfId="5604" xr:uid="{00000000-0005-0000-0000-000050100000}"/>
    <cellStyle name="Comma 2 5 4 2 3" xfId="1690" xr:uid="{00000000-0005-0000-0000-000051100000}"/>
    <cellStyle name="Comma 2 5 4 2 3 2" xfId="1691" xr:uid="{00000000-0005-0000-0000-000052100000}"/>
    <cellStyle name="Comma 2 5 4 2 3 2 2" xfId="1692" xr:uid="{00000000-0005-0000-0000-000053100000}"/>
    <cellStyle name="Comma 2 5 4 2 3 2 2 2" xfId="1693" xr:uid="{00000000-0005-0000-0000-000054100000}"/>
    <cellStyle name="Comma 2 5 4 2 3 2 2 2 2" xfId="8840" xr:uid="{00000000-0005-0000-0000-000055100000}"/>
    <cellStyle name="Comma 2 5 4 2 3 2 2 3" xfId="8839" xr:uid="{00000000-0005-0000-0000-000056100000}"/>
    <cellStyle name="Comma 2 5 4 2 3 2 2 4" xfId="5611" xr:uid="{00000000-0005-0000-0000-000057100000}"/>
    <cellStyle name="Comma 2 5 4 2 3 2 3" xfId="1694" xr:uid="{00000000-0005-0000-0000-000058100000}"/>
    <cellStyle name="Comma 2 5 4 2 3 2 3 2" xfId="8841" xr:uid="{00000000-0005-0000-0000-000059100000}"/>
    <cellStyle name="Comma 2 5 4 2 3 2 4" xfId="8838" xr:uid="{00000000-0005-0000-0000-00005A100000}"/>
    <cellStyle name="Comma 2 5 4 2 3 2 5" xfId="5610" xr:uid="{00000000-0005-0000-0000-00005B100000}"/>
    <cellStyle name="Comma 2 5 4 2 3 3" xfId="1695" xr:uid="{00000000-0005-0000-0000-00005C100000}"/>
    <cellStyle name="Comma 2 5 4 2 3 3 2" xfId="1696" xr:uid="{00000000-0005-0000-0000-00005D100000}"/>
    <cellStyle name="Comma 2 5 4 2 3 3 2 2" xfId="8843" xr:uid="{00000000-0005-0000-0000-00005E100000}"/>
    <cellStyle name="Comma 2 5 4 2 3 3 3" xfId="8842" xr:uid="{00000000-0005-0000-0000-00005F100000}"/>
    <cellStyle name="Comma 2 5 4 2 3 3 4" xfId="5612" xr:uid="{00000000-0005-0000-0000-000060100000}"/>
    <cellStyle name="Comma 2 5 4 2 3 4" xfId="1697" xr:uid="{00000000-0005-0000-0000-000061100000}"/>
    <cellStyle name="Comma 2 5 4 2 3 4 2" xfId="1698" xr:uid="{00000000-0005-0000-0000-000062100000}"/>
    <cellStyle name="Comma 2 5 4 2 3 4 2 2" xfId="8845" xr:uid="{00000000-0005-0000-0000-000063100000}"/>
    <cellStyle name="Comma 2 5 4 2 3 4 3" xfId="8844" xr:uid="{00000000-0005-0000-0000-000064100000}"/>
    <cellStyle name="Comma 2 5 4 2 3 4 4" xfId="5613" xr:uid="{00000000-0005-0000-0000-000065100000}"/>
    <cellStyle name="Comma 2 5 4 2 3 5" xfId="1699" xr:uid="{00000000-0005-0000-0000-000066100000}"/>
    <cellStyle name="Comma 2 5 4 2 3 5 2" xfId="8846" xr:uid="{00000000-0005-0000-0000-000067100000}"/>
    <cellStyle name="Comma 2 5 4 2 3 6" xfId="8837" xr:uid="{00000000-0005-0000-0000-000068100000}"/>
    <cellStyle name="Comma 2 5 4 2 3 7" xfId="5609" xr:uid="{00000000-0005-0000-0000-000069100000}"/>
    <cellStyle name="Comma 2 5 4 2 4" xfId="1700" xr:uid="{00000000-0005-0000-0000-00006A100000}"/>
    <cellStyle name="Comma 2 5 4 2 4 2" xfId="1701" xr:uid="{00000000-0005-0000-0000-00006B100000}"/>
    <cellStyle name="Comma 2 5 4 2 4 2 2" xfId="1702" xr:uid="{00000000-0005-0000-0000-00006C100000}"/>
    <cellStyle name="Comma 2 5 4 2 4 2 2 2" xfId="1703" xr:uid="{00000000-0005-0000-0000-00006D100000}"/>
    <cellStyle name="Comma 2 5 4 2 4 2 2 2 2" xfId="8850" xr:uid="{00000000-0005-0000-0000-00006E100000}"/>
    <cellStyle name="Comma 2 5 4 2 4 2 2 3" xfId="8849" xr:uid="{00000000-0005-0000-0000-00006F100000}"/>
    <cellStyle name="Comma 2 5 4 2 4 2 2 4" xfId="5616" xr:uid="{00000000-0005-0000-0000-000070100000}"/>
    <cellStyle name="Comma 2 5 4 2 4 2 3" xfId="1704" xr:uid="{00000000-0005-0000-0000-000071100000}"/>
    <cellStyle name="Comma 2 5 4 2 4 2 3 2" xfId="8851" xr:uid="{00000000-0005-0000-0000-000072100000}"/>
    <cellStyle name="Comma 2 5 4 2 4 2 4" xfId="8848" xr:uid="{00000000-0005-0000-0000-000073100000}"/>
    <cellStyle name="Comma 2 5 4 2 4 2 5" xfId="5615" xr:uid="{00000000-0005-0000-0000-000074100000}"/>
    <cellStyle name="Comma 2 5 4 2 4 3" xfId="1705" xr:uid="{00000000-0005-0000-0000-000075100000}"/>
    <cellStyle name="Comma 2 5 4 2 4 3 2" xfId="1706" xr:uid="{00000000-0005-0000-0000-000076100000}"/>
    <cellStyle name="Comma 2 5 4 2 4 3 2 2" xfId="8853" xr:uid="{00000000-0005-0000-0000-000077100000}"/>
    <cellStyle name="Comma 2 5 4 2 4 3 3" xfId="8852" xr:uid="{00000000-0005-0000-0000-000078100000}"/>
    <cellStyle name="Comma 2 5 4 2 4 3 4" xfId="5617" xr:uid="{00000000-0005-0000-0000-000079100000}"/>
    <cellStyle name="Comma 2 5 4 2 4 4" xfId="1707" xr:uid="{00000000-0005-0000-0000-00007A100000}"/>
    <cellStyle name="Comma 2 5 4 2 4 4 2" xfId="1708" xr:uid="{00000000-0005-0000-0000-00007B100000}"/>
    <cellStyle name="Comma 2 5 4 2 4 4 2 2" xfId="8855" xr:uid="{00000000-0005-0000-0000-00007C100000}"/>
    <cellStyle name="Comma 2 5 4 2 4 4 3" xfId="8854" xr:uid="{00000000-0005-0000-0000-00007D100000}"/>
    <cellStyle name="Comma 2 5 4 2 4 4 4" xfId="5618" xr:uid="{00000000-0005-0000-0000-00007E100000}"/>
    <cellStyle name="Comma 2 5 4 2 4 5" xfId="1709" xr:uid="{00000000-0005-0000-0000-00007F100000}"/>
    <cellStyle name="Comma 2 5 4 2 4 5 2" xfId="8856" xr:uid="{00000000-0005-0000-0000-000080100000}"/>
    <cellStyle name="Comma 2 5 4 2 4 6" xfId="8847" xr:uid="{00000000-0005-0000-0000-000081100000}"/>
    <cellStyle name="Comma 2 5 4 2 4 7" xfId="5614" xr:uid="{00000000-0005-0000-0000-000082100000}"/>
    <cellStyle name="Comma 2 5 4 2 5" xfId="1710" xr:uid="{00000000-0005-0000-0000-000083100000}"/>
    <cellStyle name="Comma 2 5 4 2 5 2" xfId="1711" xr:uid="{00000000-0005-0000-0000-000084100000}"/>
    <cellStyle name="Comma 2 5 4 2 5 2 2" xfId="1712" xr:uid="{00000000-0005-0000-0000-000085100000}"/>
    <cellStyle name="Comma 2 5 4 2 5 2 2 2" xfId="1713" xr:uid="{00000000-0005-0000-0000-000086100000}"/>
    <cellStyle name="Comma 2 5 4 2 5 2 2 2 2" xfId="8860" xr:uid="{00000000-0005-0000-0000-000087100000}"/>
    <cellStyle name="Comma 2 5 4 2 5 2 2 3" xfId="8859" xr:uid="{00000000-0005-0000-0000-000088100000}"/>
    <cellStyle name="Comma 2 5 4 2 5 2 2 4" xfId="5621" xr:uid="{00000000-0005-0000-0000-000089100000}"/>
    <cellStyle name="Comma 2 5 4 2 5 2 3" xfId="1714" xr:uid="{00000000-0005-0000-0000-00008A100000}"/>
    <cellStyle name="Comma 2 5 4 2 5 2 3 2" xfId="8861" xr:uid="{00000000-0005-0000-0000-00008B100000}"/>
    <cellStyle name="Comma 2 5 4 2 5 2 4" xfId="8858" xr:uid="{00000000-0005-0000-0000-00008C100000}"/>
    <cellStyle name="Comma 2 5 4 2 5 2 5" xfId="5620" xr:uid="{00000000-0005-0000-0000-00008D100000}"/>
    <cellStyle name="Comma 2 5 4 2 5 3" xfId="1715" xr:uid="{00000000-0005-0000-0000-00008E100000}"/>
    <cellStyle name="Comma 2 5 4 2 5 3 2" xfId="1716" xr:uid="{00000000-0005-0000-0000-00008F100000}"/>
    <cellStyle name="Comma 2 5 4 2 5 3 2 2" xfId="8863" xr:uid="{00000000-0005-0000-0000-000090100000}"/>
    <cellStyle name="Comma 2 5 4 2 5 3 3" xfId="8862" xr:uid="{00000000-0005-0000-0000-000091100000}"/>
    <cellStyle name="Comma 2 5 4 2 5 3 4" xfId="5622" xr:uid="{00000000-0005-0000-0000-000092100000}"/>
    <cellStyle name="Comma 2 5 4 2 5 4" xfId="1717" xr:uid="{00000000-0005-0000-0000-000093100000}"/>
    <cellStyle name="Comma 2 5 4 2 5 4 2" xfId="1718" xr:uid="{00000000-0005-0000-0000-000094100000}"/>
    <cellStyle name="Comma 2 5 4 2 5 4 2 2" xfId="8865" xr:uid="{00000000-0005-0000-0000-000095100000}"/>
    <cellStyle name="Comma 2 5 4 2 5 4 3" xfId="8864" xr:uid="{00000000-0005-0000-0000-000096100000}"/>
    <cellStyle name="Comma 2 5 4 2 5 4 4" xfId="5623" xr:uid="{00000000-0005-0000-0000-000097100000}"/>
    <cellStyle name="Comma 2 5 4 2 5 5" xfId="1719" xr:uid="{00000000-0005-0000-0000-000098100000}"/>
    <cellStyle name="Comma 2 5 4 2 5 5 2" xfId="8866" xr:uid="{00000000-0005-0000-0000-000099100000}"/>
    <cellStyle name="Comma 2 5 4 2 5 6" xfId="8857" xr:uid="{00000000-0005-0000-0000-00009A100000}"/>
    <cellStyle name="Comma 2 5 4 2 5 7" xfId="5619" xr:uid="{00000000-0005-0000-0000-00009B100000}"/>
    <cellStyle name="Comma 2 5 4 2 6" xfId="1720" xr:uid="{00000000-0005-0000-0000-00009C100000}"/>
    <cellStyle name="Comma 2 5 4 2 6 2" xfId="1721" xr:uid="{00000000-0005-0000-0000-00009D100000}"/>
    <cellStyle name="Comma 2 5 4 2 6 2 2" xfId="1722" xr:uid="{00000000-0005-0000-0000-00009E100000}"/>
    <cellStyle name="Comma 2 5 4 2 6 2 2 2" xfId="8869" xr:uid="{00000000-0005-0000-0000-00009F100000}"/>
    <cellStyle name="Comma 2 5 4 2 6 2 3" xfId="8868" xr:uid="{00000000-0005-0000-0000-0000A0100000}"/>
    <cellStyle name="Comma 2 5 4 2 6 2 4" xfId="5625" xr:uid="{00000000-0005-0000-0000-0000A1100000}"/>
    <cellStyle name="Comma 2 5 4 2 6 3" xfId="1723" xr:uid="{00000000-0005-0000-0000-0000A2100000}"/>
    <cellStyle name="Comma 2 5 4 2 6 3 2" xfId="1724" xr:uid="{00000000-0005-0000-0000-0000A3100000}"/>
    <cellStyle name="Comma 2 5 4 2 6 3 2 2" xfId="8871" xr:uid="{00000000-0005-0000-0000-0000A4100000}"/>
    <cellStyle name="Comma 2 5 4 2 6 3 3" xfId="8870" xr:uid="{00000000-0005-0000-0000-0000A5100000}"/>
    <cellStyle name="Comma 2 5 4 2 6 3 4" xfId="5626" xr:uid="{00000000-0005-0000-0000-0000A6100000}"/>
    <cellStyle name="Comma 2 5 4 2 6 4" xfId="1725" xr:uid="{00000000-0005-0000-0000-0000A7100000}"/>
    <cellStyle name="Comma 2 5 4 2 6 4 2" xfId="8872" xr:uid="{00000000-0005-0000-0000-0000A8100000}"/>
    <cellStyle name="Comma 2 5 4 2 6 5" xfId="8867" xr:uid="{00000000-0005-0000-0000-0000A9100000}"/>
    <cellStyle name="Comma 2 5 4 2 6 6" xfId="5624" xr:uid="{00000000-0005-0000-0000-0000AA100000}"/>
    <cellStyle name="Comma 2 5 4 2 7" xfId="1726" xr:uid="{00000000-0005-0000-0000-0000AB100000}"/>
    <cellStyle name="Comma 2 5 4 2 7 2" xfId="1727" xr:uid="{00000000-0005-0000-0000-0000AC100000}"/>
    <cellStyle name="Comma 2 5 4 2 7 2 2" xfId="1728" xr:uid="{00000000-0005-0000-0000-0000AD100000}"/>
    <cellStyle name="Comma 2 5 4 2 7 2 2 2" xfId="8875" xr:uid="{00000000-0005-0000-0000-0000AE100000}"/>
    <cellStyle name="Comma 2 5 4 2 7 2 3" xfId="8874" xr:uid="{00000000-0005-0000-0000-0000AF100000}"/>
    <cellStyle name="Comma 2 5 4 2 7 2 4" xfId="5628" xr:uid="{00000000-0005-0000-0000-0000B0100000}"/>
    <cellStyle name="Comma 2 5 4 2 7 3" xfId="1729" xr:uid="{00000000-0005-0000-0000-0000B1100000}"/>
    <cellStyle name="Comma 2 5 4 2 7 3 2" xfId="8876" xr:uid="{00000000-0005-0000-0000-0000B2100000}"/>
    <cellStyle name="Comma 2 5 4 2 7 4" xfId="8873" xr:uid="{00000000-0005-0000-0000-0000B3100000}"/>
    <cellStyle name="Comma 2 5 4 2 7 5" xfId="5627" xr:uid="{00000000-0005-0000-0000-0000B4100000}"/>
    <cellStyle name="Comma 2 5 4 2 8" xfId="1730" xr:uid="{00000000-0005-0000-0000-0000B5100000}"/>
    <cellStyle name="Comma 2 5 4 2 8 2" xfId="1731" xr:uid="{00000000-0005-0000-0000-0000B6100000}"/>
    <cellStyle name="Comma 2 5 4 2 8 2 2" xfId="8878" xr:uid="{00000000-0005-0000-0000-0000B7100000}"/>
    <cellStyle name="Comma 2 5 4 2 8 3" xfId="8877" xr:uid="{00000000-0005-0000-0000-0000B8100000}"/>
    <cellStyle name="Comma 2 5 4 2 8 4" xfId="5629" xr:uid="{00000000-0005-0000-0000-0000B9100000}"/>
    <cellStyle name="Comma 2 5 4 2 9" xfId="1732" xr:uid="{00000000-0005-0000-0000-0000BA100000}"/>
    <cellStyle name="Comma 2 5 4 2 9 2" xfId="1733" xr:uid="{00000000-0005-0000-0000-0000BB100000}"/>
    <cellStyle name="Comma 2 5 4 2 9 2 2" xfId="8880" xr:uid="{00000000-0005-0000-0000-0000BC100000}"/>
    <cellStyle name="Comma 2 5 4 2 9 3" xfId="8879" xr:uid="{00000000-0005-0000-0000-0000BD100000}"/>
    <cellStyle name="Comma 2 5 4 2 9 4" xfId="5630" xr:uid="{00000000-0005-0000-0000-0000BE100000}"/>
    <cellStyle name="Comma 2 5 4 3" xfId="1734" xr:uid="{00000000-0005-0000-0000-0000BF100000}"/>
    <cellStyle name="Comma 2 5 4 3 2" xfId="1735" xr:uid="{00000000-0005-0000-0000-0000C0100000}"/>
    <cellStyle name="Comma 2 5 4 3 2 2" xfId="1736" xr:uid="{00000000-0005-0000-0000-0000C1100000}"/>
    <cellStyle name="Comma 2 5 4 3 2 2 2" xfId="1737" xr:uid="{00000000-0005-0000-0000-0000C2100000}"/>
    <cellStyle name="Comma 2 5 4 3 2 2 2 2" xfId="8884" xr:uid="{00000000-0005-0000-0000-0000C3100000}"/>
    <cellStyle name="Comma 2 5 4 3 2 2 3" xfId="8883" xr:uid="{00000000-0005-0000-0000-0000C4100000}"/>
    <cellStyle name="Comma 2 5 4 3 2 2 4" xfId="5633" xr:uid="{00000000-0005-0000-0000-0000C5100000}"/>
    <cellStyle name="Comma 2 5 4 3 2 3" xfId="1738" xr:uid="{00000000-0005-0000-0000-0000C6100000}"/>
    <cellStyle name="Comma 2 5 4 3 2 3 2" xfId="8885" xr:uid="{00000000-0005-0000-0000-0000C7100000}"/>
    <cellStyle name="Comma 2 5 4 3 2 4" xfId="8882" xr:uid="{00000000-0005-0000-0000-0000C8100000}"/>
    <cellStyle name="Comma 2 5 4 3 2 5" xfId="5632" xr:uid="{00000000-0005-0000-0000-0000C9100000}"/>
    <cellStyle name="Comma 2 5 4 3 3" xfId="1739" xr:uid="{00000000-0005-0000-0000-0000CA100000}"/>
    <cellStyle name="Comma 2 5 4 3 3 2" xfId="1740" xr:uid="{00000000-0005-0000-0000-0000CB100000}"/>
    <cellStyle name="Comma 2 5 4 3 3 2 2" xfId="8887" xr:uid="{00000000-0005-0000-0000-0000CC100000}"/>
    <cellStyle name="Comma 2 5 4 3 3 3" xfId="8886" xr:uid="{00000000-0005-0000-0000-0000CD100000}"/>
    <cellStyle name="Comma 2 5 4 3 3 4" xfId="5634" xr:uid="{00000000-0005-0000-0000-0000CE100000}"/>
    <cellStyle name="Comma 2 5 4 3 4" xfId="1741" xr:uid="{00000000-0005-0000-0000-0000CF100000}"/>
    <cellStyle name="Comma 2 5 4 3 4 2" xfId="1742" xr:uid="{00000000-0005-0000-0000-0000D0100000}"/>
    <cellStyle name="Comma 2 5 4 3 4 2 2" xfId="8889" xr:uid="{00000000-0005-0000-0000-0000D1100000}"/>
    <cellStyle name="Comma 2 5 4 3 4 3" xfId="8888" xr:uid="{00000000-0005-0000-0000-0000D2100000}"/>
    <cellStyle name="Comma 2 5 4 3 4 4" xfId="5635" xr:uid="{00000000-0005-0000-0000-0000D3100000}"/>
    <cellStyle name="Comma 2 5 4 3 5" xfId="1743" xr:uid="{00000000-0005-0000-0000-0000D4100000}"/>
    <cellStyle name="Comma 2 5 4 3 5 2" xfId="8890" xr:uid="{00000000-0005-0000-0000-0000D5100000}"/>
    <cellStyle name="Comma 2 5 4 3 6" xfId="8881" xr:uid="{00000000-0005-0000-0000-0000D6100000}"/>
    <cellStyle name="Comma 2 5 4 3 7" xfId="5631" xr:uid="{00000000-0005-0000-0000-0000D7100000}"/>
    <cellStyle name="Comma 2 5 4 4" xfId="1744" xr:uid="{00000000-0005-0000-0000-0000D8100000}"/>
    <cellStyle name="Comma 2 5 4 4 2" xfId="1745" xr:uid="{00000000-0005-0000-0000-0000D9100000}"/>
    <cellStyle name="Comma 2 5 4 4 2 2" xfId="1746" xr:uid="{00000000-0005-0000-0000-0000DA100000}"/>
    <cellStyle name="Comma 2 5 4 4 2 2 2" xfId="1747" xr:uid="{00000000-0005-0000-0000-0000DB100000}"/>
    <cellStyle name="Comma 2 5 4 4 2 2 2 2" xfId="8894" xr:uid="{00000000-0005-0000-0000-0000DC100000}"/>
    <cellStyle name="Comma 2 5 4 4 2 2 3" xfId="8893" xr:uid="{00000000-0005-0000-0000-0000DD100000}"/>
    <cellStyle name="Comma 2 5 4 4 2 2 4" xfId="5638" xr:uid="{00000000-0005-0000-0000-0000DE100000}"/>
    <cellStyle name="Comma 2 5 4 4 2 3" xfId="1748" xr:uid="{00000000-0005-0000-0000-0000DF100000}"/>
    <cellStyle name="Comma 2 5 4 4 2 3 2" xfId="8895" xr:uid="{00000000-0005-0000-0000-0000E0100000}"/>
    <cellStyle name="Comma 2 5 4 4 2 4" xfId="8892" xr:uid="{00000000-0005-0000-0000-0000E1100000}"/>
    <cellStyle name="Comma 2 5 4 4 2 5" xfId="5637" xr:uid="{00000000-0005-0000-0000-0000E2100000}"/>
    <cellStyle name="Comma 2 5 4 4 3" xfId="1749" xr:uid="{00000000-0005-0000-0000-0000E3100000}"/>
    <cellStyle name="Comma 2 5 4 4 3 2" xfId="1750" xr:uid="{00000000-0005-0000-0000-0000E4100000}"/>
    <cellStyle name="Comma 2 5 4 4 3 2 2" xfId="8897" xr:uid="{00000000-0005-0000-0000-0000E5100000}"/>
    <cellStyle name="Comma 2 5 4 4 3 3" xfId="8896" xr:uid="{00000000-0005-0000-0000-0000E6100000}"/>
    <cellStyle name="Comma 2 5 4 4 3 4" xfId="5639" xr:uid="{00000000-0005-0000-0000-0000E7100000}"/>
    <cellStyle name="Comma 2 5 4 4 4" xfId="1751" xr:uid="{00000000-0005-0000-0000-0000E8100000}"/>
    <cellStyle name="Comma 2 5 4 4 4 2" xfId="1752" xr:uid="{00000000-0005-0000-0000-0000E9100000}"/>
    <cellStyle name="Comma 2 5 4 4 4 2 2" xfId="8899" xr:uid="{00000000-0005-0000-0000-0000EA100000}"/>
    <cellStyle name="Comma 2 5 4 4 4 3" xfId="8898" xr:uid="{00000000-0005-0000-0000-0000EB100000}"/>
    <cellStyle name="Comma 2 5 4 4 4 4" xfId="5640" xr:uid="{00000000-0005-0000-0000-0000EC100000}"/>
    <cellStyle name="Comma 2 5 4 4 5" xfId="1753" xr:uid="{00000000-0005-0000-0000-0000ED100000}"/>
    <cellStyle name="Comma 2 5 4 4 5 2" xfId="8900" xr:uid="{00000000-0005-0000-0000-0000EE100000}"/>
    <cellStyle name="Comma 2 5 4 4 6" xfId="8891" xr:uid="{00000000-0005-0000-0000-0000EF100000}"/>
    <cellStyle name="Comma 2 5 4 4 7" xfId="5636" xr:uid="{00000000-0005-0000-0000-0000F0100000}"/>
    <cellStyle name="Comma 2 5 4 5" xfId="1754" xr:uid="{00000000-0005-0000-0000-0000F1100000}"/>
    <cellStyle name="Comma 2 5 4 5 2" xfId="1755" xr:uid="{00000000-0005-0000-0000-0000F2100000}"/>
    <cellStyle name="Comma 2 5 4 5 2 2" xfId="1756" xr:uid="{00000000-0005-0000-0000-0000F3100000}"/>
    <cellStyle name="Comma 2 5 4 5 2 2 2" xfId="1757" xr:uid="{00000000-0005-0000-0000-0000F4100000}"/>
    <cellStyle name="Comma 2 5 4 5 2 2 2 2" xfId="8904" xr:uid="{00000000-0005-0000-0000-0000F5100000}"/>
    <cellStyle name="Comma 2 5 4 5 2 2 3" xfId="8903" xr:uid="{00000000-0005-0000-0000-0000F6100000}"/>
    <cellStyle name="Comma 2 5 4 5 2 2 4" xfId="5643" xr:uid="{00000000-0005-0000-0000-0000F7100000}"/>
    <cellStyle name="Comma 2 5 4 5 2 3" xfId="1758" xr:uid="{00000000-0005-0000-0000-0000F8100000}"/>
    <cellStyle name="Comma 2 5 4 5 2 3 2" xfId="8905" xr:uid="{00000000-0005-0000-0000-0000F9100000}"/>
    <cellStyle name="Comma 2 5 4 5 2 4" xfId="8902" xr:uid="{00000000-0005-0000-0000-0000FA100000}"/>
    <cellStyle name="Comma 2 5 4 5 2 5" xfId="5642" xr:uid="{00000000-0005-0000-0000-0000FB100000}"/>
    <cellStyle name="Comma 2 5 4 5 3" xfId="1759" xr:uid="{00000000-0005-0000-0000-0000FC100000}"/>
    <cellStyle name="Comma 2 5 4 5 3 2" xfId="1760" xr:uid="{00000000-0005-0000-0000-0000FD100000}"/>
    <cellStyle name="Comma 2 5 4 5 3 2 2" xfId="8907" xr:uid="{00000000-0005-0000-0000-0000FE100000}"/>
    <cellStyle name="Comma 2 5 4 5 3 3" xfId="8906" xr:uid="{00000000-0005-0000-0000-0000FF100000}"/>
    <cellStyle name="Comma 2 5 4 5 3 4" xfId="5644" xr:uid="{00000000-0005-0000-0000-000000110000}"/>
    <cellStyle name="Comma 2 5 4 5 4" xfId="1761" xr:uid="{00000000-0005-0000-0000-000001110000}"/>
    <cellStyle name="Comma 2 5 4 5 4 2" xfId="1762" xr:uid="{00000000-0005-0000-0000-000002110000}"/>
    <cellStyle name="Comma 2 5 4 5 4 2 2" xfId="8909" xr:uid="{00000000-0005-0000-0000-000003110000}"/>
    <cellStyle name="Comma 2 5 4 5 4 3" xfId="8908" xr:uid="{00000000-0005-0000-0000-000004110000}"/>
    <cellStyle name="Comma 2 5 4 5 4 4" xfId="5645" xr:uid="{00000000-0005-0000-0000-000005110000}"/>
    <cellStyle name="Comma 2 5 4 5 5" xfId="1763" xr:uid="{00000000-0005-0000-0000-000006110000}"/>
    <cellStyle name="Comma 2 5 4 5 5 2" xfId="8910" xr:uid="{00000000-0005-0000-0000-000007110000}"/>
    <cellStyle name="Comma 2 5 4 5 6" xfId="8901" xr:uid="{00000000-0005-0000-0000-000008110000}"/>
    <cellStyle name="Comma 2 5 4 5 7" xfId="5641" xr:uid="{00000000-0005-0000-0000-000009110000}"/>
    <cellStyle name="Comma 2 5 4 6" xfId="1764" xr:uid="{00000000-0005-0000-0000-00000A110000}"/>
    <cellStyle name="Comma 2 5 4 6 2" xfId="1765" xr:uid="{00000000-0005-0000-0000-00000B110000}"/>
    <cellStyle name="Comma 2 5 4 6 2 2" xfId="1766" xr:uid="{00000000-0005-0000-0000-00000C110000}"/>
    <cellStyle name="Comma 2 5 4 6 2 2 2" xfId="1767" xr:uid="{00000000-0005-0000-0000-00000D110000}"/>
    <cellStyle name="Comma 2 5 4 6 2 2 2 2" xfId="8914" xr:uid="{00000000-0005-0000-0000-00000E110000}"/>
    <cellStyle name="Comma 2 5 4 6 2 2 3" xfId="8913" xr:uid="{00000000-0005-0000-0000-00000F110000}"/>
    <cellStyle name="Comma 2 5 4 6 2 2 4" xfId="5648" xr:uid="{00000000-0005-0000-0000-000010110000}"/>
    <cellStyle name="Comma 2 5 4 6 2 3" xfId="1768" xr:uid="{00000000-0005-0000-0000-000011110000}"/>
    <cellStyle name="Comma 2 5 4 6 2 3 2" xfId="8915" xr:uid="{00000000-0005-0000-0000-000012110000}"/>
    <cellStyle name="Comma 2 5 4 6 2 4" xfId="8912" xr:uid="{00000000-0005-0000-0000-000013110000}"/>
    <cellStyle name="Comma 2 5 4 6 2 5" xfId="5647" xr:uid="{00000000-0005-0000-0000-000014110000}"/>
    <cellStyle name="Comma 2 5 4 6 3" xfId="1769" xr:uid="{00000000-0005-0000-0000-000015110000}"/>
    <cellStyle name="Comma 2 5 4 6 3 2" xfId="1770" xr:uid="{00000000-0005-0000-0000-000016110000}"/>
    <cellStyle name="Comma 2 5 4 6 3 2 2" xfId="8917" xr:uid="{00000000-0005-0000-0000-000017110000}"/>
    <cellStyle name="Comma 2 5 4 6 3 3" xfId="8916" xr:uid="{00000000-0005-0000-0000-000018110000}"/>
    <cellStyle name="Comma 2 5 4 6 3 4" xfId="5649" xr:uid="{00000000-0005-0000-0000-000019110000}"/>
    <cellStyle name="Comma 2 5 4 6 4" xfId="1771" xr:uid="{00000000-0005-0000-0000-00001A110000}"/>
    <cellStyle name="Comma 2 5 4 6 4 2" xfId="1772" xr:uid="{00000000-0005-0000-0000-00001B110000}"/>
    <cellStyle name="Comma 2 5 4 6 4 2 2" xfId="8919" xr:uid="{00000000-0005-0000-0000-00001C110000}"/>
    <cellStyle name="Comma 2 5 4 6 4 3" xfId="8918" xr:uid="{00000000-0005-0000-0000-00001D110000}"/>
    <cellStyle name="Comma 2 5 4 6 4 4" xfId="5650" xr:uid="{00000000-0005-0000-0000-00001E110000}"/>
    <cellStyle name="Comma 2 5 4 6 5" xfId="1773" xr:uid="{00000000-0005-0000-0000-00001F110000}"/>
    <cellStyle name="Comma 2 5 4 6 5 2" xfId="8920" xr:uid="{00000000-0005-0000-0000-000020110000}"/>
    <cellStyle name="Comma 2 5 4 6 6" xfId="8911" xr:uid="{00000000-0005-0000-0000-000021110000}"/>
    <cellStyle name="Comma 2 5 4 6 7" xfId="5646" xr:uid="{00000000-0005-0000-0000-000022110000}"/>
    <cellStyle name="Comma 2 5 4 7" xfId="1774" xr:uid="{00000000-0005-0000-0000-000023110000}"/>
    <cellStyle name="Comma 2 5 4 7 2" xfId="1775" xr:uid="{00000000-0005-0000-0000-000024110000}"/>
    <cellStyle name="Comma 2 5 4 7 2 2" xfId="1776" xr:uid="{00000000-0005-0000-0000-000025110000}"/>
    <cellStyle name="Comma 2 5 4 7 2 2 2" xfId="8923" xr:uid="{00000000-0005-0000-0000-000026110000}"/>
    <cellStyle name="Comma 2 5 4 7 2 3" xfId="8922" xr:uid="{00000000-0005-0000-0000-000027110000}"/>
    <cellStyle name="Comma 2 5 4 7 2 4" xfId="5652" xr:uid="{00000000-0005-0000-0000-000028110000}"/>
    <cellStyle name="Comma 2 5 4 7 3" xfId="1777" xr:uid="{00000000-0005-0000-0000-000029110000}"/>
    <cellStyle name="Comma 2 5 4 7 3 2" xfId="1778" xr:uid="{00000000-0005-0000-0000-00002A110000}"/>
    <cellStyle name="Comma 2 5 4 7 3 2 2" xfId="8925" xr:uid="{00000000-0005-0000-0000-00002B110000}"/>
    <cellStyle name="Comma 2 5 4 7 3 3" xfId="8924" xr:uid="{00000000-0005-0000-0000-00002C110000}"/>
    <cellStyle name="Comma 2 5 4 7 3 4" xfId="5653" xr:uid="{00000000-0005-0000-0000-00002D110000}"/>
    <cellStyle name="Comma 2 5 4 7 4" xfId="1779" xr:uid="{00000000-0005-0000-0000-00002E110000}"/>
    <cellStyle name="Comma 2 5 4 7 4 2" xfId="8926" xr:uid="{00000000-0005-0000-0000-00002F110000}"/>
    <cellStyle name="Comma 2 5 4 7 5" xfId="8921" xr:uid="{00000000-0005-0000-0000-000030110000}"/>
    <cellStyle name="Comma 2 5 4 7 6" xfId="5651" xr:uid="{00000000-0005-0000-0000-000031110000}"/>
    <cellStyle name="Comma 2 5 4 8" xfId="1780" xr:uid="{00000000-0005-0000-0000-000032110000}"/>
    <cellStyle name="Comma 2 5 4 8 2" xfId="1781" xr:uid="{00000000-0005-0000-0000-000033110000}"/>
    <cellStyle name="Comma 2 5 4 8 2 2" xfId="1782" xr:uid="{00000000-0005-0000-0000-000034110000}"/>
    <cellStyle name="Comma 2 5 4 8 2 2 2" xfId="8929" xr:uid="{00000000-0005-0000-0000-000035110000}"/>
    <cellStyle name="Comma 2 5 4 8 2 3" xfId="8928" xr:uid="{00000000-0005-0000-0000-000036110000}"/>
    <cellStyle name="Comma 2 5 4 8 2 4" xfId="5655" xr:uid="{00000000-0005-0000-0000-000037110000}"/>
    <cellStyle name="Comma 2 5 4 8 3" xfId="1783" xr:uid="{00000000-0005-0000-0000-000038110000}"/>
    <cellStyle name="Comma 2 5 4 8 3 2" xfId="8930" xr:uid="{00000000-0005-0000-0000-000039110000}"/>
    <cellStyle name="Comma 2 5 4 8 4" xfId="8927" xr:uid="{00000000-0005-0000-0000-00003A110000}"/>
    <cellStyle name="Comma 2 5 4 8 5" xfId="5654" xr:uid="{00000000-0005-0000-0000-00003B110000}"/>
    <cellStyle name="Comma 2 5 4 9" xfId="1784" xr:uid="{00000000-0005-0000-0000-00003C110000}"/>
    <cellStyle name="Comma 2 5 4 9 2" xfId="1785" xr:uid="{00000000-0005-0000-0000-00003D110000}"/>
    <cellStyle name="Comma 2 5 4 9 2 2" xfId="8932" xr:uid="{00000000-0005-0000-0000-00003E110000}"/>
    <cellStyle name="Comma 2 5 4 9 3" xfId="8931" xr:uid="{00000000-0005-0000-0000-00003F110000}"/>
    <cellStyle name="Comma 2 5 4 9 4" xfId="5656" xr:uid="{00000000-0005-0000-0000-000040110000}"/>
    <cellStyle name="Comma 2 5 5" xfId="1786" xr:uid="{00000000-0005-0000-0000-000041110000}"/>
    <cellStyle name="Comma 2 5 5 10" xfId="1787" xr:uid="{00000000-0005-0000-0000-000042110000}"/>
    <cellStyle name="Comma 2 5 5 10 2" xfId="8934" xr:uid="{00000000-0005-0000-0000-000043110000}"/>
    <cellStyle name="Comma 2 5 5 11" xfId="8933" xr:uid="{00000000-0005-0000-0000-000044110000}"/>
    <cellStyle name="Comma 2 5 5 12" xfId="5657" xr:uid="{00000000-0005-0000-0000-000045110000}"/>
    <cellStyle name="Comma 2 5 5 2" xfId="1788" xr:uid="{00000000-0005-0000-0000-000046110000}"/>
    <cellStyle name="Comma 2 5 5 2 2" xfId="1789" xr:uid="{00000000-0005-0000-0000-000047110000}"/>
    <cellStyle name="Comma 2 5 5 2 2 2" xfId="1790" xr:uid="{00000000-0005-0000-0000-000048110000}"/>
    <cellStyle name="Comma 2 5 5 2 2 2 2" xfId="1791" xr:uid="{00000000-0005-0000-0000-000049110000}"/>
    <cellStyle name="Comma 2 5 5 2 2 2 2 2" xfId="8938" xr:uid="{00000000-0005-0000-0000-00004A110000}"/>
    <cellStyle name="Comma 2 5 5 2 2 2 3" xfId="8937" xr:uid="{00000000-0005-0000-0000-00004B110000}"/>
    <cellStyle name="Comma 2 5 5 2 2 2 4" xfId="5660" xr:uid="{00000000-0005-0000-0000-00004C110000}"/>
    <cellStyle name="Comma 2 5 5 2 2 3" xfId="1792" xr:uid="{00000000-0005-0000-0000-00004D110000}"/>
    <cellStyle name="Comma 2 5 5 2 2 3 2" xfId="8939" xr:uid="{00000000-0005-0000-0000-00004E110000}"/>
    <cellStyle name="Comma 2 5 5 2 2 4" xfId="8936" xr:uid="{00000000-0005-0000-0000-00004F110000}"/>
    <cellStyle name="Comma 2 5 5 2 2 5" xfId="5659" xr:uid="{00000000-0005-0000-0000-000050110000}"/>
    <cellStyle name="Comma 2 5 5 2 3" xfId="1793" xr:uid="{00000000-0005-0000-0000-000051110000}"/>
    <cellStyle name="Comma 2 5 5 2 3 2" xfId="1794" xr:uid="{00000000-0005-0000-0000-000052110000}"/>
    <cellStyle name="Comma 2 5 5 2 3 2 2" xfId="8941" xr:uid="{00000000-0005-0000-0000-000053110000}"/>
    <cellStyle name="Comma 2 5 5 2 3 3" xfId="8940" xr:uid="{00000000-0005-0000-0000-000054110000}"/>
    <cellStyle name="Comma 2 5 5 2 3 4" xfId="5661" xr:uid="{00000000-0005-0000-0000-000055110000}"/>
    <cellStyle name="Comma 2 5 5 2 4" xfId="1795" xr:uid="{00000000-0005-0000-0000-000056110000}"/>
    <cellStyle name="Comma 2 5 5 2 4 2" xfId="1796" xr:uid="{00000000-0005-0000-0000-000057110000}"/>
    <cellStyle name="Comma 2 5 5 2 4 2 2" xfId="8943" xr:uid="{00000000-0005-0000-0000-000058110000}"/>
    <cellStyle name="Comma 2 5 5 2 4 3" xfId="8942" xr:uid="{00000000-0005-0000-0000-000059110000}"/>
    <cellStyle name="Comma 2 5 5 2 4 4" xfId="5662" xr:uid="{00000000-0005-0000-0000-00005A110000}"/>
    <cellStyle name="Comma 2 5 5 2 5" xfId="1797" xr:uid="{00000000-0005-0000-0000-00005B110000}"/>
    <cellStyle name="Comma 2 5 5 2 5 2" xfId="8944" xr:uid="{00000000-0005-0000-0000-00005C110000}"/>
    <cellStyle name="Comma 2 5 5 2 6" xfId="8935" xr:uid="{00000000-0005-0000-0000-00005D110000}"/>
    <cellStyle name="Comma 2 5 5 2 7" xfId="5658" xr:uid="{00000000-0005-0000-0000-00005E110000}"/>
    <cellStyle name="Comma 2 5 5 3" xfId="1798" xr:uid="{00000000-0005-0000-0000-00005F110000}"/>
    <cellStyle name="Comma 2 5 5 3 2" xfId="1799" xr:uid="{00000000-0005-0000-0000-000060110000}"/>
    <cellStyle name="Comma 2 5 5 3 2 2" xfId="1800" xr:uid="{00000000-0005-0000-0000-000061110000}"/>
    <cellStyle name="Comma 2 5 5 3 2 2 2" xfId="1801" xr:uid="{00000000-0005-0000-0000-000062110000}"/>
    <cellStyle name="Comma 2 5 5 3 2 2 2 2" xfId="8948" xr:uid="{00000000-0005-0000-0000-000063110000}"/>
    <cellStyle name="Comma 2 5 5 3 2 2 3" xfId="8947" xr:uid="{00000000-0005-0000-0000-000064110000}"/>
    <cellStyle name="Comma 2 5 5 3 2 2 4" xfId="5665" xr:uid="{00000000-0005-0000-0000-000065110000}"/>
    <cellStyle name="Comma 2 5 5 3 2 3" xfId="1802" xr:uid="{00000000-0005-0000-0000-000066110000}"/>
    <cellStyle name="Comma 2 5 5 3 2 3 2" xfId="8949" xr:uid="{00000000-0005-0000-0000-000067110000}"/>
    <cellStyle name="Comma 2 5 5 3 2 4" xfId="8946" xr:uid="{00000000-0005-0000-0000-000068110000}"/>
    <cellStyle name="Comma 2 5 5 3 2 5" xfId="5664" xr:uid="{00000000-0005-0000-0000-000069110000}"/>
    <cellStyle name="Comma 2 5 5 3 3" xfId="1803" xr:uid="{00000000-0005-0000-0000-00006A110000}"/>
    <cellStyle name="Comma 2 5 5 3 3 2" xfId="1804" xr:uid="{00000000-0005-0000-0000-00006B110000}"/>
    <cellStyle name="Comma 2 5 5 3 3 2 2" xfId="8951" xr:uid="{00000000-0005-0000-0000-00006C110000}"/>
    <cellStyle name="Comma 2 5 5 3 3 3" xfId="8950" xr:uid="{00000000-0005-0000-0000-00006D110000}"/>
    <cellStyle name="Comma 2 5 5 3 3 4" xfId="5666" xr:uid="{00000000-0005-0000-0000-00006E110000}"/>
    <cellStyle name="Comma 2 5 5 3 4" xfId="1805" xr:uid="{00000000-0005-0000-0000-00006F110000}"/>
    <cellStyle name="Comma 2 5 5 3 4 2" xfId="1806" xr:uid="{00000000-0005-0000-0000-000070110000}"/>
    <cellStyle name="Comma 2 5 5 3 4 2 2" xfId="8953" xr:uid="{00000000-0005-0000-0000-000071110000}"/>
    <cellStyle name="Comma 2 5 5 3 4 3" xfId="8952" xr:uid="{00000000-0005-0000-0000-000072110000}"/>
    <cellStyle name="Comma 2 5 5 3 4 4" xfId="5667" xr:uid="{00000000-0005-0000-0000-000073110000}"/>
    <cellStyle name="Comma 2 5 5 3 5" xfId="1807" xr:uid="{00000000-0005-0000-0000-000074110000}"/>
    <cellStyle name="Comma 2 5 5 3 5 2" xfId="8954" xr:uid="{00000000-0005-0000-0000-000075110000}"/>
    <cellStyle name="Comma 2 5 5 3 6" xfId="8945" xr:uid="{00000000-0005-0000-0000-000076110000}"/>
    <cellStyle name="Comma 2 5 5 3 7" xfId="5663" xr:uid="{00000000-0005-0000-0000-000077110000}"/>
    <cellStyle name="Comma 2 5 5 4" xfId="1808" xr:uid="{00000000-0005-0000-0000-000078110000}"/>
    <cellStyle name="Comma 2 5 5 4 2" xfId="1809" xr:uid="{00000000-0005-0000-0000-000079110000}"/>
    <cellStyle name="Comma 2 5 5 4 2 2" xfId="1810" xr:uid="{00000000-0005-0000-0000-00007A110000}"/>
    <cellStyle name="Comma 2 5 5 4 2 2 2" xfId="1811" xr:uid="{00000000-0005-0000-0000-00007B110000}"/>
    <cellStyle name="Comma 2 5 5 4 2 2 2 2" xfId="8958" xr:uid="{00000000-0005-0000-0000-00007C110000}"/>
    <cellStyle name="Comma 2 5 5 4 2 2 3" xfId="8957" xr:uid="{00000000-0005-0000-0000-00007D110000}"/>
    <cellStyle name="Comma 2 5 5 4 2 2 4" xfId="5670" xr:uid="{00000000-0005-0000-0000-00007E110000}"/>
    <cellStyle name="Comma 2 5 5 4 2 3" xfId="1812" xr:uid="{00000000-0005-0000-0000-00007F110000}"/>
    <cellStyle name="Comma 2 5 5 4 2 3 2" xfId="8959" xr:uid="{00000000-0005-0000-0000-000080110000}"/>
    <cellStyle name="Comma 2 5 5 4 2 4" xfId="8956" xr:uid="{00000000-0005-0000-0000-000081110000}"/>
    <cellStyle name="Comma 2 5 5 4 2 5" xfId="5669" xr:uid="{00000000-0005-0000-0000-000082110000}"/>
    <cellStyle name="Comma 2 5 5 4 3" xfId="1813" xr:uid="{00000000-0005-0000-0000-000083110000}"/>
    <cellStyle name="Comma 2 5 5 4 3 2" xfId="1814" xr:uid="{00000000-0005-0000-0000-000084110000}"/>
    <cellStyle name="Comma 2 5 5 4 3 2 2" xfId="8961" xr:uid="{00000000-0005-0000-0000-000085110000}"/>
    <cellStyle name="Comma 2 5 5 4 3 3" xfId="8960" xr:uid="{00000000-0005-0000-0000-000086110000}"/>
    <cellStyle name="Comma 2 5 5 4 3 4" xfId="5671" xr:uid="{00000000-0005-0000-0000-000087110000}"/>
    <cellStyle name="Comma 2 5 5 4 4" xfId="1815" xr:uid="{00000000-0005-0000-0000-000088110000}"/>
    <cellStyle name="Comma 2 5 5 4 4 2" xfId="1816" xr:uid="{00000000-0005-0000-0000-000089110000}"/>
    <cellStyle name="Comma 2 5 5 4 4 2 2" xfId="8963" xr:uid="{00000000-0005-0000-0000-00008A110000}"/>
    <cellStyle name="Comma 2 5 5 4 4 3" xfId="8962" xr:uid="{00000000-0005-0000-0000-00008B110000}"/>
    <cellStyle name="Comma 2 5 5 4 4 4" xfId="5672" xr:uid="{00000000-0005-0000-0000-00008C110000}"/>
    <cellStyle name="Comma 2 5 5 4 5" xfId="1817" xr:uid="{00000000-0005-0000-0000-00008D110000}"/>
    <cellStyle name="Comma 2 5 5 4 5 2" xfId="8964" xr:uid="{00000000-0005-0000-0000-00008E110000}"/>
    <cellStyle name="Comma 2 5 5 4 6" xfId="8955" xr:uid="{00000000-0005-0000-0000-00008F110000}"/>
    <cellStyle name="Comma 2 5 5 4 7" xfId="5668" xr:uid="{00000000-0005-0000-0000-000090110000}"/>
    <cellStyle name="Comma 2 5 5 5" xfId="1818" xr:uid="{00000000-0005-0000-0000-000091110000}"/>
    <cellStyle name="Comma 2 5 5 5 2" xfId="1819" xr:uid="{00000000-0005-0000-0000-000092110000}"/>
    <cellStyle name="Comma 2 5 5 5 2 2" xfId="1820" xr:uid="{00000000-0005-0000-0000-000093110000}"/>
    <cellStyle name="Comma 2 5 5 5 2 2 2" xfId="1821" xr:uid="{00000000-0005-0000-0000-000094110000}"/>
    <cellStyle name="Comma 2 5 5 5 2 2 2 2" xfId="8968" xr:uid="{00000000-0005-0000-0000-000095110000}"/>
    <cellStyle name="Comma 2 5 5 5 2 2 3" xfId="8967" xr:uid="{00000000-0005-0000-0000-000096110000}"/>
    <cellStyle name="Comma 2 5 5 5 2 2 4" xfId="5675" xr:uid="{00000000-0005-0000-0000-000097110000}"/>
    <cellStyle name="Comma 2 5 5 5 2 3" xfId="1822" xr:uid="{00000000-0005-0000-0000-000098110000}"/>
    <cellStyle name="Comma 2 5 5 5 2 3 2" xfId="8969" xr:uid="{00000000-0005-0000-0000-000099110000}"/>
    <cellStyle name="Comma 2 5 5 5 2 4" xfId="8966" xr:uid="{00000000-0005-0000-0000-00009A110000}"/>
    <cellStyle name="Comma 2 5 5 5 2 5" xfId="5674" xr:uid="{00000000-0005-0000-0000-00009B110000}"/>
    <cellStyle name="Comma 2 5 5 5 3" xfId="1823" xr:uid="{00000000-0005-0000-0000-00009C110000}"/>
    <cellStyle name="Comma 2 5 5 5 3 2" xfId="1824" xr:uid="{00000000-0005-0000-0000-00009D110000}"/>
    <cellStyle name="Comma 2 5 5 5 3 2 2" xfId="8971" xr:uid="{00000000-0005-0000-0000-00009E110000}"/>
    <cellStyle name="Comma 2 5 5 5 3 3" xfId="8970" xr:uid="{00000000-0005-0000-0000-00009F110000}"/>
    <cellStyle name="Comma 2 5 5 5 3 4" xfId="5676" xr:uid="{00000000-0005-0000-0000-0000A0110000}"/>
    <cellStyle name="Comma 2 5 5 5 4" xfId="1825" xr:uid="{00000000-0005-0000-0000-0000A1110000}"/>
    <cellStyle name="Comma 2 5 5 5 4 2" xfId="1826" xr:uid="{00000000-0005-0000-0000-0000A2110000}"/>
    <cellStyle name="Comma 2 5 5 5 4 2 2" xfId="8973" xr:uid="{00000000-0005-0000-0000-0000A3110000}"/>
    <cellStyle name="Comma 2 5 5 5 4 3" xfId="8972" xr:uid="{00000000-0005-0000-0000-0000A4110000}"/>
    <cellStyle name="Comma 2 5 5 5 4 4" xfId="5677" xr:uid="{00000000-0005-0000-0000-0000A5110000}"/>
    <cellStyle name="Comma 2 5 5 5 5" xfId="1827" xr:uid="{00000000-0005-0000-0000-0000A6110000}"/>
    <cellStyle name="Comma 2 5 5 5 5 2" xfId="8974" xr:uid="{00000000-0005-0000-0000-0000A7110000}"/>
    <cellStyle name="Comma 2 5 5 5 6" xfId="8965" xr:uid="{00000000-0005-0000-0000-0000A8110000}"/>
    <cellStyle name="Comma 2 5 5 5 7" xfId="5673" xr:uid="{00000000-0005-0000-0000-0000A9110000}"/>
    <cellStyle name="Comma 2 5 5 6" xfId="1828" xr:uid="{00000000-0005-0000-0000-0000AA110000}"/>
    <cellStyle name="Comma 2 5 5 6 2" xfId="1829" xr:uid="{00000000-0005-0000-0000-0000AB110000}"/>
    <cellStyle name="Comma 2 5 5 6 2 2" xfId="1830" xr:uid="{00000000-0005-0000-0000-0000AC110000}"/>
    <cellStyle name="Comma 2 5 5 6 2 2 2" xfId="8977" xr:uid="{00000000-0005-0000-0000-0000AD110000}"/>
    <cellStyle name="Comma 2 5 5 6 2 3" xfId="8976" xr:uid="{00000000-0005-0000-0000-0000AE110000}"/>
    <cellStyle name="Comma 2 5 5 6 2 4" xfId="5679" xr:uid="{00000000-0005-0000-0000-0000AF110000}"/>
    <cellStyle name="Comma 2 5 5 6 3" xfId="1831" xr:uid="{00000000-0005-0000-0000-0000B0110000}"/>
    <cellStyle name="Comma 2 5 5 6 3 2" xfId="1832" xr:uid="{00000000-0005-0000-0000-0000B1110000}"/>
    <cellStyle name="Comma 2 5 5 6 3 2 2" xfId="8979" xr:uid="{00000000-0005-0000-0000-0000B2110000}"/>
    <cellStyle name="Comma 2 5 5 6 3 3" xfId="8978" xr:uid="{00000000-0005-0000-0000-0000B3110000}"/>
    <cellStyle name="Comma 2 5 5 6 3 4" xfId="5680" xr:uid="{00000000-0005-0000-0000-0000B4110000}"/>
    <cellStyle name="Comma 2 5 5 6 4" xfId="1833" xr:uid="{00000000-0005-0000-0000-0000B5110000}"/>
    <cellStyle name="Comma 2 5 5 6 4 2" xfId="8980" xr:uid="{00000000-0005-0000-0000-0000B6110000}"/>
    <cellStyle name="Comma 2 5 5 6 5" xfId="8975" xr:uid="{00000000-0005-0000-0000-0000B7110000}"/>
    <cellStyle name="Comma 2 5 5 6 6" xfId="5678" xr:uid="{00000000-0005-0000-0000-0000B8110000}"/>
    <cellStyle name="Comma 2 5 5 7" xfId="1834" xr:uid="{00000000-0005-0000-0000-0000B9110000}"/>
    <cellStyle name="Comma 2 5 5 7 2" xfId="1835" xr:uid="{00000000-0005-0000-0000-0000BA110000}"/>
    <cellStyle name="Comma 2 5 5 7 2 2" xfId="1836" xr:uid="{00000000-0005-0000-0000-0000BB110000}"/>
    <cellStyle name="Comma 2 5 5 7 2 2 2" xfId="8983" xr:uid="{00000000-0005-0000-0000-0000BC110000}"/>
    <cellStyle name="Comma 2 5 5 7 2 3" xfId="8982" xr:uid="{00000000-0005-0000-0000-0000BD110000}"/>
    <cellStyle name="Comma 2 5 5 7 2 4" xfId="5682" xr:uid="{00000000-0005-0000-0000-0000BE110000}"/>
    <cellStyle name="Comma 2 5 5 7 3" xfId="1837" xr:uid="{00000000-0005-0000-0000-0000BF110000}"/>
    <cellStyle name="Comma 2 5 5 7 3 2" xfId="8984" xr:uid="{00000000-0005-0000-0000-0000C0110000}"/>
    <cellStyle name="Comma 2 5 5 7 4" xfId="8981" xr:uid="{00000000-0005-0000-0000-0000C1110000}"/>
    <cellStyle name="Comma 2 5 5 7 5" xfId="5681" xr:uid="{00000000-0005-0000-0000-0000C2110000}"/>
    <cellStyle name="Comma 2 5 5 8" xfId="1838" xr:uid="{00000000-0005-0000-0000-0000C3110000}"/>
    <cellStyle name="Comma 2 5 5 8 2" xfId="1839" xr:uid="{00000000-0005-0000-0000-0000C4110000}"/>
    <cellStyle name="Comma 2 5 5 8 2 2" xfId="8986" xr:uid="{00000000-0005-0000-0000-0000C5110000}"/>
    <cellStyle name="Comma 2 5 5 8 3" xfId="8985" xr:uid="{00000000-0005-0000-0000-0000C6110000}"/>
    <cellStyle name="Comma 2 5 5 8 4" xfId="5683" xr:uid="{00000000-0005-0000-0000-0000C7110000}"/>
    <cellStyle name="Comma 2 5 5 9" xfId="1840" xr:uid="{00000000-0005-0000-0000-0000C8110000}"/>
    <cellStyle name="Comma 2 5 5 9 2" xfId="1841" xr:uid="{00000000-0005-0000-0000-0000C9110000}"/>
    <cellStyle name="Comma 2 5 5 9 2 2" xfId="8988" xr:uid="{00000000-0005-0000-0000-0000CA110000}"/>
    <cellStyle name="Comma 2 5 5 9 3" xfId="8987" xr:uid="{00000000-0005-0000-0000-0000CB110000}"/>
    <cellStyle name="Comma 2 5 5 9 4" xfId="5684" xr:uid="{00000000-0005-0000-0000-0000CC110000}"/>
    <cellStyle name="Comma 2 5 6" xfId="1842" xr:uid="{00000000-0005-0000-0000-0000CD110000}"/>
    <cellStyle name="Comma 2 5 6 2" xfId="1843" xr:uid="{00000000-0005-0000-0000-0000CE110000}"/>
    <cellStyle name="Comma 2 5 6 2 2" xfId="1844" xr:uid="{00000000-0005-0000-0000-0000CF110000}"/>
    <cellStyle name="Comma 2 5 6 2 2 2" xfId="1845" xr:uid="{00000000-0005-0000-0000-0000D0110000}"/>
    <cellStyle name="Comma 2 5 6 2 2 2 2" xfId="8992" xr:uid="{00000000-0005-0000-0000-0000D1110000}"/>
    <cellStyle name="Comma 2 5 6 2 2 3" xfId="8991" xr:uid="{00000000-0005-0000-0000-0000D2110000}"/>
    <cellStyle name="Comma 2 5 6 2 2 4" xfId="5687" xr:uid="{00000000-0005-0000-0000-0000D3110000}"/>
    <cellStyle name="Comma 2 5 6 2 3" xfId="1846" xr:uid="{00000000-0005-0000-0000-0000D4110000}"/>
    <cellStyle name="Comma 2 5 6 2 3 2" xfId="8993" xr:uid="{00000000-0005-0000-0000-0000D5110000}"/>
    <cellStyle name="Comma 2 5 6 2 4" xfId="8990" xr:uid="{00000000-0005-0000-0000-0000D6110000}"/>
    <cellStyle name="Comma 2 5 6 2 5" xfId="5686" xr:uid="{00000000-0005-0000-0000-0000D7110000}"/>
    <cellStyle name="Comma 2 5 6 3" xfId="1847" xr:uid="{00000000-0005-0000-0000-0000D8110000}"/>
    <cellStyle name="Comma 2 5 6 3 2" xfId="1848" xr:uid="{00000000-0005-0000-0000-0000D9110000}"/>
    <cellStyle name="Comma 2 5 6 3 2 2" xfId="8995" xr:uid="{00000000-0005-0000-0000-0000DA110000}"/>
    <cellStyle name="Comma 2 5 6 3 3" xfId="8994" xr:uid="{00000000-0005-0000-0000-0000DB110000}"/>
    <cellStyle name="Comma 2 5 6 3 4" xfId="5688" xr:uid="{00000000-0005-0000-0000-0000DC110000}"/>
    <cellStyle name="Comma 2 5 6 4" xfId="1849" xr:uid="{00000000-0005-0000-0000-0000DD110000}"/>
    <cellStyle name="Comma 2 5 6 4 2" xfId="1850" xr:uid="{00000000-0005-0000-0000-0000DE110000}"/>
    <cellStyle name="Comma 2 5 6 4 2 2" xfId="8997" xr:uid="{00000000-0005-0000-0000-0000DF110000}"/>
    <cellStyle name="Comma 2 5 6 4 3" xfId="8996" xr:uid="{00000000-0005-0000-0000-0000E0110000}"/>
    <cellStyle name="Comma 2 5 6 4 4" xfId="5689" xr:uid="{00000000-0005-0000-0000-0000E1110000}"/>
    <cellStyle name="Comma 2 5 6 5" xfId="1851" xr:uid="{00000000-0005-0000-0000-0000E2110000}"/>
    <cellStyle name="Comma 2 5 6 5 2" xfId="8998" xr:uid="{00000000-0005-0000-0000-0000E3110000}"/>
    <cellStyle name="Comma 2 5 6 6" xfId="8989" xr:uid="{00000000-0005-0000-0000-0000E4110000}"/>
    <cellStyle name="Comma 2 5 6 7" xfId="5685" xr:uid="{00000000-0005-0000-0000-0000E5110000}"/>
    <cellStyle name="Comma 2 5 7" xfId="1852" xr:uid="{00000000-0005-0000-0000-0000E6110000}"/>
    <cellStyle name="Comma 2 5 7 2" xfId="1853" xr:uid="{00000000-0005-0000-0000-0000E7110000}"/>
    <cellStyle name="Comma 2 5 7 2 2" xfId="1854" xr:uid="{00000000-0005-0000-0000-0000E8110000}"/>
    <cellStyle name="Comma 2 5 7 2 2 2" xfId="1855" xr:uid="{00000000-0005-0000-0000-0000E9110000}"/>
    <cellStyle name="Comma 2 5 7 2 2 2 2" xfId="9002" xr:uid="{00000000-0005-0000-0000-0000EA110000}"/>
    <cellStyle name="Comma 2 5 7 2 2 3" xfId="9001" xr:uid="{00000000-0005-0000-0000-0000EB110000}"/>
    <cellStyle name="Comma 2 5 7 2 2 4" xfId="5692" xr:uid="{00000000-0005-0000-0000-0000EC110000}"/>
    <cellStyle name="Comma 2 5 7 2 3" xfId="1856" xr:uid="{00000000-0005-0000-0000-0000ED110000}"/>
    <cellStyle name="Comma 2 5 7 2 3 2" xfId="9003" xr:uid="{00000000-0005-0000-0000-0000EE110000}"/>
    <cellStyle name="Comma 2 5 7 2 4" xfId="9000" xr:uid="{00000000-0005-0000-0000-0000EF110000}"/>
    <cellStyle name="Comma 2 5 7 2 5" xfId="5691" xr:uid="{00000000-0005-0000-0000-0000F0110000}"/>
    <cellStyle name="Comma 2 5 7 3" xfId="1857" xr:uid="{00000000-0005-0000-0000-0000F1110000}"/>
    <cellStyle name="Comma 2 5 7 3 2" xfId="1858" xr:uid="{00000000-0005-0000-0000-0000F2110000}"/>
    <cellStyle name="Comma 2 5 7 3 2 2" xfId="9005" xr:uid="{00000000-0005-0000-0000-0000F3110000}"/>
    <cellStyle name="Comma 2 5 7 3 3" xfId="9004" xr:uid="{00000000-0005-0000-0000-0000F4110000}"/>
    <cellStyle name="Comma 2 5 7 3 4" xfId="5693" xr:uid="{00000000-0005-0000-0000-0000F5110000}"/>
    <cellStyle name="Comma 2 5 7 4" xfId="1859" xr:uid="{00000000-0005-0000-0000-0000F6110000}"/>
    <cellStyle name="Comma 2 5 7 4 2" xfId="1860" xr:uid="{00000000-0005-0000-0000-0000F7110000}"/>
    <cellStyle name="Comma 2 5 7 4 2 2" xfId="9007" xr:uid="{00000000-0005-0000-0000-0000F8110000}"/>
    <cellStyle name="Comma 2 5 7 4 3" xfId="9006" xr:uid="{00000000-0005-0000-0000-0000F9110000}"/>
    <cellStyle name="Comma 2 5 7 4 4" xfId="5694" xr:uid="{00000000-0005-0000-0000-0000FA110000}"/>
    <cellStyle name="Comma 2 5 7 5" xfId="1861" xr:uid="{00000000-0005-0000-0000-0000FB110000}"/>
    <cellStyle name="Comma 2 5 7 5 2" xfId="9008" xr:uid="{00000000-0005-0000-0000-0000FC110000}"/>
    <cellStyle name="Comma 2 5 7 6" xfId="8999" xr:uid="{00000000-0005-0000-0000-0000FD110000}"/>
    <cellStyle name="Comma 2 5 7 7" xfId="5690" xr:uid="{00000000-0005-0000-0000-0000FE110000}"/>
    <cellStyle name="Comma 2 5 8" xfId="1862" xr:uid="{00000000-0005-0000-0000-0000FF110000}"/>
    <cellStyle name="Comma 2 5 8 2" xfId="1863" xr:uid="{00000000-0005-0000-0000-000000120000}"/>
    <cellStyle name="Comma 2 5 8 2 2" xfId="1864" xr:uid="{00000000-0005-0000-0000-000001120000}"/>
    <cellStyle name="Comma 2 5 8 2 2 2" xfId="1865" xr:uid="{00000000-0005-0000-0000-000002120000}"/>
    <cellStyle name="Comma 2 5 8 2 2 2 2" xfId="9012" xr:uid="{00000000-0005-0000-0000-000003120000}"/>
    <cellStyle name="Comma 2 5 8 2 2 3" xfId="9011" xr:uid="{00000000-0005-0000-0000-000004120000}"/>
    <cellStyle name="Comma 2 5 8 2 2 4" xfId="5697" xr:uid="{00000000-0005-0000-0000-000005120000}"/>
    <cellStyle name="Comma 2 5 8 2 3" xfId="1866" xr:uid="{00000000-0005-0000-0000-000006120000}"/>
    <cellStyle name="Comma 2 5 8 2 3 2" xfId="9013" xr:uid="{00000000-0005-0000-0000-000007120000}"/>
    <cellStyle name="Comma 2 5 8 2 4" xfId="9010" xr:uid="{00000000-0005-0000-0000-000008120000}"/>
    <cellStyle name="Comma 2 5 8 2 5" xfId="5696" xr:uid="{00000000-0005-0000-0000-000009120000}"/>
    <cellStyle name="Comma 2 5 8 3" xfId="1867" xr:uid="{00000000-0005-0000-0000-00000A120000}"/>
    <cellStyle name="Comma 2 5 8 3 2" xfId="1868" xr:uid="{00000000-0005-0000-0000-00000B120000}"/>
    <cellStyle name="Comma 2 5 8 3 2 2" xfId="9015" xr:uid="{00000000-0005-0000-0000-00000C120000}"/>
    <cellStyle name="Comma 2 5 8 3 3" xfId="9014" xr:uid="{00000000-0005-0000-0000-00000D120000}"/>
    <cellStyle name="Comma 2 5 8 3 4" xfId="5698" xr:uid="{00000000-0005-0000-0000-00000E120000}"/>
    <cellStyle name="Comma 2 5 8 4" xfId="1869" xr:uid="{00000000-0005-0000-0000-00000F120000}"/>
    <cellStyle name="Comma 2 5 8 4 2" xfId="1870" xr:uid="{00000000-0005-0000-0000-000010120000}"/>
    <cellStyle name="Comma 2 5 8 4 2 2" xfId="9017" xr:uid="{00000000-0005-0000-0000-000011120000}"/>
    <cellStyle name="Comma 2 5 8 4 3" xfId="9016" xr:uid="{00000000-0005-0000-0000-000012120000}"/>
    <cellStyle name="Comma 2 5 8 4 4" xfId="5699" xr:uid="{00000000-0005-0000-0000-000013120000}"/>
    <cellStyle name="Comma 2 5 8 5" xfId="1871" xr:uid="{00000000-0005-0000-0000-000014120000}"/>
    <cellStyle name="Comma 2 5 8 5 2" xfId="9018" xr:uid="{00000000-0005-0000-0000-000015120000}"/>
    <cellStyle name="Comma 2 5 8 6" xfId="9009" xr:uid="{00000000-0005-0000-0000-000016120000}"/>
    <cellStyle name="Comma 2 5 8 7" xfId="5695" xr:uid="{00000000-0005-0000-0000-000017120000}"/>
    <cellStyle name="Comma 2 5 9" xfId="1872" xr:uid="{00000000-0005-0000-0000-000018120000}"/>
    <cellStyle name="Comma 2 5 9 2" xfId="1873" xr:uid="{00000000-0005-0000-0000-000019120000}"/>
    <cellStyle name="Comma 2 5 9 2 2" xfId="1874" xr:uid="{00000000-0005-0000-0000-00001A120000}"/>
    <cellStyle name="Comma 2 5 9 2 2 2" xfId="1875" xr:uid="{00000000-0005-0000-0000-00001B120000}"/>
    <cellStyle name="Comma 2 5 9 2 2 2 2" xfId="9022" xr:uid="{00000000-0005-0000-0000-00001C120000}"/>
    <cellStyle name="Comma 2 5 9 2 2 3" xfId="9021" xr:uid="{00000000-0005-0000-0000-00001D120000}"/>
    <cellStyle name="Comma 2 5 9 2 2 4" xfId="5702" xr:uid="{00000000-0005-0000-0000-00001E120000}"/>
    <cellStyle name="Comma 2 5 9 2 3" xfId="1876" xr:uid="{00000000-0005-0000-0000-00001F120000}"/>
    <cellStyle name="Comma 2 5 9 2 3 2" xfId="9023" xr:uid="{00000000-0005-0000-0000-000020120000}"/>
    <cellStyle name="Comma 2 5 9 2 4" xfId="9020" xr:uid="{00000000-0005-0000-0000-000021120000}"/>
    <cellStyle name="Comma 2 5 9 2 5" xfId="5701" xr:uid="{00000000-0005-0000-0000-000022120000}"/>
    <cellStyle name="Comma 2 5 9 3" xfId="1877" xr:uid="{00000000-0005-0000-0000-000023120000}"/>
    <cellStyle name="Comma 2 5 9 3 2" xfId="1878" xr:uid="{00000000-0005-0000-0000-000024120000}"/>
    <cellStyle name="Comma 2 5 9 3 2 2" xfId="9025" xr:uid="{00000000-0005-0000-0000-000025120000}"/>
    <cellStyle name="Comma 2 5 9 3 3" xfId="9024" xr:uid="{00000000-0005-0000-0000-000026120000}"/>
    <cellStyle name="Comma 2 5 9 3 4" xfId="5703" xr:uid="{00000000-0005-0000-0000-000027120000}"/>
    <cellStyle name="Comma 2 5 9 4" xfId="1879" xr:uid="{00000000-0005-0000-0000-000028120000}"/>
    <cellStyle name="Comma 2 5 9 4 2" xfId="1880" xr:uid="{00000000-0005-0000-0000-000029120000}"/>
    <cellStyle name="Comma 2 5 9 4 2 2" xfId="9027" xr:uid="{00000000-0005-0000-0000-00002A120000}"/>
    <cellStyle name="Comma 2 5 9 4 3" xfId="9026" xr:uid="{00000000-0005-0000-0000-00002B120000}"/>
    <cellStyle name="Comma 2 5 9 4 4" xfId="5704" xr:uid="{00000000-0005-0000-0000-00002C120000}"/>
    <cellStyle name="Comma 2 5 9 5" xfId="1881" xr:uid="{00000000-0005-0000-0000-00002D120000}"/>
    <cellStyle name="Comma 2 5 9 5 2" xfId="9028" xr:uid="{00000000-0005-0000-0000-00002E120000}"/>
    <cellStyle name="Comma 2 5 9 6" xfId="9019" xr:uid="{00000000-0005-0000-0000-00002F120000}"/>
    <cellStyle name="Comma 2 5 9 7" xfId="5700" xr:uid="{00000000-0005-0000-0000-000030120000}"/>
    <cellStyle name="Comma 2 6" xfId="1882" xr:uid="{00000000-0005-0000-0000-000031120000}"/>
    <cellStyle name="Comma 2 6 10" xfId="1883" xr:uid="{00000000-0005-0000-0000-000032120000}"/>
    <cellStyle name="Comma 2 6 10 2" xfId="1884" xr:uid="{00000000-0005-0000-0000-000033120000}"/>
    <cellStyle name="Comma 2 6 10 2 2" xfId="9031" xr:uid="{00000000-0005-0000-0000-000034120000}"/>
    <cellStyle name="Comma 2 6 10 3" xfId="9030" xr:uid="{00000000-0005-0000-0000-000035120000}"/>
    <cellStyle name="Comma 2 6 10 4" xfId="5706" xr:uid="{00000000-0005-0000-0000-000036120000}"/>
    <cellStyle name="Comma 2 6 11" xfId="1885" xr:uid="{00000000-0005-0000-0000-000037120000}"/>
    <cellStyle name="Comma 2 6 11 2" xfId="9032" xr:uid="{00000000-0005-0000-0000-000038120000}"/>
    <cellStyle name="Comma 2 6 12" xfId="9029" xr:uid="{00000000-0005-0000-0000-000039120000}"/>
    <cellStyle name="Comma 2 6 13" xfId="5705" xr:uid="{00000000-0005-0000-0000-00003A120000}"/>
    <cellStyle name="Comma 2 6 2" xfId="1886" xr:uid="{00000000-0005-0000-0000-00003B120000}"/>
    <cellStyle name="Comma 2 6 2 10" xfId="1887" xr:uid="{00000000-0005-0000-0000-00003C120000}"/>
    <cellStyle name="Comma 2 6 2 10 2" xfId="9034" xr:uid="{00000000-0005-0000-0000-00003D120000}"/>
    <cellStyle name="Comma 2 6 2 11" xfId="9033" xr:uid="{00000000-0005-0000-0000-00003E120000}"/>
    <cellStyle name="Comma 2 6 2 12" xfId="5707" xr:uid="{00000000-0005-0000-0000-00003F120000}"/>
    <cellStyle name="Comma 2 6 2 2" xfId="1888" xr:uid="{00000000-0005-0000-0000-000040120000}"/>
    <cellStyle name="Comma 2 6 2 2 2" xfId="1889" xr:uid="{00000000-0005-0000-0000-000041120000}"/>
    <cellStyle name="Comma 2 6 2 2 2 2" xfId="1890" xr:uid="{00000000-0005-0000-0000-000042120000}"/>
    <cellStyle name="Comma 2 6 2 2 2 2 2" xfId="1891" xr:uid="{00000000-0005-0000-0000-000043120000}"/>
    <cellStyle name="Comma 2 6 2 2 2 2 2 2" xfId="9038" xr:uid="{00000000-0005-0000-0000-000044120000}"/>
    <cellStyle name="Comma 2 6 2 2 2 2 3" xfId="9037" xr:uid="{00000000-0005-0000-0000-000045120000}"/>
    <cellStyle name="Comma 2 6 2 2 2 2 4" xfId="5710" xr:uid="{00000000-0005-0000-0000-000046120000}"/>
    <cellStyle name="Comma 2 6 2 2 2 3" xfId="1892" xr:uid="{00000000-0005-0000-0000-000047120000}"/>
    <cellStyle name="Comma 2 6 2 2 2 3 2" xfId="9039" xr:uid="{00000000-0005-0000-0000-000048120000}"/>
    <cellStyle name="Comma 2 6 2 2 2 4" xfId="9036" xr:uid="{00000000-0005-0000-0000-000049120000}"/>
    <cellStyle name="Comma 2 6 2 2 2 5" xfId="5709" xr:uid="{00000000-0005-0000-0000-00004A120000}"/>
    <cellStyle name="Comma 2 6 2 2 3" xfId="1893" xr:uid="{00000000-0005-0000-0000-00004B120000}"/>
    <cellStyle name="Comma 2 6 2 2 3 2" xfId="1894" xr:uid="{00000000-0005-0000-0000-00004C120000}"/>
    <cellStyle name="Comma 2 6 2 2 3 2 2" xfId="9041" xr:uid="{00000000-0005-0000-0000-00004D120000}"/>
    <cellStyle name="Comma 2 6 2 2 3 3" xfId="9040" xr:uid="{00000000-0005-0000-0000-00004E120000}"/>
    <cellStyle name="Comma 2 6 2 2 3 4" xfId="5711" xr:uid="{00000000-0005-0000-0000-00004F120000}"/>
    <cellStyle name="Comma 2 6 2 2 4" xfId="1895" xr:uid="{00000000-0005-0000-0000-000050120000}"/>
    <cellStyle name="Comma 2 6 2 2 4 2" xfId="1896" xr:uid="{00000000-0005-0000-0000-000051120000}"/>
    <cellStyle name="Comma 2 6 2 2 4 2 2" xfId="9043" xr:uid="{00000000-0005-0000-0000-000052120000}"/>
    <cellStyle name="Comma 2 6 2 2 4 3" xfId="9042" xr:uid="{00000000-0005-0000-0000-000053120000}"/>
    <cellStyle name="Comma 2 6 2 2 4 4" xfId="5712" xr:uid="{00000000-0005-0000-0000-000054120000}"/>
    <cellStyle name="Comma 2 6 2 2 5" xfId="1897" xr:uid="{00000000-0005-0000-0000-000055120000}"/>
    <cellStyle name="Comma 2 6 2 2 5 2" xfId="9044" xr:uid="{00000000-0005-0000-0000-000056120000}"/>
    <cellStyle name="Comma 2 6 2 2 6" xfId="9035" xr:uid="{00000000-0005-0000-0000-000057120000}"/>
    <cellStyle name="Comma 2 6 2 2 7" xfId="5708" xr:uid="{00000000-0005-0000-0000-000058120000}"/>
    <cellStyle name="Comma 2 6 2 3" xfId="1898" xr:uid="{00000000-0005-0000-0000-000059120000}"/>
    <cellStyle name="Comma 2 6 2 3 2" xfId="1899" xr:uid="{00000000-0005-0000-0000-00005A120000}"/>
    <cellStyle name="Comma 2 6 2 3 2 2" xfId="1900" xr:uid="{00000000-0005-0000-0000-00005B120000}"/>
    <cellStyle name="Comma 2 6 2 3 2 2 2" xfId="1901" xr:uid="{00000000-0005-0000-0000-00005C120000}"/>
    <cellStyle name="Comma 2 6 2 3 2 2 2 2" xfId="9048" xr:uid="{00000000-0005-0000-0000-00005D120000}"/>
    <cellStyle name="Comma 2 6 2 3 2 2 3" xfId="9047" xr:uid="{00000000-0005-0000-0000-00005E120000}"/>
    <cellStyle name="Comma 2 6 2 3 2 2 4" xfId="5715" xr:uid="{00000000-0005-0000-0000-00005F120000}"/>
    <cellStyle name="Comma 2 6 2 3 2 3" xfId="1902" xr:uid="{00000000-0005-0000-0000-000060120000}"/>
    <cellStyle name="Comma 2 6 2 3 2 3 2" xfId="9049" xr:uid="{00000000-0005-0000-0000-000061120000}"/>
    <cellStyle name="Comma 2 6 2 3 2 4" xfId="9046" xr:uid="{00000000-0005-0000-0000-000062120000}"/>
    <cellStyle name="Comma 2 6 2 3 2 5" xfId="5714" xr:uid="{00000000-0005-0000-0000-000063120000}"/>
    <cellStyle name="Comma 2 6 2 3 3" xfId="1903" xr:uid="{00000000-0005-0000-0000-000064120000}"/>
    <cellStyle name="Comma 2 6 2 3 3 2" xfId="1904" xr:uid="{00000000-0005-0000-0000-000065120000}"/>
    <cellStyle name="Comma 2 6 2 3 3 2 2" xfId="9051" xr:uid="{00000000-0005-0000-0000-000066120000}"/>
    <cellStyle name="Comma 2 6 2 3 3 3" xfId="9050" xr:uid="{00000000-0005-0000-0000-000067120000}"/>
    <cellStyle name="Comma 2 6 2 3 3 4" xfId="5716" xr:uid="{00000000-0005-0000-0000-000068120000}"/>
    <cellStyle name="Comma 2 6 2 3 4" xfId="1905" xr:uid="{00000000-0005-0000-0000-000069120000}"/>
    <cellStyle name="Comma 2 6 2 3 4 2" xfId="1906" xr:uid="{00000000-0005-0000-0000-00006A120000}"/>
    <cellStyle name="Comma 2 6 2 3 4 2 2" xfId="9053" xr:uid="{00000000-0005-0000-0000-00006B120000}"/>
    <cellStyle name="Comma 2 6 2 3 4 3" xfId="9052" xr:uid="{00000000-0005-0000-0000-00006C120000}"/>
    <cellStyle name="Comma 2 6 2 3 4 4" xfId="5717" xr:uid="{00000000-0005-0000-0000-00006D120000}"/>
    <cellStyle name="Comma 2 6 2 3 5" xfId="1907" xr:uid="{00000000-0005-0000-0000-00006E120000}"/>
    <cellStyle name="Comma 2 6 2 3 5 2" xfId="9054" xr:uid="{00000000-0005-0000-0000-00006F120000}"/>
    <cellStyle name="Comma 2 6 2 3 6" xfId="9045" xr:uid="{00000000-0005-0000-0000-000070120000}"/>
    <cellStyle name="Comma 2 6 2 3 7" xfId="5713" xr:uid="{00000000-0005-0000-0000-000071120000}"/>
    <cellStyle name="Comma 2 6 2 4" xfId="1908" xr:uid="{00000000-0005-0000-0000-000072120000}"/>
    <cellStyle name="Comma 2 6 2 4 2" xfId="1909" xr:uid="{00000000-0005-0000-0000-000073120000}"/>
    <cellStyle name="Comma 2 6 2 4 2 2" xfId="1910" xr:uid="{00000000-0005-0000-0000-000074120000}"/>
    <cellStyle name="Comma 2 6 2 4 2 2 2" xfId="1911" xr:uid="{00000000-0005-0000-0000-000075120000}"/>
    <cellStyle name="Comma 2 6 2 4 2 2 2 2" xfId="9058" xr:uid="{00000000-0005-0000-0000-000076120000}"/>
    <cellStyle name="Comma 2 6 2 4 2 2 3" xfId="9057" xr:uid="{00000000-0005-0000-0000-000077120000}"/>
    <cellStyle name="Comma 2 6 2 4 2 2 4" xfId="5720" xr:uid="{00000000-0005-0000-0000-000078120000}"/>
    <cellStyle name="Comma 2 6 2 4 2 3" xfId="1912" xr:uid="{00000000-0005-0000-0000-000079120000}"/>
    <cellStyle name="Comma 2 6 2 4 2 3 2" xfId="9059" xr:uid="{00000000-0005-0000-0000-00007A120000}"/>
    <cellStyle name="Comma 2 6 2 4 2 4" xfId="9056" xr:uid="{00000000-0005-0000-0000-00007B120000}"/>
    <cellStyle name="Comma 2 6 2 4 2 5" xfId="5719" xr:uid="{00000000-0005-0000-0000-00007C120000}"/>
    <cellStyle name="Comma 2 6 2 4 3" xfId="1913" xr:uid="{00000000-0005-0000-0000-00007D120000}"/>
    <cellStyle name="Comma 2 6 2 4 3 2" xfId="1914" xr:uid="{00000000-0005-0000-0000-00007E120000}"/>
    <cellStyle name="Comma 2 6 2 4 3 2 2" xfId="9061" xr:uid="{00000000-0005-0000-0000-00007F120000}"/>
    <cellStyle name="Comma 2 6 2 4 3 3" xfId="9060" xr:uid="{00000000-0005-0000-0000-000080120000}"/>
    <cellStyle name="Comma 2 6 2 4 3 4" xfId="5721" xr:uid="{00000000-0005-0000-0000-000081120000}"/>
    <cellStyle name="Comma 2 6 2 4 4" xfId="1915" xr:uid="{00000000-0005-0000-0000-000082120000}"/>
    <cellStyle name="Comma 2 6 2 4 4 2" xfId="1916" xr:uid="{00000000-0005-0000-0000-000083120000}"/>
    <cellStyle name="Comma 2 6 2 4 4 2 2" xfId="9063" xr:uid="{00000000-0005-0000-0000-000084120000}"/>
    <cellStyle name="Comma 2 6 2 4 4 3" xfId="9062" xr:uid="{00000000-0005-0000-0000-000085120000}"/>
    <cellStyle name="Comma 2 6 2 4 4 4" xfId="5722" xr:uid="{00000000-0005-0000-0000-000086120000}"/>
    <cellStyle name="Comma 2 6 2 4 5" xfId="1917" xr:uid="{00000000-0005-0000-0000-000087120000}"/>
    <cellStyle name="Comma 2 6 2 4 5 2" xfId="9064" xr:uid="{00000000-0005-0000-0000-000088120000}"/>
    <cellStyle name="Comma 2 6 2 4 6" xfId="9055" xr:uid="{00000000-0005-0000-0000-000089120000}"/>
    <cellStyle name="Comma 2 6 2 4 7" xfId="5718" xr:uid="{00000000-0005-0000-0000-00008A120000}"/>
    <cellStyle name="Comma 2 6 2 5" xfId="1918" xr:uid="{00000000-0005-0000-0000-00008B120000}"/>
    <cellStyle name="Comma 2 6 2 5 2" xfId="1919" xr:uid="{00000000-0005-0000-0000-00008C120000}"/>
    <cellStyle name="Comma 2 6 2 5 2 2" xfId="1920" xr:uid="{00000000-0005-0000-0000-00008D120000}"/>
    <cellStyle name="Comma 2 6 2 5 2 2 2" xfId="1921" xr:uid="{00000000-0005-0000-0000-00008E120000}"/>
    <cellStyle name="Comma 2 6 2 5 2 2 2 2" xfId="9068" xr:uid="{00000000-0005-0000-0000-00008F120000}"/>
    <cellStyle name="Comma 2 6 2 5 2 2 3" xfId="9067" xr:uid="{00000000-0005-0000-0000-000090120000}"/>
    <cellStyle name="Comma 2 6 2 5 2 2 4" xfId="5725" xr:uid="{00000000-0005-0000-0000-000091120000}"/>
    <cellStyle name="Comma 2 6 2 5 2 3" xfId="1922" xr:uid="{00000000-0005-0000-0000-000092120000}"/>
    <cellStyle name="Comma 2 6 2 5 2 3 2" xfId="9069" xr:uid="{00000000-0005-0000-0000-000093120000}"/>
    <cellStyle name="Comma 2 6 2 5 2 4" xfId="9066" xr:uid="{00000000-0005-0000-0000-000094120000}"/>
    <cellStyle name="Comma 2 6 2 5 2 5" xfId="5724" xr:uid="{00000000-0005-0000-0000-000095120000}"/>
    <cellStyle name="Comma 2 6 2 5 3" xfId="1923" xr:uid="{00000000-0005-0000-0000-000096120000}"/>
    <cellStyle name="Comma 2 6 2 5 3 2" xfId="1924" xr:uid="{00000000-0005-0000-0000-000097120000}"/>
    <cellStyle name="Comma 2 6 2 5 3 2 2" xfId="9071" xr:uid="{00000000-0005-0000-0000-000098120000}"/>
    <cellStyle name="Comma 2 6 2 5 3 3" xfId="9070" xr:uid="{00000000-0005-0000-0000-000099120000}"/>
    <cellStyle name="Comma 2 6 2 5 3 4" xfId="5726" xr:uid="{00000000-0005-0000-0000-00009A120000}"/>
    <cellStyle name="Comma 2 6 2 5 4" xfId="1925" xr:uid="{00000000-0005-0000-0000-00009B120000}"/>
    <cellStyle name="Comma 2 6 2 5 4 2" xfId="1926" xr:uid="{00000000-0005-0000-0000-00009C120000}"/>
    <cellStyle name="Comma 2 6 2 5 4 2 2" xfId="9073" xr:uid="{00000000-0005-0000-0000-00009D120000}"/>
    <cellStyle name="Comma 2 6 2 5 4 3" xfId="9072" xr:uid="{00000000-0005-0000-0000-00009E120000}"/>
    <cellStyle name="Comma 2 6 2 5 4 4" xfId="5727" xr:uid="{00000000-0005-0000-0000-00009F120000}"/>
    <cellStyle name="Comma 2 6 2 5 5" xfId="1927" xr:uid="{00000000-0005-0000-0000-0000A0120000}"/>
    <cellStyle name="Comma 2 6 2 5 5 2" xfId="9074" xr:uid="{00000000-0005-0000-0000-0000A1120000}"/>
    <cellStyle name="Comma 2 6 2 5 6" xfId="9065" xr:uid="{00000000-0005-0000-0000-0000A2120000}"/>
    <cellStyle name="Comma 2 6 2 5 7" xfId="5723" xr:uid="{00000000-0005-0000-0000-0000A3120000}"/>
    <cellStyle name="Comma 2 6 2 6" xfId="1928" xr:uid="{00000000-0005-0000-0000-0000A4120000}"/>
    <cellStyle name="Comma 2 6 2 6 2" xfId="1929" xr:uid="{00000000-0005-0000-0000-0000A5120000}"/>
    <cellStyle name="Comma 2 6 2 6 2 2" xfId="1930" xr:uid="{00000000-0005-0000-0000-0000A6120000}"/>
    <cellStyle name="Comma 2 6 2 6 2 2 2" xfId="9077" xr:uid="{00000000-0005-0000-0000-0000A7120000}"/>
    <cellStyle name="Comma 2 6 2 6 2 3" xfId="9076" xr:uid="{00000000-0005-0000-0000-0000A8120000}"/>
    <cellStyle name="Comma 2 6 2 6 2 4" xfId="5729" xr:uid="{00000000-0005-0000-0000-0000A9120000}"/>
    <cellStyle name="Comma 2 6 2 6 3" xfId="1931" xr:uid="{00000000-0005-0000-0000-0000AA120000}"/>
    <cellStyle name="Comma 2 6 2 6 3 2" xfId="1932" xr:uid="{00000000-0005-0000-0000-0000AB120000}"/>
    <cellStyle name="Comma 2 6 2 6 3 2 2" xfId="9079" xr:uid="{00000000-0005-0000-0000-0000AC120000}"/>
    <cellStyle name="Comma 2 6 2 6 3 3" xfId="9078" xr:uid="{00000000-0005-0000-0000-0000AD120000}"/>
    <cellStyle name="Comma 2 6 2 6 3 4" xfId="5730" xr:uid="{00000000-0005-0000-0000-0000AE120000}"/>
    <cellStyle name="Comma 2 6 2 6 4" xfId="1933" xr:uid="{00000000-0005-0000-0000-0000AF120000}"/>
    <cellStyle name="Comma 2 6 2 6 4 2" xfId="9080" xr:uid="{00000000-0005-0000-0000-0000B0120000}"/>
    <cellStyle name="Comma 2 6 2 6 5" xfId="9075" xr:uid="{00000000-0005-0000-0000-0000B1120000}"/>
    <cellStyle name="Comma 2 6 2 6 6" xfId="5728" xr:uid="{00000000-0005-0000-0000-0000B2120000}"/>
    <cellStyle name="Comma 2 6 2 7" xfId="1934" xr:uid="{00000000-0005-0000-0000-0000B3120000}"/>
    <cellStyle name="Comma 2 6 2 7 2" xfId="1935" xr:uid="{00000000-0005-0000-0000-0000B4120000}"/>
    <cellStyle name="Comma 2 6 2 7 2 2" xfId="1936" xr:uid="{00000000-0005-0000-0000-0000B5120000}"/>
    <cellStyle name="Comma 2 6 2 7 2 2 2" xfId="9083" xr:uid="{00000000-0005-0000-0000-0000B6120000}"/>
    <cellStyle name="Comma 2 6 2 7 2 3" xfId="9082" xr:uid="{00000000-0005-0000-0000-0000B7120000}"/>
    <cellStyle name="Comma 2 6 2 7 2 4" xfId="5732" xr:uid="{00000000-0005-0000-0000-0000B8120000}"/>
    <cellStyle name="Comma 2 6 2 7 3" xfId="1937" xr:uid="{00000000-0005-0000-0000-0000B9120000}"/>
    <cellStyle name="Comma 2 6 2 7 3 2" xfId="9084" xr:uid="{00000000-0005-0000-0000-0000BA120000}"/>
    <cellStyle name="Comma 2 6 2 7 4" xfId="9081" xr:uid="{00000000-0005-0000-0000-0000BB120000}"/>
    <cellStyle name="Comma 2 6 2 7 5" xfId="5731" xr:uid="{00000000-0005-0000-0000-0000BC120000}"/>
    <cellStyle name="Comma 2 6 2 8" xfId="1938" xr:uid="{00000000-0005-0000-0000-0000BD120000}"/>
    <cellStyle name="Comma 2 6 2 8 2" xfId="1939" xr:uid="{00000000-0005-0000-0000-0000BE120000}"/>
    <cellStyle name="Comma 2 6 2 8 2 2" xfId="9086" xr:uid="{00000000-0005-0000-0000-0000BF120000}"/>
    <cellStyle name="Comma 2 6 2 8 3" xfId="9085" xr:uid="{00000000-0005-0000-0000-0000C0120000}"/>
    <cellStyle name="Comma 2 6 2 8 4" xfId="5733" xr:uid="{00000000-0005-0000-0000-0000C1120000}"/>
    <cellStyle name="Comma 2 6 2 9" xfId="1940" xr:uid="{00000000-0005-0000-0000-0000C2120000}"/>
    <cellStyle name="Comma 2 6 2 9 2" xfId="1941" xr:uid="{00000000-0005-0000-0000-0000C3120000}"/>
    <cellStyle name="Comma 2 6 2 9 2 2" xfId="9088" xr:uid="{00000000-0005-0000-0000-0000C4120000}"/>
    <cellStyle name="Comma 2 6 2 9 3" xfId="9087" xr:uid="{00000000-0005-0000-0000-0000C5120000}"/>
    <cellStyle name="Comma 2 6 2 9 4" xfId="5734" xr:uid="{00000000-0005-0000-0000-0000C6120000}"/>
    <cellStyle name="Comma 2 6 3" xfId="1942" xr:uid="{00000000-0005-0000-0000-0000C7120000}"/>
    <cellStyle name="Comma 2 6 3 2" xfId="1943" xr:uid="{00000000-0005-0000-0000-0000C8120000}"/>
    <cellStyle name="Comma 2 6 3 2 2" xfId="1944" xr:uid="{00000000-0005-0000-0000-0000C9120000}"/>
    <cellStyle name="Comma 2 6 3 2 2 2" xfId="1945" xr:uid="{00000000-0005-0000-0000-0000CA120000}"/>
    <cellStyle name="Comma 2 6 3 2 2 2 2" xfId="9092" xr:uid="{00000000-0005-0000-0000-0000CB120000}"/>
    <cellStyle name="Comma 2 6 3 2 2 3" xfId="9091" xr:uid="{00000000-0005-0000-0000-0000CC120000}"/>
    <cellStyle name="Comma 2 6 3 2 2 4" xfId="5737" xr:uid="{00000000-0005-0000-0000-0000CD120000}"/>
    <cellStyle name="Comma 2 6 3 2 3" xfId="1946" xr:uid="{00000000-0005-0000-0000-0000CE120000}"/>
    <cellStyle name="Comma 2 6 3 2 3 2" xfId="9093" xr:uid="{00000000-0005-0000-0000-0000CF120000}"/>
    <cellStyle name="Comma 2 6 3 2 4" xfId="9090" xr:uid="{00000000-0005-0000-0000-0000D0120000}"/>
    <cellStyle name="Comma 2 6 3 2 5" xfId="5736" xr:uid="{00000000-0005-0000-0000-0000D1120000}"/>
    <cellStyle name="Comma 2 6 3 3" xfId="1947" xr:uid="{00000000-0005-0000-0000-0000D2120000}"/>
    <cellStyle name="Comma 2 6 3 3 2" xfId="1948" xr:uid="{00000000-0005-0000-0000-0000D3120000}"/>
    <cellStyle name="Comma 2 6 3 3 2 2" xfId="9095" xr:uid="{00000000-0005-0000-0000-0000D4120000}"/>
    <cellStyle name="Comma 2 6 3 3 3" xfId="9094" xr:uid="{00000000-0005-0000-0000-0000D5120000}"/>
    <cellStyle name="Comma 2 6 3 3 4" xfId="5738" xr:uid="{00000000-0005-0000-0000-0000D6120000}"/>
    <cellStyle name="Comma 2 6 3 4" xfId="1949" xr:uid="{00000000-0005-0000-0000-0000D7120000}"/>
    <cellStyle name="Comma 2 6 3 4 2" xfId="1950" xr:uid="{00000000-0005-0000-0000-0000D8120000}"/>
    <cellStyle name="Comma 2 6 3 4 2 2" xfId="9097" xr:uid="{00000000-0005-0000-0000-0000D9120000}"/>
    <cellStyle name="Comma 2 6 3 4 3" xfId="9096" xr:uid="{00000000-0005-0000-0000-0000DA120000}"/>
    <cellStyle name="Comma 2 6 3 4 4" xfId="5739" xr:uid="{00000000-0005-0000-0000-0000DB120000}"/>
    <cellStyle name="Comma 2 6 3 5" xfId="1951" xr:uid="{00000000-0005-0000-0000-0000DC120000}"/>
    <cellStyle name="Comma 2 6 3 5 2" xfId="9098" xr:uid="{00000000-0005-0000-0000-0000DD120000}"/>
    <cellStyle name="Comma 2 6 3 6" xfId="9089" xr:uid="{00000000-0005-0000-0000-0000DE120000}"/>
    <cellStyle name="Comma 2 6 3 7" xfId="5735" xr:uid="{00000000-0005-0000-0000-0000DF120000}"/>
    <cellStyle name="Comma 2 6 4" xfId="1952" xr:uid="{00000000-0005-0000-0000-0000E0120000}"/>
    <cellStyle name="Comma 2 6 4 2" xfId="1953" xr:uid="{00000000-0005-0000-0000-0000E1120000}"/>
    <cellStyle name="Comma 2 6 4 2 2" xfId="1954" xr:uid="{00000000-0005-0000-0000-0000E2120000}"/>
    <cellStyle name="Comma 2 6 4 2 2 2" xfId="1955" xr:uid="{00000000-0005-0000-0000-0000E3120000}"/>
    <cellStyle name="Comma 2 6 4 2 2 2 2" xfId="9102" xr:uid="{00000000-0005-0000-0000-0000E4120000}"/>
    <cellStyle name="Comma 2 6 4 2 2 3" xfId="9101" xr:uid="{00000000-0005-0000-0000-0000E5120000}"/>
    <cellStyle name="Comma 2 6 4 2 2 4" xfId="5742" xr:uid="{00000000-0005-0000-0000-0000E6120000}"/>
    <cellStyle name="Comma 2 6 4 2 3" xfId="1956" xr:uid="{00000000-0005-0000-0000-0000E7120000}"/>
    <cellStyle name="Comma 2 6 4 2 3 2" xfId="9103" xr:uid="{00000000-0005-0000-0000-0000E8120000}"/>
    <cellStyle name="Comma 2 6 4 2 4" xfId="9100" xr:uid="{00000000-0005-0000-0000-0000E9120000}"/>
    <cellStyle name="Comma 2 6 4 2 5" xfId="5741" xr:uid="{00000000-0005-0000-0000-0000EA120000}"/>
    <cellStyle name="Comma 2 6 4 3" xfId="1957" xr:uid="{00000000-0005-0000-0000-0000EB120000}"/>
    <cellStyle name="Comma 2 6 4 3 2" xfId="1958" xr:uid="{00000000-0005-0000-0000-0000EC120000}"/>
    <cellStyle name="Comma 2 6 4 3 2 2" xfId="9105" xr:uid="{00000000-0005-0000-0000-0000ED120000}"/>
    <cellStyle name="Comma 2 6 4 3 3" xfId="9104" xr:uid="{00000000-0005-0000-0000-0000EE120000}"/>
    <cellStyle name="Comma 2 6 4 3 4" xfId="5743" xr:uid="{00000000-0005-0000-0000-0000EF120000}"/>
    <cellStyle name="Comma 2 6 4 4" xfId="1959" xr:uid="{00000000-0005-0000-0000-0000F0120000}"/>
    <cellStyle name="Comma 2 6 4 4 2" xfId="1960" xr:uid="{00000000-0005-0000-0000-0000F1120000}"/>
    <cellStyle name="Comma 2 6 4 4 2 2" xfId="9107" xr:uid="{00000000-0005-0000-0000-0000F2120000}"/>
    <cellStyle name="Comma 2 6 4 4 3" xfId="9106" xr:uid="{00000000-0005-0000-0000-0000F3120000}"/>
    <cellStyle name="Comma 2 6 4 4 4" xfId="5744" xr:uid="{00000000-0005-0000-0000-0000F4120000}"/>
    <cellStyle name="Comma 2 6 4 5" xfId="1961" xr:uid="{00000000-0005-0000-0000-0000F5120000}"/>
    <cellStyle name="Comma 2 6 4 5 2" xfId="9108" xr:uid="{00000000-0005-0000-0000-0000F6120000}"/>
    <cellStyle name="Comma 2 6 4 6" xfId="9099" xr:uid="{00000000-0005-0000-0000-0000F7120000}"/>
    <cellStyle name="Comma 2 6 4 7" xfId="5740" xr:uid="{00000000-0005-0000-0000-0000F8120000}"/>
    <cellStyle name="Comma 2 6 5" xfId="1962" xr:uid="{00000000-0005-0000-0000-0000F9120000}"/>
    <cellStyle name="Comma 2 6 5 2" xfId="1963" xr:uid="{00000000-0005-0000-0000-0000FA120000}"/>
    <cellStyle name="Comma 2 6 5 2 2" xfId="1964" xr:uid="{00000000-0005-0000-0000-0000FB120000}"/>
    <cellStyle name="Comma 2 6 5 2 2 2" xfId="1965" xr:uid="{00000000-0005-0000-0000-0000FC120000}"/>
    <cellStyle name="Comma 2 6 5 2 2 2 2" xfId="9112" xr:uid="{00000000-0005-0000-0000-0000FD120000}"/>
    <cellStyle name="Comma 2 6 5 2 2 3" xfId="9111" xr:uid="{00000000-0005-0000-0000-0000FE120000}"/>
    <cellStyle name="Comma 2 6 5 2 2 4" xfId="5747" xr:uid="{00000000-0005-0000-0000-0000FF120000}"/>
    <cellStyle name="Comma 2 6 5 2 3" xfId="1966" xr:uid="{00000000-0005-0000-0000-000000130000}"/>
    <cellStyle name="Comma 2 6 5 2 3 2" xfId="9113" xr:uid="{00000000-0005-0000-0000-000001130000}"/>
    <cellStyle name="Comma 2 6 5 2 4" xfId="9110" xr:uid="{00000000-0005-0000-0000-000002130000}"/>
    <cellStyle name="Comma 2 6 5 2 5" xfId="5746" xr:uid="{00000000-0005-0000-0000-000003130000}"/>
    <cellStyle name="Comma 2 6 5 3" xfId="1967" xr:uid="{00000000-0005-0000-0000-000004130000}"/>
    <cellStyle name="Comma 2 6 5 3 2" xfId="1968" xr:uid="{00000000-0005-0000-0000-000005130000}"/>
    <cellStyle name="Comma 2 6 5 3 2 2" xfId="9115" xr:uid="{00000000-0005-0000-0000-000006130000}"/>
    <cellStyle name="Comma 2 6 5 3 3" xfId="9114" xr:uid="{00000000-0005-0000-0000-000007130000}"/>
    <cellStyle name="Comma 2 6 5 3 4" xfId="5748" xr:uid="{00000000-0005-0000-0000-000008130000}"/>
    <cellStyle name="Comma 2 6 5 4" xfId="1969" xr:uid="{00000000-0005-0000-0000-000009130000}"/>
    <cellStyle name="Comma 2 6 5 4 2" xfId="1970" xr:uid="{00000000-0005-0000-0000-00000A130000}"/>
    <cellStyle name="Comma 2 6 5 4 2 2" xfId="9117" xr:uid="{00000000-0005-0000-0000-00000B130000}"/>
    <cellStyle name="Comma 2 6 5 4 3" xfId="9116" xr:uid="{00000000-0005-0000-0000-00000C130000}"/>
    <cellStyle name="Comma 2 6 5 4 4" xfId="5749" xr:uid="{00000000-0005-0000-0000-00000D130000}"/>
    <cellStyle name="Comma 2 6 5 5" xfId="1971" xr:uid="{00000000-0005-0000-0000-00000E130000}"/>
    <cellStyle name="Comma 2 6 5 5 2" xfId="9118" xr:uid="{00000000-0005-0000-0000-00000F130000}"/>
    <cellStyle name="Comma 2 6 5 6" xfId="9109" xr:uid="{00000000-0005-0000-0000-000010130000}"/>
    <cellStyle name="Comma 2 6 5 7" xfId="5745" xr:uid="{00000000-0005-0000-0000-000011130000}"/>
    <cellStyle name="Comma 2 6 6" xfId="1972" xr:uid="{00000000-0005-0000-0000-000012130000}"/>
    <cellStyle name="Comma 2 6 6 2" xfId="1973" xr:uid="{00000000-0005-0000-0000-000013130000}"/>
    <cellStyle name="Comma 2 6 6 2 2" xfId="1974" xr:uid="{00000000-0005-0000-0000-000014130000}"/>
    <cellStyle name="Comma 2 6 6 2 2 2" xfId="1975" xr:uid="{00000000-0005-0000-0000-000015130000}"/>
    <cellStyle name="Comma 2 6 6 2 2 2 2" xfId="9122" xr:uid="{00000000-0005-0000-0000-000016130000}"/>
    <cellStyle name="Comma 2 6 6 2 2 3" xfId="9121" xr:uid="{00000000-0005-0000-0000-000017130000}"/>
    <cellStyle name="Comma 2 6 6 2 2 4" xfId="5752" xr:uid="{00000000-0005-0000-0000-000018130000}"/>
    <cellStyle name="Comma 2 6 6 2 3" xfId="1976" xr:uid="{00000000-0005-0000-0000-000019130000}"/>
    <cellStyle name="Comma 2 6 6 2 3 2" xfId="9123" xr:uid="{00000000-0005-0000-0000-00001A130000}"/>
    <cellStyle name="Comma 2 6 6 2 4" xfId="9120" xr:uid="{00000000-0005-0000-0000-00001B130000}"/>
    <cellStyle name="Comma 2 6 6 2 5" xfId="5751" xr:uid="{00000000-0005-0000-0000-00001C130000}"/>
    <cellStyle name="Comma 2 6 6 3" xfId="1977" xr:uid="{00000000-0005-0000-0000-00001D130000}"/>
    <cellStyle name="Comma 2 6 6 3 2" xfId="1978" xr:uid="{00000000-0005-0000-0000-00001E130000}"/>
    <cellStyle name="Comma 2 6 6 3 2 2" xfId="9125" xr:uid="{00000000-0005-0000-0000-00001F130000}"/>
    <cellStyle name="Comma 2 6 6 3 3" xfId="9124" xr:uid="{00000000-0005-0000-0000-000020130000}"/>
    <cellStyle name="Comma 2 6 6 3 4" xfId="5753" xr:uid="{00000000-0005-0000-0000-000021130000}"/>
    <cellStyle name="Comma 2 6 6 4" xfId="1979" xr:uid="{00000000-0005-0000-0000-000022130000}"/>
    <cellStyle name="Comma 2 6 6 4 2" xfId="1980" xr:uid="{00000000-0005-0000-0000-000023130000}"/>
    <cellStyle name="Comma 2 6 6 4 2 2" xfId="9127" xr:uid="{00000000-0005-0000-0000-000024130000}"/>
    <cellStyle name="Comma 2 6 6 4 3" xfId="9126" xr:uid="{00000000-0005-0000-0000-000025130000}"/>
    <cellStyle name="Comma 2 6 6 4 4" xfId="5754" xr:uid="{00000000-0005-0000-0000-000026130000}"/>
    <cellStyle name="Comma 2 6 6 5" xfId="1981" xr:uid="{00000000-0005-0000-0000-000027130000}"/>
    <cellStyle name="Comma 2 6 6 5 2" xfId="9128" xr:uid="{00000000-0005-0000-0000-000028130000}"/>
    <cellStyle name="Comma 2 6 6 6" xfId="9119" xr:uid="{00000000-0005-0000-0000-000029130000}"/>
    <cellStyle name="Comma 2 6 6 7" xfId="5750" xr:uid="{00000000-0005-0000-0000-00002A130000}"/>
    <cellStyle name="Comma 2 6 7" xfId="1982" xr:uid="{00000000-0005-0000-0000-00002B130000}"/>
    <cellStyle name="Comma 2 6 7 2" xfId="1983" xr:uid="{00000000-0005-0000-0000-00002C130000}"/>
    <cellStyle name="Comma 2 6 7 2 2" xfId="1984" xr:uid="{00000000-0005-0000-0000-00002D130000}"/>
    <cellStyle name="Comma 2 6 7 2 2 2" xfId="9131" xr:uid="{00000000-0005-0000-0000-00002E130000}"/>
    <cellStyle name="Comma 2 6 7 2 3" xfId="9130" xr:uid="{00000000-0005-0000-0000-00002F130000}"/>
    <cellStyle name="Comma 2 6 7 2 4" xfId="5756" xr:uid="{00000000-0005-0000-0000-000030130000}"/>
    <cellStyle name="Comma 2 6 7 3" xfId="1985" xr:uid="{00000000-0005-0000-0000-000031130000}"/>
    <cellStyle name="Comma 2 6 7 3 2" xfId="1986" xr:uid="{00000000-0005-0000-0000-000032130000}"/>
    <cellStyle name="Comma 2 6 7 3 2 2" xfId="9133" xr:uid="{00000000-0005-0000-0000-000033130000}"/>
    <cellStyle name="Comma 2 6 7 3 3" xfId="9132" xr:uid="{00000000-0005-0000-0000-000034130000}"/>
    <cellStyle name="Comma 2 6 7 3 4" xfId="5757" xr:uid="{00000000-0005-0000-0000-000035130000}"/>
    <cellStyle name="Comma 2 6 7 4" xfId="1987" xr:uid="{00000000-0005-0000-0000-000036130000}"/>
    <cellStyle name="Comma 2 6 7 4 2" xfId="9134" xr:uid="{00000000-0005-0000-0000-000037130000}"/>
    <cellStyle name="Comma 2 6 7 5" xfId="9129" xr:uid="{00000000-0005-0000-0000-000038130000}"/>
    <cellStyle name="Comma 2 6 7 6" xfId="5755" xr:uid="{00000000-0005-0000-0000-000039130000}"/>
    <cellStyle name="Comma 2 6 8" xfId="1988" xr:uid="{00000000-0005-0000-0000-00003A130000}"/>
    <cellStyle name="Comma 2 6 8 2" xfId="1989" xr:uid="{00000000-0005-0000-0000-00003B130000}"/>
    <cellStyle name="Comma 2 6 8 2 2" xfId="1990" xr:uid="{00000000-0005-0000-0000-00003C130000}"/>
    <cellStyle name="Comma 2 6 8 2 2 2" xfId="9137" xr:uid="{00000000-0005-0000-0000-00003D130000}"/>
    <cellStyle name="Comma 2 6 8 2 3" xfId="9136" xr:uid="{00000000-0005-0000-0000-00003E130000}"/>
    <cellStyle name="Comma 2 6 8 2 4" xfId="5759" xr:uid="{00000000-0005-0000-0000-00003F130000}"/>
    <cellStyle name="Comma 2 6 8 3" xfId="1991" xr:uid="{00000000-0005-0000-0000-000040130000}"/>
    <cellStyle name="Comma 2 6 8 3 2" xfId="9138" xr:uid="{00000000-0005-0000-0000-000041130000}"/>
    <cellStyle name="Comma 2 6 8 4" xfId="9135" xr:uid="{00000000-0005-0000-0000-000042130000}"/>
    <cellStyle name="Comma 2 6 8 5" xfId="5758" xr:uid="{00000000-0005-0000-0000-000043130000}"/>
    <cellStyle name="Comma 2 6 9" xfId="1992" xr:uid="{00000000-0005-0000-0000-000044130000}"/>
    <cellStyle name="Comma 2 6 9 2" xfId="1993" xr:uid="{00000000-0005-0000-0000-000045130000}"/>
    <cellStyle name="Comma 2 6 9 2 2" xfId="9140" xr:uid="{00000000-0005-0000-0000-000046130000}"/>
    <cellStyle name="Comma 2 6 9 3" xfId="9139" xr:uid="{00000000-0005-0000-0000-000047130000}"/>
    <cellStyle name="Comma 2 6 9 4" xfId="5760" xr:uid="{00000000-0005-0000-0000-000048130000}"/>
    <cellStyle name="Comma 2 7" xfId="1994" xr:uid="{00000000-0005-0000-0000-000049130000}"/>
    <cellStyle name="Comma 2 7 10" xfId="1995" xr:uid="{00000000-0005-0000-0000-00004A130000}"/>
    <cellStyle name="Comma 2 7 10 2" xfId="1996" xr:uid="{00000000-0005-0000-0000-00004B130000}"/>
    <cellStyle name="Comma 2 7 10 2 2" xfId="9143" xr:uid="{00000000-0005-0000-0000-00004C130000}"/>
    <cellStyle name="Comma 2 7 10 3" xfId="9142" xr:uid="{00000000-0005-0000-0000-00004D130000}"/>
    <cellStyle name="Comma 2 7 10 4" xfId="5762" xr:uid="{00000000-0005-0000-0000-00004E130000}"/>
    <cellStyle name="Comma 2 7 11" xfId="1997" xr:uid="{00000000-0005-0000-0000-00004F130000}"/>
    <cellStyle name="Comma 2 7 11 2" xfId="9144" xr:uid="{00000000-0005-0000-0000-000050130000}"/>
    <cellStyle name="Comma 2 7 12" xfId="9141" xr:uid="{00000000-0005-0000-0000-000051130000}"/>
    <cellStyle name="Comma 2 7 13" xfId="5761" xr:uid="{00000000-0005-0000-0000-000052130000}"/>
    <cellStyle name="Comma 2 7 2" xfId="1998" xr:uid="{00000000-0005-0000-0000-000053130000}"/>
    <cellStyle name="Comma 2 7 2 10" xfId="1999" xr:uid="{00000000-0005-0000-0000-000054130000}"/>
    <cellStyle name="Comma 2 7 2 10 2" xfId="9146" xr:uid="{00000000-0005-0000-0000-000055130000}"/>
    <cellStyle name="Comma 2 7 2 11" xfId="9145" xr:uid="{00000000-0005-0000-0000-000056130000}"/>
    <cellStyle name="Comma 2 7 2 12" xfId="5763" xr:uid="{00000000-0005-0000-0000-000057130000}"/>
    <cellStyle name="Comma 2 7 2 2" xfId="2000" xr:uid="{00000000-0005-0000-0000-000058130000}"/>
    <cellStyle name="Comma 2 7 2 2 2" xfId="2001" xr:uid="{00000000-0005-0000-0000-000059130000}"/>
    <cellStyle name="Comma 2 7 2 2 2 2" xfId="2002" xr:uid="{00000000-0005-0000-0000-00005A130000}"/>
    <cellStyle name="Comma 2 7 2 2 2 2 2" xfId="2003" xr:uid="{00000000-0005-0000-0000-00005B130000}"/>
    <cellStyle name="Comma 2 7 2 2 2 2 2 2" xfId="9150" xr:uid="{00000000-0005-0000-0000-00005C130000}"/>
    <cellStyle name="Comma 2 7 2 2 2 2 3" xfId="9149" xr:uid="{00000000-0005-0000-0000-00005D130000}"/>
    <cellStyle name="Comma 2 7 2 2 2 2 4" xfId="5766" xr:uid="{00000000-0005-0000-0000-00005E130000}"/>
    <cellStyle name="Comma 2 7 2 2 2 3" xfId="2004" xr:uid="{00000000-0005-0000-0000-00005F130000}"/>
    <cellStyle name="Comma 2 7 2 2 2 3 2" xfId="9151" xr:uid="{00000000-0005-0000-0000-000060130000}"/>
    <cellStyle name="Comma 2 7 2 2 2 4" xfId="9148" xr:uid="{00000000-0005-0000-0000-000061130000}"/>
    <cellStyle name="Comma 2 7 2 2 2 5" xfId="5765" xr:uid="{00000000-0005-0000-0000-000062130000}"/>
    <cellStyle name="Comma 2 7 2 2 3" xfId="2005" xr:uid="{00000000-0005-0000-0000-000063130000}"/>
    <cellStyle name="Comma 2 7 2 2 3 2" xfId="2006" xr:uid="{00000000-0005-0000-0000-000064130000}"/>
    <cellStyle name="Comma 2 7 2 2 3 2 2" xfId="9153" xr:uid="{00000000-0005-0000-0000-000065130000}"/>
    <cellStyle name="Comma 2 7 2 2 3 3" xfId="9152" xr:uid="{00000000-0005-0000-0000-000066130000}"/>
    <cellStyle name="Comma 2 7 2 2 3 4" xfId="5767" xr:uid="{00000000-0005-0000-0000-000067130000}"/>
    <cellStyle name="Comma 2 7 2 2 4" xfId="2007" xr:uid="{00000000-0005-0000-0000-000068130000}"/>
    <cellStyle name="Comma 2 7 2 2 4 2" xfId="2008" xr:uid="{00000000-0005-0000-0000-000069130000}"/>
    <cellStyle name="Comma 2 7 2 2 4 2 2" xfId="9155" xr:uid="{00000000-0005-0000-0000-00006A130000}"/>
    <cellStyle name="Comma 2 7 2 2 4 3" xfId="9154" xr:uid="{00000000-0005-0000-0000-00006B130000}"/>
    <cellStyle name="Comma 2 7 2 2 4 4" xfId="5768" xr:uid="{00000000-0005-0000-0000-00006C130000}"/>
    <cellStyle name="Comma 2 7 2 2 5" xfId="2009" xr:uid="{00000000-0005-0000-0000-00006D130000}"/>
    <cellStyle name="Comma 2 7 2 2 5 2" xfId="9156" xr:uid="{00000000-0005-0000-0000-00006E130000}"/>
    <cellStyle name="Comma 2 7 2 2 6" xfId="9147" xr:uid="{00000000-0005-0000-0000-00006F130000}"/>
    <cellStyle name="Comma 2 7 2 2 7" xfId="5764" xr:uid="{00000000-0005-0000-0000-000070130000}"/>
    <cellStyle name="Comma 2 7 2 3" xfId="2010" xr:uid="{00000000-0005-0000-0000-000071130000}"/>
    <cellStyle name="Comma 2 7 2 3 2" xfId="2011" xr:uid="{00000000-0005-0000-0000-000072130000}"/>
    <cellStyle name="Comma 2 7 2 3 2 2" xfId="2012" xr:uid="{00000000-0005-0000-0000-000073130000}"/>
    <cellStyle name="Comma 2 7 2 3 2 2 2" xfId="2013" xr:uid="{00000000-0005-0000-0000-000074130000}"/>
    <cellStyle name="Comma 2 7 2 3 2 2 2 2" xfId="9160" xr:uid="{00000000-0005-0000-0000-000075130000}"/>
    <cellStyle name="Comma 2 7 2 3 2 2 3" xfId="9159" xr:uid="{00000000-0005-0000-0000-000076130000}"/>
    <cellStyle name="Comma 2 7 2 3 2 2 4" xfId="5771" xr:uid="{00000000-0005-0000-0000-000077130000}"/>
    <cellStyle name="Comma 2 7 2 3 2 3" xfId="2014" xr:uid="{00000000-0005-0000-0000-000078130000}"/>
    <cellStyle name="Comma 2 7 2 3 2 3 2" xfId="9161" xr:uid="{00000000-0005-0000-0000-000079130000}"/>
    <cellStyle name="Comma 2 7 2 3 2 4" xfId="9158" xr:uid="{00000000-0005-0000-0000-00007A130000}"/>
    <cellStyle name="Comma 2 7 2 3 2 5" xfId="5770" xr:uid="{00000000-0005-0000-0000-00007B130000}"/>
    <cellStyle name="Comma 2 7 2 3 3" xfId="2015" xr:uid="{00000000-0005-0000-0000-00007C130000}"/>
    <cellStyle name="Comma 2 7 2 3 3 2" xfId="2016" xr:uid="{00000000-0005-0000-0000-00007D130000}"/>
    <cellStyle name="Comma 2 7 2 3 3 2 2" xfId="9163" xr:uid="{00000000-0005-0000-0000-00007E130000}"/>
    <cellStyle name="Comma 2 7 2 3 3 3" xfId="9162" xr:uid="{00000000-0005-0000-0000-00007F130000}"/>
    <cellStyle name="Comma 2 7 2 3 3 4" xfId="5772" xr:uid="{00000000-0005-0000-0000-000080130000}"/>
    <cellStyle name="Comma 2 7 2 3 4" xfId="2017" xr:uid="{00000000-0005-0000-0000-000081130000}"/>
    <cellStyle name="Comma 2 7 2 3 4 2" xfId="2018" xr:uid="{00000000-0005-0000-0000-000082130000}"/>
    <cellStyle name="Comma 2 7 2 3 4 2 2" xfId="9165" xr:uid="{00000000-0005-0000-0000-000083130000}"/>
    <cellStyle name="Comma 2 7 2 3 4 3" xfId="9164" xr:uid="{00000000-0005-0000-0000-000084130000}"/>
    <cellStyle name="Comma 2 7 2 3 4 4" xfId="5773" xr:uid="{00000000-0005-0000-0000-000085130000}"/>
    <cellStyle name="Comma 2 7 2 3 5" xfId="2019" xr:uid="{00000000-0005-0000-0000-000086130000}"/>
    <cellStyle name="Comma 2 7 2 3 5 2" xfId="9166" xr:uid="{00000000-0005-0000-0000-000087130000}"/>
    <cellStyle name="Comma 2 7 2 3 6" xfId="9157" xr:uid="{00000000-0005-0000-0000-000088130000}"/>
    <cellStyle name="Comma 2 7 2 3 7" xfId="5769" xr:uid="{00000000-0005-0000-0000-000089130000}"/>
    <cellStyle name="Comma 2 7 2 4" xfId="2020" xr:uid="{00000000-0005-0000-0000-00008A130000}"/>
    <cellStyle name="Comma 2 7 2 4 2" xfId="2021" xr:uid="{00000000-0005-0000-0000-00008B130000}"/>
    <cellStyle name="Comma 2 7 2 4 2 2" xfId="2022" xr:uid="{00000000-0005-0000-0000-00008C130000}"/>
    <cellStyle name="Comma 2 7 2 4 2 2 2" xfId="2023" xr:uid="{00000000-0005-0000-0000-00008D130000}"/>
    <cellStyle name="Comma 2 7 2 4 2 2 2 2" xfId="9170" xr:uid="{00000000-0005-0000-0000-00008E130000}"/>
    <cellStyle name="Comma 2 7 2 4 2 2 3" xfId="9169" xr:uid="{00000000-0005-0000-0000-00008F130000}"/>
    <cellStyle name="Comma 2 7 2 4 2 2 4" xfId="5776" xr:uid="{00000000-0005-0000-0000-000090130000}"/>
    <cellStyle name="Comma 2 7 2 4 2 3" xfId="2024" xr:uid="{00000000-0005-0000-0000-000091130000}"/>
    <cellStyle name="Comma 2 7 2 4 2 3 2" xfId="9171" xr:uid="{00000000-0005-0000-0000-000092130000}"/>
    <cellStyle name="Comma 2 7 2 4 2 4" xfId="9168" xr:uid="{00000000-0005-0000-0000-000093130000}"/>
    <cellStyle name="Comma 2 7 2 4 2 5" xfId="5775" xr:uid="{00000000-0005-0000-0000-000094130000}"/>
    <cellStyle name="Comma 2 7 2 4 3" xfId="2025" xr:uid="{00000000-0005-0000-0000-000095130000}"/>
    <cellStyle name="Comma 2 7 2 4 3 2" xfId="2026" xr:uid="{00000000-0005-0000-0000-000096130000}"/>
    <cellStyle name="Comma 2 7 2 4 3 2 2" xfId="9173" xr:uid="{00000000-0005-0000-0000-000097130000}"/>
    <cellStyle name="Comma 2 7 2 4 3 3" xfId="9172" xr:uid="{00000000-0005-0000-0000-000098130000}"/>
    <cellStyle name="Comma 2 7 2 4 3 4" xfId="5777" xr:uid="{00000000-0005-0000-0000-000099130000}"/>
    <cellStyle name="Comma 2 7 2 4 4" xfId="2027" xr:uid="{00000000-0005-0000-0000-00009A130000}"/>
    <cellStyle name="Comma 2 7 2 4 4 2" xfId="2028" xr:uid="{00000000-0005-0000-0000-00009B130000}"/>
    <cellStyle name="Comma 2 7 2 4 4 2 2" xfId="9175" xr:uid="{00000000-0005-0000-0000-00009C130000}"/>
    <cellStyle name="Comma 2 7 2 4 4 3" xfId="9174" xr:uid="{00000000-0005-0000-0000-00009D130000}"/>
    <cellStyle name="Comma 2 7 2 4 4 4" xfId="5778" xr:uid="{00000000-0005-0000-0000-00009E130000}"/>
    <cellStyle name="Comma 2 7 2 4 5" xfId="2029" xr:uid="{00000000-0005-0000-0000-00009F130000}"/>
    <cellStyle name="Comma 2 7 2 4 5 2" xfId="9176" xr:uid="{00000000-0005-0000-0000-0000A0130000}"/>
    <cellStyle name="Comma 2 7 2 4 6" xfId="9167" xr:uid="{00000000-0005-0000-0000-0000A1130000}"/>
    <cellStyle name="Comma 2 7 2 4 7" xfId="5774" xr:uid="{00000000-0005-0000-0000-0000A2130000}"/>
    <cellStyle name="Comma 2 7 2 5" xfId="2030" xr:uid="{00000000-0005-0000-0000-0000A3130000}"/>
    <cellStyle name="Comma 2 7 2 5 2" xfId="2031" xr:uid="{00000000-0005-0000-0000-0000A4130000}"/>
    <cellStyle name="Comma 2 7 2 5 2 2" xfId="2032" xr:uid="{00000000-0005-0000-0000-0000A5130000}"/>
    <cellStyle name="Comma 2 7 2 5 2 2 2" xfId="2033" xr:uid="{00000000-0005-0000-0000-0000A6130000}"/>
    <cellStyle name="Comma 2 7 2 5 2 2 2 2" xfId="9180" xr:uid="{00000000-0005-0000-0000-0000A7130000}"/>
    <cellStyle name="Comma 2 7 2 5 2 2 3" xfId="9179" xr:uid="{00000000-0005-0000-0000-0000A8130000}"/>
    <cellStyle name="Comma 2 7 2 5 2 2 4" xfId="5781" xr:uid="{00000000-0005-0000-0000-0000A9130000}"/>
    <cellStyle name="Comma 2 7 2 5 2 3" xfId="2034" xr:uid="{00000000-0005-0000-0000-0000AA130000}"/>
    <cellStyle name="Comma 2 7 2 5 2 3 2" xfId="9181" xr:uid="{00000000-0005-0000-0000-0000AB130000}"/>
    <cellStyle name="Comma 2 7 2 5 2 4" xfId="9178" xr:uid="{00000000-0005-0000-0000-0000AC130000}"/>
    <cellStyle name="Comma 2 7 2 5 2 5" xfId="5780" xr:uid="{00000000-0005-0000-0000-0000AD130000}"/>
    <cellStyle name="Comma 2 7 2 5 3" xfId="2035" xr:uid="{00000000-0005-0000-0000-0000AE130000}"/>
    <cellStyle name="Comma 2 7 2 5 3 2" xfId="2036" xr:uid="{00000000-0005-0000-0000-0000AF130000}"/>
    <cellStyle name="Comma 2 7 2 5 3 2 2" xfId="9183" xr:uid="{00000000-0005-0000-0000-0000B0130000}"/>
    <cellStyle name="Comma 2 7 2 5 3 3" xfId="9182" xr:uid="{00000000-0005-0000-0000-0000B1130000}"/>
    <cellStyle name="Comma 2 7 2 5 3 4" xfId="5782" xr:uid="{00000000-0005-0000-0000-0000B2130000}"/>
    <cellStyle name="Comma 2 7 2 5 4" xfId="2037" xr:uid="{00000000-0005-0000-0000-0000B3130000}"/>
    <cellStyle name="Comma 2 7 2 5 4 2" xfId="2038" xr:uid="{00000000-0005-0000-0000-0000B4130000}"/>
    <cellStyle name="Comma 2 7 2 5 4 2 2" xfId="9185" xr:uid="{00000000-0005-0000-0000-0000B5130000}"/>
    <cellStyle name="Comma 2 7 2 5 4 3" xfId="9184" xr:uid="{00000000-0005-0000-0000-0000B6130000}"/>
    <cellStyle name="Comma 2 7 2 5 4 4" xfId="5783" xr:uid="{00000000-0005-0000-0000-0000B7130000}"/>
    <cellStyle name="Comma 2 7 2 5 5" xfId="2039" xr:uid="{00000000-0005-0000-0000-0000B8130000}"/>
    <cellStyle name="Comma 2 7 2 5 5 2" xfId="9186" xr:uid="{00000000-0005-0000-0000-0000B9130000}"/>
    <cellStyle name="Comma 2 7 2 5 6" xfId="9177" xr:uid="{00000000-0005-0000-0000-0000BA130000}"/>
    <cellStyle name="Comma 2 7 2 5 7" xfId="5779" xr:uid="{00000000-0005-0000-0000-0000BB130000}"/>
    <cellStyle name="Comma 2 7 2 6" xfId="2040" xr:uid="{00000000-0005-0000-0000-0000BC130000}"/>
    <cellStyle name="Comma 2 7 2 6 2" xfId="2041" xr:uid="{00000000-0005-0000-0000-0000BD130000}"/>
    <cellStyle name="Comma 2 7 2 6 2 2" xfId="2042" xr:uid="{00000000-0005-0000-0000-0000BE130000}"/>
    <cellStyle name="Comma 2 7 2 6 2 2 2" xfId="9189" xr:uid="{00000000-0005-0000-0000-0000BF130000}"/>
    <cellStyle name="Comma 2 7 2 6 2 3" xfId="9188" xr:uid="{00000000-0005-0000-0000-0000C0130000}"/>
    <cellStyle name="Comma 2 7 2 6 2 4" xfId="5785" xr:uid="{00000000-0005-0000-0000-0000C1130000}"/>
    <cellStyle name="Comma 2 7 2 6 3" xfId="2043" xr:uid="{00000000-0005-0000-0000-0000C2130000}"/>
    <cellStyle name="Comma 2 7 2 6 3 2" xfId="2044" xr:uid="{00000000-0005-0000-0000-0000C3130000}"/>
    <cellStyle name="Comma 2 7 2 6 3 2 2" xfId="9191" xr:uid="{00000000-0005-0000-0000-0000C4130000}"/>
    <cellStyle name="Comma 2 7 2 6 3 3" xfId="9190" xr:uid="{00000000-0005-0000-0000-0000C5130000}"/>
    <cellStyle name="Comma 2 7 2 6 3 4" xfId="5786" xr:uid="{00000000-0005-0000-0000-0000C6130000}"/>
    <cellStyle name="Comma 2 7 2 6 4" xfId="2045" xr:uid="{00000000-0005-0000-0000-0000C7130000}"/>
    <cellStyle name="Comma 2 7 2 6 4 2" xfId="9192" xr:uid="{00000000-0005-0000-0000-0000C8130000}"/>
    <cellStyle name="Comma 2 7 2 6 5" xfId="9187" xr:uid="{00000000-0005-0000-0000-0000C9130000}"/>
    <cellStyle name="Comma 2 7 2 6 6" xfId="5784" xr:uid="{00000000-0005-0000-0000-0000CA130000}"/>
    <cellStyle name="Comma 2 7 2 7" xfId="2046" xr:uid="{00000000-0005-0000-0000-0000CB130000}"/>
    <cellStyle name="Comma 2 7 2 7 2" xfId="2047" xr:uid="{00000000-0005-0000-0000-0000CC130000}"/>
    <cellStyle name="Comma 2 7 2 7 2 2" xfId="2048" xr:uid="{00000000-0005-0000-0000-0000CD130000}"/>
    <cellStyle name="Comma 2 7 2 7 2 2 2" xfId="9195" xr:uid="{00000000-0005-0000-0000-0000CE130000}"/>
    <cellStyle name="Comma 2 7 2 7 2 3" xfId="9194" xr:uid="{00000000-0005-0000-0000-0000CF130000}"/>
    <cellStyle name="Comma 2 7 2 7 2 4" xfId="5788" xr:uid="{00000000-0005-0000-0000-0000D0130000}"/>
    <cellStyle name="Comma 2 7 2 7 3" xfId="2049" xr:uid="{00000000-0005-0000-0000-0000D1130000}"/>
    <cellStyle name="Comma 2 7 2 7 3 2" xfId="9196" xr:uid="{00000000-0005-0000-0000-0000D2130000}"/>
    <cellStyle name="Comma 2 7 2 7 4" xfId="9193" xr:uid="{00000000-0005-0000-0000-0000D3130000}"/>
    <cellStyle name="Comma 2 7 2 7 5" xfId="5787" xr:uid="{00000000-0005-0000-0000-0000D4130000}"/>
    <cellStyle name="Comma 2 7 2 8" xfId="2050" xr:uid="{00000000-0005-0000-0000-0000D5130000}"/>
    <cellStyle name="Comma 2 7 2 8 2" xfId="2051" xr:uid="{00000000-0005-0000-0000-0000D6130000}"/>
    <cellStyle name="Comma 2 7 2 8 2 2" xfId="9198" xr:uid="{00000000-0005-0000-0000-0000D7130000}"/>
    <cellStyle name="Comma 2 7 2 8 3" xfId="9197" xr:uid="{00000000-0005-0000-0000-0000D8130000}"/>
    <cellStyle name="Comma 2 7 2 8 4" xfId="5789" xr:uid="{00000000-0005-0000-0000-0000D9130000}"/>
    <cellStyle name="Comma 2 7 2 9" xfId="2052" xr:uid="{00000000-0005-0000-0000-0000DA130000}"/>
    <cellStyle name="Comma 2 7 2 9 2" xfId="2053" xr:uid="{00000000-0005-0000-0000-0000DB130000}"/>
    <cellStyle name="Comma 2 7 2 9 2 2" xfId="9200" xr:uid="{00000000-0005-0000-0000-0000DC130000}"/>
    <cellStyle name="Comma 2 7 2 9 3" xfId="9199" xr:uid="{00000000-0005-0000-0000-0000DD130000}"/>
    <cellStyle name="Comma 2 7 2 9 4" xfId="5790" xr:uid="{00000000-0005-0000-0000-0000DE130000}"/>
    <cellStyle name="Comma 2 7 3" xfId="2054" xr:uid="{00000000-0005-0000-0000-0000DF130000}"/>
    <cellStyle name="Comma 2 7 3 2" xfId="2055" xr:uid="{00000000-0005-0000-0000-0000E0130000}"/>
    <cellStyle name="Comma 2 7 3 2 2" xfId="2056" xr:uid="{00000000-0005-0000-0000-0000E1130000}"/>
    <cellStyle name="Comma 2 7 3 2 2 2" xfId="2057" xr:uid="{00000000-0005-0000-0000-0000E2130000}"/>
    <cellStyle name="Comma 2 7 3 2 2 2 2" xfId="9204" xr:uid="{00000000-0005-0000-0000-0000E3130000}"/>
    <cellStyle name="Comma 2 7 3 2 2 3" xfId="9203" xr:uid="{00000000-0005-0000-0000-0000E4130000}"/>
    <cellStyle name="Comma 2 7 3 2 2 4" xfId="5793" xr:uid="{00000000-0005-0000-0000-0000E5130000}"/>
    <cellStyle name="Comma 2 7 3 2 3" xfId="2058" xr:uid="{00000000-0005-0000-0000-0000E6130000}"/>
    <cellStyle name="Comma 2 7 3 2 3 2" xfId="9205" xr:uid="{00000000-0005-0000-0000-0000E7130000}"/>
    <cellStyle name="Comma 2 7 3 2 4" xfId="9202" xr:uid="{00000000-0005-0000-0000-0000E8130000}"/>
    <cellStyle name="Comma 2 7 3 2 5" xfId="5792" xr:uid="{00000000-0005-0000-0000-0000E9130000}"/>
    <cellStyle name="Comma 2 7 3 3" xfId="2059" xr:uid="{00000000-0005-0000-0000-0000EA130000}"/>
    <cellStyle name="Comma 2 7 3 3 2" xfId="2060" xr:uid="{00000000-0005-0000-0000-0000EB130000}"/>
    <cellStyle name="Comma 2 7 3 3 2 2" xfId="9207" xr:uid="{00000000-0005-0000-0000-0000EC130000}"/>
    <cellStyle name="Comma 2 7 3 3 3" xfId="9206" xr:uid="{00000000-0005-0000-0000-0000ED130000}"/>
    <cellStyle name="Comma 2 7 3 3 4" xfId="5794" xr:uid="{00000000-0005-0000-0000-0000EE130000}"/>
    <cellStyle name="Comma 2 7 3 4" xfId="2061" xr:uid="{00000000-0005-0000-0000-0000EF130000}"/>
    <cellStyle name="Comma 2 7 3 4 2" xfId="2062" xr:uid="{00000000-0005-0000-0000-0000F0130000}"/>
    <cellStyle name="Comma 2 7 3 4 2 2" xfId="9209" xr:uid="{00000000-0005-0000-0000-0000F1130000}"/>
    <cellStyle name="Comma 2 7 3 4 3" xfId="9208" xr:uid="{00000000-0005-0000-0000-0000F2130000}"/>
    <cellStyle name="Comma 2 7 3 4 4" xfId="5795" xr:uid="{00000000-0005-0000-0000-0000F3130000}"/>
    <cellStyle name="Comma 2 7 3 5" xfId="2063" xr:uid="{00000000-0005-0000-0000-0000F4130000}"/>
    <cellStyle name="Comma 2 7 3 5 2" xfId="9210" xr:uid="{00000000-0005-0000-0000-0000F5130000}"/>
    <cellStyle name="Comma 2 7 3 6" xfId="9201" xr:uid="{00000000-0005-0000-0000-0000F6130000}"/>
    <cellStyle name="Comma 2 7 3 7" xfId="5791" xr:uid="{00000000-0005-0000-0000-0000F7130000}"/>
    <cellStyle name="Comma 2 7 4" xfId="2064" xr:uid="{00000000-0005-0000-0000-0000F8130000}"/>
    <cellStyle name="Comma 2 7 4 2" xfId="2065" xr:uid="{00000000-0005-0000-0000-0000F9130000}"/>
    <cellStyle name="Comma 2 7 4 2 2" xfId="2066" xr:uid="{00000000-0005-0000-0000-0000FA130000}"/>
    <cellStyle name="Comma 2 7 4 2 2 2" xfId="2067" xr:uid="{00000000-0005-0000-0000-0000FB130000}"/>
    <cellStyle name="Comma 2 7 4 2 2 2 2" xfId="9214" xr:uid="{00000000-0005-0000-0000-0000FC130000}"/>
    <cellStyle name="Comma 2 7 4 2 2 3" xfId="9213" xr:uid="{00000000-0005-0000-0000-0000FD130000}"/>
    <cellStyle name="Comma 2 7 4 2 2 4" xfId="5798" xr:uid="{00000000-0005-0000-0000-0000FE130000}"/>
    <cellStyle name="Comma 2 7 4 2 3" xfId="2068" xr:uid="{00000000-0005-0000-0000-0000FF130000}"/>
    <cellStyle name="Comma 2 7 4 2 3 2" xfId="9215" xr:uid="{00000000-0005-0000-0000-000000140000}"/>
    <cellStyle name="Comma 2 7 4 2 4" xfId="9212" xr:uid="{00000000-0005-0000-0000-000001140000}"/>
    <cellStyle name="Comma 2 7 4 2 5" xfId="5797" xr:uid="{00000000-0005-0000-0000-000002140000}"/>
    <cellStyle name="Comma 2 7 4 3" xfId="2069" xr:uid="{00000000-0005-0000-0000-000003140000}"/>
    <cellStyle name="Comma 2 7 4 3 2" xfId="2070" xr:uid="{00000000-0005-0000-0000-000004140000}"/>
    <cellStyle name="Comma 2 7 4 3 2 2" xfId="9217" xr:uid="{00000000-0005-0000-0000-000005140000}"/>
    <cellStyle name="Comma 2 7 4 3 3" xfId="9216" xr:uid="{00000000-0005-0000-0000-000006140000}"/>
    <cellStyle name="Comma 2 7 4 3 4" xfId="5799" xr:uid="{00000000-0005-0000-0000-000007140000}"/>
    <cellStyle name="Comma 2 7 4 4" xfId="2071" xr:uid="{00000000-0005-0000-0000-000008140000}"/>
    <cellStyle name="Comma 2 7 4 4 2" xfId="2072" xr:uid="{00000000-0005-0000-0000-000009140000}"/>
    <cellStyle name="Comma 2 7 4 4 2 2" xfId="9219" xr:uid="{00000000-0005-0000-0000-00000A140000}"/>
    <cellStyle name="Comma 2 7 4 4 3" xfId="9218" xr:uid="{00000000-0005-0000-0000-00000B140000}"/>
    <cellStyle name="Comma 2 7 4 4 4" xfId="5800" xr:uid="{00000000-0005-0000-0000-00000C140000}"/>
    <cellStyle name="Comma 2 7 4 5" xfId="2073" xr:uid="{00000000-0005-0000-0000-00000D140000}"/>
    <cellStyle name="Comma 2 7 4 5 2" xfId="9220" xr:uid="{00000000-0005-0000-0000-00000E140000}"/>
    <cellStyle name="Comma 2 7 4 6" xfId="9211" xr:uid="{00000000-0005-0000-0000-00000F140000}"/>
    <cellStyle name="Comma 2 7 4 7" xfId="5796" xr:uid="{00000000-0005-0000-0000-000010140000}"/>
    <cellStyle name="Comma 2 7 5" xfId="2074" xr:uid="{00000000-0005-0000-0000-000011140000}"/>
    <cellStyle name="Comma 2 7 5 2" xfId="2075" xr:uid="{00000000-0005-0000-0000-000012140000}"/>
    <cellStyle name="Comma 2 7 5 2 2" xfId="2076" xr:uid="{00000000-0005-0000-0000-000013140000}"/>
    <cellStyle name="Comma 2 7 5 2 2 2" xfId="2077" xr:uid="{00000000-0005-0000-0000-000014140000}"/>
    <cellStyle name="Comma 2 7 5 2 2 2 2" xfId="9224" xr:uid="{00000000-0005-0000-0000-000015140000}"/>
    <cellStyle name="Comma 2 7 5 2 2 3" xfId="9223" xr:uid="{00000000-0005-0000-0000-000016140000}"/>
    <cellStyle name="Comma 2 7 5 2 2 4" xfId="5803" xr:uid="{00000000-0005-0000-0000-000017140000}"/>
    <cellStyle name="Comma 2 7 5 2 3" xfId="2078" xr:uid="{00000000-0005-0000-0000-000018140000}"/>
    <cellStyle name="Comma 2 7 5 2 3 2" xfId="9225" xr:uid="{00000000-0005-0000-0000-000019140000}"/>
    <cellStyle name="Comma 2 7 5 2 4" xfId="9222" xr:uid="{00000000-0005-0000-0000-00001A140000}"/>
    <cellStyle name="Comma 2 7 5 2 5" xfId="5802" xr:uid="{00000000-0005-0000-0000-00001B140000}"/>
    <cellStyle name="Comma 2 7 5 3" xfId="2079" xr:uid="{00000000-0005-0000-0000-00001C140000}"/>
    <cellStyle name="Comma 2 7 5 3 2" xfId="2080" xr:uid="{00000000-0005-0000-0000-00001D140000}"/>
    <cellStyle name="Comma 2 7 5 3 2 2" xfId="9227" xr:uid="{00000000-0005-0000-0000-00001E140000}"/>
    <cellStyle name="Comma 2 7 5 3 3" xfId="9226" xr:uid="{00000000-0005-0000-0000-00001F140000}"/>
    <cellStyle name="Comma 2 7 5 3 4" xfId="5804" xr:uid="{00000000-0005-0000-0000-000020140000}"/>
    <cellStyle name="Comma 2 7 5 4" xfId="2081" xr:uid="{00000000-0005-0000-0000-000021140000}"/>
    <cellStyle name="Comma 2 7 5 4 2" xfId="2082" xr:uid="{00000000-0005-0000-0000-000022140000}"/>
    <cellStyle name="Comma 2 7 5 4 2 2" xfId="9229" xr:uid="{00000000-0005-0000-0000-000023140000}"/>
    <cellStyle name="Comma 2 7 5 4 3" xfId="9228" xr:uid="{00000000-0005-0000-0000-000024140000}"/>
    <cellStyle name="Comma 2 7 5 4 4" xfId="5805" xr:uid="{00000000-0005-0000-0000-000025140000}"/>
    <cellStyle name="Comma 2 7 5 5" xfId="2083" xr:uid="{00000000-0005-0000-0000-000026140000}"/>
    <cellStyle name="Comma 2 7 5 5 2" xfId="9230" xr:uid="{00000000-0005-0000-0000-000027140000}"/>
    <cellStyle name="Comma 2 7 5 6" xfId="9221" xr:uid="{00000000-0005-0000-0000-000028140000}"/>
    <cellStyle name="Comma 2 7 5 7" xfId="5801" xr:uid="{00000000-0005-0000-0000-000029140000}"/>
    <cellStyle name="Comma 2 7 6" xfId="2084" xr:uid="{00000000-0005-0000-0000-00002A140000}"/>
    <cellStyle name="Comma 2 7 6 2" xfId="2085" xr:uid="{00000000-0005-0000-0000-00002B140000}"/>
    <cellStyle name="Comma 2 7 6 2 2" xfId="2086" xr:uid="{00000000-0005-0000-0000-00002C140000}"/>
    <cellStyle name="Comma 2 7 6 2 2 2" xfId="2087" xr:uid="{00000000-0005-0000-0000-00002D140000}"/>
    <cellStyle name="Comma 2 7 6 2 2 2 2" xfId="9234" xr:uid="{00000000-0005-0000-0000-00002E140000}"/>
    <cellStyle name="Comma 2 7 6 2 2 3" xfId="9233" xr:uid="{00000000-0005-0000-0000-00002F140000}"/>
    <cellStyle name="Comma 2 7 6 2 2 4" xfId="5808" xr:uid="{00000000-0005-0000-0000-000030140000}"/>
    <cellStyle name="Comma 2 7 6 2 3" xfId="2088" xr:uid="{00000000-0005-0000-0000-000031140000}"/>
    <cellStyle name="Comma 2 7 6 2 3 2" xfId="9235" xr:uid="{00000000-0005-0000-0000-000032140000}"/>
    <cellStyle name="Comma 2 7 6 2 4" xfId="9232" xr:uid="{00000000-0005-0000-0000-000033140000}"/>
    <cellStyle name="Comma 2 7 6 2 5" xfId="5807" xr:uid="{00000000-0005-0000-0000-000034140000}"/>
    <cellStyle name="Comma 2 7 6 3" xfId="2089" xr:uid="{00000000-0005-0000-0000-000035140000}"/>
    <cellStyle name="Comma 2 7 6 3 2" xfId="2090" xr:uid="{00000000-0005-0000-0000-000036140000}"/>
    <cellStyle name="Comma 2 7 6 3 2 2" xfId="9237" xr:uid="{00000000-0005-0000-0000-000037140000}"/>
    <cellStyle name="Comma 2 7 6 3 3" xfId="9236" xr:uid="{00000000-0005-0000-0000-000038140000}"/>
    <cellStyle name="Comma 2 7 6 3 4" xfId="5809" xr:uid="{00000000-0005-0000-0000-000039140000}"/>
    <cellStyle name="Comma 2 7 6 4" xfId="2091" xr:uid="{00000000-0005-0000-0000-00003A140000}"/>
    <cellStyle name="Comma 2 7 6 4 2" xfId="2092" xr:uid="{00000000-0005-0000-0000-00003B140000}"/>
    <cellStyle name="Comma 2 7 6 4 2 2" xfId="9239" xr:uid="{00000000-0005-0000-0000-00003C140000}"/>
    <cellStyle name="Comma 2 7 6 4 3" xfId="9238" xr:uid="{00000000-0005-0000-0000-00003D140000}"/>
    <cellStyle name="Comma 2 7 6 4 4" xfId="5810" xr:uid="{00000000-0005-0000-0000-00003E140000}"/>
    <cellStyle name="Comma 2 7 6 5" xfId="2093" xr:uid="{00000000-0005-0000-0000-00003F140000}"/>
    <cellStyle name="Comma 2 7 6 5 2" xfId="9240" xr:uid="{00000000-0005-0000-0000-000040140000}"/>
    <cellStyle name="Comma 2 7 6 6" xfId="9231" xr:uid="{00000000-0005-0000-0000-000041140000}"/>
    <cellStyle name="Comma 2 7 6 7" xfId="5806" xr:uid="{00000000-0005-0000-0000-000042140000}"/>
    <cellStyle name="Comma 2 7 7" xfId="2094" xr:uid="{00000000-0005-0000-0000-000043140000}"/>
    <cellStyle name="Comma 2 7 7 2" xfId="2095" xr:uid="{00000000-0005-0000-0000-000044140000}"/>
    <cellStyle name="Comma 2 7 7 2 2" xfId="2096" xr:uid="{00000000-0005-0000-0000-000045140000}"/>
    <cellStyle name="Comma 2 7 7 2 2 2" xfId="9243" xr:uid="{00000000-0005-0000-0000-000046140000}"/>
    <cellStyle name="Comma 2 7 7 2 3" xfId="9242" xr:uid="{00000000-0005-0000-0000-000047140000}"/>
    <cellStyle name="Comma 2 7 7 2 4" xfId="5812" xr:uid="{00000000-0005-0000-0000-000048140000}"/>
    <cellStyle name="Comma 2 7 7 3" xfId="2097" xr:uid="{00000000-0005-0000-0000-000049140000}"/>
    <cellStyle name="Comma 2 7 7 3 2" xfId="2098" xr:uid="{00000000-0005-0000-0000-00004A140000}"/>
    <cellStyle name="Comma 2 7 7 3 2 2" xfId="9245" xr:uid="{00000000-0005-0000-0000-00004B140000}"/>
    <cellStyle name="Comma 2 7 7 3 3" xfId="9244" xr:uid="{00000000-0005-0000-0000-00004C140000}"/>
    <cellStyle name="Comma 2 7 7 3 4" xfId="5813" xr:uid="{00000000-0005-0000-0000-00004D140000}"/>
    <cellStyle name="Comma 2 7 7 4" xfId="2099" xr:uid="{00000000-0005-0000-0000-00004E140000}"/>
    <cellStyle name="Comma 2 7 7 4 2" xfId="9246" xr:uid="{00000000-0005-0000-0000-00004F140000}"/>
    <cellStyle name="Comma 2 7 7 5" xfId="9241" xr:uid="{00000000-0005-0000-0000-000050140000}"/>
    <cellStyle name="Comma 2 7 7 6" xfId="5811" xr:uid="{00000000-0005-0000-0000-000051140000}"/>
    <cellStyle name="Comma 2 7 8" xfId="2100" xr:uid="{00000000-0005-0000-0000-000052140000}"/>
    <cellStyle name="Comma 2 7 8 2" xfId="2101" xr:uid="{00000000-0005-0000-0000-000053140000}"/>
    <cellStyle name="Comma 2 7 8 2 2" xfId="2102" xr:uid="{00000000-0005-0000-0000-000054140000}"/>
    <cellStyle name="Comma 2 7 8 2 2 2" xfId="9249" xr:uid="{00000000-0005-0000-0000-000055140000}"/>
    <cellStyle name="Comma 2 7 8 2 3" xfId="9248" xr:uid="{00000000-0005-0000-0000-000056140000}"/>
    <cellStyle name="Comma 2 7 8 2 4" xfId="5815" xr:uid="{00000000-0005-0000-0000-000057140000}"/>
    <cellStyle name="Comma 2 7 8 3" xfId="2103" xr:uid="{00000000-0005-0000-0000-000058140000}"/>
    <cellStyle name="Comma 2 7 8 3 2" xfId="9250" xr:uid="{00000000-0005-0000-0000-000059140000}"/>
    <cellStyle name="Comma 2 7 8 4" xfId="9247" xr:uid="{00000000-0005-0000-0000-00005A140000}"/>
    <cellStyle name="Comma 2 7 8 5" xfId="5814" xr:uid="{00000000-0005-0000-0000-00005B140000}"/>
    <cellStyle name="Comma 2 7 9" xfId="2104" xr:uid="{00000000-0005-0000-0000-00005C140000}"/>
    <cellStyle name="Comma 2 7 9 2" xfId="2105" xr:uid="{00000000-0005-0000-0000-00005D140000}"/>
    <cellStyle name="Comma 2 7 9 2 2" xfId="9252" xr:uid="{00000000-0005-0000-0000-00005E140000}"/>
    <cellStyle name="Comma 2 7 9 3" xfId="9251" xr:uid="{00000000-0005-0000-0000-00005F140000}"/>
    <cellStyle name="Comma 2 7 9 4" xfId="5816" xr:uid="{00000000-0005-0000-0000-000060140000}"/>
    <cellStyle name="Comma 2 8" xfId="2106" xr:uid="{00000000-0005-0000-0000-000061140000}"/>
    <cellStyle name="Comma 2 8 10" xfId="2107" xr:uid="{00000000-0005-0000-0000-000062140000}"/>
    <cellStyle name="Comma 2 8 10 2" xfId="2108" xr:uid="{00000000-0005-0000-0000-000063140000}"/>
    <cellStyle name="Comma 2 8 10 2 2" xfId="9255" xr:uid="{00000000-0005-0000-0000-000064140000}"/>
    <cellStyle name="Comma 2 8 10 3" xfId="9254" xr:uid="{00000000-0005-0000-0000-000065140000}"/>
    <cellStyle name="Comma 2 8 10 4" xfId="5818" xr:uid="{00000000-0005-0000-0000-000066140000}"/>
    <cellStyle name="Comma 2 8 11" xfId="2109" xr:uid="{00000000-0005-0000-0000-000067140000}"/>
    <cellStyle name="Comma 2 8 11 2" xfId="9256" xr:uid="{00000000-0005-0000-0000-000068140000}"/>
    <cellStyle name="Comma 2 8 12" xfId="9253" xr:uid="{00000000-0005-0000-0000-000069140000}"/>
    <cellStyle name="Comma 2 8 13" xfId="5817" xr:uid="{00000000-0005-0000-0000-00006A140000}"/>
    <cellStyle name="Comma 2 8 2" xfId="2110" xr:uid="{00000000-0005-0000-0000-00006B140000}"/>
    <cellStyle name="Comma 2 8 2 10" xfId="2111" xr:uid="{00000000-0005-0000-0000-00006C140000}"/>
    <cellStyle name="Comma 2 8 2 10 2" xfId="9258" xr:uid="{00000000-0005-0000-0000-00006D140000}"/>
    <cellStyle name="Comma 2 8 2 11" xfId="9257" xr:uid="{00000000-0005-0000-0000-00006E140000}"/>
    <cellStyle name="Comma 2 8 2 12" xfId="5819" xr:uid="{00000000-0005-0000-0000-00006F140000}"/>
    <cellStyle name="Comma 2 8 2 2" xfId="2112" xr:uid="{00000000-0005-0000-0000-000070140000}"/>
    <cellStyle name="Comma 2 8 2 2 2" xfId="2113" xr:uid="{00000000-0005-0000-0000-000071140000}"/>
    <cellStyle name="Comma 2 8 2 2 2 2" xfId="2114" xr:uid="{00000000-0005-0000-0000-000072140000}"/>
    <cellStyle name="Comma 2 8 2 2 2 2 2" xfId="2115" xr:uid="{00000000-0005-0000-0000-000073140000}"/>
    <cellStyle name="Comma 2 8 2 2 2 2 2 2" xfId="9262" xr:uid="{00000000-0005-0000-0000-000074140000}"/>
    <cellStyle name="Comma 2 8 2 2 2 2 3" xfId="9261" xr:uid="{00000000-0005-0000-0000-000075140000}"/>
    <cellStyle name="Comma 2 8 2 2 2 2 4" xfId="5822" xr:uid="{00000000-0005-0000-0000-000076140000}"/>
    <cellStyle name="Comma 2 8 2 2 2 3" xfId="2116" xr:uid="{00000000-0005-0000-0000-000077140000}"/>
    <cellStyle name="Comma 2 8 2 2 2 3 2" xfId="9263" xr:uid="{00000000-0005-0000-0000-000078140000}"/>
    <cellStyle name="Comma 2 8 2 2 2 4" xfId="9260" xr:uid="{00000000-0005-0000-0000-000079140000}"/>
    <cellStyle name="Comma 2 8 2 2 2 5" xfId="5821" xr:uid="{00000000-0005-0000-0000-00007A140000}"/>
    <cellStyle name="Comma 2 8 2 2 3" xfId="2117" xr:uid="{00000000-0005-0000-0000-00007B140000}"/>
    <cellStyle name="Comma 2 8 2 2 3 2" xfId="2118" xr:uid="{00000000-0005-0000-0000-00007C140000}"/>
    <cellStyle name="Comma 2 8 2 2 3 2 2" xfId="9265" xr:uid="{00000000-0005-0000-0000-00007D140000}"/>
    <cellStyle name="Comma 2 8 2 2 3 3" xfId="9264" xr:uid="{00000000-0005-0000-0000-00007E140000}"/>
    <cellStyle name="Comma 2 8 2 2 3 4" xfId="5823" xr:uid="{00000000-0005-0000-0000-00007F140000}"/>
    <cellStyle name="Comma 2 8 2 2 4" xfId="2119" xr:uid="{00000000-0005-0000-0000-000080140000}"/>
    <cellStyle name="Comma 2 8 2 2 4 2" xfId="2120" xr:uid="{00000000-0005-0000-0000-000081140000}"/>
    <cellStyle name="Comma 2 8 2 2 4 2 2" xfId="9267" xr:uid="{00000000-0005-0000-0000-000082140000}"/>
    <cellStyle name="Comma 2 8 2 2 4 3" xfId="9266" xr:uid="{00000000-0005-0000-0000-000083140000}"/>
    <cellStyle name="Comma 2 8 2 2 4 4" xfId="5824" xr:uid="{00000000-0005-0000-0000-000084140000}"/>
    <cellStyle name="Comma 2 8 2 2 5" xfId="2121" xr:uid="{00000000-0005-0000-0000-000085140000}"/>
    <cellStyle name="Comma 2 8 2 2 5 2" xfId="9268" xr:uid="{00000000-0005-0000-0000-000086140000}"/>
    <cellStyle name="Comma 2 8 2 2 6" xfId="9259" xr:uid="{00000000-0005-0000-0000-000087140000}"/>
    <cellStyle name="Comma 2 8 2 2 7" xfId="5820" xr:uid="{00000000-0005-0000-0000-000088140000}"/>
    <cellStyle name="Comma 2 8 2 3" xfId="2122" xr:uid="{00000000-0005-0000-0000-000089140000}"/>
    <cellStyle name="Comma 2 8 2 3 2" xfId="2123" xr:uid="{00000000-0005-0000-0000-00008A140000}"/>
    <cellStyle name="Comma 2 8 2 3 2 2" xfId="2124" xr:uid="{00000000-0005-0000-0000-00008B140000}"/>
    <cellStyle name="Comma 2 8 2 3 2 2 2" xfId="2125" xr:uid="{00000000-0005-0000-0000-00008C140000}"/>
    <cellStyle name="Comma 2 8 2 3 2 2 2 2" xfId="9272" xr:uid="{00000000-0005-0000-0000-00008D140000}"/>
    <cellStyle name="Comma 2 8 2 3 2 2 3" xfId="9271" xr:uid="{00000000-0005-0000-0000-00008E140000}"/>
    <cellStyle name="Comma 2 8 2 3 2 2 4" xfId="5827" xr:uid="{00000000-0005-0000-0000-00008F140000}"/>
    <cellStyle name="Comma 2 8 2 3 2 3" xfId="2126" xr:uid="{00000000-0005-0000-0000-000090140000}"/>
    <cellStyle name="Comma 2 8 2 3 2 3 2" xfId="9273" xr:uid="{00000000-0005-0000-0000-000091140000}"/>
    <cellStyle name="Comma 2 8 2 3 2 4" xfId="9270" xr:uid="{00000000-0005-0000-0000-000092140000}"/>
    <cellStyle name="Comma 2 8 2 3 2 5" xfId="5826" xr:uid="{00000000-0005-0000-0000-000093140000}"/>
    <cellStyle name="Comma 2 8 2 3 3" xfId="2127" xr:uid="{00000000-0005-0000-0000-000094140000}"/>
    <cellStyle name="Comma 2 8 2 3 3 2" xfId="2128" xr:uid="{00000000-0005-0000-0000-000095140000}"/>
    <cellStyle name="Comma 2 8 2 3 3 2 2" xfId="9275" xr:uid="{00000000-0005-0000-0000-000096140000}"/>
    <cellStyle name="Comma 2 8 2 3 3 3" xfId="9274" xr:uid="{00000000-0005-0000-0000-000097140000}"/>
    <cellStyle name="Comma 2 8 2 3 3 4" xfId="5828" xr:uid="{00000000-0005-0000-0000-000098140000}"/>
    <cellStyle name="Comma 2 8 2 3 4" xfId="2129" xr:uid="{00000000-0005-0000-0000-000099140000}"/>
    <cellStyle name="Comma 2 8 2 3 4 2" xfId="2130" xr:uid="{00000000-0005-0000-0000-00009A140000}"/>
    <cellStyle name="Comma 2 8 2 3 4 2 2" xfId="9277" xr:uid="{00000000-0005-0000-0000-00009B140000}"/>
    <cellStyle name="Comma 2 8 2 3 4 3" xfId="9276" xr:uid="{00000000-0005-0000-0000-00009C140000}"/>
    <cellStyle name="Comma 2 8 2 3 4 4" xfId="5829" xr:uid="{00000000-0005-0000-0000-00009D140000}"/>
    <cellStyle name="Comma 2 8 2 3 5" xfId="2131" xr:uid="{00000000-0005-0000-0000-00009E140000}"/>
    <cellStyle name="Comma 2 8 2 3 5 2" xfId="9278" xr:uid="{00000000-0005-0000-0000-00009F140000}"/>
    <cellStyle name="Comma 2 8 2 3 6" xfId="9269" xr:uid="{00000000-0005-0000-0000-0000A0140000}"/>
    <cellStyle name="Comma 2 8 2 3 7" xfId="5825" xr:uid="{00000000-0005-0000-0000-0000A1140000}"/>
    <cellStyle name="Comma 2 8 2 4" xfId="2132" xr:uid="{00000000-0005-0000-0000-0000A2140000}"/>
    <cellStyle name="Comma 2 8 2 4 2" xfId="2133" xr:uid="{00000000-0005-0000-0000-0000A3140000}"/>
    <cellStyle name="Comma 2 8 2 4 2 2" xfId="2134" xr:uid="{00000000-0005-0000-0000-0000A4140000}"/>
    <cellStyle name="Comma 2 8 2 4 2 2 2" xfId="2135" xr:uid="{00000000-0005-0000-0000-0000A5140000}"/>
    <cellStyle name="Comma 2 8 2 4 2 2 2 2" xfId="9282" xr:uid="{00000000-0005-0000-0000-0000A6140000}"/>
    <cellStyle name="Comma 2 8 2 4 2 2 3" xfId="9281" xr:uid="{00000000-0005-0000-0000-0000A7140000}"/>
    <cellStyle name="Comma 2 8 2 4 2 2 4" xfId="5832" xr:uid="{00000000-0005-0000-0000-0000A8140000}"/>
    <cellStyle name="Comma 2 8 2 4 2 3" xfId="2136" xr:uid="{00000000-0005-0000-0000-0000A9140000}"/>
    <cellStyle name="Comma 2 8 2 4 2 3 2" xfId="9283" xr:uid="{00000000-0005-0000-0000-0000AA140000}"/>
    <cellStyle name="Comma 2 8 2 4 2 4" xfId="9280" xr:uid="{00000000-0005-0000-0000-0000AB140000}"/>
    <cellStyle name="Comma 2 8 2 4 2 5" xfId="5831" xr:uid="{00000000-0005-0000-0000-0000AC140000}"/>
    <cellStyle name="Comma 2 8 2 4 3" xfId="2137" xr:uid="{00000000-0005-0000-0000-0000AD140000}"/>
    <cellStyle name="Comma 2 8 2 4 3 2" xfId="2138" xr:uid="{00000000-0005-0000-0000-0000AE140000}"/>
    <cellStyle name="Comma 2 8 2 4 3 2 2" xfId="9285" xr:uid="{00000000-0005-0000-0000-0000AF140000}"/>
    <cellStyle name="Comma 2 8 2 4 3 3" xfId="9284" xr:uid="{00000000-0005-0000-0000-0000B0140000}"/>
    <cellStyle name="Comma 2 8 2 4 3 4" xfId="5833" xr:uid="{00000000-0005-0000-0000-0000B1140000}"/>
    <cellStyle name="Comma 2 8 2 4 4" xfId="2139" xr:uid="{00000000-0005-0000-0000-0000B2140000}"/>
    <cellStyle name="Comma 2 8 2 4 4 2" xfId="2140" xr:uid="{00000000-0005-0000-0000-0000B3140000}"/>
    <cellStyle name="Comma 2 8 2 4 4 2 2" xfId="9287" xr:uid="{00000000-0005-0000-0000-0000B4140000}"/>
    <cellStyle name="Comma 2 8 2 4 4 3" xfId="9286" xr:uid="{00000000-0005-0000-0000-0000B5140000}"/>
    <cellStyle name="Comma 2 8 2 4 4 4" xfId="5834" xr:uid="{00000000-0005-0000-0000-0000B6140000}"/>
    <cellStyle name="Comma 2 8 2 4 5" xfId="2141" xr:uid="{00000000-0005-0000-0000-0000B7140000}"/>
    <cellStyle name="Comma 2 8 2 4 5 2" xfId="9288" xr:uid="{00000000-0005-0000-0000-0000B8140000}"/>
    <cellStyle name="Comma 2 8 2 4 6" xfId="9279" xr:uid="{00000000-0005-0000-0000-0000B9140000}"/>
    <cellStyle name="Comma 2 8 2 4 7" xfId="5830" xr:uid="{00000000-0005-0000-0000-0000BA140000}"/>
    <cellStyle name="Comma 2 8 2 5" xfId="2142" xr:uid="{00000000-0005-0000-0000-0000BB140000}"/>
    <cellStyle name="Comma 2 8 2 5 2" xfId="2143" xr:uid="{00000000-0005-0000-0000-0000BC140000}"/>
    <cellStyle name="Comma 2 8 2 5 2 2" xfId="2144" xr:uid="{00000000-0005-0000-0000-0000BD140000}"/>
    <cellStyle name="Comma 2 8 2 5 2 2 2" xfId="2145" xr:uid="{00000000-0005-0000-0000-0000BE140000}"/>
    <cellStyle name="Comma 2 8 2 5 2 2 2 2" xfId="9292" xr:uid="{00000000-0005-0000-0000-0000BF140000}"/>
    <cellStyle name="Comma 2 8 2 5 2 2 3" xfId="9291" xr:uid="{00000000-0005-0000-0000-0000C0140000}"/>
    <cellStyle name="Comma 2 8 2 5 2 2 4" xfId="5837" xr:uid="{00000000-0005-0000-0000-0000C1140000}"/>
    <cellStyle name="Comma 2 8 2 5 2 3" xfId="2146" xr:uid="{00000000-0005-0000-0000-0000C2140000}"/>
    <cellStyle name="Comma 2 8 2 5 2 3 2" xfId="9293" xr:uid="{00000000-0005-0000-0000-0000C3140000}"/>
    <cellStyle name="Comma 2 8 2 5 2 4" xfId="9290" xr:uid="{00000000-0005-0000-0000-0000C4140000}"/>
    <cellStyle name="Comma 2 8 2 5 2 5" xfId="5836" xr:uid="{00000000-0005-0000-0000-0000C5140000}"/>
    <cellStyle name="Comma 2 8 2 5 3" xfId="2147" xr:uid="{00000000-0005-0000-0000-0000C6140000}"/>
    <cellStyle name="Comma 2 8 2 5 3 2" xfId="2148" xr:uid="{00000000-0005-0000-0000-0000C7140000}"/>
    <cellStyle name="Comma 2 8 2 5 3 2 2" xfId="9295" xr:uid="{00000000-0005-0000-0000-0000C8140000}"/>
    <cellStyle name="Comma 2 8 2 5 3 3" xfId="9294" xr:uid="{00000000-0005-0000-0000-0000C9140000}"/>
    <cellStyle name="Comma 2 8 2 5 3 4" xfId="5838" xr:uid="{00000000-0005-0000-0000-0000CA140000}"/>
    <cellStyle name="Comma 2 8 2 5 4" xfId="2149" xr:uid="{00000000-0005-0000-0000-0000CB140000}"/>
    <cellStyle name="Comma 2 8 2 5 4 2" xfId="2150" xr:uid="{00000000-0005-0000-0000-0000CC140000}"/>
    <cellStyle name="Comma 2 8 2 5 4 2 2" xfId="9297" xr:uid="{00000000-0005-0000-0000-0000CD140000}"/>
    <cellStyle name="Comma 2 8 2 5 4 3" xfId="9296" xr:uid="{00000000-0005-0000-0000-0000CE140000}"/>
    <cellStyle name="Comma 2 8 2 5 4 4" xfId="5839" xr:uid="{00000000-0005-0000-0000-0000CF140000}"/>
    <cellStyle name="Comma 2 8 2 5 5" xfId="2151" xr:uid="{00000000-0005-0000-0000-0000D0140000}"/>
    <cellStyle name="Comma 2 8 2 5 5 2" xfId="9298" xr:uid="{00000000-0005-0000-0000-0000D1140000}"/>
    <cellStyle name="Comma 2 8 2 5 6" xfId="9289" xr:uid="{00000000-0005-0000-0000-0000D2140000}"/>
    <cellStyle name="Comma 2 8 2 5 7" xfId="5835" xr:uid="{00000000-0005-0000-0000-0000D3140000}"/>
    <cellStyle name="Comma 2 8 2 6" xfId="2152" xr:uid="{00000000-0005-0000-0000-0000D4140000}"/>
    <cellStyle name="Comma 2 8 2 6 2" xfId="2153" xr:uid="{00000000-0005-0000-0000-0000D5140000}"/>
    <cellStyle name="Comma 2 8 2 6 2 2" xfId="2154" xr:uid="{00000000-0005-0000-0000-0000D6140000}"/>
    <cellStyle name="Comma 2 8 2 6 2 2 2" xfId="9301" xr:uid="{00000000-0005-0000-0000-0000D7140000}"/>
    <cellStyle name="Comma 2 8 2 6 2 3" xfId="9300" xr:uid="{00000000-0005-0000-0000-0000D8140000}"/>
    <cellStyle name="Comma 2 8 2 6 2 4" xfId="5841" xr:uid="{00000000-0005-0000-0000-0000D9140000}"/>
    <cellStyle name="Comma 2 8 2 6 3" xfId="2155" xr:uid="{00000000-0005-0000-0000-0000DA140000}"/>
    <cellStyle name="Comma 2 8 2 6 3 2" xfId="2156" xr:uid="{00000000-0005-0000-0000-0000DB140000}"/>
    <cellStyle name="Comma 2 8 2 6 3 2 2" xfId="9303" xr:uid="{00000000-0005-0000-0000-0000DC140000}"/>
    <cellStyle name="Comma 2 8 2 6 3 3" xfId="9302" xr:uid="{00000000-0005-0000-0000-0000DD140000}"/>
    <cellStyle name="Comma 2 8 2 6 3 4" xfId="5842" xr:uid="{00000000-0005-0000-0000-0000DE140000}"/>
    <cellStyle name="Comma 2 8 2 6 4" xfId="2157" xr:uid="{00000000-0005-0000-0000-0000DF140000}"/>
    <cellStyle name="Comma 2 8 2 6 4 2" xfId="9304" xr:uid="{00000000-0005-0000-0000-0000E0140000}"/>
    <cellStyle name="Comma 2 8 2 6 5" xfId="9299" xr:uid="{00000000-0005-0000-0000-0000E1140000}"/>
    <cellStyle name="Comma 2 8 2 6 6" xfId="5840" xr:uid="{00000000-0005-0000-0000-0000E2140000}"/>
    <cellStyle name="Comma 2 8 2 7" xfId="2158" xr:uid="{00000000-0005-0000-0000-0000E3140000}"/>
    <cellStyle name="Comma 2 8 2 7 2" xfId="2159" xr:uid="{00000000-0005-0000-0000-0000E4140000}"/>
    <cellStyle name="Comma 2 8 2 7 2 2" xfId="2160" xr:uid="{00000000-0005-0000-0000-0000E5140000}"/>
    <cellStyle name="Comma 2 8 2 7 2 2 2" xfId="9307" xr:uid="{00000000-0005-0000-0000-0000E6140000}"/>
    <cellStyle name="Comma 2 8 2 7 2 3" xfId="9306" xr:uid="{00000000-0005-0000-0000-0000E7140000}"/>
    <cellStyle name="Comma 2 8 2 7 2 4" xfId="5844" xr:uid="{00000000-0005-0000-0000-0000E8140000}"/>
    <cellStyle name="Comma 2 8 2 7 3" xfId="2161" xr:uid="{00000000-0005-0000-0000-0000E9140000}"/>
    <cellStyle name="Comma 2 8 2 7 3 2" xfId="9308" xr:uid="{00000000-0005-0000-0000-0000EA140000}"/>
    <cellStyle name="Comma 2 8 2 7 4" xfId="9305" xr:uid="{00000000-0005-0000-0000-0000EB140000}"/>
    <cellStyle name="Comma 2 8 2 7 5" xfId="5843" xr:uid="{00000000-0005-0000-0000-0000EC140000}"/>
    <cellStyle name="Comma 2 8 2 8" xfId="2162" xr:uid="{00000000-0005-0000-0000-0000ED140000}"/>
    <cellStyle name="Comma 2 8 2 8 2" xfId="2163" xr:uid="{00000000-0005-0000-0000-0000EE140000}"/>
    <cellStyle name="Comma 2 8 2 8 2 2" xfId="9310" xr:uid="{00000000-0005-0000-0000-0000EF140000}"/>
    <cellStyle name="Comma 2 8 2 8 3" xfId="9309" xr:uid="{00000000-0005-0000-0000-0000F0140000}"/>
    <cellStyle name="Comma 2 8 2 8 4" xfId="5845" xr:uid="{00000000-0005-0000-0000-0000F1140000}"/>
    <cellStyle name="Comma 2 8 2 9" xfId="2164" xr:uid="{00000000-0005-0000-0000-0000F2140000}"/>
    <cellStyle name="Comma 2 8 2 9 2" xfId="2165" xr:uid="{00000000-0005-0000-0000-0000F3140000}"/>
    <cellStyle name="Comma 2 8 2 9 2 2" xfId="9312" xr:uid="{00000000-0005-0000-0000-0000F4140000}"/>
    <cellStyle name="Comma 2 8 2 9 3" xfId="9311" xr:uid="{00000000-0005-0000-0000-0000F5140000}"/>
    <cellStyle name="Comma 2 8 2 9 4" xfId="5846" xr:uid="{00000000-0005-0000-0000-0000F6140000}"/>
    <cellStyle name="Comma 2 8 3" xfId="2166" xr:uid="{00000000-0005-0000-0000-0000F7140000}"/>
    <cellStyle name="Comma 2 8 3 2" xfId="2167" xr:uid="{00000000-0005-0000-0000-0000F8140000}"/>
    <cellStyle name="Comma 2 8 3 2 2" xfId="2168" xr:uid="{00000000-0005-0000-0000-0000F9140000}"/>
    <cellStyle name="Comma 2 8 3 2 2 2" xfId="2169" xr:uid="{00000000-0005-0000-0000-0000FA140000}"/>
    <cellStyle name="Comma 2 8 3 2 2 2 2" xfId="9316" xr:uid="{00000000-0005-0000-0000-0000FB140000}"/>
    <cellStyle name="Comma 2 8 3 2 2 3" xfId="9315" xr:uid="{00000000-0005-0000-0000-0000FC140000}"/>
    <cellStyle name="Comma 2 8 3 2 2 4" xfId="5849" xr:uid="{00000000-0005-0000-0000-0000FD140000}"/>
    <cellStyle name="Comma 2 8 3 2 3" xfId="2170" xr:uid="{00000000-0005-0000-0000-0000FE140000}"/>
    <cellStyle name="Comma 2 8 3 2 3 2" xfId="9317" xr:uid="{00000000-0005-0000-0000-0000FF140000}"/>
    <cellStyle name="Comma 2 8 3 2 4" xfId="9314" xr:uid="{00000000-0005-0000-0000-000000150000}"/>
    <cellStyle name="Comma 2 8 3 2 5" xfId="5848" xr:uid="{00000000-0005-0000-0000-000001150000}"/>
    <cellStyle name="Comma 2 8 3 3" xfId="2171" xr:uid="{00000000-0005-0000-0000-000002150000}"/>
    <cellStyle name="Comma 2 8 3 3 2" xfId="2172" xr:uid="{00000000-0005-0000-0000-000003150000}"/>
    <cellStyle name="Comma 2 8 3 3 2 2" xfId="9319" xr:uid="{00000000-0005-0000-0000-000004150000}"/>
    <cellStyle name="Comma 2 8 3 3 3" xfId="9318" xr:uid="{00000000-0005-0000-0000-000005150000}"/>
    <cellStyle name="Comma 2 8 3 3 4" xfId="5850" xr:uid="{00000000-0005-0000-0000-000006150000}"/>
    <cellStyle name="Comma 2 8 3 4" xfId="2173" xr:uid="{00000000-0005-0000-0000-000007150000}"/>
    <cellStyle name="Comma 2 8 3 4 2" xfId="2174" xr:uid="{00000000-0005-0000-0000-000008150000}"/>
    <cellStyle name="Comma 2 8 3 4 2 2" xfId="9321" xr:uid="{00000000-0005-0000-0000-000009150000}"/>
    <cellStyle name="Comma 2 8 3 4 3" xfId="9320" xr:uid="{00000000-0005-0000-0000-00000A150000}"/>
    <cellStyle name="Comma 2 8 3 4 4" xfId="5851" xr:uid="{00000000-0005-0000-0000-00000B150000}"/>
    <cellStyle name="Comma 2 8 3 5" xfId="2175" xr:uid="{00000000-0005-0000-0000-00000C150000}"/>
    <cellStyle name="Comma 2 8 3 5 2" xfId="9322" xr:uid="{00000000-0005-0000-0000-00000D150000}"/>
    <cellStyle name="Comma 2 8 3 6" xfId="9313" xr:uid="{00000000-0005-0000-0000-00000E150000}"/>
    <cellStyle name="Comma 2 8 3 7" xfId="5847" xr:uid="{00000000-0005-0000-0000-00000F150000}"/>
    <cellStyle name="Comma 2 8 4" xfId="2176" xr:uid="{00000000-0005-0000-0000-000010150000}"/>
    <cellStyle name="Comma 2 8 4 2" xfId="2177" xr:uid="{00000000-0005-0000-0000-000011150000}"/>
    <cellStyle name="Comma 2 8 4 2 2" xfId="2178" xr:uid="{00000000-0005-0000-0000-000012150000}"/>
    <cellStyle name="Comma 2 8 4 2 2 2" xfId="2179" xr:uid="{00000000-0005-0000-0000-000013150000}"/>
    <cellStyle name="Comma 2 8 4 2 2 2 2" xfId="9326" xr:uid="{00000000-0005-0000-0000-000014150000}"/>
    <cellStyle name="Comma 2 8 4 2 2 3" xfId="9325" xr:uid="{00000000-0005-0000-0000-000015150000}"/>
    <cellStyle name="Comma 2 8 4 2 2 4" xfId="5854" xr:uid="{00000000-0005-0000-0000-000016150000}"/>
    <cellStyle name="Comma 2 8 4 2 3" xfId="2180" xr:uid="{00000000-0005-0000-0000-000017150000}"/>
    <cellStyle name="Comma 2 8 4 2 3 2" xfId="9327" xr:uid="{00000000-0005-0000-0000-000018150000}"/>
    <cellStyle name="Comma 2 8 4 2 4" xfId="9324" xr:uid="{00000000-0005-0000-0000-000019150000}"/>
    <cellStyle name="Comma 2 8 4 2 5" xfId="5853" xr:uid="{00000000-0005-0000-0000-00001A150000}"/>
    <cellStyle name="Comma 2 8 4 3" xfId="2181" xr:uid="{00000000-0005-0000-0000-00001B150000}"/>
    <cellStyle name="Comma 2 8 4 3 2" xfId="2182" xr:uid="{00000000-0005-0000-0000-00001C150000}"/>
    <cellStyle name="Comma 2 8 4 3 2 2" xfId="9329" xr:uid="{00000000-0005-0000-0000-00001D150000}"/>
    <cellStyle name="Comma 2 8 4 3 3" xfId="9328" xr:uid="{00000000-0005-0000-0000-00001E150000}"/>
    <cellStyle name="Comma 2 8 4 3 4" xfId="5855" xr:uid="{00000000-0005-0000-0000-00001F150000}"/>
    <cellStyle name="Comma 2 8 4 4" xfId="2183" xr:uid="{00000000-0005-0000-0000-000020150000}"/>
    <cellStyle name="Comma 2 8 4 4 2" xfId="2184" xr:uid="{00000000-0005-0000-0000-000021150000}"/>
    <cellStyle name="Comma 2 8 4 4 2 2" xfId="9331" xr:uid="{00000000-0005-0000-0000-000022150000}"/>
    <cellStyle name="Comma 2 8 4 4 3" xfId="9330" xr:uid="{00000000-0005-0000-0000-000023150000}"/>
    <cellStyle name="Comma 2 8 4 4 4" xfId="5856" xr:uid="{00000000-0005-0000-0000-000024150000}"/>
    <cellStyle name="Comma 2 8 4 5" xfId="2185" xr:uid="{00000000-0005-0000-0000-000025150000}"/>
    <cellStyle name="Comma 2 8 4 5 2" xfId="9332" xr:uid="{00000000-0005-0000-0000-000026150000}"/>
    <cellStyle name="Comma 2 8 4 6" xfId="9323" xr:uid="{00000000-0005-0000-0000-000027150000}"/>
    <cellStyle name="Comma 2 8 4 7" xfId="5852" xr:uid="{00000000-0005-0000-0000-000028150000}"/>
    <cellStyle name="Comma 2 8 5" xfId="2186" xr:uid="{00000000-0005-0000-0000-000029150000}"/>
    <cellStyle name="Comma 2 8 5 2" xfId="2187" xr:uid="{00000000-0005-0000-0000-00002A150000}"/>
    <cellStyle name="Comma 2 8 5 2 2" xfId="2188" xr:uid="{00000000-0005-0000-0000-00002B150000}"/>
    <cellStyle name="Comma 2 8 5 2 2 2" xfId="2189" xr:uid="{00000000-0005-0000-0000-00002C150000}"/>
    <cellStyle name="Comma 2 8 5 2 2 2 2" xfId="9336" xr:uid="{00000000-0005-0000-0000-00002D150000}"/>
    <cellStyle name="Comma 2 8 5 2 2 3" xfId="9335" xr:uid="{00000000-0005-0000-0000-00002E150000}"/>
    <cellStyle name="Comma 2 8 5 2 2 4" xfId="5859" xr:uid="{00000000-0005-0000-0000-00002F150000}"/>
    <cellStyle name="Comma 2 8 5 2 3" xfId="2190" xr:uid="{00000000-0005-0000-0000-000030150000}"/>
    <cellStyle name="Comma 2 8 5 2 3 2" xfId="9337" xr:uid="{00000000-0005-0000-0000-000031150000}"/>
    <cellStyle name="Comma 2 8 5 2 4" xfId="9334" xr:uid="{00000000-0005-0000-0000-000032150000}"/>
    <cellStyle name="Comma 2 8 5 2 5" xfId="5858" xr:uid="{00000000-0005-0000-0000-000033150000}"/>
    <cellStyle name="Comma 2 8 5 3" xfId="2191" xr:uid="{00000000-0005-0000-0000-000034150000}"/>
    <cellStyle name="Comma 2 8 5 3 2" xfId="2192" xr:uid="{00000000-0005-0000-0000-000035150000}"/>
    <cellStyle name="Comma 2 8 5 3 2 2" xfId="9339" xr:uid="{00000000-0005-0000-0000-000036150000}"/>
    <cellStyle name="Comma 2 8 5 3 3" xfId="9338" xr:uid="{00000000-0005-0000-0000-000037150000}"/>
    <cellStyle name="Comma 2 8 5 3 4" xfId="5860" xr:uid="{00000000-0005-0000-0000-000038150000}"/>
    <cellStyle name="Comma 2 8 5 4" xfId="2193" xr:uid="{00000000-0005-0000-0000-000039150000}"/>
    <cellStyle name="Comma 2 8 5 4 2" xfId="2194" xr:uid="{00000000-0005-0000-0000-00003A150000}"/>
    <cellStyle name="Comma 2 8 5 4 2 2" xfId="9341" xr:uid="{00000000-0005-0000-0000-00003B150000}"/>
    <cellStyle name="Comma 2 8 5 4 3" xfId="9340" xr:uid="{00000000-0005-0000-0000-00003C150000}"/>
    <cellStyle name="Comma 2 8 5 4 4" xfId="5861" xr:uid="{00000000-0005-0000-0000-00003D150000}"/>
    <cellStyle name="Comma 2 8 5 5" xfId="2195" xr:uid="{00000000-0005-0000-0000-00003E150000}"/>
    <cellStyle name="Comma 2 8 5 5 2" xfId="9342" xr:uid="{00000000-0005-0000-0000-00003F150000}"/>
    <cellStyle name="Comma 2 8 5 6" xfId="9333" xr:uid="{00000000-0005-0000-0000-000040150000}"/>
    <cellStyle name="Comma 2 8 5 7" xfId="5857" xr:uid="{00000000-0005-0000-0000-000041150000}"/>
    <cellStyle name="Comma 2 8 6" xfId="2196" xr:uid="{00000000-0005-0000-0000-000042150000}"/>
    <cellStyle name="Comma 2 8 6 2" xfId="2197" xr:uid="{00000000-0005-0000-0000-000043150000}"/>
    <cellStyle name="Comma 2 8 6 2 2" xfId="2198" xr:uid="{00000000-0005-0000-0000-000044150000}"/>
    <cellStyle name="Comma 2 8 6 2 2 2" xfId="2199" xr:uid="{00000000-0005-0000-0000-000045150000}"/>
    <cellStyle name="Comma 2 8 6 2 2 2 2" xfId="9346" xr:uid="{00000000-0005-0000-0000-000046150000}"/>
    <cellStyle name="Comma 2 8 6 2 2 3" xfId="9345" xr:uid="{00000000-0005-0000-0000-000047150000}"/>
    <cellStyle name="Comma 2 8 6 2 2 4" xfId="5864" xr:uid="{00000000-0005-0000-0000-000048150000}"/>
    <cellStyle name="Comma 2 8 6 2 3" xfId="2200" xr:uid="{00000000-0005-0000-0000-000049150000}"/>
    <cellStyle name="Comma 2 8 6 2 3 2" xfId="9347" xr:uid="{00000000-0005-0000-0000-00004A150000}"/>
    <cellStyle name="Comma 2 8 6 2 4" xfId="9344" xr:uid="{00000000-0005-0000-0000-00004B150000}"/>
    <cellStyle name="Comma 2 8 6 2 5" xfId="5863" xr:uid="{00000000-0005-0000-0000-00004C150000}"/>
    <cellStyle name="Comma 2 8 6 3" xfId="2201" xr:uid="{00000000-0005-0000-0000-00004D150000}"/>
    <cellStyle name="Comma 2 8 6 3 2" xfId="2202" xr:uid="{00000000-0005-0000-0000-00004E150000}"/>
    <cellStyle name="Comma 2 8 6 3 2 2" xfId="9349" xr:uid="{00000000-0005-0000-0000-00004F150000}"/>
    <cellStyle name="Comma 2 8 6 3 3" xfId="9348" xr:uid="{00000000-0005-0000-0000-000050150000}"/>
    <cellStyle name="Comma 2 8 6 3 4" xfId="5865" xr:uid="{00000000-0005-0000-0000-000051150000}"/>
    <cellStyle name="Comma 2 8 6 4" xfId="2203" xr:uid="{00000000-0005-0000-0000-000052150000}"/>
    <cellStyle name="Comma 2 8 6 4 2" xfId="2204" xr:uid="{00000000-0005-0000-0000-000053150000}"/>
    <cellStyle name="Comma 2 8 6 4 2 2" xfId="9351" xr:uid="{00000000-0005-0000-0000-000054150000}"/>
    <cellStyle name="Comma 2 8 6 4 3" xfId="9350" xr:uid="{00000000-0005-0000-0000-000055150000}"/>
    <cellStyle name="Comma 2 8 6 4 4" xfId="5866" xr:uid="{00000000-0005-0000-0000-000056150000}"/>
    <cellStyle name="Comma 2 8 6 5" xfId="2205" xr:uid="{00000000-0005-0000-0000-000057150000}"/>
    <cellStyle name="Comma 2 8 6 5 2" xfId="9352" xr:uid="{00000000-0005-0000-0000-000058150000}"/>
    <cellStyle name="Comma 2 8 6 6" xfId="9343" xr:uid="{00000000-0005-0000-0000-000059150000}"/>
    <cellStyle name="Comma 2 8 6 7" xfId="5862" xr:uid="{00000000-0005-0000-0000-00005A150000}"/>
    <cellStyle name="Comma 2 8 7" xfId="2206" xr:uid="{00000000-0005-0000-0000-00005B150000}"/>
    <cellStyle name="Comma 2 8 7 2" xfId="2207" xr:uid="{00000000-0005-0000-0000-00005C150000}"/>
    <cellStyle name="Comma 2 8 7 2 2" xfId="2208" xr:uid="{00000000-0005-0000-0000-00005D150000}"/>
    <cellStyle name="Comma 2 8 7 2 2 2" xfId="9355" xr:uid="{00000000-0005-0000-0000-00005E150000}"/>
    <cellStyle name="Comma 2 8 7 2 3" xfId="9354" xr:uid="{00000000-0005-0000-0000-00005F150000}"/>
    <cellStyle name="Comma 2 8 7 2 4" xfId="5868" xr:uid="{00000000-0005-0000-0000-000060150000}"/>
    <cellStyle name="Comma 2 8 7 3" xfId="2209" xr:uid="{00000000-0005-0000-0000-000061150000}"/>
    <cellStyle name="Comma 2 8 7 3 2" xfId="2210" xr:uid="{00000000-0005-0000-0000-000062150000}"/>
    <cellStyle name="Comma 2 8 7 3 2 2" xfId="9357" xr:uid="{00000000-0005-0000-0000-000063150000}"/>
    <cellStyle name="Comma 2 8 7 3 3" xfId="9356" xr:uid="{00000000-0005-0000-0000-000064150000}"/>
    <cellStyle name="Comma 2 8 7 3 4" xfId="5869" xr:uid="{00000000-0005-0000-0000-000065150000}"/>
    <cellStyle name="Comma 2 8 7 4" xfId="2211" xr:uid="{00000000-0005-0000-0000-000066150000}"/>
    <cellStyle name="Comma 2 8 7 4 2" xfId="9358" xr:uid="{00000000-0005-0000-0000-000067150000}"/>
    <cellStyle name="Comma 2 8 7 5" xfId="9353" xr:uid="{00000000-0005-0000-0000-000068150000}"/>
    <cellStyle name="Comma 2 8 7 6" xfId="5867" xr:uid="{00000000-0005-0000-0000-000069150000}"/>
    <cellStyle name="Comma 2 8 8" xfId="2212" xr:uid="{00000000-0005-0000-0000-00006A150000}"/>
    <cellStyle name="Comma 2 8 8 2" xfId="2213" xr:uid="{00000000-0005-0000-0000-00006B150000}"/>
    <cellStyle name="Comma 2 8 8 2 2" xfId="2214" xr:uid="{00000000-0005-0000-0000-00006C150000}"/>
    <cellStyle name="Comma 2 8 8 2 2 2" xfId="9361" xr:uid="{00000000-0005-0000-0000-00006D150000}"/>
    <cellStyle name="Comma 2 8 8 2 3" xfId="9360" xr:uid="{00000000-0005-0000-0000-00006E150000}"/>
    <cellStyle name="Comma 2 8 8 2 4" xfId="5871" xr:uid="{00000000-0005-0000-0000-00006F150000}"/>
    <cellStyle name="Comma 2 8 8 3" xfId="2215" xr:uid="{00000000-0005-0000-0000-000070150000}"/>
    <cellStyle name="Comma 2 8 8 3 2" xfId="9362" xr:uid="{00000000-0005-0000-0000-000071150000}"/>
    <cellStyle name="Comma 2 8 8 4" xfId="9359" xr:uid="{00000000-0005-0000-0000-000072150000}"/>
    <cellStyle name="Comma 2 8 8 5" xfId="5870" xr:uid="{00000000-0005-0000-0000-000073150000}"/>
    <cellStyle name="Comma 2 8 9" xfId="2216" xr:uid="{00000000-0005-0000-0000-000074150000}"/>
    <cellStyle name="Comma 2 8 9 2" xfId="2217" xr:uid="{00000000-0005-0000-0000-000075150000}"/>
    <cellStyle name="Comma 2 8 9 2 2" xfId="9364" xr:uid="{00000000-0005-0000-0000-000076150000}"/>
    <cellStyle name="Comma 2 8 9 3" xfId="9363" xr:uid="{00000000-0005-0000-0000-000077150000}"/>
    <cellStyle name="Comma 2 8 9 4" xfId="5872" xr:uid="{00000000-0005-0000-0000-000078150000}"/>
    <cellStyle name="Comma 2 9" xfId="2218" xr:uid="{00000000-0005-0000-0000-000079150000}"/>
    <cellStyle name="Comma 2 9 10" xfId="2219" xr:uid="{00000000-0005-0000-0000-00007A150000}"/>
    <cellStyle name="Comma 2 9 10 2" xfId="9366" xr:uid="{00000000-0005-0000-0000-00007B150000}"/>
    <cellStyle name="Comma 2 9 11" xfId="9365" xr:uid="{00000000-0005-0000-0000-00007C150000}"/>
    <cellStyle name="Comma 2 9 12" xfId="5873" xr:uid="{00000000-0005-0000-0000-00007D150000}"/>
    <cellStyle name="Comma 2 9 2" xfId="2220" xr:uid="{00000000-0005-0000-0000-00007E150000}"/>
    <cellStyle name="Comma 2 9 2 2" xfId="2221" xr:uid="{00000000-0005-0000-0000-00007F150000}"/>
    <cellStyle name="Comma 2 9 2 2 2" xfId="2222" xr:uid="{00000000-0005-0000-0000-000080150000}"/>
    <cellStyle name="Comma 2 9 2 2 2 2" xfId="2223" xr:uid="{00000000-0005-0000-0000-000081150000}"/>
    <cellStyle name="Comma 2 9 2 2 2 2 2" xfId="9370" xr:uid="{00000000-0005-0000-0000-000082150000}"/>
    <cellStyle name="Comma 2 9 2 2 2 3" xfId="9369" xr:uid="{00000000-0005-0000-0000-000083150000}"/>
    <cellStyle name="Comma 2 9 2 2 2 4" xfId="5876" xr:uid="{00000000-0005-0000-0000-000084150000}"/>
    <cellStyle name="Comma 2 9 2 2 3" xfId="2224" xr:uid="{00000000-0005-0000-0000-000085150000}"/>
    <cellStyle name="Comma 2 9 2 2 3 2" xfId="9371" xr:uid="{00000000-0005-0000-0000-000086150000}"/>
    <cellStyle name="Comma 2 9 2 2 4" xfId="9368" xr:uid="{00000000-0005-0000-0000-000087150000}"/>
    <cellStyle name="Comma 2 9 2 2 5" xfId="5875" xr:uid="{00000000-0005-0000-0000-000088150000}"/>
    <cellStyle name="Comma 2 9 2 3" xfId="2225" xr:uid="{00000000-0005-0000-0000-000089150000}"/>
    <cellStyle name="Comma 2 9 2 3 2" xfId="2226" xr:uid="{00000000-0005-0000-0000-00008A150000}"/>
    <cellStyle name="Comma 2 9 2 3 2 2" xfId="9373" xr:uid="{00000000-0005-0000-0000-00008B150000}"/>
    <cellStyle name="Comma 2 9 2 3 3" xfId="9372" xr:uid="{00000000-0005-0000-0000-00008C150000}"/>
    <cellStyle name="Comma 2 9 2 3 4" xfId="5877" xr:uid="{00000000-0005-0000-0000-00008D150000}"/>
    <cellStyle name="Comma 2 9 2 4" xfId="2227" xr:uid="{00000000-0005-0000-0000-00008E150000}"/>
    <cellStyle name="Comma 2 9 2 4 2" xfId="2228" xr:uid="{00000000-0005-0000-0000-00008F150000}"/>
    <cellStyle name="Comma 2 9 2 4 2 2" xfId="9375" xr:uid="{00000000-0005-0000-0000-000090150000}"/>
    <cellStyle name="Comma 2 9 2 4 3" xfId="9374" xr:uid="{00000000-0005-0000-0000-000091150000}"/>
    <cellStyle name="Comma 2 9 2 4 4" xfId="5878" xr:uid="{00000000-0005-0000-0000-000092150000}"/>
    <cellStyle name="Comma 2 9 2 5" xfId="2229" xr:uid="{00000000-0005-0000-0000-000093150000}"/>
    <cellStyle name="Comma 2 9 2 5 2" xfId="9376" xr:uid="{00000000-0005-0000-0000-000094150000}"/>
    <cellStyle name="Comma 2 9 2 6" xfId="9367" xr:uid="{00000000-0005-0000-0000-000095150000}"/>
    <cellStyle name="Comma 2 9 2 7" xfId="5874" xr:uid="{00000000-0005-0000-0000-000096150000}"/>
    <cellStyle name="Comma 2 9 3" xfId="2230" xr:uid="{00000000-0005-0000-0000-000097150000}"/>
    <cellStyle name="Comma 2 9 3 2" xfId="2231" xr:uid="{00000000-0005-0000-0000-000098150000}"/>
    <cellStyle name="Comma 2 9 3 2 2" xfId="2232" xr:uid="{00000000-0005-0000-0000-000099150000}"/>
    <cellStyle name="Comma 2 9 3 2 2 2" xfId="2233" xr:uid="{00000000-0005-0000-0000-00009A150000}"/>
    <cellStyle name="Comma 2 9 3 2 2 2 2" xfId="9380" xr:uid="{00000000-0005-0000-0000-00009B150000}"/>
    <cellStyle name="Comma 2 9 3 2 2 3" xfId="9379" xr:uid="{00000000-0005-0000-0000-00009C150000}"/>
    <cellStyle name="Comma 2 9 3 2 2 4" xfId="5881" xr:uid="{00000000-0005-0000-0000-00009D150000}"/>
    <cellStyle name="Comma 2 9 3 2 3" xfId="2234" xr:uid="{00000000-0005-0000-0000-00009E150000}"/>
    <cellStyle name="Comma 2 9 3 2 3 2" xfId="9381" xr:uid="{00000000-0005-0000-0000-00009F150000}"/>
    <cellStyle name="Comma 2 9 3 2 4" xfId="9378" xr:uid="{00000000-0005-0000-0000-0000A0150000}"/>
    <cellStyle name="Comma 2 9 3 2 5" xfId="5880" xr:uid="{00000000-0005-0000-0000-0000A1150000}"/>
    <cellStyle name="Comma 2 9 3 3" xfId="2235" xr:uid="{00000000-0005-0000-0000-0000A2150000}"/>
    <cellStyle name="Comma 2 9 3 3 2" xfId="2236" xr:uid="{00000000-0005-0000-0000-0000A3150000}"/>
    <cellStyle name="Comma 2 9 3 3 2 2" xfId="9383" xr:uid="{00000000-0005-0000-0000-0000A4150000}"/>
    <cellStyle name="Comma 2 9 3 3 3" xfId="9382" xr:uid="{00000000-0005-0000-0000-0000A5150000}"/>
    <cellStyle name="Comma 2 9 3 3 4" xfId="5882" xr:uid="{00000000-0005-0000-0000-0000A6150000}"/>
    <cellStyle name="Comma 2 9 3 4" xfId="2237" xr:uid="{00000000-0005-0000-0000-0000A7150000}"/>
    <cellStyle name="Comma 2 9 3 4 2" xfId="2238" xr:uid="{00000000-0005-0000-0000-0000A8150000}"/>
    <cellStyle name="Comma 2 9 3 4 2 2" xfId="9385" xr:uid="{00000000-0005-0000-0000-0000A9150000}"/>
    <cellStyle name="Comma 2 9 3 4 3" xfId="9384" xr:uid="{00000000-0005-0000-0000-0000AA150000}"/>
    <cellStyle name="Comma 2 9 3 4 4" xfId="5883" xr:uid="{00000000-0005-0000-0000-0000AB150000}"/>
    <cellStyle name="Comma 2 9 3 5" xfId="2239" xr:uid="{00000000-0005-0000-0000-0000AC150000}"/>
    <cellStyle name="Comma 2 9 3 5 2" xfId="9386" xr:uid="{00000000-0005-0000-0000-0000AD150000}"/>
    <cellStyle name="Comma 2 9 3 6" xfId="9377" xr:uid="{00000000-0005-0000-0000-0000AE150000}"/>
    <cellStyle name="Comma 2 9 3 7" xfId="5879" xr:uid="{00000000-0005-0000-0000-0000AF150000}"/>
    <cellStyle name="Comma 2 9 4" xfId="2240" xr:uid="{00000000-0005-0000-0000-0000B0150000}"/>
    <cellStyle name="Comma 2 9 4 2" xfId="2241" xr:uid="{00000000-0005-0000-0000-0000B1150000}"/>
    <cellStyle name="Comma 2 9 4 2 2" xfId="2242" xr:uid="{00000000-0005-0000-0000-0000B2150000}"/>
    <cellStyle name="Comma 2 9 4 2 2 2" xfId="2243" xr:uid="{00000000-0005-0000-0000-0000B3150000}"/>
    <cellStyle name="Comma 2 9 4 2 2 2 2" xfId="9390" xr:uid="{00000000-0005-0000-0000-0000B4150000}"/>
    <cellStyle name="Comma 2 9 4 2 2 3" xfId="9389" xr:uid="{00000000-0005-0000-0000-0000B5150000}"/>
    <cellStyle name="Comma 2 9 4 2 2 4" xfId="5886" xr:uid="{00000000-0005-0000-0000-0000B6150000}"/>
    <cellStyle name="Comma 2 9 4 2 3" xfId="2244" xr:uid="{00000000-0005-0000-0000-0000B7150000}"/>
    <cellStyle name="Comma 2 9 4 2 3 2" xfId="9391" xr:uid="{00000000-0005-0000-0000-0000B8150000}"/>
    <cellStyle name="Comma 2 9 4 2 4" xfId="9388" xr:uid="{00000000-0005-0000-0000-0000B9150000}"/>
    <cellStyle name="Comma 2 9 4 2 5" xfId="5885" xr:uid="{00000000-0005-0000-0000-0000BA150000}"/>
    <cellStyle name="Comma 2 9 4 3" xfId="2245" xr:uid="{00000000-0005-0000-0000-0000BB150000}"/>
    <cellStyle name="Comma 2 9 4 3 2" xfId="2246" xr:uid="{00000000-0005-0000-0000-0000BC150000}"/>
    <cellStyle name="Comma 2 9 4 3 2 2" xfId="9393" xr:uid="{00000000-0005-0000-0000-0000BD150000}"/>
    <cellStyle name="Comma 2 9 4 3 3" xfId="9392" xr:uid="{00000000-0005-0000-0000-0000BE150000}"/>
    <cellStyle name="Comma 2 9 4 3 4" xfId="5887" xr:uid="{00000000-0005-0000-0000-0000BF150000}"/>
    <cellStyle name="Comma 2 9 4 4" xfId="2247" xr:uid="{00000000-0005-0000-0000-0000C0150000}"/>
    <cellStyle name="Comma 2 9 4 4 2" xfId="2248" xr:uid="{00000000-0005-0000-0000-0000C1150000}"/>
    <cellStyle name="Comma 2 9 4 4 2 2" xfId="9395" xr:uid="{00000000-0005-0000-0000-0000C2150000}"/>
    <cellStyle name="Comma 2 9 4 4 3" xfId="9394" xr:uid="{00000000-0005-0000-0000-0000C3150000}"/>
    <cellStyle name="Comma 2 9 4 4 4" xfId="5888" xr:uid="{00000000-0005-0000-0000-0000C4150000}"/>
    <cellStyle name="Comma 2 9 4 5" xfId="2249" xr:uid="{00000000-0005-0000-0000-0000C5150000}"/>
    <cellStyle name="Comma 2 9 4 5 2" xfId="9396" xr:uid="{00000000-0005-0000-0000-0000C6150000}"/>
    <cellStyle name="Comma 2 9 4 6" xfId="9387" xr:uid="{00000000-0005-0000-0000-0000C7150000}"/>
    <cellStyle name="Comma 2 9 4 7" xfId="5884" xr:uid="{00000000-0005-0000-0000-0000C8150000}"/>
    <cellStyle name="Comma 2 9 5" xfId="2250" xr:uid="{00000000-0005-0000-0000-0000C9150000}"/>
    <cellStyle name="Comma 2 9 5 2" xfId="2251" xr:uid="{00000000-0005-0000-0000-0000CA150000}"/>
    <cellStyle name="Comma 2 9 5 2 2" xfId="2252" xr:uid="{00000000-0005-0000-0000-0000CB150000}"/>
    <cellStyle name="Comma 2 9 5 2 2 2" xfId="2253" xr:uid="{00000000-0005-0000-0000-0000CC150000}"/>
    <cellStyle name="Comma 2 9 5 2 2 2 2" xfId="9400" xr:uid="{00000000-0005-0000-0000-0000CD150000}"/>
    <cellStyle name="Comma 2 9 5 2 2 3" xfId="9399" xr:uid="{00000000-0005-0000-0000-0000CE150000}"/>
    <cellStyle name="Comma 2 9 5 2 2 4" xfId="5891" xr:uid="{00000000-0005-0000-0000-0000CF150000}"/>
    <cellStyle name="Comma 2 9 5 2 3" xfId="2254" xr:uid="{00000000-0005-0000-0000-0000D0150000}"/>
    <cellStyle name="Comma 2 9 5 2 3 2" xfId="9401" xr:uid="{00000000-0005-0000-0000-0000D1150000}"/>
    <cellStyle name="Comma 2 9 5 2 4" xfId="9398" xr:uid="{00000000-0005-0000-0000-0000D2150000}"/>
    <cellStyle name="Comma 2 9 5 2 5" xfId="5890" xr:uid="{00000000-0005-0000-0000-0000D3150000}"/>
    <cellStyle name="Comma 2 9 5 3" xfId="2255" xr:uid="{00000000-0005-0000-0000-0000D4150000}"/>
    <cellStyle name="Comma 2 9 5 3 2" xfId="2256" xr:uid="{00000000-0005-0000-0000-0000D5150000}"/>
    <cellStyle name="Comma 2 9 5 3 2 2" xfId="9403" xr:uid="{00000000-0005-0000-0000-0000D6150000}"/>
    <cellStyle name="Comma 2 9 5 3 3" xfId="9402" xr:uid="{00000000-0005-0000-0000-0000D7150000}"/>
    <cellStyle name="Comma 2 9 5 3 4" xfId="5892" xr:uid="{00000000-0005-0000-0000-0000D8150000}"/>
    <cellStyle name="Comma 2 9 5 4" xfId="2257" xr:uid="{00000000-0005-0000-0000-0000D9150000}"/>
    <cellStyle name="Comma 2 9 5 4 2" xfId="2258" xr:uid="{00000000-0005-0000-0000-0000DA150000}"/>
    <cellStyle name="Comma 2 9 5 4 2 2" xfId="9405" xr:uid="{00000000-0005-0000-0000-0000DB150000}"/>
    <cellStyle name="Comma 2 9 5 4 3" xfId="9404" xr:uid="{00000000-0005-0000-0000-0000DC150000}"/>
    <cellStyle name="Comma 2 9 5 4 4" xfId="5893" xr:uid="{00000000-0005-0000-0000-0000DD150000}"/>
    <cellStyle name="Comma 2 9 5 5" xfId="2259" xr:uid="{00000000-0005-0000-0000-0000DE150000}"/>
    <cellStyle name="Comma 2 9 5 5 2" xfId="9406" xr:uid="{00000000-0005-0000-0000-0000DF150000}"/>
    <cellStyle name="Comma 2 9 5 6" xfId="9397" xr:uid="{00000000-0005-0000-0000-0000E0150000}"/>
    <cellStyle name="Comma 2 9 5 7" xfId="5889" xr:uid="{00000000-0005-0000-0000-0000E1150000}"/>
    <cellStyle name="Comma 2 9 6" xfId="2260" xr:uid="{00000000-0005-0000-0000-0000E2150000}"/>
    <cellStyle name="Comma 2 9 6 2" xfId="2261" xr:uid="{00000000-0005-0000-0000-0000E3150000}"/>
    <cellStyle name="Comma 2 9 6 2 2" xfId="2262" xr:uid="{00000000-0005-0000-0000-0000E4150000}"/>
    <cellStyle name="Comma 2 9 6 2 2 2" xfId="9409" xr:uid="{00000000-0005-0000-0000-0000E5150000}"/>
    <cellStyle name="Comma 2 9 6 2 3" xfId="9408" xr:uid="{00000000-0005-0000-0000-0000E6150000}"/>
    <cellStyle name="Comma 2 9 6 2 4" xfId="5895" xr:uid="{00000000-0005-0000-0000-0000E7150000}"/>
    <cellStyle name="Comma 2 9 6 3" xfId="2263" xr:uid="{00000000-0005-0000-0000-0000E8150000}"/>
    <cellStyle name="Comma 2 9 6 3 2" xfId="2264" xr:uid="{00000000-0005-0000-0000-0000E9150000}"/>
    <cellStyle name="Comma 2 9 6 3 2 2" xfId="9411" xr:uid="{00000000-0005-0000-0000-0000EA150000}"/>
    <cellStyle name="Comma 2 9 6 3 3" xfId="9410" xr:uid="{00000000-0005-0000-0000-0000EB150000}"/>
    <cellStyle name="Comma 2 9 6 3 4" xfId="5896" xr:uid="{00000000-0005-0000-0000-0000EC150000}"/>
    <cellStyle name="Comma 2 9 6 4" xfId="2265" xr:uid="{00000000-0005-0000-0000-0000ED150000}"/>
    <cellStyle name="Comma 2 9 6 4 2" xfId="9412" xr:uid="{00000000-0005-0000-0000-0000EE150000}"/>
    <cellStyle name="Comma 2 9 6 5" xfId="9407" xr:uid="{00000000-0005-0000-0000-0000EF150000}"/>
    <cellStyle name="Comma 2 9 6 6" xfId="5894" xr:uid="{00000000-0005-0000-0000-0000F0150000}"/>
    <cellStyle name="Comma 2 9 7" xfId="2266" xr:uid="{00000000-0005-0000-0000-0000F1150000}"/>
    <cellStyle name="Comma 2 9 7 2" xfId="2267" xr:uid="{00000000-0005-0000-0000-0000F2150000}"/>
    <cellStyle name="Comma 2 9 7 2 2" xfId="2268" xr:uid="{00000000-0005-0000-0000-0000F3150000}"/>
    <cellStyle name="Comma 2 9 7 2 2 2" xfId="9415" xr:uid="{00000000-0005-0000-0000-0000F4150000}"/>
    <cellStyle name="Comma 2 9 7 2 3" xfId="9414" xr:uid="{00000000-0005-0000-0000-0000F5150000}"/>
    <cellStyle name="Comma 2 9 7 2 4" xfId="5898" xr:uid="{00000000-0005-0000-0000-0000F6150000}"/>
    <cellStyle name="Comma 2 9 7 3" xfId="2269" xr:uid="{00000000-0005-0000-0000-0000F7150000}"/>
    <cellStyle name="Comma 2 9 7 3 2" xfId="9416" xr:uid="{00000000-0005-0000-0000-0000F8150000}"/>
    <cellStyle name="Comma 2 9 7 4" xfId="9413" xr:uid="{00000000-0005-0000-0000-0000F9150000}"/>
    <cellStyle name="Comma 2 9 7 5" xfId="5897" xr:uid="{00000000-0005-0000-0000-0000FA150000}"/>
    <cellStyle name="Comma 2 9 8" xfId="2270" xr:uid="{00000000-0005-0000-0000-0000FB150000}"/>
    <cellStyle name="Comma 2 9 8 2" xfId="2271" xr:uid="{00000000-0005-0000-0000-0000FC150000}"/>
    <cellStyle name="Comma 2 9 8 2 2" xfId="9418" xr:uid="{00000000-0005-0000-0000-0000FD150000}"/>
    <cellStyle name="Comma 2 9 8 3" xfId="9417" xr:uid="{00000000-0005-0000-0000-0000FE150000}"/>
    <cellStyle name="Comma 2 9 8 4" xfId="5899" xr:uid="{00000000-0005-0000-0000-0000FF150000}"/>
    <cellStyle name="Comma 2 9 9" xfId="2272" xr:uid="{00000000-0005-0000-0000-000000160000}"/>
    <cellStyle name="Comma 2 9 9 2" xfId="2273" xr:uid="{00000000-0005-0000-0000-000001160000}"/>
    <cellStyle name="Comma 2 9 9 2 2" xfId="9420" xr:uid="{00000000-0005-0000-0000-000002160000}"/>
    <cellStyle name="Comma 2 9 9 3" xfId="9419" xr:uid="{00000000-0005-0000-0000-000003160000}"/>
    <cellStyle name="Comma 2 9 9 4" xfId="5900" xr:uid="{00000000-0005-0000-0000-000004160000}"/>
    <cellStyle name="Comma 3" xfId="12" xr:uid="{00000000-0005-0000-0000-000005160000}"/>
    <cellStyle name="Comma 3 10" xfId="2275" xr:uid="{00000000-0005-0000-0000-000006160000}"/>
    <cellStyle name="Comma 3 10 2" xfId="2276" xr:uid="{00000000-0005-0000-0000-000007160000}"/>
    <cellStyle name="Comma 3 10 2 2" xfId="2277" xr:uid="{00000000-0005-0000-0000-000008160000}"/>
    <cellStyle name="Comma 3 10 2 2 2" xfId="9424" xr:uid="{00000000-0005-0000-0000-000009160000}"/>
    <cellStyle name="Comma 3 10 2 3" xfId="9423" xr:uid="{00000000-0005-0000-0000-00000A160000}"/>
    <cellStyle name="Comma 3 10 2 4" xfId="5903" xr:uid="{00000000-0005-0000-0000-00000B160000}"/>
    <cellStyle name="Comma 3 10 3" xfId="2278" xr:uid="{00000000-0005-0000-0000-00000C160000}"/>
    <cellStyle name="Comma 3 10 3 2" xfId="2279" xr:uid="{00000000-0005-0000-0000-00000D160000}"/>
    <cellStyle name="Comma 3 10 3 2 2" xfId="9426" xr:uid="{00000000-0005-0000-0000-00000E160000}"/>
    <cellStyle name="Comma 3 10 3 3" xfId="9425" xr:uid="{00000000-0005-0000-0000-00000F160000}"/>
    <cellStyle name="Comma 3 10 3 4" xfId="5904" xr:uid="{00000000-0005-0000-0000-000010160000}"/>
    <cellStyle name="Comma 3 10 4" xfId="2280" xr:uid="{00000000-0005-0000-0000-000011160000}"/>
    <cellStyle name="Comma 3 10 4 2" xfId="9427" xr:uid="{00000000-0005-0000-0000-000012160000}"/>
    <cellStyle name="Comma 3 10 5" xfId="9422" xr:uid="{00000000-0005-0000-0000-000013160000}"/>
    <cellStyle name="Comma 3 10 6" xfId="5902" xr:uid="{00000000-0005-0000-0000-000014160000}"/>
    <cellStyle name="Comma 3 11" xfId="2281" xr:uid="{00000000-0005-0000-0000-000015160000}"/>
    <cellStyle name="Comma 3 11 2" xfId="2282" xr:uid="{00000000-0005-0000-0000-000016160000}"/>
    <cellStyle name="Comma 3 11 2 2" xfId="2283" xr:uid="{00000000-0005-0000-0000-000017160000}"/>
    <cellStyle name="Comma 3 11 2 2 2" xfId="9430" xr:uid="{00000000-0005-0000-0000-000018160000}"/>
    <cellStyle name="Comma 3 11 2 3" xfId="9429" xr:uid="{00000000-0005-0000-0000-000019160000}"/>
    <cellStyle name="Comma 3 11 2 4" xfId="5906" xr:uid="{00000000-0005-0000-0000-00001A160000}"/>
    <cellStyle name="Comma 3 11 3" xfId="2284" xr:uid="{00000000-0005-0000-0000-00001B160000}"/>
    <cellStyle name="Comma 3 11 3 2" xfId="9431" xr:uid="{00000000-0005-0000-0000-00001C160000}"/>
    <cellStyle name="Comma 3 11 4" xfId="9428" xr:uid="{00000000-0005-0000-0000-00001D160000}"/>
    <cellStyle name="Comma 3 11 5" xfId="5905" xr:uid="{00000000-0005-0000-0000-00001E160000}"/>
    <cellStyle name="Comma 3 12" xfId="2285" xr:uid="{00000000-0005-0000-0000-00001F160000}"/>
    <cellStyle name="Comma 3 12 2" xfId="2286" xr:uid="{00000000-0005-0000-0000-000020160000}"/>
    <cellStyle name="Comma 3 12 2 2" xfId="9433" xr:uid="{00000000-0005-0000-0000-000021160000}"/>
    <cellStyle name="Comma 3 12 3" xfId="9432" xr:uid="{00000000-0005-0000-0000-000022160000}"/>
    <cellStyle name="Comma 3 12 4" xfId="5907" xr:uid="{00000000-0005-0000-0000-000023160000}"/>
    <cellStyle name="Comma 3 13" xfId="2287" xr:uid="{00000000-0005-0000-0000-000024160000}"/>
    <cellStyle name="Comma 3 13 2" xfId="2288" xr:uid="{00000000-0005-0000-0000-000025160000}"/>
    <cellStyle name="Comma 3 13 2 2" xfId="9435" xr:uid="{00000000-0005-0000-0000-000026160000}"/>
    <cellStyle name="Comma 3 13 3" xfId="9434" xr:uid="{00000000-0005-0000-0000-000027160000}"/>
    <cellStyle name="Comma 3 13 4" xfId="5908" xr:uid="{00000000-0005-0000-0000-000028160000}"/>
    <cellStyle name="Comma 3 14" xfId="2289" xr:uid="{00000000-0005-0000-0000-000029160000}"/>
    <cellStyle name="Comma 3 14 2" xfId="9437" xr:uid="{00000000-0005-0000-0000-00002A160000}"/>
    <cellStyle name="Comma 3 14 3" xfId="9436" xr:uid="{00000000-0005-0000-0000-00002B160000}"/>
    <cellStyle name="Comma 3 14 4" xfId="5909" xr:uid="{00000000-0005-0000-0000-00002C160000}"/>
    <cellStyle name="Comma 3 15" xfId="2274" xr:uid="{00000000-0005-0000-0000-00002D160000}"/>
    <cellStyle name="Comma 3 15 2" xfId="9438" xr:uid="{00000000-0005-0000-0000-00002E160000}"/>
    <cellStyle name="Comma 3 16" xfId="9421" xr:uid="{00000000-0005-0000-0000-00002F160000}"/>
    <cellStyle name="Comma 3 17" xfId="12311" xr:uid="{00000000-0005-0000-0000-000030160000}"/>
    <cellStyle name="Comma 3 18" xfId="5901" xr:uid="{00000000-0005-0000-0000-000031160000}"/>
    <cellStyle name="Comma 3 19" xfId="12326" xr:uid="{00000000-0005-0000-0000-000032160000}"/>
    <cellStyle name="Comma 3 2" xfId="2290" xr:uid="{00000000-0005-0000-0000-000033160000}"/>
    <cellStyle name="Comma 3 2 10" xfId="2291" xr:uid="{00000000-0005-0000-0000-000034160000}"/>
    <cellStyle name="Comma 3 2 10 2" xfId="2292" xr:uid="{00000000-0005-0000-0000-000035160000}"/>
    <cellStyle name="Comma 3 2 10 2 2" xfId="9441" xr:uid="{00000000-0005-0000-0000-000036160000}"/>
    <cellStyle name="Comma 3 2 10 3" xfId="9440" xr:uid="{00000000-0005-0000-0000-000037160000}"/>
    <cellStyle name="Comma 3 2 10 4" xfId="5911" xr:uid="{00000000-0005-0000-0000-000038160000}"/>
    <cellStyle name="Comma 3 2 11" xfId="2293" xr:uid="{00000000-0005-0000-0000-000039160000}"/>
    <cellStyle name="Comma 3 2 11 2" xfId="9442" xr:uid="{00000000-0005-0000-0000-00003A160000}"/>
    <cellStyle name="Comma 3 2 12" xfId="9439" xr:uid="{00000000-0005-0000-0000-00003B160000}"/>
    <cellStyle name="Comma 3 2 13" xfId="5910" xr:uid="{00000000-0005-0000-0000-00003C160000}"/>
    <cellStyle name="Comma 3 2 14" xfId="12331" xr:uid="{00000000-0005-0000-0000-00003D160000}"/>
    <cellStyle name="Comma 3 2 15" xfId="12341" xr:uid="{00000000-0005-0000-0000-00003E160000}"/>
    <cellStyle name="Comma 3 2 16" xfId="12356" xr:uid="{00000000-0005-0000-0000-00003F160000}"/>
    <cellStyle name="Comma 3 2 2" xfId="2294" xr:uid="{00000000-0005-0000-0000-000040160000}"/>
    <cellStyle name="Comma 3 2 2 10" xfId="2295" xr:uid="{00000000-0005-0000-0000-000041160000}"/>
    <cellStyle name="Comma 3 2 2 10 2" xfId="9444" xr:uid="{00000000-0005-0000-0000-000042160000}"/>
    <cellStyle name="Comma 3 2 2 11" xfId="9443" xr:uid="{00000000-0005-0000-0000-000043160000}"/>
    <cellStyle name="Comma 3 2 2 12" xfId="5912" xr:uid="{00000000-0005-0000-0000-000044160000}"/>
    <cellStyle name="Comma 3 2 2 2" xfId="2296" xr:uid="{00000000-0005-0000-0000-000045160000}"/>
    <cellStyle name="Comma 3 2 2 2 2" xfId="2297" xr:uid="{00000000-0005-0000-0000-000046160000}"/>
    <cellStyle name="Comma 3 2 2 2 2 2" xfId="2298" xr:uid="{00000000-0005-0000-0000-000047160000}"/>
    <cellStyle name="Comma 3 2 2 2 2 2 2" xfId="2299" xr:uid="{00000000-0005-0000-0000-000048160000}"/>
    <cellStyle name="Comma 3 2 2 2 2 2 2 2" xfId="9448" xr:uid="{00000000-0005-0000-0000-000049160000}"/>
    <cellStyle name="Comma 3 2 2 2 2 2 3" xfId="9447" xr:uid="{00000000-0005-0000-0000-00004A160000}"/>
    <cellStyle name="Comma 3 2 2 2 2 2 4" xfId="5915" xr:uid="{00000000-0005-0000-0000-00004B160000}"/>
    <cellStyle name="Comma 3 2 2 2 2 3" xfId="2300" xr:uid="{00000000-0005-0000-0000-00004C160000}"/>
    <cellStyle name="Comma 3 2 2 2 2 3 2" xfId="9449" xr:uid="{00000000-0005-0000-0000-00004D160000}"/>
    <cellStyle name="Comma 3 2 2 2 2 4" xfId="9446" xr:uid="{00000000-0005-0000-0000-00004E160000}"/>
    <cellStyle name="Comma 3 2 2 2 2 5" xfId="5914" xr:uid="{00000000-0005-0000-0000-00004F160000}"/>
    <cellStyle name="Comma 3 2 2 2 3" xfId="2301" xr:uid="{00000000-0005-0000-0000-000050160000}"/>
    <cellStyle name="Comma 3 2 2 2 3 2" xfId="2302" xr:uid="{00000000-0005-0000-0000-000051160000}"/>
    <cellStyle name="Comma 3 2 2 2 3 2 2" xfId="9451" xr:uid="{00000000-0005-0000-0000-000052160000}"/>
    <cellStyle name="Comma 3 2 2 2 3 3" xfId="9450" xr:uid="{00000000-0005-0000-0000-000053160000}"/>
    <cellStyle name="Comma 3 2 2 2 3 4" xfId="5916" xr:uid="{00000000-0005-0000-0000-000054160000}"/>
    <cellStyle name="Comma 3 2 2 2 4" xfId="2303" xr:uid="{00000000-0005-0000-0000-000055160000}"/>
    <cellStyle name="Comma 3 2 2 2 4 2" xfId="2304" xr:uid="{00000000-0005-0000-0000-000056160000}"/>
    <cellStyle name="Comma 3 2 2 2 4 2 2" xfId="9453" xr:uid="{00000000-0005-0000-0000-000057160000}"/>
    <cellStyle name="Comma 3 2 2 2 4 3" xfId="9452" xr:uid="{00000000-0005-0000-0000-000058160000}"/>
    <cellStyle name="Comma 3 2 2 2 4 4" xfId="5917" xr:uid="{00000000-0005-0000-0000-000059160000}"/>
    <cellStyle name="Comma 3 2 2 2 5" xfId="2305" xr:uid="{00000000-0005-0000-0000-00005A160000}"/>
    <cellStyle name="Comma 3 2 2 2 5 2" xfId="9454" xr:uid="{00000000-0005-0000-0000-00005B160000}"/>
    <cellStyle name="Comma 3 2 2 2 6" xfId="9445" xr:uid="{00000000-0005-0000-0000-00005C160000}"/>
    <cellStyle name="Comma 3 2 2 2 7" xfId="5913" xr:uid="{00000000-0005-0000-0000-00005D160000}"/>
    <cellStyle name="Comma 3 2 2 3" xfId="2306" xr:uid="{00000000-0005-0000-0000-00005E160000}"/>
    <cellStyle name="Comma 3 2 2 3 2" xfId="2307" xr:uid="{00000000-0005-0000-0000-00005F160000}"/>
    <cellStyle name="Comma 3 2 2 3 2 2" xfId="2308" xr:uid="{00000000-0005-0000-0000-000060160000}"/>
    <cellStyle name="Comma 3 2 2 3 2 2 2" xfId="2309" xr:uid="{00000000-0005-0000-0000-000061160000}"/>
    <cellStyle name="Comma 3 2 2 3 2 2 2 2" xfId="9458" xr:uid="{00000000-0005-0000-0000-000062160000}"/>
    <cellStyle name="Comma 3 2 2 3 2 2 3" xfId="9457" xr:uid="{00000000-0005-0000-0000-000063160000}"/>
    <cellStyle name="Comma 3 2 2 3 2 2 4" xfId="5920" xr:uid="{00000000-0005-0000-0000-000064160000}"/>
    <cellStyle name="Comma 3 2 2 3 2 3" xfId="2310" xr:uid="{00000000-0005-0000-0000-000065160000}"/>
    <cellStyle name="Comma 3 2 2 3 2 3 2" xfId="9459" xr:uid="{00000000-0005-0000-0000-000066160000}"/>
    <cellStyle name="Comma 3 2 2 3 2 4" xfId="9456" xr:uid="{00000000-0005-0000-0000-000067160000}"/>
    <cellStyle name="Comma 3 2 2 3 2 5" xfId="5919" xr:uid="{00000000-0005-0000-0000-000068160000}"/>
    <cellStyle name="Comma 3 2 2 3 3" xfId="2311" xr:uid="{00000000-0005-0000-0000-000069160000}"/>
    <cellStyle name="Comma 3 2 2 3 3 2" xfId="2312" xr:uid="{00000000-0005-0000-0000-00006A160000}"/>
    <cellStyle name="Comma 3 2 2 3 3 2 2" xfId="9461" xr:uid="{00000000-0005-0000-0000-00006B160000}"/>
    <cellStyle name="Comma 3 2 2 3 3 3" xfId="9460" xr:uid="{00000000-0005-0000-0000-00006C160000}"/>
    <cellStyle name="Comma 3 2 2 3 3 4" xfId="5921" xr:uid="{00000000-0005-0000-0000-00006D160000}"/>
    <cellStyle name="Comma 3 2 2 3 4" xfId="2313" xr:uid="{00000000-0005-0000-0000-00006E160000}"/>
    <cellStyle name="Comma 3 2 2 3 4 2" xfId="2314" xr:uid="{00000000-0005-0000-0000-00006F160000}"/>
    <cellStyle name="Comma 3 2 2 3 4 2 2" xfId="9463" xr:uid="{00000000-0005-0000-0000-000070160000}"/>
    <cellStyle name="Comma 3 2 2 3 4 3" xfId="9462" xr:uid="{00000000-0005-0000-0000-000071160000}"/>
    <cellStyle name="Comma 3 2 2 3 4 4" xfId="5922" xr:uid="{00000000-0005-0000-0000-000072160000}"/>
    <cellStyle name="Comma 3 2 2 3 5" xfId="2315" xr:uid="{00000000-0005-0000-0000-000073160000}"/>
    <cellStyle name="Comma 3 2 2 3 5 2" xfId="9464" xr:uid="{00000000-0005-0000-0000-000074160000}"/>
    <cellStyle name="Comma 3 2 2 3 6" xfId="9455" xr:uid="{00000000-0005-0000-0000-000075160000}"/>
    <cellStyle name="Comma 3 2 2 3 7" xfId="5918" xr:uid="{00000000-0005-0000-0000-000076160000}"/>
    <cellStyle name="Comma 3 2 2 4" xfId="2316" xr:uid="{00000000-0005-0000-0000-000077160000}"/>
    <cellStyle name="Comma 3 2 2 4 2" xfId="2317" xr:uid="{00000000-0005-0000-0000-000078160000}"/>
    <cellStyle name="Comma 3 2 2 4 2 2" xfId="2318" xr:uid="{00000000-0005-0000-0000-000079160000}"/>
    <cellStyle name="Comma 3 2 2 4 2 2 2" xfId="2319" xr:uid="{00000000-0005-0000-0000-00007A160000}"/>
    <cellStyle name="Comma 3 2 2 4 2 2 2 2" xfId="9468" xr:uid="{00000000-0005-0000-0000-00007B160000}"/>
    <cellStyle name="Comma 3 2 2 4 2 2 3" xfId="9467" xr:uid="{00000000-0005-0000-0000-00007C160000}"/>
    <cellStyle name="Comma 3 2 2 4 2 2 4" xfId="5925" xr:uid="{00000000-0005-0000-0000-00007D160000}"/>
    <cellStyle name="Comma 3 2 2 4 2 3" xfId="2320" xr:uid="{00000000-0005-0000-0000-00007E160000}"/>
    <cellStyle name="Comma 3 2 2 4 2 3 2" xfId="9469" xr:uid="{00000000-0005-0000-0000-00007F160000}"/>
    <cellStyle name="Comma 3 2 2 4 2 4" xfId="9466" xr:uid="{00000000-0005-0000-0000-000080160000}"/>
    <cellStyle name="Comma 3 2 2 4 2 5" xfId="5924" xr:uid="{00000000-0005-0000-0000-000081160000}"/>
    <cellStyle name="Comma 3 2 2 4 3" xfId="2321" xr:uid="{00000000-0005-0000-0000-000082160000}"/>
    <cellStyle name="Comma 3 2 2 4 3 2" xfId="2322" xr:uid="{00000000-0005-0000-0000-000083160000}"/>
    <cellStyle name="Comma 3 2 2 4 3 2 2" xfId="9471" xr:uid="{00000000-0005-0000-0000-000084160000}"/>
    <cellStyle name="Comma 3 2 2 4 3 3" xfId="9470" xr:uid="{00000000-0005-0000-0000-000085160000}"/>
    <cellStyle name="Comma 3 2 2 4 3 4" xfId="5926" xr:uid="{00000000-0005-0000-0000-000086160000}"/>
    <cellStyle name="Comma 3 2 2 4 4" xfId="2323" xr:uid="{00000000-0005-0000-0000-000087160000}"/>
    <cellStyle name="Comma 3 2 2 4 4 2" xfId="2324" xr:uid="{00000000-0005-0000-0000-000088160000}"/>
    <cellStyle name="Comma 3 2 2 4 4 2 2" xfId="9473" xr:uid="{00000000-0005-0000-0000-000089160000}"/>
    <cellStyle name="Comma 3 2 2 4 4 3" xfId="9472" xr:uid="{00000000-0005-0000-0000-00008A160000}"/>
    <cellStyle name="Comma 3 2 2 4 4 4" xfId="5927" xr:uid="{00000000-0005-0000-0000-00008B160000}"/>
    <cellStyle name="Comma 3 2 2 4 5" xfId="2325" xr:uid="{00000000-0005-0000-0000-00008C160000}"/>
    <cellStyle name="Comma 3 2 2 4 5 2" xfId="9474" xr:uid="{00000000-0005-0000-0000-00008D160000}"/>
    <cellStyle name="Comma 3 2 2 4 6" xfId="9465" xr:uid="{00000000-0005-0000-0000-00008E160000}"/>
    <cellStyle name="Comma 3 2 2 4 7" xfId="5923" xr:uid="{00000000-0005-0000-0000-00008F160000}"/>
    <cellStyle name="Comma 3 2 2 5" xfId="2326" xr:uid="{00000000-0005-0000-0000-000090160000}"/>
    <cellStyle name="Comma 3 2 2 5 2" xfId="2327" xr:uid="{00000000-0005-0000-0000-000091160000}"/>
    <cellStyle name="Comma 3 2 2 5 2 2" xfId="2328" xr:uid="{00000000-0005-0000-0000-000092160000}"/>
    <cellStyle name="Comma 3 2 2 5 2 2 2" xfId="2329" xr:uid="{00000000-0005-0000-0000-000093160000}"/>
    <cellStyle name="Comma 3 2 2 5 2 2 2 2" xfId="9478" xr:uid="{00000000-0005-0000-0000-000094160000}"/>
    <cellStyle name="Comma 3 2 2 5 2 2 3" xfId="9477" xr:uid="{00000000-0005-0000-0000-000095160000}"/>
    <cellStyle name="Comma 3 2 2 5 2 2 4" xfId="5930" xr:uid="{00000000-0005-0000-0000-000096160000}"/>
    <cellStyle name="Comma 3 2 2 5 2 3" xfId="2330" xr:uid="{00000000-0005-0000-0000-000097160000}"/>
    <cellStyle name="Comma 3 2 2 5 2 3 2" xfId="9479" xr:uid="{00000000-0005-0000-0000-000098160000}"/>
    <cellStyle name="Comma 3 2 2 5 2 4" xfId="9476" xr:uid="{00000000-0005-0000-0000-000099160000}"/>
    <cellStyle name="Comma 3 2 2 5 2 5" xfId="5929" xr:uid="{00000000-0005-0000-0000-00009A160000}"/>
    <cellStyle name="Comma 3 2 2 5 3" xfId="2331" xr:uid="{00000000-0005-0000-0000-00009B160000}"/>
    <cellStyle name="Comma 3 2 2 5 3 2" xfId="2332" xr:uid="{00000000-0005-0000-0000-00009C160000}"/>
    <cellStyle name="Comma 3 2 2 5 3 2 2" xfId="9481" xr:uid="{00000000-0005-0000-0000-00009D160000}"/>
    <cellStyle name="Comma 3 2 2 5 3 3" xfId="9480" xr:uid="{00000000-0005-0000-0000-00009E160000}"/>
    <cellStyle name="Comma 3 2 2 5 3 4" xfId="5931" xr:uid="{00000000-0005-0000-0000-00009F160000}"/>
    <cellStyle name="Comma 3 2 2 5 4" xfId="2333" xr:uid="{00000000-0005-0000-0000-0000A0160000}"/>
    <cellStyle name="Comma 3 2 2 5 4 2" xfId="2334" xr:uid="{00000000-0005-0000-0000-0000A1160000}"/>
    <cellStyle name="Comma 3 2 2 5 4 2 2" xfId="9483" xr:uid="{00000000-0005-0000-0000-0000A2160000}"/>
    <cellStyle name="Comma 3 2 2 5 4 3" xfId="9482" xr:uid="{00000000-0005-0000-0000-0000A3160000}"/>
    <cellStyle name="Comma 3 2 2 5 4 4" xfId="5932" xr:uid="{00000000-0005-0000-0000-0000A4160000}"/>
    <cellStyle name="Comma 3 2 2 5 5" xfId="2335" xr:uid="{00000000-0005-0000-0000-0000A5160000}"/>
    <cellStyle name="Comma 3 2 2 5 5 2" xfId="9484" xr:uid="{00000000-0005-0000-0000-0000A6160000}"/>
    <cellStyle name="Comma 3 2 2 5 6" xfId="9475" xr:uid="{00000000-0005-0000-0000-0000A7160000}"/>
    <cellStyle name="Comma 3 2 2 5 7" xfId="5928" xr:uid="{00000000-0005-0000-0000-0000A8160000}"/>
    <cellStyle name="Comma 3 2 2 6" xfId="2336" xr:uid="{00000000-0005-0000-0000-0000A9160000}"/>
    <cellStyle name="Comma 3 2 2 6 2" xfId="2337" xr:uid="{00000000-0005-0000-0000-0000AA160000}"/>
    <cellStyle name="Comma 3 2 2 6 2 2" xfId="2338" xr:uid="{00000000-0005-0000-0000-0000AB160000}"/>
    <cellStyle name="Comma 3 2 2 6 2 2 2" xfId="9487" xr:uid="{00000000-0005-0000-0000-0000AC160000}"/>
    <cellStyle name="Comma 3 2 2 6 2 3" xfId="9486" xr:uid="{00000000-0005-0000-0000-0000AD160000}"/>
    <cellStyle name="Comma 3 2 2 6 2 4" xfId="5934" xr:uid="{00000000-0005-0000-0000-0000AE160000}"/>
    <cellStyle name="Comma 3 2 2 6 3" xfId="2339" xr:uid="{00000000-0005-0000-0000-0000AF160000}"/>
    <cellStyle name="Comma 3 2 2 6 3 2" xfId="2340" xr:uid="{00000000-0005-0000-0000-0000B0160000}"/>
    <cellStyle name="Comma 3 2 2 6 3 2 2" xfId="9489" xr:uid="{00000000-0005-0000-0000-0000B1160000}"/>
    <cellStyle name="Comma 3 2 2 6 3 3" xfId="9488" xr:uid="{00000000-0005-0000-0000-0000B2160000}"/>
    <cellStyle name="Comma 3 2 2 6 3 4" xfId="5935" xr:uid="{00000000-0005-0000-0000-0000B3160000}"/>
    <cellStyle name="Comma 3 2 2 6 4" xfId="2341" xr:uid="{00000000-0005-0000-0000-0000B4160000}"/>
    <cellStyle name="Comma 3 2 2 6 4 2" xfId="9490" xr:uid="{00000000-0005-0000-0000-0000B5160000}"/>
    <cellStyle name="Comma 3 2 2 6 5" xfId="9485" xr:uid="{00000000-0005-0000-0000-0000B6160000}"/>
    <cellStyle name="Comma 3 2 2 6 6" xfId="5933" xr:uid="{00000000-0005-0000-0000-0000B7160000}"/>
    <cellStyle name="Comma 3 2 2 7" xfId="2342" xr:uid="{00000000-0005-0000-0000-0000B8160000}"/>
    <cellStyle name="Comma 3 2 2 7 2" xfId="2343" xr:uid="{00000000-0005-0000-0000-0000B9160000}"/>
    <cellStyle name="Comma 3 2 2 7 2 2" xfId="2344" xr:uid="{00000000-0005-0000-0000-0000BA160000}"/>
    <cellStyle name="Comma 3 2 2 7 2 2 2" xfId="9493" xr:uid="{00000000-0005-0000-0000-0000BB160000}"/>
    <cellStyle name="Comma 3 2 2 7 2 3" xfId="9492" xr:uid="{00000000-0005-0000-0000-0000BC160000}"/>
    <cellStyle name="Comma 3 2 2 7 2 4" xfId="5937" xr:uid="{00000000-0005-0000-0000-0000BD160000}"/>
    <cellStyle name="Comma 3 2 2 7 3" xfId="2345" xr:uid="{00000000-0005-0000-0000-0000BE160000}"/>
    <cellStyle name="Comma 3 2 2 7 3 2" xfId="9494" xr:uid="{00000000-0005-0000-0000-0000BF160000}"/>
    <cellStyle name="Comma 3 2 2 7 4" xfId="9491" xr:uid="{00000000-0005-0000-0000-0000C0160000}"/>
    <cellStyle name="Comma 3 2 2 7 5" xfId="5936" xr:uid="{00000000-0005-0000-0000-0000C1160000}"/>
    <cellStyle name="Comma 3 2 2 8" xfId="2346" xr:uid="{00000000-0005-0000-0000-0000C2160000}"/>
    <cellStyle name="Comma 3 2 2 8 2" xfId="2347" xr:uid="{00000000-0005-0000-0000-0000C3160000}"/>
    <cellStyle name="Comma 3 2 2 8 2 2" xfId="9496" xr:uid="{00000000-0005-0000-0000-0000C4160000}"/>
    <cellStyle name="Comma 3 2 2 8 3" xfId="9495" xr:uid="{00000000-0005-0000-0000-0000C5160000}"/>
    <cellStyle name="Comma 3 2 2 8 4" xfId="5938" xr:uid="{00000000-0005-0000-0000-0000C6160000}"/>
    <cellStyle name="Comma 3 2 2 9" xfId="2348" xr:uid="{00000000-0005-0000-0000-0000C7160000}"/>
    <cellStyle name="Comma 3 2 2 9 2" xfId="2349" xr:uid="{00000000-0005-0000-0000-0000C8160000}"/>
    <cellStyle name="Comma 3 2 2 9 2 2" xfId="9498" xr:uid="{00000000-0005-0000-0000-0000C9160000}"/>
    <cellStyle name="Comma 3 2 2 9 3" xfId="9497" xr:uid="{00000000-0005-0000-0000-0000CA160000}"/>
    <cellStyle name="Comma 3 2 2 9 4" xfId="5939" xr:uid="{00000000-0005-0000-0000-0000CB160000}"/>
    <cellStyle name="Comma 3 2 3" xfId="2350" xr:uid="{00000000-0005-0000-0000-0000CC160000}"/>
    <cellStyle name="Comma 3 2 3 2" xfId="2351" xr:uid="{00000000-0005-0000-0000-0000CD160000}"/>
    <cellStyle name="Comma 3 2 3 2 2" xfId="2352" xr:uid="{00000000-0005-0000-0000-0000CE160000}"/>
    <cellStyle name="Comma 3 2 3 2 2 2" xfId="2353" xr:uid="{00000000-0005-0000-0000-0000CF160000}"/>
    <cellStyle name="Comma 3 2 3 2 2 2 2" xfId="9502" xr:uid="{00000000-0005-0000-0000-0000D0160000}"/>
    <cellStyle name="Comma 3 2 3 2 2 3" xfId="9501" xr:uid="{00000000-0005-0000-0000-0000D1160000}"/>
    <cellStyle name="Comma 3 2 3 2 2 4" xfId="5942" xr:uid="{00000000-0005-0000-0000-0000D2160000}"/>
    <cellStyle name="Comma 3 2 3 2 3" xfId="2354" xr:uid="{00000000-0005-0000-0000-0000D3160000}"/>
    <cellStyle name="Comma 3 2 3 2 3 2" xfId="9503" xr:uid="{00000000-0005-0000-0000-0000D4160000}"/>
    <cellStyle name="Comma 3 2 3 2 4" xfId="9500" xr:uid="{00000000-0005-0000-0000-0000D5160000}"/>
    <cellStyle name="Comma 3 2 3 2 5" xfId="5941" xr:uid="{00000000-0005-0000-0000-0000D6160000}"/>
    <cellStyle name="Comma 3 2 3 3" xfId="2355" xr:uid="{00000000-0005-0000-0000-0000D7160000}"/>
    <cellStyle name="Comma 3 2 3 3 2" xfId="2356" xr:uid="{00000000-0005-0000-0000-0000D8160000}"/>
    <cellStyle name="Comma 3 2 3 3 2 2" xfId="9505" xr:uid="{00000000-0005-0000-0000-0000D9160000}"/>
    <cellStyle name="Comma 3 2 3 3 3" xfId="9504" xr:uid="{00000000-0005-0000-0000-0000DA160000}"/>
    <cellStyle name="Comma 3 2 3 3 4" xfId="5943" xr:uid="{00000000-0005-0000-0000-0000DB160000}"/>
    <cellStyle name="Comma 3 2 3 4" xfId="2357" xr:uid="{00000000-0005-0000-0000-0000DC160000}"/>
    <cellStyle name="Comma 3 2 3 4 2" xfId="2358" xr:uid="{00000000-0005-0000-0000-0000DD160000}"/>
    <cellStyle name="Comma 3 2 3 4 2 2" xfId="9507" xr:uid="{00000000-0005-0000-0000-0000DE160000}"/>
    <cellStyle name="Comma 3 2 3 4 3" xfId="9506" xr:uid="{00000000-0005-0000-0000-0000DF160000}"/>
    <cellStyle name="Comma 3 2 3 4 4" xfId="5944" xr:uid="{00000000-0005-0000-0000-0000E0160000}"/>
    <cellStyle name="Comma 3 2 3 5" xfId="2359" xr:uid="{00000000-0005-0000-0000-0000E1160000}"/>
    <cellStyle name="Comma 3 2 3 5 2" xfId="9508" xr:uid="{00000000-0005-0000-0000-0000E2160000}"/>
    <cellStyle name="Comma 3 2 3 6" xfId="9499" xr:uid="{00000000-0005-0000-0000-0000E3160000}"/>
    <cellStyle name="Comma 3 2 3 7" xfId="5940" xr:uid="{00000000-0005-0000-0000-0000E4160000}"/>
    <cellStyle name="Comma 3 2 4" xfId="2360" xr:uid="{00000000-0005-0000-0000-0000E5160000}"/>
    <cellStyle name="Comma 3 2 4 2" xfId="2361" xr:uid="{00000000-0005-0000-0000-0000E6160000}"/>
    <cellStyle name="Comma 3 2 4 2 2" xfId="2362" xr:uid="{00000000-0005-0000-0000-0000E7160000}"/>
    <cellStyle name="Comma 3 2 4 2 2 2" xfId="2363" xr:uid="{00000000-0005-0000-0000-0000E8160000}"/>
    <cellStyle name="Comma 3 2 4 2 2 2 2" xfId="9512" xr:uid="{00000000-0005-0000-0000-0000E9160000}"/>
    <cellStyle name="Comma 3 2 4 2 2 3" xfId="9511" xr:uid="{00000000-0005-0000-0000-0000EA160000}"/>
    <cellStyle name="Comma 3 2 4 2 2 4" xfId="5947" xr:uid="{00000000-0005-0000-0000-0000EB160000}"/>
    <cellStyle name="Comma 3 2 4 2 3" xfId="2364" xr:uid="{00000000-0005-0000-0000-0000EC160000}"/>
    <cellStyle name="Comma 3 2 4 2 3 2" xfId="9513" xr:uid="{00000000-0005-0000-0000-0000ED160000}"/>
    <cellStyle name="Comma 3 2 4 2 4" xfId="9510" xr:uid="{00000000-0005-0000-0000-0000EE160000}"/>
    <cellStyle name="Comma 3 2 4 2 5" xfId="5946" xr:uid="{00000000-0005-0000-0000-0000EF160000}"/>
    <cellStyle name="Comma 3 2 4 3" xfId="2365" xr:uid="{00000000-0005-0000-0000-0000F0160000}"/>
    <cellStyle name="Comma 3 2 4 3 2" xfId="2366" xr:uid="{00000000-0005-0000-0000-0000F1160000}"/>
    <cellStyle name="Comma 3 2 4 3 2 2" xfId="9515" xr:uid="{00000000-0005-0000-0000-0000F2160000}"/>
    <cellStyle name="Comma 3 2 4 3 3" xfId="9514" xr:uid="{00000000-0005-0000-0000-0000F3160000}"/>
    <cellStyle name="Comma 3 2 4 3 4" xfId="5948" xr:uid="{00000000-0005-0000-0000-0000F4160000}"/>
    <cellStyle name="Comma 3 2 4 4" xfId="2367" xr:uid="{00000000-0005-0000-0000-0000F5160000}"/>
    <cellStyle name="Comma 3 2 4 4 2" xfId="2368" xr:uid="{00000000-0005-0000-0000-0000F6160000}"/>
    <cellStyle name="Comma 3 2 4 4 2 2" xfId="9517" xr:uid="{00000000-0005-0000-0000-0000F7160000}"/>
    <cellStyle name="Comma 3 2 4 4 3" xfId="9516" xr:uid="{00000000-0005-0000-0000-0000F8160000}"/>
    <cellStyle name="Comma 3 2 4 4 4" xfId="5949" xr:uid="{00000000-0005-0000-0000-0000F9160000}"/>
    <cellStyle name="Comma 3 2 4 5" xfId="2369" xr:uid="{00000000-0005-0000-0000-0000FA160000}"/>
    <cellStyle name="Comma 3 2 4 5 2" xfId="9518" xr:uid="{00000000-0005-0000-0000-0000FB160000}"/>
    <cellStyle name="Comma 3 2 4 6" xfId="9509" xr:uid="{00000000-0005-0000-0000-0000FC160000}"/>
    <cellStyle name="Comma 3 2 4 7" xfId="5945" xr:uid="{00000000-0005-0000-0000-0000FD160000}"/>
    <cellStyle name="Comma 3 2 5" xfId="2370" xr:uid="{00000000-0005-0000-0000-0000FE160000}"/>
    <cellStyle name="Comma 3 2 5 2" xfId="2371" xr:uid="{00000000-0005-0000-0000-0000FF160000}"/>
    <cellStyle name="Comma 3 2 5 2 2" xfId="2372" xr:uid="{00000000-0005-0000-0000-000000170000}"/>
    <cellStyle name="Comma 3 2 5 2 2 2" xfId="2373" xr:uid="{00000000-0005-0000-0000-000001170000}"/>
    <cellStyle name="Comma 3 2 5 2 2 2 2" xfId="9522" xr:uid="{00000000-0005-0000-0000-000002170000}"/>
    <cellStyle name="Comma 3 2 5 2 2 3" xfId="9521" xr:uid="{00000000-0005-0000-0000-000003170000}"/>
    <cellStyle name="Comma 3 2 5 2 2 4" xfId="5952" xr:uid="{00000000-0005-0000-0000-000004170000}"/>
    <cellStyle name="Comma 3 2 5 2 3" xfId="2374" xr:uid="{00000000-0005-0000-0000-000005170000}"/>
    <cellStyle name="Comma 3 2 5 2 3 2" xfId="9523" xr:uid="{00000000-0005-0000-0000-000006170000}"/>
    <cellStyle name="Comma 3 2 5 2 4" xfId="9520" xr:uid="{00000000-0005-0000-0000-000007170000}"/>
    <cellStyle name="Comma 3 2 5 2 5" xfId="5951" xr:uid="{00000000-0005-0000-0000-000008170000}"/>
    <cellStyle name="Comma 3 2 5 3" xfId="2375" xr:uid="{00000000-0005-0000-0000-000009170000}"/>
    <cellStyle name="Comma 3 2 5 3 2" xfId="2376" xr:uid="{00000000-0005-0000-0000-00000A170000}"/>
    <cellStyle name="Comma 3 2 5 3 2 2" xfId="9525" xr:uid="{00000000-0005-0000-0000-00000B170000}"/>
    <cellStyle name="Comma 3 2 5 3 3" xfId="9524" xr:uid="{00000000-0005-0000-0000-00000C170000}"/>
    <cellStyle name="Comma 3 2 5 3 4" xfId="5953" xr:uid="{00000000-0005-0000-0000-00000D170000}"/>
    <cellStyle name="Comma 3 2 5 4" xfId="2377" xr:uid="{00000000-0005-0000-0000-00000E170000}"/>
    <cellStyle name="Comma 3 2 5 4 2" xfId="2378" xr:uid="{00000000-0005-0000-0000-00000F170000}"/>
    <cellStyle name="Comma 3 2 5 4 2 2" xfId="9527" xr:uid="{00000000-0005-0000-0000-000010170000}"/>
    <cellStyle name="Comma 3 2 5 4 3" xfId="9526" xr:uid="{00000000-0005-0000-0000-000011170000}"/>
    <cellStyle name="Comma 3 2 5 4 4" xfId="5954" xr:uid="{00000000-0005-0000-0000-000012170000}"/>
    <cellStyle name="Comma 3 2 5 5" xfId="2379" xr:uid="{00000000-0005-0000-0000-000013170000}"/>
    <cellStyle name="Comma 3 2 5 5 2" xfId="9528" xr:uid="{00000000-0005-0000-0000-000014170000}"/>
    <cellStyle name="Comma 3 2 5 6" xfId="9519" xr:uid="{00000000-0005-0000-0000-000015170000}"/>
    <cellStyle name="Comma 3 2 5 7" xfId="5950" xr:uid="{00000000-0005-0000-0000-000016170000}"/>
    <cellStyle name="Comma 3 2 6" xfId="2380" xr:uid="{00000000-0005-0000-0000-000017170000}"/>
    <cellStyle name="Comma 3 2 6 2" xfId="2381" xr:uid="{00000000-0005-0000-0000-000018170000}"/>
    <cellStyle name="Comma 3 2 6 2 2" xfId="2382" xr:uid="{00000000-0005-0000-0000-000019170000}"/>
    <cellStyle name="Comma 3 2 6 2 2 2" xfId="2383" xr:uid="{00000000-0005-0000-0000-00001A170000}"/>
    <cellStyle name="Comma 3 2 6 2 2 2 2" xfId="9532" xr:uid="{00000000-0005-0000-0000-00001B170000}"/>
    <cellStyle name="Comma 3 2 6 2 2 3" xfId="9531" xr:uid="{00000000-0005-0000-0000-00001C170000}"/>
    <cellStyle name="Comma 3 2 6 2 2 4" xfId="5957" xr:uid="{00000000-0005-0000-0000-00001D170000}"/>
    <cellStyle name="Comma 3 2 6 2 3" xfId="2384" xr:uid="{00000000-0005-0000-0000-00001E170000}"/>
    <cellStyle name="Comma 3 2 6 2 3 2" xfId="9533" xr:uid="{00000000-0005-0000-0000-00001F170000}"/>
    <cellStyle name="Comma 3 2 6 2 4" xfId="9530" xr:uid="{00000000-0005-0000-0000-000020170000}"/>
    <cellStyle name="Comma 3 2 6 2 5" xfId="5956" xr:uid="{00000000-0005-0000-0000-000021170000}"/>
    <cellStyle name="Comma 3 2 6 3" xfId="2385" xr:uid="{00000000-0005-0000-0000-000022170000}"/>
    <cellStyle name="Comma 3 2 6 3 2" xfId="2386" xr:uid="{00000000-0005-0000-0000-000023170000}"/>
    <cellStyle name="Comma 3 2 6 3 2 2" xfId="9535" xr:uid="{00000000-0005-0000-0000-000024170000}"/>
    <cellStyle name="Comma 3 2 6 3 3" xfId="9534" xr:uid="{00000000-0005-0000-0000-000025170000}"/>
    <cellStyle name="Comma 3 2 6 3 4" xfId="5958" xr:uid="{00000000-0005-0000-0000-000026170000}"/>
    <cellStyle name="Comma 3 2 6 4" xfId="2387" xr:uid="{00000000-0005-0000-0000-000027170000}"/>
    <cellStyle name="Comma 3 2 6 4 2" xfId="2388" xr:uid="{00000000-0005-0000-0000-000028170000}"/>
    <cellStyle name="Comma 3 2 6 4 2 2" xfId="9537" xr:uid="{00000000-0005-0000-0000-000029170000}"/>
    <cellStyle name="Comma 3 2 6 4 3" xfId="9536" xr:uid="{00000000-0005-0000-0000-00002A170000}"/>
    <cellStyle name="Comma 3 2 6 4 4" xfId="5959" xr:uid="{00000000-0005-0000-0000-00002B170000}"/>
    <cellStyle name="Comma 3 2 6 5" xfId="2389" xr:uid="{00000000-0005-0000-0000-00002C170000}"/>
    <cellStyle name="Comma 3 2 6 5 2" xfId="9538" xr:uid="{00000000-0005-0000-0000-00002D170000}"/>
    <cellStyle name="Comma 3 2 6 6" xfId="9529" xr:uid="{00000000-0005-0000-0000-00002E170000}"/>
    <cellStyle name="Comma 3 2 6 7" xfId="5955" xr:uid="{00000000-0005-0000-0000-00002F170000}"/>
    <cellStyle name="Comma 3 2 7" xfId="2390" xr:uid="{00000000-0005-0000-0000-000030170000}"/>
    <cellStyle name="Comma 3 2 7 2" xfId="2391" xr:uid="{00000000-0005-0000-0000-000031170000}"/>
    <cellStyle name="Comma 3 2 7 2 2" xfId="2392" xr:uid="{00000000-0005-0000-0000-000032170000}"/>
    <cellStyle name="Comma 3 2 7 2 2 2" xfId="9541" xr:uid="{00000000-0005-0000-0000-000033170000}"/>
    <cellStyle name="Comma 3 2 7 2 3" xfId="9540" xr:uid="{00000000-0005-0000-0000-000034170000}"/>
    <cellStyle name="Comma 3 2 7 2 4" xfId="5961" xr:uid="{00000000-0005-0000-0000-000035170000}"/>
    <cellStyle name="Comma 3 2 7 3" xfId="2393" xr:uid="{00000000-0005-0000-0000-000036170000}"/>
    <cellStyle name="Comma 3 2 7 3 2" xfId="2394" xr:uid="{00000000-0005-0000-0000-000037170000}"/>
    <cellStyle name="Comma 3 2 7 3 2 2" xfId="9543" xr:uid="{00000000-0005-0000-0000-000038170000}"/>
    <cellStyle name="Comma 3 2 7 3 3" xfId="9542" xr:uid="{00000000-0005-0000-0000-000039170000}"/>
    <cellStyle name="Comma 3 2 7 3 4" xfId="5962" xr:uid="{00000000-0005-0000-0000-00003A170000}"/>
    <cellStyle name="Comma 3 2 7 4" xfId="2395" xr:uid="{00000000-0005-0000-0000-00003B170000}"/>
    <cellStyle name="Comma 3 2 7 4 2" xfId="9544" xr:uid="{00000000-0005-0000-0000-00003C170000}"/>
    <cellStyle name="Comma 3 2 7 5" xfId="9539" xr:uid="{00000000-0005-0000-0000-00003D170000}"/>
    <cellStyle name="Comma 3 2 7 6" xfId="5960" xr:uid="{00000000-0005-0000-0000-00003E170000}"/>
    <cellStyle name="Comma 3 2 8" xfId="2396" xr:uid="{00000000-0005-0000-0000-00003F170000}"/>
    <cellStyle name="Comma 3 2 8 2" xfId="2397" xr:uid="{00000000-0005-0000-0000-000040170000}"/>
    <cellStyle name="Comma 3 2 8 2 2" xfId="2398" xr:uid="{00000000-0005-0000-0000-000041170000}"/>
    <cellStyle name="Comma 3 2 8 2 2 2" xfId="9547" xr:uid="{00000000-0005-0000-0000-000042170000}"/>
    <cellStyle name="Comma 3 2 8 2 3" xfId="9546" xr:uid="{00000000-0005-0000-0000-000043170000}"/>
    <cellStyle name="Comma 3 2 8 2 4" xfId="5964" xr:uid="{00000000-0005-0000-0000-000044170000}"/>
    <cellStyle name="Comma 3 2 8 3" xfId="2399" xr:uid="{00000000-0005-0000-0000-000045170000}"/>
    <cellStyle name="Comma 3 2 8 3 2" xfId="9548" xr:uid="{00000000-0005-0000-0000-000046170000}"/>
    <cellStyle name="Comma 3 2 8 4" xfId="9545" xr:uid="{00000000-0005-0000-0000-000047170000}"/>
    <cellStyle name="Comma 3 2 8 5" xfId="5963" xr:uid="{00000000-0005-0000-0000-000048170000}"/>
    <cellStyle name="Comma 3 2 9" xfId="2400" xr:uid="{00000000-0005-0000-0000-000049170000}"/>
    <cellStyle name="Comma 3 2 9 2" xfId="2401" xr:uid="{00000000-0005-0000-0000-00004A170000}"/>
    <cellStyle name="Comma 3 2 9 2 2" xfId="9550" xr:uid="{00000000-0005-0000-0000-00004B170000}"/>
    <cellStyle name="Comma 3 2 9 3" xfId="9549" xr:uid="{00000000-0005-0000-0000-00004C170000}"/>
    <cellStyle name="Comma 3 2 9 4" xfId="5965" xr:uid="{00000000-0005-0000-0000-00004D170000}"/>
    <cellStyle name="Comma 3 20" xfId="12336" xr:uid="{00000000-0005-0000-0000-00004E170000}"/>
    <cellStyle name="Comma 3 21" xfId="12351" xr:uid="{00000000-0005-0000-0000-00004F170000}"/>
    <cellStyle name="Comma 3 3" xfId="2402" xr:uid="{00000000-0005-0000-0000-000050170000}"/>
    <cellStyle name="Comma 3 3 10" xfId="2403" xr:uid="{00000000-0005-0000-0000-000051170000}"/>
    <cellStyle name="Comma 3 3 10 2" xfId="2404" xr:uid="{00000000-0005-0000-0000-000052170000}"/>
    <cellStyle name="Comma 3 3 10 2 2" xfId="9553" xr:uid="{00000000-0005-0000-0000-000053170000}"/>
    <cellStyle name="Comma 3 3 10 3" xfId="9552" xr:uid="{00000000-0005-0000-0000-000054170000}"/>
    <cellStyle name="Comma 3 3 10 4" xfId="5967" xr:uid="{00000000-0005-0000-0000-000055170000}"/>
    <cellStyle name="Comma 3 3 11" xfId="2405" xr:uid="{00000000-0005-0000-0000-000056170000}"/>
    <cellStyle name="Comma 3 3 11 2" xfId="9554" xr:uid="{00000000-0005-0000-0000-000057170000}"/>
    <cellStyle name="Comma 3 3 12" xfId="9551" xr:uid="{00000000-0005-0000-0000-000058170000}"/>
    <cellStyle name="Comma 3 3 13" xfId="5966" xr:uid="{00000000-0005-0000-0000-000059170000}"/>
    <cellStyle name="Comma 3 3 14" xfId="12346" xr:uid="{00000000-0005-0000-0000-00005A170000}"/>
    <cellStyle name="Comma 3 3 15" xfId="12361" xr:uid="{00000000-0005-0000-0000-00005B170000}"/>
    <cellStyle name="Comma 3 3 2" xfId="2406" xr:uid="{00000000-0005-0000-0000-00005C170000}"/>
    <cellStyle name="Comma 3 3 2 10" xfId="2407" xr:uid="{00000000-0005-0000-0000-00005D170000}"/>
    <cellStyle name="Comma 3 3 2 10 2" xfId="9556" xr:uid="{00000000-0005-0000-0000-00005E170000}"/>
    <cellStyle name="Comma 3 3 2 11" xfId="9555" xr:uid="{00000000-0005-0000-0000-00005F170000}"/>
    <cellStyle name="Comma 3 3 2 12" xfId="5968" xr:uid="{00000000-0005-0000-0000-000060170000}"/>
    <cellStyle name="Comma 3 3 2 2" xfId="2408" xr:uid="{00000000-0005-0000-0000-000061170000}"/>
    <cellStyle name="Comma 3 3 2 2 2" xfId="2409" xr:uid="{00000000-0005-0000-0000-000062170000}"/>
    <cellStyle name="Comma 3 3 2 2 2 2" xfId="2410" xr:uid="{00000000-0005-0000-0000-000063170000}"/>
    <cellStyle name="Comma 3 3 2 2 2 2 2" xfId="2411" xr:uid="{00000000-0005-0000-0000-000064170000}"/>
    <cellStyle name="Comma 3 3 2 2 2 2 2 2" xfId="9560" xr:uid="{00000000-0005-0000-0000-000065170000}"/>
    <cellStyle name="Comma 3 3 2 2 2 2 3" xfId="9559" xr:uid="{00000000-0005-0000-0000-000066170000}"/>
    <cellStyle name="Comma 3 3 2 2 2 2 4" xfId="5971" xr:uid="{00000000-0005-0000-0000-000067170000}"/>
    <cellStyle name="Comma 3 3 2 2 2 3" xfId="2412" xr:uid="{00000000-0005-0000-0000-000068170000}"/>
    <cellStyle name="Comma 3 3 2 2 2 3 2" xfId="9561" xr:uid="{00000000-0005-0000-0000-000069170000}"/>
    <cellStyle name="Comma 3 3 2 2 2 4" xfId="9558" xr:uid="{00000000-0005-0000-0000-00006A170000}"/>
    <cellStyle name="Comma 3 3 2 2 2 5" xfId="5970" xr:uid="{00000000-0005-0000-0000-00006B170000}"/>
    <cellStyle name="Comma 3 3 2 2 3" xfId="2413" xr:uid="{00000000-0005-0000-0000-00006C170000}"/>
    <cellStyle name="Comma 3 3 2 2 3 2" xfId="2414" xr:uid="{00000000-0005-0000-0000-00006D170000}"/>
    <cellStyle name="Comma 3 3 2 2 3 2 2" xfId="9563" xr:uid="{00000000-0005-0000-0000-00006E170000}"/>
    <cellStyle name="Comma 3 3 2 2 3 3" xfId="9562" xr:uid="{00000000-0005-0000-0000-00006F170000}"/>
    <cellStyle name="Comma 3 3 2 2 3 4" xfId="5972" xr:uid="{00000000-0005-0000-0000-000070170000}"/>
    <cellStyle name="Comma 3 3 2 2 4" xfId="2415" xr:uid="{00000000-0005-0000-0000-000071170000}"/>
    <cellStyle name="Comma 3 3 2 2 4 2" xfId="2416" xr:uid="{00000000-0005-0000-0000-000072170000}"/>
    <cellStyle name="Comma 3 3 2 2 4 2 2" xfId="9565" xr:uid="{00000000-0005-0000-0000-000073170000}"/>
    <cellStyle name="Comma 3 3 2 2 4 3" xfId="9564" xr:uid="{00000000-0005-0000-0000-000074170000}"/>
    <cellStyle name="Comma 3 3 2 2 4 4" xfId="5973" xr:uid="{00000000-0005-0000-0000-000075170000}"/>
    <cellStyle name="Comma 3 3 2 2 5" xfId="2417" xr:uid="{00000000-0005-0000-0000-000076170000}"/>
    <cellStyle name="Comma 3 3 2 2 5 2" xfId="9566" xr:uid="{00000000-0005-0000-0000-000077170000}"/>
    <cellStyle name="Comma 3 3 2 2 6" xfId="9557" xr:uid="{00000000-0005-0000-0000-000078170000}"/>
    <cellStyle name="Comma 3 3 2 2 7" xfId="5969" xr:uid="{00000000-0005-0000-0000-000079170000}"/>
    <cellStyle name="Comma 3 3 2 3" xfId="2418" xr:uid="{00000000-0005-0000-0000-00007A170000}"/>
    <cellStyle name="Comma 3 3 2 3 2" xfId="2419" xr:uid="{00000000-0005-0000-0000-00007B170000}"/>
    <cellStyle name="Comma 3 3 2 3 2 2" xfId="2420" xr:uid="{00000000-0005-0000-0000-00007C170000}"/>
    <cellStyle name="Comma 3 3 2 3 2 2 2" xfId="2421" xr:uid="{00000000-0005-0000-0000-00007D170000}"/>
    <cellStyle name="Comma 3 3 2 3 2 2 2 2" xfId="9570" xr:uid="{00000000-0005-0000-0000-00007E170000}"/>
    <cellStyle name="Comma 3 3 2 3 2 2 3" xfId="9569" xr:uid="{00000000-0005-0000-0000-00007F170000}"/>
    <cellStyle name="Comma 3 3 2 3 2 2 4" xfId="5976" xr:uid="{00000000-0005-0000-0000-000080170000}"/>
    <cellStyle name="Comma 3 3 2 3 2 3" xfId="2422" xr:uid="{00000000-0005-0000-0000-000081170000}"/>
    <cellStyle name="Comma 3 3 2 3 2 3 2" xfId="9571" xr:uid="{00000000-0005-0000-0000-000082170000}"/>
    <cellStyle name="Comma 3 3 2 3 2 4" xfId="9568" xr:uid="{00000000-0005-0000-0000-000083170000}"/>
    <cellStyle name="Comma 3 3 2 3 2 5" xfId="5975" xr:uid="{00000000-0005-0000-0000-000084170000}"/>
    <cellStyle name="Comma 3 3 2 3 3" xfId="2423" xr:uid="{00000000-0005-0000-0000-000085170000}"/>
    <cellStyle name="Comma 3 3 2 3 3 2" xfId="2424" xr:uid="{00000000-0005-0000-0000-000086170000}"/>
    <cellStyle name="Comma 3 3 2 3 3 2 2" xfId="9573" xr:uid="{00000000-0005-0000-0000-000087170000}"/>
    <cellStyle name="Comma 3 3 2 3 3 3" xfId="9572" xr:uid="{00000000-0005-0000-0000-000088170000}"/>
    <cellStyle name="Comma 3 3 2 3 3 4" xfId="5977" xr:uid="{00000000-0005-0000-0000-000089170000}"/>
    <cellStyle name="Comma 3 3 2 3 4" xfId="2425" xr:uid="{00000000-0005-0000-0000-00008A170000}"/>
    <cellStyle name="Comma 3 3 2 3 4 2" xfId="2426" xr:uid="{00000000-0005-0000-0000-00008B170000}"/>
    <cellStyle name="Comma 3 3 2 3 4 2 2" xfId="9575" xr:uid="{00000000-0005-0000-0000-00008C170000}"/>
    <cellStyle name="Comma 3 3 2 3 4 3" xfId="9574" xr:uid="{00000000-0005-0000-0000-00008D170000}"/>
    <cellStyle name="Comma 3 3 2 3 4 4" xfId="5978" xr:uid="{00000000-0005-0000-0000-00008E170000}"/>
    <cellStyle name="Comma 3 3 2 3 5" xfId="2427" xr:uid="{00000000-0005-0000-0000-00008F170000}"/>
    <cellStyle name="Comma 3 3 2 3 5 2" xfId="9576" xr:uid="{00000000-0005-0000-0000-000090170000}"/>
    <cellStyle name="Comma 3 3 2 3 6" xfId="9567" xr:uid="{00000000-0005-0000-0000-000091170000}"/>
    <cellStyle name="Comma 3 3 2 3 7" xfId="5974" xr:uid="{00000000-0005-0000-0000-000092170000}"/>
    <cellStyle name="Comma 3 3 2 4" xfId="2428" xr:uid="{00000000-0005-0000-0000-000093170000}"/>
    <cellStyle name="Comma 3 3 2 4 2" xfId="2429" xr:uid="{00000000-0005-0000-0000-000094170000}"/>
    <cellStyle name="Comma 3 3 2 4 2 2" xfId="2430" xr:uid="{00000000-0005-0000-0000-000095170000}"/>
    <cellStyle name="Comma 3 3 2 4 2 2 2" xfId="2431" xr:uid="{00000000-0005-0000-0000-000096170000}"/>
    <cellStyle name="Comma 3 3 2 4 2 2 2 2" xfId="9580" xr:uid="{00000000-0005-0000-0000-000097170000}"/>
    <cellStyle name="Comma 3 3 2 4 2 2 3" xfId="9579" xr:uid="{00000000-0005-0000-0000-000098170000}"/>
    <cellStyle name="Comma 3 3 2 4 2 2 4" xfId="5981" xr:uid="{00000000-0005-0000-0000-000099170000}"/>
    <cellStyle name="Comma 3 3 2 4 2 3" xfId="2432" xr:uid="{00000000-0005-0000-0000-00009A170000}"/>
    <cellStyle name="Comma 3 3 2 4 2 3 2" xfId="9581" xr:uid="{00000000-0005-0000-0000-00009B170000}"/>
    <cellStyle name="Comma 3 3 2 4 2 4" xfId="9578" xr:uid="{00000000-0005-0000-0000-00009C170000}"/>
    <cellStyle name="Comma 3 3 2 4 2 5" xfId="5980" xr:uid="{00000000-0005-0000-0000-00009D170000}"/>
    <cellStyle name="Comma 3 3 2 4 3" xfId="2433" xr:uid="{00000000-0005-0000-0000-00009E170000}"/>
    <cellStyle name="Comma 3 3 2 4 3 2" xfId="2434" xr:uid="{00000000-0005-0000-0000-00009F170000}"/>
    <cellStyle name="Comma 3 3 2 4 3 2 2" xfId="9583" xr:uid="{00000000-0005-0000-0000-0000A0170000}"/>
    <cellStyle name="Comma 3 3 2 4 3 3" xfId="9582" xr:uid="{00000000-0005-0000-0000-0000A1170000}"/>
    <cellStyle name="Comma 3 3 2 4 3 4" xfId="5982" xr:uid="{00000000-0005-0000-0000-0000A2170000}"/>
    <cellStyle name="Comma 3 3 2 4 4" xfId="2435" xr:uid="{00000000-0005-0000-0000-0000A3170000}"/>
    <cellStyle name="Comma 3 3 2 4 4 2" xfId="2436" xr:uid="{00000000-0005-0000-0000-0000A4170000}"/>
    <cellStyle name="Comma 3 3 2 4 4 2 2" xfId="9585" xr:uid="{00000000-0005-0000-0000-0000A5170000}"/>
    <cellStyle name="Comma 3 3 2 4 4 3" xfId="9584" xr:uid="{00000000-0005-0000-0000-0000A6170000}"/>
    <cellStyle name="Comma 3 3 2 4 4 4" xfId="5983" xr:uid="{00000000-0005-0000-0000-0000A7170000}"/>
    <cellStyle name="Comma 3 3 2 4 5" xfId="2437" xr:uid="{00000000-0005-0000-0000-0000A8170000}"/>
    <cellStyle name="Comma 3 3 2 4 5 2" xfId="9586" xr:uid="{00000000-0005-0000-0000-0000A9170000}"/>
    <cellStyle name="Comma 3 3 2 4 6" xfId="9577" xr:uid="{00000000-0005-0000-0000-0000AA170000}"/>
    <cellStyle name="Comma 3 3 2 4 7" xfId="5979" xr:uid="{00000000-0005-0000-0000-0000AB170000}"/>
    <cellStyle name="Comma 3 3 2 5" xfId="2438" xr:uid="{00000000-0005-0000-0000-0000AC170000}"/>
    <cellStyle name="Comma 3 3 2 5 2" xfId="2439" xr:uid="{00000000-0005-0000-0000-0000AD170000}"/>
    <cellStyle name="Comma 3 3 2 5 2 2" xfId="2440" xr:uid="{00000000-0005-0000-0000-0000AE170000}"/>
    <cellStyle name="Comma 3 3 2 5 2 2 2" xfId="2441" xr:uid="{00000000-0005-0000-0000-0000AF170000}"/>
    <cellStyle name="Comma 3 3 2 5 2 2 2 2" xfId="9590" xr:uid="{00000000-0005-0000-0000-0000B0170000}"/>
    <cellStyle name="Comma 3 3 2 5 2 2 3" xfId="9589" xr:uid="{00000000-0005-0000-0000-0000B1170000}"/>
    <cellStyle name="Comma 3 3 2 5 2 2 4" xfId="5986" xr:uid="{00000000-0005-0000-0000-0000B2170000}"/>
    <cellStyle name="Comma 3 3 2 5 2 3" xfId="2442" xr:uid="{00000000-0005-0000-0000-0000B3170000}"/>
    <cellStyle name="Comma 3 3 2 5 2 3 2" xfId="9591" xr:uid="{00000000-0005-0000-0000-0000B4170000}"/>
    <cellStyle name="Comma 3 3 2 5 2 4" xfId="9588" xr:uid="{00000000-0005-0000-0000-0000B5170000}"/>
    <cellStyle name="Comma 3 3 2 5 2 5" xfId="5985" xr:uid="{00000000-0005-0000-0000-0000B6170000}"/>
    <cellStyle name="Comma 3 3 2 5 3" xfId="2443" xr:uid="{00000000-0005-0000-0000-0000B7170000}"/>
    <cellStyle name="Comma 3 3 2 5 3 2" xfId="2444" xr:uid="{00000000-0005-0000-0000-0000B8170000}"/>
    <cellStyle name="Comma 3 3 2 5 3 2 2" xfId="9593" xr:uid="{00000000-0005-0000-0000-0000B9170000}"/>
    <cellStyle name="Comma 3 3 2 5 3 3" xfId="9592" xr:uid="{00000000-0005-0000-0000-0000BA170000}"/>
    <cellStyle name="Comma 3 3 2 5 3 4" xfId="5987" xr:uid="{00000000-0005-0000-0000-0000BB170000}"/>
    <cellStyle name="Comma 3 3 2 5 4" xfId="2445" xr:uid="{00000000-0005-0000-0000-0000BC170000}"/>
    <cellStyle name="Comma 3 3 2 5 4 2" xfId="2446" xr:uid="{00000000-0005-0000-0000-0000BD170000}"/>
    <cellStyle name="Comma 3 3 2 5 4 2 2" xfId="9595" xr:uid="{00000000-0005-0000-0000-0000BE170000}"/>
    <cellStyle name="Comma 3 3 2 5 4 3" xfId="9594" xr:uid="{00000000-0005-0000-0000-0000BF170000}"/>
    <cellStyle name="Comma 3 3 2 5 4 4" xfId="5988" xr:uid="{00000000-0005-0000-0000-0000C0170000}"/>
    <cellStyle name="Comma 3 3 2 5 5" xfId="2447" xr:uid="{00000000-0005-0000-0000-0000C1170000}"/>
    <cellStyle name="Comma 3 3 2 5 5 2" xfId="9596" xr:uid="{00000000-0005-0000-0000-0000C2170000}"/>
    <cellStyle name="Comma 3 3 2 5 6" xfId="9587" xr:uid="{00000000-0005-0000-0000-0000C3170000}"/>
    <cellStyle name="Comma 3 3 2 5 7" xfId="5984" xr:uid="{00000000-0005-0000-0000-0000C4170000}"/>
    <cellStyle name="Comma 3 3 2 6" xfId="2448" xr:uid="{00000000-0005-0000-0000-0000C5170000}"/>
    <cellStyle name="Comma 3 3 2 6 2" xfId="2449" xr:uid="{00000000-0005-0000-0000-0000C6170000}"/>
    <cellStyle name="Comma 3 3 2 6 2 2" xfId="2450" xr:uid="{00000000-0005-0000-0000-0000C7170000}"/>
    <cellStyle name="Comma 3 3 2 6 2 2 2" xfId="9599" xr:uid="{00000000-0005-0000-0000-0000C8170000}"/>
    <cellStyle name="Comma 3 3 2 6 2 3" xfId="9598" xr:uid="{00000000-0005-0000-0000-0000C9170000}"/>
    <cellStyle name="Comma 3 3 2 6 2 4" xfId="5990" xr:uid="{00000000-0005-0000-0000-0000CA170000}"/>
    <cellStyle name="Comma 3 3 2 6 3" xfId="2451" xr:uid="{00000000-0005-0000-0000-0000CB170000}"/>
    <cellStyle name="Comma 3 3 2 6 3 2" xfId="2452" xr:uid="{00000000-0005-0000-0000-0000CC170000}"/>
    <cellStyle name="Comma 3 3 2 6 3 2 2" xfId="9601" xr:uid="{00000000-0005-0000-0000-0000CD170000}"/>
    <cellStyle name="Comma 3 3 2 6 3 3" xfId="9600" xr:uid="{00000000-0005-0000-0000-0000CE170000}"/>
    <cellStyle name="Comma 3 3 2 6 3 4" xfId="5991" xr:uid="{00000000-0005-0000-0000-0000CF170000}"/>
    <cellStyle name="Comma 3 3 2 6 4" xfId="2453" xr:uid="{00000000-0005-0000-0000-0000D0170000}"/>
    <cellStyle name="Comma 3 3 2 6 4 2" xfId="9602" xr:uid="{00000000-0005-0000-0000-0000D1170000}"/>
    <cellStyle name="Comma 3 3 2 6 5" xfId="9597" xr:uid="{00000000-0005-0000-0000-0000D2170000}"/>
    <cellStyle name="Comma 3 3 2 6 6" xfId="5989" xr:uid="{00000000-0005-0000-0000-0000D3170000}"/>
    <cellStyle name="Comma 3 3 2 7" xfId="2454" xr:uid="{00000000-0005-0000-0000-0000D4170000}"/>
    <cellStyle name="Comma 3 3 2 7 2" xfId="2455" xr:uid="{00000000-0005-0000-0000-0000D5170000}"/>
    <cellStyle name="Comma 3 3 2 7 2 2" xfId="2456" xr:uid="{00000000-0005-0000-0000-0000D6170000}"/>
    <cellStyle name="Comma 3 3 2 7 2 2 2" xfId="9605" xr:uid="{00000000-0005-0000-0000-0000D7170000}"/>
    <cellStyle name="Comma 3 3 2 7 2 3" xfId="9604" xr:uid="{00000000-0005-0000-0000-0000D8170000}"/>
    <cellStyle name="Comma 3 3 2 7 2 4" xfId="5993" xr:uid="{00000000-0005-0000-0000-0000D9170000}"/>
    <cellStyle name="Comma 3 3 2 7 3" xfId="2457" xr:uid="{00000000-0005-0000-0000-0000DA170000}"/>
    <cellStyle name="Comma 3 3 2 7 3 2" xfId="9606" xr:uid="{00000000-0005-0000-0000-0000DB170000}"/>
    <cellStyle name="Comma 3 3 2 7 4" xfId="9603" xr:uid="{00000000-0005-0000-0000-0000DC170000}"/>
    <cellStyle name="Comma 3 3 2 7 5" xfId="5992" xr:uid="{00000000-0005-0000-0000-0000DD170000}"/>
    <cellStyle name="Comma 3 3 2 8" xfId="2458" xr:uid="{00000000-0005-0000-0000-0000DE170000}"/>
    <cellStyle name="Comma 3 3 2 8 2" xfId="2459" xr:uid="{00000000-0005-0000-0000-0000DF170000}"/>
    <cellStyle name="Comma 3 3 2 8 2 2" xfId="9608" xr:uid="{00000000-0005-0000-0000-0000E0170000}"/>
    <cellStyle name="Comma 3 3 2 8 3" xfId="9607" xr:uid="{00000000-0005-0000-0000-0000E1170000}"/>
    <cellStyle name="Comma 3 3 2 8 4" xfId="5994" xr:uid="{00000000-0005-0000-0000-0000E2170000}"/>
    <cellStyle name="Comma 3 3 2 9" xfId="2460" xr:uid="{00000000-0005-0000-0000-0000E3170000}"/>
    <cellStyle name="Comma 3 3 2 9 2" xfId="2461" xr:uid="{00000000-0005-0000-0000-0000E4170000}"/>
    <cellStyle name="Comma 3 3 2 9 2 2" xfId="9610" xr:uid="{00000000-0005-0000-0000-0000E5170000}"/>
    <cellStyle name="Comma 3 3 2 9 3" xfId="9609" xr:uid="{00000000-0005-0000-0000-0000E6170000}"/>
    <cellStyle name="Comma 3 3 2 9 4" xfId="5995" xr:uid="{00000000-0005-0000-0000-0000E7170000}"/>
    <cellStyle name="Comma 3 3 3" xfId="2462" xr:uid="{00000000-0005-0000-0000-0000E8170000}"/>
    <cellStyle name="Comma 3 3 3 2" xfId="2463" xr:uid="{00000000-0005-0000-0000-0000E9170000}"/>
    <cellStyle name="Comma 3 3 3 2 2" xfId="2464" xr:uid="{00000000-0005-0000-0000-0000EA170000}"/>
    <cellStyle name="Comma 3 3 3 2 2 2" xfId="2465" xr:uid="{00000000-0005-0000-0000-0000EB170000}"/>
    <cellStyle name="Comma 3 3 3 2 2 2 2" xfId="9614" xr:uid="{00000000-0005-0000-0000-0000EC170000}"/>
    <cellStyle name="Comma 3 3 3 2 2 3" xfId="9613" xr:uid="{00000000-0005-0000-0000-0000ED170000}"/>
    <cellStyle name="Comma 3 3 3 2 2 4" xfId="5998" xr:uid="{00000000-0005-0000-0000-0000EE170000}"/>
    <cellStyle name="Comma 3 3 3 2 3" xfId="2466" xr:uid="{00000000-0005-0000-0000-0000EF170000}"/>
    <cellStyle name="Comma 3 3 3 2 3 2" xfId="9615" xr:uid="{00000000-0005-0000-0000-0000F0170000}"/>
    <cellStyle name="Comma 3 3 3 2 4" xfId="9612" xr:uid="{00000000-0005-0000-0000-0000F1170000}"/>
    <cellStyle name="Comma 3 3 3 2 5" xfId="5997" xr:uid="{00000000-0005-0000-0000-0000F2170000}"/>
    <cellStyle name="Comma 3 3 3 3" xfId="2467" xr:uid="{00000000-0005-0000-0000-0000F3170000}"/>
    <cellStyle name="Comma 3 3 3 3 2" xfId="2468" xr:uid="{00000000-0005-0000-0000-0000F4170000}"/>
    <cellStyle name="Comma 3 3 3 3 2 2" xfId="9617" xr:uid="{00000000-0005-0000-0000-0000F5170000}"/>
    <cellStyle name="Comma 3 3 3 3 3" xfId="9616" xr:uid="{00000000-0005-0000-0000-0000F6170000}"/>
    <cellStyle name="Comma 3 3 3 3 4" xfId="5999" xr:uid="{00000000-0005-0000-0000-0000F7170000}"/>
    <cellStyle name="Comma 3 3 3 4" xfId="2469" xr:uid="{00000000-0005-0000-0000-0000F8170000}"/>
    <cellStyle name="Comma 3 3 3 4 2" xfId="2470" xr:uid="{00000000-0005-0000-0000-0000F9170000}"/>
    <cellStyle name="Comma 3 3 3 4 2 2" xfId="9619" xr:uid="{00000000-0005-0000-0000-0000FA170000}"/>
    <cellStyle name="Comma 3 3 3 4 3" xfId="9618" xr:uid="{00000000-0005-0000-0000-0000FB170000}"/>
    <cellStyle name="Comma 3 3 3 4 4" xfId="6000" xr:uid="{00000000-0005-0000-0000-0000FC170000}"/>
    <cellStyle name="Comma 3 3 3 5" xfId="2471" xr:uid="{00000000-0005-0000-0000-0000FD170000}"/>
    <cellStyle name="Comma 3 3 3 5 2" xfId="9620" xr:uid="{00000000-0005-0000-0000-0000FE170000}"/>
    <cellStyle name="Comma 3 3 3 6" xfId="9611" xr:uid="{00000000-0005-0000-0000-0000FF170000}"/>
    <cellStyle name="Comma 3 3 3 7" xfId="5996" xr:uid="{00000000-0005-0000-0000-000000180000}"/>
    <cellStyle name="Comma 3 3 4" xfId="2472" xr:uid="{00000000-0005-0000-0000-000001180000}"/>
    <cellStyle name="Comma 3 3 4 2" xfId="2473" xr:uid="{00000000-0005-0000-0000-000002180000}"/>
    <cellStyle name="Comma 3 3 4 2 2" xfId="2474" xr:uid="{00000000-0005-0000-0000-000003180000}"/>
    <cellStyle name="Comma 3 3 4 2 2 2" xfId="2475" xr:uid="{00000000-0005-0000-0000-000004180000}"/>
    <cellStyle name="Comma 3 3 4 2 2 2 2" xfId="9624" xr:uid="{00000000-0005-0000-0000-000005180000}"/>
    <cellStyle name="Comma 3 3 4 2 2 3" xfId="9623" xr:uid="{00000000-0005-0000-0000-000006180000}"/>
    <cellStyle name="Comma 3 3 4 2 2 4" xfId="6003" xr:uid="{00000000-0005-0000-0000-000007180000}"/>
    <cellStyle name="Comma 3 3 4 2 3" xfId="2476" xr:uid="{00000000-0005-0000-0000-000008180000}"/>
    <cellStyle name="Comma 3 3 4 2 3 2" xfId="9625" xr:uid="{00000000-0005-0000-0000-000009180000}"/>
    <cellStyle name="Comma 3 3 4 2 4" xfId="9622" xr:uid="{00000000-0005-0000-0000-00000A180000}"/>
    <cellStyle name="Comma 3 3 4 2 5" xfId="6002" xr:uid="{00000000-0005-0000-0000-00000B180000}"/>
    <cellStyle name="Comma 3 3 4 3" xfId="2477" xr:uid="{00000000-0005-0000-0000-00000C180000}"/>
    <cellStyle name="Comma 3 3 4 3 2" xfId="2478" xr:uid="{00000000-0005-0000-0000-00000D180000}"/>
    <cellStyle name="Comma 3 3 4 3 2 2" xfId="9627" xr:uid="{00000000-0005-0000-0000-00000E180000}"/>
    <cellStyle name="Comma 3 3 4 3 3" xfId="9626" xr:uid="{00000000-0005-0000-0000-00000F180000}"/>
    <cellStyle name="Comma 3 3 4 3 4" xfId="6004" xr:uid="{00000000-0005-0000-0000-000010180000}"/>
    <cellStyle name="Comma 3 3 4 4" xfId="2479" xr:uid="{00000000-0005-0000-0000-000011180000}"/>
    <cellStyle name="Comma 3 3 4 4 2" xfId="2480" xr:uid="{00000000-0005-0000-0000-000012180000}"/>
    <cellStyle name="Comma 3 3 4 4 2 2" xfId="9629" xr:uid="{00000000-0005-0000-0000-000013180000}"/>
    <cellStyle name="Comma 3 3 4 4 3" xfId="9628" xr:uid="{00000000-0005-0000-0000-000014180000}"/>
    <cellStyle name="Comma 3 3 4 4 4" xfId="6005" xr:uid="{00000000-0005-0000-0000-000015180000}"/>
    <cellStyle name="Comma 3 3 4 5" xfId="2481" xr:uid="{00000000-0005-0000-0000-000016180000}"/>
    <cellStyle name="Comma 3 3 4 5 2" xfId="9630" xr:uid="{00000000-0005-0000-0000-000017180000}"/>
    <cellStyle name="Comma 3 3 4 6" xfId="9621" xr:uid="{00000000-0005-0000-0000-000018180000}"/>
    <cellStyle name="Comma 3 3 4 7" xfId="6001" xr:uid="{00000000-0005-0000-0000-000019180000}"/>
    <cellStyle name="Comma 3 3 5" xfId="2482" xr:uid="{00000000-0005-0000-0000-00001A180000}"/>
    <cellStyle name="Comma 3 3 5 2" xfId="2483" xr:uid="{00000000-0005-0000-0000-00001B180000}"/>
    <cellStyle name="Comma 3 3 5 2 2" xfId="2484" xr:uid="{00000000-0005-0000-0000-00001C180000}"/>
    <cellStyle name="Comma 3 3 5 2 2 2" xfId="2485" xr:uid="{00000000-0005-0000-0000-00001D180000}"/>
    <cellStyle name="Comma 3 3 5 2 2 2 2" xfId="9634" xr:uid="{00000000-0005-0000-0000-00001E180000}"/>
    <cellStyle name="Comma 3 3 5 2 2 3" xfId="9633" xr:uid="{00000000-0005-0000-0000-00001F180000}"/>
    <cellStyle name="Comma 3 3 5 2 2 4" xfId="6008" xr:uid="{00000000-0005-0000-0000-000020180000}"/>
    <cellStyle name="Comma 3 3 5 2 3" xfId="2486" xr:uid="{00000000-0005-0000-0000-000021180000}"/>
    <cellStyle name="Comma 3 3 5 2 3 2" xfId="9635" xr:uid="{00000000-0005-0000-0000-000022180000}"/>
    <cellStyle name="Comma 3 3 5 2 4" xfId="9632" xr:uid="{00000000-0005-0000-0000-000023180000}"/>
    <cellStyle name="Comma 3 3 5 2 5" xfId="6007" xr:uid="{00000000-0005-0000-0000-000024180000}"/>
    <cellStyle name="Comma 3 3 5 3" xfId="2487" xr:uid="{00000000-0005-0000-0000-000025180000}"/>
    <cellStyle name="Comma 3 3 5 3 2" xfId="2488" xr:uid="{00000000-0005-0000-0000-000026180000}"/>
    <cellStyle name="Comma 3 3 5 3 2 2" xfId="9637" xr:uid="{00000000-0005-0000-0000-000027180000}"/>
    <cellStyle name="Comma 3 3 5 3 3" xfId="9636" xr:uid="{00000000-0005-0000-0000-000028180000}"/>
    <cellStyle name="Comma 3 3 5 3 4" xfId="6009" xr:uid="{00000000-0005-0000-0000-000029180000}"/>
    <cellStyle name="Comma 3 3 5 4" xfId="2489" xr:uid="{00000000-0005-0000-0000-00002A180000}"/>
    <cellStyle name="Comma 3 3 5 4 2" xfId="2490" xr:uid="{00000000-0005-0000-0000-00002B180000}"/>
    <cellStyle name="Comma 3 3 5 4 2 2" xfId="9639" xr:uid="{00000000-0005-0000-0000-00002C180000}"/>
    <cellStyle name="Comma 3 3 5 4 3" xfId="9638" xr:uid="{00000000-0005-0000-0000-00002D180000}"/>
    <cellStyle name="Comma 3 3 5 4 4" xfId="6010" xr:uid="{00000000-0005-0000-0000-00002E180000}"/>
    <cellStyle name="Comma 3 3 5 5" xfId="2491" xr:uid="{00000000-0005-0000-0000-00002F180000}"/>
    <cellStyle name="Comma 3 3 5 5 2" xfId="9640" xr:uid="{00000000-0005-0000-0000-000030180000}"/>
    <cellStyle name="Comma 3 3 5 6" xfId="9631" xr:uid="{00000000-0005-0000-0000-000031180000}"/>
    <cellStyle name="Comma 3 3 5 7" xfId="6006" xr:uid="{00000000-0005-0000-0000-000032180000}"/>
    <cellStyle name="Comma 3 3 6" xfId="2492" xr:uid="{00000000-0005-0000-0000-000033180000}"/>
    <cellStyle name="Comma 3 3 6 2" xfId="2493" xr:uid="{00000000-0005-0000-0000-000034180000}"/>
    <cellStyle name="Comma 3 3 6 2 2" xfId="2494" xr:uid="{00000000-0005-0000-0000-000035180000}"/>
    <cellStyle name="Comma 3 3 6 2 2 2" xfId="2495" xr:uid="{00000000-0005-0000-0000-000036180000}"/>
    <cellStyle name="Comma 3 3 6 2 2 2 2" xfId="9644" xr:uid="{00000000-0005-0000-0000-000037180000}"/>
    <cellStyle name="Comma 3 3 6 2 2 3" xfId="9643" xr:uid="{00000000-0005-0000-0000-000038180000}"/>
    <cellStyle name="Comma 3 3 6 2 2 4" xfId="6013" xr:uid="{00000000-0005-0000-0000-000039180000}"/>
    <cellStyle name="Comma 3 3 6 2 3" xfId="2496" xr:uid="{00000000-0005-0000-0000-00003A180000}"/>
    <cellStyle name="Comma 3 3 6 2 3 2" xfId="9645" xr:uid="{00000000-0005-0000-0000-00003B180000}"/>
    <cellStyle name="Comma 3 3 6 2 4" xfId="9642" xr:uid="{00000000-0005-0000-0000-00003C180000}"/>
    <cellStyle name="Comma 3 3 6 2 5" xfId="6012" xr:uid="{00000000-0005-0000-0000-00003D180000}"/>
    <cellStyle name="Comma 3 3 6 3" xfId="2497" xr:uid="{00000000-0005-0000-0000-00003E180000}"/>
    <cellStyle name="Comma 3 3 6 3 2" xfId="2498" xr:uid="{00000000-0005-0000-0000-00003F180000}"/>
    <cellStyle name="Comma 3 3 6 3 2 2" xfId="9647" xr:uid="{00000000-0005-0000-0000-000040180000}"/>
    <cellStyle name="Comma 3 3 6 3 3" xfId="9646" xr:uid="{00000000-0005-0000-0000-000041180000}"/>
    <cellStyle name="Comma 3 3 6 3 4" xfId="6014" xr:uid="{00000000-0005-0000-0000-000042180000}"/>
    <cellStyle name="Comma 3 3 6 4" xfId="2499" xr:uid="{00000000-0005-0000-0000-000043180000}"/>
    <cellStyle name="Comma 3 3 6 4 2" xfId="2500" xr:uid="{00000000-0005-0000-0000-000044180000}"/>
    <cellStyle name="Comma 3 3 6 4 2 2" xfId="9649" xr:uid="{00000000-0005-0000-0000-000045180000}"/>
    <cellStyle name="Comma 3 3 6 4 3" xfId="9648" xr:uid="{00000000-0005-0000-0000-000046180000}"/>
    <cellStyle name="Comma 3 3 6 4 4" xfId="6015" xr:uid="{00000000-0005-0000-0000-000047180000}"/>
    <cellStyle name="Comma 3 3 6 5" xfId="2501" xr:uid="{00000000-0005-0000-0000-000048180000}"/>
    <cellStyle name="Comma 3 3 6 5 2" xfId="9650" xr:uid="{00000000-0005-0000-0000-000049180000}"/>
    <cellStyle name="Comma 3 3 6 6" xfId="9641" xr:uid="{00000000-0005-0000-0000-00004A180000}"/>
    <cellStyle name="Comma 3 3 6 7" xfId="6011" xr:uid="{00000000-0005-0000-0000-00004B180000}"/>
    <cellStyle name="Comma 3 3 7" xfId="2502" xr:uid="{00000000-0005-0000-0000-00004C180000}"/>
    <cellStyle name="Comma 3 3 7 2" xfId="2503" xr:uid="{00000000-0005-0000-0000-00004D180000}"/>
    <cellStyle name="Comma 3 3 7 2 2" xfId="2504" xr:uid="{00000000-0005-0000-0000-00004E180000}"/>
    <cellStyle name="Comma 3 3 7 2 2 2" xfId="9653" xr:uid="{00000000-0005-0000-0000-00004F180000}"/>
    <cellStyle name="Comma 3 3 7 2 3" xfId="9652" xr:uid="{00000000-0005-0000-0000-000050180000}"/>
    <cellStyle name="Comma 3 3 7 2 4" xfId="6017" xr:uid="{00000000-0005-0000-0000-000051180000}"/>
    <cellStyle name="Comma 3 3 7 3" xfId="2505" xr:uid="{00000000-0005-0000-0000-000052180000}"/>
    <cellStyle name="Comma 3 3 7 3 2" xfId="2506" xr:uid="{00000000-0005-0000-0000-000053180000}"/>
    <cellStyle name="Comma 3 3 7 3 2 2" xfId="9655" xr:uid="{00000000-0005-0000-0000-000054180000}"/>
    <cellStyle name="Comma 3 3 7 3 3" xfId="9654" xr:uid="{00000000-0005-0000-0000-000055180000}"/>
    <cellStyle name="Comma 3 3 7 3 4" xfId="6018" xr:uid="{00000000-0005-0000-0000-000056180000}"/>
    <cellStyle name="Comma 3 3 7 4" xfId="2507" xr:uid="{00000000-0005-0000-0000-000057180000}"/>
    <cellStyle name="Comma 3 3 7 4 2" xfId="9656" xr:uid="{00000000-0005-0000-0000-000058180000}"/>
    <cellStyle name="Comma 3 3 7 5" xfId="9651" xr:uid="{00000000-0005-0000-0000-000059180000}"/>
    <cellStyle name="Comma 3 3 7 6" xfId="6016" xr:uid="{00000000-0005-0000-0000-00005A180000}"/>
    <cellStyle name="Comma 3 3 8" xfId="2508" xr:uid="{00000000-0005-0000-0000-00005B180000}"/>
    <cellStyle name="Comma 3 3 8 2" xfId="2509" xr:uid="{00000000-0005-0000-0000-00005C180000}"/>
    <cellStyle name="Comma 3 3 8 2 2" xfId="2510" xr:uid="{00000000-0005-0000-0000-00005D180000}"/>
    <cellStyle name="Comma 3 3 8 2 2 2" xfId="9659" xr:uid="{00000000-0005-0000-0000-00005E180000}"/>
    <cellStyle name="Comma 3 3 8 2 3" xfId="9658" xr:uid="{00000000-0005-0000-0000-00005F180000}"/>
    <cellStyle name="Comma 3 3 8 2 4" xfId="6020" xr:uid="{00000000-0005-0000-0000-000060180000}"/>
    <cellStyle name="Comma 3 3 8 3" xfId="2511" xr:uid="{00000000-0005-0000-0000-000061180000}"/>
    <cellStyle name="Comma 3 3 8 3 2" xfId="9660" xr:uid="{00000000-0005-0000-0000-000062180000}"/>
    <cellStyle name="Comma 3 3 8 4" xfId="9657" xr:uid="{00000000-0005-0000-0000-000063180000}"/>
    <cellStyle name="Comma 3 3 8 5" xfId="6019" xr:uid="{00000000-0005-0000-0000-000064180000}"/>
    <cellStyle name="Comma 3 3 9" xfId="2512" xr:uid="{00000000-0005-0000-0000-000065180000}"/>
    <cellStyle name="Comma 3 3 9 2" xfId="2513" xr:uid="{00000000-0005-0000-0000-000066180000}"/>
    <cellStyle name="Comma 3 3 9 2 2" xfId="9662" xr:uid="{00000000-0005-0000-0000-000067180000}"/>
    <cellStyle name="Comma 3 3 9 3" xfId="9661" xr:uid="{00000000-0005-0000-0000-000068180000}"/>
    <cellStyle name="Comma 3 3 9 4" xfId="6021" xr:uid="{00000000-0005-0000-0000-000069180000}"/>
    <cellStyle name="Comma 3 4" xfId="2514" xr:uid="{00000000-0005-0000-0000-00006A180000}"/>
    <cellStyle name="Comma 3 4 10" xfId="2515" xr:uid="{00000000-0005-0000-0000-00006B180000}"/>
    <cellStyle name="Comma 3 4 10 2" xfId="2516" xr:uid="{00000000-0005-0000-0000-00006C180000}"/>
    <cellStyle name="Comma 3 4 10 2 2" xfId="9665" xr:uid="{00000000-0005-0000-0000-00006D180000}"/>
    <cellStyle name="Comma 3 4 10 3" xfId="9664" xr:uid="{00000000-0005-0000-0000-00006E180000}"/>
    <cellStyle name="Comma 3 4 10 4" xfId="6023" xr:uid="{00000000-0005-0000-0000-00006F180000}"/>
    <cellStyle name="Comma 3 4 11" xfId="2517" xr:uid="{00000000-0005-0000-0000-000070180000}"/>
    <cellStyle name="Comma 3 4 11 2" xfId="9666" xr:uid="{00000000-0005-0000-0000-000071180000}"/>
    <cellStyle name="Comma 3 4 12" xfId="9663" xr:uid="{00000000-0005-0000-0000-000072180000}"/>
    <cellStyle name="Comma 3 4 13" xfId="6022" xr:uid="{00000000-0005-0000-0000-000073180000}"/>
    <cellStyle name="Comma 3 4 2" xfId="2518" xr:uid="{00000000-0005-0000-0000-000074180000}"/>
    <cellStyle name="Comma 3 4 2 10" xfId="2519" xr:uid="{00000000-0005-0000-0000-000075180000}"/>
    <cellStyle name="Comma 3 4 2 10 2" xfId="9668" xr:uid="{00000000-0005-0000-0000-000076180000}"/>
    <cellStyle name="Comma 3 4 2 11" xfId="9667" xr:uid="{00000000-0005-0000-0000-000077180000}"/>
    <cellStyle name="Comma 3 4 2 12" xfId="6024" xr:uid="{00000000-0005-0000-0000-000078180000}"/>
    <cellStyle name="Comma 3 4 2 2" xfId="2520" xr:uid="{00000000-0005-0000-0000-000079180000}"/>
    <cellStyle name="Comma 3 4 2 2 2" xfId="2521" xr:uid="{00000000-0005-0000-0000-00007A180000}"/>
    <cellStyle name="Comma 3 4 2 2 2 2" xfId="2522" xr:uid="{00000000-0005-0000-0000-00007B180000}"/>
    <cellStyle name="Comma 3 4 2 2 2 2 2" xfId="2523" xr:uid="{00000000-0005-0000-0000-00007C180000}"/>
    <cellStyle name="Comma 3 4 2 2 2 2 2 2" xfId="9672" xr:uid="{00000000-0005-0000-0000-00007D180000}"/>
    <cellStyle name="Comma 3 4 2 2 2 2 3" xfId="9671" xr:uid="{00000000-0005-0000-0000-00007E180000}"/>
    <cellStyle name="Comma 3 4 2 2 2 2 4" xfId="6027" xr:uid="{00000000-0005-0000-0000-00007F180000}"/>
    <cellStyle name="Comma 3 4 2 2 2 3" xfId="2524" xr:uid="{00000000-0005-0000-0000-000080180000}"/>
    <cellStyle name="Comma 3 4 2 2 2 3 2" xfId="9673" xr:uid="{00000000-0005-0000-0000-000081180000}"/>
    <cellStyle name="Comma 3 4 2 2 2 4" xfId="9670" xr:uid="{00000000-0005-0000-0000-000082180000}"/>
    <cellStyle name="Comma 3 4 2 2 2 5" xfId="6026" xr:uid="{00000000-0005-0000-0000-000083180000}"/>
    <cellStyle name="Comma 3 4 2 2 3" xfId="2525" xr:uid="{00000000-0005-0000-0000-000084180000}"/>
    <cellStyle name="Comma 3 4 2 2 3 2" xfId="2526" xr:uid="{00000000-0005-0000-0000-000085180000}"/>
    <cellStyle name="Comma 3 4 2 2 3 2 2" xfId="9675" xr:uid="{00000000-0005-0000-0000-000086180000}"/>
    <cellStyle name="Comma 3 4 2 2 3 3" xfId="9674" xr:uid="{00000000-0005-0000-0000-000087180000}"/>
    <cellStyle name="Comma 3 4 2 2 3 4" xfId="6028" xr:uid="{00000000-0005-0000-0000-000088180000}"/>
    <cellStyle name="Comma 3 4 2 2 4" xfId="2527" xr:uid="{00000000-0005-0000-0000-000089180000}"/>
    <cellStyle name="Comma 3 4 2 2 4 2" xfId="2528" xr:uid="{00000000-0005-0000-0000-00008A180000}"/>
    <cellStyle name="Comma 3 4 2 2 4 2 2" xfId="9677" xr:uid="{00000000-0005-0000-0000-00008B180000}"/>
    <cellStyle name="Comma 3 4 2 2 4 3" xfId="9676" xr:uid="{00000000-0005-0000-0000-00008C180000}"/>
    <cellStyle name="Comma 3 4 2 2 4 4" xfId="6029" xr:uid="{00000000-0005-0000-0000-00008D180000}"/>
    <cellStyle name="Comma 3 4 2 2 5" xfId="2529" xr:uid="{00000000-0005-0000-0000-00008E180000}"/>
    <cellStyle name="Comma 3 4 2 2 5 2" xfId="9678" xr:uid="{00000000-0005-0000-0000-00008F180000}"/>
    <cellStyle name="Comma 3 4 2 2 6" xfId="9669" xr:uid="{00000000-0005-0000-0000-000090180000}"/>
    <cellStyle name="Comma 3 4 2 2 7" xfId="6025" xr:uid="{00000000-0005-0000-0000-000091180000}"/>
    <cellStyle name="Comma 3 4 2 3" xfId="2530" xr:uid="{00000000-0005-0000-0000-000092180000}"/>
    <cellStyle name="Comma 3 4 2 3 2" xfId="2531" xr:uid="{00000000-0005-0000-0000-000093180000}"/>
    <cellStyle name="Comma 3 4 2 3 2 2" xfId="2532" xr:uid="{00000000-0005-0000-0000-000094180000}"/>
    <cellStyle name="Comma 3 4 2 3 2 2 2" xfId="2533" xr:uid="{00000000-0005-0000-0000-000095180000}"/>
    <cellStyle name="Comma 3 4 2 3 2 2 2 2" xfId="9682" xr:uid="{00000000-0005-0000-0000-000096180000}"/>
    <cellStyle name="Comma 3 4 2 3 2 2 3" xfId="9681" xr:uid="{00000000-0005-0000-0000-000097180000}"/>
    <cellStyle name="Comma 3 4 2 3 2 2 4" xfId="6032" xr:uid="{00000000-0005-0000-0000-000098180000}"/>
    <cellStyle name="Comma 3 4 2 3 2 3" xfId="2534" xr:uid="{00000000-0005-0000-0000-000099180000}"/>
    <cellStyle name="Comma 3 4 2 3 2 3 2" xfId="9683" xr:uid="{00000000-0005-0000-0000-00009A180000}"/>
    <cellStyle name="Comma 3 4 2 3 2 4" xfId="9680" xr:uid="{00000000-0005-0000-0000-00009B180000}"/>
    <cellStyle name="Comma 3 4 2 3 2 5" xfId="6031" xr:uid="{00000000-0005-0000-0000-00009C180000}"/>
    <cellStyle name="Comma 3 4 2 3 3" xfId="2535" xr:uid="{00000000-0005-0000-0000-00009D180000}"/>
    <cellStyle name="Comma 3 4 2 3 3 2" xfId="2536" xr:uid="{00000000-0005-0000-0000-00009E180000}"/>
    <cellStyle name="Comma 3 4 2 3 3 2 2" xfId="9685" xr:uid="{00000000-0005-0000-0000-00009F180000}"/>
    <cellStyle name="Comma 3 4 2 3 3 3" xfId="9684" xr:uid="{00000000-0005-0000-0000-0000A0180000}"/>
    <cellStyle name="Comma 3 4 2 3 3 4" xfId="6033" xr:uid="{00000000-0005-0000-0000-0000A1180000}"/>
    <cellStyle name="Comma 3 4 2 3 4" xfId="2537" xr:uid="{00000000-0005-0000-0000-0000A2180000}"/>
    <cellStyle name="Comma 3 4 2 3 4 2" xfId="2538" xr:uid="{00000000-0005-0000-0000-0000A3180000}"/>
    <cellStyle name="Comma 3 4 2 3 4 2 2" xfId="9687" xr:uid="{00000000-0005-0000-0000-0000A4180000}"/>
    <cellStyle name="Comma 3 4 2 3 4 3" xfId="9686" xr:uid="{00000000-0005-0000-0000-0000A5180000}"/>
    <cellStyle name="Comma 3 4 2 3 4 4" xfId="6034" xr:uid="{00000000-0005-0000-0000-0000A6180000}"/>
    <cellStyle name="Comma 3 4 2 3 5" xfId="2539" xr:uid="{00000000-0005-0000-0000-0000A7180000}"/>
    <cellStyle name="Comma 3 4 2 3 5 2" xfId="9688" xr:uid="{00000000-0005-0000-0000-0000A8180000}"/>
    <cellStyle name="Comma 3 4 2 3 6" xfId="9679" xr:uid="{00000000-0005-0000-0000-0000A9180000}"/>
    <cellStyle name="Comma 3 4 2 3 7" xfId="6030" xr:uid="{00000000-0005-0000-0000-0000AA180000}"/>
    <cellStyle name="Comma 3 4 2 4" xfId="2540" xr:uid="{00000000-0005-0000-0000-0000AB180000}"/>
    <cellStyle name="Comma 3 4 2 4 2" xfId="2541" xr:uid="{00000000-0005-0000-0000-0000AC180000}"/>
    <cellStyle name="Comma 3 4 2 4 2 2" xfId="2542" xr:uid="{00000000-0005-0000-0000-0000AD180000}"/>
    <cellStyle name="Comma 3 4 2 4 2 2 2" xfId="2543" xr:uid="{00000000-0005-0000-0000-0000AE180000}"/>
    <cellStyle name="Comma 3 4 2 4 2 2 2 2" xfId="9692" xr:uid="{00000000-0005-0000-0000-0000AF180000}"/>
    <cellStyle name="Comma 3 4 2 4 2 2 3" xfId="9691" xr:uid="{00000000-0005-0000-0000-0000B0180000}"/>
    <cellStyle name="Comma 3 4 2 4 2 2 4" xfId="6037" xr:uid="{00000000-0005-0000-0000-0000B1180000}"/>
    <cellStyle name="Comma 3 4 2 4 2 3" xfId="2544" xr:uid="{00000000-0005-0000-0000-0000B2180000}"/>
    <cellStyle name="Comma 3 4 2 4 2 3 2" xfId="9693" xr:uid="{00000000-0005-0000-0000-0000B3180000}"/>
    <cellStyle name="Comma 3 4 2 4 2 4" xfId="9690" xr:uid="{00000000-0005-0000-0000-0000B4180000}"/>
    <cellStyle name="Comma 3 4 2 4 2 5" xfId="6036" xr:uid="{00000000-0005-0000-0000-0000B5180000}"/>
    <cellStyle name="Comma 3 4 2 4 3" xfId="2545" xr:uid="{00000000-0005-0000-0000-0000B6180000}"/>
    <cellStyle name="Comma 3 4 2 4 3 2" xfId="2546" xr:uid="{00000000-0005-0000-0000-0000B7180000}"/>
    <cellStyle name="Comma 3 4 2 4 3 2 2" xfId="9695" xr:uid="{00000000-0005-0000-0000-0000B8180000}"/>
    <cellStyle name="Comma 3 4 2 4 3 3" xfId="9694" xr:uid="{00000000-0005-0000-0000-0000B9180000}"/>
    <cellStyle name="Comma 3 4 2 4 3 4" xfId="6038" xr:uid="{00000000-0005-0000-0000-0000BA180000}"/>
    <cellStyle name="Comma 3 4 2 4 4" xfId="2547" xr:uid="{00000000-0005-0000-0000-0000BB180000}"/>
    <cellStyle name="Comma 3 4 2 4 4 2" xfId="2548" xr:uid="{00000000-0005-0000-0000-0000BC180000}"/>
    <cellStyle name="Comma 3 4 2 4 4 2 2" xfId="9697" xr:uid="{00000000-0005-0000-0000-0000BD180000}"/>
    <cellStyle name="Comma 3 4 2 4 4 3" xfId="9696" xr:uid="{00000000-0005-0000-0000-0000BE180000}"/>
    <cellStyle name="Comma 3 4 2 4 4 4" xfId="6039" xr:uid="{00000000-0005-0000-0000-0000BF180000}"/>
    <cellStyle name="Comma 3 4 2 4 5" xfId="2549" xr:uid="{00000000-0005-0000-0000-0000C0180000}"/>
    <cellStyle name="Comma 3 4 2 4 5 2" xfId="9698" xr:uid="{00000000-0005-0000-0000-0000C1180000}"/>
    <cellStyle name="Comma 3 4 2 4 6" xfId="9689" xr:uid="{00000000-0005-0000-0000-0000C2180000}"/>
    <cellStyle name="Comma 3 4 2 4 7" xfId="6035" xr:uid="{00000000-0005-0000-0000-0000C3180000}"/>
    <cellStyle name="Comma 3 4 2 5" xfId="2550" xr:uid="{00000000-0005-0000-0000-0000C4180000}"/>
    <cellStyle name="Comma 3 4 2 5 2" xfId="2551" xr:uid="{00000000-0005-0000-0000-0000C5180000}"/>
    <cellStyle name="Comma 3 4 2 5 2 2" xfId="2552" xr:uid="{00000000-0005-0000-0000-0000C6180000}"/>
    <cellStyle name="Comma 3 4 2 5 2 2 2" xfId="2553" xr:uid="{00000000-0005-0000-0000-0000C7180000}"/>
    <cellStyle name="Comma 3 4 2 5 2 2 2 2" xfId="9702" xr:uid="{00000000-0005-0000-0000-0000C8180000}"/>
    <cellStyle name="Comma 3 4 2 5 2 2 3" xfId="9701" xr:uid="{00000000-0005-0000-0000-0000C9180000}"/>
    <cellStyle name="Comma 3 4 2 5 2 2 4" xfId="6042" xr:uid="{00000000-0005-0000-0000-0000CA180000}"/>
    <cellStyle name="Comma 3 4 2 5 2 3" xfId="2554" xr:uid="{00000000-0005-0000-0000-0000CB180000}"/>
    <cellStyle name="Comma 3 4 2 5 2 3 2" xfId="9703" xr:uid="{00000000-0005-0000-0000-0000CC180000}"/>
    <cellStyle name="Comma 3 4 2 5 2 4" xfId="9700" xr:uid="{00000000-0005-0000-0000-0000CD180000}"/>
    <cellStyle name="Comma 3 4 2 5 2 5" xfId="6041" xr:uid="{00000000-0005-0000-0000-0000CE180000}"/>
    <cellStyle name="Comma 3 4 2 5 3" xfId="2555" xr:uid="{00000000-0005-0000-0000-0000CF180000}"/>
    <cellStyle name="Comma 3 4 2 5 3 2" xfId="2556" xr:uid="{00000000-0005-0000-0000-0000D0180000}"/>
    <cellStyle name="Comma 3 4 2 5 3 2 2" xfId="9705" xr:uid="{00000000-0005-0000-0000-0000D1180000}"/>
    <cellStyle name="Comma 3 4 2 5 3 3" xfId="9704" xr:uid="{00000000-0005-0000-0000-0000D2180000}"/>
    <cellStyle name="Comma 3 4 2 5 3 4" xfId="6043" xr:uid="{00000000-0005-0000-0000-0000D3180000}"/>
    <cellStyle name="Comma 3 4 2 5 4" xfId="2557" xr:uid="{00000000-0005-0000-0000-0000D4180000}"/>
    <cellStyle name="Comma 3 4 2 5 4 2" xfId="2558" xr:uid="{00000000-0005-0000-0000-0000D5180000}"/>
    <cellStyle name="Comma 3 4 2 5 4 2 2" xfId="9707" xr:uid="{00000000-0005-0000-0000-0000D6180000}"/>
    <cellStyle name="Comma 3 4 2 5 4 3" xfId="9706" xr:uid="{00000000-0005-0000-0000-0000D7180000}"/>
    <cellStyle name="Comma 3 4 2 5 4 4" xfId="6044" xr:uid="{00000000-0005-0000-0000-0000D8180000}"/>
    <cellStyle name="Comma 3 4 2 5 5" xfId="2559" xr:uid="{00000000-0005-0000-0000-0000D9180000}"/>
    <cellStyle name="Comma 3 4 2 5 5 2" xfId="9708" xr:uid="{00000000-0005-0000-0000-0000DA180000}"/>
    <cellStyle name="Comma 3 4 2 5 6" xfId="9699" xr:uid="{00000000-0005-0000-0000-0000DB180000}"/>
    <cellStyle name="Comma 3 4 2 5 7" xfId="6040" xr:uid="{00000000-0005-0000-0000-0000DC180000}"/>
    <cellStyle name="Comma 3 4 2 6" xfId="2560" xr:uid="{00000000-0005-0000-0000-0000DD180000}"/>
    <cellStyle name="Comma 3 4 2 6 2" xfId="2561" xr:uid="{00000000-0005-0000-0000-0000DE180000}"/>
    <cellStyle name="Comma 3 4 2 6 2 2" xfId="2562" xr:uid="{00000000-0005-0000-0000-0000DF180000}"/>
    <cellStyle name="Comma 3 4 2 6 2 2 2" xfId="9711" xr:uid="{00000000-0005-0000-0000-0000E0180000}"/>
    <cellStyle name="Comma 3 4 2 6 2 3" xfId="9710" xr:uid="{00000000-0005-0000-0000-0000E1180000}"/>
    <cellStyle name="Comma 3 4 2 6 2 4" xfId="6046" xr:uid="{00000000-0005-0000-0000-0000E2180000}"/>
    <cellStyle name="Comma 3 4 2 6 3" xfId="2563" xr:uid="{00000000-0005-0000-0000-0000E3180000}"/>
    <cellStyle name="Comma 3 4 2 6 3 2" xfId="2564" xr:uid="{00000000-0005-0000-0000-0000E4180000}"/>
    <cellStyle name="Comma 3 4 2 6 3 2 2" xfId="9713" xr:uid="{00000000-0005-0000-0000-0000E5180000}"/>
    <cellStyle name="Comma 3 4 2 6 3 3" xfId="9712" xr:uid="{00000000-0005-0000-0000-0000E6180000}"/>
    <cellStyle name="Comma 3 4 2 6 3 4" xfId="6047" xr:uid="{00000000-0005-0000-0000-0000E7180000}"/>
    <cellStyle name="Comma 3 4 2 6 4" xfId="2565" xr:uid="{00000000-0005-0000-0000-0000E8180000}"/>
    <cellStyle name="Comma 3 4 2 6 4 2" xfId="9714" xr:uid="{00000000-0005-0000-0000-0000E9180000}"/>
    <cellStyle name="Comma 3 4 2 6 5" xfId="9709" xr:uid="{00000000-0005-0000-0000-0000EA180000}"/>
    <cellStyle name="Comma 3 4 2 6 6" xfId="6045" xr:uid="{00000000-0005-0000-0000-0000EB180000}"/>
    <cellStyle name="Comma 3 4 2 7" xfId="2566" xr:uid="{00000000-0005-0000-0000-0000EC180000}"/>
    <cellStyle name="Comma 3 4 2 7 2" xfId="2567" xr:uid="{00000000-0005-0000-0000-0000ED180000}"/>
    <cellStyle name="Comma 3 4 2 7 2 2" xfId="2568" xr:uid="{00000000-0005-0000-0000-0000EE180000}"/>
    <cellStyle name="Comma 3 4 2 7 2 2 2" xfId="9717" xr:uid="{00000000-0005-0000-0000-0000EF180000}"/>
    <cellStyle name="Comma 3 4 2 7 2 3" xfId="9716" xr:uid="{00000000-0005-0000-0000-0000F0180000}"/>
    <cellStyle name="Comma 3 4 2 7 2 4" xfId="6049" xr:uid="{00000000-0005-0000-0000-0000F1180000}"/>
    <cellStyle name="Comma 3 4 2 7 3" xfId="2569" xr:uid="{00000000-0005-0000-0000-0000F2180000}"/>
    <cellStyle name="Comma 3 4 2 7 3 2" xfId="9718" xr:uid="{00000000-0005-0000-0000-0000F3180000}"/>
    <cellStyle name="Comma 3 4 2 7 4" xfId="9715" xr:uid="{00000000-0005-0000-0000-0000F4180000}"/>
    <cellStyle name="Comma 3 4 2 7 5" xfId="6048" xr:uid="{00000000-0005-0000-0000-0000F5180000}"/>
    <cellStyle name="Comma 3 4 2 8" xfId="2570" xr:uid="{00000000-0005-0000-0000-0000F6180000}"/>
    <cellStyle name="Comma 3 4 2 8 2" xfId="2571" xr:uid="{00000000-0005-0000-0000-0000F7180000}"/>
    <cellStyle name="Comma 3 4 2 8 2 2" xfId="9720" xr:uid="{00000000-0005-0000-0000-0000F8180000}"/>
    <cellStyle name="Comma 3 4 2 8 3" xfId="9719" xr:uid="{00000000-0005-0000-0000-0000F9180000}"/>
    <cellStyle name="Comma 3 4 2 8 4" xfId="6050" xr:uid="{00000000-0005-0000-0000-0000FA180000}"/>
    <cellStyle name="Comma 3 4 2 9" xfId="2572" xr:uid="{00000000-0005-0000-0000-0000FB180000}"/>
    <cellStyle name="Comma 3 4 2 9 2" xfId="2573" xr:uid="{00000000-0005-0000-0000-0000FC180000}"/>
    <cellStyle name="Comma 3 4 2 9 2 2" xfId="9722" xr:uid="{00000000-0005-0000-0000-0000FD180000}"/>
    <cellStyle name="Comma 3 4 2 9 3" xfId="9721" xr:uid="{00000000-0005-0000-0000-0000FE180000}"/>
    <cellStyle name="Comma 3 4 2 9 4" xfId="6051" xr:uid="{00000000-0005-0000-0000-0000FF180000}"/>
    <cellStyle name="Comma 3 4 3" xfId="2574" xr:uid="{00000000-0005-0000-0000-000000190000}"/>
    <cellStyle name="Comma 3 4 3 2" xfId="2575" xr:uid="{00000000-0005-0000-0000-000001190000}"/>
    <cellStyle name="Comma 3 4 3 2 2" xfId="2576" xr:uid="{00000000-0005-0000-0000-000002190000}"/>
    <cellStyle name="Comma 3 4 3 2 2 2" xfId="2577" xr:uid="{00000000-0005-0000-0000-000003190000}"/>
    <cellStyle name="Comma 3 4 3 2 2 2 2" xfId="9726" xr:uid="{00000000-0005-0000-0000-000004190000}"/>
    <cellStyle name="Comma 3 4 3 2 2 3" xfId="9725" xr:uid="{00000000-0005-0000-0000-000005190000}"/>
    <cellStyle name="Comma 3 4 3 2 2 4" xfId="6054" xr:uid="{00000000-0005-0000-0000-000006190000}"/>
    <cellStyle name="Comma 3 4 3 2 3" xfId="2578" xr:uid="{00000000-0005-0000-0000-000007190000}"/>
    <cellStyle name="Comma 3 4 3 2 3 2" xfId="9727" xr:uid="{00000000-0005-0000-0000-000008190000}"/>
    <cellStyle name="Comma 3 4 3 2 4" xfId="9724" xr:uid="{00000000-0005-0000-0000-000009190000}"/>
    <cellStyle name="Comma 3 4 3 2 5" xfId="6053" xr:uid="{00000000-0005-0000-0000-00000A190000}"/>
    <cellStyle name="Comma 3 4 3 3" xfId="2579" xr:uid="{00000000-0005-0000-0000-00000B190000}"/>
    <cellStyle name="Comma 3 4 3 3 2" xfId="2580" xr:uid="{00000000-0005-0000-0000-00000C190000}"/>
    <cellStyle name="Comma 3 4 3 3 2 2" xfId="9729" xr:uid="{00000000-0005-0000-0000-00000D190000}"/>
    <cellStyle name="Comma 3 4 3 3 3" xfId="9728" xr:uid="{00000000-0005-0000-0000-00000E190000}"/>
    <cellStyle name="Comma 3 4 3 3 4" xfId="6055" xr:uid="{00000000-0005-0000-0000-00000F190000}"/>
    <cellStyle name="Comma 3 4 3 4" xfId="2581" xr:uid="{00000000-0005-0000-0000-000010190000}"/>
    <cellStyle name="Comma 3 4 3 4 2" xfId="2582" xr:uid="{00000000-0005-0000-0000-000011190000}"/>
    <cellStyle name="Comma 3 4 3 4 2 2" xfId="9731" xr:uid="{00000000-0005-0000-0000-000012190000}"/>
    <cellStyle name="Comma 3 4 3 4 3" xfId="9730" xr:uid="{00000000-0005-0000-0000-000013190000}"/>
    <cellStyle name="Comma 3 4 3 4 4" xfId="6056" xr:uid="{00000000-0005-0000-0000-000014190000}"/>
    <cellStyle name="Comma 3 4 3 5" xfId="2583" xr:uid="{00000000-0005-0000-0000-000015190000}"/>
    <cellStyle name="Comma 3 4 3 5 2" xfId="9732" xr:uid="{00000000-0005-0000-0000-000016190000}"/>
    <cellStyle name="Comma 3 4 3 6" xfId="9723" xr:uid="{00000000-0005-0000-0000-000017190000}"/>
    <cellStyle name="Comma 3 4 3 7" xfId="6052" xr:uid="{00000000-0005-0000-0000-000018190000}"/>
    <cellStyle name="Comma 3 4 4" xfId="2584" xr:uid="{00000000-0005-0000-0000-000019190000}"/>
    <cellStyle name="Comma 3 4 4 2" xfId="2585" xr:uid="{00000000-0005-0000-0000-00001A190000}"/>
    <cellStyle name="Comma 3 4 4 2 2" xfId="2586" xr:uid="{00000000-0005-0000-0000-00001B190000}"/>
    <cellStyle name="Comma 3 4 4 2 2 2" xfId="2587" xr:uid="{00000000-0005-0000-0000-00001C190000}"/>
    <cellStyle name="Comma 3 4 4 2 2 2 2" xfId="9736" xr:uid="{00000000-0005-0000-0000-00001D190000}"/>
    <cellStyle name="Comma 3 4 4 2 2 3" xfId="9735" xr:uid="{00000000-0005-0000-0000-00001E190000}"/>
    <cellStyle name="Comma 3 4 4 2 2 4" xfId="6059" xr:uid="{00000000-0005-0000-0000-00001F190000}"/>
    <cellStyle name="Comma 3 4 4 2 3" xfId="2588" xr:uid="{00000000-0005-0000-0000-000020190000}"/>
    <cellStyle name="Comma 3 4 4 2 3 2" xfId="9737" xr:uid="{00000000-0005-0000-0000-000021190000}"/>
    <cellStyle name="Comma 3 4 4 2 4" xfId="9734" xr:uid="{00000000-0005-0000-0000-000022190000}"/>
    <cellStyle name="Comma 3 4 4 2 5" xfId="6058" xr:uid="{00000000-0005-0000-0000-000023190000}"/>
    <cellStyle name="Comma 3 4 4 3" xfId="2589" xr:uid="{00000000-0005-0000-0000-000024190000}"/>
    <cellStyle name="Comma 3 4 4 3 2" xfId="2590" xr:uid="{00000000-0005-0000-0000-000025190000}"/>
    <cellStyle name="Comma 3 4 4 3 2 2" xfId="9739" xr:uid="{00000000-0005-0000-0000-000026190000}"/>
    <cellStyle name="Comma 3 4 4 3 3" xfId="9738" xr:uid="{00000000-0005-0000-0000-000027190000}"/>
    <cellStyle name="Comma 3 4 4 3 4" xfId="6060" xr:uid="{00000000-0005-0000-0000-000028190000}"/>
    <cellStyle name="Comma 3 4 4 4" xfId="2591" xr:uid="{00000000-0005-0000-0000-000029190000}"/>
    <cellStyle name="Comma 3 4 4 4 2" xfId="2592" xr:uid="{00000000-0005-0000-0000-00002A190000}"/>
    <cellStyle name="Comma 3 4 4 4 2 2" xfId="9741" xr:uid="{00000000-0005-0000-0000-00002B190000}"/>
    <cellStyle name="Comma 3 4 4 4 3" xfId="9740" xr:uid="{00000000-0005-0000-0000-00002C190000}"/>
    <cellStyle name="Comma 3 4 4 4 4" xfId="6061" xr:uid="{00000000-0005-0000-0000-00002D190000}"/>
    <cellStyle name="Comma 3 4 4 5" xfId="2593" xr:uid="{00000000-0005-0000-0000-00002E190000}"/>
    <cellStyle name="Comma 3 4 4 5 2" xfId="9742" xr:uid="{00000000-0005-0000-0000-00002F190000}"/>
    <cellStyle name="Comma 3 4 4 6" xfId="9733" xr:uid="{00000000-0005-0000-0000-000030190000}"/>
    <cellStyle name="Comma 3 4 4 7" xfId="6057" xr:uid="{00000000-0005-0000-0000-000031190000}"/>
    <cellStyle name="Comma 3 4 5" xfId="2594" xr:uid="{00000000-0005-0000-0000-000032190000}"/>
    <cellStyle name="Comma 3 4 5 2" xfId="2595" xr:uid="{00000000-0005-0000-0000-000033190000}"/>
    <cellStyle name="Comma 3 4 5 2 2" xfId="2596" xr:uid="{00000000-0005-0000-0000-000034190000}"/>
    <cellStyle name="Comma 3 4 5 2 2 2" xfId="2597" xr:uid="{00000000-0005-0000-0000-000035190000}"/>
    <cellStyle name="Comma 3 4 5 2 2 2 2" xfId="9746" xr:uid="{00000000-0005-0000-0000-000036190000}"/>
    <cellStyle name="Comma 3 4 5 2 2 3" xfId="9745" xr:uid="{00000000-0005-0000-0000-000037190000}"/>
    <cellStyle name="Comma 3 4 5 2 2 4" xfId="6064" xr:uid="{00000000-0005-0000-0000-000038190000}"/>
    <cellStyle name="Comma 3 4 5 2 3" xfId="2598" xr:uid="{00000000-0005-0000-0000-000039190000}"/>
    <cellStyle name="Comma 3 4 5 2 3 2" xfId="9747" xr:uid="{00000000-0005-0000-0000-00003A190000}"/>
    <cellStyle name="Comma 3 4 5 2 4" xfId="9744" xr:uid="{00000000-0005-0000-0000-00003B190000}"/>
    <cellStyle name="Comma 3 4 5 2 5" xfId="6063" xr:uid="{00000000-0005-0000-0000-00003C190000}"/>
    <cellStyle name="Comma 3 4 5 3" xfId="2599" xr:uid="{00000000-0005-0000-0000-00003D190000}"/>
    <cellStyle name="Comma 3 4 5 3 2" xfId="2600" xr:uid="{00000000-0005-0000-0000-00003E190000}"/>
    <cellStyle name="Comma 3 4 5 3 2 2" xfId="9749" xr:uid="{00000000-0005-0000-0000-00003F190000}"/>
    <cellStyle name="Comma 3 4 5 3 3" xfId="9748" xr:uid="{00000000-0005-0000-0000-000040190000}"/>
    <cellStyle name="Comma 3 4 5 3 4" xfId="6065" xr:uid="{00000000-0005-0000-0000-000041190000}"/>
    <cellStyle name="Comma 3 4 5 4" xfId="2601" xr:uid="{00000000-0005-0000-0000-000042190000}"/>
    <cellStyle name="Comma 3 4 5 4 2" xfId="2602" xr:uid="{00000000-0005-0000-0000-000043190000}"/>
    <cellStyle name="Comma 3 4 5 4 2 2" xfId="9751" xr:uid="{00000000-0005-0000-0000-000044190000}"/>
    <cellStyle name="Comma 3 4 5 4 3" xfId="9750" xr:uid="{00000000-0005-0000-0000-000045190000}"/>
    <cellStyle name="Comma 3 4 5 4 4" xfId="6066" xr:uid="{00000000-0005-0000-0000-000046190000}"/>
    <cellStyle name="Comma 3 4 5 5" xfId="2603" xr:uid="{00000000-0005-0000-0000-000047190000}"/>
    <cellStyle name="Comma 3 4 5 5 2" xfId="9752" xr:uid="{00000000-0005-0000-0000-000048190000}"/>
    <cellStyle name="Comma 3 4 5 6" xfId="9743" xr:uid="{00000000-0005-0000-0000-000049190000}"/>
    <cellStyle name="Comma 3 4 5 7" xfId="6062" xr:uid="{00000000-0005-0000-0000-00004A190000}"/>
    <cellStyle name="Comma 3 4 6" xfId="2604" xr:uid="{00000000-0005-0000-0000-00004B190000}"/>
    <cellStyle name="Comma 3 4 6 2" xfId="2605" xr:uid="{00000000-0005-0000-0000-00004C190000}"/>
    <cellStyle name="Comma 3 4 6 2 2" xfId="2606" xr:uid="{00000000-0005-0000-0000-00004D190000}"/>
    <cellStyle name="Comma 3 4 6 2 2 2" xfId="2607" xr:uid="{00000000-0005-0000-0000-00004E190000}"/>
    <cellStyle name="Comma 3 4 6 2 2 2 2" xfId="9756" xr:uid="{00000000-0005-0000-0000-00004F190000}"/>
    <cellStyle name="Comma 3 4 6 2 2 3" xfId="9755" xr:uid="{00000000-0005-0000-0000-000050190000}"/>
    <cellStyle name="Comma 3 4 6 2 2 4" xfId="6069" xr:uid="{00000000-0005-0000-0000-000051190000}"/>
    <cellStyle name="Comma 3 4 6 2 3" xfId="2608" xr:uid="{00000000-0005-0000-0000-000052190000}"/>
    <cellStyle name="Comma 3 4 6 2 3 2" xfId="9757" xr:uid="{00000000-0005-0000-0000-000053190000}"/>
    <cellStyle name="Comma 3 4 6 2 4" xfId="9754" xr:uid="{00000000-0005-0000-0000-000054190000}"/>
    <cellStyle name="Comma 3 4 6 2 5" xfId="6068" xr:uid="{00000000-0005-0000-0000-000055190000}"/>
    <cellStyle name="Comma 3 4 6 3" xfId="2609" xr:uid="{00000000-0005-0000-0000-000056190000}"/>
    <cellStyle name="Comma 3 4 6 3 2" xfId="2610" xr:uid="{00000000-0005-0000-0000-000057190000}"/>
    <cellStyle name="Comma 3 4 6 3 2 2" xfId="9759" xr:uid="{00000000-0005-0000-0000-000058190000}"/>
    <cellStyle name="Comma 3 4 6 3 3" xfId="9758" xr:uid="{00000000-0005-0000-0000-000059190000}"/>
    <cellStyle name="Comma 3 4 6 3 4" xfId="6070" xr:uid="{00000000-0005-0000-0000-00005A190000}"/>
    <cellStyle name="Comma 3 4 6 4" xfId="2611" xr:uid="{00000000-0005-0000-0000-00005B190000}"/>
    <cellStyle name="Comma 3 4 6 4 2" xfId="2612" xr:uid="{00000000-0005-0000-0000-00005C190000}"/>
    <cellStyle name="Comma 3 4 6 4 2 2" xfId="9761" xr:uid="{00000000-0005-0000-0000-00005D190000}"/>
    <cellStyle name="Comma 3 4 6 4 3" xfId="9760" xr:uid="{00000000-0005-0000-0000-00005E190000}"/>
    <cellStyle name="Comma 3 4 6 4 4" xfId="6071" xr:uid="{00000000-0005-0000-0000-00005F190000}"/>
    <cellStyle name="Comma 3 4 6 5" xfId="2613" xr:uid="{00000000-0005-0000-0000-000060190000}"/>
    <cellStyle name="Comma 3 4 6 5 2" xfId="9762" xr:uid="{00000000-0005-0000-0000-000061190000}"/>
    <cellStyle name="Comma 3 4 6 6" xfId="9753" xr:uid="{00000000-0005-0000-0000-000062190000}"/>
    <cellStyle name="Comma 3 4 6 7" xfId="6067" xr:uid="{00000000-0005-0000-0000-000063190000}"/>
    <cellStyle name="Comma 3 4 7" xfId="2614" xr:uid="{00000000-0005-0000-0000-000064190000}"/>
    <cellStyle name="Comma 3 4 7 2" xfId="2615" xr:uid="{00000000-0005-0000-0000-000065190000}"/>
    <cellStyle name="Comma 3 4 7 2 2" xfId="2616" xr:uid="{00000000-0005-0000-0000-000066190000}"/>
    <cellStyle name="Comma 3 4 7 2 2 2" xfId="9765" xr:uid="{00000000-0005-0000-0000-000067190000}"/>
    <cellStyle name="Comma 3 4 7 2 3" xfId="9764" xr:uid="{00000000-0005-0000-0000-000068190000}"/>
    <cellStyle name="Comma 3 4 7 2 4" xfId="6073" xr:uid="{00000000-0005-0000-0000-000069190000}"/>
    <cellStyle name="Comma 3 4 7 3" xfId="2617" xr:uid="{00000000-0005-0000-0000-00006A190000}"/>
    <cellStyle name="Comma 3 4 7 3 2" xfId="2618" xr:uid="{00000000-0005-0000-0000-00006B190000}"/>
    <cellStyle name="Comma 3 4 7 3 2 2" xfId="9767" xr:uid="{00000000-0005-0000-0000-00006C190000}"/>
    <cellStyle name="Comma 3 4 7 3 3" xfId="9766" xr:uid="{00000000-0005-0000-0000-00006D190000}"/>
    <cellStyle name="Comma 3 4 7 3 4" xfId="6074" xr:uid="{00000000-0005-0000-0000-00006E190000}"/>
    <cellStyle name="Comma 3 4 7 4" xfId="2619" xr:uid="{00000000-0005-0000-0000-00006F190000}"/>
    <cellStyle name="Comma 3 4 7 4 2" xfId="9768" xr:uid="{00000000-0005-0000-0000-000070190000}"/>
    <cellStyle name="Comma 3 4 7 5" xfId="9763" xr:uid="{00000000-0005-0000-0000-000071190000}"/>
    <cellStyle name="Comma 3 4 7 6" xfId="6072" xr:uid="{00000000-0005-0000-0000-000072190000}"/>
    <cellStyle name="Comma 3 4 8" xfId="2620" xr:uid="{00000000-0005-0000-0000-000073190000}"/>
    <cellStyle name="Comma 3 4 8 2" xfId="2621" xr:uid="{00000000-0005-0000-0000-000074190000}"/>
    <cellStyle name="Comma 3 4 8 2 2" xfId="2622" xr:uid="{00000000-0005-0000-0000-000075190000}"/>
    <cellStyle name="Comma 3 4 8 2 2 2" xfId="9771" xr:uid="{00000000-0005-0000-0000-000076190000}"/>
    <cellStyle name="Comma 3 4 8 2 3" xfId="9770" xr:uid="{00000000-0005-0000-0000-000077190000}"/>
    <cellStyle name="Comma 3 4 8 2 4" xfId="6076" xr:uid="{00000000-0005-0000-0000-000078190000}"/>
    <cellStyle name="Comma 3 4 8 3" xfId="2623" xr:uid="{00000000-0005-0000-0000-000079190000}"/>
    <cellStyle name="Comma 3 4 8 3 2" xfId="9772" xr:uid="{00000000-0005-0000-0000-00007A190000}"/>
    <cellStyle name="Comma 3 4 8 4" xfId="9769" xr:uid="{00000000-0005-0000-0000-00007B190000}"/>
    <cellStyle name="Comma 3 4 8 5" xfId="6075" xr:uid="{00000000-0005-0000-0000-00007C190000}"/>
    <cellStyle name="Comma 3 4 9" xfId="2624" xr:uid="{00000000-0005-0000-0000-00007D190000}"/>
    <cellStyle name="Comma 3 4 9 2" xfId="2625" xr:uid="{00000000-0005-0000-0000-00007E190000}"/>
    <cellStyle name="Comma 3 4 9 2 2" xfId="9774" xr:uid="{00000000-0005-0000-0000-00007F190000}"/>
    <cellStyle name="Comma 3 4 9 3" xfId="9773" xr:uid="{00000000-0005-0000-0000-000080190000}"/>
    <cellStyle name="Comma 3 4 9 4" xfId="6077" xr:uid="{00000000-0005-0000-0000-000081190000}"/>
    <cellStyle name="Comma 3 5" xfId="2626" xr:uid="{00000000-0005-0000-0000-000082190000}"/>
    <cellStyle name="Comma 3 5 10" xfId="2627" xr:uid="{00000000-0005-0000-0000-000083190000}"/>
    <cellStyle name="Comma 3 5 10 2" xfId="9776" xr:uid="{00000000-0005-0000-0000-000084190000}"/>
    <cellStyle name="Comma 3 5 11" xfId="9775" xr:uid="{00000000-0005-0000-0000-000085190000}"/>
    <cellStyle name="Comma 3 5 12" xfId="6078" xr:uid="{00000000-0005-0000-0000-000086190000}"/>
    <cellStyle name="Comma 3 5 2" xfId="2628" xr:uid="{00000000-0005-0000-0000-000087190000}"/>
    <cellStyle name="Comma 3 5 2 2" xfId="2629" xr:uid="{00000000-0005-0000-0000-000088190000}"/>
    <cellStyle name="Comma 3 5 2 2 2" xfId="2630" xr:uid="{00000000-0005-0000-0000-000089190000}"/>
    <cellStyle name="Comma 3 5 2 2 2 2" xfId="2631" xr:uid="{00000000-0005-0000-0000-00008A190000}"/>
    <cellStyle name="Comma 3 5 2 2 2 2 2" xfId="9780" xr:uid="{00000000-0005-0000-0000-00008B190000}"/>
    <cellStyle name="Comma 3 5 2 2 2 3" xfId="9779" xr:uid="{00000000-0005-0000-0000-00008C190000}"/>
    <cellStyle name="Comma 3 5 2 2 2 4" xfId="6081" xr:uid="{00000000-0005-0000-0000-00008D190000}"/>
    <cellStyle name="Comma 3 5 2 2 3" xfId="2632" xr:uid="{00000000-0005-0000-0000-00008E190000}"/>
    <cellStyle name="Comma 3 5 2 2 3 2" xfId="9781" xr:uid="{00000000-0005-0000-0000-00008F190000}"/>
    <cellStyle name="Comma 3 5 2 2 4" xfId="9778" xr:uid="{00000000-0005-0000-0000-000090190000}"/>
    <cellStyle name="Comma 3 5 2 2 5" xfId="6080" xr:uid="{00000000-0005-0000-0000-000091190000}"/>
    <cellStyle name="Comma 3 5 2 3" xfId="2633" xr:uid="{00000000-0005-0000-0000-000092190000}"/>
    <cellStyle name="Comma 3 5 2 3 2" xfId="2634" xr:uid="{00000000-0005-0000-0000-000093190000}"/>
    <cellStyle name="Comma 3 5 2 3 2 2" xfId="9783" xr:uid="{00000000-0005-0000-0000-000094190000}"/>
    <cellStyle name="Comma 3 5 2 3 3" xfId="9782" xr:uid="{00000000-0005-0000-0000-000095190000}"/>
    <cellStyle name="Comma 3 5 2 3 4" xfId="6082" xr:uid="{00000000-0005-0000-0000-000096190000}"/>
    <cellStyle name="Comma 3 5 2 4" xfId="2635" xr:uid="{00000000-0005-0000-0000-000097190000}"/>
    <cellStyle name="Comma 3 5 2 4 2" xfId="2636" xr:uid="{00000000-0005-0000-0000-000098190000}"/>
    <cellStyle name="Comma 3 5 2 4 2 2" xfId="9785" xr:uid="{00000000-0005-0000-0000-000099190000}"/>
    <cellStyle name="Comma 3 5 2 4 3" xfId="9784" xr:uid="{00000000-0005-0000-0000-00009A190000}"/>
    <cellStyle name="Comma 3 5 2 4 4" xfId="6083" xr:uid="{00000000-0005-0000-0000-00009B190000}"/>
    <cellStyle name="Comma 3 5 2 5" xfId="2637" xr:uid="{00000000-0005-0000-0000-00009C190000}"/>
    <cellStyle name="Comma 3 5 2 5 2" xfId="9786" xr:uid="{00000000-0005-0000-0000-00009D190000}"/>
    <cellStyle name="Comma 3 5 2 6" xfId="9777" xr:uid="{00000000-0005-0000-0000-00009E190000}"/>
    <cellStyle name="Comma 3 5 2 7" xfId="6079" xr:uid="{00000000-0005-0000-0000-00009F190000}"/>
    <cellStyle name="Comma 3 5 3" xfId="2638" xr:uid="{00000000-0005-0000-0000-0000A0190000}"/>
    <cellStyle name="Comma 3 5 3 2" xfId="2639" xr:uid="{00000000-0005-0000-0000-0000A1190000}"/>
    <cellStyle name="Comma 3 5 3 2 2" xfId="2640" xr:uid="{00000000-0005-0000-0000-0000A2190000}"/>
    <cellStyle name="Comma 3 5 3 2 2 2" xfId="2641" xr:uid="{00000000-0005-0000-0000-0000A3190000}"/>
    <cellStyle name="Comma 3 5 3 2 2 2 2" xfId="9790" xr:uid="{00000000-0005-0000-0000-0000A4190000}"/>
    <cellStyle name="Comma 3 5 3 2 2 3" xfId="9789" xr:uid="{00000000-0005-0000-0000-0000A5190000}"/>
    <cellStyle name="Comma 3 5 3 2 2 4" xfId="6086" xr:uid="{00000000-0005-0000-0000-0000A6190000}"/>
    <cellStyle name="Comma 3 5 3 2 3" xfId="2642" xr:uid="{00000000-0005-0000-0000-0000A7190000}"/>
    <cellStyle name="Comma 3 5 3 2 3 2" xfId="9791" xr:uid="{00000000-0005-0000-0000-0000A8190000}"/>
    <cellStyle name="Comma 3 5 3 2 4" xfId="9788" xr:uid="{00000000-0005-0000-0000-0000A9190000}"/>
    <cellStyle name="Comma 3 5 3 2 5" xfId="6085" xr:uid="{00000000-0005-0000-0000-0000AA190000}"/>
    <cellStyle name="Comma 3 5 3 3" xfId="2643" xr:uid="{00000000-0005-0000-0000-0000AB190000}"/>
    <cellStyle name="Comma 3 5 3 3 2" xfId="2644" xr:uid="{00000000-0005-0000-0000-0000AC190000}"/>
    <cellStyle name="Comma 3 5 3 3 2 2" xfId="9793" xr:uid="{00000000-0005-0000-0000-0000AD190000}"/>
    <cellStyle name="Comma 3 5 3 3 3" xfId="9792" xr:uid="{00000000-0005-0000-0000-0000AE190000}"/>
    <cellStyle name="Comma 3 5 3 3 4" xfId="6087" xr:uid="{00000000-0005-0000-0000-0000AF190000}"/>
    <cellStyle name="Comma 3 5 3 4" xfId="2645" xr:uid="{00000000-0005-0000-0000-0000B0190000}"/>
    <cellStyle name="Comma 3 5 3 4 2" xfId="2646" xr:uid="{00000000-0005-0000-0000-0000B1190000}"/>
    <cellStyle name="Comma 3 5 3 4 2 2" xfId="9795" xr:uid="{00000000-0005-0000-0000-0000B2190000}"/>
    <cellStyle name="Comma 3 5 3 4 3" xfId="9794" xr:uid="{00000000-0005-0000-0000-0000B3190000}"/>
    <cellStyle name="Comma 3 5 3 4 4" xfId="6088" xr:uid="{00000000-0005-0000-0000-0000B4190000}"/>
    <cellStyle name="Comma 3 5 3 5" xfId="2647" xr:uid="{00000000-0005-0000-0000-0000B5190000}"/>
    <cellStyle name="Comma 3 5 3 5 2" xfId="9796" xr:uid="{00000000-0005-0000-0000-0000B6190000}"/>
    <cellStyle name="Comma 3 5 3 6" xfId="9787" xr:uid="{00000000-0005-0000-0000-0000B7190000}"/>
    <cellStyle name="Comma 3 5 3 7" xfId="6084" xr:uid="{00000000-0005-0000-0000-0000B8190000}"/>
    <cellStyle name="Comma 3 5 4" xfId="2648" xr:uid="{00000000-0005-0000-0000-0000B9190000}"/>
    <cellStyle name="Comma 3 5 4 2" xfId="2649" xr:uid="{00000000-0005-0000-0000-0000BA190000}"/>
    <cellStyle name="Comma 3 5 4 2 2" xfId="2650" xr:uid="{00000000-0005-0000-0000-0000BB190000}"/>
    <cellStyle name="Comma 3 5 4 2 2 2" xfId="2651" xr:uid="{00000000-0005-0000-0000-0000BC190000}"/>
    <cellStyle name="Comma 3 5 4 2 2 2 2" xfId="9800" xr:uid="{00000000-0005-0000-0000-0000BD190000}"/>
    <cellStyle name="Comma 3 5 4 2 2 3" xfId="9799" xr:uid="{00000000-0005-0000-0000-0000BE190000}"/>
    <cellStyle name="Comma 3 5 4 2 2 4" xfId="6091" xr:uid="{00000000-0005-0000-0000-0000BF190000}"/>
    <cellStyle name="Comma 3 5 4 2 3" xfId="2652" xr:uid="{00000000-0005-0000-0000-0000C0190000}"/>
    <cellStyle name="Comma 3 5 4 2 3 2" xfId="9801" xr:uid="{00000000-0005-0000-0000-0000C1190000}"/>
    <cellStyle name="Comma 3 5 4 2 4" xfId="9798" xr:uid="{00000000-0005-0000-0000-0000C2190000}"/>
    <cellStyle name="Comma 3 5 4 2 5" xfId="6090" xr:uid="{00000000-0005-0000-0000-0000C3190000}"/>
    <cellStyle name="Comma 3 5 4 3" xfId="2653" xr:uid="{00000000-0005-0000-0000-0000C4190000}"/>
    <cellStyle name="Comma 3 5 4 3 2" xfId="2654" xr:uid="{00000000-0005-0000-0000-0000C5190000}"/>
    <cellStyle name="Comma 3 5 4 3 2 2" xfId="9803" xr:uid="{00000000-0005-0000-0000-0000C6190000}"/>
    <cellStyle name="Comma 3 5 4 3 3" xfId="9802" xr:uid="{00000000-0005-0000-0000-0000C7190000}"/>
    <cellStyle name="Comma 3 5 4 3 4" xfId="6092" xr:uid="{00000000-0005-0000-0000-0000C8190000}"/>
    <cellStyle name="Comma 3 5 4 4" xfId="2655" xr:uid="{00000000-0005-0000-0000-0000C9190000}"/>
    <cellStyle name="Comma 3 5 4 4 2" xfId="2656" xr:uid="{00000000-0005-0000-0000-0000CA190000}"/>
    <cellStyle name="Comma 3 5 4 4 2 2" xfId="9805" xr:uid="{00000000-0005-0000-0000-0000CB190000}"/>
    <cellStyle name="Comma 3 5 4 4 3" xfId="9804" xr:uid="{00000000-0005-0000-0000-0000CC190000}"/>
    <cellStyle name="Comma 3 5 4 4 4" xfId="6093" xr:uid="{00000000-0005-0000-0000-0000CD190000}"/>
    <cellStyle name="Comma 3 5 4 5" xfId="2657" xr:uid="{00000000-0005-0000-0000-0000CE190000}"/>
    <cellStyle name="Comma 3 5 4 5 2" xfId="9806" xr:uid="{00000000-0005-0000-0000-0000CF190000}"/>
    <cellStyle name="Comma 3 5 4 6" xfId="9797" xr:uid="{00000000-0005-0000-0000-0000D0190000}"/>
    <cellStyle name="Comma 3 5 4 7" xfId="6089" xr:uid="{00000000-0005-0000-0000-0000D1190000}"/>
    <cellStyle name="Comma 3 5 5" xfId="2658" xr:uid="{00000000-0005-0000-0000-0000D2190000}"/>
    <cellStyle name="Comma 3 5 5 2" xfId="2659" xr:uid="{00000000-0005-0000-0000-0000D3190000}"/>
    <cellStyle name="Comma 3 5 5 2 2" xfId="2660" xr:uid="{00000000-0005-0000-0000-0000D4190000}"/>
    <cellStyle name="Comma 3 5 5 2 2 2" xfId="2661" xr:uid="{00000000-0005-0000-0000-0000D5190000}"/>
    <cellStyle name="Comma 3 5 5 2 2 2 2" xfId="9810" xr:uid="{00000000-0005-0000-0000-0000D6190000}"/>
    <cellStyle name="Comma 3 5 5 2 2 3" xfId="9809" xr:uid="{00000000-0005-0000-0000-0000D7190000}"/>
    <cellStyle name="Comma 3 5 5 2 2 4" xfId="6096" xr:uid="{00000000-0005-0000-0000-0000D8190000}"/>
    <cellStyle name="Comma 3 5 5 2 3" xfId="2662" xr:uid="{00000000-0005-0000-0000-0000D9190000}"/>
    <cellStyle name="Comma 3 5 5 2 3 2" xfId="9811" xr:uid="{00000000-0005-0000-0000-0000DA190000}"/>
    <cellStyle name="Comma 3 5 5 2 4" xfId="9808" xr:uid="{00000000-0005-0000-0000-0000DB190000}"/>
    <cellStyle name="Comma 3 5 5 2 5" xfId="6095" xr:uid="{00000000-0005-0000-0000-0000DC190000}"/>
    <cellStyle name="Comma 3 5 5 3" xfId="2663" xr:uid="{00000000-0005-0000-0000-0000DD190000}"/>
    <cellStyle name="Comma 3 5 5 3 2" xfId="2664" xr:uid="{00000000-0005-0000-0000-0000DE190000}"/>
    <cellStyle name="Comma 3 5 5 3 2 2" xfId="9813" xr:uid="{00000000-0005-0000-0000-0000DF190000}"/>
    <cellStyle name="Comma 3 5 5 3 3" xfId="9812" xr:uid="{00000000-0005-0000-0000-0000E0190000}"/>
    <cellStyle name="Comma 3 5 5 3 4" xfId="6097" xr:uid="{00000000-0005-0000-0000-0000E1190000}"/>
    <cellStyle name="Comma 3 5 5 4" xfId="2665" xr:uid="{00000000-0005-0000-0000-0000E2190000}"/>
    <cellStyle name="Comma 3 5 5 4 2" xfId="2666" xr:uid="{00000000-0005-0000-0000-0000E3190000}"/>
    <cellStyle name="Comma 3 5 5 4 2 2" xfId="9815" xr:uid="{00000000-0005-0000-0000-0000E4190000}"/>
    <cellStyle name="Comma 3 5 5 4 3" xfId="9814" xr:uid="{00000000-0005-0000-0000-0000E5190000}"/>
    <cellStyle name="Comma 3 5 5 4 4" xfId="6098" xr:uid="{00000000-0005-0000-0000-0000E6190000}"/>
    <cellStyle name="Comma 3 5 5 5" xfId="2667" xr:uid="{00000000-0005-0000-0000-0000E7190000}"/>
    <cellStyle name="Comma 3 5 5 5 2" xfId="9816" xr:uid="{00000000-0005-0000-0000-0000E8190000}"/>
    <cellStyle name="Comma 3 5 5 6" xfId="9807" xr:uid="{00000000-0005-0000-0000-0000E9190000}"/>
    <cellStyle name="Comma 3 5 5 7" xfId="6094" xr:uid="{00000000-0005-0000-0000-0000EA190000}"/>
    <cellStyle name="Comma 3 5 6" xfId="2668" xr:uid="{00000000-0005-0000-0000-0000EB190000}"/>
    <cellStyle name="Comma 3 5 6 2" xfId="2669" xr:uid="{00000000-0005-0000-0000-0000EC190000}"/>
    <cellStyle name="Comma 3 5 6 2 2" xfId="2670" xr:uid="{00000000-0005-0000-0000-0000ED190000}"/>
    <cellStyle name="Comma 3 5 6 2 2 2" xfId="9819" xr:uid="{00000000-0005-0000-0000-0000EE190000}"/>
    <cellStyle name="Comma 3 5 6 2 3" xfId="9818" xr:uid="{00000000-0005-0000-0000-0000EF190000}"/>
    <cellStyle name="Comma 3 5 6 2 4" xfId="6100" xr:uid="{00000000-0005-0000-0000-0000F0190000}"/>
    <cellStyle name="Comma 3 5 6 3" xfId="2671" xr:uid="{00000000-0005-0000-0000-0000F1190000}"/>
    <cellStyle name="Comma 3 5 6 3 2" xfId="2672" xr:uid="{00000000-0005-0000-0000-0000F2190000}"/>
    <cellStyle name="Comma 3 5 6 3 2 2" xfId="9821" xr:uid="{00000000-0005-0000-0000-0000F3190000}"/>
    <cellStyle name="Comma 3 5 6 3 3" xfId="9820" xr:uid="{00000000-0005-0000-0000-0000F4190000}"/>
    <cellStyle name="Comma 3 5 6 3 4" xfId="6101" xr:uid="{00000000-0005-0000-0000-0000F5190000}"/>
    <cellStyle name="Comma 3 5 6 4" xfId="2673" xr:uid="{00000000-0005-0000-0000-0000F6190000}"/>
    <cellStyle name="Comma 3 5 6 4 2" xfId="9822" xr:uid="{00000000-0005-0000-0000-0000F7190000}"/>
    <cellStyle name="Comma 3 5 6 5" xfId="9817" xr:uid="{00000000-0005-0000-0000-0000F8190000}"/>
    <cellStyle name="Comma 3 5 6 6" xfId="6099" xr:uid="{00000000-0005-0000-0000-0000F9190000}"/>
    <cellStyle name="Comma 3 5 7" xfId="2674" xr:uid="{00000000-0005-0000-0000-0000FA190000}"/>
    <cellStyle name="Comma 3 5 7 2" xfId="2675" xr:uid="{00000000-0005-0000-0000-0000FB190000}"/>
    <cellStyle name="Comma 3 5 7 2 2" xfId="2676" xr:uid="{00000000-0005-0000-0000-0000FC190000}"/>
    <cellStyle name="Comma 3 5 7 2 2 2" xfId="9825" xr:uid="{00000000-0005-0000-0000-0000FD190000}"/>
    <cellStyle name="Comma 3 5 7 2 3" xfId="9824" xr:uid="{00000000-0005-0000-0000-0000FE190000}"/>
    <cellStyle name="Comma 3 5 7 2 4" xfId="6103" xr:uid="{00000000-0005-0000-0000-0000FF190000}"/>
    <cellStyle name="Comma 3 5 7 3" xfId="2677" xr:uid="{00000000-0005-0000-0000-0000001A0000}"/>
    <cellStyle name="Comma 3 5 7 3 2" xfId="9826" xr:uid="{00000000-0005-0000-0000-0000011A0000}"/>
    <cellStyle name="Comma 3 5 7 4" xfId="9823" xr:uid="{00000000-0005-0000-0000-0000021A0000}"/>
    <cellStyle name="Comma 3 5 7 5" xfId="6102" xr:uid="{00000000-0005-0000-0000-0000031A0000}"/>
    <cellStyle name="Comma 3 5 8" xfId="2678" xr:uid="{00000000-0005-0000-0000-0000041A0000}"/>
    <cellStyle name="Comma 3 5 8 2" xfId="2679" xr:uid="{00000000-0005-0000-0000-0000051A0000}"/>
    <cellStyle name="Comma 3 5 8 2 2" xfId="9828" xr:uid="{00000000-0005-0000-0000-0000061A0000}"/>
    <cellStyle name="Comma 3 5 8 3" xfId="9827" xr:uid="{00000000-0005-0000-0000-0000071A0000}"/>
    <cellStyle name="Comma 3 5 8 4" xfId="6104" xr:uid="{00000000-0005-0000-0000-0000081A0000}"/>
    <cellStyle name="Comma 3 5 9" xfId="2680" xr:uid="{00000000-0005-0000-0000-0000091A0000}"/>
    <cellStyle name="Comma 3 5 9 2" xfId="2681" xr:uid="{00000000-0005-0000-0000-00000A1A0000}"/>
    <cellStyle name="Comma 3 5 9 2 2" xfId="9830" xr:uid="{00000000-0005-0000-0000-00000B1A0000}"/>
    <cellStyle name="Comma 3 5 9 3" xfId="9829" xr:uid="{00000000-0005-0000-0000-00000C1A0000}"/>
    <cellStyle name="Comma 3 5 9 4" xfId="6105" xr:uid="{00000000-0005-0000-0000-00000D1A0000}"/>
    <cellStyle name="Comma 3 6" xfId="2682" xr:uid="{00000000-0005-0000-0000-00000E1A0000}"/>
    <cellStyle name="Comma 3 6 2" xfId="2683" xr:uid="{00000000-0005-0000-0000-00000F1A0000}"/>
    <cellStyle name="Comma 3 6 2 2" xfId="2684" xr:uid="{00000000-0005-0000-0000-0000101A0000}"/>
    <cellStyle name="Comma 3 6 2 2 2" xfId="2685" xr:uid="{00000000-0005-0000-0000-0000111A0000}"/>
    <cellStyle name="Comma 3 6 2 2 2 2" xfId="9834" xr:uid="{00000000-0005-0000-0000-0000121A0000}"/>
    <cellStyle name="Comma 3 6 2 2 3" xfId="9833" xr:uid="{00000000-0005-0000-0000-0000131A0000}"/>
    <cellStyle name="Comma 3 6 2 2 4" xfId="6108" xr:uid="{00000000-0005-0000-0000-0000141A0000}"/>
    <cellStyle name="Comma 3 6 2 3" xfId="2686" xr:uid="{00000000-0005-0000-0000-0000151A0000}"/>
    <cellStyle name="Comma 3 6 2 3 2" xfId="9835" xr:uid="{00000000-0005-0000-0000-0000161A0000}"/>
    <cellStyle name="Comma 3 6 2 4" xfId="9832" xr:uid="{00000000-0005-0000-0000-0000171A0000}"/>
    <cellStyle name="Comma 3 6 2 5" xfId="6107" xr:uid="{00000000-0005-0000-0000-0000181A0000}"/>
    <cellStyle name="Comma 3 6 3" xfId="2687" xr:uid="{00000000-0005-0000-0000-0000191A0000}"/>
    <cellStyle name="Comma 3 6 3 2" xfId="2688" xr:uid="{00000000-0005-0000-0000-00001A1A0000}"/>
    <cellStyle name="Comma 3 6 3 2 2" xfId="9837" xr:uid="{00000000-0005-0000-0000-00001B1A0000}"/>
    <cellStyle name="Comma 3 6 3 3" xfId="9836" xr:uid="{00000000-0005-0000-0000-00001C1A0000}"/>
    <cellStyle name="Comma 3 6 3 4" xfId="6109" xr:uid="{00000000-0005-0000-0000-00001D1A0000}"/>
    <cellStyle name="Comma 3 6 4" xfId="2689" xr:uid="{00000000-0005-0000-0000-00001E1A0000}"/>
    <cellStyle name="Comma 3 6 4 2" xfId="2690" xr:uid="{00000000-0005-0000-0000-00001F1A0000}"/>
    <cellStyle name="Comma 3 6 4 2 2" xfId="9839" xr:uid="{00000000-0005-0000-0000-0000201A0000}"/>
    <cellStyle name="Comma 3 6 4 3" xfId="9838" xr:uid="{00000000-0005-0000-0000-0000211A0000}"/>
    <cellStyle name="Comma 3 6 4 4" xfId="6110" xr:uid="{00000000-0005-0000-0000-0000221A0000}"/>
    <cellStyle name="Comma 3 6 5" xfId="2691" xr:uid="{00000000-0005-0000-0000-0000231A0000}"/>
    <cellStyle name="Comma 3 6 5 2" xfId="9840" xr:uid="{00000000-0005-0000-0000-0000241A0000}"/>
    <cellStyle name="Comma 3 6 6" xfId="9831" xr:uid="{00000000-0005-0000-0000-0000251A0000}"/>
    <cellStyle name="Comma 3 6 7" xfId="6106" xr:uid="{00000000-0005-0000-0000-0000261A0000}"/>
    <cellStyle name="Comma 3 7" xfId="2692" xr:uid="{00000000-0005-0000-0000-0000271A0000}"/>
    <cellStyle name="Comma 3 7 2" xfId="2693" xr:uid="{00000000-0005-0000-0000-0000281A0000}"/>
    <cellStyle name="Comma 3 7 2 2" xfId="2694" xr:uid="{00000000-0005-0000-0000-0000291A0000}"/>
    <cellStyle name="Comma 3 7 2 2 2" xfId="2695" xr:uid="{00000000-0005-0000-0000-00002A1A0000}"/>
    <cellStyle name="Comma 3 7 2 2 2 2" xfId="9844" xr:uid="{00000000-0005-0000-0000-00002B1A0000}"/>
    <cellStyle name="Comma 3 7 2 2 3" xfId="9843" xr:uid="{00000000-0005-0000-0000-00002C1A0000}"/>
    <cellStyle name="Comma 3 7 2 2 4" xfId="6113" xr:uid="{00000000-0005-0000-0000-00002D1A0000}"/>
    <cellStyle name="Comma 3 7 2 3" xfId="2696" xr:uid="{00000000-0005-0000-0000-00002E1A0000}"/>
    <cellStyle name="Comma 3 7 2 3 2" xfId="9845" xr:uid="{00000000-0005-0000-0000-00002F1A0000}"/>
    <cellStyle name="Comma 3 7 2 4" xfId="9842" xr:uid="{00000000-0005-0000-0000-0000301A0000}"/>
    <cellStyle name="Comma 3 7 2 5" xfId="6112" xr:uid="{00000000-0005-0000-0000-0000311A0000}"/>
    <cellStyle name="Comma 3 7 3" xfId="2697" xr:uid="{00000000-0005-0000-0000-0000321A0000}"/>
    <cellStyle name="Comma 3 7 3 2" xfId="2698" xr:uid="{00000000-0005-0000-0000-0000331A0000}"/>
    <cellStyle name="Comma 3 7 3 2 2" xfId="9847" xr:uid="{00000000-0005-0000-0000-0000341A0000}"/>
    <cellStyle name="Comma 3 7 3 3" xfId="9846" xr:uid="{00000000-0005-0000-0000-0000351A0000}"/>
    <cellStyle name="Comma 3 7 3 4" xfId="6114" xr:uid="{00000000-0005-0000-0000-0000361A0000}"/>
    <cellStyle name="Comma 3 7 4" xfId="2699" xr:uid="{00000000-0005-0000-0000-0000371A0000}"/>
    <cellStyle name="Comma 3 7 4 2" xfId="2700" xr:uid="{00000000-0005-0000-0000-0000381A0000}"/>
    <cellStyle name="Comma 3 7 4 2 2" xfId="9849" xr:uid="{00000000-0005-0000-0000-0000391A0000}"/>
    <cellStyle name="Comma 3 7 4 3" xfId="9848" xr:uid="{00000000-0005-0000-0000-00003A1A0000}"/>
    <cellStyle name="Comma 3 7 4 4" xfId="6115" xr:uid="{00000000-0005-0000-0000-00003B1A0000}"/>
    <cellStyle name="Comma 3 7 5" xfId="2701" xr:uid="{00000000-0005-0000-0000-00003C1A0000}"/>
    <cellStyle name="Comma 3 7 5 2" xfId="9850" xr:uid="{00000000-0005-0000-0000-00003D1A0000}"/>
    <cellStyle name="Comma 3 7 6" xfId="9841" xr:uid="{00000000-0005-0000-0000-00003E1A0000}"/>
    <cellStyle name="Comma 3 7 7" xfId="6111" xr:uid="{00000000-0005-0000-0000-00003F1A0000}"/>
    <cellStyle name="Comma 3 8" xfId="2702" xr:uid="{00000000-0005-0000-0000-0000401A0000}"/>
    <cellStyle name="Comma 3 8 2" xfId="2703" xr:uid="{00000000-0005-0000-0000-0000411A0000}"/>
    <cellStyle name="Comma 3 8 2 2" xfId="2704" xr:uid="{00000000-0005-0000-0000-0000421A0000}"/>
    <cellStyle name="Comma 3 8 2 2 2" xfId="2705" xr:uid="{00000000-0005-0000-0000-0000431A0000}"/>
    <cellStyle name="Comma 3 8 2 2 2 2" xfId="9854" xr:uid="{00000000-0005-0000-0000-0000441A0000}"/>
    <cellStyle name="Comma 3 8 2 2 3" xfId="9853" xr:uid="{00000000-0005-0000-0000-0000451A0000}"/>
    <cellStyle name="Comma 3 8 2 2 4" xfId="6118" xr:uid="{00000000-0005-0000-0000-0000461A0000}"/>
    <cellStyle name="Comma 3 8 2 3" xfId="2706" xr:uid="{00000000-0005-0000-0000-0000471A0000}"/>
    <cellStyle name="Comma 3 8 2 3 2" xfId="9855" xr:uid="{00000000-0005-0000-0000-0000481A0000}"/>
    <cellStyle name="Comma 3 8 2 4" xfId="9852" xr:uid="{00000000-0005-0000-0000-0000491A0000}"/>
    <cellStyle name="Comma 3 8 2 5" xfId="6117" xr:uid="{00000000-0005-0000-0000-00004A1A0000}"/>
    <cellStyle name="Comma 3 8 3" xfId="2707" xr:uid="{00000000-0005-0000-0000-00004B1A0000}"/>
    <cellStyle name="Comma 3 8 3 2" xfId="2708" xr:uid="{00000000-0005-0000-0000-00004C1A0000}"/>
    <cellStyle name="Comma 3 8 3 2 2" xfId="9857" xr:uid="{00000000-0005-0000-0000-00004D1A0000}"/>
    <cellStyle name="Comma 3 8 3 3" xfId="9856" xr:uid="{00000000-0005-0000-0000-00004E1A0000}"/>
    <cellStyle name="Comma 3 8 3 4" xfId="6119" xr:uid="{00000000-0005-0000-0000-00004F1A0000}"/>
    <cellStyle name="Comma 3 8 4" xfId="2709" xr:uid="{00000000-0005-0000-0000-0000501A0000}"/>
    <cellStyle name="Comma 3 8 4 2" xfId="2710" xr:uid="{00000000-0005-0000-0000-0000511A0000}"/>
    <cellStyle name="Comma 3 8 4 2 2" xfId="9859" xr:uid="{00000000-0005-0000-0000-0000521A0000}"/>
    <cellStyle name="Comma 3 8 4 3" xfId="9858" xr:uid="{00000000-0005-0000-0000-0000531A0000}"/>
    <cellStyle name="Comma 3 8 4 4" xfId="6120" xr:uid="{00000000-0005-0000-0000-0000541A0000}"/>
    <cellStyle name="Comma 3 8 5" xfId="2711" xr:uid="{00000000-0005-0000-0000-0000551A0000}"/>
    <cellStyle name="Comma 3 8 5 2" xfId="9860" xr:uid="{00000000-0005-0000-0000-0000561A0000}"/>
    <cellStyle name="Comma 3 8 6" xfId="9851" xr:uid="{00000000-0005-0000-0000-0000571A0000}"/>
    <cellStyle name="Comma 3 8 7" xfId="6116" xr:uid="{00000000-0005-0000-0000-0000581A0000}"/>
    <cellStyle name="Comma 3 9" xfId="2712" xr:uid="{00000000-0005-0000-0000-0000591A0000}"/>
    <cellStyle name="Comma 3 9 2" xfId="2713" xr:uid="{00000000-0005-0000-0000-00005A1A0000}"/>
    <cellStyle name="Comma 3 9 2 2" xfId="2714" xr:uid="{00000000-0005-0000-0000-00005B1A0000}"/>
    <cellStyle name="Comma 3 9 2 2 2" xfId="2715" xr:uid="{00000000-0005-0000-0000-00005C1A0000}"/>
    <cellStyle name="Comma 3 9 2 2 2 2" xfId="9864" xr:uid="{00000000-0005-0000-0000-00005D1A0000}"/>
    <cellStyle name="Comma 3 9 2 2 3" xfId="9863" xr:uid="{00000000-0005-0000-0000-00005E1A0000}"/>
    <cellStyle name="Comma 3 9 2 2 4" xfId="6123" xr:uid="{00000000-0005-0000-0000-00005F1A0000}"/>
    <cellStyle name="Comma 3 9 2 3" xfId="2716" xr:uid="{00000000-0005-0000-0000-0000601A0000}"/>
    <cellStyle name="Comma 3 9 2 3 2" xfId="9865" xr:uid="{00000000-0005-0000-0000-0000611A0000}"/>
    <cellStyle name="Comma 3 9 2 4" xfId="9862" xr:uid="{00000000-0005-0000-0000-0000621A0000}"/>
    <cellStyle name="Comma 3 9 2 5" xfId="6122" xr:uid="{00000000-0005-0000-0000-0000631A0000}"/>
    <cellStyle name="Comma 3 9 3" xfId="2717" xr:uid="{00000000-0005-0000-0000-0000641A0000}"/>
    <cellStyle name="Comma 3 9 3 2" xfId="2718" xr:uid="{00000000-0005-0000-0000-0000651A0000}"/>
    <cellStyle name="Comma 3 9 3 2 2" xfId="9867" xr:uid="{00000000-0005-0000-0000-0000661A0000}"/>
    <cellStyle name="Comma 3 9 3 3" xfId="9866" xr:uid="{00000000-0005-0000-0000-0000671A0000}"/>
    <cellStyle name="Comma 3 9 3 4" xfId="6124" xr:uid="{00000000-0005-0000-0000-0000681A0000}"/>
    <cellStyle name="Comma 3 9 4" xfId="2719" xr:uid="{00000000-0005-0000-0000-0000691A0000}"/>
    <cellStyle name="Comma 3 9 4 2" xfId="2720" xr:uid="{00000000-0005-0000-0000-00006A1A0000}"/>
    <cellStyle name="Comma 3 9 4 2 2" xfId="9869" xr:uid="{00000000-0005-0000-0000-00006B1A0000}"/>
    <cellStyle name="Comma 3 9 4 3" xfId="9868" xr:uid="{00000000-0005-0000-0000-00006C1A0000}"/>
    <cellStyle name="Comma 3 9 4 4" xfId="6125" xr:uid="{00000000-0005-0000-0000-00006D1A0000}"/>
    <cellStyle name="Comma 3 9 5" xfId="2721" xr:uid="{00000000-0005-0000-0000-00006E1A0000}"/>
    <cellStyle name="Comma 3 9 5 2" xfId="9870" xr:uid="{00000000-0005-0000-0000-00006F1A0000}"/>
    <cellStyle name="Comma 3 9 6" xfId="9861" xr:uid="{00000000-0005-0000-0000-0000701A0000}"/>
    <cellStyle name="Comma 3 9 7" xfId="6121" xr:uid="{00000000-0005-0000-0000-0000711A0000}"/>
    <cellStyle name="Comma 4" xfId="2722" xr:uid="{00000000-0005-0000-0000-0000721A0000}"/>
    <cellStyle name="Comma 4 10" xfId="2723" xr:uid="{00000000-0005-0000-0000-0000731A0000}"/>
    <cellStyle name="Comma 4 10 2" xfId="2724" xr:uid="{00000000-0005-0000-0000-0000741A0000}"/>
    <cellStyle name="Comma 4 10 2 2" xfId="2725" xr:uid="{00000000-0005-0000-0000-0000751A0000}"/>
    <cellStyle name="Comma 4 10 2 2 2" xfId="9874" xr:uid="{00000000-0005-0000-0000-0000761A0000}"/>
    <cellStyle name="Comma 4 10 2 3" xfId="9873" xr:uid="{00000000-0005-0000-0000-0000771A0000}"/>
    <cellStyle name="Comma 4 10 2 4" xfId="6128" xr:uid="{00000000-0005-0000-0000-0000781A0000}"/>
    <cellStyle name="Comma 4 10 3" xfId="2726" xr:uid="{00000000-0005-0000-0000-0000791A0000}"/>
    <cellStyle name="Comma 4 10 3 2" xfId="2727" xr:uid="{00000000-0005-0000-0000-00007A1A0000}"/>
    <cellStyle name="Comma 4 10 3 2 2" xfId="9876" xr:uid="{00000000-0005-0000-0000-00007B1A0000}"/>
    <cellStyle name="Comma 4 10 3 3" xfId="9875" xr:uid="{00000000-0005-0000-0000-00007C1A0000}"/>
    <cellStyle name="Comma 4 10 3 4" xfId="6129" xr:uid="{00000000-0005-0000-0000-00007D1A0000}"/>
    <cellStyle name="Comma 4 10 4" xfId="2728" xr:uid="{00000000-0005-0000-0000-00007E1A0000}"/>
    <cellStyle name="Comma 4 10 4 2" xfId="9877" xr:uid="{00000000-0005-0000-0000-00007F1A0000}"/>
    <cellStyle name="Comma 4 10 5" xfId="9872" xr:uid="{00000000-0005-0000-0000-0000801A0000}"/>
    <cellStyle name="Comma 4 10 6" xfId="6127" xr:uid="{00000000-0005-0000-0000-0000811A0000}"/>
    <cellStyle name="Comma 4 11" xfId="2729" xr:uid="{00000000-0005-0000-0000-0000821A0000}"/>
    <cellStyle name="Comma 4 11 2" xfId="2730" xr:uid="{00000000-0005-0000-0000-0000831A0000}"/>
    <cellStyle name="Comma 4 11 2 2" xfId="2731" xr:uid="{00000000-0005-0000-0000-0000841A0000}"/>
    <cellStyle name="Comma 4 11 2 2 2" xfId="9880" xr:uid="{00000000-0005-0000-0000-0000851A0000}"/>
    <cellStyle name="Comma 4 11 2 3" xfId="9879" xr:uid="{00000000-0005-0000-0000-0000861A0000}"/>
    <cellStyle name="Comma 4 11 2 4" xfId="6131" xr:uid="{00000000-0005-0000-0000-0000871A0000}"/>
    <cellStyle name="Comma 4 11 3" xfId="2732" xr:uid="{00000000-0005-0000-0000-0000881A0000}"/>
    <cellStyle name="Comma 4 11 3 2" xfId="9881" xr:uid="{00000000-0005-0000-0000-0000891A0000}"/>
    <cellStyle name="Comma 4 11 4" xfId="9878" xr:uid="{00000000-0005-0000-0000-00008A1A0000}"/>
    <cellStyle name="Comma 4 11 5" xfId="6130" xr:uid="{00000000-0005-0000-0000-00008B1A0000}"/>
    <cellStyle name="Comma 4 12" xfId="2733" xr:uid="{00000000-0005-0000-0000-00008C1A0000}"/>
    <cellStyle name="Comma 4 12 2" xfId="2734" xr:uid="{00000000-0005-0000-0000-00008D1A0000}"/>
    <cellStyle name="Comma 4 12 2 2" xfId="9883" xr:uid="{00000000-0005-0000-0000-00008E1A0000}"/>
    <cellStyle name="Comma 4 12 3" xfId="9882" xr:uid="{00000000-0005-0000-0000-00008F1A0000}"/>
    <cellStyle name="Comma 4 12 4" xfId="6132" xr:uid="{00000000-0005-0000-0000-0000901A0000}"/>
    <cellStyle name="Comma 4 13" xfId="2735" xr:uid="{00000000-0005-0000-0000-0000911A0000}"/>
    <cellStyle name="Comma 4 13 2" xfId="2736" xr:uid="{00000000-0005-0000-0000-0000921A0000}"/>
    <cellStyle name="Comma 4 13 2 2" xfId="9885" xr:uid="{00000000-0005-0000-0000-0000931A0000}"/>
    <cellStyle name="Comma 4 13 3" xfId="9884" xr:uid="{00000000-0005-0000-0000-0000941A0000}"/>
    <cellStyle name="Comma 4 13 4" xfId="6133" xr:uid="{00000000-0005-0000-0000-0000951A0000}"/>
    <cellStyle name="Comma 4 14" xfId="2737" xr:uid="{00000000-0005-0000-0000-0000961A0000}"/>
    <cellStyle name="Comma 4 14 2" xfId="9886" xr:uid="{00000000-0005-0000-0000-0000971A0000}"/>
    <cellStyle name="Comma 4 15" xfId="9871" xr:uid="{00000000-0005-0000-0000-0000981A0000}"/>
    <cellStyle name="Comma 4 16" xfId="6126" xr:uid="{00000000-0005-0000-0000-0000991A0000}"/>
    <cellStyle name="Comma 4 17" xfId="12329" xr:uid="{00000000-0005-0000-0000-00009A1A0000}"/>
    <cellStyle name="Comma 4 18" xfId="12339" xr:uid="{00000000-0005-0000-0000-00009B1A0000}"/>
    <cellStyle name="Comma 4 19" xfId="12354" xr:uid="{00000000-0005-0000-0000-00009C1A0000}"/>
    <cellStyle name="Comma 4 2" xfId="23" xr:uid="{00000000-0005-0000-0000-00009D1A0000}"/>
    <cellStyle name="Comma 4 2 10" xfId="2739" xr:uid="{00000000-0005-0000-0000-00009E1A0000}"/>
    <cellStyle name="Comma 4 2 10 2" xfId="2740" xr:uid="{00000000-0005-0000-0000-00009F1A0000}"/>
    <cellStyle name="Comma 4 2 10 2 2" xfId="2741" xr:uid="{00000000-0005-0000-0000-0000A01A0000}"/>
    <cellStyle name="Comma 4 2 10 2 2 2" xfId="9890" xr:uid="{00000000-0005-0000-0000-0000A11A0000}"/>
    <cellStyle name="Comma 4 2 10 2 3" xfId="9889" xr:uid="{00000000-0005-0000-0000-0000A21A0000}"/>
    <cellStyle name="Comma 4 2 10 2 4" xfId="6136" xr:uid="{00000000-0005-0000-0000-0000A31A0000}"/>
    <cellStyle name="Comma 4 2 10 3" xfId="2742" xr:uid="{00000000-0005-0000-0000-0000A41A0000}"/>
    <cellStyle name="Comma 4 2 10 3 2" xfId="9891" xr:uid="{00000000-0005-0000-0000-0000A51A0000}"/>
    <cellStyle name="Comma 4 2 10 4" xfId="9888" xr:uid="{00000000-0005-0000-0000-0000A61A0000}"/>
    <cellStyle name="Comma 4 2 10 5" xfId="6135" xr:uid="{00000000-0005-0000-0000-0000A71A0000}"/>
    <cellStyle name="Comma 4 2 11" xfId="2743" xr:uid="{00000000-0005-0000-0000-0000A81A0000}"/>
    <cellStyle name="Comma 4 2 11 2" xfId="2744" xr:uid="{00000000-0005-0000-0000-0000A91A0000}"/>
    <cellStyle name="Comma 4 2 11 2 2" xfId="9893" xr:uid="{00000000-0005-0000-0000-0000AA1A0000}"/>
    <cellStyle name="Comma 4 2 11 3" xfId="9892" xr:uid="{00000000-0005-0000-0000-0000AB1A0000}"/>
    <cellStyle name="Comma 4 2 11 4" xfId="6137" xr:uid="{00000000-0005-0000-0000-0000AC1A0000}"/>
    <cellStyle name="Comma 4 2 12" xfId="2745" xr:uid="{00000000-0005-0000-0000-0000AD1A0000}"/>
    <cellStyle name="Comma 4 2 12 2" xfId="2746" xr:uid="{00000000-0005-0000-0000-0000AE1A0000}"/>
    <cellStyle name="Comma 4 2 12 2 2" xfId="9895" xr:uid="{00000000-0005-0000-0000-0000AF1A0000}"/>
    <cellStyle name="Comma 4 2 12 3" xfId="9894" xr:uid="{00000000-0005-0000-0000-0000B01A0000}"/>
    <cellStyle name="Comma 4 2 12 4" xfId="6138" xr:uid="{00000000-0005-0000-0000-0000B11A0000}"/>
    <cellStyle name="Comma 4 2 13" xfId="2747" xr:uid="{00000000-0005-0000-0000-0000B21A0000}"/>
    <cellStyle name="Comma 4 2 13 2" xfId="9897" xr:uid="{00000000-0005-0000-0000-0000B31A0000}"/>
    <cellStyle name="Comma 4 2 13 3" xfId="9896" xr:uid="{00000000-0005-0000-0000-0000B41A0000}"/>
    <cellStyle name="Comma 4 2 13 4" xfId="6139" xr:uid="{00000000-0005-0000-0000-0000B51A0000}"/>
    <cellStyle name="Comma 4 2 14" xfId="2738" xr:uid="{00000000-0005-0000-0000-0000B61A0000}"/>
    <cellStyle name="Comma 4 2 14 2" xfId="9898" xr:uid="{00000000-0005-0000-0000-0000B71A0000}"/>
    <cellStyle name="Comma 4 2 15" xfId="9887" xr:uid="{00000000-0005-0000-0000-0000B81A0000}"/>
    <cellStyle name="Comma 4 2 16" xfId="12310" xr:uid="{00000000-0005-0000-0000-0000B91A0000}"/>
    <cellStyle name="Comma 4 2 17" xfId="6134" xr:uid="{00000000-0005-0000-0000-0000BA1A0000}"/>
    <cellStyle name="Comma 4 2 18" xfId="12328" xr:uid="{00000000-0005-0000-0000-0000BB1A0000}"/>
    <cellStyle name="Comma 4 2 19" xfId="12338" xr:uid="{00000000-0005-0000-0000-0000BC1A0000}"/>
    <cellStyle name="Comma 4 2 2" xfId="2748" xr:uid="{00000000-0005-0000-0000-0000BD1A0000}"/>
    <cellStyle name="Comma 4 2 2 10" xfId="2749" xr:uid="{00000000-0005-0000-0000-0000BE1A0000}"/>
    <cellStyle name="Comma 4 2 2 10 2" xfId="2750" xr:uid="{00000000-0005-0000-0000-0000BF1A0000}"/>
    <cellStyle name="Comma 4 2 2 10 2 2" xfId="9901" xr:uid="{00000000-0005-0000-0000-0000C01A0000}"/>
    <cellStyle name="Comma 4 2 2 10 3" xfId="9900" xr:uid="{00000000-0005-0000-0000-0000C11A0000}"/>
    <cellStyle name="Comma 4 2 2 10 4" xfId="6141" xr:uid="{00000000-0005-0000-0000-0000C21A0000}"/>
    <cellStyle name="Comma 4 2 2 11" xfId="2751" xr:uid="{00000000-0005-0000-0000-0000C31A0000}"/>
    <cellStyle name="Comma 4 2 2 11 2" xfId="9902" xr:uid="{00000000-0005-0000-0000-0000C41A0000}"/>
    <cellStyle name="Comma 4 2 2 12" xfId="9899" xr:uid="{00000000-0005-0000-0000-0000C51A0000}"/>
    <cellStyle name="Comma 4 2 2 13" xfId="6140" xr:uid="{00000000-0005-0000-0000-0000C61A0000}"/>
    <cellStyle name="Comma 4 2 2 14" xfId="12333" xr:uid="{00000000-0005-0000-0000-0000C71A0000}"/>
    <cellStyle name="Comma 4 2 2 15" xfId="12343" xr:uid="{00000000-0005-0000-0000-0000C81A0000}"/>
    <cellStyle name="Comma 4 2 2 16" xfId="12358" xr:uid="{00000000-0005-0000-0000-0000C91A0000}"/>
    <cellStyle name="Comma 4 2 2 2" xfId="2752" xr:uid="{00000000-0005-0000-0000-0000CA1A0000}"/>
    <cellStyle name="Comma 4 2 2 2 10" xfId="2753" xr:uid="{00000000-0005-0000-0000-0000CB1A0000}"/>
    <cellStyle name="Comma 4 2 2 2 10 2" xfId="9904" xr:uid="{00000000-0005-0000-0000-0000CC1A0000}"/>
    <cellStyle name="Comma 4 2 2 2 11" xfId="9903" xr:uid="{00000000-0005-0000-0000-0000CD1A0000}"/>
    <cellStyle name="Comma 4 2 2 2 12" xfId="6142" xr:uid="{00000000-0005-0000-0000-0000CE1A0000}"/>
    <cellStyle name="Comma 4 2 2 2 2" xfId="2754" xr:uid="{00000000-0005-0000-0000-0000CF1A0000}"/>
    <cellStyle name="Comma 4 2 2 2 2 2" xfId="2755" xr:uid="{00000000-0005-0000-0000-0000D01A0000}"/>
    <cellStyle name="Comma 4 2 2 2 2 2 2" xfId="2756" xr:uid="{00000000-0005-0000-0000-0000D11A0000}"/>
    <cellStyle name="Comma 4 2 2 2 2 2 2 2" xfId="2757" xr:uid="{00000000-0005-0000-0000-0000D21A0000}"/>
    <cellStyle name="Comma 4 2 2 2 2 2 2 2 2" xfId="9908" xr:uid="{00000000-0005-0000-0000-0000D31A0000}"/>
    <cellStyle name="Comma 4 2 2 2 2 2 2 3" xfId="9907" xr:uid="{00000000-0005-0000-0000-0000D41A0000}"/>
    <cellStyle name="Comma 4 2 2 2 2 2 2 4" xfId="6145" xr:uid="{00000000-0005-0000-0000-0000D51A0000}"/>
    <cellStyle name="Comma 4 2 2 2 2 2 3" xfId="2758" xr:uid="{00000000-0005-0000-0000-0000D61A0000}"/>
    <cellStyle name="Comma 4 2 2 2 2 2 3 2" xfId="9909" xr:uid="{00000000-0005-0000-0000-0000D71A0000}"/>
    <cellStyle name="Comma 4 2 2 2 2 2 4" xfId="9906" xr:uid="{00000000-0005-0000-0000-0000D81A0000}"/>
    <cellStyle name="Comma 4 2 2 2 2 2 5" xfId="6144" xr:uid="{00000000-0005-0000-0000-0000D91A0000}"/>
    <cellStyle name="Comma 4 2 2 2 2 3" xfId="2759" xr:uid="{00000000-0005-0000-0000-0000DA1A0000}"/>
    <cellStyle name="Comma 4 2 2 2 2 3 2" xfId="2760" xr:uid="{00000000-0005-0000-0000-0000DB1A0000}"/>
    <cellStyle name="Comma 4 2 2 2 2 3 2 2" xfId="9911" xr:uid="{00000000-0005-0000-0000-0000DC1A0000}"/>
    <cellStyle name="Comma 4 2 2 2 2 3 3" xfId="9910" xr:uid="{00000000-0005-0000-0000-0000DD1A0000}"/>
    <cellStyle name="Comma 4 2 2 2 2 3 4" xfId="6146" xr:uid="{00000000-0005-0000-0000-0000DE1A0000}"/>
    <cellStyle name="Comma 4 2 2 2 2 4" xfId="2761" xr:uid="{00000000-0005-0000-0000-0000DF1A0000}"/>
    <cellStyle name="Comma 4 2 2 2 2 4 2" xfId="2762" xr:uid="{00000000-0005-0000-0000-0000E01A0000}"/>
    <cellStyle name="Comma 4 2 2 2 2 4 2 2" xfId="9913" xr:uid="{00000000-0005-0000-0000-0000E11A0000}"/>
    <cellStyle name="Comma 4 2 2 2 2 4 3" xfId="9912" xr:uid="{00000000-0005-0000-0000-0000E21A0000}"/>
    <cellStyle name="Comma 4 2 2 2 2 4 4" xfId="6147" xr:uid="{00000000-0005-0000-0000-0000E31A0000}"/>
    <cellStyle name="Comma 4 2 2 2 2 5" xfId="2763" xr:uid="{00000000-0005-0000-0000-0000E41A0000}"/>
    <cellStyle name="Comma 4 2 2 2 2 5 2" xfId="9914" xr:uid="{00000000-0005-0000-0000-0000E51A0000}"/>
    <cellStyle name="Comma 4 2 2 2 2 6" xfId="9905" xr:uid="{00000000-0005-0000-0000-0000E61A0000}"/>
    <cellStyle name="Comma 4 2 2 2 2 7" xfId="6143" xr:uid="{00000000-0005-0000-0000-0000E71A0000}"/>
    <cellStyle name="Comma 4 2 2 2 3" xfId="2764" xr:uid="{00000000-0005-0000-0000-0000E81A0000}"/>
    <cellStyle name="Comma 4 2 2 2 3 2" xfId="2765" xr:uid="{00000000-0005-0000-0000-0000E91A0000}"/>
    <cellStyle name="Comma 4 2 2 2 3 2 2" xfId="2766" xr:uid="{00000000-0005-0000-0000-0000EA1A0000}"/>
    <cellStyle name="Comma 4 2 2 2 3 2 2 2" xfId="2767" xr:uid="{00000000-0005-0000-0000-0000EB1A0000}"/>
    <cellStyle name="Comma 4 2 2 2 3 2 2 2 2" xfId="9918" xr:uid="{00000000-0005-0000-0000-0000EC1A0000}"/>
    <cellStyle name="Comma 4 2 2 2 3 2 2 3" xfId="9917" xr:uid="{00000000-0005-0000-0000-0000ED1A0000}"/>
    <cellStyle name="Comma 4 2 2 2 3 2 2 4" xfId="6150" xr:uid="{00000000-0005-0000-0000-0000EE1A0000}"/>
    <cellStyle name="Comma 4 2 2 2 3 2 3" xfId="2768" xr:uid="{00000000-0005-0000-0000-0000EF1A0000}"/>
    <cellStyle name="Comma 4 2 2 2 3 2 3 2" xfId="9919" xr:uid="{00000000-0005-0000-0000-0000F01A0000}"/>
    <cellStyle name="Comma 4 2 2 2 3 2 4" xfId="9916" xr:uid="{00000000-0005-0000-0000-0000F11A0000}"/>
    <cellStyle name="Comma 4 2 2 2 3 2 5" xfId="6149" xr:uid="{00000000-0005-0000-0000-0000F21A0000}"/>
    <cellStyle name="Comma 4 2 2 2 3 3" xfId="2769" xr:uid="{00000000-0005-0000-0000-0000F31A0000}"/>
    <cellStyle name="Comma 4 2 2 2 3 3 2" xfId="2770" xr:uid="{00000000-0005-0000-0000-0000F41A0000}"/>
    <cellStyle name="Comma 4 2 2 2 3 3 2 2" xfId="9921" xr:uid="{00000000-0005-0000-0000-0000F51A0000}"/>
    <cellStyle name="Comma 4 2 2 2 3 3 3" xfId="9920" xr:uid="{00000000-0005-0000-0000-0000F61A0000}"/>
    <cellStyle name="Comma 4 2 2 2 3 3 4" xfId="6151" xr:uid="{00000000-0005-0000-0000-0000F71A0000}"/>
    <cellStyle name="Comma 4 2 2 2 3 4" xfId="2771" xr:uid="{00000000-0005-0000-0000-0000F81A0000}"/>
    <cellStyle name="Comma 4 2 2 2 3 4 2" xfId="2772" xr:uid="{00000000-0005-0000-0000-0000F91A0000}"/>
    <cellStyle name="Comma 4 2 2 2 3 4 2 2" xfId="9923" xr:uid="{00000000-0005-0000-0000-0000FA1A0000}"/>
    <cellStyle name="Comma 4 2 2 2 3 4 3" xfId="9922" xr:uid="{00000000-0005-0000-0000-0000FB1A0000}"/>
    <cellStyle name="Comma 4 2 2 2 3 4 4" xfId="6152" xr:uid="{00000000-0005-0000-0000-0000FC1A0000}"/>
    <cellStyle name="Comma 4 2 2 2 3 5" xfId="2773" xr:uid="{00000000-0005-0000-0000-0000FD1A0000}"/>
    <cellStyle name="Comma 4 2 2 2 3 5 2" xfId="9924" xr:uid="{00000000-0005-0000-0000-0000FE1A0000}"/>
    <cellStyle name="Comma 4 2 2 2 3 6" xfId="9915" xr:uid="{00000000-0005-0000-0000-0000FF1A0000}"/>
    <cellStyle name="Comma 4 2 2 2 3 7" xfId="6148" xr:uid="{00000000-0005-0000-0000-0000001B0000}"/>
    <cellStyle name="Comma 4 2 2 2 4" xfId="2774" xr:uid="{00000000-0005-0000-0000-0000011B0000}"/>
    <cellStyle name="Comma 4 2 2 2 4 2" xfId="2775" xr:uid="{00000000-0005-0000-0000-0000021B0000}"/>
    <cellStyle name="Comma 4 2 2 2 4 2 2" xfId="2776" xr:uid="{00000000-0005-0000-0000-0000031B0000}"/>
    <cellStyle name="Comma 4 2 2 2 4 2 2 2" xfId="2777" xr:uid="{00000000-0005-0000-0000-0000041B0000}"/>
    <cellStyle name="Comma 4 2 2 2 4 2 2 2 2" xfId="9928" xr:uid="{00000000-0005-0000-0000-0000051B0000}"/>
    <cellStyle name="Comma 4 2 2 2 4 2 2 3" xfId="9927" xr:uid="{00000000-0005-0000-0000-0000061B0000}"/>
    <cellStyle name="Comma 4 2 2 2 4 2 2 4" xfId="6155" xr:uid="{00000000-0005-0000-0000-0000071B0000}"/>
    <cellStyle name="Comma 4 2 2 2 4 2 3" xfId="2778" xr:uid="{00000000-0005-0000-0000-0000081B0000}"/>
    <cellStyle name="Comma 4 2 2 2 4 2 3 2" xfId="9929" xr:uid="{00000000-0005-0000-0000-0000091B0000}"/>
    <cellStyle name="Comma 4 2 2 2 4 2 4" xfId="9926" xr:uid="{00000000-0005-0000-0000-00000A1B0000}"/>
    <cellStyle name="Comma 4 2 2 2 4 2 5" xfId="6154" xr:uid="{00000000-0005-0000-0000-00000B1B0000}"/>
    <cellStyle name="Comma 4 2 2 2 4 3" xfId="2779" xr:uid="{00000000-0005-0000-0000-00000C1B0000}"/>
    <cellStyle name="Comma 4 2 2 2 4 3 2" xfId="2780" xr:uid="{00000000-0005-0000-0000-00000D1B0000}"/>
    <cellStyle name="Comma 4 2 2 2 4 3 2 2" xfId="9931" xr:uid="{00000000-0005-0000-0000-00000E1B0000}"/>
    <cellStyle name="Comma 4 2 2 2 4 3 3" xfId="9930" xr:uid="{00000000-0005-0000-0000-00000F1B0000}"/>
    <cellStyle name="Comma 4 2 2 2 4 3 4" xfId="6156" xr:uid="{00000000-0005-0000-0000-0000101B0000}"/>
    <cellStyle name="Comma 4 2 2 2 4 4" xfId="2781" xr:uid="{00000000-0005-0000-0000-0000111B0000}"/>
    <cellStyle name="Comma 4 2 2 2 4 4 2" xfId="2782" xr:uid="{00000000-0005-0000-0000-0000121B0000}"/>
    <cellStyle name="Comma 4 2 2 2 4 4 2 2" xfId="9933" xr:uid="{00000000-0005-0000-0000-0000131B0000}"/>
    <cellStyle name="Comma 4 2 2 2 4 4 3" xfId="9932" xr:uid="{00000000-0005-0000-0000-0000141B0000}"/>
    <cellStyle name="Comma 4 2 2 2 4 4 4" xfId="6157" xr:uid="{00000000-0005-0000-0000-0000151B0000}"/>
    <cellStyle name="Comma 4 2 2 2 4 5" xfId="2783" xr:uid="{00000000-0005-0000-0000-0000161B0000}"/>
    <cellStyle name="Comma 4 2 2 2 4 5 2" xfId="9934" xr:uid="{00000000-0005-0000-0000-0000171B0000}"/>
    <cellStyle name="Comma 4 2 2 2 4 6" xfId="9925" xr:uid="{00000000-0005-0000-0000-0000181B0000}"/>
    <cellStyle name="Comma 4 2 2 2 4 7" xfId="6153" xr:uid="{00000000-0005-0000-0000-0000191B0000}"/>
    <cellStyle name="Comma 4 2 2 2 5" xfId="2784" xr:uid="{00000000-0005-0000-0000-00001A1B0000}"/>
    <cellStyle name="Comma 4 2 2 2 5 2" xfId="2785" xr:uid="{00000000-0005-0000-0000-00001B1B0000}"/>
    <cellStyle name="Comma 4 2 2 2 5 2 2" xfId="2786" xr:uid="{00000000-0005-0000-0000-00001C1B0000}"/>
    <cellStyle name="Comma 4 2 2 2 5 2 2 2" xfId="2787" xr:uid="{00000000-0005-0000-0000-00001D1B0000}"/>
    <cellStyle name="Comma 4 2 2 2 5 2 2 2 2" xfId="9938" xr:uid="{00000000-0005-0000-0000-00001E1B0000}"/>
    <cellStyle name="Comma 4 2 2 2 5 2 2 3" xfId="9937" xr:uid="{00000000-0005-0000-0000-00001F1B0000}"/>
    <cellStyle name="Comma 4 2 2 2 5 2 2 4" xfId="6160" xr:uid="{00000000-0005-0000-0000-0000201B0000}"/>
    <cellStyle name="Comma 4 2 2 2 5 2 3" xfId="2788" xr:uid="{00000000-0005-0000-0000-0000211B0000}"/>
    <cellStyle name="Comma 4 2 2 2 5 2 3 2" xfId="9939" xr:uid="{00000000-0005-0000-0000-0000221B0000}"/>
    <cellStyle name="Comma 4 2 2 2 5 2 4" xfId="9936" xr:uid="{00000000-0005-0000-0000-0000231B0000}"/>
    <cellStyle name="Comma 4 2 2 2 5 2 5" xfId="6159" xr:uid="{00000000-0005-0000-0000-0000241B0000}"/>
    <cellStyle name="Comma 4 2 2 2 5 3" xfId="2789" xr:uid="{00000000-0005-0000-0000-0000251B0000}"/>
    <cellStyle name="Comma 4 2 2 2 5 3 2" xfId="2790" xr:uid="{00000000-0005-0000-0000-0000261B0000}"/>
    <cellStyle name="Comma 4 2 2 2 5 3 2 2" xfId="9941" xr:uid="{00000000-0005-0000-0000-0000271B0000}"/>
    <cellStyle name="Comma 4 2 2 2 5 3 3" xfId="9940" xr:uid="{00000000-0005-0000-0000-0000281B0000}"/>
    <cellStyle name="Comma 4 2 2 2 5 3 4" xfId="6161" xr:uid="{00000000-0005-0000-0000-0000291B0000}"/>
    <cellStyle name="Comma 4 2 2 2 5 4" xfId="2791" xr:uid="{00000000-0005-0000-0000-00002A1B0000}"/>
    <cellStyle name="Comma 4 2 2 2 5 4 2" xfId="2792" xr:uid="{00000000-0005-0000-0000-00002B1B0000}"/>
    <cellStyle name="Comma 4 2 2 2 5 4 2 2" xfId="9943" xr:uid="{00000000-0005-0000-0000-00002C1B0000}"/>
    <cellStyle name="Comma 4 2 2 2 5 4 3" xfId="9942" xr:uid="{00000000-0005-0000-0000-00002D1B0000}"/>
    <cellStyle name="Comma 4 2 2 2 5 4 4" xfId="6162" xr:uid="{00000000-0005-0000-0000-00002E1B0000}"/>
    <cellStyle name="Comma 4 2 2 2 5 5" xfId="2793" xr:uid="{00000000-0005-0000-0000-00002F1B0000}"/>
    <cellStyle name="Comma 4 2 2 2 5 5 2" xfId="9944" xr:uid="{00000000-0005-0000-0000-0000301B0000}"/>
    <cellStyle name="Comma 4 2 2 2 5 6" xfId="9935" xr:uid="{00000000-0005-0000-0000-0000311B0000}"/>
    <cellStyle name="Comma 4 2 2 2 5 7" xfId="6158" xr:uid="{00000000-0005-0000-0000-0000321B0000}"/>
    <cellStyle name="Comma 4 2 2 2 6" xfId="2794" xr:uid="{00000000-0005-0000-0000-0000331B0000}"/>
    <cellStyle name="Comma 4 2 2 2 6 2" xfId="2795" xr:uid="{00000000-0005-0000-0000-0000341B0000}"/>
    <cellStyle name="Comma 4 2 2 2 6 2 2" xfId="2796" xr:uid="{00000000-0005-0000-0000-0000351B0000}"/>
    <cellStyle name="Comma 4 2 2 2 6 2 2 2" xfId="9947" xr:uid="{00000000-0005-0000-0000-0000361B0000}"/>
    <cellStyle name="Comma 4 2 2 2 6 2 3" xfId="9946" xr:uid="{00000000-0005-0000-0000-0000371B0000}"/>
    <cellStyle name="Comma 4 2 2 2 6 2 4" xfId="6164" xr:uid="{00000000-0005-0000-0000-0000381B0000}"/>
    <cellStyle name="Comma 4 2 2 2 6 3" xfId="2797" xr:uid="{00000000-0005-0000-0000-0000391B0000}"/>
    <cellStyle name="Comma 4 2 2 2 6 3 2" xfId="2798" xr:uid="{00000000-0005-0000-0000-00003A1B0000}"/>
    <cellStyle name="Comma 4 2 2 2 6 3 2 2" xfId="9949" xr:uid="{00000000-0005-0000-0000-00003B1B0000}"/>
    <cellStyle name="Comma 4 2 2 2 6 3 3" xfId="9948" xr:uid="{00000000-0005-0000-0000-00003C1B0000}"/>
    <cellStyle name="Comma 4 2 2 2 6 3 4" xfId="6165" xr:uid="{00000000-0005-0000-0000-00003D1B0000}"/>
    <cellStyle name="Comma 4 2 2 2 6 4" xfId="2799" xr:uid="{00000000-0005-0000-0000-00003E1B0000}"/>
    <cellStyle name="Comma 4 2 2 2 6 4 2" xfId="9950" xr:uid="{00000000-0005-0000-0000-00003F1B0000}"/>
    <cellStyle name="Comma 4 2 2 2 6 5" xfId="9945" xr:uid="{00000000-0005-0000-0000-0000401B0000}"/>
    <cellStyle name="Comma 4 2 2 2 6 6" xfId="6163" xr:uid="{00000000-0005-0000-0000-0000411B0000}"/>
    <cellStyle name="Comma 4 2 2 2 7" xfId="2800" xr:uid="{00000000-0005-0000-0000-0000421B0000}"/>
    <cellStyle name="Comma 4 2 2 2 7 2" xfId="2801" xr:uid="{00000000-0005-0000-0000-0000431B0000}"/>
    <cellStyle name="Comma 4 2 2 2 7 2 2" xfId="2802" xr:uid="{00000000-0005-0000-0000-0000441B0000}"/>
    <cellStyle name="Comma 4 2 2 2 7 2 2 2" xfId="9953" xr:uid="{00000000-0005-0000-0000-0000451B0000}"/>
    <cellStyle name="Comma 4 2 2 2 7 2 3" xfId="9952" xr:uid="{00000000-0005-0000-0000-0000461B0000}"/>
    <cellStyle name="Comma 4 2 2 2 7 2 4" xfId="6167" xr:uid="{00000000-0005-0000-0000-0000471B0000}"/>
    <cellStyle name="Comma 4 2 2 2 7 3" xfId="2803" xr:uid="{00000000-0005-0000-0000-0000481B0000}"/>
    <cellStyle name="Comma 4 2 2 2 7 3 2" xfId="9954" xr:uid="{00000000-0005-0000-0000-0000491B0000}"/>
    <cellStyle name="Comma 4 2 2 2 7 4" xfId="9951" xr:uid="{00000000-0005-0000-0000-00004A1B0000}"/>
    <cellStyle name="Comma 4 2 2 2 7 5" xfId="6166" xr:uid="{00000000-0005-0000-0000-00004B1B0000}"/>
    <cellStyle name="Comma 4 2 2 2 8" xfId="2804" xr:uid="{00000000-0005-0000-0000-00004C1B0000}"/>
    <cellStyle name="Comma 4 2 2 2 8 2" xfId="2805" xr:uid="{00000000-0005-0000-0000-00004D1B0000}"/>
    <cellStyle name="Comma 4 2 2 2 8 2 2" xfId="9956" xr:uid="{00000000-0005-0000-0000-00004E1B0000}"/>
    <cellStyle name="Comma 4 2 2 2 8 3" xfId="9955" xr:uid="{00000000-0005-0000-0000-00004F1B0000}"/>
    <cellStyle name="Comma 4 2 2 2 8 4" xfId="6168" xr:uid="{00000000-0005-0000-0000-0000501B0000}"/>
    <cellStyle name="Comma 4 2 2 2 9" xfId="2806" xr:uid="{00000000-0005-0000-0000-0000511B0000}"/>
    <cellStyle name="Comma 4 2 2 2 9 2" xfId="2807" xr:uid="{00000000-0005-0000-0000-0000521B0000}"/>
    <cellStyle name="Comma 4 2 2 2 9 2 2" xfId="9958" xr:uid="{00000000-0005-0000-0000-0000531B0000}"/>
    <cellStyle name="Comma 4 2 2 2 9 3" xfId="9957" xr:uid="{00000000-0005-0000-0000-0000541B0000}"/>
    <cellStyle name="Comma 4 2 2 2 9 4" xfId="6169" xr:uid="{00000000-0005-0000-0000-0000551B0000}"/>
    <cellStyle name="Comma 4 2 2 3" xfId="2808" xr:uid="{00000000-0005-0000-0000-0000561B0000}"/>
    <cellStyle name="Comma 4 2 2 3 2" xfId="2809" xr:uid="{00000000-0005-0000-0000-0000571B0000}"/>
    <cellStyle name="Comma 4 2 2 3 2 2" xfId="2810" xr:uid="{00000000-0005-0000-0000-0000581B0000}"/>
    <cellStyle name="Comma 4 2 2 3 2 2 2" xfId="2811" xr:uid="{00000000-0005-0000-0000-0000591B0000}"/>
    <cellStyle name="Comma 4 2 2 3 2 2 2 2" xfId="9962" xr:uid="{00000000-0005-0000-0000-00005A1B0000}"/>
    <cellStyle name="Comma 4 2 2 3 2 2 3" xfId="9961" xr:uid="{00000000-0005-0000-0000-00005B1B0000}"/>
    <cellStyle name="Comma 4 2 2 3 2 2 4" xfId="6172" xr:uid="{00000000-0005-0000-0000-00005C1B0000}"/>
    <cellStyle name="Comma 4 2 2 3 2 3" xfId="2812" xr:uid="{00000000-0005-0000-0000-00005D1B0000}"/>
    <cellStyle name="Comma 4 2 2 3 2 3 2" xfId="9963" xr:uid="{00000000-0005-0000-0000-00005E1B0000}"/>
    <cellStyle name="Comma 4 2 2 3 2 4" xfId="9960" xr:uid="{00000000-0005-0000-0000-00005F1B0000}"/>
    <cellStyle name="Comma 4 2 2 3 2 5" xfId="6171" xr:uid="{00000000-0005-0000-0000-0000601B0000}"/>
    <cellStyle name="Comma 4 2 2 3 3" xfId="2813" xr:uid="{00000000-0005-0000-0000-0000611B0000}"/>
    <cellStyle name="Comma 4 2 2 3 3 2" xfId="2814" xr:uid="{00000000-0005-0000-0000-0000621B0000}"/>
    <cellStyle name="Comma 4 2 2 3 3 2 2" xfId="9965" xr:uid="{00000000-0005-0000-0000-0000631B0000}"/>
    <cellStyle name="Comma 4 2 2 3 3 3" xfId="9964" xr:uid="{00000000-0005-0000-0000-0000641B0000}"/>
    <cellStyle name="Comma 4 2 2 3 3 4" xfId="6173" xr:uid="{00000000-0005-0000-0000-0000651B0000}"/>
    <cellStyle name="Comma 4 2 2 3 4" xfId="2815" xr:uid="{00000000-0005-0000-0000-0000661B0000}"/>
    <cellStyle name="Comma 4 2 2 3 4 2" xfId="2816" xr:uid="{00000000-0005-0000-0000-0000671B0000}"/>
    <cellStyle name="Comma 4 2 2 3 4 2 2" xfId="9967" xr:uid="{00000000-0005-0000-0000-0000681B0000}"/>
    <cellStyle name="Comma 4 2 2 3 4 3" xfId="9966" xr:uid="{00000000-0005-0000-0000-0000691B0000}"/>
    <cellStyle name="Comma 4 2 2 3 4 4" xfId="6174" xr:uid="{00000000-0005-0000-0000-00006A1B0000}"/>
    <cellStyle name="Comma 4 2 2 3 5" xfId="2817" xr:uid="{00000000-0005-0000-0000-00006B1B0000}"/>
    <cellStyle name="Comma 4 2 2 3 5 2" xfId="9968" xr:uid="{00000000-0005-0000-0000-00006C1B0000}"/>
    <cellStyle name="Comma 4 2 2 3 6" xfId="9959" xr:uid="{00000000-0005-0000-0000-00006D1B0000}"/>
    <cellStyle name="Comma 4 2 2 3 7" xfId="6170" xr:uid="{00000000-0005-0000-0000-00006E1B0000}"/>
    <cellStyle name="Comma 4 2 2 4" xfId="2818" xr:uid="{00000000-0005-0000-0000-00006F1B0000}"/>
    <cellStyle name="Comma 4 2 2 4 2" xfId="2819" xr:uid="{00000000-0005-0000-0000-0000701B0000}"/>
    <cellStyle name="Comma 4 2 2 4 2 2" xfId="2820" xr:uid="{00000000-0005-0000-0000-0000711B0000}"/>
    <cellStyle name="Comma 4 2 2 4 2 2 2" xfId="2821" xr:uid="{00000000-0005-0000-0000-0000721B0000}"/>
    <cellStyle name="Comma 4 2 2 4 2 2 2 2" xfId="9972" xr:uid="{00000000-0005-0000-0000-0000731B0000}"/>
    <cellStyle name="Comma 4 2 2 4 2 2 3" xfId="9971" xr:uid="{00000000-0005-0000-0000-0000741B0000}"/>
    <cellStyle name="Comma 4 2 2 4 2 2 4" xfId="6177" xr:uid="{00000000-0005-0000-0000-0000751B0000}"/>
    <cellStyle name="Comma 4 2 2 4 2 3" xfId="2822" xr:uid="{00000000-0005-0000-0000-0000761B0000}"/>
    <cellStyle name="Comma 4 2 2 4 2 3 2" xfId="9973" xr:uid="{00000000-0005-0000-0000-0000771B0000}"/>
    <cellStyle name="Comma 4 2 2 4 2 4" xfId="9970" xr:uid="{00000000-0005-0000-0000-0000781B0000}"/>
    <cellStyle name="Comma 4 2 2 4 2 5" xfId="6176" xr:uid="{00000000-0005-0000-0000-0000791B0000}"/>
    <cellStyle name="Comma 4 2 2 4 3" xfId="2823" xr:uid="{00000000-0005-0000-0000-00007A1B0000}"/>
    <cellStyle name="Comma 4 2 2 4 3 2" xfId="2824" xr:uid="{00000000-0005-0000-0000-00007B1B0000}"/>
    <cellStyle name="Comma 4 2 2 4 3 2 2" xfId="9975" xr:uid="{00000000-0005-0000-0000-00007C1B0000}"/>
    <cellStyle name="Comma 4 2 2 4 3 3" xfId="9974" xr:uid="{00000000-0005-0000-0000-00007D1B0000}"/>
    <cellStyle name="Comma 4 2 2 4 3 4" xfId="6178" xr:uid="{00000000-0005-0000-0000-00007E1B0000}"/>
    <cellStyle name="Comma 4 2 2 4 4" xfId="2825" xr:uid="{00000000-0005-0000-0000-00007F1B0000}"/>
    <cellStyle name="Comma 4 2 2 4 4 2" xfId="2826" xr:uid="{00000000-0005-0000-0000-0000801B0000}"/>
    <cellStyle name="Comma 4 2 2 4 4 2 2" xfId="9977" xr:uid="{00000000-0005-0000-0000-0000811B0000}"/>
    <cellStyle name="Comma 4 2 2 4 4 3" xfId="9976" xr:uid="{00000000-0005-0000-0000-0000821B0000}"/>
    <cellStyle name="Comma 4 2 2 4 4 4" xfId="6179" xr:uid="{00000000-0005-0000-0000-0000831B0000}"/>
    <cellStyle name="Comma 4 2 2 4 5" xfId="2827" xr:uid="{00000000-0005-0000-0000-0000841B0000}"/>
    <cellStyle name="Comma 4 2 2 4 5 2" xfId="9978" xr:uid="{00000000-0005-0000-0000-0000851B0000}"/>
    <cellStyle name="Comma 4 2 2 4 6" xfId="9969" xr:uid="{00000000-0005-0000-0000-0000861B0000}"/>
    <cellStyle name="Comma 4 2 2 4 7" xfId="6175" xr:uid="{00000000-0005-0000-0000-0000871B0000}"/>
    <cellStyle name="Comma 4 2 2 5" xfId="2828" xr:uid="{00000000-0005-0000-0000-0000881B0000}"/>
    <cellStyle name="Comma 4 2 2 5 2" xfId="2829" xr:uid="{00000000-0005-0000-0000-0000891B0000}"/>
    <cellStyle name="Comma 4 2 2 5 2 2" xfId="2830" xr:uid="{00000000-0005-0000-0000-00008A1B0000}"/>
    <cellStyle name="Comma 4 2 2 5 2 2 2" xfId="2831" xr:uid="{00000000-0005-0000-0000-00008B1B0000}"/>
    <cellStyle name="Comma 4 2 2 5 2 2 2 2" xfId="9982" xr:uid="{00000000-0005-0000-0000-00008C1B0000}"/>
    <cellStyle name="Comma 4 2 2 5 2 2 3" xfId="9981" xr:uid="{00000000-0005-0000-0000-00008D1B0000}"/>
    <cellStyle name="Comma 4 2 2 5 2 2 4" xfId="6182" xr:uid="{00000000-0005-0000-0000-00008E1B0000}"/>
    <cellStyle name="Comma 4 2 2 5 2 3" xfId="2832" xr:uid="{00000000-0005-0000-0000-00008F1B0000}"/>
    <cellStyle name="Comma 4 2 2 5 2 3 2" xfId="9983" xr:uid="{00000000-0005-0000-0000-0000901B0000}"/>
    <cellStyle name="Comma 4 2 2 5 2 4" xfId="9980" xr:uid="{00000000-0005-0000-0000-0000911B0000}"/>
    <cellStyle name="Comma 4 2 2 5 2 5" xfId="6181" xr:uid="{00000000-0005-0000-0000-0000921B0000}"/>
    <cellStyle name="Comma 4 2 2 5 3" xfId="2833" xr:uid="{00000000-0005-0000-0000-0000931B0000}"/>
    <cellStyle name="Comma 4 2 2 5 3 2" xfId="2834" xr:uid="{00000000-0005-0000-0000-0000941B0000}"/>
    <cellStyle name="Comma 4 2 2 5 3 2 2" xfId="9985" xr:uid="{00000000-0005-0000-0000-0000951B0000}"/>
    <cellStyle name="Comma 4 2 2 5 3 3" xfId="9984" xr:uid="{00000000-0005-0000-0000-0000961B0000}"/>
    <cellStyle name="Comma 4 2 2 5 3 4" xfId="6183" xr:uid="{00000000-0005-0000-0000-0000971B0000}"/>
    <cellStyle name="Comma 4 2 2 5 4" xfId="2835" xr:uid="{00000000-0005-0000-0000-0000981B0000}"/>
    <cellStyle name="Comma 4 2 2 5 4 2" xfId="2836" xr:uid="{00000000-0005-0000-0000-0000991B0000}"/>
    <cellStyle name="Comma 4 2 2 5 4 2 2" xfId="9987" xr:uid="{00000000-0005-0000-0000-00009A1B0000}"/>
    <cellStyle name="Comma 4 2 2 5 4 3" xfId="9986" xr:uid="{00000000-0005-0000-0000-00009B1B0000}"/>
    <cellStyle name="Comma 4 2 2 5 4 4" xfId="6184" xr:uid="{00000000-0005-0000-0000-00009C1B0000}"/>
    <cellStyle name="Comma 4 2 2 5 5" xfId="2837" xr:uid="{00000000-0005-0000-0000-00009D1B0000}"/>
    <cellStyle name="Comma 4 2 2 5 5 2" xfId="9988" xr:uid="{00000000-0005-0000-0000-00009E1B0000}"/>
    <cellStyle name="Comma 4 2 2 5 6" xfId="9979" xr:uid="{00000000-0005-0000-0000-00009F1B0000}"/>
    <cellStyle name="Comma 4 2 2 5 7" xfId="6180" xr:uid="{00000000-0005-0000-0000-0000A01B0000}"/>
    <cellStyle name="Comma 4 2 2 6" xfId="2838" xr:uid="{00000000-0005-0000-0000-0000A11B0000}"/>
    <cellStyle name="Comma 4 2 2 6 2" xfId="2839" xr:uid="{00000000-0005-0000-0000-0000A21B0000}"/>
    <cellStyle name="Comma 4 2 2 6 2 2" xfId="2840" xr:uid="{00000000-0005-0000-0000-0000A31B0000}"/>
    <cellStyle name="Comma 4 2 2 6 2 2 2" xfId="2841" xr:uid="{00000000-0005-0000-0000-0000A41B0000}"/>
    <cellStyle name="Comma 4 2 2 6 2 2 2 2" xfId="9992" xr:uid="{00000000-0005-0000-0000-0000A51B0000}"/>
    <cellStyle name="Comma 4 2 2 6 2 2 3" xfId="9991" xr:uid="{00000000-0005-0000-0000-0000A61B0000}"/>
    <cellStyle name="Comma 4 2 2 6 2 2 4" xfId="6187" xr:uid="{00000000-0005-0000-0000-0000A71B0000}"/>
    <cellStyle name="Comma 4 2 2 6 2 3" xfId="2842" xr:uid="{00000000-0005-0000-0000-0000A81B0000}"/>
    <cellStyle name="Comma 4 2 2 6 2 3 2" xfId="9993" xr:uid="{00000000-0005-0000-0000-0000A91B0000}"/>
    <cellStyle name="Comma 4 2 2 6 2 4" xfId="9990" xr:uid="{00000000-0005-0000-0000-0000AA1B0000}"/>
    <cellStyle name="Comma 4 2 2 6 2 5" xfId="6186" xr:uid="{00000000-0005-0000-0000-0000AB1B0000}"/>
    <cellStyle name="Comma 4 2 2 6 3" xfId="2843" xr:uid="{00000000-0005-0000-0000-0000AC1B0000}"/>
    <cellStyle name="Comma 4 2 2 6 3 2" xfId="2844" xr:uid="{00000000-0005-0000-0000-0000AD1B0000}"/>
    <cellStyle name="Comma 4 2 2 6 3 2 2" xfId="9995" xr:uid="{00000000-0005-0000-0000-0000AE1B0000}"/>
    <cellStyle name="Comma 4 2 2 6 3 3" xfId="9994" xr:uid="{00000000-0005-0000-0000-0000AF1B0000}"/>
    <cellStyle name="Comma 4 2 2 6 3 4" xfId="6188" xr:uid="{00000000-0005-0000-0000-0000B01B0000}"/>
    <cellStyle name="Comma 4 2 2 6 4" xfId="2845" xr:uid="{00000000-0005-0000-0000-0000B11B0000}"/>
    <cellStyle name="Comma 4 2 2 6 4 2" xfId="2846" xr:uid="{00000000-0005-0000-0000-0000B21B0000}"/>
    <cellStyle name="Comma 4 2 2 6 4 2 2" xfId="9997" xr:uid="{00000000-0005-0000-0000-0000B31B0000}"/>
    <cellStyle name="Comma 4 2 2 6 4 3" xfId="9996" xr:uid="{00000000-0005-0000-0000-0000B41B0000}"/>
    <cellStyle name="Comma 4 2 2 6 4 4" xfId="6189" xr:uid="{00000000-0005-0000-0000-0000B51B0000}"/>
    <cellStyle name="Comma 4 2 2 6 5" xfId="2847" xr:uid="{00000000-0005-0000-0000-0000B61B0000}"/>
    <cellStyle name="Comma 4 2 2 6 5 2" xfId="9998" xr:uid="{00000000-0005-0000-0000-0000B71B0000}"/>
    <cellStyle name="Comma 4 2 2 6 6" xfId="9989" xr:uid="{00000000-0005-0000-0000-0000B81B0000}"/>
    <cellStyle name="Comma 4 2 2 6 7" xfId="6185" xr:uid="{00000000-0005-0000-0000-0000B91B0000}"/>
    <cellStyle name="Comma 4 2 2 7" xfId="2848" xr:uid="{00000000-0005-0000-0000-0000BA1B0000}"/>
    <cellStyle name="Comma 4 2 2 7 2" xfId="2849" xr:uid="{00000000-0005-0000-0000-0000BB1B0000}"/>
    <cellStyle name="Comma 4 2 2 7 2 2" xfId="2850" xr:uid="{00000000-0005-0000-0000-0000BC1B0000}"/>
    <cellStyle name="Comma 4 2 2 7 2 2 2" xfId="10001" xr:uid="{00000000-0005-0000-0000-0000BD1B0000}"/>
    <cellStyle name="Comma 4 2 2 7 2 3" xfId="10000" xr:uid="{00000000-0005-0000-0000-0000BE1B0000}"/>
    <cellStyle name="Comma 4 2 2 7 2 4" xfId="6191" xr:uid="{00000000-0005-0000-0000-0000BF1B0000}"/>
    <cellStyle name="Comma 4 2 2 7 3" xfId="2851" xr:uid="{00000000-0005-0000-0000-0000C01B0000}"/>
    <cellStyle name="Comma 4 2 2 7 3 2" xfId="2852" xr:uid="{00000000-0005-0000-0000-0000C11B0000}"/>
    <cellStyle name="Comma 4 2 2 7 3 2 2" xfId="10003" xr:uid="{00000000-0005-0000-0000-0000C21B0000}"/>
    <cellStyle name="Comma 4 2 2 7 3 3" xfId="10002" xr:uid="{00000000-0005-0000-0000-0000C31B0000}"/>
    <cellStyle name="Comma 4 2 2 7 3 4" xfId="6192" xr:uid="{00000000-0005-0000-0000-0000C41B0000}"/>
    <cellStyle name="Comma 4 2 2 7 4" xfId="2853" xr:uid="{00000000-0005-0000-0000-0000C51B0000}"/>
    <cellStyle name="Comma 4 2 2 7 4 2" xfId="10004" xr:uid="{00000000-0005-0000-0000-0000C61B0000}"/>
    <cellStyle name="Comma 4 2 2 7 5" xfId="9999" xr:uid="{00000000-0005-0000-0000-0000C71B0000}"/>
    <cellStyle name="Comma 4 2 2 7 6" xfId="6190" xr:uid="{00000000-0005-0000-0000-0000C81B0000}"/>
    <cellStyle name="Comma 4 2 2 8" xfId="2854" xr:uid="{00000000-0005-0000-0000-0000C91B0000}"/>
    <cellStyle name="Comma 4 2 2 8 2" xfId="2855" xr:uid="{00000000-0005-0000-0000-0000CA1B0000}"/>
    <cellStyle name="Comma 4 2 2 8 2 2" xfId="2856" xr:uid="{00000000-0005-0000-0000-0000CB1B0000}"/>
    <cellStyle name="Comma 4 2 2 8 2 2 2" xfId="10007" xr:uid="{00000000-0005-0000-0000-0000CC1B0000}"/>
    <cellStyle name="Comma 4 2 2 8 2 3" xfId="10006" xr:uid="{00000000-0005-0000-0000-0000CD1B0000}"/>
    <cellStyle name="Comma 4 2 2 8 2 4" xfId="6194" xr:uid="{00000000-0005-0000-0000-0000CE1B0000}"/>
    <cellStyle name="Comma 4 2 2 8 3" xfId="2857" xr:uid="{00000000-0005-0000-0000-0000CF1B0000}"/>
    <cellStyle name="Comma 4 2 2 8 3 2" xfId="10008" xr:uid="{00000000-0005-0000-0000-0000D01B0000}"/>
    <cellStyle name="Comma 4 2 2 8 4" xfId="10005" xr:uid="{00000000-0005-0000-0000-0000D11B0000}"/>
    <cellStyle name="Comma 4 2 2 8 5" xfId="6193" xr:uid="{00000000-0005-0000-0000-0000D21B0000}"/>
    <cellStyle name="Comma 4 2 2 9" xfId="2858" xr:uid="{00000000-0005-0000-0000-0000D31B0000}"/>
    <cellStyle name="Comma 4 2 2 9 2" xfId="2859" xr:uid="{00000000-0005-0000-0000-0000D41B0000}"/>
    <cellStyle name="Comma 4 2 2 9 2 2" xfId="10010" xr:uid="{00000000-0005-0000-0000-0000D51B0000}"/>
    <cellStyle name="Comma 4 2 2 9 3" xfId="10009" xr:uid="{00000000-0005-0000-0000-0000D61B0000}"/>
    <cellStyle name="Comma 4 2 2 9 4" xfId="6195" xr:uid="{00000000-0005-0000-0000-0000D71B0000}"/>
    <cellStyle name="Comma 4 2 20" xfId="12353" xr:uid="{00000000-0005-0000-0000-0000D81B0000}"/>
    <cellStyle name="Comma 4 2 3" xfId="2860" xr:uid="{00000000-0005-0000-0000-0000D91B0000}"/>
    <cellStyle name="Comma 4 2 3 10" xfId="2861" xr:uid="{00000000-0005-0000-0000-0000DA1B0000}"/>
    <cellStyle name="Comma 4 2 3 10 2" xfId="2862" xr:uid="{00000000-0005-0000-0000-0000DB1B0000}"/>
    <cellStyle name="Comma 4 2 3 10 2 2" xfId="10013" xr:uid="{00000000-0005-0000-0000-0000DC1B0000}"/>
    <cellStyle name="Comma 4 2 3 10 3" xfId="10012" xr:uid="{00000000-0005-0000-0000-0000DD1B0000}"/>
    <cellStyle name="Comma 4 2 3 10 4" xfId="6197" xr:uid="{00000000-0005-0000-0000-0000DE1B0000}"/>
    <cellStyle name="Comma 4 2 3 11" xfId="2863" xr:uid="{00000000-0005-0000-0000-0000DF1B0000}"/>
    <cellStyle name="Comma 4 2 3 11 2" xfId="10014" xr:uid="{00000000-0005-0000-0000-0000E01B0000}"/>
    <cellStyle name="Comma 4 2 3 12" xfId="10011" xr:uid="{00000000-0005-0000-0000-0000E11B0000}"/>
    <cellStyle name="Comma 4 2 3 13" xfId="6196" xr:uid="{00000000-0005-0000-0000-0000E21B0000}"/>
    <cellStyle name="Comma 4 2 3 14" xfId="12348" xr:uid="{00000000-0005-0000-0000-0000E31B0000}"/>
    <cellStyle name="Comma 4 2 3 15" xfId="12363" xr:uid="{00000000-0005-0000-0000-0000E41B0000}"/>
    <cellStyle name="Comma 4 2 3 2" xfId="2864" xr:uid="{00000000-0005-0000-0000-0000E51B0000}"/>
    <cellStyle name="Comma 4 2 3 2 10" xfId="2865" xr:uid="{00000000-0005-0000-0000-0000E61B0000}"/>
    <cellStyle name="Comma 4 2 3 2 10 2" xfId="10016" xr:uid="{00000000-0005-0000-0000-0000E71B0000}"/>
    <cellStyle name="Comma 4 2 3 2 11" xfId="10015" xr:uid="{00000000-0005-0000-0000-0000E81B0000}"/>
    <cellStyle name="Comma 4 2 3 2 12" xfId="6198" xr:uid="{00000000-0005-0000-0000-0000E91B0000}"/>
    <cellStyle name="Comma 4 2 3 2 2" xfId="2866" xr:uid="{00000000-0005-0000-0000-0000EA1B0000}"/>
    <cellStyle name="Comma 4 2 3 2 2 2" xfId="2867" xr:uid="{00000000-0005-0000-0000-0000EB1B0000}"/>
    <cellStyle name="Comma 4 2 3 2 2 2 2" xfId="2868" xr:uid="{00000000-0005-0000-0000-0000EC1B0000}"/>
    <cellStyle name="Comma 4 2 3 2 2 2 2 2" xfId="2869" xr:uid="{00000000-0005-0000-0000-0000ED1B0000}"/>
    <cellStyle name="Comma 4 2 3 2 2 2 2 2 2" xfId="10020" xr:uid="{00000000-0005-0000-0000-0000EE1B0000}"/>
    <cellStyle name="Comma 4 2 3 2 2 2 2 3" xfId="10019" xr:uid="{00000000-0005-0000-0000-0000EF1B0000}"/>
    <cellStyle name="Comma 4 2 3 2 2 2 2 4" xfId="6201" xr:uid="{00000000-0005-0000-0000-0000F01B0000}"/>
    <cellStyle name="Comma 4 2 3 2 2 2 3" xfId="2870" xr:uid="{00000000-0005-0000-0000-0000F11B0000}"/>
    <cellStyle name="Comma 4 2 3 2 2 2 3 2" xfId="10021" xr:uid="{00000000-0005-0000-0000-0000F21B0000}"/>
    <cellStyle name="Comma 4 2 3 2 2 2 4" xfId="10018" xr:uid="{00000000-0005-0000-0000-0000F31B0000}"/>
    <cellStyle name="Comma 4 2 3 2 2 2 5" xfId="6200" xr:uid="{00000000-0005-0000-0000-0000F41B0000}"/>
    <cellStyle name="Comma 4 2 3 2 2 3" xfId="2871" xr:uid="{00000000-0005-0000-0000-0000F51B0000}"/>
    <cellStyle name="Comma 4 2 3 2 2 3 2" xfId="2872" xr:uid="{00000000-0005-0000-0000-0000F61B0000}"/>
    <cellStyle name="Comma 4 2 3 2 2 3 2 2" xfId="10023" xr:uid="{00000000-0005-0000-0000-0000F71B0000}"/>
    <cellStyle name="Comma 4 2 3 2 2 3 3" xfId="10022" xr:uid="{00000000-0005-0000-0000-0000F81B0000}"/>
    <cellStyle name="Comma 4 2 3 2 2 3 4" xfId="6202" xr:uid="{00000000-0005-0000-0000-0000F91B0000}"/>
    <cellStyle name="Comma 4 2 3 2 2 4" xfId="2873" xr:uid="{00000000-0005-0000-0000-0000FA1B0000}"/>
    <cellStyle name="Comma 4 2 3 2 2 4 2" xfId="2874" xr:uid="{00000000-0005-0000-0000-0000FB1B0000}"/>
    <cellStyle name="Comma 4 2 3 2 2 4 2 2" xfId="10025" xr:uid="{00000000-0005-0000-0000-0000FC1B0000}"/>
    <cellStyle name="Comma 4 2 3 2 2 4 3" xfId="10024" xr:uid="{00000000-0005-0000-0000-0000FD1B0000}"/>
    <cellStyle name="Comma 4 2 3 2 2 4 4" xfId="6203" xr:uid="{00000000-0005-0000-0000-0000FE1B0000}"/>
    <cellStyle name="Comma 4 2 3 2 2 5" xfId="2875" xr:uid="{00000000-0005-0000-0000-0000FF1B0000}"/>
    <cellStyle name="Comma 4 2 3 2 2 5 2" xfId="10026" xr:uid="{00000000-0005-0000-0000-0000001C0000}"/>
    <cellStyle name="Comma 4 2 3 2 2 6" xfId="10017" xr:uid="{00000000-0005-0000-0000-0000011C0000}"/>
    <cellStyle name="Comma 4 2 3 2 2 7" xfId="6199" xr:uid="{00000000-0005-0000-0000-0000021C0000}"/>
    <cellStyle name="Comma 4 2 3 2 3" xfId="2876" xr:uid="{00000000-0005-0000-0000-0000031C0000}"/>
    <cellStyle name="Comma 4 2 3 2 3 2" xfId="2877" xr:uid="{00000000-0005-0000-0000-0000041C0000}"/>
    <cellStyle name="Comma 4 2 3 2 3 2 2" xfId="2878" xr:uid="{00000000-0005-0000-0000-0000051C0000}"/>
    <cellStyle name="Comma 4 2 3 2 3 2 2 2" xfId="2879" xr:uid="{00000000-0005-0000-0000-0000061C0000}"/>
    <cellStyle name="Comma 4 2 3 2 3 2 2 2 2" xfId="10030" xr:uid="{00000000-0005-0000-0000-0000071C0000}"/>
    <cellStyle name="Comma 4 2 3 2 3 2 2 3" xfId="10029" xr:uid="{00000000-0005-0000-0000-0000081C0000}"/>
    <cellStyle name="Comma 4 2 3 2 3 2 2 4" xfId="6206" xr:uid="{00000000-0005-0000-0000-0000091C0000}"/>
    <cellStyle name="Comma 4 2 3 2 3 2 3" xfId="2880" xr:uid="{00000000-0005-0000-0000-00000A1C0000}"/>
    <cellStyle name="Comma 4 2 3 2 3 2 3 2" xfId="10031" xr:uid="{00000000-0005-0000-0000-00000B1C0000}"/>
    <cellStyle name="Comma 4 2 3 2 3 2 4" xfId="10028" xr:uid="{00000000-0005-0000-0000-00000C1C0000}"/>
    <cellStyle name="Comma 4 2 3 2 3 2 5" xfId="6205" xr:uid="{00000000-0005-0000-0000-00000D1C0000}"/>
    <cellStyle name="Comma 4 2 3 2 3 3" xfId="2881" xr:uid="{00000000-0005-0000-0000-00000E1C0000}"/>
    <cellStyle name="Comma 4 2 3 2 3 3 2" xfId="2882" xr:uid="{00000000-0005-0000-0000-00000F1C0000}"/>
    <cellStyle name="Comma 4 2 3 2 3 3 2 2" xfId="10033" xr:uid="{00000000-0005-0000-0000-0000101C0000}"/>
    <cellStyle name="Comma 4 2 3 2 3 3 3" xfId="10032" xr:uid="{00000000-0005-0000-0000-0000111C0000}"/>
    <cellStyle name="Comma 4 2 3 2 3 3 4" xfId="6207" xr:uid="{00000000-0005-0000-0000-0000121C0000}"/>
    <cellStyle name="Comma 4 2 3 2 3 4" xfId="2883" xr:uid="{00000000-0005-0000-0000-0000131C0000}"/>
    <cellStyle name="Comma 4 2 3 2 3 4 2" xfId="2884" xr:uid="{00000000-0005-0000-0000-0000141C0000}"/>
    <cellStyle name="Comma 4 2 3 2 3 4 2 2" xfId="10035" xr:uid="{00000000-0005-0000-0000-0000151C0000}"/>
    <cellStyle name="Comma 4 2 3 2 3 4 3" xfId="10034" xr:uid="{00000000-0005-0000-0000-0000161C0000}"/>
    <cellStyle name="Comma 4 2 3 2 3 4 4" xfId="6208" xr:uid="{00000000-0005-0000-0000-0000171C0000}"/>
    <cellStyle name="Comma 4 2 3 2 3 5" xfId="2885" xr:uid="{00000000-0005-0000-0000-0000181C0000}"/>
    <cellStyle name="Comma 4 2 3 2 3 5 2" xfId="10036" xr:uid="{00000000-0005-0000-0000-0000191C0000}"/>
    <cellStyle name="Comma 4 2 3 2 3 6" xfId="10027" xr:uid="{00000000-0005-0000-0000-00001A1C0000}"/>
    <cellStyle name="Comma 4 2 3 2 3 7" xfId="6204" xr:uid="{00000000-0005-0000-0000-00001B1C0000}"/>
    <cellStyle name="Comma 4 2 3 2 4" xfId="2886" xr:uid="{00000000-0005-0000-0000-00001C1C0000}"/>
    <cellStyle name="Comma 4 2 3 2 4 2" xfId="2887" xr:uid="{00000000-0005-0000-0000-00001D1C0000}"/>
    <cellStyle name="Comma 4 2 3 2 4 2 2" xfId="2888" xr:uid="{00000000-0005-0000-0000-00001E1C0000}"/>
    <cellStyle name="Comma 4 2 3 2 4 2 2 2" xfId="2889" xr:uid="{00000000-0005-0000-0000-00001F1C0000}"/>
    <cellStyle name="Comma 4 2 3 2 4 2 2 2 2" xfId="10040" xr:uid="{00000000-0005-0000-0000-0000201C0000}"/>
    <cellStyle name="Comma 4 2 3 2 4 2 2 3" xfId="10039" xr:uid="{00000000-0005-0000-0000-0000211C0000}"/>
    <cellStyle name="Comma 4 2 3 2 4 2 2 4" xfId="6211" xr:uid="{00000000-0005-0000-0000-0000221C0000}"/>
    <cellStyle name="Comma 4 2 3 2 4 2 3" xfId="2890" xr:uid="{00000000-0005-0000-0000-0000231C0000}"/>
    <cellStyle name="Comma 4 2 3 2 4 2 3 2" xfId="10041" xr:uid="{00000000-0005-0000-0000-0000241C0000}"/>
    <cellStyle name="Comma 4 2 3 2 4 2 4" xfId="10038" xr:uid="{00000000-0005-0000-0000-0000251C0000}"/>
    <cellStyle name="Comma 4 2 3 2 4 2 5" xfId="6210" xr:uid="{00000000-0005-0000-0000-0000261C0000}"/>
    <cellStyle name="Comma 4 2 3 2 4 3" xfId="2891" xr:uid="{00000000-0005-0000-0000-0000271C0000}"/>
    <cellStyle name="Comma 4 2 3 2 4 3 2" xfId="2892" xr:uid="{00000000-0005-0000-0000-0000281C0000}"/>
    <cellStyle name="Comma 4 2 3 2 4 3 2 2" xfId="10043" xr:uid="{00000000-0005-0000-0000-0000291C0000}"/>
    <cellStyle name="Comma 4 2 3 2 4 3 3" xfId="10042" xr:uid="{00000000-0005-0000-0000-00002A1C0000}"/>
    <cellStyle name="Comma 4 2 3 2 4 3 4" xfId="6212" xr:uid="{00000000-0005-0000-0000-00002B1C0000}"/>
    <cellStyle name="Comma 4 2 3 2 4 4" xfId="2893" xr:uid="{00000000-0005-0000-0000-00002C1C0000}"/>
    <cellStyle name="Comma 4 2 3 2 4 4 2" xfId="2894" xr:uid="{00000000-0005-0000-0000-00002D1C0000}"/>
    <cellStyle name="Comma 4 2 3 2 4 4 2 2" xfId="10045" xr:uid="{00000000-0005-0000-0000-00002E1C0000}"/>
    <cellStyle name="Comma 4 2 3 2 4 4 3" xfId="10044" xr:uid="{00000000-0005-0000-0000-00002F1C0000}"/>
    <cellStyle name="Comma 4 2 3 2 4 4 4" xfId="6213" xr:uid="{00000000-0005-0000-0000-0000301C0000}"/>
    <cellStyle name="Comma 4 2 3 2 4 5" xfId="2895" xr:uid="{00000000-0005-0000-0000-0000311C0000}"/>
    <cellStyle name="Comma 4 2 3 2 4 5 2" xfId="10046" xr:uid="{00000000-0005-0000-0000-0000321C0000}"/>
    <cellStyle name="Comma 4 2 3 2 4 6" xfId="10037" xr:uid="{00000000-0005-0000-0000-0000331C0000}"/>
    <cellStyle name="Comma 4 2 3 2 4 7" xfId="6209" xr:uid="{00000000-0005-0000-0000-0000341C0000}"/>
    <cellStyle name="Comma 4 2 3 2 5" xfId="2896" xr:uid="{00000000-0005-0000-0000-0000351C0000}"/>
    <cellStyle name="Comma 4 2 3 2 5 2" xfId="2897" xr:uid="{00000000-0005-0000-0000-0000361C0000}"/>
    <cellStyle name="Comma 4 2 3 2 5 2 2" xfId="2898" xr:uid="{00000000-0005-0000-0000-0000371C0000}"/>
    <cellStyle name="Comma 4 2 3 2 5 2 2 2" xfId="2899" xr:uid="{00000000-0005-0000-0000-0000381C0000}"/>
    <cellStyle name="Comma 4 2 3 2 5 2 2 2 2" xfId="10050" xr:uid="{00000000-0005-0000-0000-0000391C0000}"/>
    <cellStyle name="Comma 4 2 3 2 5 2 2 3" xfId="10049" xr:uid="{00000000-0005-0000-0000-00003A1C0000}"/>
    <cellStyle name="Comma 4 2 3 2 5 2 2 4" xfId="6216" xr:uid="{00000000-0005-0000-0000-00003B1C0000}"/>
    <cellStyle name="Comma 4 2 3 2 5 2 3" xfId="2900" xr:uid="{00000000-0005-0000-0000-00003C1C0000}"/>
    <cellStyle name="Comma 4 2 3 2 5 2 3 2" xfId="10051" xr:uid="{00000000-0005-0000-0000-00003D1C0000}"/>
    <cellStyle name="Comma 4 2 3 2 5 2 4" xfId="10048" xr:uid="{00000000-0005-0000-0000-00003E1C0000}"/>
    <cellStyle name="Comma 4 2 3 2 5 2 5" xfId="6215" xr:uid="{00000000-0005-0000-0000-00003F1C0000}"/>
    <cellStyle name="Comma 4 2 3 2 5 3" xfId="2901" xr:uid="{00000000-0005-0000-0000-0000401C0000}"/>
    <cellStyle name="Comma 4 2 3 2 5 3 2" xfId="2902" xr:uid="{00000000-0005-0000-0000-0000411C0000}"/>
    <cellStyle name="Comma 4 2 3 2 5 3 2 2" xfId="10053" xr:uid="{00000000-0005-0000-0000-0000421C0000}"/>
    <cellStyle name="Comma 4 2 3 2 5 3 3" xfId="10052" xr:uid="{00000000-0005-0000-0000-0000431C0000}"/>
    <cellStyle name="Comma 4 2 3 2 5 3 4" xfId="6217" xr:uid="{00000000-0005-0000-0000-0000441C0000}"/>
    <cellStyle name="Comma 4 2 3 2 5 4" xfId="2903" xr:uid="{00000000-0005-0000-0000-0000451C0000}"/>
    <cellStyle name="Comma 4 2 3 2 5 4 2" xfId="2904" xr:uid="{00000000-0005-0000-0000-0000461C0000}"/>
    <cellStyle name="Comma 4 2 3 2 5 4 2 2" xfId="10055" xr:uid="{00000000-0005-0000-0000-0000471C0000}"/>
    <cellStyle name="Comma 4 2 3 2 5 4 3" xfId="10054" xr:uid="{00000000-0005-0000-0000-0000481C0000}"/>
    <cellStyle name="Comma 4 2 3 2 5 4 4" xfId="6218" xr:uid="{00000000-0005-0000-0000-0000491C0000}"/>
    <cellStyle name="Comma 4 2 3 2 5 5" xfId="2905" xr:uid="{00000000-0005-0000-0000-00004A1C0000}"/>
    <cellStyle name="Comma 4 2 3 2 5 5 2" xfId="10056" xr:uid="{00000000-0005-0000-0000-00004B1C0000}"/>
    <cellStyle name="Comma 4 2 3 2 5 6" xfId="10047" xr:uid="{00000000-0005-0000-0000-00004C1C0000}"/>
    <cellStyle name="Comma 4 2 3 2 5 7" xfId="6214" xr:uid="{00000000-0005-0000-0000-00004D1C0000}"/>
    <cellStyle name="Comma 4 2 3 2 6" xfId="2906" xr:uid="{00000000-0005-0000-0000-00004E1C0000}"/>
    <cellStyle name="Comma 4 2 3 2 6 2" xfId="2907" xr:uid="{00000000-0005-0000-0000-00004F1C0000}"/>
    <cellStyle name="Comma 4 2 3 2 6 2 2" xfId="2908" xr:uid="{00000000-0005-0000-0000-0000501C0000}"/>
    <cellStyle name="Comma 4 2 3 2 6 2 2 2" xfId="10059" xr:uid="{00000000-0005-0000-0000-0000511C0000}"/>
    <cellStyle name="Comma 4 2 3 2 6 2 3" xfId="10058" xr:uid="{00000000-0005-0000-0000-0000521C0000}"/>
    <cellStyle name="Comma 4 2 3 2 6 2 4" xfId="6220" xr:uid="{00000000-0005-0000-0000-0000531C0000}"/>
    <cellStyle name="Comma 4 2 3 2 6 3" xfId="2909" xr:uid="{00000000-0005-0000-0000-0000541C0000}"/>
    <cellStyle name="Comma 4 2 3 2 6 3 2" xfId="2910" xr:uid="{00000000-0005-0000-0000-0000551C0000}"/>
    <cellStyle name="Comma 4 2 3 2 6 3 2 2" xfId="10061" xr:uid="{00000000-0005-0000-0000-0000561C0000}"/>
    <cellStyle name="Comma 4 2 3 2 6 3 3" xfId="10060" xr:uid="{00000000-0005-0000-0000-0000571C0000}"/>
    <cellStyle name="Comma 4 2 3 2 6 3 4" xfId="6221" xr:uid="{00000000-0005-0000-0000-0000581C0000}"/>
    <cellStyle name="Comma 4 2 3 2 6 4" xfId="2911" xr:uid="{00000000-0005-0000-0000-0000591C0000}"/>
    <cellStyle name="Comma 4 2 3 2 6 4 2" xfId="10062" xr:uid="{00000000-0005-0000-0000-00005A1C0000}"/>
    <cellStyle name="Comma 4 2 3 2 6 5" xfId="10057" xr:uid="{00000000-0005-0000-0000-00005B1C0000}"/>
    <cellStyle name="Comma 4 2 3 2 6 6" xfId="6219" xr:uid="{00000000-0005-0000-0000-00005C1C0000}"/>
    <cellStyle name="Comma 4 2 3 2 7" xfId="2912" xr:uid="{00000000-0005-0000-0000-00005D1C0000}"/>
    <cellStyle name="Comma 4 2 3 2 7 2" xfId="2913" xr:uid="{00000000-0005-0000-0000-00005E1C0000}"/>
    <cellStyle name="Comma 4 2 3 2 7 2 2" xfId="2914" xr:uid="{00000000-0005-0000-0000-00005F1C0000}"/>
    <cellStyle name="Comma 4 2 3 2 7 2 2 2" xfId="10065" xr:uid="{00000000-0005-0000-0000-0000601C0000}"/>
    <cellStyle name="Comma 4 2 3 2 7 2 3" xfId="10064" xr:uid="{00000000-0005-0000-0000-0000611C0000}"/>
    <cellStyle name="Comma 4 2 3 2 7 2 4" xfId="6223" xr:uid="{00000000-0005-0000-0000-0000621C0000}"/>
    <cellStyle name="Comma 4 2 3 2 7 3" xfId="2915" xr:uid="{00000000-0005-0000-0000-0000631C0000}"/>
    <cellStyle name="Comma 4 2 3 2 7 3 2" xfId="10066" xr:uid="{00000000-0005-0000-0000-0000641C0000}"/>
    <cellStyle name="Comma 4 2 3 2 7 4" xfId="10063" xr:uid="{00000000-0005-0000-0000-0000651C0000}"/>
    <cellStyle name="Comma 4 2 3 2 7 5" xfId="6222" xr:uid="{00000000-0005-0000-0000-0000661C0000}"/>
    <cellStyle name="Comma 4 2 3 2 8" xfId="2916" xr:uid="{00000000-0005-0000-0000-0000671C0000}"/>
    <cellStyle name="Comma 4 2 3 2 8 2" xfId="2917" xr:uid="{00000000-0005-0000-0000-0000681C0000}"/>
    <cellStyle name="Comma 4 2 3 2 8 2 2" xfId="10068" xr:uid="{00000000-0005-0000-0000-0000691C0000}"/>
    <cellStyle name="Comma 4 2 3 2 8 3" xfId="10067" xr:uid="{00000000-0005-0000-0000-00006A1C0000}"/>
    <cellStyle name="Comma 4 2 3 2 8 4" xfId="6224" xr:uid="{00000000-0005-0000-0000-00006B1C0000}"/>
    <cellStyle name="Comma 4 2 3 2 9" xfId="2918" xr:uid="{00000000-0005-0000-0000-00006C1C0000}"/>
    <cellStyle name="Comma 4 2 3 2 9 2" xfId="2919" xr:uid="{00000000-0005-0000-0000-00006D1C0000}"/>
    <cellStyle name="Comma 4 2 3 2 9 2 2" xfId="10070" xr:uid="{00000000-0005-0000-0000-00006E1C0000}"/>
    <cellStyle name="Comma 4 2 3 2 9 3" xfId="10069" xr:uid="{00000000-0005-0000-0000-00006F1C0000}"/>
    <cellStyle name="Comma 4 2 3 2 9 4" xfId="6225" xr:uid="{00000000-0005-0000-0000-0000701C0000}"/>
    <cellStyle name="Comma 4 2 3 3" xfId="2920" xr:uid="{00000000-0005-0000-0000-0000711C0000}"/>
    <cellStyle name="Comma 4 2 3 3 2" xfId="2921" xr:uid="{00000000-0005-0000-0000-0000721C0000}"/>
    <cellStyle name="Comma 4 2 3 3 2 2" xfId="2922" xr:uid="{00000000-0005-0000-0000-0000731C0000}"/>
    <cellStyle name="Comma 4 2 3 3 2 2 2" xfId="2923" xr:uid="{00000000-0005-0000-0000-0000741C0000}"/>
    <cellStyle name="Comma 4 2 3 3 2 2 2 2" xfId="10074" xr:uid="{00000000-0005-0000-0000-0000751C0000}"/>
    <cellStyle name="Comma 4 2 3 3 2 2 3" xfId="10073" xr:uid="{00000000-0005-0000-0000-0000761C0000}"/>
    <cellStyle name="Comma 4 2 3 3 2 2 4" xfId="6228" xr:uid="{00000000-0005-0000-0000-0000771C0000}"/>
    <cellStyle name="Comma 4 2 3 3 2 3" xfId="2924" xr:uid="{00000000-0005-0000-0000-0000781C0000}"/>
    <cellStyle name="Comma 4 2 3 3 2 3 2" xfId="10075" xr:uid="{00000000-0005-0000-0000-0000791C0000}"/>
    <cellStyle name="Comma 4 2 3 3 2 4" xfId="10072" xr:uid="{00000000-0005-0000-0000-00007A1C0000}"/>
    <cellStyle name="Comma 4 2 3 3 2 5" xfId="6227" xr:uid="{00000000-0005-0000-0000-00007B1C0000}"/>
    <cellStyle name="Comma 4 2 3 3 3" xfId="2925" xr:uid="{00000000-0005-0000-0000-00007C1C0000}"/>
    <cellStyle name="Comma 4 2 3 3 3 2" xfId="2926" xr:uid="{00000000-0005-0000-0000-00007D1C0000}"/>
    <cellStyle name="Comma 4 2 3 3 3 2 2" xfId="10077" xr:uid="{00000000-0005-0000-0000-00007E1C0000}"/>
    <cellStyle name="Comma 4 2 3 3 3 3" xfId="10076" xr:uid="{00000000-0005-0000-0000-00007F1C0000}"/>
    <cellStyle name="Comma 4 2 3 3 3 4" xfId="6229" xr:uid="{00000000-0005-0000-0000-0000801C0000}"/>
    <cellStyle name="Comma 4 2 3 3 4" xfId="2927" xr:uid="{00000000-0005-0000-0000-0000811C0000}"/>
    <cellStyle name="Comma 4 2 3 3 4 2" xfId="2928" xr:uid="{00000000-0005-0000-0000-0000821C0000}"/>
    <cellStyle name="Comma 4 2 3 3 4 2 2" xfId="10079" xr:uid="{00000000-0005-0000-0000-0000831C0000}"/>
    <cellStyle name="Comma 4 2 3 3 4 3" xfId="10078" xr:uid="{00000000-0005-0000-0000-0000841C0000}"/>
    <cellStyle name="Comma 4 2 3 3 4 4" xfId="6230" xr:uid="{00000000-0005-0000-0000-0000851C0000}"/>
    <cellStyle name="Comma 4 2 3 3 5" xfId="2929" xr:uid="{00000000-0005-0000-0000-0000861C0000}"/>
    <cellStyle name="Comma 4 2 3 3 5 2" xfId="10080" xr:uid="{00000000-0005-0000-0000-0000871C0000}"/>
    <cellStyle name="Comma 4 2 3 3 6" xfId="10071" xr:uid="{00000000-0005-0000-0000-0000881C0000}"/>
    <cellStyle name="Comma 4 2 3 3 7" xfId="6226" xr:uid="{00000000-0005-0000-0000-0000891C0000}"/>
    <cellStyle name="Comma 4 2 3 4" xfId="2930" xr:uid="{00000000-0005-0000-0000-00008A1C0000}"/>
    <cellStyle name="Comma 4 2 3 4 2" xfId="2931" xr:uid="{00000000-0005-0000-0000-00008B1C0000}"/>
    <cellStyle name="Comma 4 2 3 4 2 2" xfId="2932" xr:uid="{00000000-0005-0000-0000-00008C1C0000}"/>
    <cellStyle name="Comma 4 2 3 4 2 2 2" xfId="2933" xr:uid="{00000000-0005-0000-0000-00008D1C0000}"/>
    <cellStyle name="Comma 4 2 3 4 2 2 2 2" xfId="10084" xr:uid="{00000000-0005-0000-0000-00008E1C0000}"/>
    <cellStyle name="Comma 4 2 3 4 2 2 3" xfId="10083" xr:uid="{00000000-0005-0000-0000-00008F1C0000}"/>
    <cellStyle name="Comma 4 2 3 4 2 2 4" xfId="6233" xr:uid="{00000000-0005-0000-0000-0000901C0000}"/>
    <cellStyle name="Comma 4 2 3 4 2 3" xfId="2934" xr:uid="{00000000-0005-0000-0000-0000911C0000}"/>
    <cellStyle name="Comma 4 2 3 4 2 3 2" xfId="10085" xr:uid="{00000000-0005-0000-0000-0000921C0000}"/>
    <cellStyle name="Comma 4 2 3 4 2 4" xfId="10082" xr:uid="{00000000-0005-0000-0000-0000931C0000}"/>
    <cellStyle name="Comma 4 2 3 4 2 5" xfId="6232" xr:uid="{00000000-0005-0000-0000-0000941C0000}"/>
    <cellStyle name="Comma 4 2 3 4 3" xfId="2935" xr:uid="{00000000-0005-0000-0000-0000951C0000}"/>
    <cellStyle name="Comma 4 2 3 4 3 2" xfId="2936" xr:uid="{00000000-0005-0000-0000-0000961C0000}"/>
    <cellStyle name="Comma 4 2 3 4 3 2 2" xfId="10087" xr:uid="{00000000-0005-0000-0000-0000971C0000}"/>
    <cellStyle name="Comma 4 2 3 4 3 3" xfId="10086" xr:uid="{00000000-0005-0000-0000-0000981C0000}"/>
    <cellStyle name="Comma 4 2 3 4 3 4" xfId="6234" xr:uid="{00000000-0005-0000-0000-0000991C0000}"/>
    <cellStyle name="Comma 4 2 3 4 4" xfId="2937" xr:uid="{00000000-0005-0000-0000-00009A1C0000}"/>
    <cellStyle name="Comma 4 2 3 4 4 2" xfId="2938" xr:uid="{00000000-0005-0000-0000-00009B1C0000}"/>
    <cellStyle name="Comma 4 2 3 4 4 2 2" xfId="10089" xr:uid="{00000000-0005-0000-0000-00009C1C0000}"/>
    <cellStyle name="Comma 4 2 3 4 4 3" xfId="10088" xr:uid="{00000000-0005-0000-0000-00009D1C0000}"/>
    <cellStyle name="Comma 4 2 3 4 4 4" xfId="6235" xr:uid="{00000000-0005-0000-0000-00009E1C0000}"/>
    <cellStyle name="Comma 4 2 3 4 5" xfId="2939" xr:uid="{00000000-0005-0000-0000-00009F1C0000}"/>
    <cellStyle name="Comma 4 2 3 4 5 2" xfId="10090" xr:uid="{00000000-0005-0000-0000-0000A01C0000}"/>
    <cellStyle name="Comma 4 2 3 4 6" xfId="10081" xr:uid="{00000000-0005-0000-0000-0000A11C0000}"/>
    <cellStyle name="Comma 4 2 3 4 7" xfId="6231" xr:uid="{00000000-0005-0000-0000-0000A21C0000}"/>
    <cellStyle name="Comma 4 2 3 5" xfId="2940" xr:uid="{00000000-0005-0000-0000-0000A31C0000}"/>
    <cellStyle name="Comma 4 2 3 5 2" xfId="2941" xr:uid="{00000000-0005-0000-0000-0000A41C0000}"/>
    <cellStyle name="Comma 4 2 3 5 2 2" xfId="2942" xr:uid="{00000000-0005-0000-0000-0000A51C0000}"/>
    <cellStyle name="Comma 4 2 3 5 2 2 2" xfId="2943" xr:uid="{00000000-0005-0000-0000-0000A61C0000}"/>
    <cellStyle name="Comma 4 2 3 5 2 2 2 2" xfId="10094" xr:uid="{00000000-0005-0000-0000-0000A71C0000}"/>
    <cellStyle name="Comma 4 2 3 5 2 2 3" xfId="10093" xr:uid="{00000000-0005-0000-0000-0000A81C0000}"/>
    <cellStyle name="Comma 4 2 3 5 2 2 4" xfId="6238" xr:uid="{00000000-0005-0000-0000-0000A91C0000}"/>
    <cellStyle name="Comma 4 2 3 5 2 3" xfId="2944" xr:uid="{00000000-0005-0000-0000-0000AA1C0000}"/>
    <cellStyle name="Comma 4 2 3 5 2 3 2" xfId="10095" xr:uid="{00000000-0005-0000-0000-0000AB1C0000}"/>
    <cellStyle name="Comma 4 2 3 5 2 4" xfId="10092" xr:uid="{00000000-0005-0000-0000-0000AC1C0000}"/>
    <cellStyle name="Comma 4 2 3 5 2 5" xfId="6237" xr:uid="{00000000-0005-0000-0000-0000AD1C0000}"/>
    <cellStyle name="Comma 4 2 3 5 3" xfId="2945" xr:uid="{00000000-0005-0000-0000-0000AE1C0000}"/>
    <cellStyle name="Comma 4 2 3 5 3 2" xfId="2946" xr:uid="{00000000-0005-0000-0000-0000AF1C0000}"/>
    <cellStyle name="Comma 4 2 3 5 3 2 2" xfId="10097" xr:uid="{00000000-0005-0000-0000-0000B01C0000}"/>
    <cellStyle name="Comma 4 2 3 5 3 3" xfId="10096" xr:uid="{00000000-0005-0000-0000-0000B11C0000}"/>
    <cellStyle name="Comma 4 2 3 5 3 4" xfId="6239" xr:uid="{00000000-0005-0000-0000-0000B21C0000}"/>
    <cellStyle name="Comma 4 2 3 5 4" xfId="2947" xr:uid="{00000000-0005-0000-0000-0000B31C0000}"/>
    <cellStyle name="Comma 4 2 3 5 4 2" xfId="2948" xr:uid="{00000000-0005-0000-0000-0000B41C0000}"/>
    <cellStyle name="Comma 4 2 3 5 4 2 2" xfId="10099" xr:uid="{00000000-0005-0000-0000-0000B51C0000}"/>
    <cellStyle name="Comma 4 2 3 5 4 3" xfId="10098" xr:uid="{00000000-0005-0000-0000-0000B61C0000}"/>
    <cellStyle name="Comma 4 2 3 5 4 4" xfId="6240" xr:uid="{00000000-0005-0000-0000-0000B71C0000}"/>
    <cellStyle name="Comma 4 2 3 5 5" xfId="2949" xr:uid="{00000000-0005-0000-0000-0000B81C0000}"/>
    <cellStyle name="Comma 4 2 3 5 5 2" xfId="10100" xr:uid="{00000000-0005-0000-0000-0000B91C0000}"/>
    <cellStyle name="Comma 4 2 3 5 6" xfId="10091" xr:uid="{00000000-0005-0000-0000-0000BA1C0000}"/>
    <cellStyle name="Comma 4 2 3 5 7" xfId="6236" xr:uid="{00000000-0005-0000-0000-0000BB1C0000}"/>
    <cellStyle name="Comma 4 2 3 6" xfId="2950" xr:uid="{00000000-0005-0000-0000-0000BC1C0000}"/>
    <cellStyle name="Comma 4 2 3 6 2" xfId="2951" xr:uid="{00000000-0005-0000-0000-0000BD1C0000}"/>
    <cellStyle name="Comma 4 2 3 6 2 2" xfId="2952" xr:uid="{00000000-0005-0000-0000-0000BE1C0000}"/>
    <cellStyle name="Comma 4 2 3 6 2 2 2" xfId="2953" xr:uid="{00000000-0005-0000-0000-0000BF1C0000}"/>
    <cellStyle name="Comma 4 2 3 6 2 2 2 2" xfId="10104" xr:uid="{00000000-0005-0000-0000-0000C01C0000}"/>
    <cellStyle name="Comma 4 2 3 6 2 2 3" xfId="10103" xr:uid="{00000000-0005-0000-0000-0000C11C0000}"/>
    <cellStyle name="Comma 4 2 3 6 2 2 4" xfId="6243" xr:uid="{00000000-0005-0000-0000-0000C21C0000}"/>
    <cellStyle name="Comma 4 2 3 6 2 3" xfId="2954" xr:uid="{00000000-0005-0000-0000-0000C31C0000}"/>
    <cellStyle name="Comma 4 2 3 6 2 3 2" xfId="10105" xr:uid="{00000000-0005-0000-0000-0000C41C0000}"/>
    <cellStyle name="Comma 4 2 3 6 2 4" xfId="10102" xr:uid="{00000000-0005-0000-0000-0000C51C0000}"/>
    <cellStyle name="Comma 4 2 3 6 2 5" xfId="6242" xr:uid="{00000000-0005-0000-0000-0000C61C0000}"/>
    <cellStyle name="Comma 4 2 3 6 3" xfId="2955" xr:uid="{00000000-0005-0000-0000-0000C71C0000}"/>
    <cellStyle name="Comma 4 2 3 6 3 2" xfId="2956" xr:uid="{00000000-0005-0000-0000-0000C81C0000}"/>
    <cellStyle name="Comma 4 2 3 6 3 2 2" xfId="10107" xr:uid="{00000000-0005-0000-0000-0000C91C0000}"/>
    <cellStyle name="Comma 4 2 3 6 3 3" xfId="10106" xr:uid="{00000000-0005-0000-0000-0000CA1C0000}"/>
    <cellStyle name="Comma 4 2 3 6 3 4" xfId="6244" xr:uid="{00000000-0005-0000-0000-0000CB1C0000}"/>
    <cellStyle name="Comma 4 2 3 6 4" xfId="2957" xr:uid="{00000000-0005-0000-0000-0000CC1C0000}"/>
    <cellStyle name="Comma 4 2 3 6 4 2" xfId="2958" xr:uid="{00000000-0005-0000-0000-0000CD1C0000}"/>
    <cellStyle name="Comma 4 2 3 6 4 2 2" xfId="10109" xr:uid="{00000000-0005-0000-0000-0000CE1C0000}"/>
    <cellStyle name="Comma 4 2 3 6 4 3" xfId="10108" xr:uid="{00000000-0005-0000-0000-0000CF1C0000}"/>
    <cellStyle name="Comma 4 2 3 6 4 4" xfId="6245" xr:uid="{00000000-0005-0000-0000-0000D01C0000}"/>
    <cellStyle name="Comma 4 2 3 6 5" xfId="2959" xr:uid="{00000000-0005-0000-0000-0000D11C0000}"/>
    <cellStyle name="Comma 4 2 3 6 5 2" xfId="10110" xr:uid="{00000000-0005-0000-0000-0000D21C0000}"/>
    <cellStyle name="Comma 4 2 3 6 6" xfId="10101" xr:uid="{00000000-0005-0000-0000-0000D31C0000}"/>
    <cellStyle name="Comma 4 2 3 6 7" xfId="6241" xr:uid="{00000000-0005-0000-0000-0000D41C0000}"/>
    <cellStyle name="Comma 4 2 3 7" xfId="2960" xr:uid="{00000000-0005-0000-0000-0000D51C0000}"/>
    <cellStyle name="Comma 4 2 3 7 2" xfId="2961" xr:uid="{00000000-0005-0000-0000-0000D61C0000}"/>
    <cellStyle name="Comma 4 2 3 7 2 2" xfId="2962" xr:uid="{00000000-0005-0000-0000-0000D71C0000}"/>
    <cellStyle name="Comma 4 2 3 7 2 2 2" xfId="10113" xr:uid="{00000000-0005-0000-0000-0000D81C0000}"/>
    <cellStyle name="Comma 4 2 3 7 2 3" xfId="10112" xr:uid="{00000000-0005-0000-0000-0000D91C0000}"/>
    <cellStyle name="Comma 4 2 3 7 2 4" xfId="6247" xr:uid="{00000000-0005-0000-0000-0000DA1C0000}"/>
    <cellStyle name="Comma 4 2 3 7 3" xfId="2963" xr:uid="{00000000-0005-0000-0000-0000DB1C0000}"/>
    <cellStyle name="Comma 4 2 3 7 3 2" xfId="2964" xr:uid="{00000000-0005-0000-0000-0000DC1C0000}"/>
    <cellStyle name="Comma 4 2 3 7 3 2 2" xfId="10115" xr:uid="{00000000-0005-0000-0000-0000DD1C0000}"/>
    <cellStyle name="Comma 4 2 3 7 3 3" xfId="10114" xr:uid="{00000000-0005-0000-0000-0000DE1C0000}"/>
    <cellStyle name="Comma 4 2 3 7 3 4" xfId="6248" xr:uid="{00000000-0005-0000-0000-0000DF1C0000}"/>
    <cellStyle name="Comma 4 2 3 7 4" xfId="2965" xr:uid="{00000000-0005-0000-0000-0000E01C0000}"/>
    <cellStyle name="Comma 4 2 3 7 4 2" xfId="10116" xr:uid="{00000000-0005-0000-0000-0000E11C0000}"/>
    <cellStyle name="Comma 4 2 3 7 5" xfId="10111" xr:uid="{00000000-0005-0000-0000-0000E21C0000}"/>
    <cellStyle name="Comma 4 2 3 7 6" xfId="6246" xr:uid="{00000000-0005-0000-0000-0000E31C0000}"/>
    <cellStyle name="Comma 4 2 3 8" xfId="2966" xr:uid="{00000000-0005-0000-0000-0000E41C0000}"/>
    <cellStyle name="Comma 4 2 3 8 2" xfId="2967" xr:uid="{00000000-0005-0000-0000-0000E51C0000}"/>
    <cellStyle name="Comma 4 2 3 8 2 2" xfId="2968" xr:uid="{00000000-0005-0000-0000-0000E61C0000}"/>
    <cellStyle name="Comma 4 2 3 8 2 2 2" xfId="10119" xr:uid="{00000000-0005-0000-0000-0000E71C0000}"/>
    <cellStyle name="Comma 4 2 3 8 2 3" xfId="10118" xr:uid="{00000000-0005-0000-0000-0000E81C0000}"/>
    <cellStyle name="Comma 4 2 3 8 2 4" xfId="6250" xr:uid="{00000000-0005-0000-0000-0000E91C0000}"/>
    <cellStyle name="Comma 4 2 3 8 3" xfId="2969" xr:uid="{00000000-0005-0000-0000-0000EA1C0000}"/>
    <cellStyle name="Comma 4 2 3 8 3 2" xfId="10120" xr:uid="{00000000-0005-0000-0000-0000EB1C0000}"/>
    <cellStyle name="Comma 4 2 3 8 4" xfId="10117" xr:uid="{00000000-0005-0000-0000-0000EC1C0000}"/>
    <cellStyle name="Comma 4 2 3 8 5" xfId="6249" xr:uid="{00000000-0005-0000-0000-0000ED1C0000}"/>
    <cellStyle name="Comma 4 2 3 9" xfId="2970" xr:uid="{00000000-0005-0000-0000-0000EE1C0000}"/>
    <cellStyle name="Comma 4 2 3 9 2" xfId="2971" xr:uid="{00000000-0005-0000-0000-0000EF1C0000}"/>
    <cellStyle name="Comma 4 2 3 9 2 2" xfId="10122" xr:uid="{00000000-0005-0000-0000-0000F01C0000}"/>
    <cellStyle name="Comma 4 2 3 9 3" xfId="10121" xr:uid="{00000000-0005-0000-0000-0000F11C0000}"/>
    <cellStyle name="Comma 4 2 3 9 4" xfId="6251" xr:uid="{00000000-0005-0000-0000-0000F21C0000}"/>
    <cellStyle name="Comma 4 2 4" xfId="2972" xr:uid="{00000000-0005-0000-0000-0000F31C0000}"/>
    <cellStyle name="Comma 4 2 4 10" xfId="2973" xr:uid="{00000000-0005-0000-0000-0000F41C0000}"/>
    <cellStyle name="Comma 4 2 4 10 2" xfId="10124" xr:uid="{00000000-0005-0000-0000-0000F51C0000}"/>
    <cellStyle name="Comma 4 2 4 11" xfId="10123" xr:uid="{00000000-0005-0000-0000-0000F61C0000}"/>
    <cellStyle name="Comma 4 2 4 12" xfId="6252" xr:uid="{00000000-0005-0000-0000-0000F71C0000}"/>
    <cellStyle name="Comma 4 2 4 2" xfId="2974" xr:uid="{00000000-0005-0000-0000-0000F81C0000}"/>
    <cellStyle name="Comma 4 2 4 2 2" xfId="2975" xr:uid="{00000000-0005-0000-0000-0000F91C0000}"/>
    <cellStyle name="Comma 4 2 4 2 2 2" xfId="2976" xr:uid="{00000000-0005-0000-0000-0000FA1C0000}"/>
    <cellStyle name="Comma 4 2 4 2 2 2 2" xfId="2977" xr:uid="{00000000-0005-0000-0000-0000FB1C0000}"/>
    <cellStyle name="Comma 4 2 4 2 2 2 2 2" xfId="10128" xr:uid="{00000000-0005-0000-0000-0000FC1C0000}"/>
    <cellStyle name="Comma 4 2 4 2 2 2 3" xfId="10127" xr:uid="{00000000-0005-0000-0000-0000FD1C0000}"/>
    <cellStyle name="Comma 4 2 4 2 2 2 4" xfId="6255" xr:uid="{00000000-0005-0000-0000-0000FE1C0000}"/>
    <cellStyle name="Comma 4 2 4 2 2 3" xfId="2978" xr:uid="{00000000-0005-0000-0000-0000FF1C0000}"/>
    <cellStyle name="Comma 4 2 4 2 2 3 2" xfId="10129" xr:uid="{00000000-0005-0000-0000-0000001D0000}"/>
    <cellStyle name="Comma 4 2 4 2 2 4" xfId="10126" xr:uid="{00000000-0005-0000-0000-0000011D0000}"/>
    <cellStyle name="Comma 4 2 4 2 2 5" xfId="6254" xr:uid="{00000000-0005-0000-0000-0000021D0000}"/>
    <cellStyle name="Comma 4 2 4 2 3" xfId="2979" xr:uid="{00000000-0005-0000-0000-0000031D0000}"/>
    <cellStyle name="Comma 4 2 4 2 3 2" xfId="2980" xr:uid="{00000000-0005-0000-0000-0000041D0000}"/>
    <cellStyle name="Comma 4 2 4 2 3 2 2" xfId="10131" xr:uid="{00000000-0005-0000-0000-0000051D0000}"/>
    <cellStyle name="Comma 4 2 4 2 3 3" xfId="10130" xr:uid="{00000000-0005-0000-0000-0000061D0000}"/>
    <cellStyle name="Comma 4 2 4 2 3 4" xfId="6256" xr:uid="{00000000-0005-0000-0000-0000071D0000}"/>
    <cellStyle name="Comma 4 2 4 2 4" xfId="2981" xr:uid="{00000000-0005-0000-0000-0000081D0000}"/>
    <cellStyle name="Comma 4 2 4 2 4 2" xfId="2982" xr:uid="{00000000-0005-0000-0000-0000091D0000}"/>
    <cellStyle name="Comma 4 2 4 2 4 2 2" xfId="10133" xr:uid="{00000000-0005-0000-0000-00000A1D0000}"/>
    <cellStyle name="Comma 4 2 4 2 4 3" xfId="10132" xr:uid="{00000000-0005-0000-0000-00000B1D0000}"/>
    <cellStyle name="Comma 4 2 4 2 4 4" xfId="6257" xr:uid="{00000000-0005-0000-0000-00000C1D0000}"/>
    <cellStyle name="Comma 4 2 4 2 5" xfId="2983" xr:uid="{00000000-0005-0000-0000-00000D1D0000}"/>
    <cellStyle name="Comma 4 2 4 2 5 2" xfId="10134" xr:uid="{00000000-0005-0000-0000-00000E1D0000}"/>
    <cellStyle name="Comma 4 2 4 2 6" xfId="10125" xr:uid="{00000000-0005-0000-0000-00000F1D0000}"/>
    <cellStyle name="Comma 4 2 4 2 7" xfId="6253" xr:uid="{00000000-0005-0000-0000-0000101D0000}"/>
    <cellStyle name="Comma 4 2 4 3" xfId="2984" xr:uid="{00000000-0005-0000-0000-0000111D0000}"/>
    <cellStyle name="Comma 4 2 4 3 2" xfId="2985" xr:uid="{00000000-0005-0000-0000-0000121D0000}"/>
    <cellStyle name="Comma 4 2 4 3 2 2" xfId="2986" xr:uid="{00000000-0005-0000-0000-0000131D0000}"/>
    <cellStyle name="Comma 4 2 4 3 2 2 2" xfId="2987" xr:uid="{00000000-0005-0000-0000-0000141D0000}"/>
    <cellStyle name="Comma 4 2 4 3 2 2 2 2" xfId="10138" xr:uid="{00000000-0005-0000-0000-0000151D0000}"/>
    <cellStyle name="Comma 4 2 4 3 2 2 3" xfId="10137" xr:uid="{00000000-0005-0000-0000-0000161D0000}"/>
    <cellStyle name="Comma 4 2 4 3 2 2 4" xfId="6260" xr:uid="{00000000-0005-0000-0000-0000171D0000}"/>
    <cellStyle name="Comma 4 2 4 3 2 3" xfId="2988" xr:uid="{00000000-0005-0000-0000-0000181D0000}"/>
    <cellStyle name="Comma 4 2 4 3 2 3 2" xfId="10139" xr:uid="{00000000-0005-0000-0000-0000191D0000}"/>
    <cellStyle name="Comma 4 2 4 3 2 4" xfId="10136" xr:uid="{00000000-0005-0000-0000-00001A1D0000}"/>
    <cellStyle name="Comma 4 2 4 3 2 5" xfId="6259" xr:uid="{00000000-0005-0000-0000-00001B1D0000}"/>
    <cellStyle name="Comma 4 2 4 3 3" xfId="2989" xr:uid="{00000000-0005-0000-0000-00001C1D0000}"/>
    <cellStyle name="Comma 4 2 4 3 3 2" xfId="2990" xr:uid="{00000000-0005-0000-0000-00001D1D0000}"/>
    <cellStyle name="Comma 4 2 4 3 3 2 2" xfId="10141" xr:uid="{00000000-0005-0000-0000-00001E1D0000}"/>
    <cellStyle name="Comma 4 2 4 3 3 3" xfId="10140" xr:uid="{00000000-0005-0000-0000-00001F1D0000}"/>
    <cellStyle name="Comma 4 2 4 3 3 4" xfId="6261" xr:uid="{00000000-0005-0000-0000-0000201D0000}"/>
    <cellStyle name="Comma 4 2 4 3 4" xfId="2991" xr:uid="{00000000-0005-0000-0000-0000211D0000}"/>
    <cellStyle name="Comma 4 2 4 3 4 2" xfId="2992" xr:uid="{00000000-0005-0000-0000-0000221D0000}"/>
    <cellStyle name="Comma 4 2 4 3 4 2 2" xfId="10143" xr:uid="{00000000-0005-0000-0000-0000231D0000}"/>
    <cellStyle name="Comma 4 2 4 3 4 3" xfId="10142" xr:uid="{00000000-0005-0000-0000-0000241D0000}"/>
    <cellStyle name="Comma 4 2 4 3 4 4" xfId="6262" xr:uid="{00000000-0005-0000-0000-0000251D0000}"/>
    <cellStyle name="Comma 4 2 4 3 5" xfId="2993" xr:uid="{00000000-0005-0000-0000-0000261D0000}"/>
    <cellStyle name="Comma 4 2 4 3 5 2" xfId="10144" xr:uid="{00000000-0005-0000-0000-0000271D0000}"/>
    <cellStyle name="Comma 4 2 4 3 6" xfId="10135" xr:uid="{00000000-0005-0000-0000-0000281D0000}"/>
    <cellStyle name="Comma 4 2 4 3 7" xfId="6258" xr:uid="{00000000-0005-0000-0000-0000291D0000}"/>
    <cellStyle name="Comma 4 2 4 4" xfId="2994" xr:uid="{00000000-0005-0000-0000-00002A1D0000}"/>
    <cellStyle name="Comma 4 2 4 4 2" xfId="2995" xr:uid="{00000000-0005-0000-0000-00002B1D0000}"/>
    <cellStyle name="Comma 4 2 4 4 2 2" xfId="2996" xr:uid="{00000000-0005-0000-0000-00002C1D0000}"/>
    <cellStyle name="Comma 4 2 4 4 2 2 2" xfId="2997" xr:uid="{00000000-0005-0000-0000-00002D1D0000}"/>
    <cellStyle name="Comma 4 2 4 4 2 2 2 2" xfId="10148" xr:uid="{00000000-0005-0000-0000-00002E1D0000}"/>
    <cellStyle name="Comma 4 2 4 4 2 2 3" xfId="10147" xr:uid="{00000000-0005-0000-0000-00002F1D0000}"/>
    <cellStyle name="Comma 4 2 4 4 2 2 4" xfId="6265" xr:uid="{00000000-0005-0000-0000-0000301D0000}"/>
    <cellStyle name="Comma 4 2 4 4 2 3" xfId="2998" xr:uid="{00000000-0005-0000-0000-0000311D0000}"/>
    <cellStyle name="Comma 4 2 4 4 2 3 2" xfId="10149" xr:uid="{00000000-0005-0000-0000-0000321D0000}"/>
    <cellStyle name="Comma 4 2 4 4 2 4" xfId="10146" xr:uid="{00000000-0005-0000-0000-0000331D0000}"/>
    <cellStyle name="Comma 4 2 4 4 2 5" xfId="6264" xr:uid="{00000000-0005-0000-0000-0000341D0000}"/>
    <cellStyle name="Comma 4 2 4 4 3" xfId="2999" xr:uid="{00000000-0005-0000-0000-0000351D0000}"/>
    <cellStyle name="Comma 4 2 4 4 3 2" xfId="3000" xr:uid="{00000000-0005-0000-0000-0000361D0000}"/>
    <cellStyle name="Comma 4 2 4 4 3 2 2" xfId="10151" xr:uid="{00000000-0005-0000-0000-0000371D0000}"/>
    <cellStyle name="Comma 4 2 4 4 3 3" xfId="10150" xr:uid="{00000000-0005-0000-0000-0000381D0000}"/>
    <cellStyle name="Comma 4 2 4 4 3 4" xfId="6266" xr:uid="{00000000-0005-0000-0000-0000391D0000}"/>
    <cellStyle name="Comma 4 2 4 4 4" xfId="3001" xr:uid="{00000000-0005-0000-0000-00003A1D0000}"/>
    <cellStyle name="Comma 4 2 4 4 4 2" xfId="3002" xr:uid="{00000000-0005-0000-0000-00003B1D0000}"/>
    <cellStyle name="Comma 4 2 4 4 4 2 2" xfId="10153" xr:uid="{00000000-0005-0000-0000-00003C1D0000}"/>
    <cellStyle name="Comma 4 2 4 4 4 3" xfId="10152" xr:uid="{00000000-0005-0000-0000-00003D1D0000}"/>
    <cellStyle name="Comma 4 2 4 4 4 4" xfId="6267" xr:uid="{00000000-0005-0000-0000-00003E1D0000}"/>
    <cellStyle name="Comma 4 2 4 4 5" xfId="3003" xr:uid="{00000000-0005-0000-0000-00003F1D0000}"/>
    <cellStyle name="Comma 4 2 4 4 5 2" xfId="10154" xr:uid="{00000000-0005-0000-0000-0000401D0000}"/>
    <cellStyle name="Comma 4 2 4 4 6" xfId="10145" xr:uid="{00000000-0005-0000-0000-0000411D0000}"/>
    <cellStyle name="Comma 4 2 4 4 7" xfId="6263" xr:uid="{00000000-0005-0000-0000-0000421D0000}"/>
    <cellStyle name="Comma 4 2 4 5" xfId="3004" xr:uid="{00000000-0005-0000-0000-0000431D0000}"/>
    <cellStyle name="Comma 4 2 4 5 2" xfId="3005" xr:uid="{00000000-0005-0000-0000-0000441D0000}"/>
    <cellStyle name="Comma 4 2 4 5 2 2" xfId="3006" xr:uid="{00000000-0005-0000-0000-0000451D0000}"/>
    <cellStyle name="Comma 4 2 4 5 2 2 2" xfId="3007" xr:uid="{00000000-0005-0000-0000-0000461D0000}"/>
    <cellStyle name="Comma 4 2 4 5 2 2 2 2" xfId="10158" xr:uid="{00000000-0005-0000-0000-0000471D0000}"/>
    <cellStyle name="Comma 4 2 4 5 2 2 3" xfId="10157" xr:uid="{00000000-0005-0000-0000-0000481D0000}"/>
    <cellStyle name="Comma 4 2 4 5 2 2 4" xfId="6270" xr:uid="{00000000-0005-0000-0000-0000491D0000}"/>
    <cellStyle name="Comma 4 2 4 5 2 3" xfId="3008" xr:uid="{00000000-0005-0000-0000-00004A1D0000}"/>
    <cellStyle name="Comma 4 2 4 5 2 3 2" xfId="10159" xr:uid="{00000000-0005-0000-0000-00004B1D0000}"/>
    <cellStyle name="Comma 4 2 4 5 2 4" xfId="10156" xr:uid="{00000000-0005-0000-0000-00004C1D0000}"/>
    <cellStyle name="Comma 4 2 4 5 2 5" xfId="6269" xr:uid="{00000000-0005-0000-0000-00004D1D0000}"/>
    <cellStyle name="Comma 4 2 4 5 3" xfId="3009" xr:uid="{00000000-0005-0000-0000-00004E1D0000}"/>
    <cellStyle name="Comma 4 2 4 5 3 2" xfId="3010" xr:uid="{00000000-0005-0000-0000-00004F1D0000}"/>
    <cellStyle name="Comma 4 2 4 5 3 2 2" xfId="10161" xr:uid="{00000000-0005-0000-0000-0000501D0000}"/>
    <cellStyle name="Comma 4 2 4 5 3 3" xfId="10160" xr:uid="{00000000-0005-0000-0000-0000511D0000}"/>
    <cellStyle name="Comma 4 2 4 5 3 4" xfId="6271" xr:uid="{00000000-0005-0000-0000-0000521D0000}"/>
    <cellStyle name="Comma 4 2 4 5 4" xfId="3011" xr:uid="{00000000-0005-0000-0000-0000531D0000}"/>
    <cellStyle name="Comma 4 2 4 5 4 2" xfId="3012" xr:uid="{00000000-0005-0000-0000-0000541D0000}"/>
    <cellStyle name="Comma 4 2 4 5 4 2 2" xfId="10163" xr:uid="{00000000-0005-0000-0000-0000551D0000}"/>
    <cellStyle name="Comma 4 2 4 5 4 3" xfId="10162" xr:uid="{00000000-0005-0000-0000-0000561D0000}"/>
    <cellStyle name="Comma 4 2 4 5 4 4" xfId="6272" xr:uid="{00000000-0005-0000-0000-0000571D0000}"/>
    <cellStyle name="Comma 4 2 4 5 5" xfId="3013" xr:uid="{00000000-0005-0000-0000-0000581D0000}"/>
    <cellStyle name="Comma 4 2 4 5 5 2" xfId="10164" xr:uid="{00000000-0005-0000-0000-0000591D0000}"/>
    <cellStyle name="Comma 4 2 4 5 6" xfId="10155" xr:uid="{00000000-0005-0000-0000-00005A1D0000}"/>
    <cellStyle name="Comma 4 2 4 5 7" xfId="6268" xr:uid="{00000000-0005-0000-0000-00005B1D0000}"/>
    <cellStyle name="Comma 4 2 4 6" xfId="3014" xr:uid="{00000000-0005-0000-0000-00005C1D0000}"/>
    <cellStyle name="Comma 4 2 4 6 2" xfId="3015" xr:uid="{00000000-0005-0000-0000-00005D1D0000}"/>
    <cellStyle name="Comma 4 2 4 6 2 2" xfId="3016" xr:uid="{00000000-0005-0000-0000-00005E1D0000}"/>
    <cellStyle name="Comma 4 2 4 6 2 2 2" xfId="10167" xr:uid="{00000000-0005-0000-0000-00005F1D0000}"/>
    <cellStyle name="Comma 4 2 4 6 2 3" xfId="10166" xr:uid="{00000000-0005-0000-0000-0000601D0000}"/>
    <cellStyle name="Comma 4 2 4 6 2 4" xfId="6274" xr:uid="{00000000-0005-0000-0000-0000611D0000}"/>
    <cellStyle name="Comma 4 2 4 6 3" xfId="3017" xr:uid="{00000000-0005-0000-0000-0000621D0000}"/>
    <cellStyle name="Comma 4 2 4 6 3 2" xfId="3018" xr:uid="{00000000-0005-0000-0000-0000631D0000}"/>
    <cellStyle name="Comma 4 2 4 6 3 2 2" xfId="10169" xr:uid="{00000000-0005-0000-0000-0000641D0000}"/>
    <cellStyle name="Comma 4 2 4 6 3 3" xfId="10168" xr:uid="{00000000-0005-0000-0000-0000651D0000}"/>
    <cellStyle name="Comma 4 2 4 6 3 4" xfId="6275" xr:uid="{00000000-0005-0000-0000-0000661D0000}"/>
    <cellStyle name="Comma 4 2 4 6 4" xfId="3019" xr:uid="{00000000-0005-0000-0000-0000671D0000}"/>
    <cellStyle name="Comma 4 2 4 6 4 2" xfId="10170" xr:uid="{00000000-0005-0000-0000-0000681D0000}"/>
    <cellStyle name="Comma 4 2 4 6 5" xfId="10165" xr:uid="{00000000-0005-0000-0000-0000691D0000}"/>
    <cellStyle name="Comma 4 2 4 6 6" xfId="6273" xr:uid="{00000000-0005-0000-0000-00006A1D0000}"/>
    <cellStyle name="Comma 4 2 4 7" xfId="3020" xr:uid="{00000000-0005-0000-0000-00006B1D0000}"/>
    <cellStyle name="Comma 4 2 4 7 2" xfId="3021" xr:uid="{00000000-0005-0000-0000-00006C1D0000}"/>
    <cellStyle name="Comma 4 2 4 7 2 2" xfId="3022" xr:uid="{00000000-0005-0000-0000-00006D1D0000}"/>
    <cellStyle name="Comma 4 2 4 7 2 2 2" xfId="10173" xr:uid="{00000000-0005-0000-0000-00006E1D0000}"/>
    <cellStyle name="Comma 4 2 4 7 2 3" xfId="10172" xr:uid="{00000000-0005-0000-0000-00006F1D0000}"/>
    <cellStyle name="Comma 4 2 4 7 2 4" xfId="6277" xr:uid="{00000000-0005-0000-0000-0000701D0000}"/>
    <cellStyle name="Comma 4 2 4 7 3" xfId="3023" xr:uid="{00000000-0005-0000-0000-0000711D0000}"/>
    <cellStyle name="Comma 4 2 4 7 3 2" xfId="10174" xr:uid="{00000000-0005-0000-0000-0000721D0000}"/>
    <cellStyle name="Comma 4 2 4 7 4" xfId="10171" xr:uid="{00000000-0005-0000-0000-0000731D0000}"/>
    <cellStyle name="Comma 4 2 4 7 5" xfId="6276" xr:uid="{00000000-0005-0000-0000-0000741D0000}"/>
    <cellStyle name="Comma 4 2 4 8" xfId="3024" xr:uid="{00000000-0005-0000-0000-0000751D0000}"/>
    <cellStyle name="Comma 4 2 4 8 2" xfId="3025" xr:uid="{00000000-0005-0000-0000-0000761D0000}"/>
    <cellStyle name="Comma 4 2 4 8 2 2" xfId="10176" xr:uid="{00000000-0005-0000-0000-0000771D0000}"/>
    <cellStyle name="Comma 4 2 4 8 3" xfId="10175" xr:uid="{00000000-0005-0000-0000-0000781D0000}"/>
    <cellStyle name="Comma 4 2 4 8 4" xfId="6278" xr:uid="{00000000-0005-0000-0000-0000791D0000}"/>
    <cellStyle name="Comma 4 2 4 9" xfId="3026" xr:uid="{00000000-0005-0000-0000-00007A1D0000}"/>
    <cellStyle name="Comma 4 2 4 9 2" xfId="3027" xr:uid="{00000000-0005-0000-0000-00007B1D0000}"/>
    <cellStyle name="Comma 4 2 4 9 2 2" xfId="10178" xr:uid="{00000000-0005-0000-0000-00007C1D0000}"/>
    <cellStyle name="Comma 4 2 4 9 3" xfId="10177" xr:uid="{00000000-0005-0000-0000-00007D1D0000}"/>
    <cellStyle name="Comma 4 2 4 9 4" xfId="6279" xr:uid="{00000000-0005-0000-0000-00007E1D0000}"/>
    <cellStyle name="Comma 4 2 5" xfId="3028" xr:uid="{00000000-0005-0000-0000-00007F1D0000}"/>
    <cellStyle name="Comma 4 2 5 2" xfId="3029" xr:uid="{00000000-0005-0000-0000-0000801D0000}"/>
    <cellStyle name="Comma 4 2 5 2 2" xfId="3030" xr:uid="{00000000-0005-0000-0000-0000811D0000}"/>
    <cellStyle name="Comma 4 2 5 2 2 2" xfId="3031" xr:uid="{00000000-0005-0000-0000-0000821D0000}"/>
    <cellStyle name="Comma 4 2 5 2 2 2 2" xfId="10182" xr:uid="{00000000-0005-0000-0000-0000831D0000}"/>
    <cellStyle name="Comma 4 2 5 2 2 3" xfId="10181" xr:uid="{00000000-0005-0000-0000-0000841D0000}"/>
    <cellStyle name="Comma 4 2 5 2 2 4" xfId="6282" xr:uid="{00000000-0005-0000-0000-0000851D0000}"/>
    <cellStyle name="Comma 4 2 5 2 3" xfId="3032" xr:uid="{00000000-0005-0000-0000-0000861D0000}"/>
    <cellStyle name="Comma 4 2 5 2 3 2" xfId="10183" xr:uid="{00000000-0005-0000-0000-0000871D0000}"/>
    <cellStyle name="Comma 4 2 5 2 4" xfId="10180" xr:uid="{00000000-0005-0000-0000-0000881D0000}"/>
    <cellStyle name="Comma 4 2 5 2 5" xfId="6281" xr:uid="{00000000-0005-0000-0000-0000891D0000}"/>
    <cellStyle name="Comma 4 2 5 3" xfId="3033" xr:uid="{00000000-0005-0000-0000-00008A1D0000}"/>
    <cellStyle name="Comma 4 2 5 3 2" xfId="3034" xr:uid="{00000000-0005-0000-0000-00008B1D0000}"/>
    <cellStyle name="Comma 4 2 5 3 2 2" xfId="10185" xr:uid="{00000000-0005-0000-0000-00008C1D0000}"/>
    <cellStyle name="Comma 4 2 5 3 3" xfId="10184" xr:uid="{00000000-0005-0000-0000-00008D1D0000}"/>
    <cellStyle name="Comma 4 2 5 3 4" xfId="6283" xr:uid="{00000000-0005-0000-0000-00008E1D0000}"/>
    <cellStyle name="Comma 4 2 5 4" xfId="3035" xr:uid="{00000000-0005-0000-0000-00008F1D0000}"/>
    <cellStyle name="Comma 4 2 5 4 2" xfId="3036" xr:uid="{00000000-0005-0000-0000-0000901D0000}"/>
    <cellStyle name="Comma 4 2 5 4 2 2" xfId="10187" xr:uid="{00000000-0005-0000-0000-0000911D0000}"/>
    <cellStyle name="Comma 4 2 5 4 3" xfId="10186" xr:uid="{00000000-0005-0000-0000-0000921D0000}"/>
    <cellStyle name="Comma 4 2 5 4 4" xfId="6284" xr:uid="{00000000-0005-0000-0000-0000931D0000}"/>
    <cellStyle name="Comma 4 2 5 5" xfId="3037" xr:uid="{00000000-0005-0000-0000-0000941D0000}"/>
    <cellStyle name="Comma 4 2 5 5 2" xfId="10188" xr:uid="{00000000-0005-0000-0000-0000951D0000}"/>
    <cellStyle name="Comma 4 2 5 6" xfId="10179" xr:uid="{00000000-0005-0000-0000-0000961D0000}"/>
    <cellStyle name="Comma 4 2 5 7" xfId="6280" xr:uid="{00000000-0005-0000-0000-0000971D0000}"/>
    <cellStyle name="Comma 4 2 6" xfId="3038" xr:uid="{00000000-0005-0000-0000-0000981D0000}"/>
    <cellStyle name="Comma 4 2 6 2" xfId="3039" xr:uid="{00000000-0005-0000-0000-0000991D0000}"/>
    <cellStyle name="Comma 4 2 6 2 2" xfId="3040" xr:uid="{00000000-0005-0000-0000-00009A1D0000}"/>
    <cellStyle name="Comma 4 2 6 2 2 2" xfId="3041" xr:uid="{00000000-0005-0000-0000-00009B1D0000}"/>
    <cellStyle name="Comma 4 2 6 2 2 2 2" xfId="10192" xr:uid="{00000000-0005-0000-0000-00009C1D0000}"/>
    <cellStyle name="Comma 4 2 6 2 2 3" xfId="10191" xr:uid="{00000000-0005-0000-0000-00009D1D0000}"/>
    <cellStyle name="Comma 4 2 6 2 2 4" xfId="6287" xr:uid="{00000000-0005-0000-0000-00009E1D0000}"/>
    <cellStyle name="Comma 4 2 6 2 3" xfId="3042" xr:uid="{00000000-0005-0000-0000-00009F1D0000}"/>
    <cellStyle name="Comma 4 2 6 2 3 2" xfId="10193" xr:uid="{00000000-0005-0000-0000-0000A01D0000}"/>
    <cellStyle name="Comma 4 2 6 2 4" xfId="10190" xr:uid="{00000000-0005-0000-0000-0000A11D0000}"/>
    <cellStyle name="Comma 4 2 6 2 5" xfId="6286" xr:uid="{00000000-0005-0000-0000-0000A21D0000}"/>
    <cellStyle name="Comma 4 2 6 3" xfId="3043" xr:uid="{00000000-0005-0000-0000-0000A31D0000}"/>
    <cellStyle name="Comma 4 2 6 3 2" xfId="3044" xr:uid="{00000000-0005-0000-0000-0000A41D0000}"/>
    <cellStyle name="Comma 4 2 6 3 2 2" xfId="10195" xr:uid="{00000000-0005-0000-0000-0000A51D0000}"/>
    <cellStyle name="Comma 4 2 6 3 3" xfId="10194" xr:uid="{00000000-0005-0000-0000-0000A61D0000}"/>
    <cellStyle name="Comma 4 2 6 3 4" xfId="6288" xr:uid="{00000000-0005-0000-0000-0000A71D0000}"/>
    <cellStyle name="Comma 4 2 6 4" xfId="3045" xr:uid="{00000000-0005-0000-0000-0000A81D0000}"/>
    <cellStyle name="Comma 4 2 6 4 2" xfId="3046" xr:uid="{00000000-0005-0000-0000-0000A91D0000}"/>
    <cellStyle name="Comma 4 2 6 4 2 2" xfId="10197" xr:uid="{00000000-0005-0000-0000-0000AA1D0000}"/>
    <cellStyle name="Comma 4 2 6 4 3" xfId="10196" xr:uid="{00000000-0005-0000-0000-0000AB1D0000}"/>
    <cellStyle name="Comma 4 2 6 4 4" xfId="6289" xr:uid="{00000000-0005-0000-0000-0000AC1D0000}"/>
    <cellStyle name="Comma 4 2 6 5" xfId="3047" xr:uid="{00000000-0005-0000-0000-0000AD1D0000}"/>
    <cellStyle name="Comma 4 2 6 5 2" xfId="10198" xr:uid="{00000000-0005-0000-0000-0000AE1D0000}"/>
    <cellStyle name="Comma 4 2 6 6" xfId="10189" xr:uid="{00000000-0005-0000-0000-0000AF1D0000}"/>
    <cellStyle name="Comma 4 2 6 7" xfId="6285" xr:uid="{00000000-0005-0000-0000-0000B01D0000}"/>
    <cellStyle name="Comma 4 2 7" xfId="3048" xr:uid="{00000000-0005-0000-0000-0000B11D0000}"/>
    <cellStyle name="Comma 4 2 7 2" xfId="3049" xr:uid="{00000000-0005-0000-0000-0000B21D0000}"/>
    <cellStyle name="Comma 4 2 7 2 2" xfId="3050" xr:uid="{00000000-0005-0000-0000-0000B31D0000}"/>
    <cellStyle name="Comma 4 2 7 2 2 2" xfId="3051" xr:uid="{00000000-0005-0000-0000-0000B41D0000}"/>
    <cellStyle name="Comma 4 2 7 2 2 2 2" xfId="10202" xr:uid="{00000000-0005-0000-0000-0000B51D0000}"/>
    <cellStyle name="Comma 4 2 7 2 2 3" xfId="10201" xr:uid="{00000000-0005-0000-0000-0000B61D0000}"/>
    <cellStyle name="Comma 4 2 7 2 2 4" xfId="6292" xr:uid="{00000000-0005-0000-0000-0000B71D0000}"/>
    <cellStyle name="Comma 4 2 7 2 3" xfId="3052" xr:uid="{00000000-0005-0000-0000-0000B81D0000}"/>
    <cellStyle name="Comma 4 2 7 2 3 2" xfId="10203" xr:uid="{00000000-0005-0000-0000-0000B91D0000}"/>
    <cellStyle name="Comma 4 2 7 2 4" xfId="10200" xr:uid="{00000000-0005-0000-0000-0000BA1D0000}"/>
    <cellStyle name="Comma 4 2 7 2 5" xfId="6291" xr:uid="{00000000-0005-0000-0000-0000BB1D0000}"/>
    <cellStyle name="Comma 4 2 7 3" xfId="3053" xr:uid="{00000000-0005-0000-0000-0000BC1D0000}"/>
    <cellStyle name="Comma 4 2 7 3 2" xfId="3054" xr:uid="{00000000-0005-0000-0000-0000BD1D0000}"/>
    <cellStyle name="Comma 4 2 7 3 2 2" xfId="10205" xr:uid="{00000000-0005-0000-0000-0000BE1D0000}"/>
    <cellStyle name="Comma 4 2 7 3 3" xfId="10204" xr:uid="{00000000-0005-0000-0000-0000BF1D0000}"/>
    <cellStyle name="Comma 4 2 7 3 4" xfId="6293" xr:uid="{00000000-0005-0000-0000-0000C01D0000}"/>
    <cellStyle name="Comma 4 2 7 4" xfId="3055" xr:uid="{00000000-0005-0000-0000-0000C11D0000}"/>
    <cellStyle name="Comma 4 2 7 4 2" xfId="3056" xr:uid="{00000000-0005-0000-0000-0000C21D0000}"/>
    <cellStyle name="Comma 4 2 7 4 2 2" xfId="10207" xr:uid="{00000000-0005-0000-0000-0000C31D0000}"/>
    <cellStyle name="Comma 4 2 7 4 3" xfId="10206" xr:uid="{00000000-0005-0000-0000-0000C41D0000}"/>
    <cellStyle name="Comma 4 2 7 4 4" xfId="6294" xr:uid="{00000000-0005-0000-0000-0000C51D0000}"/>
    <cellStyle name="Comma 4 2 7 5" xfId="3057" xr:uid="{00000000-0005-0000-0000-0000C61D0000}"/>
    <cellStyle name="Comma 4 2 7 5 2" xfId="10208" xr:uid="{00000000-0005-0000-0000-0000C71D0000}"/>
    <cellStyle name="Comma 4 2 7 6" xfId="10199" xr:uid="{00000000-0005-0000-0000-0000C81D0000}"/>
    <cellStyle name="Comma 4 2 7 7" xfId="6290" xr:uid="{00000000-0005-0000-0000-0000C91D0000}"/>
    <cellStyle name="Comma 4 2 8" xfId="3058" xr:uid="{00000000-0005-0000-0000-0000CA1D0000}"/>
    <cellStyle name="Comma 4 2 8 2" xfId="3059" xr:uid="{00000000-0005-0000-0000-0000CB1D0000}"/>
    <cellStyle name="Comma 4 2 8 2 2" xfId="3060" xr:uid="{00000000-0005-0000-0000-0000CC1D0000}"/>
    <cellStyle name="Comma 4 2 8 2 2 2" xfId="3061" xr:uid="{00000000-0005-0000-0000-0000CD1D0000}"/>
    <cellStyle name="Comma 4 2 8 2 2 2 2" xfId="10212" xr:uid="{00000000-0005-0000-0000-0000CE1D0000}"/>
    <cellStyle name="Comma 4 2 8 2 2 3" xfId="10211" xr:uid="{00000000-0005-0000-0000-0000CF1D0000}"/>
    <cellStyle name="Comma 4 2 8 2 2 4" xfId="6297" xr:uid="{00000000-0005-0000-0000-0000D01D0000}"/>
    <cellStyle name="Comma 4 2 8 2 3" xfId="3062" xr:uid="{00000000-0005-0000-0000-0000D11D0000}"/>
    <cellStyle name="Comma 4 2 8 2 3 2" xfId="10213" xr:uid="{00000000-0005-0000-0000-0000D21D0000}"/>
    <cellStyle name="Comma 4 2 8 2 4" xfId="10210" xr:uid="{00000000-0005-0000-0000-0000D31D0000}"/>
    <cellStyle name="Comma 4 2 8 2 5" xfId="6296" xr:uid="{00000000-0005-0000-0000-0000D41D0000}"/>
    <cellStyle name="Comma 4 2 8 3" xfId="3063" xr:uid="{00000000-0005-0000-0000-0000D51D0000}"/>
    <cellStyle name="Comma 4 2 8 3 2" xfId="3064" xr:uid="{00000000-0005-0000-0000-0000D61D0000}"/>
    <cellStyle name="Comma 4 2 8 3 2 2" xfId="10215" xr:uid="{00000000-0005-0000-0000-0000D71D0000}"/>
    <cellStyle name="Comma 4 2 8 3 3" xfId="10214" xr:uid="{00000000-0005-0000-0000-0000D81D0000}"/>
    <cellStyle name="Comma 4 2 8 3 4" xfId="6298" xr:uid="{00000000-0005-0000-0000-0000D91D0000}"/>
    <cellStyle name="Comma 4 2 8 4" xfId="3065" xr:uid="{00000000-0005-0000-0000-0000DA1D0000}"/>
    <cellStyle name="Comma 4 2 8 4 2" xfId="3066" xr:uid="{00000000-0005-0000-0000-0000DB1D0000}"/>
    <cellStyle name="Comma 4 2 8 4 2 2" xfId="10217" xr:uid="{00000000-0005-0000-0000-0000DC1D0000}"/>
    <cellStyle name="Comma 4 2 8 4 3" xfId="10216" xr:uid="{00000000-0005-0000-0000-0000DD1D0000}"/>
    <cellStyle name="Comma 4 2 8 4 4" xfId="6299" xr:uid="{00000000-0005-0000-0000-0000DE1D0000}"/>
    <cellStyle name="Comma 4 2 8 5" xfId="3067" xr:uid="{00000000-0005-0000-0000-0000DF1D0000}"/>
    <cellStyle name="Comma 4 2 8 5 2" xfId="10218" xr:uid="{00000000-0005-0000-0000-0000E01D0000}"/>
    <cellStyle name="Comma 4 2 8 6" xfId="10209" xr:uid="{00000000-0005-0000-0000-0000E11D0000}"/>
    <cellStyle name="Comma 4 2 8 7" xfId="6295" xr:uid="{00000000-0005-0000-0000-0000E21D0000}"/>
    <cellStyle name="Comma 4 2 9" xfId="3068" xr:uid="{00000000-0005-0000-0000-0000E31D0000}"/>
    <cellStyle name="Comma 4 2 9 2" xfId="3069" xr:uid="{00000000-0005-0000-0000-0000E41D0000}"/>
    <cellStyle name="Comma 4 2 9 2 2" xfId="3070" xr:uid="{00000000-0005-0000-0000-0000E51D0000}"/>
    <cellStyle name="Comma 4 2 9 2 2 2" xfId="10221" xr:uid="{00000000-0005-0000-0000-0000E61D0000}"/>
    <cellStyle name="Comma 4 2 9 2 3" xfId="10220" xr:uid="{00000000-0005-0000-0000-0000E71D0000}"/>
    <cellStyle name="Comma 4 2 9 2 4" xfId="6301" xr:uid="{00000000-0005-0000-0000-0000E81D0000}"/>
    <cellStyle name="Comma 4 2 9 3" xfId="3071" xr:uid="{00000000-0005-0000-0000-0000E91D0000}"/>
    <cellStyle name="Comma 4 2 9 3 2" xfId="3072" xr:uid="{00000000-0005-0000-0000-0000EA1D0000}"/>
    <cellStyle name="Comma 4 2 9 3 2 2" xfId="10223" xr:uid="{00000000-0005-0000-0000-0000EB1D0000}"/>
    <cellStyle name="Comma 4 2 9 3 3" xfId="10222" xr:uid="{00000000-0005-0000-0000-0000EC1D0000}"/>
    <cellStyle name="Comma 4 2 9 3 4" xfId="6302" xr:uid="{00000000-0005-0000-0000-0000ED1D0000}"/>
    <cellStyle name="Comma 4 2 9 4" xfId="3073" xr:uid="{00000000-0005-0000-0000-0000EE1D0000}"/>
    <cellStyle name="Comma 4 2 9 4 2" xfId="10224" xr:uid="{00000000-0005-0000-0000-0000EF1D0000}"/>
    <cellStyle name="Comma 4 2 9 5" xfId="10219" xr:uid="{00000000-0005-0000-0000-0000F01D0000}"/>
    <cellStyle name="Comma 4 2 9 6" xfId="6300" xr:uid="{00000000-0005-0000-0000-0000F11D0000}"/>
    <cellStyle name="Comma 4 3" xfId="3074" xr:uid="{00000000-0005-0000-0000-0000F21D0000}"/>
    <cellStyle name="Comma 4 3 10" xfId="3075" xr:uid="{00000000-0005-0000-0000-0000F31D0000}"/>
    <cellStyle name="Comma 4 3 10 2" xfId="3076" xr:uid="{00000000-0005-0000-0000-0000F41D0000}"/>
    <cellStyle name="Comma 4 3 10 2 2" xfId="10227" xr:uid="{00000000-0005-0000-0000-0000F51D0000}"/>
    <cellStyle name="Comma 4 3 10 3" xfId="10226" xr:uid="{00000000-0005-0000-0000-0000F61D0000}"/>
    <cellStyle name="Comma 4 3 10 4" xfId="6304" xr:uid="{00000000-0005-0000-0000-0000F71D0000}"/>
    <cellStyle name="Comma 4 3 11" xfId="3077" xr:uid="{00000000-0005-0000-0000-0000F81D0000}"/>
    <cellStyle name="Comma 4 3 11 2" xfId="10228" xr:uid="{00000000-0005-0000-0000-0000F91D0000}"/>
    <cellStyle name="Comma 4 3 12" xfId="10225" xr:uid="{00000000-0005-0000-0000-0000FA1D0000}"/>
    <cellStyle name="Comma 4 3 13" xfId="6303" xr:uid="{00000000-0005-0000-0000-0000FB1D0000}"/>
    <cellStyle name="Comma 4 3 2" xfId="3078" xr:uid="{00000000-0005-0000-0000-0000FC1D0000}"/>
    <cellStyle name="Comma 4 3 2 10" xfId="3079" xr:uid="{00000000-0005-0000-0000-0000FD1D0000}"/>
    <cellStyle name="Comma 4 3 2 10 2" xfId="10230" xr:uid="{00000000-0005-0000-0000-0000FE1D0000}"/>
    <cellStyle name="Comma 4 3 2 11" xfId="10229" xr:uid="{00000000-0005-0000-0000-0000FF1D0000}"/>
    <cellStyle name="Comma 4 3 2 12" xfId="6305" xr:uid="{00000000-0005-0000-0000-0000001E0000}"/>
    <cellStyle name="Comma 4 3 2 2" xfId="3080" xr:uid="{00000000-0005-0000-0000-0000011E0000}"/>
    <cellStyle name="Comma 4 3 2 2 2" xfId="3081" xr:uid="{00000000-0005-0000-0000-0000021E0000}"/>
    <cellStyle name="Comma 4 3 2 2 2 2" xfId="3082" xr:uid="{00000000-0005-0000-0000-0000031E0000}"/>
    <cellStyle name="Comma 4 3 2 2 2 2 2" xfId="3083" xr:uid="{00000000-0005-0000-0000-0000041E0000}"/>
    <cellStyle name="Comma 4 3 2 2 2 2 2 2" xfId="10234" xr:uid="{00000000-0005-0000-0000-0000051E0000}"/>
    <cellStyle name="Comma 4 3 2 2 2 2 3" xfId="10233" xr:uid="{00000000-0005-0000-0000-0000061E0000}"/>
    <cellStyle name="Comma 4 3 2 2 2 2 4" xfId="6308" xr:uid="{00000000-0005-0000-0000-0000071E0000}"/>
    <cellStyle name="Comma 4 3 2 2 2 3" xfId="3084" xr:uid="{00000000-0005-0000-0000-0000081E0000}"/>
    <cellStyle name="Comma 4 3 2 2 2 3 2" xfId="10235" xr:uid="{00000000-0005-0000-0000-0000091E0000}"/>
    <cellStyle name="Comma 4 3 2 2 2 4" xfId="10232" xr:uid="{00000000-0005-0000-0000-00000A1E0000}"/>
    <cellStyle name="Comma 4 3 2 2 2 5" xfId="6307" xr:uid="{00000000-0005-0000-0000-00000B1E0000}"/>
    <cellStyle name="Comma 4 3 2 2 3" xfId="3085" xr:uid="{00000000-0005-0000-0000-00000C1E0000}"/>
    <cellStyle name="Comma 4 3 2 2 3 2" xfId="3086" xr:uid="{00000000-0005-0000-0000-00000D1E0000}"/>
    <cellStyle name="Comma 4 3 2 2 3 2 2" xfId="10237" xr:uid="{00000000-0005-0000-0000-00000E1E0000}"/>
    <cellStyle name="Comma 4 3 2 2 3 3" xfId="10236" xr:uid="{00000000-0005-0000-0000-00000F1E0000}"/>
    <cellStyle name="Comma 4 3 2 2 3 4" xfId="6309" xr:uid="{00000000-0005-0000-0000-0000101E0000}"/>
    <cellStyle name="Comma 4 3 2 2 4" xfId="3087" xr:uid="{00000000-0005-0000-0000-0000111E0000}"/>
    <cellStyle name="Comma 4 3 2 2 4 2" xfId="3088" xr:uid="{00000000-0005-0000-0000-0000121E0000}"/>
    <cellStyle name="Comma 4 3 2 2 4 2 2" xfId="10239" xr:uid="{00000000-0005-0000-0000-0000131E0000}"/>
    <cellStyle name="Comma 4 3 2 2 4 3" xfId="10238" xr:uid="{00000000-0005-0000-0000-0000141E0000}"/>
    <cellStyle name="Comma 4 3 2 2 4 4" xfId="6310" xr:uid="{00000000-0005-0000-0000-0000151E0000}"/>
    <cellStyle name="Comma 4 3 2 2 5" xfId="3089" xr:uid="{00000000-0005-0000-0000-0000161E0000}"/>
    <cellStyle name="Comma 4 3 2 2 5 2" xfId="10240" xr:uid="{00000000-0005-0000-0000-0000171E0000}"/>
    <cellStyle name="Comma 4 3 2 2 6" xfId="10231" xr:uid="{00000000-0005-0000-0000-0000181E0000}"/>
    <cellStyle name="Comma 4 3 2 2 7" xfId="6306" xr:uid="{00000000-0005-0000-0000-0000191E0000}"/>
    <cellStyle name="Comma 4 3 2 3" xfId="3090" xr:uid="{00000000-0005-0000-0000-00001A1E0000}"/>
    <cellStyle name="Comma 4 3 2 3 2" xfId="3091" xr:uid="{00000000-0005-0000-0000-00001B1E0000}"/>
    <cellStyle name="Comma 4 3 2 3 2 2" xfId="3092" xr:uid="{00000000-0005-0000-0000-00001C1E0000}"/>
    <cellStyle name="Comma 4 3 2 3 2 2 2" xfId="3093" xr:uid="{00000000-0005-0000-0000-00001D1E0000}"/>
    <cellStyle name="Comma 4 3 2 3 2 2 2 2" xfId="10244" xr:uid="{00000000-0005-0000-0000-00001E1E0000}"/>
    <cellStyle name="Comma 4 3 2 3 2 2 3" xfId="10243" xr:uid="{00000000-0005-0000-0000-00001F1E0000}"/>
    <cellStyle name="Comma 4 3 2 3 2 2 4" xfId="6313" xr:uid="{00000000-0005-0000-0000-0000201E0000}"/>
    <cellStyle name="Comma 4 3 2 3 2 3" xfId="3094" xr:uid="{00000000-0005-0000-0000-0000211E0000}"/>
    <cellStyle name="Comma 4 3 2 3 2 3 2" xfId="10245" xr:uid="{00000000-0005-0000-0000-0000221E0000}"/>
    <cellStyle name="Comma 4 3 2 3 2 4" xfId="10242" xr:uid="{00000000-0005-0000-0000-0000231E0000}"/>
    <cellStyle name="Comma 4 3 2 3 2 5" xfId="6312" xr:uid="{00000000-0005-0000-0000-0000241E0000}"/>
    <cellStyle name="Comma 4 3 2 3 3" xfId="3095" xr:uid="{00000000-0005-0000-0000-0000251E0000}"/>
    <cellStyle name="Comma 4 3 2 3 3 2" xfId="3096" xr:uid="{00000000-0005-0000-0000-0000261E0000}"/>
    <cellStyle name="Comma 4 3 2 3 3 2 2" xfId="10247" xr:uid="{00000000-0005-0000-0000-0000271E0000}"/>
    <cellStyle name="Comma 4 3 2 3 3 3" xfId="10246" xr:uid="{00000000-0005-0000-0000-0000281E0000}"/>
    <cellStyle name="Comma 4 3 2 3 3 4" xfId="6314" xr:uid="{00000000-0005-0000-0000-0000291E0000}"/>
    <cellStyle name="Comma 4 3 2 3 4" xfId="3097" xr:uid="{00000000-0005-0000-0000-00002A1E0000}"/>
    <cellStyle name="Comma 4 3 2 3 4 2" xfId="3098" xr:uid="{00000000-0005-0000-0000-00002B1E0000}"/>
    <cellStyle name="Comma 4 3 2 3 4 2 2" xfId="10249" xr:uid="{00000000-0005-0000-0000-00002C1E0000}"/>
    <cellStyle name="Comma 4 3 2 3 4 3" xfId="10248" xr:uid="{00000000-0005-0000-0000-00002D1E0000}"/>
    <cellStyle name="Comma 4 3 2 3 4 4" xfId="6315" xr:uid="{00000000-0005-0000-0000-00002E1E0000}"/>
    <cellStyle name="Comma 4 3 2 3 5" xfId="3099" xr:uid="{00000000-0005-0000-0000-00002F1E0000}"/>
    <cellStyle name="Comma 4 3 2 3 5 2" xfId="10250" xr:uid="{00000000-0005-0000-0000-0000301E0000}"/>
    <cellStyle name="Comma 4 3 2 3 6" xfId="10241" xr:uid="{00000000-0005-0000-0000-0000311E0000}"/>
    <cellStyle name="Comma 4 3 2 3 7" xfId="6311" xr:uid="{00000000-0005-0000-0000-0000321E0000}"/>
    <cellStyle name="Comma 4 3 2 4" xfId="3100" xr:uid="{00000000-0005-0000-0000-0000331E0000}"/>
    <cellStyle name="Comma 4 3 2 4 2" xfId="3101" xr:uid="{00000000-0005-0000-0000-0000341E0000}"/>
    <cellStyle name="Comma 4 3 2 4 2 2" xfId="3102" xr:uid="{00000000-0005-0000-0000-0000351E0000}"/>
    <cellStyle name="Comma 4 3 2 4 2 2 2" xfId="3103" xr:uid="{00000000-0005-0000-0000-0000361E0000}"/>
    <cellStyle name="Comma 4 3 2 4 2 2 2 2" xfId="10254" xr:uid="{00000000-0005-0000-0000-0000371E0000}"/>
    <cellStyle name="Comma 4 3 2 4 2 2 3" xfId="10253" xr:uid="{00000000-0005-0000-0000-0000381E0000}"/>
    <cellStyle name="Comma 4 3 2 4 2 2 4" xfId="6318" xr:uid="{00000000-0005-0000-0000-0000391E0000}"/>
    <cellStyle name="Comma 4 3 2 4 2 3" xfId="3104" xr:uid="{00000000-0005-0000-0000-00003A1E0000}"/>
    <cellStyle name="Comma 4 3 2 4 2 3 2" xfId="10255" xr:uid="{00000000-0005-0000-0000-00003B1E0000}"/>
    <cellStyle name="Comma 4 3 2 4 2 4" xfId="10252" xr:uid="{00000000-0005-0000-0000-00003C1E0000}"/>
    <cellStyle name="Comma 4 3 2 4 2 5" xfId="6317" xr:uid="{00000000-0005-0000-0000-00003D1E0000}"/>
    <cellStyle name="Comma 4 3 2 4 3" xfId="3105" xr:uid="{00000000-0005-0000-0000-00003E1E0000}"/>
    <cellStyle name="Comma 4 3 2 4 3 2" xfId="3106" xr:uid="{00000000-0005-0000-0000-00003F1E0000}"/>
    <cellStyle name="Comma 4 3 2 4 3 2 2" xfId="10257" xr:uid="{00000000-0005-0000-0000-0000401E0000}"/>
    <cellStyle name="Comma 4 3 2 4 3 3" xfId="10256" xr:uid="{00000000-0005-0000-0000-0000411E0000}"/>
    <cellStyle name="Comma 4 3 2 4 3 4" xfId="6319" xr:uid="{00000000-0005-0000-0000-0000421E0000}"/>
    <cellStyle name="Comma 4 3 2 4 4" xfId="3107" xr:uid="{00000000-0005-0000-0000-0000431E0000}"/>
    <cellStyle name="Comma 4 3 2 4 4 2" xfId="3108" xr:uid="{00000000-0005-0000-0000-0000441E0000}"/>
    <cellStyle name="Comma 4 3 2 4 4 2 2" xfId="10259" xr:uid="{00000000-0005-0000-0000-0000451E0000}"/>
    <cellStyle name="Comma 4 3 2 4 4 3" xfId="10258" xr:uid="{00000000-0005-0000-0000-0000461E0000}"/>
    <cellStyle name="Comma 4 3 2 4 4 4" xfId="6320" xr:uid="{00000000-0005-0000-0000-0000471E0000}"/>
    <cellStyle name="Comma 4 3 2 4 5" xfId="3109" xr:uid="{00000000-0005-0000-0000-0000481E0000}"/>
    <cellStyle name="Comma 4 3 2 4 5 2" xfId="10260" xr:uid="{00000000-0005-0000-0000-0000491E0000}"/>
    <cellStyle name="Comma 4 3 2 4 6" xfId="10251" xr:uid="{00000000-0005-0000-0000-00004A1E0000}"/>
    <cellStyle name="Comma 4 3 2 4 7" xfId="6316" xr:uid="{00000000-0005-0000-0000-00004B1E0000}"/>
    <cellStyle name="Comma 4 3 2 5" xfId="3110" xr:uid="{00000000-0005-0000-0000-00004C1E0000}"/>
    <cellStyle name="Comma 4 3 2 5 2" xfId="3111" xr:uid="{00000000-0005-0000-0000-00004D1E0000}"/>
    <cellStyle name="Comma 4 3 2 5 2 2" xfId="3112" xr:uid="{00000000-0005-0000-0000-00004E1E0000}"/>
    <cellStyle name="Comma 4 3 2 5 2 2 2" xfId="3113" xr:uid="{00000000-0005-0000-0000-00004F1E0000}"/>
    <cellStyle name="Comma 4 3 2 5 2 2 2 2" xfId="10264" xr:uid="{00000000-0005-0000-0000-0000501E0000}"/>
    <cellStyle name="Comma 4 3 2 5 2 2 3" xfId="10263" xr:uid="{00000000-0005-0000-0000-0000511E0000}"/>
    <cellStyle name="Comma 4 3 2 5 2 2 4" xfId="6323" xr:uid="{00000000-0005-0000-0000-0000521E0000}"/>
    <cellStyle name="Comma 4 3 2 5 2 3" xfId="3114" xr:uid="{00000000-0005-0000-0000-0000531E0000}"/>
    <cellStyle name="Comma 4 3 2 5 2 3 2" xfId="10265" xr:uid="{00000000-0005-0000-0000-0000541E0000}"/>
    <cellStyle name="Comma 4 3 2 5 2 4" xfId="10262" xr:uid="{00000000-0005-0000-0000-0000551E0000}"/>
    <cellStyle name="Comma 4 3 2 5 2 5" xfId="6322" xr:uid="{00000000-0005-0000-0000-0000561E0000}"/>
    <cellStyle name="Comma 4 3 2 5 3" xfId="3115" xr:uid="{00000000-0005-0000-0000-0000571E0000}"/>
    <cellStyle name="Comma 4 3 2 5 3 2" xfId="3116" xr:uid="{00000000-0005-0000-0000-0000581E0000}"/>
    <cellStyle name="Comma 4 3 2 5 3 2 2" xfId="10267" xr:uid="{00000000-0005-0000-0000-0000591E0000}"/>
    <cellStyle name="Comma 4 3 2 5 3 3" xfId="10266" xr:uid="{00000000-0005-0000-0000-00005A1E0000}"/>
    <cellStyle name="Comma 4 3 2 5 3 4" xfId="6324" xr:uid="{00000000-0005-0000-0000-00005B1E0000}"/>
    <cellStyle name="Comma 4 3 2 5 4" xfId="3117" xr:uid="{00000000-0005-0000-0000-00005C1E0000}"/>
    <cellStyle name="Comma 4 3 2 5 4 2" xfId="3118" xr:uid="{00000000-0005-0000-0000-00005D1E0000}"/>
    <cellStyle name="Comma 4 3 2 5 4 2 2" xfId="10269" xr:uid="{00000000-0005-0000-0000-00005E1E0000}"/>
    <cellStyle name="Comma 4 3 2 5 4 3" xfId="10268" xr:uid="{00000000-0005-0000-0000-00005F1E0000}"/>
    <cellStyle name="Comma 4 3 2 5 4 4" xfId="6325" xr:uid="{00000000-0005-0000-0000-0000601E0000}"/>
    <cellStyle name="Comma 4 3 2 5 5" xfId="3119" xr:uid="{00000000-0005-0000-0000-0000611E0000}"/>
    <cellStyle name="Comma 4 3 2 5 5 2" xfId="10270" xr:uid="{00000000-0005-0000-0000-0000621E0000}"/>
    <cellStyle name="Comma 4 3 2 5 6" xfId="10261" xr:uid="{00000000-0005-0000-0000-0000631E0000}"/>
    <cellStyle name="Comma 4 3 2 5 7" xfId="6321" xr:uid="{00000000-0005-0000-0000-0000641E0000}"/>
    <cellStyle name="Comma 4 3 2 6" xfId="3120" xr:uid="{00000000-0005-0000-0000-0000651E0000}"/>
    <cellStyle name="Comma 4 3 2 6 2" xfId="3121" xr:uid="{00000000-0005-0000-0000-0000661E0000}"/>
    <cellStyle name="Comma 4 3 2 6 2 2" xfId="3122" xr:uid="{00000000-0005-0000-0000-0000671E0000}"/>
    <cellStyle name="Comma 4 3 2 6 2 2 2" xfId="10273" xr:uid="{00000000-0005-0000-0000-0000681E0000}"/>
    <cellStyle name="Comma 4 3 2 6 2 3" xfId="10272" xr:uid="{00000000-0005-0000-0000-0000691E0000}"/>
    <cellStyle name="Comma 4 3 2 6 2 4" xfId="6327" xr:uid="{00000000-0005-0000-0000-00006A1E0000}"/>
    <cellStyle name="Comma 4 3 2 6 3" xfId="3123" xr:uid="{00000000-0005-0000-0000-00006B1E0000}"/>
    <cellStyle name="Comma 4 3 2 6 3 2" xfId="3124" xr:uid="{00000000-0005-0000-0000-00006C1E0000}"/>
    <cellStyle name="Comma 4 3 2 6 3 2 2" xfId="10275" xr:uid="{00000000-0005-0000-0000-00006D1E0000}"/>
    <cellStyle name="Comma 4 3 2 6 3 3" xfId="10274" xr:uid="{00000000-0005-0000-0000-00006E1E0000}"/>
    <cellStyle name="Comma 4 3 2 6 3 4" xfId="6328" xr:uid="{00000000-0005-0000-0000-00006F1E0000}"/>
    <cellStyle name="Comma 4 3 2 6 4" xfId="3125" xr:uid="{00000000-0005-0000-0000-0000701E0000}"/>
    <cellStyle name="Comma 4 3 2 6 4 2" xfId="10276" xr:uid="{00000000-0005-0000-0000-0000711E0000}"/>
    <cellStyle name="Comma 4 3 2 6 5" xfId="10271" xr:uid="{00000000-0005-0000-0000-0000721E0000}"/>
    <cellStyle name="Comma 4 3 2 6 6" xfId="6326" xr:uid="{00000000-0005-0000-0000-0000731E0000}"/>
    <cellStyle name="Comma 4 3 2 7" xfId="3126" xr:uid="{00000000-0005-0000-0000-0000741E0000}"/>
    <cellStyle name="Comma 4 3 2 7 2" xfId="3127" xr:uid="{00000000-0005-0000-0000-0000751E0000}"/>
    <cellStyle name="Comma 4 3 2 7 2 2" xfId="3128" xr:uid="{00000000-0005-0000-0000-0000761E0000}"/>
    <cellStyle name="Comma 4 3 2 7 2 2 2" xfId="10279" xr:uid="{00000000-0005-0000-0000-0000771E0000}"/>
    <cellStyle name="Comma 4 3 2 7 2 3" xfId="10278" xr:uid="{00000000-0005-0000-0000-0000781E0000}"/>
    <cellStyle name="Comma 4 3 2 7 2 4" xfId="6330" xr:uid="{00000000-0005-0000-0000-0000791E0000}"/>
    <cellStyle name="Comma 4 3 2 7 3" xfId="3129" xr:uid="{00000000-0005-0000-0000-00007A1E0000}"/>
    <cellStyle name="Comma 4 3 2 7 3 2" xfId="10280" xr:uid="{00000000-0005-0000-0000-00007B1E0000}"/>
    <cellStyle name="Comma 4 3 2 7 4" xfId="10277" xr:uid="{00000000-0005-0000-0000-00007C1E0000}"/>
    <cellStyle name="Comma 4 3 2 7 5" xfId="6329" xr:uid="{00000000-0005-0000-0000-00007D1E0000}"/>
    <cellStyle name="Comma 4 3 2 8" xfId="3130" xr:uid="{00000000-0005-0000-0000-00007E1E0000}"/>
    <cellStyle name="Comma 4 3 2 8 2" xfId="3131" xr:uid="{00000000-0005-0000-0000-00007F1E0000}"/>
    <cellStyle name="Comma 4 3 2 8 2 2" xfId="10282" xr:uid="{00000000-0005-0000-0000-0000801E0000}"/>
    <cellStyle name="Comma 4 3 2 8 3" xfId="10281" xr:uid="{00000000-0005-0000-0000-0000811E0000}"/>
    <cellStyle name="Comma 4 3 2 8 4" xfId="6331" xr:uid="{00000000-0005-0000-0000-0000821E0000}"/>
    <cellStyle name="Comma 4 3 2 9" xfId="3132" xr:uid="{00000000-0005-0000-0000-0000831E0000}"/>
    <cellStyle name="Comma 4 3 2 9 2" xfId="3133" xr:uid="{00000000-0005-0000-0000-0000841E0000}"/>
    <cellStyle name="Comma 4 3 2 9 2 2" xfId="10284" xr:uid="{00000000-0005-0000-0000-0000851E0000}"/>
    <cellStyle name="Comma 4 3 2 9 3" xfId="10283" xr:uid="{00000000-0005-0000-0000-0000861E0000}"/>
    <cellStyle name="Comma 4 3 2 9 4" xfId="6332" xr:uid="{00000000-0005-0000-0000-0000871E0000}"/>
    <cellStyle name="Comma 4 3 3" xfId="3134" xr:uid="{00000000-0005-0000-0000-0000881E0000}"/>
    <cellStyle name="Comma 4 3 3 2" xfId="3135" xr:uid="{00000000-0005-0000-0000-0000891E0000}"/>
    <cellStyle name="Comma 4 3 3 2 2" xfId="3136" xr:uid="{00000000-0005-0000-0000-00008A1E0000}"/>
    <cellStyle name="Comma 4 3 3 2 2 2" xfId="3137" xr:uid="{00000000-0005-0000-0000-00008B1E0000}"/>
    <cellStyle name="Comma 4 3 3 2 2 2 2" xfId="10288" xr:uid="{00000000-0005-0000-0000-00008C1E0000}"/>
    <cellStyle name="Comma 4 3 3 2 2 3" xfId="10287" xr:uid="{00000000-0005-0000-0000-00008D1E0000}"/>
    <cellStyle name="Comma 4 3 3 2 2 4" xfId="6335" xr:uid="{00000000-0005-0000-0000-00008E1E0000}"/>
    <cellStyle name="Comma 4 3 3 2 3" xfId="3138" xr:uid="{00000000-0005-0000-0000-00008F1E0000}"/>
    <cellStyle name="Comma 4 3 3 2 3 2" xfId="10289" xr:uid="{00000000-0005-0000-0000-0000901E0000}"/>
    <cellStyle name="Comma 4 3 3 2 4" xfId="10286" xr:uid="{00000000-0005-0000-0000-0000911E0000}"/>
    <cellStyle name="Comma 4 3 3 2 5" xfId="6334" xr:uid="{00000000-0005-0000-0000-0000921E0000}"/>
    <cellStyle name="Comma 4 3 3 3" xfId="3139" xr:uid="{00000000-0005-0000-0000-0000931E0000}"/>
    <cellStyle name="Comma 4 3 3 3 2" xfId="3140" xr:uid="{00000000-0005-0000-0000-0000941E0000}"/>
    <cellStyle name="Comma 4 3 3 3 2 2" xfId="10291" xr:uid="{00000000-0005-0000-0000-0000951E0000}"/>
    <cellStyle name="Comma 4 3 3 3 3" xfId="10290" xr:uid="{00000000-0005-0000-0000-0000961E0000}"/>
    <cellStyle name="Comma 4 3 3 3 4" xfId="6336" xr:uid="{00000000-0005-0000-0000-0000971E0000}"/>
    <cellStyle name="Comma 4 3 3 4" xfId="3141" xr:uid="{00000000-0005-0000-0000-0000981E0000}"/>
    <cellStyle name="Comma 4 3 3 4 2" xfId="3142" xr:uid="{00000000-0005-0000-0000-0000991E0000}"/>
    <cellStyle name="Comma 4 3 3 4 2 2" xfId="10293" xr:uid="{00000000-0005-0000-0000-00009A1E0000}"/>
    <cellStyle name="Comma 4 3 3 4 3" xfId="10292" xr:uid="{00000000-0005-0000-0000-00009B1E0000}"/>
    <cellStyle name="Comma 4 3 3 4 4" xfId="6337" xr:uid="{00000000-0005-0000-0000-00009C1E0000}"/>
    <cellStyle name="Comma 4 3 3 5" xfId="3143" xr:uid="{00000000-0005-0000-0000-00009D1E0000}"/>
    <cellStyle name="Comma 4 3 3 5 2" xfId="10294" xr:uid="{00000000-0005-0000-0000-00009E1E0000}"/>
    <cellStyle name="Comma 4 3 3 6" xfId="10285" xr:uid="{00000000-0005-0000-0000-00009F1E0000}"/>
    <cellStyle name="Comma 4 3 3 7" xfId="6333" xr:uid="{00000000-0005-0000-0000-0000A01E0000}"/>
    <cellStyle name="Comma 4 3 4" xfId="3144" xr:uid="{00000000-0005-0000-0000-0000A11E0000}"/>
    <cellStyle name="Comma 4 3 4 2" xfId="3145" xr:uid="{00000000-0005-0000-0000-0000A21E0000}"/>
    <cellStyle name="Comma 4 3 4 2 2" xfId="3146" xr:uid="{00000000-0005-0000-0000-0000A31E0000}"/>
    <cellStyle name="Comma 4 3 4 2 2 2" xfId="3147" xr:uid="{00000000-0005-0000-0000-0000A41E0000}"/>
    <cellStyle name="Comma 4 3 4 2 2 2 2" xfId="10298" xr:uid="{00000000-0005-0000-0000-0000A51E0000}"/>
    <cellStyle name="Comma 4 3 4 2 2 3" xfId="10297" xr:uid="{00000000-0005-0000-0000-0000A61E0000}"/>
    <cellStyle name="Comma 4 3 4 2 2 4" xfId="6340" xr:uid="{00000000-0005-0000-0000-0000A71E0000}"/>
    <cellStyle name="Comma 4 3 4 2 3" xfId="3148" xr:uid="{00000000-0005-0000-0000-0000A81E0000}"/>
    <cellStyle name="Comma 4 3 4 2 3 2" xfId="10299" xr:uid="{00000000-0005-0000-0000-0000A91E0000}"/>
    <cellStyle name="Comma 4 3 4 2 4" xfId="10296" xr:uid="{00000000-0005-0000-0000-0000AA1E0000}"/>
    <cellStyle name="Comma 4 3 4 2 5" xfId="6339" xr:uid="{00000000-0005-0000-0000-0000AB1E0000}"/>
    <cellStyle name="Comma 4 3 4 3" xfId="3149" xr:uid="{00000000-0005-0000-0000-0000AC1E0000}"/>
    <cellStyle name="Comma 4 3 4 3 2" xfId="3150" xr:uid="{00000000-0005-0000-0000-0000AD1E0000}"/>
    <cellStyle name="Comma 4 3 4 3 2 2" xfId="10301" xr:uid="{00000000-0005-0000-0000-0000AE1E0000}"/>
    <cellStyle name="Comma 4 3 4 3 3" xfId="10300" xr:uid="{00000000-0005-0000-0000-0000AF1E0000}"/>
    <cellStyle name="Comma 4 3 4 3 4" xfId="6341" xr:uid="{00000000-0005-0000-0000-0000B01E0000}"/>
    <cellStyle name="Comma 4 3 4 4" xfId="3151" xr:uid="{00000000-0005-0000-0000-0000B11E0000}"/>
    <cellStyle name="Comma 4 3 4 4 2" xfId="3152" xr:uid="{00000000-0005-0000-0000-0000B21E0000}"/>
    <cellStyle name="Comma 4 3 4 4 2 2" xfId="10303" xr:uid="{00000000-0005-0000-0000-0000B31E0000}"/>
    <cellStyle name="Comma 4 3 4 4 3" xfId="10302" xr:uid="{00000000-0005-0000-0000-0000B41E0000}"/>
    <cellStyle name="Comma 4 3 4 4 4" xfId="6342" xr:uid="{00000000-0005-0000-0000-0000B51E0000}"/>
    <cellStyle name="Comma 4 3 4 5" xfId="3153" xr:uid="{00000000-0005-0000-0000-0000B61E0000}"/>
    <cellStyle name="Comma 4 3 4 5 2" xfId="10304" xr:uid="{00000000-0005-0000-0000-0000B71E0000}"/>
    <cellStyle name="Comma 4 3 4 6" xfId="10295" xr:uid="{00000000-0005-0000-0000-0000B81E0000}"/>
    <cellStyle name="Comma 4 3 4 7" xfId="6338" xr:uid="{00000000-0005-0000-0000-0000B91E0000}"/>
    <cellStyle name="Comma 4 3 5" xfId="3154" xr:uid="{00000000-0005-0000-0000-0000BA1E0000}"/>
    <cellStyle name="Comma 4 3 5 2" xfId="3155" xr:uid="{00000000-0005-0000-0000-0000BB1E0000}"/>
    <cellStyle name="Comma 4 3 5 2 2" xfId="3156" xr:uid="{00000000-0005-0000-0000-0000BC1E0000}"/>
    <cellStyle name="Comma 4 3 5 2 2 2" xfId="3157" xr:uid="{00000000-0005-0000-0000-0000BD1E0000}"/>
    <cellStyle name="Comma 4 3 5 2 2 2 2" xfId="10308" xr:uid="{00000000-0005-0000-0000-0000BE1E0000}"/>
    <cellStyle name="Comma 4 3 5 2 2 3" xfId="10307" xr:uid="{00000000-0005-0000-0000-0000BF1E0000}"/>
    <cellStyle name="Comma 4 3 5 2 2 4" xfId="6345" xr:uid="{00000000-0005-0000-0000-0000C01E0000}"/>
    <cellStyle name="Comma 4 3 5 2 3" xfId="3158" xr:uid="{00000000-0005-0000-0000-0000C11E0000}"/>
    <cellStyle name="Comma 4 3 5 2 3 2" xfId="10309" xr:uid="{00000000-0005-0000-0000-0000C21E0000}"/>
    <cellStyle name="Comma 4 3 5 2 4" xfId="10306" xr:uid="{00000000-0005-0000-0000-0000C31E0000}"/>
    <cellStyle name="Comma 4 3 5 2 5" xfId="6344" xr:uid="{00000000-0005-0000-0000-0000C41E0000}"/>
    <cellStyle name="Comma 4 3 5 3" xfId="3159" xr:uid="{00000000-0005-0000-0000-0000C51E0000}"/>
    <cellStyle name="Comma 4 3 5 3 2" xfId="3160" xr:uid="{00000000-0005-0000-0000-0000C61E0000}"/>
    <cellStyle name="Comma 4 3 5 3 2 2" xfId="10311" xr:uid="{00000000-0005-0000-0000-0000C71E0000}"/>
    <cellStyle name="Comma 4 3 5 3 3" xfId="10310" xr:uid="{00000000-0005-0000-0000-0000C81E0000}"/>
    <cellStyle name="Comma 4 3 5 3 4" xfId="6346" xr:uid="{00000000-0005-0000-0000-0000C91E0000}"/>
    <cellStyle name="Comma 4 3 5 4" xfId="3161" xr:uid="{00000000-0005-0000-0000-0000CA1E0000}"/>
    <cellStyle name="Comma 4 3 5 4 2" xfId="3162" xr:uid="{00000000-0005-0000-0000-0000CB1E0000}"/>
    <cellStyle name="Comma 4 3 5 4 2 2" xfId="10313" xr:uid="{00000000-0005-0000-0000-0000CC1E0000}"/>
    <cellStyle name="Comma 4 3 5 4 3" xfId="10312" xr:uid="{00000000-0005-0000-0000-0000CD1E0000}"/>
    <cellStyle name="Comma 4 3 5 4 4" xfId="6347" xr:uid="{00000000-0005-0000-0000-0000CE1E0000}"/>
    <cellStyle name="Comma 4 3 5 5" xfId="3163" xr:uid="{00000000-0005-0000-0000-0000CF1E0000}"/>
    <cellStyle name="Comma 4 3 5 5 2" xfId="10314" xr:uid="{00000000-0005-0000-0000-0000D01E0000}"/>
    <cellStyle name="Comma 4 3 5 6" xfId="10305" xr:uid="{00000000-0005-0000-0000-0000D11E0000}"/>
    <cellStyle name="Comma 4 3 5 7" xfId="6343" xr:uid="{00000000-0005-0000-0000-0000D21E0000}"/>
    <cellStyle name="Comma 4 3 6" xfId="3164" xr:uid="{00000000-0005-0000-0000-0000D31E0000}"/>
    <cellStyle name="Comma 4 3 6 2" xfId="3165" xr:uid="{00000000-0005-0000-0000-0000D41E0000}"/>
    <cellStyle name="Comma 4 3 6 2 2" xfId="3166" xr:uid="{00000000-0005-0000-0000-0000D51E0000}"/>
    <cellStyle name="Comma 4 3 6 2 2 2" xfId="3167" xr:uid="{00000000-0005-0000-0000-0000D61E0000}"/>
    <cellStyle name="Comma 4 3 6 2 2 2 2" xfId="10318" xr:uid="{00000000-0005-0000-0000-0000D71E0000}"/>
    <cellStyle name="Comma 4 3 6 2 2 3" xfId="10317" xr:uid="{00000000-0005-0000-0000-0000D81E0000}"/>
    <cellStyle name="Comma 4 3 6 2 2 4" xfId="6350" xr:uid="{00000000-0005-0000-0000-0000D91E0000}"/>
    <cellStyle name="Comma 4 3 6 2 3" xfId="3168" xr:uid="{00000000-0005-0000-0000-0000DA1E0000}"/>
    <cellStyle name="Comma 4 3 6 2 3 2" xfId="10319" xr:uid="{00000000-0005-0000-0000-0000DB1E0000}"/>
    <cellStyle name="Comma 4 3 6 2 4" xfId="10316" xr:uid="{00000000-0005-0000-0000-0000DC1E0000}"/>
    <cellStyle name="Comma 4 3 6 2 5" xfId="6349" xr:uid="{00000000-0005-0000-0000-0000DD1E0000}"/>
    <cellStyle name="Comma 4 3 6 3" xfId="3169" xr:uid="{00000000-0005-0000-0000-0000DE1E0000}"/>
    <cellStyle name="Comma 4 3 6 3 2" xfId="3170" xr:uid="{00000000-0005-0000-0000-0000DF1E0000}"/>
    <cellStyle name="Comma 4 3 6 3 2 2" xfId="10321" xr:uid="{00000000-0005-0000-0000-0000E01E0000}"/>
    <cellStyle name="Comma 4 3 6 3 3" xfId="10320" xr:uid="{00000000-0005-0000-0000-0000E11E0000}"/>
    <cellStyle name="Comma 4 3 6 3 4" xfId="6351" xr:uid="{00000000-0005-0000-0000-0000E21E0000}"/>
    <cellStyle name="Comma 4 3 6 4" xfId="3171" xr:uid="{00000000-0005-0000-0000-0000E31E0000}"/>
    <cellStyle name="Comma 4 3 6 4 2" xfId="3172" xr:uid="{00000000-0005-0000-0000-0000E41E0000}"/>
    <cellStyle name="Comma 4 3 6 4 2 2" xfId="10323" xr:uid="{00000000-0005-0000-0000-0000E51E0000}"/>
    <cellStyle name="Comma 4 3 6 4 3" xfId="10322" xr:uid="{00000000-0005-0000-0000-0000E61E0000}"/>
    <cellStyle name="Comma 4 3 6 4 4" xfId="6352" xr:uid="{00000000-0005-0000-0000-0000E71E0000}"/>
    <cellStyle name="Comma 4 3 6 5" xfId="3173" xr:uid="{00000000-0005-0000-0000-0000E81E0000}"/>
    <cellStyle name="Comma 4 3 6 5 2" xfId="10324" xr:uid="{00000000-0005-0000-0000-0000E91E0000}"/>
    <cellStyle name="Comma 4 3 6 6" xfId="10315" xr:uid="{00000000-0005-0000-0000-0000EA1E0000}"/>
    <cellStyle name="Comma 4 3 6 7" xfId="6348" xr:uid="{00000000-0005-0000-0000-0000EB1E0000}"/>
    <cellStyle name="Comma 4 3 7" xfId="3174" xr:uid="{00000000-0005-0000-0000-0000EC1E0000}"/>
    <cellStyle name="Comma 4 3 7 2" xfId="3175" xr:uid="{00000000-0005-0000-0000-0000ED1E0000}"/>
    <cellStyle name="Comma 4 3 7 2 2" xfId="3176" xr:uid="{00000000-0005-0000-0000-0000EE1E0000}"/>
    <cellStyle name="Comma 4 3 7 2 2 2" xfId="10327" xr:uid="{00000000-0005-0000-0000-0000EF1E0000}"/>
    <cellStyle name="Comma 4 3 7 2 3" xfId="10326" xr:uid="{00000000-0005-0000-0000-0000F01E0000}"/>
    <cellStyle name="Comma 4 3 7 2 4" xfId="6354" xr:uid="{00000000-0005-0000-0000-0000F11E0000}"/>
    <cellStyle name="Comma 4 3 7 3" xfId="3177" xr:uid="{00000000-0005-0000-0000-0000F21E0000}"/>
    <cellStyle name="Comma 4 3 7 3 2" xfId="3178" xr:uid="{00000000-0005-0000-0000-0000F31E0000}"/>
    <cellStyle name="Comma 4 3 7 3 2 2" xfId="10329" xr:uid="{00000000-0005-0000-0000-0000F41E0000}"/>
    <cellStyle name="Comma 4 3 7 3 3" xfId="10328" xr:uid="{00000000-0005-0000-0000-0000F51E0000}"/>
    <cellStyle name="Comma 4 3 7 3 4" xfId="6355" xr:uid="{00000000-0005-0000-0000-0000F61E0000}"/>
    <cellStyle name="Comma 4 3 7 4" xfId="3179" xr:uid="{00000000-0005-0000-0000-0000F71E0000}"/>
    <cellStyle name="Comma 4 3 7 4 2" xfId="10330" xr:uid="{00000000-0005-0000-0000-0000F81E0000}"/>
    <cellStyle name="Comma 4 3 7 5" xfId="10325" xr:uid="{00000000-0005-0000-0000-0000F91E0000}"/>
    <cellStyle name="Comma 4 3 7 6" xfId="6353" xr:uid="{00000000-0005-0000-0000-0000FA1E0000}"/>
    <cellStyle name="Comma 4 3 8" xfId="3180" xr:uid="{00000000-0005-0000-0000-0000FB1E0000}"/>
    <cellStyle name="Comma 4 3 8 2" xfId="3181" xr:uid="{00000000-0005-0000-0000-0000FC1E0000}"/>
    <cellStyle name="Comma 4 3 8 2 2" xfId="3182" xr:uid="{00000000-0005-0000-0000-0000FD1E0000}"/>
    <cellStyle name="Comma 4 3 8 2 2 2" xfId="10333" xr:uid="{00000000-0005-0000-0000-0000FE1E0000}"/>
    <cellStyle name="Comma 4 3 8 2 3" xfId="10332" xr:uid="{00000000-0005-0000-0000-0000FF1E0000}"/>
    <cellStyle name="Comma 4 3 8 2 4" xfId="6357" xr:uid="{00000000-0005-0000-0000-0000001F0000}"/>
    <cellStyle name="Comma 4 3 8 3" xfId="3183" xr:uid="{00000000-0005-0000-0000-0000011F0000}"/>
    <cellStyle name="Comma 4 3 8 3 2" xfId="10334" xr:uid="{00000000-0005-0000-0000-0000021F0000}"/>
    <cellStyle name="Comma 4 3 8 4" xfId="10331" xr:uid="{00000000-0005-0000-0000-0000031F0000}"/>
    <cellStyle name="Comma 4 3 8 5" xfId="6356" xr:uid="{00000000-0005-0000-0000-0000041F0000}"/>
    <cellStyle name="Comma 4 3 9" xfId="3184" xr:uid="{00000000-0005-0000-0000-0000051F0000}"/>
    <cellStyle name="Comma 4 3 9 2" xfId="3185" xr:uid="{00000000-0005-0000-0000-0000061F0000}"/>
    <cellStyle name="Comma 4 3 9 2 2" xfId="10336" xr:uid="{00000000-0005-0000-0000-0000071F0000}"/>
    <cellStyle name="Comma 4 3 9 3" xfId="10335" xr:uid="{00000000-0005-0000-0000-0000081F0000}"/>
    <cellStyle name="Comma 4 3 9 4" xfId="6358" xr:uid="{00000000-0005-0000-0000-0000091F0000}"/>
    <cellStyle name="Comma 4 4" xfId="3186" xr:uid="{00000000-0005-0000-0000-00000A1F0000}"/>
    <cellStyle name="Comma 4 4 10" xfId="3187" xr:uid="{00000000-0005-0000-0000-00000B1F0000}"/>
    <cellStyle name="Comma 4 4 10 2" xfId="3188" xr:uid="{00000000-0005-0000-0000-00000C1F0000}"/>
    <cellStyle name="Comma 4 4 10 2 2" xfId="10339" xr:uid="{00000000-0005-0000-0000-00000D1F0000}"/>
    <cellStyle name="Comma 4 4 10 3" xfId="10338" xr:uid="{00000000-0005-0000-0000-00000E1F0000}"/>
    <cellStyle name="Comma 4 4 10 4" xfId="6360" xr:uid="{00000000-0005-0000-0000-00000F1F0000}"/>
    <cellStyle name="Comma 4 4 11" xfId="3189" xr:uid="{00000000-0005-0000-0000-0000101F0000}"/>
    <cellStyle name="Comma 4 4 11 2" xfId="10340" xr:uid="{00000000-0005-0000-0000-0000111F0000}"/>
    <cellStyle name="Comma 4 4 12" xfId="10337" xr:uid="{00000000-0005-0000-0000-0000121F0000}"/>
    <cellStyle name="Comma 4 4 13" xfId="6359" xr:uid="{00000000-0005-0000-0000-0000131F0000}"/>
    <cellStyle name="Comma 4 4 2" xfId="3190" xr:uid="{00000000-0005-0000-0000-0000141F0000}"/>
    <cellStyle name="Comma 4 4 2 10" xfId="3191" xr:uid="{00000000-0005-0000-0000-0000151F0000}"/>
    <cellStyle name="Comma 4 4 2 10 2" xfId="10342" xr:uid="{00000000-0005-0000-0000-0000161F0000}"/>
    <cellStyle name="Comma 4 4 2 11" xfId="10341" xr:uid="{00000000-0005-0000-0000-0000171F0000}"/>
    <cellStyle name="Comma 4 4 2 12" xfId="6361" xr:uid="{00000000-0005-0000-0000-0000181F0000}"/>
    <cellStyle name="Comma 4 4 2 2" xfId="3192" xr:uid="{00000000-0005-0000-0000-0000191F0000}"/>
    <cellStyle name="Comma 4 4 2 2 2" xfId="3193" xr:uid="{00000000-0005-0000-0000-00001A1F0000}"/>
    <cellStyle name="Comma 4 4 2 2 2 2" xfId="3194" xr:uid="{00000000-0005-0000-0000-00001B1F0000}"/>
    <cellStyle name="Comma 4 4 2 2 2 2 2" xfId="3195" xr:uid="{00000000-0005-0000-0000-00001C1F0000}"/>
    <cellStyle name="Comma 4 4 2 2 2 2 2 2" xfId="10346" xr:uid="{00000000-0005-0000-0000-00001D1F0000}"/>
    <cellStyle name="Comma 4 4 2 2 2 2 3" xfId="10345" xr:uid="{00000000-0005-0000-0000-00001E1F0000}"/>
    <cellStyle name="Comma 4 4 2 2 2 2 4" xfId="6364" xr:uid="{00000000-0005-0000-0000-00001F1F0000}"/>
    <cellStyle name="Comma 4 4 2 2 2 3" xfId="3196" xr:uid="{00000000-0005-0000-0000-0000201F0000}"/>
    <cellStyle name="Comma 4 4 2 2 2 3 2" xfId="10347" xr:uid="{00000000-0005-0000-0000-0000211F0000}"/>
    <cellStyle name="Comma 4 4 2 2 2 4" xfId="10344" xr:uid="{00000000-0005-0000-0000-0000221F0000}"/>
    <cellStyle name="Comma 4 4 2 2 2 5" xfId="6363" xr:uid="{00000000-0005-0000-0000-0000231F0000}"/>
    <cellStyle name="Comma 4 4 2 2 3" xfId="3197" xr:uid="{00000000-0005-0000-0000-0000241F0000}"/>
    <cellStyle name="Comma 4 4 2 2 3 2" xfId="3198" xr:uid="{00000000-0005-0000-0000-0000251F0000}"/>
    <cellStyle name="Comma 4 4 2 2 3 2 2" xfId="10349" xr:uid="{00000000-0005-0000-0000-0000261F0000}"/>
    <cellStyle name="Comma 4 4 2 2 3 3" xfId="10348" xr:uid="{00000000-0005-0000-0000-0000271F0000}"/>
    <cellStyle name="Comma 4 4 2 2 3 4" xfId="6365" xr:uid="{00000000-0005-0000-0000-0000281F0000}"/>
    <cellStyle name="Comma 4 4 2 2 4" xfId="3199" xr:uid="{00000000-0005-0000-0000-0000291F0000}"/>
    <cellStyle name="Comma 4 4 2 2 4 2" xfId="3200" xr:uid="{00000000-0005-0000-0000-00002A1F0000}"/>
    <cellStyle name="Comma 4 4 2 2 4 2 2" xfId="10351" xr:uid="{00000000-0005-0000-0000-00002B1F0000}"/>
    <cellStyle name="Comma 4 4 2 2 4 3" xfId="10350" xr:uid="{00000000-0005-0000-0000-00002C1F0000}"/>
    <cellStyle name="Comma 4 4 2 2 4 4" xfId="6366" xr:uid="{00000000-0005-0000-0000-00002D1F0000}"/>
    <cellStyle name="Comma 4 4 2 2 5" xfId="3201" xr:uid="{00000000-0005-0000-0000-00002E1F0000}"/>
    <cellStyle name="Comma 4 4 2 2 5 2" xfId="10352" xr:uid="{00000000-0005-0000-0000-00002F1F0000}"/>
    <cellStyle name="Comma 4 4 2 2 6" xfId="10343" xr:uid="{00000000-0005-0000-0000-0000301F0000}"/>
    <cellStyle name="Comma 4 4 2 2 7" xfId="6362" xr:uid="{00000000-0005-0000-0000-0000311F0000}"/>
    <cellStyle name="Comma 4 4 2 3" xfId="3202" xr:uid="{00000000-0005-0000-0000-0000321F0000}"/>
    <cellStyle name="Comma 4 4 2 3 2" xfId="3203" xr:uid="{00000000-0005-0000-0000-0000331F0000}"/>
    <cellStyle name="Comma 4 4 2 3 2 2" xfId="3204" xr:uid="{00000000-0005-0000-0000-0000341F0000}"/>
    <cellStyle name="Comma 4 4 2 3 2 2 2" xfId="3205" xr:uid="{00000000-0005-0000-0000-0000351F0000}"/>
    <cellStyle name="Comma 4 4 2 3 2 2 2 2" xfId="10356" xr:uid="{00000000-0005-0000-0000-0000361F0000}"/>
    <cellStyle name="Comma 4 4 2 3 2 2 3" xfId="10355" xr:uid="{00000000-0005-0000-0000-0000371F0000}"/>
    <cellStyle name="Comma 4 4 2 3 2 2 4" xfId="6369" xr:uid="{00000000-0005-0000-0000-0000381F0000}"/>
    <cellStyle name="Comma 4 4 2 3 2 3" xfId="3206" xr:uid="{00000000-0005-0000-0000-0000391F0000}"/>
    <cellStyle name="Comma 4 4 2 3 2 3 2" xfId="10357" xr:uid="{00000000-0005-0000-0000-00003A1F0000}"/>
    <cellStyle name="Comma 4 4 2 3 2 4" xfId="10354" xr:uid="{00000000-0005-0000-0000-00003B1F0000}"/>
    <cellStyle name="Comma 4 4 2 3 2 5" xfId="6368" xr:uid="{00000000-0005-0000-0000-00003C1F0000}"/>
    <cellStyle name="Comma 4 4 2 3 3" xfId="3207" xr:uid="{00000000-0005-0000-0000-00003D1F0000}"/>
    <cellStyle name="Comma 4 4 2 3 3 2" xfId="3208" xr:uid="{00000000-0005-0000-0000-00003E1F0000}"/>
    <cellStyle name="Comma 4 4 2 3 3 2 2" xfId="10359" xr:uid="{00000000-0005-0000-0000-00003F1F0000}"/>
    <cellStyle name="Comma 4 4 2 3 3 3" xfId="10358" xr:uid="{00000000-0005-0000-0000-0000401F0000}"/>
    <cellStyle name="Comma 4 4 2 3 3 4" xfId="6370" xr:uid="{00000000-0005-0000-0000-0000411F0000}"/>
    <cellStyle name="Comma 4 4 2 3 4" xfId="3209" xr:uid="{00000000-0005-0000-0000-0000421F0000}"/>
    <cellStyle name="Comma 4 4 2 3 4 2" xfId="3210" xr:uid="{00000000-0005-0000-0000-0000431F0000}"/>
    <cellStyle name="Comma 4 4 2 3 4 2 2" xfId="10361" xr:uid="{00000000-0005-0000-0000-0000441F0000}"/>
    <cellStyle name="Comma 4 4 2 3 4 3" xfId="10360" xr:uid="{00000000-0005-0000-0000-0000451F0000}"/>
    <cellStyle name="Comma 4 4 2 3 4 4" xfId="6371" xr:uid="{00000000-0005-0000-0000-0000461F0000}"/>
    <cellStyle name="Comma 4 4 2 3 5" xfId="3211" xr:uid="{00000000-0005-0000-0000-0000471F0000}"/>
    <cellStyle name="Comma 4 4 2 3 5 2" xfId="10362" xr:uid="{00000000-0005-0000-0000-0000481F0000}"/>
    <cellStyle name="Comma 4 4 2 3 6" xfId="10353" xr:uid="{00000000-0005-0000-0000-0000491F0000}"/>
    <cellStyle name="Comma 4 4 2 3 7" xfId="6367" xr:uid="{00000000-0005-0000-0000-00004A1F0000}"/>
    <cellStyle name="Comma 4 4 2 4" xfId="3212" xr:uid="{00000000-0005-0000-0000-00004B1F0000}"/>
    <cellStyle name="Comma 4 4 2 4 2" xfId="3213" xr:uid="{00000000-0005-0000-0000-00004C1F0000}"/>
    <cellStyle name="Comma 4 4 2 4 2 2" xfId="3214" xr:uid="{00000000-0005-0000-0000-00004D1F0000}"/>
    <cellStyle name="Comma 4 4 2 4 2 2 2" xfId="3215" xr:uid="{00000000-0005-0000-0000-00004E1F0000}"/>
    <cellStyle name="Comma 4 4 2 4 2 2 2 2" xfId="10366" xr:uid="{00000000-0005-0000-0000-00004F1F0000}"/>
    <cellStyle name="Comma 4 4 2 4 2 2 3" xfId="10365" xr:uid="{00000000-0005-0000-0000-0000501F0000}"/>
    <cellStyle name="Comma 4 4 2 4 2 2 4" xfId="6374" xr:uid="{00000000-0005-0000-0000-0000511F0000}"/>
    <cellStyle name="Comma 4 4 2 4 2 3" xfId="3216" xr:uid="{00000000-0005-0000-0000-0000521F0000}"/>
    <cellStyle name="Comma 4 4 2 4 2 3 2" xfId="10367" xr:uid="{00000000-0005-0000-0000-0000531F0000}"/>
    <cellStyle name="Comma 4 4 2 4 2 4" xfId="10364" xr:uid="{00000000-0005-0000-0000-0000541F0000}"/>
    <cellStyle name="Comma 4 4 2 4 2 5" xfId="6373" xr:uid="{00000000-0005-0000-0000-0000551F0000}"/>
    <cellStyle name="Comma 4 4 2 4 3" xfId="3217" xr:uid="{00000000-0005-0000-0000-0000561F0000}"/>
    <cellStyle name="Comma 4 4 2 4 3 2" xfId="3218" xr:uid="{00000000-0005-0000-0000-0000571F0000}"/>
    <cellStyle name="Comma 4 4 2 4 3 2 2" xfId="10369" xr:uid="{00000000-0005-0000-0000-0000581F0000}"/>
    <cellStyle name="Comma 4 4 2 4 3 3" xfId="10368" xr:uid="{00000000-0005-0000-0000-0000591F0000}"/>
    <cellStyle name="Comma 4 4 2 4 3 4" xfId="6375" xr:uid="{00000000-0005-0000-0000-00005A1F0000}"/>
    <cellStyle name="Comma 4 4 2 4 4" xfId="3219" xr:uid="{00000000-0005-0000-0000-00005B1F0000}"/>
    <cellStyle name="Comma 4 4 2 4 4 2" xfId="3220" xr:uid="{00000000-0005-0000-0000-00005C1F0000}"/>
    <cellStyle name="Comma 4 4 2 4 4 2 2" xfId="10371" xr:uid="{00000000-0005-0000-0000-00005D1F0000}"/>
    <cellStyle name="Comma 4 4 2 4 4 3" xfId="10370" xr:uid="{00000000-0005-0000-0000-00005E1F0000}"/>
    <cellStyle name="Comma 4 4 2 4 4 4" xfId="6376" xr:uid="{00000000-0005-0000-0000-00005F1F0000}"/>
    <cellStyle name="Comma 4 4 2 4 5" xfId="3221" xr:uid="{00000000-0005-0000-0000-0000601F0000}"/>
    <cellStyle name="Comma 4 4 2 4 5 2" xfId="10372" xr:uid="{00000000-0005-0000-0000-0000611F0000}"/>
    <cellStyle name="Comma 4 4 2 4 6" xfId="10363" xr:uid="{00000000-0005-0000-0000-0000621F0000}"/>
    <cellStyle name="Comma 4 4 2 4 7" xfId="6372" xr:uid="{00000000-0005-0000-0000-0000631F0000}"/>
    <cellStyle name="Comma 4 4 2 5" xfId="3222" xr:uid="{00000000-0005-0000-0000-0000641F0000}"/>
    <cellStyle name="Comma 4 4 2 5 2" xfId="3223" xr:uid="{00000000-0005-0000-0000-0000651F0000}"/>
    <cellStyle name="Comma 4 4 2 5 2 2" xfId="3224" xr:uid="{00000000-0005-0000-0000-0000661F0000}"/>
    <cellStyle name="Comma 4 4 2 5 2 2 2" xfId="3225" xr:uid="{00000000-0005-0000-0000-0000671F0000}"/>
    <cellStyle name="Comma 4 4 2 5 2 2 2 2" xfId="10376" xr:uid="{00000000-0005-0000-0000-0000681F0000}"/>
    <cellStyle name="Comma 4 4 2 5 2 2 3" xfId="10375" xr:uid="{00000000-0005-0000-0000-0000691F0000}"/>
    <cellStyle name="Comma 4 4 2 5 2 2 4" xfId="6379" xr:uid="{00000000-0005-0000-0000-00006A1F0000}"/>
    <cellStyle name="Comma 4 4 2 5 2 3" xfId="3226" xr:uid="{00000000-0005-0000-0000-00006B1F0000}"/>
    <cellStyle name="Comma 4 4 2 5 2 3 2" xfId="10377" xr:uid="{00000000-0005-0000-0000-00006C1F0000}"/>
    <cellStyle name="Comma 4 4 2 5 2 4" xfId="10374" xr:uid="{00000000-0005-0000-0000-00006D1F0000}"/>
    <cellStyle name="Comma 4 4 2 5 2 5" xfId="6378" xr:uid="{00000000-0005-0000-0000-00006E1F0000}"/>
    <cellStyle name="Comma 4 4 2 5 3" xfId="3227" xr:uid="{00000000-0005-0000-0000-00006F1F0000}"/>
    <cellStyle name="Comma 4 4 2 5 3 2" xfId="3228" xr:uid="{00000000-0005-0000-0000-0000701F0000}"/>
    <cellStyle name="Comma 4 4 2 5 3 2 2" xfId="10379" xr:uid="{00000000-0005-0000-0000-0000711F0000}"/>
    <cellStyle name="Comma 4 4 2 5 3 3" xfId="10378" xr:uid="{00000000-0005-0000-0000-0000721F0000}"/>
    <cellStyle name="Comma 4 4 2 5 3 4" xfId="6380" xr:uid="{00000000-0005-0000-0000-0000731F0000}"/>
    <cellStyle name="Comma 4 4 2 5 4" xfId="3229" xr:uid="{00000000-0005-0000-0000-0000741F0000}"/>
    <cellStyle name="Comma 4 4 2 5 4 2" xfId="3230" xr:uid="{00000000-0005-0000-0000-0000751F0000}"/>
    <cellStyle name="Comma 4 4 2 5 4 2 2" xfId="10381" xr:uid="{00000000-0005-0000-0000-0000761F0000}"/>
    <cellStyle name="Comma 4 4 2 5 4 3" xfId="10380" xr:uid="{00000000-0005-0000-0000-0000771F0000}"/>
    <cellStyle name="Comma 4 4 2 5 4 4" xfId="6381" xr:uid="{00000000-0005-0000-0000-0000781F0000}"/>
    <cellStyle name="Comma 4 4 2 5 5" xfId="3231" xr:uid="{00000000-0005-0000-0000-0000791F0000}"/>
    <cellStyle name="Comma 4 4 2 5 5 2" xfId="10382" xr:uid="{00000000-0005-0000-0000-00007A1F0000}"/>
    <cellStyle name="Comma 4 4 2 5 6" xfId="10373" xr:uid="{00000000-0005-0000-0000-00007B1F0000}"/>
    <cellStyle name="Comma 4 4 2 5 7" xfId="6377" xr:uid="{00000000-0005-0000-0000-00007C1F0000}"/>
    <cellStyle name="Comma 4 4 2 6" xfId="3232" xr:uid="{00000000-0005-0000-0000-00007D1F0000}"/>
    <cellStyle name="Comma 4 4 2 6 2" xfId="3233" xr:uid="{00000000-0005-0000-0000-00007E1F0000}"/>
    <cellStyle name="Comma 4 4 2 6 2 2" xfId="3234" xr:uid="{00000000-0005-0000-0000-00007F1F0000}"/>
    <cellStyle name="Comma 4 4 2 6 2 2 2" xfId="10385" xr:uid="{00000000-0005-0000-0000-0000801F0000}"/>
    <cellStyle name="Comma 4 4 2 6 2 3" xfId="10384" xr:uid="{00000000-0005-0000-0000-0000811F0000}"/>
    <cellStyle name="Comma 4 4 2 6 2 4" xfId="6383" xr:uid="{00000000-0005-0000-0000-0000821F0000}"/>
    <cellStyle name="Comma 4 4 2 6 3" xfId="3235" xr:uid="{00000000-0005-0000-0000-0000831F0000}"/>
    <cellStyle name="Comma 4 4 2 6 3 2" xfId="3236" xr:uid="{00000000-0005-0000-0000-0000841F0000}"/>
    <cellStyle name="Comma 4 4 2 6 3 2 2" xfId="10387" xr:uid="{00000000-0005-0000-0000-0000851F0000}"/>
    <cellStyle name="Comma 4 4 2 6 3 3" xfId="10386" xr:uid="{00000000-0005-0000-0000-0000861F0000}"/>
    <cellStyle name="Comma 4 4 2 6 3 4" xfId="6384" xr:uid="{00000000-0005-0000-0000-0000871F0000}"/>
    <cellStyle name="Comma 4 4 2 6 4" xfId="3237" xr:uid="{00000000-0005-0000-0000-0000881F0000}"/>
    <cellStyle name="Comma 4 4 2 6 4 2" xfId="10388" xr:uid="{00000000-0005-0000-0000-0000891F0000}"/>
    <cellStyle name="Comma 4 4 2 6 5" xfId="10383" xr:uid="{00000000-0005-0000-0000-00008A1F0000}"/>
    <cellStyle name="Comma 4 4 2 6 6" xfId="6382" xr:uid="{00000000-0005-0000-0000-00008B1F0000}"/>
    <cellStyle name="Comma 4 4 2 7" xfId="3238" xr:uid="{00000000-0005-0000-0000-00008C1F0000}"/>
    <cellStyle name="Comma 4 4 2 7 2" xfId="3239" xr:uid="{00000000-0005-0000-0000-00008D1F0000}"/>
    <cellStyle name="Comma 4 4 2 7 2 2" xfId="3240" xr:uid="{00000000-0005-0000-0000-00008E1F0000}"/>
    <cellStyle name="Comma 4 4 2 7 2 2 2" xfId="10391" xr:uid="{00000000-0005-0000-0000-00008F1F0000}"/>
    <cellStyle name="Comma 4 4 2 7 2 3" xfId="10390" xr:uid="{00000000-0005-0000-0000-0000901F0000}"/>
    <cellStyle name="Comma 4 4 2 7 2 4" xfId="6386" xr:uid="{00000000-0005-0000-0000-0000911F0000}"/>
    <cellStyle name="Comma 4 4 2 7 3" xfId="3241" xr:uid="{00000000-0005-0000-0000-0000921F0000}"/>
    <cellStyle name="Comma 4 4 2 7 3 2" xfId="10392" xr:uid="{00000000-0005-0000-0000-0000931F0000}"/>
    <cellStyle name="Comma 4 4 2 7 4" xfId="10389" xr:uid="{00000000-0005-0000-0000-0000941F0000}"/>
    <cellStyle name="Comma 4 4 2 7 5" xfId="6385" xr:uid="{00000000-0005-0000-0000-0000951F0000}"/>
    <cellStyle name="Comma 4 4 2 8" xfId="3242" xr:uid="{00000000-0005-0000-0000-0000961F0000}"/>
    <cellStyle name="Comma 4 4 2 8 2" xfId="3243" xr:uid="{00000000-0005-0000-0000-0000971F0000}"/>
    <cellStyle name="Comma 4 4 2 8 2 2" xfId="10394" xr:uid="{00000000-0005-0000-0000-0000981F0000}"/>
    <cellStyle name="Comma 4 4 2 8 3" xfId="10393" xr:uid="{00000000-0005-0000-0000-0000991F0000}"/>
    <cellStyle name="Comma 4 4 2 8 4" xfId="6387" xr:uid="{00000000-0005-0000-0000-00009A1F0000}"/>
    <cellStyle name="Comma 4 4 2 9" xfId="3244" xr:uid="{00000000-0005-0000-0000-00009B1F0000}"/>
    <cellStyle name="Comma 4 4 2 9 2" xfId="3245" xr:uid="{00000000-0005-0000-0000-00009C1F0000}"/>
    <cellStyle name="Comma 4 4 2 9 2 2" xfId="10396" xr:uid="{00000000-0005-0000-0000-00009D1F0000}"/>
    <cellStyle name="Comma 4 4 2 9 3" xfId="10395" xr:uid="{00000000-0005-0000-0000-00009E1F0000}"/>
    <cellStyle name="Comma 4 4 2 9 4" xfId="6388" xr:uid="{00000000-0005-0000-0000-00009F1F0000}"/>
    <cellStyle name="Comma 4 4 3" xfId="3246" xr:uid="{00000000-0005-0000-0000-0000A01F0000}"/>
    <cellStyle name="Comma 4 4 3 2" xfId="3247" xr:uid="{00000000-0005-0000-0000-0000A11F0000}"/>
    <cellStyle name="Comma 4 4 3 2 2" xfId="3248" xr:uid="{00000000-0005-0000-0000-0000A21F0000}"/>
    <cellStyle name="Comma 4 4 3 2 2 2" xfId="3249" xr:uid="{00000000-0005-0000-0000-0000A31F0000}"/>
    <cellStyle name="Comma 4 4 3 2 2 2 2" xfId="10400" xr:uid="{00000000-0005-0000-0000-0000A41F0000}"/>
    <cellStyle name="Comma 4 4 3 2 2 3" xfId="10399" xr:uid="{00000000-0005-0000-0000-0000A51F0000}"/>
    <cellStyle name="Comma 4 4 3 2 2 4" xfId="6391" xr:uid="{00000000-0005-0000-0000-0000A61F0000}"/>
    <cellStyle name="Comma 4 4 3 2 3" xfId="3250" xr:uid="{00000000-0005-0000-0000-0000A71F0000}"/>
    <cellStyle name="Comma 4 4 3 2 3 2" xfId="10401" xr:uid="{00000000-0005-0000-0000-0000A81F0000}"/>
    <cellStyle name="Comma 4 4 3 2 4" xfId="10398" xr:uid="{00000000-0005-0000-0000-0000A91F0000}"/>
    <cellStyle name="Comma 4 4 3 2 5" xfId="6390" xr:uid="{00000000-0005-0000-0000-0000AA1F0000}"/>
    <cellStyle name="Comma 4 4 3 3" xfId="3251" xr:uid="{00000000-0005-0000-0000-0000AB1F0000}"/>
    <cellStyle name="Comma 4 4 3 3 2" xfId="3252" xr:uid="{00000000-0005-0000-0000-0000AC1F0000}"/>
    <cellStyle name="Comma 4 4 3 3 2 2" xfId="10403" xr:uid="{00000000-0005-0000-0000-0000AD1F0000}"/>
    <cellStyle name="Comma 4 4 3 3 3" xfId="10402" xr:uid="{00000000-0005-0000-0000-0000AE1F0000}"/>
    <cellStyle name="Comma 4 4 3 3 4" xfId="6392" xr:uid="{00000000-0005-0000-0000-0000AF1F0000}"/>
    <cellStyle name="Comma 4 4 3 4" xfId="3253" xr:uid="{00000000-0005-0000-0000-0000B01F0000}"/>
    <cellStyle name="Comma 4 4 3 4 2" xfId="3254" xr:uid="{00000000-0005-0000-0000-0000B11F0000}"/>
    <cellStyle name="Comma 4 4 3 4 2 2" xfId="10405" xr:uid="{00000000-0005-0000-0000-0000B21F0000}"/>
    <cellStyle name="Comma 4 4 3 4 3" xfId="10404" xr:uid="{00000000-0005-0000-0000-0000B31F0000}"/>
    <cellStyle name="Comma 4 4 3 4 4" xfId="6393" xr:uid="{00000000-0005-0000-0000-0000B41F0000}"/>
    <cellStyle name="Comma 4 4 3 5" xfId="3255" xr:uid="{00000000-0005-0000-0000-0000B51F0000}"/>
    <cellStyle name="Comma 4 4 3 5 2" xfId="10406" xr:uid="{00000000-0005-0000-0000-0000B61F0000}"/>
    <cellStyle name="Comma 4 4 3 6" xfId="10397" xr:uid="{00000000-0005-0000-0000-0000B71F0000}"/>
    <cellStyle name="Comma 4 4 3 7" xfId="6389" xr:uid="{00000000-0005-0000-0000-0000B81F0000}"/>
    <cellStyle name="Comma 4 4 4" xfId="3256" xr:uid="{00000000-0005-0000-0000-0000B91F0000}"/>
    <cellStyle name="Comma 4 4 4 2" xfId="3257" xr:uid="{00000000-0005-0000-0000-0000BA1F0000}"/>
    <cellStyle name="Comma 4 4 4 2 2" xfId="3258" xr:uid="{00000000-0005-0000-0000-0000BB1F0000}"/>
    <cellStyle name="Comma 4 4 4 2 2 2" xfId="3259" xr:uid="{00000000-0005-0000-0000-0000BC1F0000}"/>
    <cellStyle name="Comma 4 4 4 2 2 2 2" xfId="10410" xr:uid="{00000000-0005-0000-0000-0000BD1F0000}"/>
    <cellStyle name="Comma 4 4 4 2 2 3" xfId="10409" xr:uid="{00000000-0005-0000-0000-0000BE1F0000}"/>
    <cellStyle name="Comma 4 4 4 2 2 4" xfId="6396" xr:uid="{00000000-0005-0000-0000-0000BF1F0000}"/>
    <cellStyle name="Comma 4 4 4 2 3" xfId="3260" xr:uid="{00000000-0005-0000-0000-0000C01F0000}"/>
    <cellStyle name="Comma 4 4 4 2 3 2" xfId="10411" xr:uid="{00000000-0005-0000-0000-0000C11F0000}"/>
    <cellStyle name="Comma 4 4 4 2 4" xfId="10408" xr:uid="{00000000-0005-0000-0000-0000C21F0000}"/>
    <cellStyle name="Comma 4 4 4 2 5" xfId="6395" xr:uid="{00000000-0005-0000-0000-0000C31F0000}"/>
    <cellStyle name="Comma 4 4 4 3" xfId="3261" xr:uid="{00000000-0005-0000-0000-0000C41F0000}"/>
    <cellStyle name="Comma 4 4 4 3 2" xfId="3262" xr:uid="{00000000-0005-0000-0000-0000C51F0000}"/>
    <cellStyle name="Comma 4 4 4 3 2 2" xfId="10413" xr:uid="{00000000-0005-0000-0000-0000C61F0000}"/>
    <cellStyle name="Comma 4 4 4 3 3" xfId="10412" xr:uid="{00000000-0005-0000-0000-0000C71F0000}"/>
    <cellStyle name="Comma 4 4 4 3 4" xfId="6397" xr:uid="{00000000-0005-0000-0000-0000C81F0000}"/>
    <cellStyle name="Comma 4 4 4 4" xfId="3263" xr:uid="{00000000-0005-0000-0000-0000C91F0000}"/>
    <cellStyle name="Comma 4 4 4 4 2" xfId="3264" xr:uid="{00000000-0005-0000-0000-0000CA1F0000}"/>
    <cellStyle name="Comma 4 4 4 4 2 2" xfId="10415" xr:uid="{00000000-0005-0000-0000-0000CB1F0000}"/>
    <cellStyle name="Comma 4 4 4 4 3" xfId="10414" xr:uid="{00000000-0005-0000-0000-0000CC1F0000}"/>
    <cellStyle name="Comma 4 4 4 4 4" xfId="6398" xr:uid="{00000000-0005-0000-0000-0000CD1F0000}"/>
    <cellStyle name="Comma 4 4 4 5" xfId="3265" xr:uid="{00000000-0005-0000-0000-0000CE1F0000}"/>
    <cellStyle name="Comma 4 4 4 5 2" xfId="10416" xr:uid="{00000000-0005-0000-0000-0000CF1F0000}"/>
    <cellStyle name="Comma 4 4 4 6" xfId="10407" xr:uid="{00000000-0005-0000-0000-0000D01F0000}"/>
    <cellStyle name="Comma 4 4 4 7" xfId="6394" xr:uid="{00000000-0005-0000-0000-0000D11F0000}"/>
    <cellStyle name="Comma 4 4 5" xfId="3266" xr:uid="{00000000-0005-0000-0000-0000D21F0000}"/>
    <cellStyle name="Comma 4 4 5 2" xfId="3267" xr:uid="{00000000-0005-0000-0000-0000D31F0000}"/>
    <cellStyle name="Comma 4 4 5 2 2" xfId="3268" xr:uid="{00000000-0005-0000-0000-0000D41F0000}"/>
    <cellStyle name="Comma 4 4 5 2 2 2" xfId="3269" xr:uid="{00000000-0005-0000-0000-0000D51F0000}"/>
    <cellStyle name="Comma 4 4 5 2 2 2 2" xfId="10420" xr:uid="{00000000-0005-0000-0000-0000D61F0000}"/>
    <cellStyle name="Comma 4 4 5 2 2 3" xfId="10419" xr:uid="{00000000-0005-0000-0000-0000D71F0000}"/>
    <cellStyle name="Comma 4 4 5 2 2 4" xfId="6401" xr:uid="{00000000-0005-0000-0000-0000D81F0000}"/>
    <cellStyle name="Comma 4 4 5 2 3" xfId="3270" xr:uid="{00000000-0005-0000-0000-0000D91F0000}"/>
    <cellStyle name="Comma 4 4 5 2 3 2" xfId="10421" xr:uid="{00000000-0005-0000-0000-0000DA1F0000}"/>
    <cellStyle name="Comma 4 4 5 2 4" xfId="10418" xr:uid="{00000000-0005-0000-0000-0000DB1F0000}"/>
    <cellStyle name="Comma 4 4 5 2 5" xfId="6400" xr:uid="{00000000-0005-0000-0000-0000DC1F0000}"/>
    <cellStyle name="Comma 4 4 5 3" xfId="3271" xr:uid="{00000000-0005-0000-0000-0000DD1F0000}"/>
    <cellStyle name="Comma 4 4 5 3 2" xfId="3272" xr:uid="{00000000-0005-0000-0000-0000DE1F0000}"/>
    <cellStyle name="Comma 4 4 5 3 2 2" xfId="10423" xr:uid="{00000000-0005-0000-0000-0000DF1F0000}"/>
    <cellStyle name="Comma 4 4 5 3 3" xfId="10422" xr:uid="{00000000-0005-0000-0000-0000E01F0000}"/>
    <cellStyle name="Comma 4 4 5 3 4" xfId="6402" xr:uid="{00000000-0005-0000-0000-0000E11F0000}"/>
    <cellStyle name="Comma 4 4 5 4" xfId="3273" xr:uid="{00000000-0005-0000-0000-0000E21F0000}"/>
    <cellStyle name="Comma 4 4 5 4 2" xfId="3274" xr:uid="{00000000-0005-0000-0000-0000E31F0000}"/>
    <cellStyle name="Comma 4 4 5 4 2 2" xfId="10425" xr:uid="{00000000-0005-0000-0000-0000E41F0000}"/>
    <cellStyle name="Comma 4 4 5 4 3" xfId="10424" xr:uid="{00000000-0005-0000-0000-0000E51F0000}"/>
    <cellStyle name="Comma 4 4 5 4 4" xfId="6403" xr:uid="{00000000-0005-0000-0000-0000E61F0000}"/>
    <cellStyle name="Comma 4 4 5 5" xfId="3275" xr:uid="{00000000-0005-0000-0000-0000E71F0000}"/>
    <cellStyle name="Comma 4 4 5 5 2" xfId="10426" xr:uid="{00000000-0005-0000-0000-0000E81F0000}"/>
    <cellStyle name="Comma 4 4 5 6" xfId="10417" xr:uid="{00000000-0005-0000-0000-0000E91F0000}"/>
    <cellStyle name="Comma 4 4 5 7" xfId="6399" xr:uid="{00000000-0005-0000-0000-0000EA1F0000}"/>
    <cellStyle name="Comma 4 4 6" xfId="3276" xr:uid="{00000000-0005-0000-0000-0000EB1F0000}"/>
    <cellStyle name="Comma 4 4 6 2" xfId="3277" xr:uid="{00000000-0005-0000-0000-0000EC1F0000}"/>
    <cellStyle name="Comma 4 4 6 2 2" xfId="3278" xr:uid="{00000000-0005-0000-0000-0000ED1F0000}"/>
    <cellStyle name="Comma 4 4 6 2 2 2" xfId="3279" xr:uid="{00000000-0005-0000-0000-0000EE1F0000}"/>
    <cellStyle name="Comma 4 4 6 2 2 2 2" xfId="10430" xr:uid="{00000000-0005-0000-0000-0000EF1F0000}"/>
    <cellStyle name="Comma 4 4 6 2 2 3" xfId="10429" xr:uid="{00000000-0005-0000-0000-0000F01F0000}"/>
    <cellStyle name="Comma 4 4 6 2 2 4" xfId="6406" xr:uid="{00000000-0005-0000-0000-0000F11F0000}"/>
    <cellStyle name="Comma 4 4 6 2 3" xfId="3280" xr:uid="{00000000-0005-0000-0000-0000F21F0000}"/>
    <cellStyle name="Comma 4 4 6 2 3 2" xfId="10431" xr:uid="{00000000-0005-0000-0000-0000F31F0000}"/>
    <cellStyle name="Comma 4 4 6 2 4" xfId="10428" xr:uid="{00000000-0005-0000-0000-0000F41F0000}"/>
    <cellStyle name="Comma 4 4 6 2 5" xfId="6405" xr:uid="{00000000-0005-0000-0000-0000F51F0000}"/>
    <cellStyle name="Comma 4 4 6 3" xfId="3281" xr:uid="{00000000-0005-0000-0000-0000F61F0000}"/>
    <cellStyle name="Comma 4 4 6 3 2" xfId="3282" xr:uid="{00000000-0005-0000-0000-0000F71F0000}"/>
    <cellStyle name="Comma 4 4 6 3 2 2" xfId="10433" xr:uid="{00000000-0005-0000-0000-0000F81F0000}"/>
    <cellStyle name="Comma 4 4 6 3 3" xfId="10432" xr:uid="{00000000-0005-0000-0000-0000F91F0000}"/>
    <cellStyle name="Comma 4 4 6 3 4" xfId="6407" xr:uid="{00000000-0005-0000-0000-0000FA1F0000}"/>
    <cellStyle name="Comma 4 4 6 4" xfId="3283" xr:uid="{00000000-0005-0000-0000-0000FB1F0000}"/>
    <cellStyle name="Comma 4 4 6 4 2" xfId="3284" xr:uid="{00000000-0005-0000-0000-0000FC1F0000}"/>
    <cellStyle name="Comma 4 4 6 4 2 2" xfId="10435" xr:uid="{00000000-0005-0000-0000-0000FD1F0000}"/>
    <cellStyle name="Comma 4 4 6 4 3" xfId="10434" xr:uid="{00000000-0005-0000-0000-0000FE1F0000}"/>
    <cellStyle name="Comma 4 4 6 4 4" xfId="6408" xr:uid="{00000000-0005-0000-0000-0000FF1F0000}"/>
    <cellStyle name="Comma 4 4 6 5" xfId="3285" xr:uid="{00000000-0005-0000-0000-000000200000}"/>
    <cellStyle name="Comma 4 4 6 5 2" xfId="10436" xr:uid="{00000000-0005-0000-0000-000001200000}"/>
    <cellStyle name="Comma 4 4 6 6" xfId="10427" xr:uid="{00000000-0005-0000-0000-000002200000}"/>
    <cellStyle name="Comma 4 4 6 7" xfId="6404" xr:uid="{00000000-0005-0000-0000-000003200000}"/>
    <cellStyle name="Comma 4 4 7" xfId="3286" xr:uid="{00000000-0005-0000-0000-000004200000}"/>
    <cellStyle name="Comma 4 4 7 2" xfId="3287" xr:uid="{00000000-0005-0000-0000-000005200000}"/>
    <cellStyle name="Comma 4 4 7 2 2" xfId="3288" xr:uid="{00000000-0005-0000-0000-000006200000}"/>
    <cellStyle name="Comma 4 4 7 2 2 2" xfId="10439" xr:uid="{00000000-0005-0000-0000-000007200000}"/>
    <cellStyle name="Comma 4 4 7 2 3" xfId="10438" xr:uid="{00000000-0005-0000-0000-000008200000}"/>
    <cellStyle name="Comma 4 4 7 2 4" xfId="6410" xr:uid="{00000000-0005-0000-0000-000009200000}"/>
    <cellStyle name="Comma 4 4 7 3" xfId="3289" xr:uid="{00000000-0005-0000-0000-00000A200000}"/>
    <cellStyle name="Comma 4 4 7 3 2" xfId="3290" xr:uid="{00000000-0005-0000-0000-00000B200000}"/>
    <cellStyle name="Comma 4 4 7 3 2 2" xfId="10441" xr:uid="{00000000-0005-0000-0000-00000C200000}"/>
    <cellStyle name="Comma 4 4 7 3 3" xfId="10440" xr:uid="{00000000-0005-0000-0000-00000D200000}"/>
    <cellStyle name="Comma 4 4 7 3 4" xfId="6411" xr:uid="{00000000-0005-0000-0000-00000E200000}"/>
    <cellStyle name="Comma 4 4 7 4" xfId="3291" xr:uid="{00000000-0005-0000-0000-00000F200000}"/>
    <cellStyle name="Comma 4 4 7 4 2" xfId="10442" xr:uid="{00000000-0005-0000-0000-000010200000}"/>
    <cellStyle name="Comma 4 4 7 5" xfId="10437" xr:uid="{00000000-0005-0000-0000-000011200000}"/>
    <cellStyle name="Comma 4 4 7 6" xfId="6409" xr:uid="{00000000-0005-0000-0000-000012200000}"/>
    <cellStyle name="Comma 4 4 8" xfId="3292" xr:uid="{00000000-0005-0000-0000-000013200000}"/>
    <cellStyle name="Comma 4 4 8 2" xfId="3293" xr:uid="{00000000-0005-0000-0000-000014200000}"/>
    <cellStyle name="Comma 4 4 8 2 2" xfId="3294" xr:uid="{00000000-0005-0000-0000-000015200000}"/>
    <cellStyle name="Comma 4 4 8 2 2 2" xfId="10445" xr:uid="{00000000-0005-0000-0000-000016200000}"/>
    <cellStyle name="Comma 4 4 8 2 3" xfId="10444" xr:uid="{00000000-0005-0000-0000-000017200000}"/>
    <cellStyle name="Comma 4 4 8 2 4" xfId="6413" xr:uid="{00000000-0005-0000-0000-000018200000}"/>
    <cellStyle name="Comma 4 4 8 3" xfId="3295" xr:uid="{00000000-0005-0000-0000-000019200000}"/>
    <cellStyle name="Comma 4 4 8 3 2" xfId="10446" xr:uid="{00000000-0005-0000-0000-00001A200000}"/>
    <cellStyle name="Comma 4 4 8 4" xfId="10443" xr:uid="{00000000-0005-0000-0000-00001B200000}"/>
    <cellStyle name="Comma 4 4 8 5" xfId="6412" xr:uid="{00000000-0005-0000-0000-00001C200000}"/>
    <cellStyle name="Comma 4 4 9" xfId="3296" xr:uid="{00000000-0005-0000-0000-00001D200000}"/>
    <cellStyle name="Comma 4 4 9 2" xfId="3297" xr:uid="{00000000-0005-0000-0000-00001E200000}"/>
    <cellStyle name="Comma 4 4 9 2 2" xfId="10448" xr:uid="{00000000-0005-0000-0000-00001F200000}"/>
    <cellStyle name="Comma 4 4 9 3" xfId="10447" xr:uid="{00000000-0005-0000-0000-000020200000}"/>
    <cellStyle name="Comma 4 4 9 4" xfId="6414" xr:uid="{00000000-0005-0000-0000-000021200000}"/>
    <cellStyle name="Comma 4 5" xfId="3298" xr:uid="{00000000-0005-0000-0000-000022200000}"/>
    <cellStyle name="Comma 4 5 10" xfId="3299" xr:uid="{00000000-0005-0000-0000-000023200000}"/>
    <cellStyle name="Comma 4 5 10 2" xfId="10450" xr:uid="{00000000-0005-0000-0000-000024200000}"/>
    <cellStyle name="Comma 4 5 11" xfId="10449" xr:uid="{00000000-0005-0000-0000-000025200000}"/>
    <cellStyle name="Comma 4 5 12" xfId="6415" xr:uid="{00000000-0005-0000-0000-000026200000}"/>
    <cellStyle name="Comma 4 5 2" xfId="3300" xr:uid="{00000000-0005-0000-0000-000027200000}"/>
    <cellStyle name="Comma 4 5 2 2" xfId="3301" xr:uid="{00000000-0005-0000-0000-000028200000}"/>
    <cellStyle name="Comma 4 5 2 2 2" xfId="3302" xr:uid="{00000000-0005-0000-0000-000029200000}"/>
    <cellStyle name="Comma 4 5 2 2 2 2" xfId="3303" xr:uid="{00000000-0005-0000-0000-00002A200000}"/>
    <cellStyle name="Comma 4 5 2 2 2 2 2" xfId="10454" xr:uid="{00000000-0005-0000-0000-00002B200000}"/>
    <cellStyle name="Comma 4 5 2 2 2 3" xfId="10453" xr:uid="{00000000-0005-0000-0000-00002C200000}"/>
    <cellStyle name="Comma 4 5 2 2 2 4" xfId="6418" xr:uid="{00000000-0005-0000-0000-00002D200000}"/>
    <cellStyle name="Comma 4 5 2 2 3" xfId="3304" xr:uid="{00000000-0005-0000-0000-00002E200000}"/>
    <cellStyle name="Comma 4 5 2 2 3 2" xfId="10455" xr:uid="{00000000-0005-0000-0000-00002F200000}"/>
    <cellStyle name="Comma 4 5 2 2 4" xfId="10452" xr:uid="{00000000-0005-0000-0000-000030200000}"/>
    <cellStyle name="Comma 4 5 2 2 5" xfId="6417" xr:uid="{00000000-0005-0000-0000-000031200000}"/>
    <cellStyle name="Comma 4 5 2 3" xfId="3305" xr:uid="{00000000-0005-0000-0000-000032200000}"/>
    <cellStyle name="Comma 4 5 2 3 2" xfId="3306" xr:uid="{00000000-0005-0000-0000-000033200000}"/>
    <cellStyle name="Comma 4 5 2 3 2 2" xfId="10457" xr:uid="{00000000-0005-0000-0000-000034200000}"/>
    <cellStyle name="Comma 4 5 2 3 3" xfId="10456" xr:uid="{00000000-0005-0000-0000-000035200000}"/>
    <cellStyle name="Comma 4 5 2 3 4" xfId="6419" xr:uid="{00000000-0005-0000-0000-000036200000}"/>
    <cellStyle name="Comma 4 5 2 4" xfId="3307" xr:uid="{00000000-0005-0000-0000-000037200000}"/>
    <cellStyle name="Comma 4 5 2 4 2" xfId="3308" xr:uid="{00000000-0005-0000-0000-000038200000}"/>
    <cellStyle name="Comma 4 5 2 4 2 2" xfId="10459" xr:uid="{00000000-0005-0000-0000-000039200000}"/>
    <cellStyle name="Comma 4 5 2 4 3" xfId="10458" xr:uid="{00000000-0005-0000-0000-00003A200000}"/>
    <cellStyle name="Comma 4 5 2 4 4" xfId="6420" xr:uid="{00000000-0005-0000-0000-00003B200000}"/>
    <cellStyle name="Comma 4 5 2 5" xfId="3309" xr:uid="{00000000-0005-0000-0000-00003C200000}"/>
    <cellStyle name="Comma 4 5 2 5 2" xfId="10460" xr:uid="{00000000-0005-0000-0000-00003D200000}"/>
    <cellStyle name="Comma 4 5 2 6" xfId="10451" xr:uid="{00000000-0005-0000-0000-00003E200000}"/>
    <cellStyle name="Comma 4 5 2 7" xfId="6416" xr:uid="{00000000-0005-0000-0000-00003F200000}"/>
    <cellStyle name="Comma 4 5 3" xfId="3310" xr:uid="{00000000-0005-0000-0000-000040200000}"/>
    <cellStyle name="Comma 4 5 3 2" xfId="3311" xr:uid="{00000000-0005-0000-0000-000041200000}"/>
    <cellStyle name="Comma 4 5 3 2 2" xfId="3312" xr:uid="{00000000-0005-0000-0000-000042200000}"/>
    <cellStyle name="Comma 4 5 3 2 2 2" xfId="3313" xr:uid="{00000000-0005-0000-0000-000043200000}"/>
    <cellStyle name="Comma 4 5 3 2 2 2 2" xfId="10464" xr:uid="{00000000-0005-0000-0000-000044200000}"/>
    <cellStyle name="Comma 4 5 3 2 2 3" xfId="10463" xr:uid="{00000000-0005-0000-0000-000045200000}"/>
    <cellStyle name="Comma 4 5 3 2 2 4" xfId="6423" xr:uid="{00000000-0005-0000-0000-000046200000}"/>
    <cellStyle name="Comma 4 5 3 2 3" xfId="3314" xr:uid="{00000000-0005-0000-0000-000047200000}"/>
    <cellStyle name="Comma 4 5 3 2 3 2" xfId="10465" xr:uid="{00000000-0005-0000-0000-000048200000}"/>
    <cellStyle name="Comma 4 5 3 2 4" xfId="10462" xr:uid="{00000000-0005-0000-0000-000049200000}"/>
    <cellStyle name="Comma 4 5 3 2 5" xfId="6422" xr:uid="{00000000-0005-0000-0000-00004A200000}"/>
    <cellStyle name="Comma 4 5 3 3" xfId="3315" xr:uid="{00000000-0005-0000-0000-00004B200000}"/>
    <cellStyle name="Comma 4 5 3 3 2" xfId="3316" xr:uid="{00000000-0005-0000-0000-00004C200000}"/>
    <cellStyle name="Comma 4 5 3 3 2 2" xfId="10467" xr:uid="{00000000-0005-0000-0000-00004D200000}"/>
    <cellStyle name="Comma 4 5 3 3 3" xfId="10466" xr:uid="{00000000-0005-0000-0000-00004E200000}"/>
    <cellStyle name="Comma 4 5 3 3 4" xfId="6424" xr:uid="{00000000-0005-0000-0000-00004F200000}"/>
    <cellStyle name="Comma 4 5 3 4" xfId="3317" xr:uid="{00000000-0005-0000-0000-000050200000}"/>
    <cellStyle name="Comma 4 5 3 4 2" xfId="3318" xr:uid="{00000000-0005-0000-0000-000051200000}"/>
    <cellStyle name="Comma 4 5 3 4 2 2" xfId="10469" xr:uid="{00000000-0005-0000-0000-000052200000}"/>
    <cellStyle name="Comma 4 5 3 4 3" xfId="10468" xr:uid="{00000000-0005-0000-0000-000053200000}"/>
    <cellStyle name="Comma 4 5 3 4 4" xfId="6425" xr:uid="{00000000-0005-0000-0000-000054200000}"/>
    <cellStyle name="Comma 4 5 3 5" xfId="3319" xr:uid="{00000000-0005-0000-0000-000055200000}"/>
    <cellStyle name="Comma 4 5 3 5 2" xfId="10470" xr:uid="{00000000-0005-0000-0000-000056200000}"/>
    <cellStyle name="Comma 4 5 3 6" xfId="10461" xr:uid="{00000000-0005-0000-0000-000057200000}"/>
    <cellStyle name="Comma 4 5 3 7" xfId="6421" xr:uid="{00000000-0005-0000-0000-000058200000}"/>
    <cellStyle name="Comma 4 5 4" xfId="3320" xr:uid="{00000000-0005-0000-0000-000059200000}"/>
    <cellStyle name="Comma 4 5 4 2" xfId="3321" xr:uid="{00000000-0005-0000-0000-00005A200000}"/>
    <cellStyle name="Comma 4 5 4 2 2" xfId="3322" xr:uid="{00000000-0005-0000-0000-00005B200000}"/>
    <cellStyle name="Comma 4 5 4 2 2 2" xfId="3323" xr:uid="{00000000-0005-0000-0000-00005C200000}"/>
    <cellStyle name="Comma 4 5 4 2 2 2 2" xfId="10474" xr:uid="{00000000-0005-0000-0000-00005D200000}"/>
    <cellStyle name="Comma 4 5 4 2 2 3" xfId="10473" xr:uid="{00000000-0005-0000-0000-00005E200000}"/>
    <cellStyle name="Comma 4 5 4 2 2 4" xfId="6428" xr:uid="{00000000-0005-0000-0000-00005F200000}"/>
    <cellStyle name="Comma 4 5 4 2 3" xfId="3324" xr:uid="{00000000-0005-0000-0000-000060200000}"/>
    <cellStyle name="Comma 4 5 4 2 3 2" xfId="10475" xr:uid="{00000000-0005-0000-0000-000061200000}"/>
    <cellStyle name="Comma 4 5 4 2 4" xfId="10472" xr:uid="{00000000-0005-0000-0000-000062200000}"/>
    <cellStyle name="Comma 4 5 4 2 5" xfId="6427" xr:uid="{00000000-0005-0000-0000-000063200000}"/>
    <cellStyle name="Comma 4 5 4 3" xfId="3325" xr:uid="{00000000-0005-0000-0000-000064200000}"/>
    <cellStyle name="Comma 4 5 4 3 2" xfId="3326" xr:uid="{00000000-0005-0000-0000-000065200000}"/>
    <cellStyle name="Comma 4 5 4 3 2 2" xfId="10477" xr:uid="{00000000-0005-0000-0000-000066200000}"/>
    <cellStyle name="Comma 4 5 4 3 3" xfId="10476" xr:uid="{00000000-0005-0000-0000-000067200000}"/>
    <cellStyle name="Comma 4 5 4 3 4" xfId="6429" xr:uid="{00000000-0005-0000-0000-000068200000}"/>
    <cellStyle name="Comma 4 5 4 4" xfId="3327" xr:uid="{00000000-0005-0000-0000-000069200000}"/>
    <cellStyle name="Comma 4 5 4 4 2" xfId="3328" xr:uid="{00000000-0005-0000-0000-00006A200000}"/>
    <cellStyle name="Comma 4 5 4 4 2 2" xfId="10479" xr:uid="{00000000-0005-0000-0000-00006B200000}"/>
    <cellStyle name="Comma 4 5 4 4 3" xfId="10478" xr:uid="{00000000-0005-0000-0000-00006C200000}"/>
    <cellStyle name="Comma 4 5 4 4 4" xfId="6430" xr:uid="{00000000-0005-0000-0000-00006D200000}"/>
    <cellStyle name="Comma 4 5 4 5" xfId="3329" xr:uid="{00000000-0005-0000-0000-00006E200000}"/>
    <cellStyle name="Comma 4 5 4 5 2" xfId="10480" xr:uid="{00000000-0005-0000-0000-00006F200000}"/>
    <cellStyle name="Comma 4 5 4 6" xfId="10471" xr:uid="{00000000-0005-0000-0000-000070200000}"/>
    <cellStyle name="Comma 4 5 4 7" xfId="6426" xr:uid="{00000000-0005-0000-0000-000071200000}"/>
    <cellStyle name="Comma 4 5 5" xfId="3330" xr:uid="{00000000-0005-0000-0000-000072200000}"/>
    <cellStyle name="Comma 4 5 5 2" xfId="3331" xr:uid="{00000000-0005-0000-0000-000073200000}"/>
    <cellStyle name="Comma 4 5 5 2 2" xfId="3332" xr:uid="{00000000-0005-0000-0000-000074200000}"/>
    <cellStyle name="Comma 4 5 5 2 2 2" xfId="3333" xr:uid="{00000000-0005-0000-0000-000075200000}"/>
    <cellStyle name="Comma 4 5 5 2 2 2 2" xfId="10484" xr:uid="{00000000-0005-0000-0000-000076200000}"/>
    <cellStyle name="Comma 4 5 5 2 2 3" xfId="10483" xr:uid="{00000000-0005-0000-0000-000077200000}"/>
    <cellStyle name="Comma 4 5 5 2 2 4" xfId="6433" xr:uid="{00000000-0005-0000-0000-000078200000}"/>
    <cellStyle name="Comma 4 5 5 2 3" xfId="3334" xr:uid="{00000000-0005-0000-0000-000079200000}"/>
    <cellStyle name="Comma 4 5 5 2 3 2" xfId="10485" xr:uid="{00000000-0005-0000-0000-00007A200000}"/>
    <cellStyle name="Comma 4 5 5 2 4" xfId="10482" xr:uid="{00000000-0005-0000-0000-00007B200000}"/>
    <cellStyle name="Comma 4 5 5 2 5" xfId="6432" xr:uid="{00000000-0005-0000-0000-00007C200000}"/>
    <cellStyle name="Comma 4 5 5 3" xfId="3335" xr:uid="{00000000-0005-0000-0000-00007D200000}"/>
    <cellStyle name="Comma 4 5 5 3 2" xfId="3336" xr:uid="{00000000-0005-0000-0000-00007E200000}"/>
    <cellStyle name="Comma 4 5 5 3 2 2" xfId="10487" xr:uid="{00000000-0005-0000-0000-00007F200000}"/>
    <cellStyle name="Comma 4 5 5 3 3" xfId="10486" xr:uid="{00000000-0005-0000-0000-000080200000}"/>
    <cellStyle name="Comma 4 5 5 3 4" xfId="6434" xr:uid="{00000000-0005-0000-0000-000081200000}"/>
    <cellStyle name="Comma 4 5 5 4" xfId="3337" xr:uid="{00000000-0005-0000-0000-000082200000}"/>
    <cellStyle name="Comma 4 5 5 4 2" xfId="3338" xr:uid="{00000000-0005-0000-0000-000083200000}"/>
    <cellStyle name="Comma 4 5 5 4 2 2" xfId="10489" xr:uid="{00000000-0005-0000-0000-000084200000}"/>
    <cellStyle name="Comma 4 5 5 4 3" xfId="10488" xr:uid="{00000000-0005-0000-0000-000085200000}"/>
    <cellStyle name="Comma 4 5 5 4 4" xfId="6435" xr:uid="{00000000-0005-0000-0000-000086200000}"/>
    <cellStyle name="Comma 4 5 5 5" xfId="3339" xr:uid="{00000000-0005-0000-0000-000087200000}"/>
    <cellStyle name="Comma 4 5 5 5 2" xfId="10490" xr:uid="{00000000-0005-0000-0000-000088200000}"/>
    <cellStyle name="Comma 4 5 5 6" xfId="10481" xr:uid="{00000000-0005-0000-0000-000089200000}"/>
    <cellStyle name="Comma 4 5 5 7" xfId="6431" xr:uid="{00000000-0005-0000-0000-00008A200000}"/>
    <cellStyle name="Comma 4 5 6" xfId="3340" xr:uid="{00000000-0005-0000-0000-00008B200000}"/>
    <cellStyle name="Comma 4 5 6 2" xfId="3341" xr:uid="{00000000-0005-0000-0000-00008C200000}"/>
    <cellStyle name="Comma 4 5 6 2 2" xfId="3342" xr:uid="{00000000-0005-0000-0000-00008D200000}"/>
    <cellStyle name="Comma 4 5 6 2 2 2" xfId="10493" xr:uid="{00000000-0005-0000-0000-00008E200000}"/>
    <cellStyle name="Comma 4 5 6 2 3" xfId="10492" xr:uid="{00000000-0005-0000-0000-00008F200000}"/>
    <cellStyle name="Comma 4 5 6 2 4" xfId="6437" xr:uid="{00000000-0005-0000-0000-000090200000}"/>
    <cellStyle name="Comma 4 5 6 3" xfId="3343" xr:uid="{00000000-0005-0000-0000-000091200000}"/>
    <cellStyle name="Comma 4 5 6 3 2" xfId="3344" xr:uid="{00000000-0005-0000-0000-000092200000}"/>
    <cellStyle name="Comma 4 5 6 3 2 2" xfId="10495" xr:uid="{00000000-0005-0000-0000-000093200000}"/>
    <cellStyle name="Comma 4 5 6 3 3" xfId="10494" xr:uid="{00000000-0005-0000-0000-000094200000}"/>
    <cellStyle name="Comma 4 5 6 3 4" xfId="6438" xr:uid="{00000000-0005-0000-0000-000095200000}"/>
    <cellStyle name="Comma 4 5 6 4" xfId="3345" xr:uid="{00000000-0005-0000-0000-000096200000}"/>
    <cellStyle name="Comma 4 5 6 4 2" xfId="10496" xr:uid="{00000000-0005-0000-0000-000097200000}"/>
    <cellStyle name="Comma 4 5 6 5" xfId="10491" xr:uid="{00000000-0005-0000-0000-000098200000}"/>
    <cellStyle name="Comma 4 5 6 6" xfId="6436" xr:uid="{00000000-0005-0000-0000-000099200000}"/>
    <cellStyle name="Comma 4 5 7" xfId="3346" xr:uid="{00000000-0005-0000-0000-00009A200000}"/>
    <cellStyle name="Comma 4 5 7 2" xfId="3347" xr:uid="{00000000-0005-0000-0000-00009B200000}"/>
    <cellStyle name="Comma 4 5 7 2 2" xfId="3348" xr:uid="{00000000-0005-0000-0000-00009C200000}"/>
    <cellStyle name="Comma 4 5 7 2 2 2" xfId="10499" xr:uid="{00000000-0005-0000-0000-00009D200000}"/>
    <cellStyle name="Comma 4 5 7 2 3" xfId="10498" xr:uid="{00000000-0005-0000-0000-00009E200000}"/>
    <cellStyle name="Comma 4 5 7 2 4" xfId="6440" xr:uid="{00000000-0005-0000-0000-00009F200000}"/>
    <cellStyle name="Comma 4 5 7 3" xfId="3349" xr:uid="{00000000-0005-0000-0000-0000A0200000}"/>
    <cellStyle name="Comma 4 5 7 3 2" xfId="10500" xr:uid="{00000000-0005-0000-0000-0000A1200000}"/>
    <cellStyle name="Comma 4 5 7 4" xfId="10497" xr:uid="{00000000-0005-0000-0000-0000A2200000}"/>
    <cellStyle name="Comma 4 5 7 5" xfId="6439" xr:uid="{00000000-0005-0000-0000-0000A3200000}"/>
    <cellStyle name="Comma 4 5 8" xfId="3350" xr:uid="{00000000-0005-0000-0000-0000A4200000}"/>
    <cellStyle name="Comma 4 5 8 2" xfId="3351" xr:uid="{00000000-0005-0000-0000-0000A5200000}"/>
    <cellStyle name="Comma 4 5 8 2 2" xfId="10502" xr:uid="{00000000-0005-0000-0000-0000A6200000}"/>
    <cellStyle name="Comma 4 5 8 3" xfId="10501" xr:uid="{00000000-0005-0000-0000-0000A7200000}"/>
    <cellStyle name="Comma 4 5 8 4" xfId="6441" xr:uid="{00000000-0005-0000-0000-0000A8200000}"/>
    <cellStyle name="Comma 4 5 9" xfId="3352" xr:uid="{00000000-0005-0000-0000-0000A9200000}"/>
    <cellStyle name="Comma 4 5 9 2" xfId="3353" xr:uid="{00000000-0005-0000-0000-0000AA200000}"/>
    <cellStyle name="Comma 4 5 9 2 2" xfId="10504" xr:uid="{00000000-0005-0000-0000-0000AB200000}"/>
    <cellStyle name="Comma 4 5 9 3" xfId="10503" xr:uid="{00000000-0005-0000-0000-0000AC200000}"/>
    <cellStyle name="Comma 4 5 9 4" xfId="6442" xr:uid="{00000000-0005-0000-0000-0000AD200000}"/>
    <cellStyle name="Comma 4 6" xfId="3354" xr:uid="{00000000-0005-0000-0000-0000AE200000}"/>
    <cellStyle name="Comma 4 6 2" xfId="3355" xr:uid="{00000000-0005-0000-0000-0000AF200000}"/>
    <cellStyle name="Comma 4 6 2 2" xfId="3356" xr:uid="{00000000-0005-0000-0000-0000B0200000}"/>
    <cellStyle name="Comma 4 6 2 2 2" xfId="3357" xr:uid="{00000000-0005-0000-0000-0000B1200000}"/>
    <cellStyle name="Comma 4 6 2 2 2 2" xfId="10508" xr:uid="{00000000-0005-0000-0000-0000B2200000}"/>
    <cellStyle name="Comma 4 6 2 2 3" xfId="10507" xr:uid="{00000000-0005-0000-0000-0000B3200000}"/>
    <cellStyle name="Comma 4 6 2 2 4" xfId="6445" xr:uid="{00000000-0005-0000-0000-0000B4200000}"/>
    <cellStyle name="Comma 4 6 2 3" xfId="3358" xr:uid="{00000000-0005-0000-0000-0000B5200000}"/>
    <cellStyle name="Comma 4 6 2 3 2" xfId="10509" xr:uid="{00000000-0005-0000-0000-0000B6200000}"/>
    <cellStyle name="Comma 4 6 2 4" xfId="10506" xr:uid="{00000000-0005-0000-0000-0000B7200000}"/>
    <cellStyle name="Comma 4 6 2 5" xfId="6444" xr:uid="{00000000-0005-0000-0000-0000B8200000}"/>
    <cellStyle name="Comma 4 6 3" xfId="3359" xr:uid="{00000000-0005-0000-0000-0000B9200000}"/>
    <cellStyle name="Comma 4 6 3 2" xfId="3360" xr:uid="{00000000-0005-0000-0000-0000BA200000}"/>
    <cellStyle name="Comma 4 6 3 2 2" xfId="10511" xr:uid="{00000000-0005-0000-0000-0000BB200000}"/>
    <cellStyle name="Comma 4 6 3 3" xfId="10510" xr:uid="{00000000-0005-0000-0000-0000BC200000}"/>
    <cellStyle name="Comma 4 6 3 4" xfId="6446" xr:uid="{00000000-0005-0000-0000-0000BD200000}"/>
    <cellStyle name="Comma 4 6 4" xfId="3361" xr:uid="{00000000-0005-0000-0000-0000BE200000}"/>
    <cellStyle name="Comma 4 6 4 2" xfId="3362" xr:uid="{00000000-0005-0000-0000-0000BF200000}"/>
    <cellStyle name="Comma 4 6 4 2 2" xfId="10513" xr:uid="{00000000-0005-0000-0000-0000C0200000}"/>
    <cellStyle name="Comma 4 6 4 3" xfId="10512" xr:uid="{00000000-0005-0000-0000-0000C1200000}"/>
    <cellStyle name="Comma 4 6 4 4" xfId="6447" xr:uid="{00000000-0005-0000-0000-0000C2200000}"/>
    <cellStyle name="Comma 4 6 5" xfId="3363" xr:uid="{00000000-0005-0000-0000-0000C3200000}"/>
    <cellStyle name="Comma 4 6 5 2" xfId="10514" xr:uid="{00000000-0005-0000-0000-0000C4200000}"/>
    <cellStyle name="Comma 4 6 6" xfId="10505" xr:uid="{00000000-0005-0000-0000-0000C5200000}"/>
    <cellStyle name="Comma 4 6 7" xfId="6443" xr:uid="{00000000-0005-0000-0000-0000C6200000}"/>
    <cellStyle name="Comma 4 7" xfId="3364" xr:uid="{00000000-0005-0000-0000-0000C7200000}"/>
    <cellStyle name="Comma 4 7 2" xfId="3365" xr:uid="{00000000-0005-0000-0000-0000C8200000}"/>
    <cellStyle name="Comma 4 7 2 2" xfId="3366" xr:uid="{00000000-0005-0000-0000-0000C9200000}"/>
    <cellStyle name="Comma 4 7 2 2 2" xfId="3367" xr:uid="{00000000-0005-0000-0000-0000CA200000}"/>
    <cellStyle name="Comma 4 7 2 2 2 2" xfId="10518" xr:uid="{00000000-0005-0000-0000-0000CB200000}"/>
    <cellStyle name="Comma 4 7 2 2 3" xfId="10517" xr:uid="{00000000-0005-0000-0000-0000CC200000}"/>
    <cellStyle name="Comma 4 7 2 2 4" xfId="6450" xr:uid="{00000000-0005-0000-0000-0000CD200000}"/>
    <cellStyle name="Comma 4 7 2 3" xfId="3368" xr:uid="{00000000-0005-0000-0000-0000CE200000}"/>
    <cellStyle name="Comma 4 7 2 3 2" xfId="10519" xr:uid="{00000000-0005-0000-0000-0000CF200000}"/>
    <cellStyle name="Comma 4 7 2 4" xfId="10516" xr:uid="{00000000-0005-0000-0000-0000D0200000}"/>
    <cellStyle name="Comma 4 7 2 5" xfId="6449" xr:uid="{00000000-0005-0000-0000-0000D1200000}"/>
    <cellStyle name="Comma 4 7 3" xfId="3369" xr:uid="{00000000-0005-0000-0000-0000D2200000}"/>
    <cellStyle name="Comma 4 7 3 2" xfId="3370" xr:uid="{00000000-0005-0000-0000-0000D3200000}"/>
    <cellStyle name="Comma 4 7 3 2 2" xfId="10521" xr:uid="{00000000-0005-0000-0000-0000D4200000}"/>
    <cellStyle name="Comma 4 7 3 3" xfId="10520" xr:uid="{00000000-0005-0000-0000-0000D5200000}"/>
    <cellStyle name="Comma 4 7 3 4" xfId="6451" xr:uid="{00000000-0005-0000-0000-0000D6200000}"/>
    <cellStyle name="Comma 4 7 4" xfId="3371" xr:uid="{00000000-0005-0000-0000-0000D7200000}"/>
    <cellStyle name="Comma 4 7 4 2" xfId="3372" xr:uid="{00000000-0005-0000-0000-0000D8200000}"/>
    <cellStyle name="Comma 4 7 4 2 2" xfId="10523" xr:uid="{00000000-0005-0000-0000-0000D9200000}"/>
    <cellStyle name="Comma 4 7 4 3" xfId="10522" xr:uid="{00000000-0005-0000-0000-0000DA200000}"/>
    <cellStyle name="Comma 4 7 4 4" xfId="6452" xr:uid="{00000000-0005-0000-0000-0000DB200000}"/>
    <cellStyle name="Comma 4 7 5" xfId="3373" xr:uid="{00000000-0005-0000-0000-0000DC200000}"/>
    <cellStyle name="Comma 4 7 5 2" xfId="10524" xr:uid="{00000000-0005-0000-0000-0000DD200000}"/>
    <cellStyle name="Comma 4 7 6" xfId="10515" xr:uid="{00000000-0005-0000-0000-0000DE200000}"/>
    <cellStyle name="Comma 4 7 7" xfId="6448" xr:uid="{00000000-0005-0000-0000-0000DF200000}"/>
    <cellStyle name="Comma 4 8" xfId="3374" xr:uid="{00000000-0005-0000-0000-0000E0200000}"/>
    <cellStyle name="Comma 4 8 2" xfId="3375" xr:uid="{00000000-0005-0000-0000-0000E1200000}"/>
    <cellStyle name="Comma 4 8 2 2" xfId="3376" xr:uid="{00000000-0005-0000-0000-0000E2200000}"/>
    <cellStyle name="Comma 4 8 2 2 2" xfId="3377" xr:uid="{00000000-0005-0000-0000-0000E3200000}"/>
    <cellStyle name="Comma 4 8 2 2 2 2" xfId="10528" xr:uid="{00000000-0005-0000-0000-0000E4200000}"/>
    <cellStyle name="Comma 4 8 2 2 3" xfId="10527" xr:uid="{00000000-0005-0000-0000-0000E5200000}"/>
    <cellStyle name="Comma 4 8 2 2 4" xfId="6455" xr:uid="{00000000-0005-0000-0000-0000E6200000}"/>
    <cellStyle name="Comma 4 8 2 3" xfId="3378" xr:uid="{00000000-0005-0000-0000-0000E7200000}"/>
    <cellStyle name="Comma 4 8 2 3 2" xfId="10529" xr:uid="{00000000-0005-0000-0000-0000E8200000}"/>
    <cellStyle name="Comma 4 8 2 4" xfId="10526" xr:uid="{00000000-0005-0000-0000-0000E9200000}"/>
    <cellStyle name="Comma 4 8 2 5" xfId="6454" xr:uid="{00000000-0005-0000-0000-0000EA200000}"/>
    <cellStyle name="Comma 4 8 3" xfId="3379" xr:uid="{00000000-0005-0000-0000-0000EB200000}"/>
    <cellStyle name="Comma 4 8 3 2" xfId="3380" xr:uid="{00000000-0005-0000-0000-0000EC200000}"/>
    <cellStyle name="Comma 4 8 3 2 2" xfId="10531" xr:uid="{00000000-0005-0000-0000-0000ED200000}"/>
    <cellStyle name="Comma 4 8 3 3" xfId="10530" xr:uid="{00000000-0005-0000-0000-0000EE200000}"/>
    <cellStyle name="Comma 4 8 3 4" xfId="6456" xr:uid="{00000000-0005-0000-0000-0000EF200000}"/>
    <cellStyle name="Comma 4 8 4" xfId="3381" xr:uid="{00000000-0005-0000-0000-0000F0200000}"/>
    <cellStyle name="Comma 4 8 4 2" xfId="3382" xr:uid="{00000000-0005-0000-0000-0000F1200000}"/>
    <cellStyle name="Comma 4 8 4 2 2" xfId="10533" xr:uid="{00000000-0005-0000-0000-0000F2200000}"/>
    <cellStyle name="Comma 4 8 4 3" xfId="10532" xr:uid="{00000000-0005-0000-0000-0000F3200000}"/>
    <cellStyle name="Comma 4 8 4 4" xfId="6457" xr:uid="{00000000-0005-0000-0000-0000F4200000}"/>
    <cellStyle name="Comma 4 8 5" xfId="3383" xr:uid="{00000000-0005-0000-0000-0000F5200000}"/>
    <cellStyle name="Comma 4 8 5 2" xfId="10534" xr:uid="{00000000-0005-0000-0000-0000F6200000}"/>
    <cellStyle name="Comma 4 8 6" xfId="10525" xr:uid="{00000000-0005-0000-0000-0000F7200000}"/>
    <cellStyle name="Comma 4 8 7" xfId="6453" xr:uid="{00000000-0005-0000-0000-0000F8200000}"/>
    <cellStyle name="Comma 4 9" xfId="3384" xr:uid="{00000000-0005-0000-0000-0000F9200000}"/>
    <cellStyle name="Comma 4 9 2" xfId="3385" xr:uid="{00000000-0005-0000-0000-0000FA200000}"/>
    <cellStyle name="Comma 4 9 2 2" xfId="3386" xr:uid="{00000000-0005-0000-0000-0000FB200000}"/>
    <cellStyle name="Comma 4 9 2 2 2" xfId="3387" xr:uid="{00000000-0005-0000-0000-0000FC200000}"/>
    <cellStyle name="Comma 4 9 2 2 2 2" xfId="10538" xr:uid="{00000000-0005-0000-0000-0000FD200000}"/>
    <cellStyle name="Comma 4 9 2 2 3" xfId="10537" xr:uid="{00000000-0005-0000-0000-0000FE200000}"/>
    <cellStyle name="Comma 4 9 2 2 4" xfId="6460" xr:uid="{00000000-0005-0000-0000-0000FF200000}"/>
    <cellStyle name="Comma 4 9 2 3" xfId="3388" xr:uid="{00000000-0005-0000-0000-000000210000}"/>
    <cellStyle name="Comma 4 9 2 3 2" xfId="10539" xr:uid="{00000000-0005-0000-0000-000001210000}"/>
    <cellStyle name="Comma 4 9 2 4" xfId="10536" xr:uid="{00000000-0005-0000-0000-000002210000}"/>
    <cellStyle name="Comma 4 9 2 5" xfId="6459" xr:uid="{00000000-0005-0000-0000-000003210000}"/>
    <cellStyle name="Comma 4 9 3" xfId="3389" xr:uid="{00000000-0005-0000-0000-000004210000}"/>
    <cellStyle name="Comma 4 9 3 2" xfId="3390" xr:uid="{00000000-0005-0000-0000-000005210000}"/>
    <cellStyle name="Comma 4 9 3 2 2" xfId="10541" xr:uid="{00000000-0005-0000-0000-000006210000}"/>
    <cellStyle name="Comma 4 9 3 3" xfId="10540" xr:uid="{00000000-0005-0000-0000-000007210000}"/>
    <cellStyle name="Comma 4 9 3 4" xfId="6461" xr:uid="{00000000-0005-0000-0000-000008210000}"/>
    <cellStyle name="Comma 4 9 4" xfId="3391" xr:uid="{00000000-0005-0000-0000-000009210000}"/>
    <cellStyle name="Comma 4 9 4 2" xfId="3392" xr:uid="{00000000-0005-0000-0000-00000A210000}"/>
    <cellStyle name="Comma 4 9 4 2 2" xfId="10543" xr:uid="{00000000-0005-0000-0000-00000B210000}"/>
    <cellStyle name="Comma 4 9 4 3" xfId="10542" xr:uid="{00000000-0005-0000-0000-00000C210000}"/>
    <cellStyle name="Comma 4 9 4 4" xfId="6462" xr:uid="{00000000-0005-0000-0000-00000D210000}"/>
    <cellStyle name="Comma 4 9 5" xfId="3393" xr:uid="{00000000-0005-0000-0000-00000E210000}"/>
    <cellStyle name="Comma 4 9 5 2" xfId="10544" xr:uid="{00000000-0005-0000-0000-00000F210000}"/>
    <cellStyle name="Comma 4 9 6" xfId="10535" xr:uid="{00000000-0005-0000-0000-000010210000}"/>
    <cellStyle name="Comma 4 9 7" xfId="6458" xr:uid="{00000000-0005-0000-0000-000011210000}"/>
    <cellStyle name="Comma 5" xfId="3394" xr:uid="{00000000-0005-0000-0000-000012210000}"/>
    <cellStyle name="Comma 5 10" xfId="3395" xr:uid="{00000000-0005-0000-0000-000013210000}"/>
    <cellStyle name="Comma 5 10 2" xfId="3396" xr:uid="{00000000-0005-0000-0000-000014210000}"/>
    <cellStyle name="Comma 5 10 2 2" xfId="3397" xr:uid="{00000000-0005-0000-0000-000015210000}"/>
    <cellStyle name="Comma 5 10 2 2 2" xfId="10548" xr:uid="{00000000-0005-0000-0000-000016210000}"/>
    <cellStyle name="Comma 5 10 2 3" xfId="10547" xr:uid="{00000000-0005-0000-0000-000017210000}"/>
    <cellStyle name="Comma 5 10 2 4" xfId="6465" xr:uid="{00000000-0005-0000-0000-000018210000}"/>
    <cellStyle name="Comma 5 10 3" xfId="3398" xr:uid="{00000000-0005-0000-0000-000019210000}"/>
    <cellStyle name="Comma 5 10 3 2" xfId="3399" xr:uid="{00000000-0005-0000-0000-00001A210000}"/>
    <cellStyle name="Comma 5 10 3 2 2" xfId="10550" xr:uid="{00000000-0005-0000-0000-00001B210000}"/>
    <cellStyle name="Comma 5 10 3 3" xfId="10549" xr:uid="{00000000-0005-0000-0000-00001C210000}"/>
    <cellStyle name="Comma 5 10 3 4" xfId="6466" xr:uid="{00000000-0005-0000-0000-00001D210000}"/>
    <cellStyle name="Comma 5 10 4" xfId="3400" xr:uid="{00000000-0005-0000-0000-00001E210000}"/>
    <cellStyle name="Comma 5 10 4 2" xfId="10551" xr:uid="{00000000-0005-0000-0000-00001F210000}"/>
    <cellStyle name="Comma 5 10 5" xfId="10546" xr:uid="{00000000-0005-0000-0000-000020210000}"/>
    <cellStyle name="Comma 5 10 6" xfId="6464" xr:uid="{00000000-0005-0000-0000-000021210000}"/>
    <cellStyle name="Comma 5 11" xfId="3401" xr:uid="{00000000-0005-0000-0000-000022210000}"/>
    <cellStyle name="Comma 5 11 2" xfId="3402" xr:uid="{00000000-0005-0000-0000-000023210000}"/>
    <cellStyle name="Comma 5 11 2 2" xfId="3403" xr:uid="{00000000-0005-0000-0000-000024210000}"/>
    <cellStyle name="Comma 5 11 2 2 2" xfId="10554" xr:uid="{00000000-0005-0000-0000-000025210000}"/>
    <cellStyle name="Comma 5 11 2 3" xfId="10553" xr:uid="{00000000-0005-0000-0000-000026210000}"/>
    <cellStyle name="Comma 5 11 2 4" xfId="6468" xr:uid="{00000000-0005-0000-0000-000027210000}"/>
    <cellStyle name="Comma 5 11 3" xfId="3404" xr:uid="{00000000-0005-0000-0000-000028210000}"/>
    <cellStyle name="Comma 5 11 3 2" xfId="10555" xr:uid="{00000000-0005-0000-0000-000029210000}"/>
    <cellStyle name="Comma 5 11 4" xfId="10552" xr:uid="{00000000-0005-0000-0000-00002A210000}"/>
    <cellStyle name="Comma 5 11 5" xfId="6467" xr:uid="{00000000-0005-0000-0000-00002B210000}"/>
    <cellStyle name="Comma 5 12" xfId="3405" xr:uid="{00000000-0005-0000-0000-00002C210000}"/>
    <cellStyle name="Comma 5 12 2" xfId="3406" xr:uid="{00000000-0005-0000-0000-00002D210000}"/>
    <cellStyle name="Comma 5 12 2 2" xfId="10557" xr:uid="{00000000-0005-0000-0000-00002E210000}"/>
    <cellStyle name="Comma 5 12 3" xfId="10556" xr:uid="{00000000-0005-0000-0000-00002F210000}"/>
    <cellStyle name="Comma 5 12 4" xfId="6469" xr:uid="{00000000-0005-0000-0000-000030210000}"/>
    <cellStyle name="Comma 5 13" xfId="3407" xr:uid="{00000000-0005-0000-0000-000031210000}"/>
    <cellStyle name="Comma 5 13 2" xfId="3408" xr:uid="{00000000-0005-0000-0000-000032210000}"/>
    <cellStyle name="Comma 5 13 2 2" xfId="10559" xr:uid="{00000000-0005-0000-0000-000033210000}"/>
    <cellStyle name="Comma 5 13 3" xfId="10558" xr:uid="{00000000-0005-0000-0000-000034210000}"/>
    <cellStyle name="Comma 5 13 4" xfId="6470" xr:uid="{00000000-0005-0000-0000-000035210000}"/>
    <cellStyle name="Comma 5 14" xfId="3409" xr:uid="{00000000-0005-0000-0000-000036210000}"/>
    <cellStyle name="Comma 5 14 2" xfId="10560" xr:uid="{00000000-0005-0000-0000-000037210000}"/>
    <cellStyle name="Comma 5 15" xfId="10545" xr:uid="{00000000-0005-0000-0000-000038210000}"/>
    <cellStyle name="Comma 5 16" xfId="6463" xr:uid="{00000000-0005-0000-0000-000039210000}"/>
    <cellStyle name="Comma 5 17" xfId="12344" xr:uid="{00000000-0005-0000-0000-00003A210000}"/>
    <cellStyle name="Comma 5 18" xfId="12359" xr:uid="{00000000-0005-0000-0000-00003B210000}"/>
    <cellStyle name="Comma 5 2" xfId="3410" xr:uid="{00000000-0005-0000-0000-00003C210000}"/>
    <cellStyle name="Comma 5 2 10" xfId="3411" xr:uid="{00000000-0005-0000-0000-00003D210000}"/>
    <cellStyle name="Comma 5 2 10 2" xfId="3412" xr:uid="{00000000-0005-0000-0000-00003E210000}"/>
    <cellStyle name="Comma 5 2 10 2 2" xfId="10563" xr:uid="{00000000-0005-0000-0000-00003F210000}"/>
    <cellStyle name="Comma 5 2 10 3" xfId="10562" xr:uid="{00000000-0005-0000-0000-000040210000}"/>
    <cellStyle name="Comma 5 2 10 4" xfId="6472" xr:uid="{00000000-0005-0000-0000-000041210000}"/>
    <cellStyle name="Comma 5 2 11" xfId="3413" xr:uid="{00000000-0005-0000-0000-000042210000}"/>
    <cellStyle name="Comma 5 2 11 2" xfId="10564" xr:uid="{00000000-0005-0000-0000-000043210000}"/>
    <cellStyle name="Comma 5 2 12" xfId="10561" xr:uid="{00000000-0005-0000-0000-000044210000}"/>
    <cellStyle name="Comma 5 2 13" xfId="6471" xr:uid="{00000000-0005-0000-0000-000045210000}"/>
    <cellStyle name="Comma 5 2 2" xfId="3414" xr:uid="{00000000-0005-0000-0000-000046210000}"/>
    <cellStyle name="Comma 5 2 2 10" xfId="3415" xr:uid="{00000000-0005-0000-0000-000047210000}"/>
    <cellStyle name="Comma 5 2 2 10 2" xfId="10566" xr:uid="{00000000-0005-0000-0000-000048210000}"/>
    <cellStyle name="Comma 5 2 2 11" xfId="10565" xr:uid="{00000000-0005-0000-0000-000049210000}"/>
    <cellStyle name="Comma 5 2 2 12" xfId="6473" xr:uid="{00000000-0005-0000-0000-00004A210000}"/>
    <cellStyle name="Comma 5 2 2 2" xfId="3416" xr:uid="{00000000-0005-0000-0000-00004B210000}"/>
    <cellStyle name="Comma 5 2 2 2 2" xfId="3417" xr:uid="{00000000-0005-0000-0000-00004C210000}"/>
    <cellStyle name="Comma 5 2 2 2 2 2" xfId="3418" xr:uid="{00000000-0005-0000-0000-00004D210000}"/>
    <cellStyle name="Comma 5 2 2 2 2 2 2" xfId="3419" xr:uid="{00000000-0005-0000-0000-00004E210000}"/>
    <cellStyle name="Comma 5 2 2 2 2 2 2 2" xfId="10570" xr:uid="{00000000-0005-0000-0000-00004F210000}"/>
    <cellStyle name="Comma 5 2 2 2 2 2 3" xfId="10569" xr:uid="{00000000-0005-0000-0000-000050210000}"/>
    <cellStyle name="Comma 5 2 2 2 2 2 4" xfId="6476" xr:uid="{00000000-0005-0000-0000-000051210000}"/>
    <cellStyle name="Comma 5 2 2 2 2 3" xfId="3420" xr:uid="{00000000-0005-0000-0000-000052210000}"/>
    <cellStyle name="Comma 5 2 2 2 2 3 2" xfId="10571" xr:uid="{00000000-0005-0000-0000-000053210000}"/>
    <cellStyle name="Comma 5 2 2 2 2 4" xfId="10568" xr:uid="{00000000-0005-0000-0000-000054210000}"/>
    <cellStyle name="Comma 5 2 2 2 2 5" xfId="6475" xr:uid="{00000000-0005-0000-0000-000055210000}"/>
    <cellStyle name="Comma 5 2 2 2 3" xfId="3421" xr:uid="{00000000-0005-0000-0000-000056210000}"/>
    <cellStyle name="Comma 5 2 2 2 3 2" xfId="3422" xr:uid="{00000000-0005-0000-0000-000057210000}"/>
    <cellStyle name="Comma 5 2 2 2 3 2 2" xfId="10573" xr:uid="{00000000-0005-0000-0000-000058210000}"/>
    <cellStyle name="Comma 5 2 2 2 3 3" xfId="10572" xr:uid="{00000000-0005-0000-0000-000059210000}"/>
    <cellStyle name="Comma 5 2 2 2 3 4" xfId="6477" xr:uid="{00000000-0005-0000-0000-00005A210000}"/>
    <cellStyle name="Comma 5 2 2 2 4" xfId="3423" xr:uid="{00000000-0005-0000-0000-00005B210000}"/>
    <cellStyle name="Comma 5 2 2 2 4 2" xfId="3424" xr:uid="{00000000-0005-0000-0000-00005C210000}"/>
    <cellStyle name="Comma 5 2 2 2 4 2 2" xfId="10575" xr:uid="{00000000-0005-0000-0000-00005D210000}"/>
    <cellStyle name="Comma 5 2 2 2 4 3" xfId="10574" xr:uid="{00000000-0005-0000-0000-00005E210000}"/>
    <cellStyle name="Comma 5 2 2 2 4 4" xfId="6478" xr:uid="{00000000-0005-0000-0000-00005F210000}"/>
    <cellStyle name="Comma 5 2 2 2 5" xfId="3425" xr:uid="{00000000-0005-0000-0000-000060210000}"/>
    <cellStyle name="Comma 5 2 2 2 5 2" xfId="10576" xr:uid="{00000000-0005-0000-0000-000061210000}"/>
    <cellStyle name="Comma 5 2 2 2 6" xfId="10567" xr:uid="{00000000-0005-0000-0000-000062210000}"/>
    <cellStyle name="Comma 5 2 2 2 7" xfId="6474" xr:uid="{00000000-0005-0000-0000-000063210000}"/>
    <cellStyle name="Comma 5 2 2 3" xfId="3426" xr:uid="{00000000-0005-0000-0000-000064210000}"/>
    <cellStyle name="Comma 5 2 2 3 2" xfId="3427" xr:uid="{00000000-0005-0000-0000-000065210000}"/>
    <cellStyle name="Comma 5 2 2 3 2 2" xfId="3428" xr:uid="{00000000-0005-0000-0000-000066210000}"/>
    <cellStyle name="Comma 5 2 2 3 2 2 2" xfId="3429" xr:uid="{00000000-0005-0000-0000-000067210000}"/>
    <cellStyle name="Comma 5 2 2 3 2 2 2 2" xfId="10580" xr:uid="{00000000-0005-0000-0000-000068210000}"/>
    <cellStyle name="Comma 5 2 2 3 2 2 3" xfId="10579" xr:uid="{00000000-0005-0000-0000-000069210000}"/>
    <cellStyle name="Comma 5 2 2 3 2 2 4" xfId="6481" xr:uid="{00000000-0005-0000-0000-00006A210000}"/>
    <cellStyle name="Comma 5 2 2 3 2 3" xfId="3430" xr:uid="{00000000-0005-0000-0000-00006B210000}"/>
    <cellStyle name="Comma 5 2 2 3 2 3 2" xfId="10581" xr:uid="{00000000-0005-0000-0000-00006C210000}"/>
    <cellStyle name="Comma 5 2 2 3 2 4" xfId="10578" xr:uid="{00000000-0005-0000-0000-00006D210000}"/>
    <cellStyle name="Comma 5 2 2 3 2 5" xfId="6480" xr:uid="{00000000-0005-0000-0000-00006E210000}"/>
    <cellStyle name="Comma 5 2 2 3 3" xfId="3431" xr:uid="{00000000-0005-0000-0000-00006F210000}"/>
    <cellStyle name="Comma 5 2 2 3 3 2" xfId="3432" xr:uid="{00000000-0005-0000-0000-000070210000}"/>
    <cellStyle name="Comma 5 2 2 3 3 2 2" xfId="10583" xr:uid="{00000000-0005-0000-0000-000071210000}"/>
    <cellStyle name="Comma 5 2 2 3 3 3" xfId="10582" xr:uid="{00000000-0005-0000-0000-000072210000}"/>
    <cellStyle name="Comma 5 2 2 3 3 4" xfId="6482" xr:uid="{00000000-0005-0000-0000-000073210000}"/>
    <cellStyle name="Comma 5 2 2 3 4" xfId="3433" xr:uid="{00000000-0005-0000-0000-000074210000}"/>
    <cellStyle name="Comma 5 2 2 3 4 2" xfId="3434" xr:uid="{00000000-0005-0000-0000-000075210000}"/>
    <cellStyle name="Comma 5 2 2 3 4 2 2" xfId="10585" xr:uid="{00000000-0005-0000-0000-000076210000}"/>
    <cellStyle name="Comma 5 2 2 3 4 3" xfId="10584" xr:uid="{00000000-0005-0000-0000-000077210000}"/>
    <cellStyle name="Comma 5 2 2 3 4 4" xfId="6483" xr:uid="{00000000-0005-0000-0000-000078210000}"/>
    <cellStyle name="Comma 5 2 2 3 5" xfId="3435" xr:uid="{00000000-0005-0000-0000-000079210000}"/>
    <cellStyle name="Comma 5 2 2 3 5 2" xfId="10586" xr:uid="{00000000-0005-0000-0000-00007A210000}"/>
    <cellStyle name="Comma 5 2 2 3 6" xfId="10577" xr:uid="{00000000-0005-0000-0000-00007B210000}"/>
    <cellStyle name="Comma 5 2 2 3 7" xfId="6479" xr:uid="{00000000-0005-0000-0000-00007C210000}"/>
    <cellStyle name="Comma 5 2 2 4" xfId="3436" xr:uid="{00000000-0005-0000-0000-00007D210000}"/>
    <cellStyle name="Comma 5 2 2 4 2" xfId="3437" xr:uid="{00000000-0005-0000-0000-00007E210000}"/>
    <cellStyle name="Comma 5 2 2 4 2 2" xfId="3438" xr:uid="{00000000-0005-0000-0000-00007F210000}"/>
    <cellStyle name="Comma 5 2 2 4 2 2 2" xfId="3439" xr:uid="{00000000-0005-0000-0000-000080210000}"/>
    <cellStyle name="Comma 5 2 2 4 2 2 2 2" xfId="10590" xr:uid="{00000000-0005-0000-0000-000081210000}"/>
    <cellStyle name="Comma 5 2 2 4 2 2 3" xfId="10589" xr:uid="{00000000-0005-0000-0000-000082210000}"/>
    <cellStyle name="Comma 5 2 2 4 2 2 4" xfId="6486" xr:uid="{00000000-0005-0000-0000-000083210000}"/>
    <cellStyle name="Comma 5 2 2 4 2 3" xfId="3440" xr:uid="{00000000-0005-0000-0000-000084210000}"/>
    <cellStyle name="Comma 5 2 2 4 2 3 2" xfId="10591" xr:uid="{00000000-0005-0000-0000-000085210000}"/>
    <cellStyle name="Comma 5 2 2 4 2 4" xfId="10588" xr:uid="{00000000-0005-0000-0000-000086210000}"/>
    <cellStyle name="Comma 5 2 2 4 2 5" xfId="6485" xr:uid="{00000000-0005-0000-0000-000087210000}"/>
    <cellStyle name="Comma 5 2 2 4 3" xfId="3441" xr:uid="{00000000-0005-0000-0000-000088210000}"/>
    <cellStyle name="Comma 5 2 2 4 3 2" xfId="3442" xr:uid="{00000000-0005-0000-0000-000089210000}"/>
    <cellStyle name="Comma 5 2 2 4 3 2 2" xfId="10593" xr:uid="{00000000-0005-0000-0000-00008A210000}"/>
    <cellStyle name="Comma 5 2 2 4 3 3" xfId="10592" xr:uid="{00000000-0005-0000-0000-00008B210000}"/>
    <cellStyle name="Comma 5 2 2 4 3 4" xfId="6487" xr:uid="{00000000-0005-0000-0000-00008C210000}"/>
    <cellStyle name="Comma 5 2 2 4 4" xfId="3443" xr:uid="{00000000-0005-0000-0000-00008D210000}"/>
    <cellStyle name="Comma 5 2 2 4 4 2" xfId="3444" xr:uid="{00000000-0005-0000-0000-00008E210000}"/>
    <cellStyle name="Comma 5 2 2 4 4 2 2" xfId="10595" xr:uid="{00000000-0005-0000-0000-00008F210000}"/>
    <cellStyle name="Comma 5 2 2 4 4 3" xfId="10594" xr:uid="{00000000-0005-0000-0000-000090210000}"/>
    <cellStyle name="Comma 5 2 2 4 4 4" xfId="6488" xr:uid="{00000000-0005-0000-0000-000091210000}"/>
    <cellStyle name="Comma 5 2 2 4 5" xfId="3445" xr:uid="{00000000-0005-0000-0000-000092210000}"/>
    <cellStyle name="Comma 5 2 2 4 5 2" xfId="10596" xr:uid="{00000000-0005-0000-0000-000093210000}"/>
    <cellStyle name="Comma 5 2 2 4 6" xfId="10587" xr:uid="{00000000-0005-0000-0000-000094210000}"/>
    <cellStyle name="Comma 5 2 2 4 7" xfId="6484" xr:uid="{00000000-0005-0000-0000-000095210000}"/>
    <cellStyle name="Comma 5 2 2 5" xfId="3446" xr:uid="{00000000-0005-0000-0000-000096210000}"/>
    <cellStyle name="Comma 5 2 2 5 2" xfId="3447" xr:uid="{00000000-0005-0000-0000-000097210000}"/>
    <cellStyle name="Comma 5 2 2 5 2 2" xfId="3448" xr:uid="{00000000-0005-0000-0000-000098210000}"/>
    <cellStyle name="Comma 5 2 2 5 2 2 2" xfId="3449" xr:uid="{00000000-0005-0000-0000-000099210000}"/>
    <cellStyle name="Comma 5 2 2 5 2 2 2 2" xfId="10600" xr:uid="{00000000-0005-0000-0000-00009A210000}"/>
    <cellStyle name="Comma 5 2 2 5 2 2 3" xfId="10599" xr:uid="{00000000-0005-0000-0000-00009B210000}"/>
    <cellStyle name="Comma 5 2 2 5 2 2 4" xfId="6491" xr:uid="{00000000-0005-0000-0000-00009C210000}"/>
    <cellStyle name="Comma 5 2 2 5 2 3" xfId="3450" xr:uid="{00000000-0005-0000-0000-00009D210000}"/>
    <cellStyle name="Comma 5 2 2 5 2 3 2" xfId="10601" xr:uid="{00000000-0005-0000-0000-00009E210000}"/>
    <cellStyle name="Comma 5 2 2 5 2 4" xfId="10598" xr:uid="{00000000-0005-0000-0000-00009F210000}"/>
    <cellStyle name="Comma 5 2 2 5 2 5" xfId="6490" xr:uid="{00000000-0005-0000-0000-0000A0210000}"/>
    <cellStyle name="Comma 5 2 2 5 3" xfId="3451" xr:uid="{00000000-0005-0000-0000-0000A1210000}"/>
    <cellStyle name="Comma 5 2 2 5 3 2" xfId="3452" xr:uid="{00000000-0005-0000-0000-0000A2210000}"/>
    <cellStyle name="Comma 5 2 2 5 3 2 2" xfId="10603" xr:uid="{00000000-0005-0000-0000-0000A3210000}"/>
    <cellStyle name="Comma 5 2 2 5 3 3" xfId="10602" xr:uid="{00000000-0005-0000-0000-0000A4210000}"/>
    <cellStyle name="Comma 5 2 2 5 3 4" xfId="6492" xr:uid="{00000000-0005-0000-0000-0000A5210000}"/>
    <cellStyle name="Comma 5 2 2 5 4" xfId="3453" xr:uid="{00000000-0005-0000-0000-0000A6210000}"/>
    <cellStyle name="Comma 5 2 2 5 4 2" xfId="3454" xr:uid="{00000000-0005-0000-0000-0000A7210000}"/>
    <cellStyle name="Comma 5 2 2 5 4 2 2" xfId="10605" xr:uid="{00000000-0005-0000-0000-0000A8210000}"/>
    <cellStyle name="Comma 5 2 2 5 4 3" xfId="10604" xr:uid="{00000000-0005-0000-0000-0000A9210000}"/>
    <cellStyle name="Comma 5 2 2 5 4 4" xfId="6493" xr:uid="{00000000-0005-0000-0000-0000AA210000}"/>
    <cellStyle name="Comma 5 2 2 5 5" xfId="3455" xr:uid="{00000000-0005-0000-0000-0000AB210000}"/>
    <cellStyle name="Comma 5 2 2 5 5 2" xfId="10606" xr:uid="{00000000-0005-0000-0000-0000AC210000}"/>
    <cellStyle name="Comma 5 2 2 5 6" xfId="10597" xr:uid="{00000000-0005-0000-0000-0000AD210000}"/>
    <cellStyle name="Comma 5 2 2 5 7" xfId="6489" xr:uid="{00000000-0005-0000-0000-0000AE210000}"/>
    <cellStyle name="Comma 5 2 2 6" xfId="3456" xr:uid="{00000000-0005-0000-0000-0000AF210000}"/>
    <cellStyle name="Comma 5 2 2 6 2" xfId="3457" xr:uid="{00000000-0005-0000-0000-0000B0210000}"/>
    <cellStyle name="Comma 5 2 2 6 2 2" xfId="3458" xr:uid="{00000000-0005-0000-0000-0000B1210000}"/>
    <cellStyle name="Comma 5 2 2 6 2 2 2" xfId="10609" xr:uid="{00000000-0005-0000-0000-0000B2210000}"/>
    <cellStyle name="Comma 5 2 2 6 2 3" xfId="10608" xr:uid="{00000000-0005-0000-0000-0000B3210000}"/>
    <cellStyle name="Comma 5 2 2 6 2 4" xfId="6495" xr:uid="{00000000-0005-0000-0000-0000B4210000}"/>
    <cellStyle name="Comma 5 2 2 6 3" xfId="3459" xr:uid="{00000000-0005-0000-0000-0000B5210000}"/>
    <cellStyle name="Comma 5 2 2 6 3 2" xfId="3460" xr:uid="{00000000-0005-0000-0000-0000B6210000}"/>
    <cellStyle name="Comma 5 2 2 6 3 2 2" xfId="10611" xr:uid="{00000000-0005-0000-0000-0000B7210000}"/>
    <cellStyle name="Comma 5 2 2 6 3 3" xfId="10610" xr:uid="{00000000-0005-0000-0000-0000B8210000}"/>
    <cellStyle name="Comma 5 2 2 6 3 4" xfId="6496" xr:uid="{00000000-0005-0000-0000-0000B9210000}"/>
    <cellStyle name="Comma 5 2 2 6 4" xfId="3461" xr:uid="{00000000-0005-0000-0000-0000BA210000}"/>
    <cellStyle name="Comma 5 2 2 6 4 2" xfId="10612" xr:uid="{00000000-0005-0000-0000-0000BB210000}"/>
    <cellStyle name="Comma 5 2 2 6 5" xfId="10607" xr:uid="{00000000-0005-0000-0000-0000BC210000}"/>
    <cellStyle name="Comma 5 2 2 6 6" xfId="6494" xr:uid="{00000000-0005-0000-0000-0000BD210000}"/>
    <cellStyle name="Comma 5 2 2 7" xfId="3462" xr:uid="{00000000-0005-0000-0000-0000BE210000}"/>
    <cellStyle name="Comma 5 2 2 7 2" xfId="3463" xr:uid="{00000000-0005-0000-0000-0000BF210000}"/>
    <cellStyle name="Comma 5 2 2 7 2 2" xfId="3464" xr:uid="{00000000-0005-0000-0000-0000C0210000}"/>
    <cellStyle name="Comma 5 2 2 7 2 2 2" xfId="10615" xr:uid="{00000000-0005-0000-0000-0000C1210000}"/>
    <cellStyle name="Comma 5 2 2 7 2 3" xfId="10614" xr:uid="{00000000-0005-0000-0000-0000C2210000}"/>
    <cellStyle name="Comma 5 2 2 7 2 4" xfId="6498" xr:uid="{00000000-0005-0000-0000-0000C3210000}"/>
    <cellStyle name="Comma 5 2 2 7 3" xfId="3465" xr:uid="{00000000-0005-0000-0000-0000C4210000}"/>
    <cellStyle name="Comma 5 2 2 7 3 2" xfId="10616" xr:uid="{00000000-0005-0000-0000-0000C5210000}"/>
    <cellStyle name="Comma 5 2 2 7 4" xfId="10613" xr:uid="{00000000-0005-0000-0000-0000C6210000}"/>
    <cellStyle name="Comma 5 2 2 7 5" xfId="6497" xr:uid="{00000000-0005-0000-0000-0000C7210000}"/>
    <cellStyle name="Comma 5 2 2 8" xfId="3466" xr:uid="{00000000-0005-0000-0000-0000C8210000}"/>
    <cellStyle name="Comma 5 2 2 8 2" xfId="3467" xr:uid="{00000000-0005-0000-0000-0000C9210000}"/>
    <cellStyle name="Comma 5 2 2 8 2 2" xfId="10618" xr:uid="{00000000-0005-0000-0000-0000CA210000}"/>
    <cellStyle name="Comma 5 2 2 8 3" xfId="10617" xr:uid="{00000000-0005-0000-0000-0000CB210000}"/>
    <cellStyle name="Comma 5 2 2 8 4" xfId="6499" xr:uid="{00000000-0005-0000-0000-0000CC210000}"/>
    <cellStyle name="Comma 5 2 2 9" xfId="3468" xr:uid="{00000000-0005-0000-0000-0000CD210000}"/>
    <cellStyle name="Comma 5 2 2 9 2" xfId="3469" xr:uid="{00000000-0005-0000-0000-0000CE210000}"/>
    <cellStyle name="Comma 5 2 2 9 2 2" xfId="10620" xr:uid="{00000000-0005-0000-0000-0000CF210000}"/>
    <cellStyle name="Comma 5 2 2 9 3" xfId="10619" xr:uid="{00000000-0005-0000-0000-0000D0210000}"/>
    <cellStyle name="Comma 5 2 2 9 4" xfId="6500" xr:uid="{00000000-0005-0000-0000-0000D1210000}"/>
    <cellStyle name="Comma 5 2 3" xfId="3470" xr:uid="{00000000-0005-0000-0000-0000D2210000}"/>
    <cellStyle name="Comma 5 2 3 2" xfId="3471" xr:uid="{00000000-0005-0000-0000-0000D3210000}"/>
    <cellStyle name="Comma 5 2 3 2 2" xfId="3472" xr:uid="{00000000-0005-0000-0000-0000D4210000}"/>
    <cellStyle name="Comma 5 2 3 2 2 2" xfId="3473" xr:uid="{00000000-0005-0000-0000-0000D5210000}"/>
    <cellStyle name="Comma 5 2 3 2 2 2 2" xfId="10624" xr:uid="{00000000-0005-0000-0000-0000D6210000}"/>
    <cellStyle name="Comma 5 2 3 2 2 3" xfId="10623" xr:uid="{00000000-0005-0000-0000-0000D7210000}"/>
    <cellStyle name="Comma 5 2 3 2 2 4" xfId="6503" xr:uid="{00000000-0005-0000-0000-0000D8210000}"/>
    <cellStyle name="Comma 5 2 3 2 3" xfId="3474" xr:uid="{00000000-0005-0000-0000-0000D9210000}"/>
    <cellStyle name="Comma 5 2 3 2 3 2" xfId="10625" xr:uid="{00000000-0005-0000-0000-0000DA210000}"/>
    <cellStyle name="Comma 5 2 3 2 4" xfId="10622" xr:uid="{00000000-0005-0000-0000-0000DB210000}"/>
    <cellStyle name="Comma 5 2 3 2 5" xfId="6502" xr:uid="{00000000-0005-0000-0000-0000DC210000}"/>
    <cellStyle name="Comma 5 2 3 3" xfId="3475" xr:uid="{00000000-0005-0000-0000-0000DD210000}"/>
    <cellStyle name="Comma 5 2 3 3 2" xfId="3476" xr:uid="{00000000-0005-0000-0000-0000DE210000}"/>
    <cellStyle name="Comma 5 2 3 3 2 2" xfId="10627" xr:uid="{00000000-0005-0000-0000-0000DF210000}"/>
    <cellStyle name="Comma 5 2 3 3 3" xfId="10626" xr:uid="{00000000-0005-0000-0000-0000E0210000}"/>
    <cellStyle name="Comma 5 2 3 3 4" xfId="6504" xr:uid="{00000000-0005-0000-0000-0000E1210000}"/>
    <cellStyle name="Comma 5 2 3 4" xfId="3477" xr:uid="{00000000-0005-0000-0000-0000E2210000}"/>
    <cellStyle name="Comma 5 2 3 4 2" xfId="3478" xr:uid="{00000000-0005-0000-0000-0000E3210000}"/>
    <cellStyle name="Comma 5 2 3 4 2 2" xfId="10629" xr:uid="{00000000-0005-0000-0000-0000E4210000}"/>
    <cellStyle name="Comma 5 2 3 4 3" xfId="10628" xr:uid="{00000000-0005-0000-0000-0000E5210000}"/>
    <cellStyle name="Comma 5 2 3 4 4" xfId="6505" xr:uid="{00000000-0005-0000-0000-0000E6210000}"/>
    <cellStyle name="Comma 5 2 3 5" xfId="3479" xr:uid="{00000000-0005-0000-0000-0000E7210000}"/>
    <cellStyle name="Comma 5 2 3 5 2" xfId="10630" xr:uid="{00000000-0005-0000-0000-0000E8210000}"/>
    <cellStyle name="Comma 5 2 3 6" xfId="10621" xr:uid="{00000000-0005-0000-0000-0000E9210000}"/>
    <cellStyle name="Comma 5 2 3 7" xfId="6501" xr:uid="{00000000-0005-0000-0000-0000EA210000}"/>
    <cellStyle name="Comma 5 2 4" xfId="3480" xr:uid="{00000000-0005-0000-0000-0000EB210000}"/>
    <cellStyle name="Comma 5 2 4 2" xfId="3481" xr:uid="{00000000-0005-0000-0000-0000EC210000}"/>
    <cellStyle name="Comma 5 2 4 2 2" xfId="3482" xr:uid="{00000000-0005-0000-0000-0000ED210000}"/>
    <cellStyle name="Comma 5 2 4 2 2 2" xfId="3483" xr:uid="{00000000-0005-0000-0000-0000EE210000}"/>
    <cellStyle name="Comma 5 2 4 2 2 2 2" xfId="10634" xr:uid="{00000000-0005-0000-0000-0000EF210000}"/>
    <cellStyle name="Comma 5 2 4 2 2 3" xfId="10633" xr:uid="{00000000-0005-0000-0000-0000F0210000}"/>
    <cellStyle name="Comma 5 2 4 2 2 4" xfId="6508" xr:uid="{00000000-0005-0000-0000-0000F1210000}"/>
    <cellStyle name="Comma 5 2 4 2 3" xfId="3484" xr:uid="{00000000-0005-0000-0000-0000F2210000}"/>
    <cellStyle name="Comma 5 2 4 2 3 2" xfId="10635" xr:uid="{00000000-0005-0000-0000-0000F3210000}"/>
    <cellStyle name="Comma 5 2 4 2 4" xfId="10632" xr:uid="{00000000-0005-0000-0000-0000F4210000}"/>
    <cellStyle name="Comma 5 2 4 2 5" xfId="6507" xr:uid="{00000000-0005-0000-0000-0000F5210000}"/>
    <cellStyle name="Comma 5 2 4 3" xfId="3485" xr:uid="{00000000-0005-0000-0000-0000F6210000}"/>
    <cellStyle name="Comma 5 2 4 3 2" xfId="3486" xr:uid="{00000000-0005-0000-0000-0000F7210000}"/>
    <cellStyle name="Comma 5 2 4 3 2 2" xfId="10637" xr:uid="{00000000-0005-0000-0000-0000F8210000}"/>
    <cellStyle name="Comma 5 2 4 3 3" xfId="10636" xr:uid="{00000000-0005-0000-0000-0000F9210000}"/>
    <cellStyle name="Comma 5 2 4 3 4" xfId="6509" xr:uid="{00000000-0005-0000-0000-0000FA210000}"/>
    <cellStyle name="Comma 5 2 4 4" xfId="3487" xr:uid="{00000000-0005-0000-0000-0000FB210000}"/>
    <cellStyle name="Comma 5 2 4 4 2" xfId="3488" xr:uid="{00000000-0005-0000-0000-0000FC210000}"/>
    <cellStyle name="Comma 5 2 4 4 2 2" xfId="10639" xr:uid="{00000000-0005-0000-0000-0000FD210000}"/>
    <cellStyle name="Comma 5 2 4 4 3" xfId="10638" xr:uid="{00000000-0005-0000-0000-0000FE210000}"/>
    <cellStyle name="Comma 5 2 4 4 4" xfId="6510" xr:uid="{00000000-0005-0000-0000-0000FF210000}"/>
    <cellStyle name="Comma 5 2 4 5" xfId="3489" xr:uid="{00000000-0005-0000-0000-000000220000}"/>
    <cellStyle name="Comma 5 2 4 5 2" xfId="10640" xr:uid="{00000000-0005-0000-0000-000001220000}"/>
    <cellStyle name="Comma 5 2 4 6" xfId="10631" xr:uid="{00000000-0005-0000-0000-000002220000}"/>
    <cellStyle name="Comma 5 2 4 7" xfId="6506" xr:uid="{00000000-0005-0000-0000-000003220000}"/>
    <cellStyle name="Comma 5 2 5" xfId="3490" xr:uid="{00000000-0005-0000-0000-000004220000}"/>
    <cellStyle name="Comma 5 2 5 2" xfId="3491" xr:uid="{00000000-0005-0000-0000-000005220000}"/>
    <cellStyle name="Comma 5 2 5 2 2" xfId="3492" xr:uid="{00000000-0005-0000-0000-000006220000}"/>
    <cellStyle name="Comma 5 2 5 2 2 2" xfId="3493" xr:uid="{00000000-0005-0000-0000-000007220000}"/>
    <cellStyle name="Comma 5 2 5 2 2 2 2" xfId="10644" xr:uid="{00000000-0005-0000-0000-000008220000}"/>
    <cellStyle name="Comma 5 2 5 2 2 3" xfId="10643" xr:uid="{00000000-0005-0000-0000-000009220000}"/>
    <cellStyle name="Comma 5 2 5 2 2 4" xfId="6513" xr:uid="{00000000-0005-0000-0000-00000A220000}"/>
    <cellStyle name="Comma 5 2 5 2 3" xfId="3494" xr:uid="{00000000-0005-0000-0000-00000B220000}"/>
    <cellStyle name="Comma 5 2 5 2 3 2" xfId="10645" xr:uid="{00000000-0005-0000-0000-00000C220000}"/>
    <cellStyle name="Comma 5 2 5 2 4" xfId="10642" xr:uid="{00000000-0005-0000-0000-00000D220000}"/>
    <cellStyle name="Comma 5 2 5 2 5" xfId="6512" xr:uid="{00000000-0005-0000-0000-00000E220000}"/>
    <cellStyle name="Comma 5 2 5 3" xfId="3495" xr:uid="{00000000-0005-0000-0000-00000F220000}"/>
    <cellStyle name="Comma 5 2 5 3 2" xfId="3496" xr:uid="{00000000-0005-0000-0000-000010220000}"/>
    <cellStyle name="Comma 5 2 5 3 2 2" xfId="10647" xr:uid="{00000000-0005-0000-0000-000011220000}"/>
    <cellStyle name="Comma 5 2 5 3 3" xfId="10646" xr:uid="{00000000-0005-0000-0000-000012220000}"/>
    <cellStyle name="Comma 5 2 5 3 4" xfId="6514" xr:uid="{00000000-0005-0000-0000-000013220000}"/>
    <cellStyle name="Comma 5 2 5 4" xfId="3497" xr:uid="{00000000-0005-0000-0000-000014220000}"/>
    <cellStyle name="Comma 5 2 5 4 2" xfId="3498" xr:uid="{00000000-0005-0000-0000-000015220000}"/>
    <cellStyle name="Comma 5 2 5 4 2 2" xfId="10649" xr:uid="{00000000-0005-0000-0000-000016220000}"/>
    <cellStyle name="Comma 5 2 5 4 3" xfId="10648" xr:uid="{00000000-0005-0000-0000-000017220000}"/>
    <cellStyle name="Comma 5 2 5 4 4" xfId="6515" xr:uid="{00000000-0005-0000-0000-000018220000}"/>
    <cellStyle name="Comma 5 2 5 5" xfId="3499" xr:uid="{00000000-0005-0000-0000-000019220000}"/>
    <cellStyle name="Comma 5 2 5 5 2" xfId="10650" xr:uid="{00000000-0005-0000-0000-00001A220000}"/>
    <cellStyle name="Comma 5 2 5 6" xfId="10641" xr:uid="{00000000-0005-0000-0000-00001B220000}"/>
    <cellStyle name="Comma 5 2 5 7" xfId="6511" xr:uid="{00000000-0005-0000-0000-00001C220000}"/>
    <cellStyle name="Comma 5 2 6" xfId="3500" xr:uid="{00000000-0005-0000-0000-00001D220000}"/>
    <cellStyle name="Comma 5 2 6 2" xfId="3501" xr:uid="{00000000-0005-0000-0000-00001E220000}"/>
    <cellStyle name="Comma 5 2 6 2 2" xfId="3502" xr:uid="{00000000-0005-0000-0000-00001F220000}"/>
    <cellStyle name="Comma 5 2 6 2 2 2" xfId="3503" xr:uid="{00000000-0005-0000-0000-000020220000}"/>
    <cellStyle name="Comma 5 2 6 2 2 2 2" xfId="10654" xr:uid="{00000000-0005-0000-0000-000021220000}"/>
    <cellStyle name="Comma 5 2 6 2 2 3" xfId="10653" xr:uid="{00000000-0005-0000-0000-000022220000}"/>
    <cellStyle name="Comma 5 2 6 2 2 4" xfId="6518" xr:uid="{00000000-0005-0000-0000-000023220000}"/>
    <cellStyle name="Comma 5 2 6 2 3" xfId="3504" xr:uid="{00000000-0005-0000-0000-000024220000}"/>
    <cellStyle name="Comma 5 2 6 2 3 2" xfId="10655" xr:uid="{00000000-0005-0000-0000-000025220000}"/>
    <cellStyle name="Comma 5 2 6 2 4" xfId="10652" xr:uid="{00000000-0005-0000-0000-000026220000}"/>
    <cellStyle name="Comma 5 2 6 2 5" xfId="6517" xr:uid="{00000000-0005-0000-0000-000027220000}"/>
    <cellStyle name="Comma 5 2 6 3" xfId="3505" xr:uid="{00000000-0005-0000-0000-000028220000}"/>
    <cellStyle name="Comma 5 2 6 3 2" xfId="3506" xr:uid="{00000000-0005-0000-0000-000029220000}"/>
    <cellStyle name="Comma 5 2 6 3 2 2" xfId="10657" xr:uid="{00000000-0005-0000-0000-00002A220000}"/>
    <cellStyle name="Comma 5 2 6 3 3" xfId="10656" xr:uid="{00000000-0005-0000-0000-00002B220000}"/>
    <cellStyle name="Comma 5 2 6 3 4" xfId="6519" xr:uid="{00000000-0005-0000-0000-00002C220000}"/>
    <cellStyle name="Comma 5 2 6 4" xfId="3507" xr:uid="{00000000-0005-0000-0000-00002D220000}"/>
    <cellStyle name="Comma 5 2 6 4 2" xfId="3508" xr:uid="{00000000-0005-0000-0000-00002E220000}"/>
    <cellStyle name="Comma 5 2 6 4 2 2" xfId="10659" xr:uid="{00000000-0005-0000-0000-00002F220000}"/>
    <cellStyle name="Comma 5 2 6 4 3" xfId="10658" xr:uid="{00000000-0005-0000-0000-000030220000}"/>
    <cellStyle name="Comma 5 2 6 4 4" xfId="6520" xr:uid="{00000000-0005-0000-0000-000031220000}"/>
    <cellStyle name="Comma 5 2 6 5" xfId="3509" xr:uid="{00000000-0005-0000-0000-000032220000}"/>
    <cellStyle name="Comma 5 2 6 5 2" xfId="10660" xr:uid="{00000000-0005-0000-0000-000033220000}"/>
    <cellStyle name="Comma 5 2 6 6" xfId="10651" xr:uid="{00000000-0005-0000-0000-000034220000}"/>
    <cellStyle name="Comma 5 2 6 7" xfId="6516" xr:uid="{00000000-0005-0000-0000-000035220000}"/>
    <cellStyle name="Comma 5 2 7" xfId="3510" xr:uid="{00000000-0005-0000-0000-000036220000}"/>
    <cellStyle name="Comma 5 2 7 2" xfId="3511" xr:uid="{00000000-0005-0000-0000-000037220000}"/>
    <cellStyle name="Comma 5 2 7 2 2" xfId="3512" xr:uid="{00000000-0005-0000-0000-000038220000}"/>
    <cellStyle name="Comma 5 2 7 2 2 2" xfId="10663" xr:uid="{00000000-0005-0000-0000-000039220000}"/>
    <cellStyle name="Comma 5 2 7 2 3" xfId="10662" xr:uid="{00000000-0005-0000-0000-00003A220000}"/>
    <cellStyle name="Comma 5 2 7 2 4" xfId="6522" xr:uid="{00000000-0005-0000-0000-00003B220000}"/>
    <cellStyle name="Comma 5 2 7 3" xfId="3513" xr:uid="{00000000-0005-0000-0000-00003C220000}"/>
    <cellStyle name="Comma 5 2 7 3 2" xfId="3514" xr:uid="{00000000-0005-0000-0000-00003D220000}"/>
    <cellStyle name="Comma 5 2 7 3 2 2" xfId="10665" xr:uid="{00000000-0005-0000-0000-00003E220000}"/>
    <cellStyle name="Comma 5 2 7 3 3" xfId="10664" xr:uid="{00000000-0005-0000-0000-00003F220000}"/>
    <cellStyle name="Comma 5 2 7 3 4" xfId="6523" xr:uid="{00000000-0005-0000-0000-000040220000}"/>
    <cellStyle name="Comma 5 2 7 4" xfId="3515" xr:uid="{00000000-0005-0000-0000-000041220000}"/>
    <cellStyle name="Comma 5 2 7 4 2" xfId="10666" xr:uid="{00000000-0005-0000-0000-000042220000}"/>
    <cellStyle name="Comma 5 2 7 5" xfId="10661" xr:uid="{00000000-0005-0000-0000-000043220000}"/>
    <cellStyle name="Comma 5 2 7 6" xfId="6521" xr:uid="{00000000-0005-0000-0000-000044220000}"/>
    <cellStyle name="Comma 5 2 8" xfId="3516" xr:uid="{00000000-0005-0000-0000-000045220000}"/>
    <cellStyle name="Comma 5 2 8 2" xfId="3517" xr:uid="{00000000-0005-0000-0000-000046220000}"/>
    <cellStyle name="Comma 5 2 8 2 2" xfId="3518" xr:uid="{00000000-0005-0000-0000-000047220000}"/>
    <cellStyle name="Comma 5 2 8 2 2 2" xfId="10669" xr:uid="{00000000-0005-0000-0000-000048220000}"/>
    <cellStyle name="Comma 5 2 8 2 3" xfId="10668" xr:uid="{00000000-0005-0000-0000-000049220000}"/>
    <cellStyle name="Comma 5 2 8 2 4" xfId="6525" xr:uid="{00000000-0005-0000-0000-00004A220000}"/>
    <cellStyle name="Comma 5 2 8 3" xfId="3519" xr:uid="{00000000-0005-0000-0000-00004B220000}"/>
    <cellStyle name="Comma 5 2 8 3 2" xfId="10670" xr:uid="{00000000-0005-0000-0000-00004C220000}"/>
    <cellStyle name="Comma 5 2 8 4" xfId="10667" xr:uid="{00000000-0005-0000-0000-00004D220000}"/>
    <cellStyle name="Comma 5 2 8 5" xfId="6524" xr:uid="{00000000-0005-0000-0000-00004E220000}"/>
    <cellStyle name="Comma 5 2 9" xfId="3520" xr:uid="{00000000-0005-0000-0000-00004F220000}"/>
    <cellStyle name="Comma 5 2 9 2" xfId="3521" xr:uid="{00000000-0005-0000-0000-000050220000}"/>
    <cellStyle name="Comma 5 2 9 2 2" xfId="10672" xr:uid="{00000000-0005-0000-0000-000051220000}"/>
    <cellStyle name="Comma 5 2 9 3" xfId="10671" xr:uid="{00000000-0005-0000-0000-000052220000}"/>
    <cellStyle name="Comma 5 2 9 4" xfId="6526" xr:uid="{00000000-0005-0000-0000-000053220000}"/>
    <cellStyle name="Comma 5 3" xfId="3522" xr:uid="{00000000-0005-0000-0000-000054220000}"/>
    <cellStyle name="Comma 5 3 10" xfId="3523" xr:uid="{00000000-0005-0000-0000-000055220000}"/>
    <cellStyle name="Comma 5 3 10 2" xfId="3524" xr:uid="{00000000-0005-0000-0000-000056220000}"/>
    <cellStyle name="Comma 5 3 10 2 2" xfId="10675" xr:uid="{00000000-0005-0000-0000-000057220000}"/>
    <cellStyle name="Comma 5 3 10 3" xfId="10674" xr:uid="{00000000-0005-0000-0000-000058220000}"/>
    <cellStyle name="Comma 5 3 10 4" xfId="6528" xr:uid="{00000000-0005-0000-0000-000059220000}"/>
    <cellStyle name="Comma 5 3 11" xfId="3525" xr:uid="{00000000-0005-0000-0000-00005A220000}"/>
    <cellStyle name="Comma 5 3 11 2" xfId="10676" xr:uid="{00000000-0005-0000-0000-00005B220000}"/>
    <cellStyle name="Comma 5 3 12" xfId="10673" xr:uid="{00000000-0005-0000-0000-00005C220000}"/>
    <cellStyle name="Comma 5 3 13" xfId="6527" xr:uid="{00000000-0005-0000-0000-00005D220000}"/>
    <cellStyle name="Comma 5 3 2" xfId="3526" xr:uid="{00000000-0005-0000-0000-00005E220000}"/>
    <cellStyle name="Comma 5 3 2 10" xfId="3527" xr:uid="{00000000-0005-0000-0000-00005F220000}"/>
    <cellStyle name="Comma 5 3 2 10 2" xfId="10678" xr:uid="{00000000-0005-0000-0000-000060220000}"/>
    <cellStyle name="Comma 5 3 2 11" xfId="10677" xr:uid="{00000000-0005-0000-0000-000061220000}"/>
    <cellStyle name="Comma 5 3 2 12" xfId="6529" xr:uid="{00000000-0005-0000-0000-000062220000}"/>
    <cellStyle name="Comma 5 3 2 2" xfId="3528" xr:uid="{00000000-0005-0000-0000-000063220000}"/>
    <cellStyle name="Comma 5 3 2 2 2" xfId="3529" xr:uid="{00000000-0005-0000-0000-000064220000}"/>
    <cellStyle name="Comma 5 3 2 2 2 2" xfId="3530" xr:uid="{00000000-0005-0000-0000-000065220000}"/>
    <cellStyle name="Comma 5 3 2 2 2 2 2" xfId="3531" xr:uid="{00000000-0005-0000-0000-000066220000}"/>
    <cellStyle name="Comma 5 3 2 2 2 2 2 2" xfId="10682" xr:uid="{00000000-0005-0000-0000-000067220000}"/>
    <cellStyle name="Comma 5 3 2 2 2 2 3" xfId="10681" xr:uid="{00000000-0005-0000-0000-000068220000}"/>
    <cellStyle name="Comma 5 3 2 2 2 2 4" xfId="6532" xr:uid="{00000000-0005-0000-0000-000069220000}"/>
    <cellStyle name="Comma 5 3 2 2 2 3" xfId="3532" xr:uid="{00000000-0005-0000-0000-00006A220000}"/>
    <cellStyle name="Comma 5 3 2 2 2 3 2" xfId="10683" xr:uid="{00000000-0005-0000-0000-00006B220000}"/>
    <cellStyle name="Comma 5 3 2 2 2 4" xfId="10680" xr:uid="{00000000-0005-0000-0000-00006C220000}"/>
    <cellStyle name="Comma 5 3 2 2 2 5" xfId="6531" xr:uid="{00000000-0005-0000-0000-00006D220000}"/>
    <cellStyle name="Comma 5 3 2 2 3" xfId="3533" xr:uid="{00000000-0005-0000-0000-00006E220000}"/>
    <cellStyle name="Comma 5 3 2 2 3 2" xfId="3534" xr:uid="{00000000-0005-0000-0000-00006F220000}"/>
    <cellStyle name="Comma 5 3 2 2 3 2 2" xfId="10685" xr:uid="{00000000-0005-0000-0000-000070220000}"/>
    <cellStyle name="Comma 5 3 2 2 3 3" xfId="10684" xr:uid="{00000000-0005-0000-0000-000071220000}"/>
    <cellStyle name="Comma 5 3 2 2 3 4" xfId="6533" xr:uid="{00000000-0005-0000-0000-000072220000}"/>
    <cellStyle name="Comma 5 3 2 2 4" xfId="3535" xr:uid="{00000000-0005-0000-0000-000073220000}"/>
    <cellStyle name="Comma 5 3 2 2 4 2" xfId="3536" xr:uid="{00000000-0005-0000-0000-000074220000}"/>
    <cellStyle name="Comma 5 3 2 2 4 2 2" xfId="10687" xr:uid="{00000000-0005-0000-0000-000075220000}"/>
    <cellStyle name="Comma 5 3 2 2 4 3" xfId="10686" xr:uid="{00000000-0005-0000-0000-000076220000}"/>
    <cellStyle name="Comma 5 3 2 2 4 4" xfId="6534" xr:uid="{00000000-0005-0000-0000-000077220000}"/>
    <cellStyle name="Comma 5 3 2 2 5" xfId="3537" xr:uid="{00000000-0005-0000-0000-000078220000}"/>
    <cellStyle name="Comma 5 3 2 2 5 2" xfId="10688" xr:uid="{00000000-0005-0000-0000-000079220000}"/>
    <cellStyle name="Comma 5 3 2 2 6" xfId="10679" xr:uid="{00000000-0005-0000-0000-00007A220000}"/>
    <cellStyle name="Comma 5 3 2 2 7" xfId="6530" xr:uid="{00000000-0005-0000-0000-00007B220000}"/>
    <cellStyle name="Comma 5 3 2 3" xfId="3538" xr:uid="{00000000-0005-0000-0000-00007C220000}"/>
    <cellStyle name="Comma 5 3 2 3 2" xfId="3539" xr:uid="{00000000-0005-0000-0000-00007D220000}"/>
    <cellStyle name="Comma 5 3 2 3 2 2" xfId="3540" xr:uid="{00000000-0005-0000-0000-00007E220000}"/>
    <cellStyle name="Comma 5 3 2 3 2 2 2" xfId="3541" xr:uid="{00000000-0005-0000-0000-00007F220000}"/>
    <cellStyle name="Comma 5 3 2 3 2 2 2 2" xfId="10692" xr:uid="{00000000-0005-0000-0000-000080220000}"/>
    <cellStyle name="Comma 5 3 2 3 2 2 3" xfId="10691" xr:uid="{00000000-0005-0000-0000-000081220000}"/>
    <cellStyle name="Comma 5 3 2 3 2 2 4" xfId="6537" xr:uid="{00000000-0005-0000-0000-000082220000}"/>
    <cellStyle name="Comma 5 3 2 3 2 3" xfId="3542" xr:uid="{00000000-0005-0000-0000-000083220000}"/>
    <cellStyle name="Comma 5 3 2 3 2 3 2" xfId="10693" xr:uid="{00000000-0005-0000-0000-000084220000}"/>
    <cellStyle name="Comma 5 3 2 3 2 4" xfId="10690" xr:uid="{00000000-0005-0000-0000-000085220000}"/>
    <cellStyle name="Comma 5 3 2 3 2 5" xfId="6536" xr:uid="{00000000-0005-0000-0000-000086220000}"/>
    <cellStyle name="Comma 5 3 2 3 3" xfId="3543" xr:uid="{00000000-0005-0000-0000-000087220000}"/>
    <cellStyle name="Comma 5 3 2 3 3 2" xfId="3544" xr:uid="{00000000-0005-0000-0000-000088220000}"/>
    <cellStyle name="Comma 5 3 2 3 3 2 2" xfId="10695" xr:uid="{00000000-0005-0000-0000-000089220000}"/>
    <cellStyle name="Comma 5 3 2 3 3 3" xfId="10694" xr:uid="{00000000-0005-0000-0000-00008A220000}"/>
    <cellStyle name="Comma 5 3 2 3 3 4" xfId="6538" xr:uid="{00000000-0005-0000-0000-00008B220000}"/>
    <cellStyle name="Comma 5 3 2 3 4" xfId="3545" xr:uid="{00000000-0005-0000-0000-00008C220000}"/>
    <cellStyle name="Comma 5 3 2 3 4 2" xfId="3546" xr:uid="{00000000-0005-0000-0000-00008D220000}"/>
    <cellStyle name="Comma 5 3 2 3 4 2 2" xfId="10697" xr:uid="{00000000-0005-0000-0000-00008E220000}"/>
    <cellStyle name="Comma 5 3 2 3 4 3" xfId="10696" xr:uid="{00000000-0005-0000-0000-00008F220000}"/>
    <cellStyle name="Comma 5 3 2 3 4 4" xfId="6539" xr:uid="{00000000-0005-0000-0000-000090220000}"/>
    <cellStyle name="Comma 5 3 2 3 5" xfId="3547" xr:uid="{00000000-0005-0000-0000-000091220000}"/>
    <cellStyle name="Comma 5 3 2 3 5 2" xfId="10698" xr:uid="{00000000-0005-0000-0000-000092220000}"/>
    <cellStyle name="Comma 5 3 2 3 6" xfId="10689" xr:uid="{00000000-0005-0000-0000-000093220000}"/>
    <cellStyle name="Comma 5 3 2 3 7" xfId="6535" xr:uid="{00000000-0005-0000-0000-000094220000}"/>
    <cellStyle name="Comma 5 3 2 4" xfId="3548" xr:uid="{00000000-0005-0000-0000-000095220000}"/>
    <cellStyle name="Comma 5 3 2 4 2" xfId="3549" xr:uid="{00000000-0005-0000-0000-000096220000}"/>
    <cellStyle name="Comma 5 3 2 4 2 2" xfId="3550" xr:uid="{00000000-0005-0000-0000-000097220000}"/>
    <cellStyle name="Comma 5 3 2 4 2 2 2" xfId="3551" xr:uid="{00000000-0005-0000-0000-000098220000}"/>
    <cellStyle name="Comma 5 3 2 4 2 2 2 2" xfId="10702" xr:uid="{00000000-0005-0000-0000-000099220000}"/>
    <cellStyle name="Comma 5 3 2 4 2 2 3" xfId="10701" xr:uid="{00000000-0005-0000-0000-00009A220000}"/>
    <cellStyle name="Comma 5 3 2 4 2 2 4" xfId="6542" xr:uid="{00000000-0005-0000-0000-00009B220000}"/>
    <cellStyle name="Comma 5 3 2 4 2 3" xfId="3552" xr:uid="{00000000-0005-0000-0000-00009C220000}"/>
    <cellStyle name="Comma 5 3 2 4 2 3 2" xfId="10703" xr:uid="{00000000-0005-0000-0000-00009D220000}"/>
    <cellStyle name="Comma 5 3 2 4 2 4" xfId="10700" xr:uid="{00000000-0005-0000-0000-00009E220000}"/>
    <cellStyle name="Comma 5 3 2 4 2 5" xfId="6541" xr:uid="{00000000-0005-0000-0000-00009F220000}"/>
    <cellStyle name="Comma 5 3 2 4 3" xfId="3553" xr:uid="{00000000-0005-0000-0000-0000A0220000}"/>
    <cellStyle name="Comma 5 3 2 4 3 2" xfId="3554" xr:uid="{00000000-0005-0000-0000-0000A1220000}"/>
    <cellStyle name="Comma 5 3 2 4 3 2 2" xfId="10705" xr:uid="{00000000-0005-0000-0000-0000A2220000}"/>
    <cellStyle name="Comma 5 3 2 4 3 3" xfId="10704" xr:uid="{00000000-0005-0000-0000-0000A3220000}"/>
    <cellStyle name="Comma 5 3 2 4 3 4" xfId="6543" xr:uid="{00000000-0005-0000-0000-0000A4220000}"/>
    <cellStyle name="Comma 5 3 2 4 4" xfId="3555" xr:uid="{00000000-0005-0000-0000-0000A5220000}"/>
    <cellStyle name="Comma 5 3 2 4 4 2" xfId="3556" xr:uid="{00000000-0005-0000-0000-0000A6220000}"/>
    <cellStyle name="Comma 5 3 2 4 4 2 2" xfId="10707" xr:uid="{00000000-0005-0000-0000-0000A7220000}"/>
    <cellStyle name="Comma 5 3 2 4 4 3" xfId="10706" xr:uid="{00000000-0005-0000-0000-0000A8220000}"/>
    <cellStyle name="Comma 5 3 2 4 4 4" xfId="6544" xr:uid="{00000000-0005-0000-0000-0000A9220000}"/>
    <cellStyle name="Comma 5 3 2 4 5" xfId="3557" xr:uid="{00000000-0005-0000-0000-0000AA220000}"/>
    <cellStyle name="Comma 5 3 2 4 5 2" xfId="10708" xr:uid="{00000000-0005-0000-0000-0000AB220000}"/>
    <cellStyle name="Comma 5 3 2 4 6" xfId="10699" xr:uid="{00000000-0005-0000-0000-0000AC220000}"/>
    <cellStyle name="Comma 5 3 2 4 7" xfId="6540" xr:uid="{00000000-0005-0000-0000-0000AD220000}"/>
    <cellStyle name="Comma 5 3 2 5" xfId="3558" xr:uid="{00000000-0005-0000-0000-0000AE220000}"/>
    <cellStyle name="Comma 5 3 2 5 2" xfId="3559" xr:uid="{00000000-0005-0000-0000-0000AF220000}"/>
    <cellStyle name="Comma 5 3 2 5 2 2" xfId="3560" xr:uid="{00000000-0005-0000-0000-0000B0220000}"/>
    <cellStyle name="Comma 5 3 2 5 2 2 2" xfId="3561" xr:uid="{00000000-0005-0000-0000-0000B1220000}"/>
    <cellStyle name="Comma 5 3 2 5 2 2 2 2" xfId="10712" xr:uid="{00000000-0005-0000-0000-0000B2220000}"/>
    <cellStyle name="Comma 5 3 2 5 2 2 3" xfId="10711" xr:uid="{00000000-0005-0000-0000-0000B3220000}"/>
    <cellStyle name="Comma 5 3 2 5 2 2 4" xfId="6547" xr:uid="{00000000-0005-0000-0000-0000B4220000}"/>
    <cellStyle name="Comma 5 3 2 5 2 3" xfId="3562" xr:uid="{00000000-0005-0000-0000-0000B5220000}"/>
    <cellStyle name="Comma 5 3 2 5 2 3 2" xfId="10713" xr:uid="{00000000-0005-0000-0000-0000B6220000}"/>
    <cellStyle name="Comma 5 3 2 5 2 4" xfId="10710" xr:uid="{00000000-0005-0000-0000-0000B7220000}"/>
    <cellStyle name="Comma 5 3 2 5 2 5" xfId="6546" xr:uid="{00000000-0005-0000-0000-0000B8220000}"/>
    <cellStyle name="Comma 5 3 2 5 3" xfId="3563" xr:uid="{00000000-0005-0000-0000-0000B9220000}"/>
    <cellStyle name="Comma 5 3 2 5 3 2" xfId="3564" xr:uid="{00000000-0005-0000-0000-0000BA220000}"/>
    <cellStyle name="Comma 5 3 2 5 3 2 2" xfId="10715" xr:uid="{00000000-0005-0000-0000-0000BB220000}"/>
    <cellStyle name="Comma 5 3 2 5 3 3" xfId="10714" xr:uid="{00000000-0005-0000-0000-0000BC220000}"/>
    <cellStyle name="Comma 5 3 2 5 3 4" xfId="6548" xr:uid="{00000000-0005-0000-0000-0000BD220000}"/>
    <cellStyle name="Comma 5 3 2 5 4" xfId="3565" xr:uid="{00000000-0005-0000-0000-0000BE220000}"/>
    <cellStyle name="Comma 5 3 2 5 4 2" xfId="3566" xr:uid="{00000000-0005-0000-0000-0000BF220000}"/>
    <cellStyle name="Comma 5 3 2 5 4 2 2" xfId="10717" xr:uid="{00000000-0005-0000-0000-0000C0220000}"/>
    <cellStyle name="Comma 5 3 2 5 4 3" xfId="10716" xr:uid="{00000000-0005-0000-0000-0000C1220000}"/>
    <cellStyle name="Comma 5 3 2 5 4 4" xfId="6549" xr:uid="{00000000-0005-0000-0000-0000C2220000}"/>
    <cellStyle name="Comma 5 3 2 5 5" xfId="3567" xr:uid="{00000000-0005-0000-0000-0000C3220000}"/>
    <cellStyle name="Comma 5 3 2 5 5 2" xfId="10718" xr:uid="{00000000-0005-0000-0000-0000C4220000}"/>
    <cellStyle name="Comma 5 3 2 5 6" xfId="10709" xr:uid="{00000000-0005-0000-0000-0000C5220000}"/>
    <cellStyle name="Comma 5 3 2 5 7" xfId="6545" xr:uid="{00000000-0005-0000-0000-0000C6220000}"/>
    <cellStyle name="Comma 5 3 2 6" xfId="3568" xr:uid="{00000000-0005-0000-0000-0000C7220000}"/>
    <cellStyle name="Comma 5 3 2 6 2" xfId="3569" xr:uid="{00000000-0005-0000-0000-0000C8220000}"/>
    <cellStyle name="Comma 5 3 2 6 2 2" xfId="3570" xr:uid="{00000000-0005-0000-0000-0000C9220000}"/>
    <cellStyle name="Comma 5 3 2 6 2 2 2" xfId="10721" xr:uid="{00000000-0005-0000-0000-0000CA220000}"/>
    <cellStyle name="Comma 5 3 2 6 2 3" xfId="10720" xr:uid="{00000000-0005-0000-0000-0000CB220000}"/>
    <cellStyle name="Comma 5 3 2 6 2 4" xfId="6551" xr:uid="{00000000-0005-0000-0000-0000CC220000}"/>
    <cellStyle name="Comma 5 3 2 6 3" xfId="3571" xr:uid="{00000000-0005-0000-0000-0000CD220000}"/>
    <cellStyle name="Comma 5 3 2 6 3 2" xfId="3572" xr:uid="{00000000-0005-0000-0000-0000CE220000}"/>
    <cellStyle name="Comma 5 3 2 6 3 2 2" xfId="10723" xr:uid="{00000000-0005-0000-0000-0000CF220000}"/>
    <cellStyle name="Comma 5 3 2 6 3 3" xfId="10722" xr:uid="{00000000-0005-0000-0000-0000D0220000}"/>
    <cellStyle name="Comma 5 3 2 6 3 4" xfId="6552" xr:uid="{00000000-0005-0000-0000-0000D1220000}"/>
    <cellStyle name="Comma 5 3 2 6 4" xfId="3573" xr:uid="{00000000-0005-0000-0000-0000D2220000}"/>
    <cellStyle name="Comma 5 3 2 6 4 2" xfId="10724" xr:uid="{00000000-0005-0000-0000-0000D3220000}"/>
    <cellStyle name="Comma 5 3 2 6 5" xfId="10719" xr:uid="{00000000-0005-0000-0000-0000D4220000}"/>
    <cellStyle name="Comma 5 3 2 6 6" xfId="6550" xr:uid="{00000000-0005-0000-0000-0000D5220000}"/>
    <cellStyle name="Comma 5 3 2 7" xfId="3574" xr:uid="{00000000-0005-0000-0000-0000D6220000}"/>
    <cellStyle name="Comma 5 3 2 7 2" xfId="3575" xr:uid="{00000000-0005-0000-0000-0000D7220000}"/>
    <cellStyle name="Comma 5 3 2 7 2 2" xfId="3576" xr:uid="{00000000-0005-0000-0000-0000D8220000}"/>
    <cellStyle name="Comma 5 3 2 7 2 2 2" xfId="10727" xr:uid="{00000000-0005-0000-0000-0000D9220000}"/>
    <cellStyle name="Comma 5 3 2 7 2 3" xfId="10726" xr:uid="{00000000-0005-0000-0000-0000DA220000}"/>
    <cellStyle name="Comma 5 3 2 7 2 4" xfId="6554" xr:uid="{00000000-0005-0000-0000-0000DB220000}"/>
    <cellStyle name="Comma 5 3 2 7 3" xfId="3577" xr:uid="{00000000-0005-0000-0000-0000DC220000}"/>
    <cellStyle name="Comma 5 3 2 7 3 2" xfId="10728" xr:uid="{00000000-0005-0000-0000-0000DD220000}"/>
    <cellStyle name="Comma 5 3 2 7 4" xfId="10725" xr:uid="{00000000-0005-0000-0000-0000DE220000}"/>
    <cellStyle name="Comma 5 3 2 7 5" xfId="6553" xr:uid="{00000000-0005-0000-0000-0000DF220000}"/>
    <cellStyle name="Comma 5 3 2 8" xfId="3578" xr:uid="{00000000-0005-0000-0000-0000E0220000}"/>
    <cellStyle name="Comma 5 3 2 8 2" xfId="3579" xr:uid="{00000000-0005-0000-0000-0000E1220000}"/>
    <cellStyle name="Comma 5 3 2 8 2 2" xfId="10730" xr:uid="{00000000-0005-0000-0000-0000E2220000}"/>
    <cellStyle name="Comma 5 3 2 8 3" xfId="10729" xr:uid="{00000000-0005-0000-0000-0000E3220000}"/>
    <cellStyle name="Comma 5 3 2 8 4" xfId="6555" xr:uid="{00000000-0005-0000-0000-0000E4220000}"/>
    <cellStyle name="Comma 5 3 2 9" xfId="3580" xr:uid="{00000000-0005-0000-0000-0000E5220000}"/>
    <cellStyle name="Comma 5 3 2 9 2" xfId="3581" xr:uid="{00000000-0005-0000-0000-0000E6220000}"/>
    <cellStyle name="Comma 5 3 2 9 2 2" xfId="10732" xr:uid="{00000000-0005-0000-0000-0000E7220000}"/>
    <cellStyle name="Comma 5 3 2 9 3" xfId="10731" xr:uid="{00000000-0005-0000-0000-0000E8220000}"/>
    <cellStyle name="Comma 5 3 2 9 4" xfId="6556" xr:uid="{00000000-0005-0000-0000-0000E9220000}"/>
    <cellStyle name="Comma 5 3 3" xfId="3582" xr:uid="{00000000-0005-0000-0000-0000EA220000}"/>
    <cellStyle name="Comma 5 3 3 2" xfId="3583" xr:uid="{00000000-0005-0000-0000-0000EB220000}"/>
    <cellStyle name="Comma 5 3 3 2 2" xfId="3584" xr:uid="{00000000-0005-0000-0000-0000EC220000}"/>
    <cellStyle name="Comma 5 3 3 2 2 2" xfId="3585" xr:uid="{00000000-0005-0000-0000-0000ED220000}"/>
    <cellStyle name="Comma 5 3 3 2 2 2 2" xfId="10736" xr:uid="{00000000-0005-0000-0000-0000EE220000}"/>
    <cellStyle name="Comma 5 3 3 2 2 3" xfId="10735" xr:uid="{00000000-0005-0000-0000-0000EF220000}"/>
    <cellStyle name="Comma 5 3 3 2 2 4" xfId="6559" xr:uid="{00000000-0005-0000-0000-0000F0220000}"/>
    <cellStyle name="Comma 5 3 3 2 3" xfId="3586" xr:uid="{00000000-0005-0000-0000-0000F1220000}"/>
    <cellStyle name="Comma 5 3 3 2 3 2" xfId="10737" xr:uid="{00000000-0005-0000-0000-0000F2220000}"/>
    <cellStyle name="Comma 5 3 3 2 4" xfId="10734" xr:uid="{00000000-0005-0000-0000-0000F3220000}"/>
    <cellStyle name="Comma 5 3 3 2 5" xfId="6558" xr:uid="{00000000-0005-0000-0000-0000F4220000}"/>
    <cellStyle name="Comma 5 3 3 3" xfId="3587" xr:uid="{00000000-0005-0000-0000-0000F5220000}"/>
    <cellStyle name="Comma 5 3 3 3 2" xfId="3588" xr:uid="{00000000-0005-0000-0000-0000F6220000}"/>
    <cellStyle name="Comma 5 3 3 3 2 2" xfId="10739" xr:uid="{00000000-0005-0000-0000-0000F7220000}"/>
    <cellStyle name="Comma 5 3 3 3 3" xfId="10738" xr:uid="{00000000-0005-0000-0000-0000F8220000}"/>
    <cellStyle name="Comma 5 3 3 3 4" xfId="6560" xr:uid="{00000000-0005-0000-0000-0000F9220000}"/>
    <cellStyle name="Comma 5 3 3 4" xfId="3589" xr:uid="{00000000-0005-0000-0000-0000FA220000}"/>
    <cellStyle name="Comma 5 3 3 4 2" xfId="3590" xr:uid="{00000000-0005-0000-0000-0000FB220000}"/>
    <cellStyle name="Comma 5 3 3 4 2 2" xfId="10741" xr:uid="{00000000-0005-0000-0000-0000FC220000}"/>
    <cellStyle name="Comma 5 3 3 4 3" xfId="10740" xr:uid="{00000000-0005-0000-0000-0000FD220000}"/>
    <cellStyle name="Comma 5 3 3 4 4" xfId="6561" xr:uid="{00000000-0005-0000-0000-0000FE220000}"/>
    <cellStyle name="Comma 5 3 3 5" xfId="3591" xr:uid="{00000000-0005-0000-0000-0000FF220000}"/>
    <cellStyle name="Comma 5 3 3 5 2" xfId="10742" xr:uid="{00000000-0005-0000-0000-000000230000}"/>
    <cellStyle name="Comma 5 3 3 6" xfId="10733" xr:uid="{00000000-0005-0000-0000-000001230000}"/>
    <cellStyle name="Comma 5 3 3 7" xfId="6557" xr:uid="{00000000-0005-0000-0000-000002230000}"/>
    <cellStyle name="Comma 5 3 4" xfId="3592" xr:uid="{00000000-0005-0000-0000-000003230000}"/>
    <cellStyle name="Comma 5 3 4 2" xfId="3593" xr:uid="{00000000-0005-0000-0000-000004230000}"/>
    <cellStyle name="Comma 5 3 4 2 2" xfId="3594" xr:uid="{00000000-0005-0000-0000-000005230000}"/>
    <cellStyle name="Comma 5 3 4 2 2 2" xfId="3595" xr:uid="{00000000-0005-0000-0000-000006230000}"/>
    <cellStyle name="Comma 5 3 4 2 2 2 2" xfId="10746" xr:uid="{00000000-0005-0000-0000-000007230000}"/>
    <cellStyle name="Comma 5 3 4 2 2 3" xfId="10745" xr:uid="{00000000-0005-0000-0000-000008230000}"/>
    <cellStyle name="Comma 5 3 4 2 2 4" xfId="6564" xr:uid="{00000000-0005-0000-0000-000009230000}"/>
    <cellStyle name="Comma 5 3 4 2 3" xfId="3596" xr:uid="{00000000-0005-0000-0000-00000A230000}"/>
    <cellStyle name="Comma 5 3 4 2 3 2" xfId="10747" xr:uid="{00000000-0005-0000-0000-00000B230000}"/>
    <cellStyle name="Comma 5 3 4 2 4" xfId="10744" xr:uid="{00000000-0005-0000-0000-00000C230000}"/>
    <cellStyle name="Comma 5 3 4 2 5" xfId="6563" xr:uid="{00000000-0005-0000-0000-00000D230000}"/>
    <cellStyle name="Comma 5 3 4 3" xfId="3597" xr:uid="{00000000-0005-0000-0000-00000E230000}"/>
    <cellStyle name="Comma 5 3 4 3 2" xfId="3598" xr:uid="{00000000-0005-0000-0000-00000F230000}"/>
    <cellStyle name="Comma 5 3 4 3 2 2" xfId="10749" xr:uid="{00000000-0005-0000-0000-000010230000}"/>
    <cellStyle name="Comma 5 3 4 3 3" xfId="10748" xr:uid="{00000000-0005-0000-0000-000011230000}"/>
    <cellStyle name="Comma 5 3 4 3 4" xfId="6565" xr:uid="{00000000-0005-0000-0000-000012230000}"/>
    <cellStyle name="Comma 5 3 4 4" xfId="3599" xr:uid="{00000000-0005-0000-0000-000013230000}"/>
    <cellStyle name="Comma 5 3 4 4 2" xfId="3600" xr:uid="{00000000-0005-0000-0000-000014230000}"/>
    <cellStyle name="Comma 5 3 4 4 2 2" xfId="10751" xr:uid="{00000000-0005-0000-0000-000015230000}"/>
    <cellStyle name="Comma 5 3 4 4 3" xfId="10750" xr:uid="{00000000-0005-0000-0000-000016230000}"/>
    <cellStyle name="Comma 5 3 4 4 4" xfId="6566" xr:uid="{00000000-0005-0000-0000-000017230000}"/>
    <cellStyle name="Comma 5 3 4 5" xfId="3601" xr:uid="{00000000-0005-0000-0000-000018230000}"/>
    <cellStyle name="Comma 5 3 4 5 2" xfId="10752" xr:uid="{00000000-0005-0000-0000-000019230000}"/>
    <cellStyle name="Comma 5 3 4 6" xfId="10743" xr:uid="{00000000-0005-0000-0000-00001A230000}"/>
    <cellStyle name="Comma 5 3 4 7" xfId="6562" xr:uid="{00000000-0005-0000-0000-00001B230000}"/>
    <cellStyle name="Comma 5 3 5" xfId="3602" xr:uid="{00000000-0005-0000-0000-00001C230000}"/>
    <cellStyle name="Comma 5 3 5 2" xfId="3603" xr:uid="{00000000-0005-0000-0000-00001D230000}"/>
    <cellStyle name="Comma 5 3 5 2 2" xfId="3604" xr:uid="{00000000-0005-0000-0000-00001E230000}"/>
    <cellStyle name="Comma 5 3 5 2 2 2" xfId="3605" xr:uid="{00000000-0005-0000-0000-00001F230000}"/>
    <cellStyle name="Comma 5 3 5 2 2 2 2" xfId="10756" xr:uid="{00000000-0005-0000-0000-000020230000}"/>
    <cellStyle name="Comma 5 3 5 2 2 3" xfId="10755" xr:uid="{00000000-0005-0000-0000-000021230000}"/>
    <cellStyle name="Comma 5 3 5 2 2 4" xfId="6569" xr:uid="{00000000-0005-0000-0000-000022230000}"/>
    <cellStyle name="Comma 5 3 5 2 3" xfId="3606" xr:uid="{00000000-0005-0000-0000-000023230000}"/>
    <cellStyle name="Comma 5 3 5 2 3 2" xfId="10757" xr:uid="{00000000-0005-0000-0000-000024230000}"/>
    <cellStyle name="Comma 5 3 5 2 4" xfId="10754" xr:uid="{00000000-0005-0000-0000-000025230000}"/>
    <cellStyle name="Comma 5 3 5 2 5" xfId="6568" xr:uid="{00000000-0005-0000-0000-000026230000}"/>
    <cellStyle name="Comma 5 3 5 3" xfId="3607" xr:uid="{00000000-0005-0000-0000-000027230000}"/>
    <cellStyle name="Comma 5 3 5 3 2" xfId="3608" xr:uid="{00000000-0005-0000-0000-000028230000}"/>
    <cellStyle name="Comma 5 3 5 3 2 2" xfId="10759" xr:uid="{00000000-0005-0000-0000-000029230000}"/>
    <cellStyle name="Comma 5 3 5 3 3" xfId="10758" xr:uid="{00000000-0005-0000-0000-00002A230000}"/>
    <cellStyle name="Comma 5 3 5 3 4" xfId="6570" xr:uid="{00000000-0005-0000-0000-00002B230000}"/>
    <cellStyle name="Comma 5 3 5 4" xfId="3609" xr:uid="{00000000-0005-0000-0000-00002C230000}"/>
    <cellStyle name="Comma 5 3 5 4 2" xfId="3610" xr:uid="{00000000-0005-0000-0000-00002D230000}"/>
    <cellStyle name="Comma 5 3 5 4 2 2" xfId="10761" xr:uid="{00000000-0005-0000-0000-00002E230000}"/>
    <cellStyle name="Comma 5 3 5 4 3" xfId="10760" xr:uid="{00000000-0005-0000-0000-00002F230000}"/>
    <cellStyle name="Comma 5 3 5 4 4" xfId="6571" xr:uid="{00000000-0005-0000-0000-000030230000}"/>
    <cellStyle name="Comma 5 3 5 5" xfId="3611" xr:uid="{00000000-0005-0000-0000-000031230000}"/>
    <cellStyle name="Comma 5 3 5 5 2" xfId="10762" xr:uid="{00000000-0005-0000-0000-000032230000}"/>
    <cellStyle name="Comma 5 3 5 6" xfId="10753" xr:uid="{00000000-0005-0000-0000-000033230000}"/>
    <cellStyle name="Comma 5 3 5 7" xfId="6567" xr:uid="{00000000-0005-0000-0000-000034230000}"/>
    <cellStyle name="Comma 5 3 6" xfId="3612" xr:uid="{00000000-0005-0000-0000-000035230000}"/>
    <cellStyle name="Comma 5 3 6 2" xfId="3613" xr:uid="{00000000-0005-0000-0000-000036230000}"/>
    <cellStyle name="Comma 5 3 6 2 2" xfId="3614" xr:uid="{00000000-0005-0000-0000-000037230000}"/>
    <cellStyle name="Comma 5 3 6 2 2 2" xfId="3615" xr:uid="{00000000-0005-0000-0000-000038230000}"/>
    <cellStyle name="Comma 5 3 6 2 2 2 2" xfId="10766" xr:uid="{00000000-0005-0000-0000-000039230000}"/>
    <cellStyle name="Comma 5 3 6 2 2 3" xfId="10765" xr:uid="{00000000-0005-0000-0000-00003A230000}"/>
    <cellStyle name="Comma 5 3 6 2 2 4" xfId="6574" xr:uid="{00000000-0005-0000-0000-00003B230000}"/>
    <cellStyle name="Comma 5 3 6 2 3" xfId="3616" xr:uid="{00000000-0005-0000-0000-00003C230000}"/>
    <cellStyle name="Comma 5 3 6 2 3 2" xfId="10767" xr:uid="{00000000-0005-0000-0000-00003D230000}"/>
    <cellStyle name="Comma 5 3 6 2 4" xfId="10764" xr:uid="{00000000-0005-0000-0000-00003E230000}"/>
    <cellStyle name="Comma 5 3 6 2 5" xfId="6573" xr:uid="{00000000-0005-0000-0000-00003F230000}"/>
    <cellStyle name="Comma 5 3 6 3" xfId="3617" xr:uid="{00000000-0005-0000-0000-000040230000}"/>
    <cellStyle name="Comma 5 3 6 3 2" xfId="3618" xr:uid="{00000000-0005-0000-0000-000041230000}"/>
    <cellStyle name="Comma 5 3 6 3 2 2" xfId="10769" xr:uid="{00000000-0005-0000-0000-000042230000}"/>
    <cellStyle name="Comma 5 3 6 3 3" xfId="10768" xr:uid="{00000000-0005-0000-0000-000043230000}"/>
    <cellStyle name="Comma 5 3 6 3 4" xfId="6575" xr:uid="{00000000-0005-0000-0000-000044230000}"/>
    <cellStyle name="Comma 5 3 6 4" xfId="3619" xr:uid="{00000000-0005-0000-0000-000045230000}"/>
    <cellStyle name="Comma 5 3 6 4 2" xfId="3620" xr:uid="{00000000-0005-0000-0000-000046230000}"/>
    <cellStyle name="Comma 5 3 6 4 2 2" xfId="10771" xr:uid="{00000000-0005-0000-0000-000047230000}"/>
    <cellStyle name="Comma 5 3 6 4 3" xfId="10770" xr:uid="{00000000-0005-0000-0000-000048230000}"/>
    <cellStyle name="Comma 5 3 6 4 4" xfId="6576" xr:uid="{00000000-0005-0000-0000-000049230000}"/>
    <cellStyle name="Comma 5 3 6 5" xfId="3621" xr:uid="{00000000-0005-0000-0000-00004A230000}"/>
    <cellStyle name="Comma 5 3 6 5 2" xfId="10772" xr:uid="{00000000-0005-0000-0000-00004B230000}"/>
    <cellStyle name="Comma 5 3 6 6" xfId="10763" xr:uid="{00000000-0005-0000-0000-00004C230000}"/>
    <cellStyle name="Comma 5 3 6 7" xfId="6572" xr:uid="{00000000-0005-0000-0000-00004D230000}"/>
    <cellStyle name="Comma 5 3 7" xfId="3622" xr:uid="{00000000-0005-0000-0000-00004E230000}"/>
    <cellStyle name="Comma 5 3 7 2" xfId="3623" xr:uid="{00000000-0005-0000-0000-00004F230000}"/>
    <cellStyle name="Comma 5 3 7 2 2" xfId="3624" xr:uid="{00000000-0005-0000-0000-000050230000}"/>
    <cellStyle name="Comma 5 3 7 2 2 2" xfId="10775" xr:uid="{00000000-0005-0000-0000-000051230000}"/>
    <cellStyle name="Comma 5 3 7 2 3" xfId="10774" xr:uid="{00000000-0005-0000-0000-000052230000}"/>
    <cellStyle name="Comma 5 3 7 2 4" xfId="6578" xr:uid="{00000000-0005-0000-0000-000053230000}"/>
    <cellStyle name="Comma 5 3 7 3" xfId="3625" xr:uid="{00000000-0005-0000-0000-000054230000}"/>
    <cellStyle name="Comma 5 3 7 3 2" xfId="3626" xr:uid="{00000000-0005-0000-0000-000055230000}"/>
    <cellStyle name="Comma 5 3 7 3 2 2" xfId="10777" xr:uid="{00000000-0005-0000-0000-000056230000}"/>
    <cellStyle name="Comma 5 3 7 3 3" xfId="10776" xr:uid="{00000000-0005-0000-0000-000057230000}"/>
    <cellStyle name="Comma 5 3 7 3 4" xfId="6579" xr:uid="{00000000-0005-0000-0000-000058230000}"/>
    <cellStyle name="Comma 5 3 7 4" xfId="3627" xr:uid="{00000000-0005-0000-0000-000059230000}"/>
    <cellStyle name="Comma 5 3 7 4 2" xfId="10778" xr:uid="{00000000-0005-0000-0000-00005A230000}"/>
    <cellStyle name="Comma 5 3 7 5" xfId="10773" xr:uid="{00000000-0005-0000-0000-00005B230000}"/>
    <cellStyle name="Comma 5 3 7 6" xfId="6577" xr:uid="{00000000-0005-0000-0000-00005C230000}"/>
    <cellStyle name="Comma 5 3 8" xfId="3628" xr:uid="{00000000-0005-0000-0000-00005D230000}"/>
    <cellStyle name="Comma 5 3 8 2" xfId="3629" xr:uid="{00000000-0005-0000-0000-00005E230000}"/>
    <cellStyle name="Comma 5 3 8 2 2" xfId="3630" xr:uid="{00000000-0005-0000-0000-00005F230000}"/>
    <cellStyle name="Comma 5 3 8 2 2 2" xfId="10781" xr:uid="{00000000-0005-0000-0000-000060230000}"/>
    <cellStyle name="Comma 5 3 8 2 3" xfId="10780" xr:uid="{00000000-0005-0000-0000-000061230000}"/>
    <cellStyle name="Comma 5 3 8 2 4" xfId="6581" xr:uid="{00000000-0005-0000-0000-000062230000}"/>
    <cellStyle name="Comma 5 3 8 3" xfId="3631" xr:uid="{00000000-0005-0000-0000-000063230000}"/>
    <cellStyle name="Comma 5 3 8 3 2" xfId="10782" xr:uid="{00000000-0005-0000-0000-000064230000}"/>
    <cellStyle name="Comma 5 3 8 4" xfId="10779" xr:uid="{00000000-0005-0000-0000-000065230000}"/>
    <cellStyle name="Comma 5 3 8 5" xfId="6580" xr:uid="{00000000-0005-0000-0000-000066230000}"/>
    <cellStyle name="Comma 5 3 9" xfId="3632" xr:uid="{00000000-0005-0000-0000-000067230000}"/>
    <cellStyle name="Comma 5 3 9 2" xfId="3633" xr:uid="{00000000-0005-0000-0000-000068230000}"/>
    <cellStyle name="Comma 5 3 9 2 2" xfId="10784" xr:uid="{00000000-0005-0000-0000-000069230000}"/>
    <cellStyle name="Comma 5 3 9 3" xfId="10783" xr:uid="{00000000-0005-0000-0000-00006A230000}"/>
    <cellStyle name="Comma 5 3 9 4" xfId="6582" xr:uid="{00000000-0005-0000-0000-00006B230000}"/>
    <cellStyle name="Comma 5 4" xfId="3634" xr:uid="{00000000-0005-0000-0000-00006C230000}"/>
    <cellStyle name="Comma 5 4 10" xfId="3635" xr:uid="{00000000-0005-0000-0000-00006D230000}"/>
    <cellStyle name="Comma 5 4 10 2" xfId="3636" xr:uid="{00000000-0005-0000-0000-00006E230000}"/>
    <cellStyle name="Comma 5 4 10 2 2" xfId="10787" xr:uid="{00000000-0005-0000-0000-00006F230000}"/>
    <cellStyle name="Comma 5 4 10 3" xfId="10786" xr:uid="{00000000-0005-0000-0000-000070230000}"/>
    <cellStyle name="Comma 5 4 10 4" xfId="6584" xr:uid="{00000000-0005-0000-0000-000071230000}"/>
    <cellStyle name="Comma 5 4 11" xfId="3637" xr:uid="{00000000-0005-0000-0000-000072230000}"/>
    <cellStyle name="Comma 5 4 11 2" xfId="10788" xr:uid="{00000000-0005-0000-0000-000073230000}"/>
    <cellStyle name="Comma 5 4 12" xfId="10785" xr:uid="{00000000-0005-0000-0000-000074230000}"/>
    <cellStyle name="Comma 5 4 13" xfId="6583" xr:uid="{00000000-0005-0000-0000-000075230000}"/>
    <cellStyle name="Comma 5 4 2" xfId="3638" xr:uid="{00000000-0005-0000-0000-000076230000}"/>
    <cellStyle name="Comma 5 4 2 10" xfId="3639" xr:uid="{00000000-0005-0000-0000-000077230000}"/>
    <cellStyle name="Comma 5 4 2 10 2" xfId="10790" xr:uid="{00000000-0005-0000-0000-000078230000}"/>
    <cellStyle name="Comma 5 4 2 11" xfId="10789" xr:uid="{00000000-0005-0000-0000-000079230000}"/>
    <cellStyle name="Comma 5 4 2 12" xfId="6585" xr:uid="{00000000-0005-0000-0000-00007A230000}"/>
    <cellStyle name="Comma 5 4 2 2" xfId="3640" xr:uid="{00000000-0005-0000-0000-00007B230000}"/>
    <cellStyle name="Comma 5 4 2 2 2" xfId="3641" xr:uid="{00000000-0005-0000-0000-00007C230000}"/>
    <cellStyle name="Comma 5 4 2 2 2 2" xfId="3642" xr:uid="{00000000-0005-0000-0000-00007D230000}"/>
    <cellStyle name="Comma 5 4 2 2 2 2 2" xfId="3643" xr:uid="{00000000-0005-0000-0000-00007E230000}"/>
    <cellStyle name="Comma 5 4 2 2 2 2 2 2" xfId="10794" xr:uid="{00000000-0005-0000-0000-00007F230000}"/>
    <cellStyle name="Comma 5 4 2 2 2 2 3" xfId="10793" xr:uid="{00000000-0005-0000-0000-000080230000}"/>
    <cellStyle name="Comma 5 4 2 2 2 2 4" xfId="6588" xr:uid="{00000000-0005-0000-0000-000081230000}"/>
    <cellStyle name="Comma 5 4 2 2 2 3" xfId="3644" xr:uid="{00000000-0005-0000-0000-000082230000}"/>
    <cellStyle name="Comma 5 4 2 2 2 3 2" xfId="10795" xr:uid="{00000000-0005-0000-0000-000083230000}"/>
    <cellStyle name="Comma 5 4 2 2 2 4" xfId="10792" xr:uid="{00000000-0005-0000-0000-000084230000}"/>
    <cellStyle name="Comma 5 4 2 2 2 5" xfId="6587" xr:uid="{00000000-0005-0000-0000-000085230000}"/>
    <cellStyle name="Comma 5 4 2 2 3" xfId="3645" xr:uid="{00000000-0005-0000-0000-000086230000}"/>
    <cellStyle name="Comma 5 4 2 2 3 2" xfId="3646" xr:uid="{00000000-0005-0000-0000-000087230000}"/>
    <cellStyle name="Comma 5 4 2 2 3 2 2" xfId="10797" xr:uid="{00000000-0005-0000-0000-000088230000}"/>
    <cellStyle name="Comma 5 4 2 2 3 3" xfId="10796" xr:uid="{00000000-0005-0000-0000-000089230000}"/>
    <cellStyle name="Comma 5 4 2 2 3 4" xfId="6589" xr:uid="{00000000-0005-0000-0000-00008A230000}"/>
    <cellStyle name="Comma 5 4 2 2 4" xfId="3647" xr:uid="{00000000-0005-0000-0000-00008B230000}"/>
    <cellStyle name="Comma 5 4 2 2 4 2" xfId="3648" xr:uid="{00000000-0005-0000-0000-00008C230000}"/>
    <cellStyle name="Comma 5 4 2 2 4 2 2" xfId="10799" xr:uid="{00000000-0005-0000-0000-00008D230000}"/>
    <cellStyle name="Comma 5 4 2 2 4 3" xfId="10798" xr:uid="{00000000-0005-0000-0000-00008E230000}"/>
    <cellStyle name="Comma 5 4 2 2 4 4" xfId="6590" xr:uid="{00000000-0005-0000-0000-00008F230000}"/>
    <cellStyle name="Comma 5 4 2 2 5" xfId="3649" xr:uid="{00000000-0005-0000-0000-000090230000}"/>
    <cellStyle name="Comma 5 4 2 2 5 2" xfId="10800" xr:uid="{00000000-0005-0000-0000-000091230000}"/>
    <cellStyle name="Comma 5 4 2 2 6" xfId="10791" xr:uid="{00000000-0005-0000-0000-000092230000}"/>
    <cellStyle name="Comma 5 4 2 2 7" xfId="6586" xr:uid="{00000000-0005-0000-0000-000093230000}"/>
    <cellStyle name="Comma 5 4 2 3" xfId="3650" xr:uid="{00000000-0005-0000-0000-000094230000}"/>
    <cellStyle name="Comma 5 4 2 3 2" xfId="3651" xr:uid="{00000000-0005-0000-0000-000095230000}"/>
    <cellStyle name="Comma 5 4 2 3 2 2" xfId="3652" xr:uid="{00000000-0005-0000-0000-000096230000}"/>
    <cellStyle name="Comma 5 4 2 3 2 2 2" xfId="3653" xr:uid="{00000000-0005-0000-0000-000097230000}"/>
    <cellStyle name="Comma 5 4 2 3 2 2 2 2" xfId="10804" xr:uid="{00000000-0005-0000-0000-000098230000}"/>
    <cellStyle name="Comma 5 4 2 3 2 2 3" xfId="10803" xr:uid="{00000000-0005-0000-0000-000099230000}"/>
    <cellStyle name="Comma 5 4 2 3 2 2 4" xfId="6593" xr:uid="{00000000-0005-0000-0000-00009A230000}"/>
    <cellStyle name="Comma 5 4 2 3 2 3" xfId="3654" xr:uid="{00000000-0005-0000-0000-00009B230000}"/>
    <cellStyle name="Comma 5 4 2 3 2 3 2" xfId="10805" xr:uid="{00000000-0005-0000-0000-00009C230000}"/>
    <cellStyle name="Comma 5 4 2 3 2 4" xfId="10802" xr:uid="{00000000-0005-0000-0000-00009D230000}"/>
    <cellStyle name="Comma 5 4 2 3 2 5" xfId="6592" xr:uid="{00000000-0005-0000-0000-00009E230000}"/>
    <cellStyle name="Comma 5 4 2 3 3" xfId="3655" xr:uid="{00000000-0005-0000-0000-00009F230000}"/>
    <cellStyle name="Comma 5 4 2 3 3 2" xfId="3656" xr:uid="{00000000-0005-0000-0000-0000A0230000}"/>
    <cellStyle name="Comma 5 4 2 3 3 2 2" xfId="10807" xr:uid="{00000000-0005-0000-0000-0000A1230000}"/>
    <cellStyle name="Comma 5 4 2 3 3 3" xfId="10806" xr:uid="{00000000-0005-0000-0000-0000A2230000}"/>
    <cellStyle name="Comma 5 4 2 3 3 4" xfId="6594" xr:uid="{00000000-0005-0000-0000-0000A3230000}"/>
    <cellStyle name="Comma 5 4 2 3 4" xfId="3657" xr:uid="{00000000-0005-0000-0000-0000A4230000}"/>
    <cellStyle name="Comma 5 4 2 3 4 2" xfId="3658" xr:uid="{00000000-0005-0000-0000-0000A5230000}"/>
    <cellStyle name="Comma 5 4 2 3 4 2 2" xfId="10809" xr:uid="{00000000-0005-0000-0000-0000A6230000}"/>
    <cellStyle name="Comma 5 4 2 3 4 3" xfId="10808" xr:uid="{00000000-0005-0000-0000-0000A7230000}"/>
    <cellStyle name="Comma 5 4 2 3 4 4" xfId="6595" xr:uid="{00000000-0005-0000-0000-0000A8230000}"/>
    <cellStyle name="Comma 5 4 2 3 5" xfId="3659" xr:uid="{00000000-0005-0000-0000-0000A9230000}"/>
    <cellStyle name="Comma 5 4 2 3 5 2" xfId="10810" xr:uid="{00000000-0005-0000-0000-0000AA230000}"/>
    <cellStyle name="Comma 5 4 2 3 6" xfId="10801" xr:uid="{00000000-0005-0000-0000-0000AB230000}"/>
    <cellStyle name="Comma 5 4 2 3 7" xfId="6591" xr:uid="{00000000-0005-0000-0000-0000AC230000}"/>
    <cellStyle name="Comma 5 4 2 4" xfId="3660" xr:uid="{00000000-0005-0000-0000-0000AD230000}"/>
    <cellStyle name="Comma 5 4 2 4 2" xfId="3661" xr:uid="{00000000-0005-0000-0000-0000AE230000}"/>
    <cellStyle name="Comma 5 4 2 4 2 2" xfId="3662" xr:uid="{00000000-0005-0000-0000-0000AF230000}"/>
    <cellStyle name="Comma 5 4 2 4 2 2 2" xfId="3663" xr:uid="{00000000-0005-0000-0000-0000B0230000}"/>
    <cellStyle name="Comma 5 4 2 4 2 2 2 2" xfId="10814" xr:uid="{00000000-0005-0000-0000-0000B1230000}"/>
    <cellStyle name="Comma 5 4 2 4 2 2 3" xfId="10813" xr:uid="{00000000-0005-0000-0000-0000B2230000}"/>
    <cellStyle name="Comma 5 4 2 4 2 2 4" xfId="6598" xr:uid="{00000000-0005-0000-0000-0000B3230000}"/>
    <cellStyle name="Comma 5 4 2 4 2 3" xfId="3664" xr:uid="{00000000-0005-0000-0000-0000B4230000}"/>
    <cellStyle name="Comma 5 4 2 4 2 3 2" xfId="10815" xr:uid="{00000000-0005-0000-0000-0000B5230000}"/>
    <cellStyle name="Comma 5 4 2 4 2 4" xfId="10812" xr:uid="{00000000-0005-0000-0000-0000B6230000}"/>
    <cellStyle name="Comma 5 4 2 4 2 5" xfId="6597" xr:uid="{00000000-0005-0000-0000-0000B7230000}"/>
    <cellStyle name="Comma 5 4 2 4 3" xfId="3665" xr:uid="{00000000-0005-0000-0000-0000B8230000}"/>
    <cellStyle name="Comma 5 4 2 4 3 2" xfId="3666" xr:uid="{00000000-0005-0000-0000-0000B9230000}"/>
    <cellStyle name="Comma 5 4 2 4 3 2 2" xfId="10817" xr:uid="{00000000-0005-0000-0000-0000BA230000}"/>
    <cellStyle name="Comma 5 4 2 4 3 3" xfId="10816" xr:uid="{00000000-0005-0000-0000-0000BB230000}"/>
    <cellStyle name="Comma 5 4 2 4 3 4" xfId="6599" xr:uid="{00000000-0005-0000-0000-0000BC230000}"/>
    <cellStyle name="Comma 5 4 2 4 4" xfId="3667" xr:uid="{00000000-0005-0000-0000-0000BD230000}"/>
    <cellStyle name="Comma 5 4 2 4 4 2" xfId="3668" xr:uid="{00000000-0005-0000-0000-0000BE230000}"/>
    <cellStyle name="Comma 5 4 2 4 4 2 2" xfId="10819" xr:uid="{00000000-0005-0000-0000-0000BF230000}"/>
    <cellStyle name="Comma 5 4 2 4 4 3" xfId="10818" xr:uid="{00000000-0005-0000-0000-0000C0230000}"/>
    <cellStyle name="Comma 5 4 2 4 4 4" xfId="6600" xr:uid="{00000000-0005-0000-0000-0000C1230000}"/>
    <cellStyle name="Comma 5 4 2 4 5" xfId="3669" xr:uid="{00000000-0005-0000-0000-0000C2230000}"/>
    <cellStyle name="Comma 5 4 2 4 5 2" xfId="10820" xr:uid="{00000000-0005-0000-0000-0000C3230000}"/>
    <cellStyle name="Comma 5 4 2 4 6" xfId="10811" xr:uid="{00000000-0005-0000-0000-0000C4230000}"/>
    <cellStyle name="Comma 5 4 2 4 7" xfId="6596" xr:uid="{00000000-0005-0000-0000-0000C5230000}"/>
    <cellStyle name="Comma 5 4 2 5" xfId="3670" xr:uid="{00000000-0005-0000-0000-0000C6230000}"/>
    <cellStyle name="Comma 5 4 2 5 2" xfId="3671" xr:uid="{00000000-0005-0000-0000-0000C7230000}"/>
    <cellStyle name="Comma 5 4 2 5 2 2" xfId="3672" xr:uid="{00000000-0005-0000-0000-0000C8230000}"/>
    <cellStyle name="Comma 5 4 2 5 2 2 2" xfId="3673" xr:uid="{00000000-0005-0000-0000-0000C9230000}"/>
    <cellStyle name="Comma 5 4 2 5 2 2 2 2" xfId="10824" xr:uid="{00000000-0005-0000-0000-0000CA230000}"/>
    <cellStyle name="Comma 5 4 2 5 2 2 3" xfId="10823" xr:uid="{00000000-0005-0000-0000-0000CB230000}"/>
    <cellStyle name="Comma 5 4 2 5 2 2 4" xfId="6603" xr:uid="{00000000-0005-0000-0000-0000CC230000}"/>
    <cellStyle name="Comma 5 4 2 5 2 3" xfId="3674" xr:uid="{00000000-0005-0000-0000-0000CD230000}"/>
    <cellStyle name="Comma 5 4 2 5 2 3 2" xfId="10825" xr:uid="{00000000-0005-0000-0000-0000CE230000}"/>
    <cellStyle name="Comma 5 4 2 5 2 4" xfId="10822" xr:uid="{00000000-0005-0000-0000-0000CF230000}"/>
    <cellStyle name="Comma 5 4 2 5 2 5" xfId="6602" xr:uid="{00000000-0005-0000-0000-0000D0230000}"/>
    <cellStyle name="Comma 5 4 2 5 3" xfId="3675" xr:uid="{00000000-0005-0000-0000-0000D1230000}"/>
    <cellStyle name="Comma 5 4 2 5 3 2" xfId="3676" xr:uid="{00000000-0005-0000-0000-0000D2230000}"/>
    <cellStyle name="Comma 5 4 2 5 3 2 2" xfId="10827" xr:uid="{00000000-0005-0000-0000-0000D3230000}"/>
    <cellStyle name="Comma 5 4 2 5 3 3" xfId="10826" xr:uid="{00000000-0005-0000-0000-0000D4230000}"/>
    <cellStyle name="Comma 5 4 2 5 3 4" xfId="6604" xr:uid="{00000000-0005-0000-0000-0000D5230000}"/>
    <cellStyle name="Comma 5 4 2 5 4" xfId="3677" xr:uid="{00000000-0005-0000-0000-0000D6230000}"/>
    <cellStyle name="Comma 5 4 2 5 4 2" xfId="3678" xr:uid="{00000000-0005-0000-0000-0000D7230000}"/>
    <cellStyle name="Comma 5 4 2 5 4 2 2" xfId="10829" xr:uid="{00000000-0005-0000-0000-0000D8230000}"/>
    <cellStyle name="Comma 5 4 2 5 4 3" xfId="10828" xr:uid="{00000000-0005-0000-0000-0000D9230000}"/>
    <cellStyle name="Comma 5 4 2 5 4 4" xfId="6605" xr:uid="{00000000-0005-0000-0000-0000DA230000}"/>
    <cellStyle name="Comma 5 4 2 5 5" xfId="3679" xr:uid="{00000000-0005-0000-0000-0000DB230000}"/>
    <cellStyle name="Comma 5 4 2 5 5 2" xfId="10830" xr:uid="{00000000-0005-0000-0000-0000DC230000}"/>
    <cellStyle name="Comma 5 4 2 5 6" xfId="10821" xr:uid="{00000000-0005-0000-0000-0000DD230000}"/>
    <cellStyle name="Comma 5 4 2 5 7" xfId="6601" xr:uid="{00000000-0005-0000-0000-0000DE230000}"/>
    <cellStyle name="Comma 5 4 2 6" xfId="3680" xr:uid="{00000000-0005-0000-0000-0000DF230000}"/>
    <cellStyle name="Comma 5 4 2 6 2" xfId="3681" xr:uid="{00000000-0005-0000-0000-0000E0230000}"/>
    <cellStyle name="Comma 5 4 2 6 2 2" xfId="3682" xr:uid="{00000000-0005-0000-0000-0000E1230000}"/>
    <cellStyle name="Comma 5 4 2 6 2 2 2" xfId="10833" xr:uid="{00000000-0005-0000-0000-0000E2230000}"/>
    <cellStyle name="Comma 5 4 2 6 2 3" xfId="10832" xr:uid="{00000000-0005-0000-0000-0000E3230000}"/>
    <cellStyle name="Comma 5 4 2 6 2 4" xfId="6607" xr:uid="{00000000-0005-0000-0000-0000E4230000}"/>
    <cellStyle name="Comma 5 4 2 6 3" xfId="3683" xr:uid="{00000000-0005-0000-0000-0000E5230000}"/>
    <cellStyle name="Comma 5 4 2 6 3 2" xfId="3684" xr:uid="{00000000-0005-0000-0000-0000E6230000}"/>
    <cellStyle name="Comma 5 4 2 6 3 2 2" xfId="10835" xr:uid="{00000000-0005-0000-0000-0000E7230000}"/>
    <cellStyle name="Comma 5 4 2 6 3 3" xfId="10834" xr:uid="{00000000-0005-0000-0000-0000E8230000}"/>
    <cellStyle name="Comma 5 4 2 6 3 4" xfId="6608" xr:uid="{00000000-0005-0000-0000-0000E9230000}"/>
    <cellStyle name="Comma 5 4 2 6 4" xfId="3685" xr:uid="{00000000-0005-0000-0000-0000EA230000}"/>
    <cellStyle name="Comma 5 4 2 6 4 2" xfId="10836" xr:uid="{00000000-0005-0000-0000-0000EB230000}"/>
    <cellStyle name="Comma 5 4 2 6 5" xfId="10831" xr:uid="{00000000-0005-0000-0000-0000EC230000}"/>
    <cellStyle name="Comma 5 4 2 6 6" xfId="6606" xr:uid="{00000000-0005-0000-0000-0000ED230000}"/>
    <cellStyle name="Comma 5 4 2 7" xfId="3686" xr:uid="{00000000-0005-0000-0000-0000EE230000}"/>
    <cellStyle name="Comma 5 4 2 7 2" xfId="3687" xr:uid="{00000000-0005-0000-0000-0000EF230000}"/>
    <cellStyle name="Comma 5 4 2 7 2 2" xfId="3688" xr:uid="{00000000-0005-0000-0000-0000F0230000}"/>
    <cellStyle name="Comma 5 4 2 7 2 2 2" xfId="10839" xr:uid="{00000000-0005-0000-0000-0000F1230000}"/>
    <cellStyle name="Comma 5 4 2 7 2 3" xfId="10838" xr:uid="{00000000-0005-0000-0000-0000F2230000}"/>
    <cellStyle name="Comma 5 4 2 7 2 4" xfId="6610" xr:uid="{00000000-0005-0000-0000-0000F3230000}"/>
    <cellStyle name="Comma 5 4 2 7 3" xfId="3689" xr:uid="{00000000-0005-0000-0000-0000F4230000}"/>
    <cellStyle name="Comma 5 4 2 7 3 2" xfId="10840" xr:uid="{00000000-0005-0000-0000-0000F5230000}"/>
    <cellStyle name="Comma 5 4 2 7 4" xfId="10837" xr:uid="{00000000-0005-0000-0000-0000F6230000}"/>
    <cellStyle name="Comma 5 4 2 7 5" xfId="6609" xr:uid="{00000000-0005-0000-0000-0000F7230000}"/>
    <cellStyle name="Comma 5 4 2 8" xfId="3690" xr:uid="{00000000-0005-0000-0000-0000F8230000}"/>
    <cellStyle name="Comma 5 4 2 8 2" xfId="3691" xr:uid="{00000000-0005-0000-0000-0000F9230000}"/>
    <cellStyle name="Comma 5 4 2 8 2 2" xfId="10842" xr:uid="{00000000-0005-0000-0000-0000FA230000}"/>
    <cellStyle name="Comma 5 4 2 8 3" xfId="10841" xr:uid="{00000000-0005-0000-0000-0000FB230000}"/>
    <cellStyle name="Comma 5 4 2 8 4" xfId="6611" xr:uid="{00000000-0005-0000-0000-0000FC230000}"/>
    <cellStyle name="Comma 5 4 2 9" xfId="3692" xr:uid="{00000000-0005-0000-0000-0000FD230000}"/>
    <cellStyle name="Comma 5 4 2 9 2" xfId="3693" xr:uid="{00000000-0005-0000-0000-0000FE230000}"/>
    <cellStyle name="Comma 5 4 2 9 2 2" xfId="10844" xr:uid="{00000000-0005-0000-0000-0000FF230000}"/>
    <cellStyle name="Comma 5 4 2 9 3" xfId="10843" xr:uid="{00000000-0005-0000-0000-000000240000}"/>
    <cellStyle name="Comma 5 4 2 9 4" xfId="6612" xr:uid="{00000000-0005-0000-0000-000001240000}"/>
    <cellStyle name="Comma 5 4 3" xfId="3694" xr:uid="{00000000-0005-0000-0000-000002240000}"/>
    <cellStyle name="Comma 5 4 3 2" xfId="3695" xr:uid="{00000000-0005-0000-0000-000003240000}"/>
    <cellStyle name="Comma 5 4 3 2 2" xfId="3696" xr:uid="{00000000-0005-0000-0000-000004240000}"/>
    <cellStyle name="Comma 5 4 3 2 2 2" xfId="3697" xr:uid="{00000000-0005-0000-0000-000005240000}"/>
    <cellStyle name="Comma 5 4 3 2 2 2 2" xfId="10848" xr:uid="{00000000-0005-0000-0000-000006240000}"/>
    <cellStyle name="Comma 5 4 3 2 2 3" xfId="10847" xr:uid="{00000000-0005-0000-0000-000007240000}"/>
    <cellStyle name="Comma 5 4 3 2 2 4" xfId="6615" xr:uid="{00000000-0005-0000-0000-000008240000}"/>
    <cellStyle name="Comma 5 4 3 2 3" xfId="3698" xr:uid="{00000000-0005-0000-0000-000009240000}"/>
    <cellStyle name="Comma 5 4 3 2 3 2" xfId="10849" xr:uid="{00000000-0005-0000-0000-00000A240000}"/>
    <cellStyle name="Comma 5 4 3 2 4" xfId="10846" xr:uid="{00000000-0005-0000-0000-00000B240000}"/>
    <cellStyle name="Comma 5 4 3 2 5" xfId="6614" xr:uid="{00000000-0005-0000-0000-00000C240000}"/>
    <cellStyle name="Comma 5 4 3 3" xfId="3699" xr:uid="{00000000-0005-0000-0000-00000D240000}"/>
    <cellStyle name="Comma 5 4 3 3 2" xfId="3700" xr:uid="{00000000-0005-0000-0000-00000E240000}"/>
    <cellStyle name="Comma 5 4 3 3 2 2" xfId="10851" xr:uid="{00000000-0005-0000-0000-00000F240000}"/>
    <cellStyle name="Comma 5 4 3 3 3" xfId="10850" xr:uid="{00000000-0005-0000-0000-000010240000}"/>
    <cellStyle name="Comma 5 4 3 3 4" xfId="6616" xr:uid="{00000000-0005-0000-0000-000011240000}"/>
    <cellStyle name="Comma 5 4 3 4" xfId="3701" xr:uid="{00000000-0005-0000-0000-000012240000}"/>
    <cellStyle name="Comma 5 4 3 4 2" xfId="3702" xr:uid="{00000000-0005-0000-0000-000013240000}"/>
    <cellStyle name="Comma 5 4 3 4 2 2" xfId="10853" xr:uid="{00000000-0005-0000-0000-000014240000}"/>
    <cellStyle name="Comma 5 4 3 4 3" xfId="10852" xr:uid="{00000000-0005-0000-0000-000015240000}"/>
    <cellStyle name="Comma 5 4 3 4 4" xfId="6617" xr:uid="{00000000-0005-0000-0000-000016240000}"/>
    <cellStyle name="Comma 5 4 3 5" xfId="3703" xr:uid="{00000000-0005-0000-0000-000017240000}"/>
    <cellStyle name="Comma 5 4 3 5 2" xfId="10854" xr:uid="{00000000-0005-0000-0000-000018240000}"/>
    <cellStyle name="Comma 5 4 3 6" xfId="10845" xr:uid="{00000000-0005-0000-0000-000019240000}"/>
    <cellStyle name="Comma 5 4 3 7" xfId="6613" xr:uid="{00000000-0005-0000-0000-00001A240000}"/>
    <cellStyle name="Comma 5 4 4" xfId="3704" xr:uid="{00000000-0005-0000-0000-00001B240000}"/>
    <cellStyle name="Comma 5 4 4 2" xfId="3705" xr:uid="{00000000-0005-0000-0000-00001C240000}"/>
    <cellStyle name="Comma 5 4 4 2 2" xfId="3706" xr:uid="{00000000-0005-0000-0000-00001D240000}"/>
    <cellStyle name="Comma 5 4 4 2 2 2" xfId="3707" xr:uid="{00000000-0005-0000-0000-00001E240000}"/>
    <cellStyle name="Comma 5 4 4 2 2 2 2" xfId="10858" xr:uid="{00000000-0005-0000-0000-00001F240000}"/>
    <cellStyle name="Comma 5 4 4 2 2 3" xfId="10857" xr:uid="{00000000-0005-0000-0000-000020240000}"/>
    <cellStyle name="Comma 5 4 4 2 2 4" xfId="6620" xr:uid="{00000000-0005-0000-0000-000021240000}"/>
    <cellStyle name="Comma 5 4 4 2 3" xfId="3708" xr:uid="{00000000-0005-0000-0000-000022240000}"/>
    <cellStyle name="Comma 5 4 4 2 3 2" xfId="10859" xr:uid="{00000000-0005-0000-0000-000023240000}"/>
    <cellStyle name="Comma 5 4 4 2 4" xfId="10856" xr:uid="{00000000-0005-0000-0000-000024240000}"/>
    <cellStyle name="Comma 5 4 4 2 5" xfId="6619" xr:uid="{00000000-0005-0000-0000-000025240000}"/>
    <cellStyle name="Comma 5 4 4 3" xfId="3709" xr:uid="{00000000-0005-0000-0000-000026240000}"/>
    <cellStyle name="Comma 5 4 4 3 2" xfId="3710" xr:uid="{00000000-0005-0000-0000-000027240000}"/>
    <cellStyle name="Comma 5 4 4 3 2 2" xfId="10861" xr:uid="{00000000-0005-0000-0000-000028240000}"/>
    <cellStyle name="Comma 5 4 4 3 3" xfId="10860" xr:uid="{00000000-0005-0000-0000-000029240000}"/>
    <cellStyle name="Comma 5 4 4 3 4" xfId="6621" xr:uid="{00000000-0005-0000-0000-00002A240000}"/>
    <cellStyle name="Comma 5 4 4 4" xfId="3711" xr:uid="{00000000-0005-0000-0000-00002B240000}"/>
    <cellStyle name="Comma 5 4 4 4 2" xfId="3712" xr:uid="{00000000-0005-0000-0000-00002C240000}"/>
    <cellStyle name="Comma 5 4 4 4 2 2" xfId="10863" xr:uid="{00000000-0005-0000-0000-00002D240000}"/>
    <cellStyle name="Comma 5 4 4 4 3" xfId="10862" xr:uid="{00000000-0005-0000-0000-00002E240000}"/>
    <cellStyle name="Comma 5 4 4 4 4" xfId="6622" xr:uid="{00000000-0005-0000-0000-00002F240000}"/>
    <cellStyle name="Comma 5 4 4 5" xfId="3713" xr:uid="{00000000-0005-0000-0000-000030240000}"/>
    <cellStyle name="Comma 5 4 4 5 2" xfId="10864" xr:uid="{00000000-0005-0000-0000-000031240000}"/>
    <cellStyle name="Comma 5 4 4 6" xfId="10855" xr:uid="{00000000-0005-0000-0000-000032240000}"/>
    <cellStyle name="Comma 5 4 4 7" xfId="6618" xr:uid="{00000000-0005-0000-0000-000033240000}"/>
    <cellStyle name="Comma 5 4 5" xfId="3714" xr:uid="{00000000-0005-0000-0000-000034240000}"/>
    <cellStyle name="Comma 5 4 5 2" xfId="3715" xr:uid="{00000000-0005-0000-0000-000035240000}"/>
    <cellStyle name="Comma 5 4 5 2 2" xfId="3716" xr:uid="{00000000-0005-0000-0000-000036240000}"/>
    <cellStyle name="Comma 5 4 5 2 2 2" xfId="3717" xr:uid="{00000000-0005-0000-0000-000037240000}"/>
    <cellStyle name="Comma 5 4 5 2 2 2 2" xfId="10868" xr:uid="{00000000-0005-0000-0000-000038240000}"/>
    <cellStyle name="Comma 5 4 5 2 2 3" xfId="10867" xr:uid="{00000000-0005-0000-0000-000039240000}"/>
    <cellStyle name="Comma 5 4 5 2 2 4" xfId="6625" xr:uid="{00000000-0005-0000-0000-00003A240000}"/>
    <cellStyle name="Comma 5 4 5 2 3" xfId="3718" xr:uid="{00000000-0005-0000-0000-00003B240000}"/>
    <cellStyle name="Comma 5 4 5 2 3 2" xfId="10869" xr:uid="{00000000-0005-0000-0000-00003C240000}"/>
    <cellStyle name="Comma 5 4 5 2 4" xfId="10866" xr:uid="{00000000-0005-0000-0000-00003D240000}"/>
    <cellStyle name="Comma 5 4 5 2 5" xfId="6624" xr:uid="{00000000-0005-0000-0000-00003E240000}"/>
    <cellStyle name="Comma 5 4 5 3" xfId="3719" xr:uid="{00000000-0005-0000-0000-00003F240000}"/>
    <cellStyle name="Comma 5 4 5 3 2" xfId="3720" xr:uid="{00000000-0005-0000-0000-000040240000}"/>
    <cellStyle name="Comma 5 4 5 3 2 2" xfId="10871" xr:uid="{00000000-0005-0000-0000-000041240000}"/>
    <cellStyle name="Comma 5 4 5 3 3" xfId="10870" xr:uid="{00000000-0005-0000-0000-000042240000}"/>
    <cellStyle name="Comma 5 4 5 3 4" xfId="6626" xr:uid="{00000000-0005-0000-0000-000043240000}"/>
    <cellStyle name="Comma 5 4 5 4" xfId="3721" xr:uid="{00000000-0005-0000-0000-000044240000}"/>
    <cellStyle name="Comma 5 4 5 4 2" xfId="3722" xr:uid="{00000000-0005-0000-0000-000045240000}"/>
    <cellStyle name="Comma 5 4 5 4 2 2" xfId="10873" xr:uid="{00000000-0005-0000-0000-000046240000}"/>
    <cellStyle name="Comma 5 4 5 4 3" xfId="10872" xr:uid="{00000000-0005-0000-0000-000047240000}"/>
    <cellStyle name="Comma 5 4 5 4 4" xfId="6627" xr:uid="{00000000-0005-0000-0000-000048240000}"/>
    <cellStyle name="Comma 5 4 5 5" xfId="3723" xr:uid="{00000000-0005-0000-0000-000049240000}"/>
    <cellStyle name="Comma 5 4 5 5 2" xfId="10874" xr:uid="{00000000-0005-0000-0000-00004A240000}"/>
    <cellStyle name="Comma 5 4 5 6" xfId="10865" xr:uid="{00000000-0005-0000-0000-00004B240000}"/>
    <cellStyle name="Comma 5 4 5 7" xfId="6623" xr:uid="{00000000-0005-0000-0000-00004C240000}"/>
    <cellStyle name="Comma 5 4 6" xfId="3724" xr:uid="{00000000-0005-0000-0000-00004D240000}"/>
    <cellStyle name="Comma 5 4 6 2" xfId="3725" xr:uid="{00000000-0005-0000-0000-00004E240000}"/>
    <cellStyle name="Comma 5 4 6 2 2" xfId="3726" xr:uid="{00000000-0005-0000-0000-00004F240000}"/>
    <cellStyle name="Comma 5 4 6 2 2 2" xfId="3727" xr:uid="{00000000-0005-0000-0000-000050240000}"/>
    <cellStyle name="Comma 5 4 6 2 2 2 2" xfId="10878" xr:uid="{00000000-0005-0000-0000-000051240000}"/>
    <cellStyle name="Comma 5 4 6 2 2 3" xfId="10877" xr:uid="{00000000-0005-0000-0000-000052240000}"/>
    <cellStyle name="Comma 5 4 6 2 2 4" xfId="6630" xr:uid="{00000000-0005-0000-0000-000053240000}"/>
    <cellStyle name="Comma 5 4 6 2 3" xfId="3728" xr:uid="{00000000-0005-0000-0000-000054240000}"/>
    <cellStyle name="Comma 5 4 6 2 3 2" xfId="10879" xr:uid="{00000000-0005-0000-0000-000055240000}"/>
    <cellStyle name="Comma 5 4 6 2 4" xfId="10876" xr:uid="{00000000-0005-0000-0000-000056240000}"/>
    <cellStyle name="Comma 5 4 6 2 5" xfId="6629" xr:uid="{00000000-0005-0000-0000-000057240000}"/>
    <cellStyle name="Comma 5 4 6 3" xfId="3729" xr:uid="{00000000-0005-0000-0000-000058240000}"/>
    <cellStyle name="Comma 5 4 6 3 2" xfId="3730" xr:uid="{00000000-0005-0000-0000-000059240000}"/>
    <cellStyle name="Comma 5 4 6 3 2 2" xfId="10881" xr:uid="{00000000-0005-0000-0000-00005A240000}"/>
    <cellStyle name="Comma 5 4 6 3 3" xfId="10880" xr:uid="{00000000-0005-0000-0000-00005B240000}"/>
    <cellStyle name="Comma 5 4 6 3 4" xfId="6631" xr:uid="{00000000-0005-0000-0000-00005C240000}"/>
    <cellStyle name="Comma 5 4 6 4" xfId="3731" xr:uid="{00000000-0005-0000-0000-00005D240000}"/>
    <cellStyle name="Comma 5 4 6 4 2" xfId="3732" xr:uid="{00000000-0005-0000-0000-00005E240000}"/>
    <cellStyle name="Comma 5 4 6 4 2 2" xfId="10883" xr:uid="{00000000-0005-0000-0000-00005F240000}"/>
    <cellStyle name="Comma 5 4 6 4 3" xfId="10882" xr:uid="{00000000-0005-0000-0000-000060240000}"/>
    <cellStyle name="Comma 5 4 6 4 4" xfId="6632" xr:uid="{00000000-0005-0000-0000-000061240000}"/>
    <cellStyle name="Comma 5 4 6 5" xfId="3733" xr:uid="{00000000-0005-0000-0000-000062240000}"/>
    <cellStyle name="Comma 5 4 6 5 2" xfId="10884" xr:uid="{00000000-0005-0000-0000-000063240000}"/>
    <cellStyle name="Comma 5 4 6 6" xfId="10875" xr:uid="{00000000-0005-0000-0000-000064240000}"/>
    <cellStyle name="Comma 5 4 6 7" xfId="6628" xr:uid="{00000000-0005-0000-0000-000065240000}"/>
    <cellStyle name="Comma 5 4 7" xfId="3734" xr:uid="{00000000-0005-0000-0000-000066240000}"/>
    <cellStyle name="Comma 5 4 7 2" xfId="3735" xr:uid="{00000000-0005-0000-0000-000067240000}"/>
    <cellStyle name="Comma 5 4 7 2 2" xfId="3736" xr:uid="{00000000-0005-0000-0000-000068240000}"/>
    <cellStyle name="Comma 5 4 7 2 2 2" xfId="10887" xr:uid="{00000000-0005-0000-0000-000069240000}"/>
    <cellStyle name="Comma 5 4 7 2 3" xfId="10886" xr:uid="{00000000-0005-0000-0000-00006A240000}"/>
    <cellStyle name="Comma 5 4 7 2 4" xfId="6634" xr:uid="{00000000-0005-0000-0000-00006B240000}"/>
    <cellStyle name="Comma 5 4 7 3" xfId="3737" xr:uid="{00000000-0005-0000-0000-00006C240000}"/>
    <cellStyle name="Comma 5 4 7 3 2" xfId="3738" xr:uid="{00000000-0005-0000-0000-00006D240000}"/>
    <cellStyle name="Comma 5 4 7 3 2 2" xfId="10889" xr:uid="{00000000-0005-0000-0000-00006E240000}"/>
    <cellStyle name="Comma 5 4 7 3 3" xfId="10888" xr:uid="{00000000-0005-0000-0000-00006F240000}"/>
    <cellStyle name="Comma 5 4 7 3 4" xfId="6635" xr:uid="{00000000-0005-0000-0000-000070240000}"/>
    <cellStyle name="Comma 5 4 7 4" xfId="3739" xr:uid="{00000000-0005-0000-0000-000071240000}"/>
    <cellStyle name="Comma 5 4 7 4 2" xfId="10890" xr:uid="{00000000-0005-0000-0000-000072240000}"/>
    <cellStyle name="Comma 5 4 7 5" xfId="10885" xr:uid="{00000000-0005-0000-0000-000073240000}"/>
    <cellStyle name="Comma 5 4 7 6" xfId="6633" xr:uid="{00000000-0005-0000-0000-000074240000}"/>
    <cellStyle name="Comma 5 4 8" xfId="3740" xr:uid="{00000000-0005-0000-0000-000075240000}"/>
    <cellStyle name="Comma 5 4 8 2" xfId="3741" xr:uid="{00000000-0005-0000-0000-000076240000}"/>
    <cellStyle name="Comma 5 4 8 2 2" xfId="3742" xr:uid="{00000000-0005-0000-0000-000077240000}"/>
    <cellStyle name="Comma 5 4 8 2 2 2" xfId="10893" xr:uid="{00000000-0005-0000-0000-000078240000}"/>
    <cellStyle name="Comma 5 4 8 2 3" xfId="10892" xr:uid="{00000000-0005-0000-0000-000079240000}"/>
    <cellStyle name="Comma 5 4 8 2 4" xfId="6637" xr:uid="{00000000-0005-0000-0000-00007A240000}"/>
    <cellStyle name="Comma 5 4 8 3" xfId="3743" xr:uid="{00000000-0005-0000-0000-00007B240000}"/>
    <cellStyle name="Comma 5 4 8 3 2" xfId="10894" xr:uid="{00000000-0005-0000-0000-00007C240000}"/>
    <cellStyle name="Comma 5 4 8 4" xfId="10891" xr:uid="{00000000-0005-0000-0000-00007D240000}"/>
    <cellStyle name="Comma 5 4 8 5" xfId="6636" xr:uid="{00000000-0005-0000-0000-00007E240000}"/>
    <cellStyle name="Comma 5 4 9" xfId="3744" xr:uid="{00000000-0005-0000-0000-00007F240000}"/>
    <cellStyle name="Comma 5 4 9 2" xfId="3745" xr:uid="{00000000-0005-0000-0000-000080240000}"/>
    <cellStyle name="Comma 5 4 9 2 2" xfId="10896" xr:uid="{00000000-0005-0000-0000-000081240000}"/>
    <cellStyle name="Comma 5 4 9 3" xfId="10895" xr:uid="{00000000-0005-0000-0000-000082240000}"/>
    <cellStyle name="Comma 5 4 9 4" xfId="6638" xr:uid="{00000000-0005-0000-0000-000083240000}"/>
    <cellStyle name="Comma 5 5" xfId="3746" xr:uid="{00000000-0005-0000-0000-000084240000}"/>
    <cellStyle name="Comma 5 5 10" xfId="3747" xr:uid="{00000000-0005-0000-0000-000085240000}"/>
    <cellStyle name="Comma 5 5 10 2" xfId="10898" xr:uid="{00000000-0005-0000-0000-000086240000}"/>
    <cellStyle name="Comma 5 5 11" xfId="10897" xr:uid="{00000000-0005-0000-0000-000087240000}"/>
    <cellStyle name="Comma 5 5 12" xfId="6639" xr:uid="{00000000-0005-0000-0000-000088240000}"/>
    <cellStyle name="Comma 5 5 2" xfId="3748" xr:uid="{00000000-0005-0000-0000-000089240000}"/>
    <cellStyle name="Comma 5 5 2 2" xfId="3749" xr:uid="{00000000-0005-0000-0000-00008A240000}"/>
    <cellStyle name="Comma 5 5 2 2 2" xfId="3750" xr:uid="{00000000-0005-0000-0000-00008B240000}"/>
    <cellStyle name="Comma 5 5 2 2 2 2" xfId="3751" xr:uid="{00000000-0005-0000-0000-00008C240000}"/>
    <cellStyle name="Comma 5 5 2 2 2 2 2" xfId="10902" xr:uid="{00000000-0005-0000-0000-00008D240000}"/>
    <cellStyle name="Comma 5 5 2 2 2 3" xfId="10901" xr:uid="{00000000-0005-0000-0000-00008E240000}"/>
    <cellStyle name="Comma 5 5 2 2 2 4" xfId="6642" xr:uid="{00000000-0005-0000-0000-00008F240000}"/>
    <cellStyle name="Comma 5 5 2 2 3" xfId="3752" xr:uid="{00000000-0005-0000-0000-000090240000}"/>
    <cellStyle name="Comma 5 5 2 2 3 2" xfId="10903" xr:uid="{00000000-0005-0000-0000-000091240000}"/>
    <cellStyle name="Comma 5 5 2 2 4" xfId="10900" xr:uid="{00000000-0005-0000-0000-000092240000}"/>
    <cellStyle name="Comma 5 5 2 2 5" xfId="6641" xr:uid="{00000000-0005-0000-0000-000093240000}"/>
    <cellStyle name="Comma 5 5 2 3" xfId="3753" xr:uid="{00000000-0005-0000-0000-000094240000}"/>
    <cellStyle name="Comma 5 5 2 3 2" xfId="3754" xr:uid="{00000000-0005-0000-0000-000095240000}"/>
    <cellStyle name="Comma 5 5 2 3 2 2" xfId="10905" xr:uid="{00000000-0005-0000-0000-000096240000}"/>
    <cellStyle name="Comma 5 5 2 3 3" xfId="10904" xr:uid="{00000000-0005-0000-0000-000097240000}"/>
    <cellStyle name="Comma 5 5 2 3 4" xfId="6643" xr:uid="{00000000-0005-0000-0000-000098240000}"/>
    <cellStyle name="Comma 5 5 2 4" xfId="3755" xr:uid="{00000000-0005-0000-0000-000099240000}"/>
    <cellStyle name="Comma 5 5 2 4 2" xfId="3756" xr:uid="{00000000-0005-0000-0000-00009A240000}"/>
    <cellStyle name="Comma 5 5 2 4 2 2" xfId="10907" xr:uid="{00000000-0005-0000-0000-00009B240000}"/>
    <cellStyle name="Comma 5 5 2 4 3" xfId="10906" xr:uid="{00000000-0005-0000-0000-00009C240000}"/>
    <cellStyle name="Comma 5 5 2 4 4" xfId="6644" xr:uid="{00000000-0005-0000-0000-00009D240000}"/>
    <cellStyle name="Comma 5 5 2 5" xfId="3757" xr:uid="{00000000-0005-0000-0000-00009E240000}"/>
    <cellStyle name="Comma 5 5 2 5 2" xfId="10908" xr:uid="{00000000-0005-0000-0000-00009F240000}"/>
    <cellStyle name="Comma 5 5 2 6" xfId="10899" xr:uid="{00000000-0005-0000-0000-0000A0240000}"/>
    <cellStyle name="Comma 5 5 2 7" xfId="6640" xr:uid="{00000000-0005-0000-0000-0000A1240000}"/>
    <cellStyle name="Comma 5 5 3" xfId="3758" xr:uid="{00000000-0005-0000-0000-0000A2240000}"/>
    <cellStyle name="Comma 5 5 3 2" xfId="3759" xr:uid="{00000000-0005-0000-0000-0000A3240000}"/>
    <cellStyle name="Comma 5 5 3 2 2" xfId="3760" xr:uid="{00000000-0005-0000-0000-0000A4240000}"/>
    <cellStyle name="Comma 5 5 3 2 2 2" xfId="3761" xr:uid="{00000000-0005-0000-0000-0000A5240000}"/>
    <cellStyle name="Comma 5 5 3 2 2 2 2" xfId="10912" xr:uid="{00000000-0005-0000-0000-0000A6240000}"/>
    <cellStyle name="Comma 5 5 3 2 2 3" xfId="10911" xr:uid="{00000000-0005-0000-0000-0000A7240000}"/>
    <cellStyle name="Comma 5 5 3 2 2 4" xfId="6647" xr:uid="{00000000-0005-0000-0000-0000A8240000}"/>
    <cellStyle name="Comma 5 5 3 2 3" xfId="3762" xr:uid="{00000000-0005-0000-0000-0000A9240000}"/>
    <cellStyle name="Comma 5 5 3 2 3 2" xfId="10913" xr:uid="{00000000-0005-0000-0000-0000AA240000}"/>
    <cellStyle name="Comma 5 5 3 2 4" xfId="10910" xr:uid="{00000000-0005-0000-0000-0000AB240000}"/>
    <cellStyle name="Comma 5 5 3 2 5" xfId="6646" xr:uid="{00000000-0005-0000-0000-0000AC240000}"/>
    <cellStyle name="Comma 5 5 3 3" xfId="3763" xr:uid="{00000000-0005-0000-0000-0000AD240000}"/>
    <cellStyle name="Comma 5 5 3 3 2" xfId="3764" xr:uid="{00000000-0005-0000-0000-0000AE240000}"/>
    <cellStyle name="Comma 5 5 3 3 2 2" xfId="10915" xr:uid="{00000000-0005-0000-0000-0000AF240000}"/>
    <cellStyle name="Comma 5 5 3 3 3" xfId="10914" xr:uid="{00000000-0005-0000-0000-0000B0240000}"/>
    <cellStyle name="Comma 5 5 3 3 4" xfId="6648" xr:uid="{00000000-0005-0000-0000-0000B1240000}"/>
    <cellStyle name="Comma 5 5 3 4" xfId="3765" xr:uid="{00000000-0005-0000-0000-0000B2240000}"/>
    <cellStyle name="Comma 5 5 3 4 2" xfId="3766" xr:uid="{00000000-0005-0000-0000-0000B3240000}"/>
    <cellStyle name="Comma 5 5 3 4 2 2" xfId="10917" xr:uid="{00000000-0005-0000-0000-0000B4240000}"/>
    <cellStyle name="Comma 5 5 3 4 3" xfId="10916" xr:uid="{00000000-0005-0000-0000-0000B5240000}"/>
    <cellStyle name="Comma 5 5 3 4 4" xfId="6649" xr:uid="{00000000-0005-0000-0000-0000B6240000}"/>
    <cellStyle name="Comma 5 5 3 5" xfId="3767" xr:uid="{00000000-0005-0000-0000-0000B7240000}"/>
    <cellStyle name="Comma 5 5 3 5 2" xfId="10918" xr:uid="{00000000-0005-0000-0000-0000B8240000}"/>
    <cellStyle name="Comma 5 5 3 6" xfId="10909" xr:uid="{00000000-0005-0000-0000-0000B9240000}"/>
    <cellStyle name="Comma 5 5 3 7" xfId="6645" xr:uid="{00000000-0005-0000-0000-0000BA240000}"/>
    <cellStyle name="Comma 5 5 4" xfId="3768" xr:uid="{00000000-0005-0000-0000-0000BB240000}"/>
    <cellStyle name="Comma 5 5 4 2" xfId="3769" xr:uid="{00000000-0005-0000-0000-0000BC240000}"/>
    <cellStyle name="Comma 5 5 4 2 2" xfId="3770" xr:uid="{00000000-0005-0000-0000-0000BD240000}"/>
    <cellStyle name="Comma 5 5 4 2 2 2" xfId="3771" xr:uid="{00000000-0005-0000-0000-0000BE240000}"/>
    <cellStyle name="Comma 5 5 4 2 2 2 2" xfId="10922" xr:uid="{00000000-0005-0000-0000-0000BF240000}"/>
    <cellStyle name="Comma 5 5 4 2 2 3" xfId="10921" xr:uid="{00000000-0005-0000-0000-0000C0240000}"/>
    <cellStyle name="Comma 5 5 4 2 2 4" xfId="6652" xr:uid="{00000000-0005-0000-0000-0000C1240000}"/>
    <cellStyle name="Comma 5 5 4 2 3" xfId="3772" xr:uid="{00000000-0005-0000-0000-0000C2240000}"/>
    <cellStyle name="Comma 5 5 4 2 3 2" xfId="10923" xr:uid="{00000000-0005-0000-0000-0000C3240000}"/>
    <cellStyle name="Comma 5 5 4 2 4" xfId="10920" xr:uid="{00000000-0005-0000-0000-0000C4240000}"/>
    <cellStyle name="Comma 5 5 4 2 5" xfId="6651" xr:uid="{00000000-0005-0000-0000-0000C5240000}"/>
    <cellStyle name="Comma 5 5 4 3" xfId="3773" xr:uid="{00000000-0005-0000-0000-0000C6240000}"/>
    <cellStyle name="Comma 5 5 4 3 2" xfId="3774" xr:uid="{00000000-0005-0000-0000-0000C7240000}"/>
    <cellStyle name="Comma 5 5 4 3 2 2" xfId="10925" xr:uid="{00000000-0005-0000-0000-0000C8240000}"/>
    <cellStyle name="Comma 5 5 4 3 3" xfId="10924" xr:uid="{00000000-0005-0000-0000-0000C9240000}"/>
    <cellStyle name="Comma 5 5 4 3 4" xfId="6653" xr:uid="{00000000-0005-0000-0000-0000CA240000}"/>
    <cellStyle name="Comma 5 5 4 4" xfId="3775" xr:uid="{00000000-0005-0000-0000-0000CB240000}"/>
    <cellStyle name="Comma 5 5 4 4 2" xfId="3776" xr:uid="{00000000-0005-0000-0000-0000CC240000}"/>
    <cellStyle name="Comma 5 5 4 4 2 2" xfId="10927" xr:uid="{00000000-0005-0000-0000-0000CD240000}"/>
    <cellStyle name="Comma 5 5 4 4 3" xfId="10926" xr:uid="{00000000-0005-0000-0000-0000CE240000}"/>
    <cellStyle name="Comma 5 5 4 4 4" xfId="6654" xr:uid="{00000000-0005-0000-0000-0000CF240000}"/>
    <cellStyle name="Comma 5 5 4 5" xfId="3777" xr:uid="{00000000-0005-0000-0000-0000D0240000}"/>
    <cellStyle name="Comma 5 5 4 5 2" xfId="10928" xr:uid="{00000000-0005-0000-0000-0000D1240000}"/>
    <cellStyle name="Comma 5 5 4 6" xfId="10919" xr:uid="{00000000-0005-0000-0000-0000D2240000}"/>
    <cellStyle name="Comma 5 5 4 7" xfId="6650" xr:uid="{00000000-0005-0000-0000-0000D3240000}"/>
    <cellStyle name="Comma 5 5 5" xfId="3778" xr:uid="{00000000-0005-0000-0000-0000D4240000}"/>
    <cellStyle name="Comma 5 5 5 2" xfId="3779" xr:uid="{00000000-0005-0000-0000-0000D5240000}"/>
    <cellStyle name="Comma 5 5 5 2 2" xfId="3780" xr:uid="{00000000-0005-0000-0000-0000D6240000}"/>
    <cellStyle name="Comma 5 5 5 2 2 2" xfId="3781" xr:uid="{00000000-0005-0000-0000-0000D7240000}"/>
    <cellStyle name="Comma 5 5 5 2 2 2 2" xfId="10932" xr:uid="{00000000-0005-0000-0000-0000D8240000}"/>
    <cellStyle name="Comma 5 5 5 2 2 3" xfId="10931" xr:uid="{00000000-0005-0000-0000-0000D9240000}"/>
    <cellStyle name="Comma 5 5 5 2 2 4" xfId="6657" xr:uid="{00000000-0005-0000-0000-0000DA240000}"/>
    <cellStyle name="Comma 5 5 5 2 3" xfId="3782" xr:uid="{00000000-0005-0000-0000-0000DB240000}"/>
    <cellStyle name="Comma 5 5 5 2 3 2" xfId="10933" xr:uid="{00000000-0005-0000-0000-0000DC240000}"/>
    <cellStyle name="Comma 5 5 5 2 4" xfId="10930" xr:uid="{00000000-0005-0000-0000-0000DD240000}"/>
    <cellStyle name="Comma 5 5 5 2 5" xfId="6656" xr:uid="{00000000-0005-0000-0000-0000DE240000}"/>
    <cellStyle name="Comma 5 5 5 3" xfId="3783" xr:uid="{00000000-0005-0000-0000-0000DF240000}"/>
    <cellStyle name="Comma 5 5 5 3 2" xfId="3784" xr:uid="{00000000-0005-0000-0000-0000E0240000}"/>
    <cellStyle name="Comma 5 5 5 3 2 2" xfId="10935" xr:uid="{00000000-0005-0000-0000-0000E1240000}"/>
    <cellStyle name="Comma 5 5 5 3 3" xfId="10934" xr:uid="{00000000-0005-0000-0000-0000E2240000}"/>
    <cellStyle name="Comma 5 5 5 3 4" xfId="6658" xr:uid="{00000000-0005-0000-0000-0000E3240000}"/>
    <cellStyle name="Comma 5 5 5 4" xfId="3785" xr:uid="{00000000-0005-0000-0000-0000E4240000}"/>
    <cellStyle name="Comma 5 5 5 4 2" xfId="3786" xr:uid="{00000000-0005-0000-0000-0000E5240000}"/>
    <cellStyle name="Comma 5 5 5 4 2 2" xfId="10937" xr:uid="{00000000-0005-0000-0000-0000E6240000}"/>
    <cellStyle name="Comma 5 5 5 4 3" xfId="10936" xr:uid="{00000000-0005-0000-0000-0000E7240000}"/>
    <cellStyle name="Comma 5 5 5 4 4" xfId="6659" xr:uid="{00000000-0005-0000-0000-0000E8240000}"/>
    <cellStyle name="Comma 5 5 5 5" xfId="3787" xr:uid="{00000000-0005-0000-0000-0000E9240000}"/>
    <cellStyle name="Comma 5 5 5 5 2" xfId="10938" xr:uid="{00000000-0005-0000-0000-0000EA240000}"/>
    <cellStyle name="Comma 5 5 5 6" xfId="10929" xr:uid="{00000000-0005-0000-0000-0000EB240000}"/>
    <cellStyle name="Comma 5 5 5 7" xfId="6655" xr:uid="{00000000-0005-0000-0000-0000EC240000}"/>
    <cellStyle name="Comma 5 5 6" xfId="3788" xr:uid="{00000000-0005-0000-0000-0000ED240000}"/>
    <cellStyle name="Comma 5 5 6 2" xfId="3789" xr:uid="{00000000-0005-0000-0000-0000EE240000}"/>
    <cellStyle name="Comma 5 5 6 2 2" xfId="3790" xr:uid="{00000000-0005-0000-0000-0000EF240000}"/>
    <cellStyle name="Comma 5 5 6 2 2 2" xfId="10941" xr:uid="{00000000-0005-0000-0000-0000F0240000}"/>
    <cellStyle name="Comma 5 5 6 2 3" xfId="10940" xr:uid="{00000000-0005-0000-0000-0000F1240000}"/>
    <cellStyle name="Comma 5 5 6 2 4" xfId="6661" xr:uid="{00000000-0005-0000-0000-0000F2240000}"/>
    <cellStyle name="Comma 5 5 6 3" xfId="3791" xr:uid="{00000000-0005-0000-0000-0000F3240000}"/>
    <cellStyle name="Comma 5 5 6 3 2" xfId="3792" xr:uid="{00000000-0005-0000-0000-0000F4240000}"/>
    <cellStyle name="Comma 5 5 6 3 2 2" xfId="10943" xr:uid="{00000000-0005-0000-0000-0000F5240000}"/>
    <cellStyle name="Comma 5 5 6 3 3" xfId="10942" xr:uid="{00000000-0005-0000-0000-0000F6240000}"/>
    <cellStyle name="Comma 5 5 6 3 4" xfId="6662" xr:uid="{00000000-0005-0000-0000-0000F7240000}"/>
    <cellStyle name="Comma 5 5 6 4" xfId="3793" xr:uid="{00000000-0005-0000-0000-0000F8240000}"/>
    <cellStyle name="Comma 5 5 6 4 2" xfId="10944" xr:uid="{00000000-0005-0000-0000-0000F9240000}"/>
    <cellStyle name="Comma 5 5 6 5" xfId="10939" xr:uid="{00000000-0005-0000-0000-0000FA240000}"/>
    <cellStyle name="Comma 5 5 6 6" xfId="6660" xr:uid="{00000000-0005-0000-0000-0000FB240000}"/>
    <cellStyle name="Comma 5 5 7" xfId="3794" xr:uid="{00000000-0005-0000-0000-0000FC240000}"/>
    <cellStyle name="Comma 5 5 7 2" xfId="3795" xr:uid="{00000000-0005-0000-0000-0000FD240000}"/>
    <cellStyle name="Comma 5 5 7 2 2" xfId="3796" xr:uid="{00000000-0005-0000-0000-0000FE240000}"/>
    <cellStyle name="Comma 5 5 7 2 2 2" xfId="10947" xr:uid="{00000000-0005-0000-0000-0000FF240000}"/>
    <cellStyle name="Comma 5 5 7 2 3" xfId="10946" xr:uid="{00000000-0005-0000-0000-000000250000}"/>
    <cellStyle name="Comma 5 5 7 2 4" xfId="6664" xr:uid="{00000000-0005-0000-0000-000001250000}"/>
    <cellStyle name="Comma 5 5 7 3" xfId="3797" xr:uid="{00000000-0005-0000-0000-000002250000}"/>
    <cellStyle name="Comma 5 5 7 3 2" xfId="10948" xr:uid="{00000000-0005-0000-0000-000003250000}"/>
    <cellStyle name="Comma 5 5 7 4" xfId="10945" xr:uid="{00000000-0005-0000-0000-000004250000}"/>
    <cellStyle name="Comma 5 5 7 5" xfId="6663" xr:uid="{00000000-0005-0000-0000-000005250000}"/>
    <cellStyle name="Comma 5 5 8" xfId="3798" xr:uid="{00000000-0005-0000-0000-000006250000}"/>
    <cellStyle name="Comma 5 5 8 2" xfId="3799" xr:uid="{00000000-0005-0000-0000-000007250000}"/>
    <cellStyle name="Comma 5 5 8 2 2" xfId="10950" xr:uid="{00000000-0005-0000-0000-000008250000}"/>
    <cellStyle name="Comma 5 5 8 3" xfId="10949" xr:uid="{00000000-0005-0000-0000-000009250000}"/>
    <cellStyle name="Comma 5 5 8 4" xfId="6665" xr:uid="{00000000-0005-0000-0000-00000A250000}"/>
    <cellStyle name="Comma 5 5 9" xfId="3800" xr:uid="{00000000-0005-0000-0000-00000B250000}"/>
    <cellStyle name="Comma 5 5 9 2" xfId="3801" xr:uid="{00000000-0005-0000-0000-00000C250000}"/>
    <cellStyle name="Comma 5 5 9 2 2" xfId="10952" xr:uid="{00000000-0005-0000-0000-00000D250000}"/>
    <cellStyle name="Comma 5 5 9 3" xfId="10951" xr:uid="{00000000-0005-0000-0000-00000E250000}"/>
    <cellStyle name="Comma 5 5 9 4" xfId="6666" xr:uid="{00000000-0005-0000-0000-00000F250000}"/>
    <cellStyle name="Comma 5 6" xfId="3802" xr:uid="{00000000-0005-0000-0000-000010250000}"/>
    <cellStyle name="Comma 5 6 2" xfId="3803" xr:uid="{00000000-0005-0000-0000-000011250000}"/>
    <cellStyle name="Comma 5 6 2 2" xfId="3804" xr:uid="{00000000-0005-0000-0000-000012250000}"/>
    <cellStyle name="Comma 5 6 2 2 2" xfId="3805" xr:uid="{00000000-0005-0000-0000-000013250000}"/>
    <cellStyle name="Comma 5 6 2 2 2 2" xfId="10956" xr:uid="{00000000-0005-0000-0000-000014250000}"/>
    <cellStyle name="Comma 5 6 2 2 3" xfId="10955" xr:uid="{00000000-0005-0000-0000-000015250000}"/>
    <cellStyle name="Comma 5 6 2 2 4" xfId="6669" xr:uid="{00000000-0005-0000-0000-000016250000}"/>
    <cellStyle name="Comma 5 6 2 3" xfId="3806" xr:uid="{00000000-0005-0000-0000-000017250000}"/>
    <cellStyle name="Comma 5 6 2 3 2" xfId="10957" xr:uid="{00000000-0005-0000-0000-000018250000}"/>
    <cellStyle name="Comma 5 6 2 4" xfId="10954" xr:uid="{00000000-0005-0000-0000-000019250000}"/>
    <cellStyle name="Comma 5 6 2 5" xfId="6668" xr:uid="{00000000-0005-0000-0000-00001A250000}"/>
    <cellStyle name="Comma 5 6 3" xfId="3807" xr:uid="{00000000-0005-0000-0000-00001B250000}"/>
    <cellStyle name="Comma 5 6 3 2" xfId="3808" xr:uid="{00000000-0005-0000-0000-00001C250000}"/>
    <cellStyle name="Comma 5 6 3 2 2" xfId="10959" xr:uid="{00000000-0005-0000-0000-00001D250000}"/>
    <cellStyle name="Comma 5 6 3 3" xfId="10958" xr:uid="{00000000-0005-0000-0000-00001E250000}"/>
    <cellStyle name="Comma 5 6 3 4" xfId="6670" xr:uid="{00000000-0005-0000-0000-00001F250000}"/>
    <cellStyle name="Comma 5 6 4" xfId="3809" xr:uid="{00000000-0005-0000-0000-000020250000}"/>
    <cellStyle name="Comma 5 6 4 2" xfId="3810" xr:uid="{00000000-0005-0000-0000-000021250000}"/>
    <cellStyle name="Comma 5 6 4 2 2" xfId="10961" xr:uid="{00000000-0005-0000-0000-000022250000}"/>
    <cellStyle name="Comma 5 6 4 3" xfId="10960" xr:uid="{00000000-0005-0000-0000-000023250000}"/>
    <cellStyle name="Comma 5 6 4 4" xfId="6671" xr:uid="{00000000-0005-0000-0000-000024250000}"/>
    <cellStyle name="Comma 5 6 5" xfId="3811" xr:uid="{00000000-0005-0000-0000-000025250000}"/>
    <cellStyle name="Comma 5 6 5 2" xfId="10962" xr:uid="{00000000-0005-0000-0000-000026250000}"/>
    <cellStyle name="Comma 5 6 6" xfId="10953" xr:uid="{00000000-0005-0000-0000-000027250000}"/>
    <cellStyle name="Comma 5 6 7" xfId="6667" xr:uid="{00000000-0005-0000-0000-000028250000}"/>
    <cellStyle name="Comma 5 7" xfId="3812" xr:uid="{00000000-0005-0000-0000-000029250000}"/>
    <cellStyle name="Comma 5 7 2" xfId="3813" xr:uid="{00000000-0005-0000-0000-00002A250000}"/>
    <cellStyle name="Comma 5 7 2 2" xfId="3814" xr:uid="{00000000-0005-0000-0000-00002B250000}"/>
    <cellStyle name="Comma 5 7 2 2 2" xfId="3815" xr:uid="{00000000-0005-0000-0000-00002C250000}"/>
    <cellStyle name="Comma 5 7 2 2 2 2" xfId="10966" xr:uid="{00000000-0005-0000-0000-00002D250000}"/>
    <cellStyle name="Comma 5 7 2 2 3" xfId="10965" xr:uid="{00000000-0005-0000-0000-00002E250000}"/>
    <cellStyle name="Comma 5 7 2 2 4" xfId="6674" xr:uid="{00000000-0005-0000-0000-00002F250000}"/>
    <cellStyle name="Comma 5 7 2 3" xfId="3816" xr:uid="{00000000-0005-0000-0000-000030250000}"/>
    <cellStyle name="Comma 5 7 2 3 2" xfId="10967" xr:uid="{00000000-0005-0000-0000-000031250000}"/>
    <cellStyle name="Comma 5 7 2 4" xfId="10964" xr:uid="{00000000-0005-0000-0000-000032250000}"/>
    <cellStyle name="Comma 5 7 2 5" xfId="6673" xr:uid="{00000000-0005-0000-0000-000033250000}"/>
    <cellStyle name="Comma 5 7 3" xfId="3817" xr:uid="{00000000-0005-0000-0000-000034250000}"/>
    <cellStyle name="Comma 5 7 3 2" xfId="3818" xr:uid="{00000000-0005-0000-0000-000035250000}"/>
    <cellStyle name="Comma 5 7 3 2 2" xfId="10969" xr:uid="{00000000-0005-0000-0000-000036250000}"/>
    <cellStyle name="Comma 5 7 3 3" xfId="10968" xr:uid="{00000000-0005-0000-0000-000037250000}"/>
    <cellStyle name="Comma 5 7 3 4" xfId="6675" xr:uid="{00000000-0005-0000-0000-000038250000}"/>
    <cellStyle name="Comma 5 7 4" xfId="3819" xr:uid="{00000000-0005-0000-0000-000039250000}"/>
    <cellStyle name="Comma 5 7 4 2" xfId="3820" xr:uid="{00000000-0005-0000-0000-00003A250000}"/>
    <cellStyle name="Comma 5 7 4 2 2" xfId="10971" xr:uid="{00000000-0005-0000-0000-00003B250000}"/>
    <cellStyle name="Comma 5 7 4 3" xfId="10970" xr:uid="{00000000-0005-0000-0000-00003C250000}"/>
    <cellStyle name="Comma 5 7 4 4" xfId="6676" xr:uid="{00000000-0005-0000-0000-00003D250000}"/>
    <cellStyle name="Comma 5 7 5" xfId="3821" xr:uid="{00000000-0005-0000-0000-00003E250000}"/>
    <cellStyle name="Comma 5 7 5 2" xfId="10972" xr:uid="{00000000-0005-0000-0000-00003F250000}"/>
    <cellStyle name="Comma 5 7 6" xfId="10963" xr:uid="{00000000-0005-0000-0000-000040250000}"/>
    <cellStyle name="Comma 5 7 7" xfId="6672" xr:uid="{00000000-0005-0000-0000-000041250000}"/>
    <cellStyle name="Comma 5 8" xfId="3822" xr:uid="{00000000-0005-0000-0000-000042250000}"/>
    <cellStyle name="Comma 5 8 2" xfId="3823" xr:uid="{00000000-0005-0000-0000-000043250000}"/>
    <cellStyle name="Comma 5 8 2 2" xfId="3824" xr:uid="{00000000-0005-0000-0000-000044250000}"/>
    <cellStyle name="Comma 5 8 2 2 2" xfId="3825" xr:uid="{00000000-0005-0000-0000-000045250000}"/>
    <cellStyle name="Comma 5 8 2 2 2 2" xfId="10976" xr:uid="{00000000-0005-0000-0000-000046250000}"/>
    <cellStyle name="Comma 5 8 2 2 3" xfId="10975" xr:uid="{00000000-0005-0000-0000-000047250000}"/>
    <cellStyle name="Comma 5 8 2 2 4" xfId="6679" xr:uid="{00000000-0005-0000-0000-000048250000}"/>
    <cellStyle name="Comma 5 8 2 3" xfId="3826" xr:uid="{00000000-0005-0000-0000-000049250000}"/>
    <cellStyle name="Comma 5 8 2 3 2" xfId="10977" xr:uid="{00000000-0005-0000-0000-00004A250000}"/>
    <cellStyle name="Comma 5 8 2 4" xfId="10974" xr:uid="{00000000-0005-0000-0000-00004B250000}"/>
    <cellStyle name="Comma 5 8 2 5" xfId="6678" xr:uid="{00000000-0005-0000-0000-00004C250000}"/>
    <cellStyle name="Comma 5 8 3" xfId="3827" xr:uid="{00000000-0005-0000-0000-00004D250000}"/>
    <cellStyle name="Comma 5 8 3 2" xfId="3828" xr:uid="{00000000-0005-0000-0000-00004E250000}"/>
    <cellStyle name="Comma 5 8 3 2 2" xfId="10979" xr:uid="{00000000-0005-0000-0000-00004F250000}"/>
    <cellStyle name="Comma 5 8 3 3" xfId="10978" xr:uid="{00000000-0005-0000-0000-000050250000}"/>
    <cellStyle name="Comma 5 8 3 4" xfId="6680" xr:uid="{00000000-0005-0000-0000-000051250000}"/>
    <cellStyle name="Comma 5 8 4" xfId="3829" xr:uid="{00000000-0005-0000-0000-000052250000}"/>
    <cellStyle name="Comma 5 8 4 2" xfId="3830" xr:uid="{00000000-0005-0000-0000-000053250000}"/>
    <cellStyle name="Comma 5 8 4 2 2" xfId="10981" xr:uid="{00000000-0005-0000-0000-000054250000}"/>
    <cellStyle name="Comma 5 8 4 3" xfId="10980" xr:uid="{00000000-0005-0000-0000-000055250000}"/>
    <cellStyle name="Comma 5 8 4 4" xfId="6681" xr:uid="{00000000-0005-0000-0000-000056250000}"/>
    <cellStyle name="Comma 5 8 5" xfId="3831" xr:uid="{00000000-0005-0000-0000-000057250000}"/>
    <cellStyle name="Comma 5 8 5 2" xfId="10982" xr:uid="{00000000-0005-0000-0000-000058250000}"/>
    <cellStyle name="Comma 5 8 6" xfId="10973" xr:uid="{00000000-0005-0000-0000-000059250000}"/>
    <cellStyle name="Comma 5 8 7" xfId="6677" xr:uid="{00000000-0005-0000-0000-00005A250000}"/>
    <cellStyle name="Comma 5 9" xfId="3832" xr:uid="{00000000-0005-0000-0000-00005B250000}"/>
    <cellStyle name="Comma 5 9 2" xfId="3833" xr:uid="{00000000-0005-0000-0000-00005C250000}"/>
    <cellStyle name="Comma 5 9 2 2" xfId="3834" xr:uid="{00000000-0005-0000-0000-00005D250000}"/>
    <cellStyle name="Comma 5 9 2 2 2" xfId="3835" xr:uid="{00000000-0005-0000-0000-00005E250000}"/>
    <cellStyle name="Comma 5 9 2 2 2 2" xfId="10986" xr:uid="{00000000-0005-0000-0000-00005F250000}"/>
    <cellStyle name="Comma 5 9 2 2 3" xfId="10985" xr:uid="{00000000-0005-0000-0000-000060250000}"/>
    <cellStyle name="Comma 5 9 2 2 4" xfId="6684" xr:uid="{00000000-0005-0000-0000-000061250000}"/>
    <cellStyle name="Comma 5 9 2 3" xfId="3836" xr:uid="{00000000-0005-0000-0000-000062250000}"/>
    <cellStyle name="Comma 5 9 2 3 2" xfId="10987" xr:uid="{00000000-0005-0000-0000-000063250000}"/>
    <cellStyle name="Comma 5 9 2 4" xfId="10984" xr:uid="{00000000-0005-0000-0000-000064250000}"/>
    <cellStyle name="Comma 5 9 2 5" xfId="6683" xr:uid="{00000000-0005-0000-0000-000065250000}"/>
    <cellStyle name="Comma 5 9 3" xfId="3837" xr:uid="{00000000-0005-0000-0000-000066250000}"/>
    <cellStyle name="Comma 5 9 3 2" xfId="3838" xr:uid="{00000000-0005-0000-0000-000067250000}"/>
    <cellStyle name="Comma 5 9 3 2 2" xfId="10989" xr:uid="{00000000-0005-0000-0000-000068250000}"/>
    <cellStyle name="Comma 5 9 3 3" xfId="10988" xr:uid="{00000000-0005-0000-0000-000069250000}"/>
    <cellStyle name="Comma 5 9 3 4" xfId="6685" xr:uid="{00000000-0005-0000-0000-00006A250000}"/>
    <cellStyle name="Comma 5 9 4" xfId="3839" xr:uid="{00000000-0005-0000-0000-00006B250000}"/>
    <cellStyle name="Comma 5 9 4 2" xfId="3840" xr:uid="{00000000-0005-0000-0000-00006C250000}"/>
    <cellStyle name="Comma 5 9 4 2 2" xfId="10991" xr:uid="{00000000-0005-0000-0000-00006D250000}"/>
    <cellStyle name="Comma 5 9 4 3" xfId="10990" xr:uid="{00000000-0005-0000-0000-00006E250000}"/>
    <cellStyle name="Comma 5 9 4 4" xfId="6686" xr:uid="{00000000-0005-0000-0000-00006F250000}"/>
    <cellStyle name="Comma 5 9 5" xfId="3841" xr:uid="{00000000-0005-0000-0000-000070250000}"/>
    <cellStyle name="Comma 5 9 5 2" xfId="10992" xr:uid="{00000000-0005-0000-0000-000071250000}"/>
    <cellStyle name="Comma 5 9 6" xfId="10983" xr:uid="{00000000-0005-0000-0000-000072250000}"/>
    <cellStyle name="Comma 5 9 7" xfId="6682" xr:uid="{00000000-0005-0000-0000-000073250000}"/>
    <cellStyle name="Comma 6" xfId="3842" xr:uid="{00000000-0005-0000-0000-000074250000}"/>
    <cellStyle name="Comma 6 10" xfId="3843" xr:uid="{00000000-0005-0000-0000-000075250000}"/>
    <cellStyle name="Comma 6 10 2" xfId="3844" xr:uid="{00000000-0005-0000-0000-000076250000}"/>
    <cellStyle name="Comma 6 10 2 2" xfId="3845" xr:uid="{00000000-0005-0000-0000-000077250000}"/>
    <cellStyle name="Comma 6 10 2 2 2" xfId="10996" xr:uid="{00000000-0005-0000-0000-000078250000}"/>
    <cellStyle name="Comma 6 10 2 3" xfId="10995" xr:uid="{00000000-0005-0000-0000-000079250000}"/>
    <cellStyle name="Comma 6 10 2 4" xfId="6689" xr:uid="{00000000-0005-0000-0000-00007A250000}"/>
    <cellStyle name="Comma 6 10 3" xfId="3846" xr:uid="{00000000-0005-0000-0000-00007B250000}"/>
    <cellStyle name="Comma 6 10 3 2" xfId="3847" xr:uid="{00000000-0005-0000-0000-00007C250000}"/>
    <cellStyle name="Comma 6 10 3 2 2" xfId="10998" xr:uid="{00000000-0005-0000-0000-00007D250000}"/>
    <cellStyle name="Comma 6 10 3 3" xfId="10997" xr:uid="{00000000-0005-0000-0000-00007E250000}"/>
    <cellStyle name="Comma 6 10 3 4" xfId="6690" xr:uid="{00000000-0005-0000-0000-00007F250000}"/>
    <cellStyle name="Comma 6 10 4" xfId="3848" xr:uid="{00000000-0005-0000-0000-000080250000}"/>
    <cellStyle name="Comma 6 10 4 2" xfId="10999" xr:uid="{00000000-0005-0000-0000-000081250000}"/>
    <cellStyle name="Comma 6 10 5" xfId="10994" xr:uid="{00000000-0005-0000-0000-000082250000}"/>
    <cellStyle name="Comma 6 10 6" xfId="6688" xr:uid="{00000000-0005-0000-0000-000083250000}"/>
    <cellStyle name="Comma 6 11" xfId="3849" xr:uid="{00000000-0005-0000-0000-000084250000}"/>
    <cellStyle name="Comma 6 11 2" xfId="3850" xr:uid="{00000000-0005-0000-0000-000085250000}"/>
    <cellStyle name="Comma 6 11 2 2" xfId="3851" xr:uid="{00000000-0005-0000-0000-000086250000}"/>
    <cellStyle name="Comma 6 11 2 2 2" xfId="11002" xr:uid="{00000000-0005-0000-0000-000087250000}"/>
    <cellStyle name="Comma 6 11 2 3" xfId="11001" xr:uid="{00000000-0005-0000-0000-000088250000}"/>
    <cellStyle name="Comma 6 11 2 4" xfId="6692" xr:uid="{00000000-0005-0000-0000-000089250000}"/>
    <cellStyle name="Comma 6 11 3" xfId="3852" xr:uid="{00000000-0005-0000-0000-00008A250000}"/>
    <cellStyle name="Comma 6 11 3 2" xfId="11003" xr:uid="{00000000-0005-0000-0000-00008B250000}"/>
    <cellStyle name="Comma 6 11 4" xfId="11000" xr:uid="{00000000-0005-0000-0000-00008C250000}"/>
    <cellStyle name="Comma 6 11 5" xfId="6691" xr:uid="{00000000-0005-0000-0000-00008D250000}"/>
    <cellStyle name="Comma 6 12" xfId="3853" xr:uid="{00000000-0005-0000-0000-00008E250000}"/>
    <cellStyle name="Comma 6 12 2" xfId="3854" xr:uid="{00000000-0005-0000-0000-00008F250000}"/>
    <cellStyle name="Comma 6 12 2 2" xfId="11005" xr:uid="{00000000-0005-0000-0000-000090250000}"/>
    <cellStyle name="Comma 6 12 3" xfId="11004" xr:uid="{00000000-0005-0000-0000-000091250000}"/>
    <cellStyle name="Comma 6 12 4" xfId="6693" xr:uid="{00000000-0005-0000-0000-000092250000}"/>
    <cellStyle name="Comma 6 13" xfId="3855" xr:uid="{00000000-0005-0000-0000-000093250000}"/>
    <cellStyle name="Comma 6 13 2" xfId="3856" xr:uid="{00000000-0005-0000-0000-000094250000}"/>
    <cellStyle name="Comma 6 13 2 2" xfId="11007" xr:uid="{00000000-0005-0000-0000-000095250000}"/>
    <cellStyle name="Comma 6 13 3" xfId="11006" xr:uid="{00000000-0005-0000-0000-000096250000}"/>
    <cellStyle name="Comma 6 13 4" xfId="6694" xr:uid="{00000000-0005-0000-0000-000097250000}"/>
    <cellStyle name="Comma 6 14" xfId="3857" xr:uid="{00000000-0005-0000-0000-000098250000}"/>
    <cellStyle name="Comma 6 14 2" xfId="11008" xr:uid="{00000000-0005-0000-0000-000099250000}"/>
    <cellStyle name="Comma 6 15" xfId="10993" xr:uid="{00000000-0005-0000-0000-00009A250000}"/>
    <cellStyle name="Comma 6 16" xfId="6687" xr:uid="{00000000-0005-0000-0000-00009B250000}"/>
    <cellStyle name="Comma 6 2" xfId="3858" xr:uid="{00000000-0005-0000-0000-00009C250000}"/>
    <cellStyle name="Comma 6 2 10" xfId="3859" xr:uid="{00000000-0005-0000-0000-00009D250000}"/>
    <cellStyle name="Comma 6 2 10 2" xfId="3860" xr:uid="{00000000-0005-0000-0000-00009E250000}"/>
    <cellStyle name="Comma 6 2 10 2 2" xfId="11011" xr:uid="{00000000-0005-0000-0000-00009F250000}"/>
    <cellStyle name="Comma 6 2 10 3" xfId="11010" xr:uid="{00000000-0005-0000-0000-0000A0250000}"/>
    <cellStyle name="Comma 6 2 10 4" xfId="6696" xr:uid="{00000000-0005-0000-0000-0000A1250000}"/>
    <cellStyle name="Comma 6 2 11" xfId="3861" xr:uid="{00000000-0005-0000-0000-0000A2250000}"/>
    <cellStyle name="Comma 6 2 11 2" xfId="11012" xr:uid="{00000000-0005-0000-0000-0000A3250000}"/>
    <cellStyle name="Comma 6 2 12" xfId="11009" xr:uid="{00000000-0005-0000-0000-0000A4250000}"/>
    <cellStyle name="Comma 6 2 13" xfId="6695" xr:uid="{00000000-0005-0000-0000-0000A5250000}"/>
    <cellStyle name="Comma 6 2 2" xfId="3862" xr:uid="{00000000-0005-0000-0000-0000A6250000}"/>
    <cellStyle name="Comma 6 2 2 10" xfId="3863" xr:uid="{00000000-0005-0000-0000-0000A7250000}"/>
    <cellStyle name="Comma 6 2 2 10 2" xfId="11014" xr:uid="{00000000-0005-0000-0000-0000A8250000}"/>
    <cellStyle name="Comma 6 2 2 11" xfId="11013" xr:uid="{00000000-0005-0000-0000-0000A9250000}"/>
    <cellStyle name="Comma 6 2 2 12" xfId="6697" xr:uid="{00000000-0005-0000-0000-0000AA250000}"/>
    <cellStyle name="Comma 6 2 2 2" xfId="3864" xr:uid="{00000000-0005-0000-0000-0000AB250000}"/>
    <cellStyle name="Comma 6 2 2 2 2" xfId="3865" xr:uid="{00000000-0005-0000-0000-0000AC250000}"/>
    <cellStyle name="Comma 6 2 2 2 2 2" xfId="3866" xr:uid="{00000000-0005-0000-0000-0000AD250000}"/>
    <cellStyle name="Comma 6 2 2 2 2 2 2" xfId="3867" xr:uid="{00000000-0005-0000-0000-0000AE250000}"/>
    <cellStyle name="Comma 6 2 2 2 2 2 2 2" xfId="11018" xr:uid="{00000000-0005-0000-0000-0000AF250000}"/>
    <cellStyle name="Comma 6 2 2 2 2 2 3" xfId="11017" xr:uid="{00000000-0005-0000-0000-0000B0250000}"/>
    <cellStyle name="Comma 6 2 2 2 2 2 4" xfId="6700" xr:uid="{00000000-0005-0000-0000-0000B1250000}"/>
    <cellStyle name="Comma 6 2 2 2 2 3" xfId="3868" xr:uid="{00000000-0005-0000-0000-0000B2250000}"/>
    <cellStyle name="Comma 6 2 2 2 2 3 2" xfId="11019" xr:uid="{00000000-0005-0000-0000-0000B3250000}"/>
    <cellStyle name="Comma 6 2 2 2 2 4" xfId="11016" xr:uid="{00000000-0005-0000-0000-0000B4250000}"/>
    <cellStyle name="Comma 6 2 2 2 2 5" xfId="6699" xr:uid="{00000000-0005-0000-0000-0000B5250000}"/>
    <cellStyle name="Comma 6 2 2 2 3" xfId="3869" xr:uid="{00000000-0005-0000-0000-0000B6250000}"/>
    <cellStyle name="Comma 6 2 2 2 3 2" xfId="3870" xr:uid="{00000000-0005-0000-0000-0000B7250000}"/>
    <cellStyle name="Comma 6 2 2 2 3 2 2" xfId="11021" xr:uid="{00000000-0005-0000-0000-0000B8250000}"/>
    <cellStyle name="Comma 6 2 2 2 3 3" xfId="11020" xr:uid="{00000000-0005-0000-0000-0000B9250000}"/>
    <cellStyle name="Comma 6 2 2 2 3 4" xfId="6701" xr:uid="{00000000-0005-0000-0000-0000BA250000}"/>
    <cellStyle name="Comma 6 2 2 2 4" xfId="3871" xr:uid="{00000000-0005-0000-0000-0000BB250000}"/>
    <cellStyle name="Comma 6 2 2 2 4 2" xfId="3872" xr:uid="{00000000-0005-0000-0000-0000BC250000}"/>
    <cellStyle name="Comma 6 2 2 2 4 2 2" xfId="11023" xr:uid="{00000000-0005-0000-0000-0000BD250000}"/>
    <cellStyle name="Comma 6 2 2 2 4 3" xfId="11022" xr:uid="{00000000-0005-0000-0000-0000BE250000}"/>
    <cellStyle name="Comma 6 2 2 2 4 4" xfId="6702" xr:uid="{00000000-0005-0000-0000-0000BF250000}"/>
    <cellStyle name="Comma 6 2 2 2 5" xfId="3873" xr:uid="{00000000-0005-0000-0000-0000C0250000}"/>
    <cellStyle name="Comma 6 2 2 2 5 2" xfId="11024" xr:uid="{00000000-0005-0000-0000-0000C1250000}"/>
    <cellStyle name="Comma 6 2 2 2 6" xfId="11015" xr:uid="{00000000-0005-0000-0000-0000C2250000}"/>
    <cellStyle name="Comma 6 2 2 2 7" xfId="6698" xr:uid="{00000000-0005-0000-0000-0000C3250000}"/>
    <cellStyle name="Comma 6 2 2 3" xfId="3874" xr:uid="{00000000-0005-0000-0000-0000C4250000}"/>
    <cellStyle name="Comma 6 2 2 3 2" xfId="3875" xr:uid="{00000000-0005-0000-0000-0000C5250000}"/>
    <cellStyle name="Comma 6 2 2 3 2 2" xfId="3876" xr:uid="{00000000-0005-0000-0000-0000C6250000}"/>
    <cellStyle name="Comma 6 2 2 3 2 2 2" xfId="3877" xr:uid="{00000000-0005-0000-0000-0000C7250000}"/>
    <cellStyle name="Comma 6 2 2 3 2 2 2 2" xfId="11028" xr:uid="{00000000-0005-0000-0000-0000C8250000}"/>
    <cellStyle name="Comma 6 2 2 3 2 2 3" xfId="11027" xr:uid="{00000000-0005-0000-0000-0000C9250000}"/>
    <cellStyle name="Comma 6 2 2 3 2 2 4" xfId="6705" xr:uid="{00000000-0005-0000-0000-0000CA250000}"/>
    <cellStyle name="Comma 6 2 2 3 2 3" xfId="3878" xr:uid="{00000000-0005-0000-0000-0000CB250000}"/>
    <cellStyle name="Comma 6 2 2 3 2 3 2" xfId="11029" xr:uid="{00000000-0005-0000-0000-0000CC250000}"/>
    <cellStyle name="Comma 6 2 2 3 2 4" xfId="11026" xr:uid="{00000000-0005-0000-0000-0000CD250000}"/>
    <cellStyle name="Comma 6 2 2 3 2 5" xfId="6704" xr:uid="{00000000-0005-0000-0000-0000CE250000}"/>
    <cellStyle name="Comma 6 2 2 3 3" xfId="3879" xr:uid="{00000000-0005-0000-0000-0000CF250000}"/>
    <cellStyle name="Comma 6 2 2 3 3 2" xfId="3880" xr:uid="{00000000-0005-0000-0000-0000D0250000}"/>
    <cellStyle name="Comma 6 2 2 3 3 2 2" xfId="11031" xr:uid="{00000000-0005-0000-0000-0000D1250000}"/>
    <cellStyle name="Comma 6 2 2 3 3 3" xfId="11030" xr:uid="{00000000-0005-0000-0000-0000D2250000}"/>
    <cellStyle name="Comma 6 2 2 3 3 4" xfId="6706" xr:uid="{00000000-0005-0000-0000-0000D3250000}"/>
    <cellStyle name="Comma 6 2 2 3 4" xfId="3881" xr:uid="{00000000-0005-0000-0000-0000D4250000}"/>
    <cellStyle name="Comma 6 2 2 3 4 2" xfId="3882" xr:uid="{00000000-0005-0000-0000-0000D5250000}"/>
    <cellStyle name="Comma 6 2 2 3 4 2 2" xfId="11033" xr:uid="{00000000-0005-0000-0000-0000D6250000}"/>
    <cellStyle name="Comma 6 2 2 3 4 3" xfId="11032" xr:uid="{00000000-0005-0000-0000-0000D7250000}"/>
    <cellStyle name="Comma 6 2 2 3 4 4" xfId="6707" xr:uid="{00000000-0005-0000-0000-0000D8250000}"/>
    <cellStyle name="Comma 6 2 2 3 5" xfId="3883" xr:uid="{00000000-0005-0000-0000-0000D9250000}"/>
    <cellStyle name="Comma 6 2 2 3 5 2" xfId="11034" xr:uid="{00000000-0005-0000-0000-0000DA250000}"/>
    <cellStyle name="Comma 6 2 2 3 6" xfId="11025" xr:uid="{00000000-0005-0000-0000-0000DB250000}"/>
    <cellStyle name="Comma 6 2 2 3 7" xfId="6703" xr:uid="{00000000-0005-0000-0000-0000DC250000}"/>
    <cellStyle name="Comma 6 2 2 4" xfId="3884" xr:uid="{00000000-0005-0000-0000-0000DD250000}"/>
    <cellStyle name="Comma 6 2 2 4 2" xfId="3885" xr:uid="{00000000-0005-0000-0000-0000DE250000}"/>
    <cellStyle name="Comma 6 2 2 4 2 2" xfId="3886" xr:uid="{00000000-0005-0000-0000-0000DF250000}"/>
    <cellStyle name="Comma 6 2 2 4 2 2 2" xfId="3887" xr:uid="{00000000-0005-0000-0000-0000E0250000}"/>
    <cellStyle name="Comma 6 2 2 4 2 2 2 2" xfId="11038" xr:uid="{00000000-0005-0000-0000-0000E1250000}"/>
    <cellStyle name="Comma 6 2 2 4 2 2 3" xfId="11037" xr:uid="{00000000-0005-0000-0000-0000E2250000}"/>
    <cellStyle name="Comma 6 2 2 4 2 2 4" xfId="6710" xr:uid="{00000000-0005-0000-0000-0000E3250000}"/>
    <cellStyle name="Comma 6 2 2 4 2 3" xfId="3888" xr:uid="{00000000-0005-0000-0000-0000E4250000}"/>
    <cellStyle name="Comma 6 2 2 4 2 3 2" xfId="11039" xr:uid="{00000000-0005-0000-0000-0000E5250000}"/>
    <cellStyle name="Comma 6 2 2 4 2 4" xfId="11036" xr:uid="{00000000-0005-0000-0000-0000E6250000}"/>
    <cellStyle name="Comma 6 2 2 4 2 5" xfId="6709" xr:uid="{00000000-0005-0000-0000-0000E7250000}"/>
    <cellStyle name="Comma 6 2 2 4 3" xfId="3889" xr:uid="{00000000-0005-0000-0000-0000E8250000}"/>
    <cellStyle name="Comma 6 2 2 4 3 2" xfId="3890" xr:uid="{00000000-0005-0000-0000-0000E9250000}"/>
    <cellStyle name="Comma 6 2 2 4 3 2 2" xfId="11041" xr:uid="{00000000-0005-0000-0000-0000EA250000}"/>
    <cellStyle name="Comma 6 2 2 4 3 3" xfId="11040" xr:uid="{00000000-0005-0000-0000-0000EB250000}"/>
    <cellStyle name="Comma 6 2 2 4 3 4" xfId="6711" xr:uid="{00000000-0005-0000-0000-0000EC250000}"/>
    <cellStyle name="Comma 6 2 2 4 4" xfId="3891" xr:uid="{00000000-0005-0000-0000-0000ED250000}"/>
    <cellStyle name="Comma 6 2 2 4 4 2" xfId="3892" xr:uid="{00000000-0005-0000-0000-0000EE250000}"/>
    <cellStyle name="Comma 6 2 2 4 4 2 2" xfId="11043" xr:uid="{00000000-0005-0000-0000-0000EF250000}"/>
    <cellStyle name="Comma 6 2 2 4 4 3" xfId="11042" xr:uid="{00000000-0005-0000-0000-0000F0250000}"/>
    <cellStyle name="Comma 6 2 2 4 4 4" xfId="6712" xr:uid="{00000000-0005-0000-0000-0000F1250000}"/>
    <cellStyle name="Comma 6 2 2 4 5" xfId="3893" xr:uid="{00000000-0005-0000-0000-0000F2250000}"/>
    <cellStyle name="Comma 6 2 2 4 5 2" xfId="11044" xr:uid="{00000000-0005-0000-0000-0000F3250000}"/>
    <cellStyle name="Comma 6 2 2 4 6" xfId="11035" xr:uid="{00000000-0005-0000-0000-0000F4250000}"/>
    <cellStyle name="Comma 6 2 2 4 7" xfId="6708" xr:uid="{00000000-0005-0000-0000-0000F5250000}"/>
    <cellStyle name="Comma 6 2 2 5" xfId="3894" xr:uid="{00000000-0005-0000-0000-0000F6250000}"/>
    <cellStyle name="Comma 6 2 2 5 2" xfId="3895" xr:uid="{00000000-0005-0000-0000-0000F7250000}"/>
    <cellStyle name="Comma 6 2 2 5 2 2" xfId="3896" xr:uid="{00000000-0005-0000-0000-0000F8250000}"/>
    <cellStyle name="Comma 6 2 2 5 2 2 2" xfId="3897" xr:uid="{00000000-0005-0000-0000-0000F9250000}"/>
    <cellStyle name="Comma 6 2 2 5 2 2 2 2" xfId="11048" xr:uid="{00000000-0005-0000-0000-0000FA250000}"/>
    <cellStyle name="Comma 6 2 2 5 2 2 3" xfId="11047" xr:uid="{00000000-0005-0000-0000-0000FB250000}"/>
    <cellStyle name="Comma 6 2 2 5 2 2 4" xfId="6715" xr:uid="{00000000-0005-0000-0000-0000FC250000}"/>
    <cellStyle name="Comma 6 2 2 5 2 3" xfId="3898" xr:uid="{00000000-0005-0000-0000-0000FD250000}"/>
    <cellStyle name="Comma 6 2 2 5 2 3 2" xfId="11049" xr:uid="{00000000-0005-0000-0000-0000FE250000}"/>
    <cellStyle name="Comma 6 2 2 5 2 4" xfId="11046" xr:uid="{00000000-0005-0000-0000-0000FF250000}"/>
    <cellStyle name="Comma 6 2 2 5 2 5" xfId="6714" xr:uid="{00000000-0005-0000-0000-000000260000}"/>
    <cellStyle name="Comma 6 2 2 5 3" xfId="3899" xr:uid="{00000000-0005-0000-0000-000001260000}"/>
    <cellStyle name="Comma 6 2 2 5 3 2" xfId="3900" xr:uid="{00000000-0005-0000-0000-000002260000}"/>
    <cellStyle name="Comma 6 2 2 5 3 2 2" xfId="11051" xr:uid="{00000000-0005-0000-0000-000003260000}"/>
    <cellStyle name="Comma 6 2 2 5 3 3" xfId="11050" xr:uid="{00000000-0005-0000-0000-000004260000}"/>
    <cellStyle name="Comma 6 2 2 5 3 4" xfId="6716" xr:uid="{00000000-0005-0000-0000-000005260000}"/>
    <cellStyle name="Comma 6 2 2 5 4" xfId="3901" xr:uid="{00000000-0005-0000-0000-000006260000}"/>
    <cellStyle name="Comma 6 2 2 5 4 2" xfId="3902" xr:uid="{00000000-0005-0000-0000-000007260000}"/>
    <cellStyle name="Comma 6 2 2 5 4 2 2" xfId="11053" xr:uid="{00000000-0005-0000-0000-000008260000}"/>
    <cellStyle name="Comma 6 2 2 5 4 3" xfId="11052" xr:uid="{00000000-0005-0000-0000-000009260000}"/>
    <cellStyle name="Comma 6 2 2 5 4 4" xfId="6717" xr:uid="{00000000-0005-0000-0000-00000A260000}"/>
    <cellStyle name="Comma 6 2 2 5 5" xfId="3903" xr:uid="{00000000-0005-0000-0000-00000B260000}"/>
    <cellStyle name="Comma 6 2 2 5 5 2" xfId="11054" xr:uid="{00000000-0005-0000-0000-00000C260000}"/>
    <cellStyle name="Comma 6 2 2 5 6" xfId="11045" xr:uid="{00000000-0005-0000-0000-00000D260000}"/>
    <cellStyle name="Comma 6 2 2 5 7" xfId="6713" xr:uid="{00000000-0005-0000-0000-00000E260000}"/>
    <cellStyle name="Comma 6 2 2 6" xfId="3904" xr:uid="{00000000-0005-0000-0000-00000F260000}"/>
    <cellStyle name="Comma 6 2 2 6 2" xfId="3905" xr:uid="{00000000-0005-0000-0000-000010260000}"/>
    <cellStyle name="Comma 6 2 2 6 2 2" xfId="3906" xr:uid="{00000000-0005-0000-0000-000011260000}"/>
    <cellStyle name="Comma 6 2 2 6 2 2 2" xfId="11057" xr:uid="{00000000-0005-0000-0000-000012260000}"/>
    <cellStyle name="Comma 6 2 2 6 2 3" xfId="11056" xr:uid="{00000000-0005-0000-0000-000013260000}"/>
    <cellStyle name="Comma 6 2 2 6 2 4" xfId="6719" xr:uid="{00000000-0005-0000-0000-000014260000}"/>
    <cellStyle name="Comma 6 2 2 6 3" xfId="3907" xr:uid="{00000000-0005-0000-0000-000015260000}"/>
    <cellStyle name="Comma 6 2 2 6 3 2" xfId="3908" xr:uid="{00000000-0005-0000-0000-000016260000}"/>
    <cellStyle name="Comma 6 2 2 6 3 2 2" xfId="11059" xr:uid="{00000000-0005-0000-0000-000017260000}"/>
    <cellStyle name="Comma 6 2 2 6 3 3" xfId="11058" xr:uid="{00000000-0005-0000-0000-000018260000}"/>
    <cellStyle name="Comma 6 2 2 6 3 4" xfId="6720" xr:uid="{00000000-0005-0000-0000-000019260000}"/>
    <cellStyle name="Comma 6 2 2 6 4" xfId="3909" xr:uid="{00000000-0005-0000-0000-00001A260000}"/>
    <cellStyle name="Comma 6 2 2 6 4 2" xfId="11060" xr:uid="{00000000-0005-0000-0000-00001B260000}"/>
    <cellStyle name="Comma 6 2 2 6 5" xfId="11055" xr:uid="{00000000-0005-0000-0000-00001C260000}"/>
    <cellStyle name="Comma 6 2 2 6 6" xfId="6718" xr:uid="{00000000-0005-0000-0000-00001D260000}"/>
    <cellStyle name="Comma 6 2 2 7" xfId="3910" xr:uid="{00000000-0005-0000-0000-00001E260000}"/>
    <cellStyle name="Comma 6 2 2 7 2" xfId="3911" xr:uid="{00000000-0005-0000-0000-00001F260000}"/>
    <cellStyle name="Comma 6 2 2 7 2 2" xfId="3912" xr:uid="{00000000-0005-0000-0000-000020260000}"/>
    <cellStyle name="Comma 6 2 2 7 2 2 2" xfId="11063" xr:uid="{00000000-0005-0000-0000-000021260000}"/>
    <cellStyle name="Comma 6 2 2 7 2 3" xfId="11062" xr:uid="{00000000-0005-0000-0000-000022260000}"/>
    <cellStyle name="Comma 6 2 2 7 2 4" xfId="6722" xr:uid="{00000000-0005-0000-0000-000023260000}"/>
    <cellStyle name="Comma 6 2 2 7 3" xfId="3913" xr:uid="{00000000-0005-0000-0000-000024260000}"/>
    <cellStyle name="Comma 6 2 2 7 3 2" xfId="11064" xr:uid="{00000000-0005-0000-0000-000025260000}"/>
    <cellStyle name="Comma 6 2 2 7 4" xfId="11061" xr:uid="{00000000-0005-0000-0000-000026260000}"/>
    <cellStyle name="Comma 6 2 2 7 5" xfId="6721" xr:uid="{00000000-0005-0000-0000-000027260000}"/>
    <cellStyle name="Comma 6 2 2 8" xfId="3914" xr:uid="{00000000-0005-0000-0000-000028260000}"/>
    <cellStyle name="Comma 6 2 2 8 2" xfId="3915" xr:uid="{00000000-0005-0000-0000-000029260000}"/>
    <cellStyle name="Comma 6 2 2 8 2 2" xfId="11066" xr:uid="{00000000-0005-0000-0000-00002A260000}"/>
    <cellStyle name="Comma 6 2 2 8 3" xfId="11065" xr:uid="{00000000-0005-0000-0000-00002B260000}"/>
    <cellStyle name="Comma 6 2 2 8 4" xfId="6723" xr:uid="{00000000-0005-0000-0000-00002C260000}"/>
    <cellStyle name="Comma 6 2 2 9" xfId="3916" xr:uid="{00000000-0005-0000-0000-00002D260000}"/>
    <cellStyle name="Comma 6 2 2 9 2" xfId="3917" xr:uid="{00000000-0005-0000-0000-00002E260000}"/>
    <cellStyle name="Comma 6 2 2 9 2 2" xfId="11068" xr:uid="{00000000-0005-0000-0000-00002F260000}"/>
    <cellStyle name="Comma 6 2 2 9 3" xfId="11067" xr:uid="{00000000-0005-0000-0000-000030260000}"/>
    <cellStyle name="Comma 6 2 2 9 4" xfId="6724" xr:uid="{00000000-0005-0000-0000-000031260000}"/>
    <cellStyle name="Comma 6 2 3" xfId="3918" xr:uid="{00000000-0005-0000-0000-000032260000}"/>
    <cellStyle name="Comma 6 2 3 2" xfId="3919" xr:uid="{00000000-0005-0000-0000-000033260000}"/>
    <cellStyle name="Comma 6 2 3 2 2" xfId="3920" xr:uid="{00000000-0005-0000-0000-000034260000}"/>
    <cellStyle name="Comma 6 2 3 2 2 2" xfId="3921" xr:uid="{00000000-0005-0000-0000-000035260000}"/>
    <cellStyle name="Comma 6 2 3 2 2 2 2" xfId="11072" xr:uid="{00000000-0005-0000-0000-000036260000}"/>
    <cellStyle name="Comma 6 2 3 2 2 3" xfId="11071" xr:uid="{00000000-0005-0000-0000-000037260000}"/>
    <cellStyle name="Comma 6 2 3 2 2 4" xfId="6727" xr:uid="{00000000-0005-0000-0000-000038260000}"/>
    <cellStyle name="Comma 6 2 3 2 3" xfId="3922" xr:uid="{00000000-0005-0000-0000-000039260000}"/>
    <cellStyle name="Comma 6 2 3 2 3 2" xfId="11073" xr:uid="{00000000-0005-0000-0000-00003A260000}"/>
    <cellStyle name="Comma 6 2 3 2 4" xfId="11070" xr:uid="{00000000-0005-0000-0000-00003B260000}"/>
    <cellStyle name="Comma 6 2 3 2 5" xfId="6726" xr:uid="{00000000-0005-0000-0000-00003C260000}"/>
    <cellStyle name="Comma 6 2 3 3" xfId="3923" xr:uid="{00000000-0005-0000-0000-00003D260000}"/>
    <cellStyle name="Comma 6 2 3 3 2" xfId="3924" xr:uid="{00000000-0005-0000-0000-00003E260000}"/>
    <cellStyle name="Comma 6 2 3 3 2 2" xfId="11075" xr:uid="{00000000-0005-0000-0000-00003F260000}"/>
    <cellStyle name="Comma 6 2 3 3 3" xfId="11074" xr:uid="{00000000-0005-0000-0000-000040260000}"/>
    <cellStyle name="Comma 6 2 3 3 4" xfId="6728" xr:uid="{00000000-0005-0000-0000-000041260000}"/>
    <cellStyle name="Comma 6 2 3 4" xfId="3925" xr:uid="{00000000-0005-0000-0000-000042260000}"/>
    <cellStyle name="Comma 6 2 3 4 2" xfId="3926" xr:uid="{00000000-0005-0000-0000-000043260000}"/>
    <cellStyle name="Comma 6 2 3 4 2 2" xfId="11077" xr:uid="{00000000-0005-0000-0000-000044260000}"/>
    <cellStyle name="Comma 6 2 3 4 3" xfId="11076" xr:uid="{00000000-0005-0000-0000-000045260000}"/>
    <cellStyle name="Comma 6 2 3 4 4" xfId="6729" xr:uid="{00000000-0005-0000-0000-000046260000}"/>
    <cellStyle name="Comma 6 2 3 5" xfId="3927" xr:uid="{00000000-0005-0000-0000-000047260000}"/>
    <cellStyle name="Comma 6 2 3 5 2" xfId="11078" xr:uid="{00000000-0005-0000-0000-000048260000}"/>
    <cellStyle name="Comma 6 2 3 6" xfId="11069" xr:uid="{00000000-0005-0000-0000-000049260000}"/>
    <cellStyle name="Comma 6 2 3 7" xfId="6725" xr:uid="{00000000-0005-0000-0000-00004A260000}"/>
    <cellStyle name="Comma 6 2 4" xfId="3928" xr:uid="{00000000-0005-0000-0000-00004B260000}"/>
    <cellStyle name="Comma 6 2 4 2" xfId="3929" xr:uid="{00000000-0005-0000-0000-00004C260000}"/>
    <cellStyle name="Comma 6 2 4 2 2" xfId="3930" xr:uid="{00000000-0005-0000-0000-00004D260000}"/>
    <cellStyle name="Comma 6 2 4 2 2 2" xfId="3931" xr:uid="{00000000-0005-0000-0000-00004E260000}"/>
    <cellStyle name="Comma 6 2 4 2 2 2 2" xfId="11082" xr:uid="{00000000-0005-0000-0000-00004F260000}"/>
    <cellStyle name="Comma 6 2 4 2 2 3" xfId="11081" xr:uid="{00000000-0005-0000-0000-000050260000}"/>
    <cellStyle name="Comma 6 2 4 2 2 4" xfId="6732" xr:uid="{00000000-0005-0000-0000-000051260000}"/>
    <cellStyle name="Comma 6 2 4 2 3" xfId="3932" xr:uid="{00000000-0005-0000-0000-000052260000}"/>
    <cellStyle name="Comma 6 2 4 2 3 2" xfId="11083" xr:uid="{00000000-0005-0000-0000-000053260000}"/>
    <cellStyle name="Comma 6 2 4 2 4" xfId="11080" xr:uid="{00000000-0005-0000-0000-000054260000}"/>
    <cellStyle name="Comma 6 2 4 2 5" xfId="6731" xr:uid="{00000000-0005-0000-0000-000055260000}"/>
    <cellStyle name="Comma 6 2 4 3" xfId="3933" xr:uid="{00000000-0005-0000-0000-000056260000}"/>
    <cellStyle name="Comma 6 2 4 3 2" xfId="3934" xr:uid="{00000000-0005-0000-0000-000057260000}"/>
    <cellStyle name="Comma 6 2 4 3 2 2" xfId="11085" xr:uid="{00000000-0005-0000-0000-000058260000}"/>
    <cellStyle name="Comma 6 2 4 3 3" xfId="11084" xr:uid="{00000000-0005-0000-0000-000059260000}"/>
    <cellStyle name="Comma 6 2 4 3 4" xfId="6733" xr:uid="{00000000-0005-0000-0000-00005A260000}"/>
    <cellStyle name="Comma 6 2 4 4" xfId="3935" xr:uid="{00000000-0005-0000-0000-00005B260000}"/>
    <cellStyle name="Comma 6 2 4 4 2" xfId="3936" xr:uid="{00000000-0005-0000-0000-00005C260000}"/>
    <cellStyle name="Comma 6 2 4 4 2 2" xfId="11087" xr:uid="{00000000-0005-0000-0000-00005D260000}"/>
    <cellStyle name="Comma 6 2 4 4 3" xfId="11086" xr:uid="{00000000-0005-0000-0000-00005E260000}"/>
    <cellStyle name="Comma 6 2 4 4 4" xfId="6734" xr:uid="{00000000-0005-0000-0000-00005F260000}"/>
    <cellStyle name="Comma 6 2 4 5" xfId="3937" xr:uid="{00000000-0005-0000-0000-000060260000}"/>
    <cellStyle name="Comma 6 2 4 5 2" xfId="11088" xr:uid="{00000000-0005-0000-0000-000061260000}"/>
    <cellStyle name="Comma 6 2 4 6" xfId="11079" xr:uid="{00000000-0005-0000-0000-000062260000}"/>
    <cellStyle name="Comma 6 2 4 7" xfId="6730" xr:uid="{00000000-0005-0000-0000-000063260000}"/>
    <cellStyle name="Comma 6 2 5" xfId="3938" xr:uid="{00000000-0005-0000-0000-000064260000}"/>
    <cellStyle name="Comma 6 2 5 2" xfId="3939" xr:uid="{00000000-0005-0000-0000-000065260000}"/>
    <cellStyle name="Comma 6 2 5 2 2" xfId="3940" xr:uid="{00000000-0005-0000-0000-000066260000}"/>
    <cellStyle name="Comma 6 2 5 2 2 2" xfId="3941" xr:uid="{00000000-0005-0000-0000-000067260000}"/>
    <cellStyle name="Comma 6 2 5 2 2 2 2" xfId="11092" xr:uid="{00000000-0005-0000-0000-000068260000}"/>
    <cellStyle name="Comma 6 2 5 2 2 3" xfId="11091" xr:uid="{00000000-0005-0000-0000-000069260000}"/>
    <cellStyle name="Comma 6 2 5 2 2 4" xfId="6737" xr:uid="{00000000-0005-0000-0000-00006A260000}"/>
    <cellStyle name="Comma 6 2 5 2 3" xfId="3942" xr:uid="{00000000-0005-0000-0000-00006B260000}"/>
    <cellStyle name="Comma 6 2 5 2 3 2" xfId="11093" xr:uid="{00000000-0005-0000-0000-00006C260000}"/>
    <cellStyle name="Comma 6 2 5 2 4" xfId="11090" xr:uid="{00000000-0005-0000-0000-00006D260000}"/>
    <cellStyle name="Comma 6 2 5 2 5" xfId="6736" xr:uid="{00000000-0005-0000-0000-00006E260000}"/>
    <cellStyle name="Comma 6 2 5 3" xfId="3943" xr:uid="{00000000-0005-0000-0000-00006F260000}"/>
    <cellStyle name="Comma 6 2 5 3 2" xfId="3944" xr:uid="{00000000-0005-0000-0000-000070260000}"/>
    <cellStyle name="Comma 6 2 5 3 2 2" xfId="11095" xr:uid="{00000000-0005-0000-0000-000071260000}"/>
    <cellStyle name="Comma 6 2 5 3 3" xfId="11094" xr:uid="{00000000-0005-0000-0000-000072260000}"/>
    <cellStyle name="Comma 6 2 5 3 4" xfId="6738" xr:uid="{00000000-0005-0000-0000-000073260000}"/>
    <cellStyle name="Comma 6 2 5 4" xfId="3945" xr:uid="{00000000-0005-0000-0000-000074260000}"/>
    <cellStyle name="Comma 6 2 5 4 2" xfId="3946" xr:uid="{00000000-0005-0000-0000-000075260000}"/>
    <cellStyle name="Comma 6 2 5 4 2 2" xfId="11097" xr:uid="{00000000-0005-0000-0000-000076260000}"/>
    <cellStyle name="Comma 6 2 5 4 3" xfId="11096" xr:uid="{00000000-0005-0000-0000-000077260000}"/>
    <cellStyle name="Comma 6 2 5 4 4" xfId="6739" xr:uid="{00000000-0005-0000-0000-000078260000}"/>
    <cellStyle name="Comma 6 2 5 5" xfId="3947" xr:uid="{00000000-0005-0000-0000-000079260000}"/>
    <cellStyle name="Comma 6 2 5 5 2" xfId="11098" xr:uid="{00000000-0005-0000-0000-00007A260000}"/>
    <cellStyle name="Comma 6 2 5 6" xfId="11089" xr:uid="{00000000-0005-0000-0000-00007B260000}"/>
    <cellStyle name="Comma 6 2 5 7" xfId="6735" xr:uid="{00000000-0005-0000-0000-00007C260000}"/>
    <cellStyle name="Comma 6 2 6" xfId="3948" xr:uid="{00000000-0005-0000-0000-00007D260000}"/>
    <cellStyle name="Comma 6 2 6 2" xfId="3949" xr:uid="{00000000-0005-0000-0000-00007E260000}"/>
    <cellStyle name="Comma 6 2 6 2 2" xfId="3950" xr:uid="{00000000-0005-0000-0000-00007F260000}"/>
    <cellStyle name="Comma 6 2 6 2 2 2" xfId="3951" xr:uid="{00000000-0005-0000-0000-000080260000}"/>
    <cellStyle name="Comma 6 2 6 2 2 2 2" xfId="11102" xr:uid="{00000000-0005-0000-0000-000081260000}"/>
    <cellStyle name="Comma 6 2 6 2 2 3" xfId="11101" xr:uid="{00000000-0005-0000-0000-000082260000}"/>
    <cellStyle name="Comma 6 2 6 2 2 4" xfId="6742" xr:uid="{00000000-0005-0000-0000-000083260000}"/>
    <cellStyle name="Comma 6 2 6 2 3" xfId="3952" xr:uid="{00000000-0005-0000-0000-000084260000}"/>
    <cellStyle name="Comma 6 2 6 2 3 2" xfId="11103" xr:uid="{00000000-0005-0000-0000-000085260000}"/>
    <cellStyle name="Comma 6 2 6 2 4" xfId="11100" xr:uid="{00000000-0005-0000-0000-000086260000}"/>
    <cellStyle name="Comma 6 2 6 2 5" xfId="6741" xr:uid="{00000000-0005-0000-0000-000087260000}"/>
    <cellStyle name="Comma 6 2 6 3" xfId="3953" xr:uid="{00000000-0005-0000-0000-000088260000}"/>
    <cellStyle name="Comma 6 2 6 3 2" xfId="3954" xr:uid="{00000000-0005-0000-0000-000089260000}"/>
    <cellStyle name="Comma 6 2 6 3 2 2" xfId="11105" xr:uid="{00000000-0005-0000-0000-00008A260000}"/>
    <cellStyle name="Comma 6 2 6 3 3" xfId="11104" xr:uid="{00000000-0005-0000-0000-00008B260000}"/>
    <cellStyle name="Comma 6 2 6 3 4" xfId="6743" xr:uid="{00000000-0005-0000-0000-00008C260000}"/>
    <cellStyle name="Comma 6 2 6 4" xfId="3955" xr:uid="{00000000-0005-0000-0000-00008D260000}"/>
    <cellStyle name="Comma 6 2 6 4 2" xfId="3956" xr:uid="{00000000-0005-0000-0000-00008E260000}"/>
    <cellStyle name="Comma 6 2 6 4 2 2" xfId="11107" xr:uid="{00000000-0005-0000-0000-00008F260000}"/>
    <cellStyle name="Comma 6 2 6 4 3" xfId="11106" xr:uid="{00000000-0005-0000-0000-000090260000}"/>
    <cellStyle name="Comma 6 2 6 4 4" xfId="6744" xr:uid="{00000000-0005-0000-0000-000091260000}"/>
    <cellStyle name="Comma 6 2 6 5" xfId="3957" xr:uid="{00000000-0005-0000-0000-000092260000}"/>
    <cellStyle name="Comma 6 2 6 5 2" xfId="11108" xr:uid="{00000000-0005-0000-0000-000093260000}"/>
    <cellStyle name="Comma 6 2 6 6" xfId="11099" xr:uid="{00000000-0005-0000-0000-000094260000}"/>
    <cellStyle name="Comma 6 2 6 7" xfId="6740" xr:uid="{00000000-0005-0000-0000-000095260000}"/>
    <cellStyle name="Comma 6 2 7" xfId="3958" xr:uid="{00000000-0005-0000-0000-000096260000}"/>
    <cellStyle name="Comma 6 2 7 2" xfId="3959" xr:uid="{00000000-0005-0000-0000-000097260000}"/>
    <cellStyle name="Comma 6 2 7 2 2" xfId="3960" xr:uid="{00000000-0005-0000-0000-000098260000}"/>
    <cellStyle name="Comma 6 2 7 2 2 2" xfId="11111" xr:uid="{00000000-0005-0000-0000-000099260000}"/>
    <cellStyle name="Comma 6 2 7 2 3" xfId="11110" xr:uid="{00000000-0005-0000-0000-00009A260000}"/>
    <cellStyle name="Comma 6 2 7 2 4" xfId="6746" xr:uid="{00000000-0005-0000-0000-00009B260000}"/>
    <cellStyle name="Comma 6 2 7 3" xfId="3961" xr:uid="{00000000-0005-0000-0000-00009C260000}"/>
    <cellStyle name="Comma 6 2 7 3 2" xfId="3962" xr:uid="{00000000-0005-0000-0000-00009D260000}"/>
    <cellStyle name="Comma 6 2 7 3 2 2" xfId="11113" xr:uid="{00000000-0005-0000-0000-00009E260000}"/>
    <cellStyle name="Comma 6 2 7 3 3" xfId="11112" xr:uid="{00000000-0005-0000-0000-00009F260000}"/>
    <cellStyle name="Comma 6 2 7 3 4" xfId="6747" xr:uid="{00000000-0005-0000-0000-0000A0260000}"/>
    <cellStyle name="Comma 6 2 7 4" xfId="3963" xr:uid="{00000000-0005-0000-0000-0000A1260000}"/>
    <cellStyle name="Comma 6 2 7 4 2" xfId="11114" xr:uid="{00000000-0005-0000-0000-0000A2260000}"/>
    <cellStyle name="Comma 6 2 7 5" xfId="11109" xr:uid="{00000000-0005-0000-0000-0000A3260000}"/>
    <cellStyle name="Comma 6 2 7 6" xfId="6745" xr:uid="{00000000-0005-0000-0000-0000A4260000}"/>
    <cellStyle name="Comma 6 2 8" xfId="3964" xr:uid="{00000000-0005-0000-0000-0000A5260000}"/>
    <cellStyle name="Comma 6 2 8 2" xfId="3965" xr:uid="{00000000-0005-0000-0000-0000A6260000}"/>
    <cellStyle name="Comma 6 2 8 2 2" xfId="3966" xr:uid="{00000000-0005-0000-0000-0000A7260000}"/>
    <cellStyle name="Comma 6 2 8 2 2 2" xfId="11117" xr:uid="{00000000-0005-0000-0000-0000A8260000}"/>
    <cellStyle name="Comma 6 2 8 2 3" xfId="11116" xr:uid="{00000000-0005-0000-0000-0000A9260000}"/>
    <cellStyle name="Comma 6 2 8 2 4" xfId="6749" xr:uid="{00000000-0005-0000-0000-0000AA260000}"/>
    <cellStyle name="Comma 6 2 8 3" xfId="3967" xr:uid="{00000000-0005-0000-0000-0000AB260000}"/>
    <cellStyle name="Comma 6 2 8 3 2" xfId="11118" xr:uid="{00000000-0005-0000-0000-0000AC260000}"/>
    <cellStyle name="Comma 6 2 8 4" xfId="11115" xr:uid="{00000000-0005-0000-0000-0000AD260000}"/>
    <cellStyle name="Comma 6 2 8 5" xfId="6748" xr:uid="{00000000-0005-0000-0000-0000AE260000}"/>
    <cellStyle name="Comma 6 2 9" xfId="3968" xr:uid="{00000000-0005-0000-0000-0000AF260000}"/>
    <cellStyle name="Comma 6 2 9 2" xfId="3969" xr:uid="{00000000-0005-0000-0000-0000B0260000}"/>
    <cellStyle name="Comma 6 2 9 2 2" xfId="11120" xr:uid="{00000000-0005-0000-0000-0000B1260000}"/>
    <cellStyle name="Comma 6 2 9 3" xfId="11119" xr:uid="{00000000-0005-0000-0000-0000B2260000}"/>
    <cellStyle name="Comma 6 2 9 4" xfId="6750" xr:uid="{00000000-0005-0000-0000-0000B3260000}"/>
    <cellStyle name="Comma 6 3" xfId="3970" xr:uid="{00000000-0005-0000-0000-0000B4260000}"/>
    <cellStyle name="Comma 6 3 10" xfId="3971" xr:uid="{00000000-0005-0000-0000-0000B5260000}"/>
    <cellStyle name="Comma 6 3 10 2" xfId="3972" xr:uid="{00000000-0005-0000-0000-0000B6260000}"/>
    <cellStyle name="Comma 6 3 10 2 2" xfId="11123" xr:uid="{00000000-0005-0000-0000-0000B7260000}"/>
    <cellStyle name="Comma 6 3 10 3" xfId="11122" xr:uid="{00000000-0005-0000-0000-0000B8260000}"/>
    <cellStyle name="Comma 6 3 10 4" xfId="6752" xr:uid="{00000000-0005-0000-0000-0000B9260000}"/>
    <cellStyle name="Comma 6 3 11" xfId="3973" xr:uid="{00000000-0005-0000-0000-0000BA260000}"/>
    <cellStyle name="Comma 6 3 11 2" xfId="11124" xr:uid="{00000000-0005-0000-0000-0000BB260000}"/>
    <cellStyle name="Comma 6 3 12" xfId="11121" xr:uid="{00000000-0005-0000-0000-0000BC260000}"/>
    <cellStyle name="Comma 6 3 13" xfId="6751" xr:uid="{00000000-0005-0000-0000-0000BD260000}"/>
    <cellStyle name="Comma 6 3 2" xfId="3974" xr:uid="{00000000-0005-0000-0000-0000BE260000}"/>
    <cellStyle name="Comma 6 3 2 10" xfId="3975" xr:uid="{00000000-0005-0000-0000-0000BF260000}"/>
    <cellStyle name="Comma 6 3 2 10 2" xfId="11126" xr:uid="{00000000-0005-0000-0000-0000C0260000}"/>
    <cellStyle name="Comma 6 3 2 11" xfId="11125" xr:uid="{00000000-0005-0000-0000-0000C1260000}"/>
    <cellStyle name="Comma 6 3 2 12" xfId="6753" xr:uid="{00000000-0005-0000-0000-0000C2260000}"/>
    <cellStyle name="Comma 6 3 2 2" xfId="3976" xr:uid="{00000000-0005-0000-0000-0000C3260000}"/>
    <cellStyle name="Comma 6 3 2 2 2" xfId="3977" xr:uid="{00000000-0005-0000-0000-0000C4260000}"/>
    <cellStyle name="Comma 6 3 2 2 2 2" xfId="3978" xr:uid="{00000000-0005-0000-0000-0000C5260000}"/>
    <cellStyle name="Comma 6 3 2 2 2 2 2" xfId="3979" xr:uid="{00000000-0005-0000-0000-0000C6260000}"/>
    <cellStyle name="Comma 6 3 2 2 2 2 2 2" xfId="11130" xr:uid="{00000000-0005-0000-0000-0000C7260000}"/>
    <cellStyle name="Comma 6 3 2 2 2 2 3" xfId="11129" xr:uid="{00000000-0005-0000-0000-0000C8260000}"/>
    <cellStyle name="Comma 6 3 2 2 2 2 4" xfId="6756" xr:uid="{00000000-0005-0000-0000-0000C9260000}"/>
    <cellStyle name="Comma 6 3 2 2 2 3" xfId="3980" xr:uid="{00000000-0005-0000-0000-0000CA260000}"/>
    <cellStyle name="Comma 6 3 2 2 2 3 2" xfId="11131" xr:uid="{00000000-0005-0000-0000-0000CB260000}"/>
    <cellStyle name="Comma 6 3 2 2 2 4" xfId="11128" xr:uid="{00000000-0005-0000-0000-0000CC260000}"/>
    <cellStyle name="Comma 6 3 2 2 2 5" xfId="6755" xr:uid="{00000000-0005-0000-0000-0000CD260000}"/>
    <cellStyle name="Comma 6 3 2 2 3" xfId="3981" xr:uid="{00000000-0005-0000-0000-0000CE260000}"/>
    <cellStyle name="Comma 6 3 2 2 3 2" xfId="3982" xr:uid="{00000000-0005-0000-0000-0000CF260000}"/>
    <cellStyle name="Comma 6 3 2 2 3 2 2" xfId="11133" xr:uid="{00000000-0005-0000-0000-0000D0260000}"/>
    <cellStyle name="Comma 6 3 2 2 3 3" xfId="11132" xr:uid="{00000000-0005-0000-0000-0000D1260000}"/>
    <cellStyle name="Comma 6 3 2 2 3 4" xfId="6757" xr:uid="{00000000-0005-0000-0000-0000D2260000}"/>
    <cellStyle name="Comma 6 3 2 2 4" xfId="3983" xr:uid="{00000000-0005-0000-0000-0000D3260000}"/>
    <cellStyle name="Comma 6 3 2 2 4 2" xfId="3984" xr:uid="{00000000-0005-0000-0000-0000D4260000}"/>
    <cellStyle name="Comma 6 3 2 2 4 2 2" xfId="11135" xr:uid="{00000000-0005-0000-0000-0000D5260000}"/>
    <cellStyle name="Comma 6 3 2 2 4 3" xfId="11134" xr:uid="{00000000-0005-0000-0000-0000D6260000}"/>
    <cellStyle name="Comma 6 3 2 2 4 4" xfId="6758" xr:uid="{00000000-0005-0000-0000-0000D7260000}"/>
    <cellStyle name="Comma 6 3 2 2 5" xfId="3985" xr:uid="{00000000-0005-0000-0000-0000D8260000}"/>
    <cellStyle name="Comma 6 3 2 2 5 2" xfId="11136" xr:uid="{00000000-0005-0000-0000-0000D9260000}"/>
    <cellStyle name="Comma 6 3 2 2 6" xfId="11127" xr:uid="{00000000-0005-0000-0000-0000DA260000}"/>
    <cellStyle name="Comma 6 3 2 2 7" xfId="6754" xr:uid="{00000000-0005-0000-0000-0000DB260000}"/>
    <cellStyle name="Comma 6 3 2 3" xfId="3986" xr:uid="{00000000-0005-0000-0000-0000DC260000}"/>
    <cellStyle name="Comma 6 3 2 3 2" xfId="3987" xr:uid="{00000000-0005-0000-0000-0000DD260000}"/>
    <cellStyle name="Comma 6 3 2 3 2 2" xfId="3988" xr:uid="{00000000-0005-0000-0000-0000DE260000}"/>
    <cellStyle name="Comma 6 3 2 3 2 2 2" xfId="3989" xr:uid="{00000000-0005-0000-0000-0000DF260000}"/>
    <cellStyle name="Comma 6 3 2 3 2 2 2 2" xfId="11140" xr:uid="{00000000-0005-0000-0000-0000E0260000}"/>
    <cellStyle name="Comma 6 3 2 3 2 2 3" xfId="11139" xr:uid="{00000000-0005-0000-0000-0000E1260000}"/>
    <cellStyle name="Comma 6 3 2 3 2 2 4" xfId="6761" xr:uid="{00000000-0005-0000-0000-0000E2260000}"/>
    <cellStyle name="Comma 6 3 2 3 2 3" xfId="3990" xr:uid="{00000000-0005-0000-0000-0000E3260000}"/>
    <cellStyle name="Comma 6 3 2 3 2 3 2" xfId="11141" xr:uid="{00000000-0005-0000-0000-0000E4260000}"/>
    <cellStyle name="Comma 6 3 2 3 2 4" xfId="11138" xr:uid="{00000000-0005-0000-0000-0000E5260000}"/>
    <cellStyle name="Comma 6 3 2 3 2 5" xfId="6760" xr:uid="{00000000-0005-0000-0000-0000E6260000}"/>
    <cellStyle name="Comma 6 3 2 3 3" xfId="3991" xr:uid="{00000000-0005-0000-0000-0000E7260000}"/>
    <cellStyle name="Comma 6 3 2 3 3 2" xfId="3992" xr:uid="{00000000-0005-0000-0000-0000E8260000}"/>
    <cellStyle name="Comma 6 3 2 3 3 2 2" xfId="11143" xr:uid="{00000000-0005-0000-0000-0000E9260000}"/>
    <cellStyle name="Comma 6 3 2 3 3 3" xfId="11142" xr:uid="{00000000-0005-0000-0000-0000EA260000}"/>
    <cellStyle name="Comma 6 3 2 3 3 4" xfId="6762" xr:uid="{00000000-0005-0000-0000-0000EB260000}"/>
    <cellStyle name="Comma 6 3 2 3 4" xfId="3993" xr:uid="{00000000-0005-0000-0000-0000EC260000}"/>
    <cellStyle name="Comma 6 3 2 3 4 2" xfId="3994" xr:uid="{00000000-0005-0000-0000-0000ED260000}"/>
    <cellStyle name="Comma 6 3 2 3 4 2 2" xfId="11145" xr:uid="{00000000-0005-0000-0000-0000EE260000}"/>
    <cellStyle name="Comma 6 3 2 3 4 3" xfId="11144" xr:uid="{00000000-0005-0000-0000-0000EF260000}"/>
    <cellStyle name="Comma 6 3 2 3 4 4" xfId="6763" xr:uid="{00000000-0005-0000-0000-0000F0260000}"/>
    <cellStyle name="Comma 6 3 2 3 5" xfId="3995" xr:uid="{00000000-0005-0000-0000-0000F1260000}"/>
    <cellStyle name="Comma 6 3 2 3 5 2" xfId="11146" xr:uid="{00000000-0005-0000-0000-0000F2260000}"/>
    <cellStyle name="Comma 6 3 2 3 6" xfId="11137" xr:uid="{00000000-0005-0000-0000-0000F3260000}"/>
    <cellStyle name="Comma 6 3 2 3 7" xfId="6759" xr:uid="{00000000-0005-0000-0000-0000F4260000}"/>
    <cellStyle name="Comma 6 3 2 4" xfId="3996" xr:uid="{00000000-0005-0000-0000-0000F5260000}"/>
    <cellStyle name="Comma 6 3 2 4 2" xfId="3997" xr:uid="{00000000-0005-0000-0000-0000F6260000}"/>
    <cellStyle name="Comma 6 3 2 4 2 2" xfId="3998" xr:uid="{00000000-0005-0000-0000-0000F7260000}"/>
    <cellStyle name="Comma 6 3 2 4 2 2 2" xfId="3999" xr:uid="{00000000-0005-0000-0000-0000F8260000}"/>
    <cellStyle name="Comma 6 3 2 4 2 2 2 2" xfId="11150" xr:uid="{00000000-0005-0000-0000-0000F9260000}"/>
    <cellStyle name="Comma 6 3 2 4 2 2 3" xfId="11149" xr:uid="{00000000-0005-0000-0000-0000FA260000}"/>
    <cellStyle name="Comma 6 3 2 4 2 2 4" xfId="6766" xr:uid="{00000000-0005-0000-0000-0000FB260000}"/>
    <cellStyle name="Comma 6 3 2 4 2 3" xfId="4000" xr:uid="{00000000-0005-0000-0000-0000FC260000}"/>
    <cellStyle name="Comma 6 3 2 4 2 3 2" xfId="11151" xr:uid="{00000000-0005-0000-0000-0000FD260000}"/>
    <cellStyle name="Comma 6 3 2 4 2 4" xfId="11148" xr:uid="{00000000-0005-0000-0000-0000FE260000}"/>
    <cellStyle name="Comma 6 3 2 4 2 5" xfId="6765" xr:uid="{00000000-0005-0000-0000-0000FF260000}"/>
    <cellStyle name="Comma 6 3 2 4 3" xfId="4001" xr:uid="{00000000-0005-0000-0000-000000270000}"/>
    <cellStyle name="Comma 6 3 2 4 3 2" xfId="4002" xr:uid="{00000000-0005-0000-0000-000001270000}"/>
    <cellStyle name="Comma 6 3 2 4 3 2 2" xfId="11153" xr:uid="{00000000-0005-0000-0000-000002270000}"/>
    <cellStyle name="Comma 6 3 2 4 3 3" xfId="11152" xr:uid="{00000000-0005-0000-0000-000003270000}"/>
    <cellStyle name="Comma 6 3 2 4 3 4" xfId="6767" xr:uid="{00000000-0005-0000-0000-000004270000}"/>
    <cellStyle name="Comma 6 3 2 4 4" xfId="4003" xr:uid="{00000000-0005-0000-0000-000005270000}"/>
    <cellStyle name="Comma 6 3 2 4 4 2" xfId="4004" xr:uid="{00000000-0005-0000-0000-000006270000}"/>
    <cellStyle name="Comma 6 3 2 4 4 2 2" xfId="11155" xr:uid="{00000000-0005-0000-0000-000007270000}"/>
    <cellStyle name="Comma 6 3 2 4 4 3" xfId="11154" xr:uid="{00000000-0005-0000-0000-000008270000}"/>
    <cellStyle name="Comma 6 3 2 4 4 4" xfId="6768" xr:uid="{00000000-0005-0000-0000-000009270000}"/>
    <cellStyle name="Comma 6 3 2 4 5" xfId="4005" xr:uid="{00000000-0005-0000-0000-00000A270000}"/>
    <cellStyle name="Comma 6 3 2 4 5 2" xfId="11156" xr:uid="{00000000-0005-0000-0000-00000B270000}"/>
    <cellStyle name="Comma 6 3 2 4 6" xfId="11147" xr:uid="{00000000-0005-0000-0000-00000C270000}"/>
    <cellStyle name="Comma 6 3 2 4 7" xfId="6764" xr:uid="{00000000-0005-0000-0000-00000D270000}"/>
    <cellStyle name="Comma 6 3 2 5" xfId="4006" xr:uid="{00000000-0005-0000-0000-00000E270000}"/>
    <cellStyle name="Comma 6 3 2 5 2" xfId="4007" xr:uid="{00000000-0005-0000-0000-00000F270000}"/>
    <cellStyle name="Comma 6 3 2 5 2 2" xfId="4008" xr:uid="{00000000-0005-0000-0000-000010270000}"/>
    <cellStyle name="Comma 6 3 2 5 2 2 2" xfId="4009" xr:uid="{00000000-0005-0000-0000-000011270000}"/>
    <cellStyle name="Comma 6 3 2 5 2 2 2 2" xfId="11160" xr:uid="{00000000-0005-0000-0000-000012270000}"/>
    <cellStyle name="Comma 6 3 2 5 2 2 3" xfId="11159" xr:uid="{00000000-0005-0000-0000-000013270000}"/>
    <cellStyle name="Comma 6 3 2 5 2 2 4" xfId="6771" xr:uid="{00000000-0005-0000-0000-000014270000}"/>
    <cellStyle name="Comma 6 3 2 5 2 3" xfId="4010" xr:uid="{00000000-0005-0000-0000-000015270000}"/>
    <cellStyle name="Comma 6 3 2 5 2 3 2" xfId="11161" xr:uid="{00000000-0005-0000-0000-000016270000}"/>
    <cellStyle name="Comma 6 3 2 5 2 4" xfId="11158" xr:uid="{00000000-0005-0000-0000-000017270000}"/>
    <cellStyle name="Comma 6 3 2 5 2 5" xfId="6770" xr:uid="{00000000-0005-0000-0000-000018270000}"/>
    <cellStyle name="Comma 6 3 2 5 3" xfId="4011" xr:uid="{00000000-0005-0000-0000-000019270000}"/>
    <cellStyle name="Comma 6 3 2 5 3 2" xfId="4012" xr:uid="{00000000-0005-0000-0000-00001A270000}"/>
    <cellStyle name="Comma 6 3 2 5 3 2 2" xfId="11163" xr:uid="{00000000-0005-0000-0000-00001B270000}"/>
    <cellStyle name="Comma 6 3 2 5 3 3" xfId="11162" xr:uid="{00000000-0005-0000-0000-00001C270000}"/>
    <cellStyle name="Comma 6 3 2 5 3 4" xfId="6772" xr:uid="{00000000-0005-0000-0000-00001D270000}"/>
    <cellStyle name="Comma 6 3 2 5 4" xfId="4013" xr:uid="{00000000-0005-0000-0000-00001E270000}"/>
    <cellStyle name="Comma 6 3 2 5 4 2" xfId="4014" xr:uid="{00000000-0005-0000-0000-00001F270000}"/>
    <cellStyle name="Comma 6 3 2 5 4 2 2" xfId="11165" xr:uid="{00000000-0005-0000-0000-000020270000}"/>
    <cellStyle name="Comma 6 3 2 5 4 3" xfId="11164" xr:uid="{00000000-0005-0000-0000-000021270000}"/>
    <cellStyle name="Comma 6 3 2 5 4 4" xfId="6773" xr:uid="{00000000-0005-0000-0000-000022270000}"/>
    <cellStyle name="Comma 6 3 2 5 5" xfId="4015" xr:uid="{00000000-0005-0000-0000-000023270000}"/>
    <cellStyle name="Comma 6 3 2 5 5 2" xfId="11166" xr:uid="{00000000-0005-0000-0000-000024270000}"/>
    <cellStyle name="Comma 6 3 2 5 6" xfId="11157" xr:uid="{00000000-0005-0000-0000-000025270000}"/>
    <cellStyle name="Comma 6 3 2 5 7" xfId="6769" xr:uid="{00000000-0005-0000-0000-000026270000}"/>
    <cellStyle name="Comma 6 3 2 6" xfId="4016" xr:uid="{00000000-0005-0000-0000-000027270000}"/>
    <cellStyle name="Comma 6 3 2 6 2" xfId="4017" xr:uid="{00000000-0005-0000-0000-000028270000}"/>
    <cellStyle name="Comma 6 3 2 6 2 2" xfId="4018" xr:uid="{00000000-0005-0000-0000-000029270000}"/>
    <cellStyle name="Comma 6 3 2 6 2 2 2" xfId="11169" xr:uid="{00000000-0005-0000-0000-00002A270000}"/>
    <cellStyle name="Comma 6 3 2 6 2 3" xfId="11168" xr:uid="{00000000-0005-0000-0000-00002B270000}"/>
    <cellStyle name="Comma 6 3 2 6 2 4" xfId="6775" xr:uid="{00000000-0005-0000-0000-00002C270000}"/>
    <cellStyle name="Comma 6 3 2 6 3" xfId="4019" xr:uid="{00000000-0005-0000-0000-00002D270000}"/>
    <cellStyle name="Comma 6 3 2 6 3 2" xfId="4020" xr:uid="{00000000-0005-0000-0000-00002E270000}"/>
    <cellStyle name="Comma 6 3 2 6 3 2 2" xfId="11171" xr:uid="{00000000-0005-0000-0000-00002F270000}"/>
    <cellStyle name="Comma 6 3 2 6 3 3" xfId="11170" xr:uid="{00000000-0005-0000-0000-000030270000}"/>
    <cellStyle name="Comma 6 3 2 6 3 4" xfId="6776" xr:uid="{00000000-0005-0000-0000-000031270000}"/>
    <cellStyle name="Comma 6 3 2 6 4" xfId="4021" xr:uid="{00000000-0005-0000-0000-000032270000}"/>
    <cellStyle name="Comma 6 3 2 6 4 2" xfId="11172" xr:uid="{00000000-0005-0000-0000-000033270000}"/>
    <cellStyle name="Comma 6 3 2 6 5" xfId="11167" xr:uid="{00000000-0005-0000-0000-000034270000}"/>
    <cellStyle name="Comma 6 3 2 6 6" xfId="6774" xr:uid="{00000000-0005-0000-0000-000035270000}"/>
    <cellStyle name="Comma 6 3 2 7" xfId="4022" xr:uid="{00000000-0005-0000-0000-000036270000}"/>
    <cellStyle name="Comma 6 3 2 7 2" xfId="4023" xr:uid="{00000000-0005-0000-0000-000037270000}"/>
    <cellStyle name="Comma 6 3 2 7 2 2" xfId="4024" xr:uid="{00000000-0005-0000-0000-000038270000}"/>
    <cellStyle name="Comma 6 3 2 7 2 2 2" xfId="12306" xr:uid="{00000000-0005-0000-0000-000039270000}"/>
    <cellStyle name="Comma 6 3 2 7 2 2 3" xfId="11175" xr:uid="{00000000-0005-0000-0000-00003A270000}"/>
    <cellStyle name="Comma 6 3 2 7 2 3" xfId="11174" xr:uid="{00000000-0005-0000-0000-00003B270000}"/>
    <cellStyle name="Comma 6 3 2 7 2 4" xfId="12307" xr:uid="{00000000-0005-0000-0000-00003C270000}"/>
    <cellStyle name="Comma 6 3 2 7 2 5" xfId="6778" xr:uid="{00000000-0005-0000-0000-00003D270000}"/>
    <cellStyle name="Comma 6 3 2 7 3" xfId="4025" xr:uid="{00000000-0005-0000-0000-00003E270000}"/>
    <cellStyle name="Comma 6 3 2 7 3 2" xfId="12305" xr:uid="{00000000-0005-0000-0000-00003F270000}"/>
    <cellStyle name="Comma 6 3 2 7 3 3" xfId="11176" xr:uid="{00000000-0005-0000-0000-000040270000}"/>
    <cellStyle name="Comma 6 3 2 7 4" xfId="11173" xr:uid="{00000000-0005-0000-0000-000041270000}"/>
    <cellStyle name="Comma 6 3 2 7 5" xfId="12308" xr:uid="{00000000-0005-0000-0000-000042270000}"/>
    <cellStyle name="Comma 6 3 2 7 6" xfId="6777" xr:uid="{00000000-0005-0000-0000-000043270000}"/>
    <cellStyle name="Comma 6 3 2 8" xfId="4026" xr:uid="{00000000-0005-0000-0000-000044270000}"/>
    <cellStyle name="Comma 6 3 2 8 2" xfId="4027" xr:uid="{00000000-0005-0000-0000-000045270000}"/>
    <cellStyle name="Comma 6 3 2 8 2 2" xfId="12303" xr:uid="{00000000-0005-0000-0000-000046270000}"/>
    <cellStyle name="Comma 6 3 2 8 2 3" xfId="11178" xr:uid="{00000000-0005-0000-0000-000047270000}"/>
    <cellStyle name="Comma 6 3 2 8 3" xfId="11177" xr:uid="{00000000-0005-0000-0000-000048270000}"/>
    <cellStyle name="Comma 6 3 2 8 4" xfId="12304" xr:uid="{00000000-0005-0000-0000-000049270000}"/>
    <cellStyle name="Comma 6 3 2 8 5" xfId="6779" xr:uid="{00000000-0005-0000-0000-00004A270000}"/>
    <cellStyle name="Comma 6 3 2 9" xfId="4028" xr:uid="{00000000-0005-0000-0000-00004B270000}"/>
    <cellStyle name="Comma 6 3 2 9 2" xfId="4029" xr:uid="{00000000-0005-0000-0000-00004C270000}"/>
    <cellStyle name="Comma 6 3 2 9 2 2" xfId="12301" xr:uid="{00000000-0005-0000-0000-00004D270000}"/>
    <cellStyle name="Comma 6 3 2 9 2 3" xfId="11180" xr:uid="{00000000-0005-0000-0000-00004E270000}"/>
    <cellStyle name="Comma 6 3 2 9 3" xfId="11179" xr:uid="{00000000-0005-0000-0000-00004F270000}"/>
    <cellStyle name="Comma 6 3 2 9 4" xfId="12302" xr:uid="{00000000-0005-0000-0000-000050270000}"/>
    <cellStyle name="Comma 6 3 2 9 5" xfId="6780" xr:uid="{00000000-0005-0000-0000-000051270000}"/>
    <cellStyle name="Comma 6 3 3" xfId="4030" xr:uid="{00000000-0005-0000-0000-000052270000}"/>
    <cellStyle name="Comma 6 3 3 2" xfId="4031" xr:uid="{00000000-0005-0000-0000-000053270000}"/>
    <cellStyle name="Comma 6 3 3 2 2" xfId="4032" xr:uid="{00000000-0005-0000-0000-000054270000}"/>
    <cellStyle name="Comma 6 3 3 2 2 2" xfId="4033" xr:uid="{00000000-0005-0000-0000-000055270000}"/>
    <cellStyle name="Comma 6 3 3 2 2 2 2" xfId="12297" xr:uid="{00000000-0005-0000-0000-000056270000}"/>
    <cellStyle name="Comma 6 3 3 2 2 3" xfId="11183" xr:uid="{00000000-0005-0000-0000-000057270000}"/>
    <cellStyle name="Comma 6 3 3 2 2 4" xfId="12298" xr:uid="{00000000-0005-0000-0000-000058270000}"/>
    <cellStyle name="Comma 6 3 3 2 2 5" xfId="6783" xr:uid="{00000000-0005-0000-0000-000059270000}"/>
    <cellStyle name="Comma 6 3 3 2 3" xfId="4034" xr:uid="{00000000-0005-0000-0000-00005A270000}"/>
    <cellStyle name="Comma 6 3 3 2 3 2" xfId="12296" xr:uid="{00000000-0005-0000-0000-00005B270000}"/>
    <cellStyle name="Comma 6 3 3 2 4" xfId="11182" xr:uid="{00000000-0005-0000-0000-00005C270000}"/>
    <cellStyle name="Comma 6 3 3 2 5" xfId="12299" xr:uid="{00000000-0005-0000-0000-00005D270000}"/>
    <cellStyle name="Comma 6 3 3 2 6" xfId="6782" xr:uid="{00000000-0005-0000-0000-00005E270000}"/>
    <cellStyle name="Comma 6 3 3 3" xfId="4035" xr:uid="{00000000-0005-0000-0000-00005F270000}"/>
    <cellStyle name="Comma 6 3 3 3 2" xfId="4036" xr:uid="{00000000-0005-0000-0000-000060270000}"/>
    <cellStyle name="Comma 6 3 3 3 2 2" xfId="12294" xr:uid="{00000000-0005-0000-0000-000061270000}"/>
    <cellStyle name="Comma 6 3 3 3 3" xfId="11184" xr:uid="{00000000-0005-0000-0000-000062270000}"/>
    <cellStyle name="Comma 6 3 3 3 4" xfId="12295" xr:uid="{00000000-0005-0000-0000-000063270000}"/>
    <cellStyle name="Comma 6 3 3 3 5" xfId="6784" xr:uid="{00000000-0005-0000-0000-000064270000}"/>
    <cellStyle name="Comma 6 3 3 4" xfId="4037" xr:uid="{00000000-0005-0000-0000-000065270000}"/>
    <cellStyle name="Comma 6 3 3 4 2" xfId="4038" xr:uid="{00000000-0005-0000-0000-000066270000}"/>
    <cellStyle name="Comma 6 3 3 4 2 2" xfId="12292" xr:uid="{00000000-0005-0000-0000-000067270000}"/>
    <cellStyle name="Comma 6 3 3 4 3" xfId="11185" xr:uid="{00000000-0005-0000-0000-000068270000}"/>
    <cellStyle name="Comma 6 3 3 4 4" xfId="12293" xr:uid="{00000000-0005-0000-0000-000069270000}"/>
    <cellStyle name="Comma 6 3 3 4 5" xfId="6785" xr:uid="{00000000-0005-0000-0000-00006A270000}"/>
    <cellStyle name="Comma 6 3 3 5" xfId="4039" xr:uid="{00000000-0005-0000-0000-00006B270000}"/>
    <cellStyle name="Comma 6 3 3 5 2" xfId="12291" xr:uid="{00000000-0005-0000-0000-00006C270000}"/>
    <cellStyle name="Comma 6 3 3 6" xfId="11181" xr:uid="{00000000-0005-0000-0000-00006D270000}"/>
    <cellStyle name="Comma 6 3 3 7" xfId="12300" xr:uid="{00000000-0005-0000-0000-00006E270000}"/>
    <cellStyle name="Comma 6 3 3 8" xfId="6781" xr:uid="{00000000-0005-0000-0000-00006F270000}"/>
    <cellStyle name="Comma 6 3 4" xfId="4040" xr:uid="{00000000-0005-0000-0000-000070270000}"/>
    <cellStyle name="Comma 6 3 4 2" xfId="4041" xr:uid="{00000000-0005-0000-0000-000071270000}"/>
    <cellStyle name="Comma 6 3 4 2 2" xfId="4042" xr:uid="{00000000-0005-0000-0000-000072270000}"/>
    <cellStyle name="Comma 6 3 4 2 2 2" xfId="4043" xr:uid="{00000000-0005-0000-0000-000073270000}"/>
    <cellStyle name="Comma 6 3 4 2 2 2 2" xfId="12287" xr:uid="{00000000-0005-0000-0000-000074270000}"/>
    <cellStyle name="Comma 6 3 4 2 2 3" xfId="11188" xr:uid="{00000000-0005-0000-0000-000075270000}"/>
    <cellStyle name="Comma 6 3 4 2 2 4" xfId="12288" xr:uid="{00000000-0005-0000-0000-000076270000}"/>
    <cellStyle name="Comma 6 3 4 2 2 5" xfId="6788" xr:uid="{00000000-0005-0000-0000-000077270000}"/>
    <cellStyle name="Comma 6 3 4 2 3" xfId="4044" xr:uid="{00000000-0005-0000-0000-000078270000}"/>
    <cellStyle name="Comma 6 3 4 2 3 2" xfId="12286" xr:uid="{00000000-0005-0000-0000-000079270000}"/>
    <cellStyle name="Comma 6 3 4 2 4" xfId="11187" xr:uid="{00000000-0005-0000-0000-00007A270000}"/>
    <cellStyle name="Comma 6 3 4 2 5" xfId="12289" xr:uid="{00000000-0005-0000-0000-00007B270000}"/>
    <cellStyle name="Comma 6 3 4 2 6" xfId="6787" xr:uid="{00000000-0005-0000-0000-00007C270000}"/>
    <cellStyle name="Comma 6 3 4 3" xfId="4045" xr:uid="{00000000-0005-0000-0000-00007D270000}"/>
    <cellStyle name="Comma 6 3 4 3 2" xfId="4046" xr:uid="{00000000-0005-0000-0000-00007E270000}"/>
    <cellStyle name="Comma 6 3 4 3 2 2" xfId="12284" xr:uid="{00000000-0005-0000-0000-00007F270000}"/>
    <cellStyle name="Comma 6 3 4 3 3" xfId="11189" xr:uid="{00000000-0005-0000-0000-000080270000}"/>
    <cellStyle name="Comma 6 3 4 3 4" xfId="12285" xr:uid="{00000000-0005-0000-0000-000081270000}"/>
    <cellStyle name="Comma 6 3 4 3 5" xfId="6789" xr:uid="{00000000-0005-0000-0000-000082270000}"/>
    <cellStyle name="Comma 6 3 4 4" xfId="4047" xr:uid="{00000000-0005-0000-0000-000083270000}"/>
    <cellStyle name="Comma 6 3 4 4 2" xfId="4048" xr:uid="{00000000-0005-0000-0000-000084270000}"/>
    <cellStyle name="Comma 6 3 4 4 2 2" xfId="12282" xr:uid="{00000000-0005-0000-0000-000085270000}"/>
    <cellStyle name="Comma 6 3 4 4 3" xfId="11190" xr:uid="{00000000-0005-0000-0000-000086270000}"/>
    <cellStyle name="Comma 6 3 4 4 4" xfId="12283" xr:uid="{00000000-0005-0000-0000-000087270000}"/>
    <cellStyle name="Comma 6 3 4 4 5" xfId="6790" xr:uid="{00000000-0005-0000-0000-000088270000}"/>
    <cellStyle name="Comma 6 3 4 5" xfId="4049" xr:uid="{00000000-0005-0000-0000-000089270000}"/>
    <cellStyle name="Comma 6 3 4 5 2" xfId="12281" xr:uid="{00000000-0005-0000-0000-00008A270000}"/>
    <cellStyle name="Comma 6 3 4 6" xfId="11186" xr:uid="{00000000-0005-0000-0000-00008B270000}"/>
    <cellStyle name="Comma 6 3 4 7" xfId="12290" xr:uid="{00000000-0005-0000-0000-00008C270000}"/>
    <cellStyle name="Comma 6 3 4 8" xfId="6786" xr:uid="{00000000-0005-0000-0000-00008D270000}"/>
    <cellStyle name="Comma 6 3 5" xfId="4050" xr:uid="{00000000-0005-0000-0000-00008E270000}"/>
    <cellStyle name="Comma 6 3 5 2" xfId="4051" xr:uid="{00000000-0005-0000-0000-00008F270000}"/>
    <cellStyle name="Comma 6 3 5 2 2" xfId="4052" xr:uid="{00000000-0005-0000-0000-000090270000}"/>
    <cellStyle name="Comma 6 3 5 2 2 2" xfId="4053" xr:uid="{00000000-0005-0000-0000-000091270000}"/>
    <cellStyle name="Comma 6 3 5 2 2 2 2" xfId="12277" xr:uid="{00000000-0005-0000-0000-000092270000}"/>
    <cellStyle name="Comma 6 3 5 2 2 3" xfId="11193" xr:uid="{00000000-0005-0000-0000-000093270000}"/>
    <cellStyle name="Comma 6 3 5 2 2 4" xfId="12278" xr:uid="{00000000-0005-0000-0000-000094270000}"/>
    <cellStyle name="Comma 6 3 5 2 2 5" xfId="6793" xr:uid="{00000000-0005-0000-0000-000095270000}"/>
    <cellStyle name="Comma 6 3 5 2 3" xfId="4054" xr:uid="{00000000-0005-0000-0000-000096270000}"/>
    <cellStyle name="Comma 6 3 5 2 3 2" xfId="12276" xr:uid="{00000000-0005-0000-0000-000097270000}"/>
    <cellStyle name="Comma 6 3 5 2 4" xfId="11192" xr:uid="{00000000-0005-0000-0000-000098270000}"/>
    <cellStyle name="Comma 6 3 5 2 5" xfId="12279" xr:uid="{00000000-0005-0000-0000-000099270000}"/>
    <cellStyle name="Comma 6 3 5 2 6" xfId="6792" xr:uid="{00000000-0005-0000-0000-00009A270000}"/>
    <cellStyle name="Comma 6 3 5 3" xfId="4055" xr:uid="{00000000-0005-0000-0000-00009B270000}"/>
    <cellStyle name="Comma 6 3 5 3 2" xfId="4056" xr:uid="{00000000-0005-0000-0000-00009C270000}"/>
    <cellStyle name="Comma 6 3 5 3 2 2" xfId="12274" xr:uid="{00000000-0005-0000-0000-00009D270000}"/>
    <cellStyle name="Comma 6 3 5 3 3" xfId="11194" xr:uid="{00000000-0005-0000-0000-00009E270000}"/>
    <cellStyle name="Comma 6 3 5 3 4" xfId="12275" xr:uid="{00000000-0005-0000-0000-00009F270000}"/>
    <cellStyle name="Comma 6 3 5 3 5" xfId="6794" xr:uid="{00000000-0005-0000-0000-0000A0270000}"/>
    <cellStyle name="Comma 6 3 5 4" xfId="4057" xr:uid="{00000000-0005-0000-0000-0000A1270000}"/>
    <cellStyle name="Comma 6 3 5 4 2" xfId="4058" xr:uid="{00000000-0005-0000-0000-0000A2270000}"/>
    <cellStyle name="Comma 6 3 5 4 2 2" xfId="12272" xr:uid="{00000000-0005-0000-0000-0000A3270000}"/>
    <cellStyle name="Comma 6 3 5 4 3" xfId="11195" xr:uid="{00000000-0005-0000-0000-0000A4270000}"/>
    <cellStyle name="Comma 6 3 5 4 4" xfId="12273" xr:uid="{00000000-0005-0000-0000-0000A5270000}"/>
    <cellStyle name="Comma 6 3 5 4 5" xfId="6795" xr:uid="{00000000-0005-0000-0000-0000A6270000}"/>
    <cellStyle name="Comma 6 3 5 5" xfId="4059" xr:uid="{00000000-0005-0000-0000-0000A7270000}"/>
    <cellStyle name="Comma 6 3 5 5 2" xfId="12271" xr:uid="{00000000-0005-0000-0000-0000A8270000}"/>
    <cellStyle name="Comma 6 3 5 6" xfId="11191" xr:uid="{00000000-0005-0000-0000-0000A9270000}"/>
    <cellStyle name="Comma 6 3 5 7" xfId="12280" xr:uid="{00000000-0005-0000-0000-0000AA270000}"/>
    <cellStyle name="Comma 6 3 5 8" xfId="6791" xr:uid="{00000000-0005-0000-0000-0000AB270000}"/>
    <cellStyle name="Comma 6 3 6" xfId="4060" xr:uid="{00000000-0005-0000-0000-0000AC270000}"/>
    <cellStyle name="Comma 6 3 6 2" xfId="4061" xr:uid="{00000000-0005-0000-0000-0000AD270000}"/>
    <cellStyle name="Comma 6 3 6 2 2" xfId="4062" xr:uid="{00000000-0005-0000-0000-0000AE270000}"/>
    <cellStyle name="Comma 6 3 6 2 2 2" xfId="4063" xr:uid="{00000000-0005-0000-0000-0000AF270000}"/>
    <cellStyle name="Comma 6 3 6 2 2 2 2" xfId="12267" xr:uid="{00000000-0005-0000-0000-0000B0270000}"/>
    <cellStyle name="Comma 6 3 6 2 2 3" xfId="11198" xr:uid="{00000000-0005-0000-0000-0000B1270000}"/>
    <cellStyle name="Comma 6 3 6 2 2 4" xfId="12268" xr:uid="{00000000-0005-0000-0000-0000B2270000}"/>
    <cellStyle name="Comma 6 3 6 2 2 5" xfId="6798" xr:uid="{00000000-0005-0000-0000-0000B3270000}"/>
    <cellStyle name="Comma 6 3 6 2 3" xfId="4064" xr:uid="{00000000-0005-0000-0000-0000B4270000}"/>
    <cellStyle name="Comma 6 3 6 2 3 2" xfId="12266" xr:uid="{00000000-0005-0000-0000-0000B5270000}"/>
    <cellStyle name="Comma 6 3 6 2 4" xfId="11197" xr:uid="{00000000-0005-0000-0000-0000B6270000}"/>
    <cellStyle name="Comma 6 3 6 2 5" xfId="12269" xr:uid="{00000000-0005-0000-0000-0000B7270000}"/>
    <cellStyle name="Comma 6 3 6 2 6" xfId="6797" xr:uid="{00000000-0005-0000-0000-0000B8270000}"/>
    <cellStyle name="Comma 6 3 6 3" xfId="4065" xr:uid="{00000000-0005-0000-0000-0000B9270000}"/>
    <cellStyle name="Comma 6 3 6 3 2" xfId="4066" xr:uid="{00000000-0005-0000-0000-0000BA270000}"/>
    <cellStyle name="Comma 6 3 6 3 2 2" xfId="12264" xr:uid="{00000000-0005-0000-0000-0000BB270000}"/>
    <cellStyle name="Comma 6 3 6 3 3" xfId="11199" xr:uid="{00000000-0005-0000-0000-0000BC270000}"/>
    <cellStyle name="Comma 6 3 6 3 4" xfId="12265" xr:uid="{00000000-0005-0000-0000-0000BD270000}"/>
    <cellStyle name="Comma 6 3 6 3 5" xfId="6799" xr:uid="{00000000-0005-0000-0000-0000BE270000}"/>
    <cellStyle name="Comma 6 3 6 4" xfId="4067" xr:uid="{00000000-0005-0000-0000-0000BF270000}"/>
    <cellStyle name="Comma 6 3 6 4 2" xfId="4068" xr:uid="{00000000-0005-0000-0000-0000C0270000}"/>
    <cellStyle name="Comma 6 3 6 4 2 2" xfId="12262" xr:uid="{00000000-0005-0000-0000-0000C1270000}"/>
    <cellStyle name="Comma 6 3 6 4 3" xfId="11200" xr:uid="{00000000-0005-0000-0000-0000C2270000}"/>
    <cellStyle name="Comma 6 3 6 4 4" xfId="12263" xr:uid="{00000000-0005-0000-0000-0000C3270000}"/>
    <cellStyle name="Comma 6 3 6 4 5" xfId="6800" xr:uid="{00000000-0005-0000-0000-0000C4270000}"/>
    <cellStyle name="Comma 6 3 6 5" xfId="4069" xr:uid="{00000000-0005-0000-0000-0000C5270000}"/>
    <cellStyle name="Comma 6 3 6 5 2" xfId="12261" xr:uid="{00000000-0005-0000-0000-0000C6270000}"/>
    <cellStyle name="Comma 6 3 6 6" xfId="11196" xr:uid="{00000000-0005-0000-0000-0000C7270000}"/>
    <cellStyle name="Comma 6 3 6 7" xfId="12270" xr:uid="{00000000-0005-0000-0000-0000C8270000}"/>
    <cellStyle name="Comma 6 3 6 8" xfId="6796" xr:uid="{00000000-0005-0000-0000-0000C9270000}"/>
    <cellStyle name="Comma 6 3 7" xfId="4070" xr:uid="{00000000-0005-0000-0000-0000CA270000}"/>
    <cellStyle name="Comma 6 3 7 2" xfId="4071" xr:uid="{00000000-0005-0000-0000-0000CB270000}"/>
    <cellStyle name="Comma 6 3 7 2 2" xfId="4072" xr:uid="{00000000-0005-0000-0000-0000CC270000}"/>
    <cellStyle name="Comma 6 3 7 2 2 2" xfId="12258" xr:uid="{00000000-0005-0000-0000-0000CD270000}"/>
    <cellStyle name="Comma 6 3 7 2 3" xfId="11202" xr:uid="{00000000-0005-0000-0000-0000CE270000}"/>
    <cellStyle name="Comma 6 3 7 2 4" xfId="12259" xr:uid="{00000000-0005-0000-0000-0000CF270000}"/>
    <cellStyle name="Comma 6 3 7 2 5" xfId="6802" xr:uid="{00000000-0005-0000-0000-0000D0270000}"/>
    <cellStyle name="Comma 6 3 7 3" xfId="4073" xr:uid="{00000000-0005-0000-0000-0000D1270000}"/>
    <cellStyle name="Comma 6 3 7 3 2" xfId="4074" xr:uid="{00000000-0005-0000-0000-0000D2270000}"/>
    <cellStyle name="Comma 6 3 7 3 2 2" xfId="12256" xr:uid="{00000000-0005-0000-0000-0000D3270000}"/>
    <cellStyle name="Comma 6 3 7 3 3" xfId="11203" xr:uid="{00000000-0005-0000-0000-0000D4270000}"/>
    <cellStyle name="Comma 6 3 7 3 4" xfId="12257" xr:uid="{00000000-0005-0000-0000-0000D5270000}"/>
    <cellStyle name="Comma 6 3 7 3 5" xfId="6803" xr:uid="{00000000-0005-0000-0000-0000D6270000}"/>
    <cellStyle name="Comma 6 3 7 4" xfId="4075" xr:uid="{00000000-0005-0000-0000-0000D7270000}"/>
    <cellStyle name="Comma 6 3 7 4 2" xfId="12255" xr:uid="{00000000-0005-0000-0000-0000D8270000}"/>
    <cellStyle name="Comma 6 3 7 5" xfId="11201" xr:uid="{00000000-0005-0000-0000-0000D9270000}"/>
    <cellStyle name="Comma 6 3 7 6" xfId="12260" xr:uid="{00000000-0005-0000-0000-0000DA270000}"/>
    <cellStyle name="Comma 6 3 7 7" xfId="6801" xr:uid="{00000000-0005-0000-0000-0000DB270000}"/>
    <cellStyle name="Comma 6 3 8" xfId="4076" xr:uid="{00000000-0005-0000-0000-0000DC270000}"/>
    <cellStyle name="Comma 6 3 8 2" xfId="4077" xr:uid="{00000000-0005-0000-0000-0000DD270000}"/>
    <cellStyle name="Comma 6 3 8 2 2" xfId="4078" xr:uid="{00000000-0005-0000-0000-0000DE270000}"/>
    <cellStyle name="Comma 6 3 8 2 2 2" xfId="12252" xr:uid="{00000000-0005-0000-0000-0000DF270000}"/>
    <cellStyle name="Comma 6 3 8 2 3" xfId="11205" xr:uid="{00000000-0005-0000-0000-0000E0270000}"/>
    <cellStyle name="Comma 6 3 8 2 4" xfId="12253" xr:uid="{00000000-0005-0000-0000-0000E1270000}"/>
    <cellStyle name="Comma 6 3 8 2 5" xfId="6805" xr:uid="{00000000-0005-0000-0000-0000E2270000}"/>
    <cellStyle name="Comma 6 3 8 3" xfId="4079" xr:uid="{00000000-0005-0000-0000-0000E3270000}"/>
    <cellStyle name="Comma 6 3 8 3 2" xfId="12251" xr:uid="{00000000-0005-0000-0000-0000E4270000}"/>
    <cellStyle name="Comma 6 3 8 4" xfId="11204" xr:uid="{00000000-0005-0000-0000-0000E5270000}"/>
    <cellStyle name="Comma 6 3 8 5" xfId="12254" xr:uid="{00000000-0005-0000-0000-0000E6270000}"/>
    <cellStyle name="Comma 6 3 8 6" xfId="6804" xr:uid="{00000000-0005-0000-0000-0000E7270000}"/>
    <cellStyle name="Comma 6 3 9" xfId="4080" xr:uid="{00000000-0005-0000-0000-0000E8270000}"/>
    <cellStyle name="Comma 6 3 9 2" xfId="4081" xr:uid="{00000000-0005-0000-0000-0000E9270000}"/>
    <cellStyle name="Comma 6 3 9 2 2" xfId="12249" xr:uid="{00000000-0005-0000-0000-0000EA270000}"/>
    <cellStyle name="Comma 6 3 9 3" xfId="11206" xr:uid="{00000000-0005-0000-0000-0000EB270000}"/>
    <cellStyle name="Comma 6 3 9 4" xfId="12250" xr:uid="{00000000-0005-0000-0000-0000EC270000}"/>
    <cellStyle name="Comma 6 3 9 5" xfId="6806" xr:uid="{00000000-0005-0000-0000-0000ED270000}"/>
    <cellStyle name="Comma 6 4" xfId="4082" xr:uid="{00000000-0005-0000-0000-0000EE270000}"/>
    <cellStyle name="Comma 6 4 10" xfId="4083" xr:uid="{00000000-0005-0000-0000-0000EF270000}"/>
    <cellStyle name="Comma 6 4 10 2" xfId="4084" xr:uid="{00000000-0005-0000-0000-0000F0270000}"/>
    <cellStyle name="Comma 6 4 10 2 2" xfId="12246" xr:uid="{00000000-0005-0000-0000-0000F1270000}"/>
    <cellStyle name="Comma 6 4 10 3" xfId="11208" xr:uid="{00000000-0005-0000-0000-0000F2270000}"/>
    <cellStyle name="Comma 6 4 10 4" xfId="12247" xr:uid="{00000000-0005-0000-0000-0000F3270000}"/>
    <cellStyle name="Comma 6 4 10 5" xfId="6808" xr:uid="{00000000-0005-0000-0000-0000F4270000}"/>
    <cellStyle name="Comma 6 4 11" xfId="4085" xr:uid="{00000000-0005-0000-0000-0000F5270000}"/>
    <cellStyle name="Comma 6 4 11 2" xfId="12245" xr:uid="{00000000-0005-0000-0000-0000F6270000}"/>
    <cellStyle name="Comma 6 4 12" xfId="11207" xr:uid="{00000000-0005-0000-0000-0000F7270000}"/>
    <cellStyle name="Comma 6 4 13" xfId="12248" xr:uid="{00000000-0005-0000-0000-0000F8270000}"/>
    <cellStyle name="Comma 6 4 14" xfId="6807" xr:uid="{00000000-0005-0000-0000-0000F9270000}"/>
    <cellStyle name="Comma 6 4 2" xfId="4086" xr:uid="{00000000-0005-0000-0000-0000FA270000}"/>
    <cellStyle name="Comma 6 4 2 10" xfId="4087" xr:uid="{00000000-0005-0000-0000-0000FB270000}"/>
    <cellStyle name="Comma 6 4 2 10 2" xfId="12243" xr:uid="{00000000-0005-0000-0000-0000FC270000}"/>
    <cellStyle name="Comma 6 4 2 11" xfId="11209" xr:uid="{00000000-0005-0000-0000-0000FD270000}"/>
    <cellStyle name="Comma 6 4 2 12" xfId="12244" xr:uid="{00000000-0005-0000-0000-0000FE270000}"/>
    <cellStyle name="Comma 6 4 2 13" xfId="6809" xr:uid="{00000000-0005-0000-0000-0000FF270000}"/>
    <cellStyle name="Comma 6 4 2 2" xfId="4088" xr:uid="{00000000-0005-0000-0000-000000280000}"/>
    <cellStyle name="Comma 6 4 2 2 2" xfId="4089" xr:uid="{00000000-0005-0000-0000-000001280000}"/>
    <cellStyle name="Comma 6 4 2 2 2 2" xfId="4090" xr:uid="{00000000-0005-0000-0000-000002280000}"/>
    <cellStyle name="Comma 6 4 2 2 2 2 2" xfId="4091" xr:uid="{00000000-0005-0000-0000-000003280000}"/>
    <cellStyle name="Comma 6 4 2 2 2 2 2 2" xfId="12239" xr:uid="{00000000-0005-0000-0000-000004280000}"/>
    <cellStyle name="Comma 6 4 2 2 2 2 3" xfId="11212" xr:uid="{00000000-0005-0000-0000-000005280000}"/>
    <cellStyle name="Comma 6 4 2 2 2 2 4" xfId="12240" xr:uid="{00000000-0005-0000-0000-000006280000}"/>
    <cellStyle name="Comma 6 4 2 2 2 2 5" xfId="6812" xr:uid="{00000000-0005-0000-0000-000007280000}"/>
    <cellStyle name="Comma 6 4 2 2 2 3" xfId="4092" xr:uid="{00000000-0005-0000-0000-000008280000}"/>
    <cellStyle name="Comma 6 4 2 2 2 3 2" xfId="12238" xr:uid="{00000000-0005-0000-0000-000009280000}"/>
    <cellStyle name="Comma 6 4 2 2 2 4" xfId="11211" xr:uid="{00000000-0005-0000-0000-00000A280000}"/>
    <cellStyle name="Comma 6 4 2 2 2 5" xfId="12241" xr:uid="{00000000-0005-0000-0000-00000B280000}"/>
    <cellStyle name="Comma 6 4 2 2 2 6" xfId="6811" xr:uid="{00000000-0005-0000-0000-00000C280000}"/>
    <cellStyle name="Comma 6 4 2 2 3" xfId="4093" xr:uid="{00000000-0005-0000-0000-00000D280000}"/>
    <cellStyle name="Comma 6 4 2 2 3 2" xfId="4094" xr:uid="{00000000-0005-0000-0000-00000E280000}"/>
    <cellStyle name="Comma 6 4 2 2 3 2 2" xfId="12236" xr:uid="{00000000-0005-0000-0000-00000F280000}"/>
    <cellStyle name="Comma 6 4 2 2 3 3" xfId="11213" xr:uid="{00000000-0005-0000-0000-000010280000}"/>
    <cellStyle name="Comma 6 4 2 2 3 4" xfId="12237" xr:uid="{00000000-0005-0000-0000-000011280000}"/>
    <cellStyle name="Comma 6 4 2 2 3 5" xfId="6813" xr:uid="{00000000-0005-0000-0000-000012280000}"/>
    <cellStyle name="Comma 6 4 2 2 4" xfId="4095" xr:uid="{00000000-0005-0000-0000-000013280000}"/>
    <cellStyle name="Comma 6 4 2 2 4 2" xfId="4096" xr:uid="{00000000-0005-0000-0000-000014280000}"/>
    <cellStyle name="Comma 6 4 2 2 4 2 2" xfId="12234" xr:uid="{00000000-0005-0000-0000-000015280000}"/>
    <cellStyle name="Comma 6 4 2 2 4 3" xfId="11214" xr:uid="{00000000-0005-0000-0000-000016280000}"/>
    <cellStyle name="Comma 6 4 2 2 4 4" xfId="12235" xr:uid="{00000000-0005-0000-0000-000017280000}"/>
    <cellStyle name="Comma 6 4 2 2 4 5" xfId="6814" xr:uid="{00000000-0005-0000-0000-000018280000}"/>
    <cellStyle name="Comma 6 4 2 2 5" xfId="4097" xr:uid="{00000000-0005-0000-0000-000019280000}"/>
    <cellStyle name="Comma 6 4 2 2 5 2" xfId="12233" xr:uid="{00000000-0005-0000-0000-00001A280000}"/>
    <cellStyle name="Comma 6 4 2 2 6" xfId="11210" xr:uid="{00000000-0005-0000-0000-00001B280000}"/>
    <cellStyle name="Comma 6 4 2 2 7" xfId="12242" xr:uid="{00000000-0005-0000-0000-00001C280000}"/>
    <cellStyle name="Comma 6 4 2 2 8" xfId="6810" xr:uid="{00000000-0005-0000-0000-00001D280000}"/>
    <cellStyle name="Comma 6 4 2 3" xfId="4098" xr:uid="{00000000-0005-0000-0000-00001E280000}"/>
    <cellStyle name="Comma 6 4 2 3 2" xfId="4099" xr:uid="{00000000-0005-0000-0000-00001F280000}"/>
    <cellStyle name="Comma 6 4 2 3 2 2" xfId="4100" xr:uid="{00000000-0005-0000-0000-000020280000}"/>
    <cellStyle name="Comma 6 4 2 3 2 2 2" xfId="4101" xr:uid="{00000000-0005-0000-0000-000021280000}"/>
    <cellStyle name="Comma 6 4 2 3 2 2 2 2" xfId="12229" xr:uid="{00000000-0005-0000-0000-000022280000}"/>
    <cellStyle name="Comma 6 4 2 3 2 2 3" xfId="11217" xr:uid="{00000000-0005-0000-0000-000023280000}"/>
    <cellStyle name="Comma 6 4 2 3 2 2 4" xfId="12230" xr:uid="{00000000-0005-0000-0000-000024280000}"/>
    <cellStyle name="Comma 6 4 2 3 2 2 5" xfId="6817" xr:uid="{00000000-0005-0000-0000-000025280000}"/>
    <cellStyle name="Comma 6 4 2 3 2 3" xfId="4102" xr:uid="{00000000-0005-0000-0000-000026280000}"/>
    <cellStyle name="Comma 6 4 2 3 2 3 2" xfId="12228" xr:uid="{00000000-0005-0000-0000-000027280000}"/>
    <cellStyle name="Comma 6 4 2 3 2 4" xfId="11216" xr:uid="{00000000-0005-0000-0000-000028280000}"/>
    <cellStyle name="Comma 6 4 2 3 2 5" xfId="12231" xr:uid="{00000000-0005-0000-0000-000029280000}"/>
    <cellStyle name="Comma 6 4 2 3 2 6" xfId="6816" xr:uid="{00000000-0005-0000-0000-00002A280000}"/>
    <cellStyle name="Comma 6 4 2 3 3" xfId="4103" xr:uid="{00000000-0005-0000-0000-00002B280000}"/>
    <cellStyle name="Comma 6 4 2 3 3 2" xfId="4104" xr:uid="{00000000-0005-0000-0000-00002C280000}"/>
    <cellStyle name="Comma 6 4 2 3 3 2 2" xfId="12226" xr:uid="{00000000-0005-0000-0000-00002D280000}"/>
    <cellStyle name="Comma 6 4 2 3 3 3" xfId="11218" xr:uid="{00000000-0005-0000-0000-00002E280000}"/>
    <cellStyle name="Comma 6 4 2 3 3 4" xfId="12227" xr:uid="{00000000-0005-0000-0000-00002F280000}"/>
    <cellStyle name="Comma 6 4 2 3 3 5" xfId="6818" xr:uid="{00000000-0005-0000-0000-000030280000}"/>
    <cellStyle name="Comma 6 4 2 3 4" xfId="4105" xr:uid="{00000000-0005-0000-0000-000031280000}"/>
    <cellStyle name="Comma 6 4 2 3 4 2" xfId="4106" xr:uid="{00000000-0005-0000-0000-000032280000}"/>
    <cellStyle name="Comma 6 4 2 3 4 2 2" xfId="12224" xr:uid="{00000000-0005-0000-0000-000033280000}"/>
    <cellStyle name="Comma 6 4 2 3 4 3" xfId="11219" xr:uid="{00000000-0005-0000-0000-000034280000}"/>
    <cellStyle name="Comma 6 4 2 3 4 4" xfId="12225" xr:uid="{00000000-0005-0000-0000-000035280000}"/>
    <cellStyle name="Comma 6 4 2 3 4 5" xfId="6819" xr:uid="{00000000-0005-0000-0000-000036280000}"/>
    <cellStyle name="Comma 6 4 2 3 5" xfId="4107" xr:uid="{00000000-0005-0000-0000-000037280000}"/>
    <cellStyle name="Comma 6 4 2 3 5 2" xfId="12223" xr:uid="{00000000-0005-0000-0000-000038280000}"/>
    <cellStyle name="Comma 6 4 2 3 6" xfId="11215" xr:uid="{00000000-0005-0000-0000-000039280000}"/>
    <cellStyle name="Comma 6 4 2 3 7" xfId="12232" xr:uid="{00000000-0005-0000-0000-00003A280000}"/>
    <cellStyle name="Comma 6 4 2 3 8" xfId="6815" xr:uid="{00000000-0005-0000-0000-00003B280000}"/>
    <cellStyle name="Comma 6 4 2 4" xfId="4108" xr:uid="{00000000-0005-0000-0000-00003C280000}"/>
    <cellStyle name="Comma 6 4 2 4 2" xfId="4109" xr:uid="{00000000-0005-0000-0000-00003D280000}"/>
    <cellStyle name="Comma 6 4 2 4 2 2" xfId="4110" xr:uid="{00000000-0005-0000-0000-00003E280000}"/>
    <cellStyle name="Comma 6 4 2 4 2 2 2" xfId="4111" xr:uid="{00000000-0005-0000-0000-00003F280000}"/>
    <cellStyle name="Comma 6 4 2 4 2 2 2 2" xfId="12219" xr:uid="{00000000-0005-0000-0000-000040280000}"/>
    <cellStyle name="Comma 6 4 2 4 2 2 3" xfId="11222" xr:uid="{00000000-0005-0000-0000-000041280000}"/>
    <cellStyle name="Comma 6 4 2 4 2 2 4" xfId="12220" xr:uid="{00000000-0005-0000-0000-000042280000}"/>
    <cellStyle name="Comma 6 4 2 4 2 2 5" xfId="6822" xr:uid="{00000000-0005-0000-0000-000043280000}"/>
    <cellStyle name="Comma 6 4 2 4 2 3" xfId="4112" xr:uid="{00000000-0005-0000-0000-000044280000}"/>
    <cellStyle name="Comma 6 4 2 4 2 3 2" xfId="12218" xr:uid="{00000000-0005-0000-0000-000045280000}"/>
    <cellStyle name="Comma 6 4 2 4 2 4" xfId="11221" xr:uid="{00000000-0005-0000-0000-000046280000}"/>
    <cellStyle name="Comma 6 4 2 4 2 5" xfId="12221" xr:uid="{00000000-0005-0000-0000-000047280000}"/>
    <cellStyle name="Comma 6 4 2 4 2 6" xfId="6821" xr:uid="{00000000-0005-0000-0000-000048280000}"/>
    <cellStyle name="Comma 6 4 2 4 3" xfId="4113" xr:uid="{00000000-0005-0000-0000-000049280000}"/>
    <cellStyle name="Comma 6 4 2 4 3 2" xfId="4114" xr:uid="{00000000-0005-0000-0000-00004A280000}"/>
    <cellStyle name="Comma 6 4 2 4 3 2 2" xfId="12216" xr:uid="{00000000-0005-0000-0000-00004B280000}"/>
    <cellStyle name="Comma 6 4 2 4 3 3" xfId="11223" xr:uid="{00000000-0005-0000-0000-00004C280000}"/>
    <cellStyle name="Comma 6 4 2 4 3 4" xfId="12217" xr:uid="{00000000-0005-0000-0000-00004D280000}"/>
    <cellStyle name="Comma 6 4 2 4 3 5" xfId="6823" xr:uid="{00000000-0005-0000-0000-00004E280000}"/>
    <cellStyle name="Comma 6 4 2 4 4" xfId="4115" xr:uid="{00000000-0005-0000-0000-00004F280000}"/>
    <cellStyle name="Comma 6 4 2 4 4 2" xfId="4116" xr:uid="{00000000-0005-0000-0000-000050280000}"/>
    <cellStyle name="Comma 6 4 2 4 4 2 2" xfId="12214" xr:uid="{00000000-0005-0000-0000-000051280000}"/>
    <cellStyle name="Comma 6 4 2 4 4 3" xfId="11224" xr:uid="{00000000-0005-0000-0000-000052280000}"/>
    <cellStyle name="Comma 6 4 2 4 4 4" xfId="12215" xr:uid="{00000000-0005-0000-0000-000053280000}"/>
    <cellStyle name="Comma 6 4 2 4 4 5" xfId="6824" xr:uid="{00000000-0005-0000-0000-000054280000}"/>
    <cellStyle name="Comma 6 4 2 4 5" xfId="4117" xr:uid="{00000000-0005-0000-0000-000055280000}"/>
    <cellStyle name="Comma 6 4 2 4 5 2" xfId="12213" xr:uid="{00000000-0005-0000-0000-000056280000}"/>
    <cellStyle name="Comma 6 4 2 4 6" xfId="11220" xr:uid="{00000000-0005-0000-0000-000057280000}"/>
    <cellStyle name="Comma 6 4 2 4 7" xfId="12222" xr:uid="{00000000-0005-0000-0000-000058280000}"/>
    <cellStyle name="Comma 6 4 2 4 8" xfId="6820" xr:uid="{00000000-0005-0000-0000-000059280000}"/>
    <cellStyle name="Comma 6 4 2 5" xfId="4118" xr:uid="{00000000-0005-0000-0000-00005A280000}"/>
    <cellStyle name="Comma 6 4 2 5 2" xfId="4119" xr:uid="{00000000-0005-0000-0000-00005B280000}"/>
    <cellStyle name="Comma 6 4 2 5 2 2" xfId="4120" xr:uid="{00000000-0005-0000-0000-00005C280000}"/>
    <cellStyle name="Comma 6 4 2 5 2 2 2" xfId="4121" xr:uid="{00000000-0005-0000-0000-00005D280000}"/>
    <cellStyle name="Comma 6 4 2 5 2 2 2 2" xfId="12209" xr:uid="{00000000-0005-0000-0000-00005E280000}"/>
    <cellStyle name="Comma 6 4 2 5 2 2 3" xfId="11227" xr:uid="{00000000-0005-0000-0000-00005F280000}"/>
    <cellStyle name="Comma 6 4 2 5 2 2 4" xfId="12210" xr:uid="{00000000-0005-0000-0000-000060280000}"/>
    <cellStyle name="Comma 6 4 2 5 2 2 5" xfId="6827" xr:uid="{00000000-0005-0000-0000-000061280000}"/>
    <cellStyle name="Comma 6 4 2 5 2 3" xfId="4122" xr:uid="{00000000-0005-0000-0000-000062280000}"/>
    <cellStyle name="Comma 6 4 2 5 2 3 2" xfId="12208" xr:uid="{00000000-0005-0000-0000-000063280000}"/>
    <cellStyle name="Comma 6 4 2 5 2 4" xfId="11226" xr:uid="{00000000-0005-0000-0000-000064280000}"/>
    <cellStyle name="Comma 6 4 2 5 2 5" xfId="12211" xr:uid="{00000000-0005-0000-0000-000065280000}"/>
    <cellStyle name="Comma 6 4 2 5 2 6" xfId="6826" xr:uid="{00000000-0005-0000-0000-000066280000}"/>
    <cellStyle name="Comma 6 4 2 5 3" xfId="4123" xr:uid="{00000000-0005-0000-0000-000067280000}"/>
    <cellStyle name="Comma 6 4 2 5 3 2" xfId="4124" xr:uid="{00000000-0005-0000-0000-000068280000}"/>
    <cellStyle name="Comma 6 4 2 5 3 2 2" xfId="12206" xr:uid="{00000000-0005-0000-0000-000069280000}"/>
    <cellStyle name="Comma 6 4 2 5 3 3" xfId="11228" xr:uid="{00000000-0005-0000-0000-00006A280000}"/>
    <cellStyle name="Comma 6 4 2 5 3 4" xfId="12207" xr:uid="{00000000-0005-0000-0000-00006B280000}"/>
    <cellStyle name="Comma 6 4 2 5 3 5" xfId="6828" xr:uid="{00000000-0005-0000-0000-00006C280000}"/>
    <cellStyle name="Comma 6 4 2 5 4" xfId="4125" xr:uid="{00000000-0005-0000-0000-00006D280000}"/>
    <cellStyle name="Comma 6 4 2 5 4 2" xfId="4126" xr:uid="{00000000-0005-0000-0000-00006E280000}"/>
    <cellStyle name="Comma 6 4 2 5 4 2 2" xfId="12204" xr:uid="{00000000-0005-0000-0000-00006F280000}"/>
    <cellStyle name="Comma 6 4 2 5 4 3" xfId="11229" xr:uid="{00000000-0005-0000-0000-000070280000}"/>
    <cellStyle name="Comma 6 4 2 5 4 4" xfId="12205" xr:uid="{00000000-0005-0000-0000-000071280000}"/>
    <cellStyle name="Comma 6 4 2 5 4 5" xfId="6829" xr:uid="{00000000-0005-0000-0000-000072280000}"/>
    <cellStyle name="Comma 6 4 2 5 5" xfId="4127" xr:uid="{00000000-0005-0000-0000-000073280000}"/>
    <cellStyle name="Comma 6 4 2 5 5 2" xfId="12203" xr:uid="{00000000-0005-0000-0000-000074280000}"/>
    <cellStyle name="Comma 6 4 2 5 6" xfId="11225" xr:uid="{00000000-0005-0000-0000-000075280000}"/>
    <cellStyle name="Comma 6 4 2 5 7" xfId="12212" xr:uid="{00000000-0005-0000-0000-000076280000}"/>
    <cellStyle name="Comma 6 4 2 5 8" xfId="6825" xr:uid="{00000000-0005-0000-0000-000077280000}"/>
    <cellStyle name="Comma 6 4 2 6" xfId="4128" xr:uid="{00000000-0005-0000-0000-000078280000}"/>
    <cellStyle name="Comma 6 4 2 6 2" xfId="4129" xr:uid="{00000000-0005-0000-0000-000079280000}"/>
    <cellStyle name="Comma 6 4 2 6 2 2" xfId="4130" xr:uid="{00000000-0005-0000-0000-00007A280000}"/>
    <cellStyle name="Comma 6 4 2 6 2 2 2" xfId="12200" xr:uid="{00000000-0005-0000-0000-00007B280000}"/>
    <cellStyle name="Comma 6 4 2 6 2 3" xfId="11231" xr:uid="{00000000-0005-0000-0000-00007C280000}"/>
    <cellStyle name="Comma 6 4 2 6 2 4" xfId="12201" xr:uid="{00000000-0005-0000-0000-00007D280000}"/>
    <cellStyle name="Comma 6 4 2 6 2 5" xfId="6831" xr:uid="{00000000-0005-0000-0000-00007E280000}"/>
    <cellStyle name="Comma 6 4 2 6 3" xfId="4131" xr:uid="{00000000-0005-0000-0000-00007F280000}"/>
    <cellStyle name="Comma 6 4 2 6 3 2" xfId="4132" xr:uid="{00000000-0005-0000-0000-000080280000}"/>
    <cellStyle name="Comma 6 4 2 6 3 2 2" xfId="12198" xr:uid="{00000000-0005-0000-0000-000081280000}"/>
    <cellStyle name="Comma 6 4 2 6 3 3" xfId="11232" xr:uid="{00000000-0005-0000-0000-000082280000}"/>
    <cellStyle name="Comma 6 4 2 6 3 4" xfId="12199" xr:uid="{00000000-0005-0000-0000-000083280000}"/>
    <cellStyle name="Comma 6 4 2 6 3 5" xfId="6832" xr:uid="{00000000-0005-0000-0000-000084280000}"/>
    <cellStyle name="Comma 6 4 2 6 4" xfId="4133" xr:uid="{00000000-0005-0000-0000-000085280000}"/>
    <cellStyle name="Comma 6 4 2 6 4 2" xfId="12197" xr:uid="{00000000-0005-0000-0000-000086280000}"/>
    <cellStyle name="Comma 6 4 2 6 5" xfId="11230" xr:uid="{00000000-0005-0000-0000-000087280000}"/>
    <cellStyle name="Comma 6 4 2 6 6" xfId="12202" xr:uid="{00000000-0005-0000-0000-000088280000}"/>
    <cellStyle name="Comma 6 4 2 6 7" xfId="6830" xr:uid="{00000000-0005-0000-0000-000089280000}"/>
    <cellStyle name="Comma 6 4 2 7" xfId="4134" xr:uid="{00000000-0005-0000-0000-00008A280000}"/>
    <cellStyle name="Comma 6 4 2 7 2" xfId="4135" xr:uid="{00000000-0005-0000-0000-00008B280000}"/>
    <cellStyle name="Comma 6 4 2 7 2 2" xfId="4136" xr:uid="{00000000-0005-0000-0000-00008C280000}"/>
    <cellStyle name="Comma 6 4 2 7 2 2 2" xfId="12194" xr:uid="{00000000-0005-0000-0000-00008D280000}"/>
    <cellStyle name="Comma 6 4 2 7 2 3" xfId="11234" xr:uid="{00000000-0005-0000-0000-00008E280000}"/>
    <cellStyle name="Comma 6 4 2 7 2 4" xfId="12195" xr:uid="{00000000-0005-0000-0000-00008F280000}"/>
    <cellStyle name="Comma 6 4 2 7 2 5" xfId="6834" xr:uid="{00000000-0005-0000-0000-000090280000}"/>
    <cellStyle name="Comma 6 4 2 7 3" xfId="4137" xr:uid="{00000000-0005-0000-0000-000091280000}"/>
    <cellStyle name="Comma 6 4 2 7 3 2" xfId="12193" xr:uid="{00000000-0005-0000-0000-000092280000}"/>
    <cellStyle name="Comma 6 4 2 7 4" xfId="11233" xr:uid="{00000000-0005-0000-0000-000093280000}"/>
    <cellStyle name="Comma 6 4 2 7 5" xfId="12196" xr:uid="{00000000-0005-0000-0000-000094280000}"/>
    <cellStyle name="Comma 6 4 2 7 6" xfId="6833" xr:uid="{00000000-0005-0000-0000-000095280000}"/>
    <cellStyle name="Comma 6 4 2 8" xfId="4138" xr:uid="{00000000-0005-0000-0000-000096280000}"/>
    <cellStyle name="Comma 6 4 2 8 2" xfId="4139" xr:uid="{00000000-0005-0000-0000-000097280000}"/>
    <cellStyle name="Comma 6 4 2 8 2 2" xfId="12191" xr:uid="{00000000-0005-0000-0000-000098280000}"/>
    <cellStyle name="Comma 6 4 2 8 3" xfId="11235" xr:uid="{00000000-0005-0000-0000-000099280000}"/>
    <cellStyle name="Comma 6 4 2 8 4" xfId="12192" xr:uid="{00000000-0005-0000-0000-00009A280000}"/>
    <cellStyle name="Comma 6 4 2 8 5" xfId="6835" xr:uid="{00000000-0005-0000-0000-00009B280000}"/>
    <cellStyle name="Comma 6 4 2 9" xfId="4140" xr:uid="{00000000-0005-0000-0000-00009C280000}"/>
    <cellStyle name="Comma 6 4 2 9 2" xfId="4141" xr:uid="{00000000-0005-0000-0000-00009D280000}"/>
    <cellStyle name="Comma 6 4 2 9 2 2" xfId="12189" xr:uid="{00000000-0005-0000-0000-00009E280000}"/>
    <cellStyle name="Comma 6 4 2 9 3" xfId="11236" xr:uid="{00000000-0005-0000-0000-00009F280000}"/>
    <cellStyle name="Comma 6 4 2 9 4" xfId="12190" xr:uid="{00000000-0005-0000-0000-0000A0280000}"/>
    <cellStyle name="Comma 6 4 2 9 5" xfId="6836" xr:uid="{00000000-0005-0000-0000-0000A1280000}"/>
    <cellStyle name="Comma 6 4 3" xfId="4142" xr:uid="{00000000-0005-0000-0000-0000A2280000}"/>
    <cellStyle name="Comma 6 4 3 2" xfId="4143" xr:uid="{00000000-0005-0000-0000-0000A3280000}"/>
    <cellStyle name="Comma 6 4 3 2 2" xfId="4144" xr:uid="{00000000-0005-0000-0000-0000A4280000}"/>
    <cellStyle name="Comma 6 4 3 2 2 2" xfId="4145" xr:uid="{00000000-0005-0000-0000-0000A5280000}"/>
    <cellStyle name="Comma 6 4 3 2 2 2 2" xfId="12185" xr:uid="{00000000-0005-0000-0000-0000A6280000}"/>
    <cellStyle name="Comma 6 4 3 2 2 3" xfId="11239" xr:uid="{00000000-0005-0000-0000-0000A7280000}"/>
    <cellStyle name="Comma 6 4 3 2 2 4" xfId="12186" xr:uid="{00000000-0005-0000-0000-0000A8280000}"/>
    <cellStyle name="Comma 6 4 3 2 2 5" xfId="6839" xr:uid="{00000000-0005-0000-0000-0000A9280000}"/>
    <cellStyle name="Comma 6 4 3 2 3" xfId="4146" xr:uid="{00000000-0005-0000-0000-0000AA280000}"/>
    <cellStyle name="Comma 6 4 3 2 3 2" xfId="12184" xr:uid="{00000000-0005-0000-0000-0000AB280000}"/>
    <cellStyle name="Comma 6 4 3 2 4" xfId="11238" xr:uid="{00000000-0005-0000-0000-0000AC280000}"/>
    <cellStyle name="Comma 6 4 3 2 5" xfId="12187" xr:uid="{00000000-0005-0000-0000-0000AD280000}"/>
    <cellStyle name="Comma 6 4 3 2 6" xfId="6838" xr:uid="{00000000-0005-0000-0000-0000AE280000}"/>
    <cellStyle name="Comma 6 4 3 3" xfId="4147" xr:uid="{00000000-0005-0000-0000-0000AF280000}"/>
    <cellStyle name="Comma 6 4 3 3 2" xfId="4148" xr:uid="{00000000-0005-0000-0000-0000B0280000}"/>
    <cellStyle name="Comma 6 4 3 3 2 2" xfId="12182" xr:uid="{00000000-0005-0000-0000-0000B1280000}"/>
    <cellStyle name="Comma 6 4 3 3 3" xfId="11240" xr:uid="{00000000-0005-0000-0000-0000B2280000}"/>
    <cellStyle name="Comma 6 4 3 3 4" xfId="12183" xr:uid="{00000000-0005-0000-0000-0000B3280000}"/>
    <cellStyle name="Comma 6 4 3 3 5" xfId="6840" xr:uid="{00000000-0005-0000-0000-0000B4280000}"/>
    <cellStyle name="Comma 6 4 3 4" xfId="4149" xr:uid="{00000000-0005-0000-0000-0000B5280000}"/>
    <cellStyle name="Comma 6 4 3 4 2" xfId="4150" xr:uid="{00000000-0005-0000-0000-0000B6280000}"/>
    <cellStyle name="Comma 6 4 3 4 2 2" xfId="12180" xr:uid="{00000000-0005-0000-0000-0000B7280000}"/>
    <cellStyle name="Comma 6 4 3 4 3" xfId="11241" xr:uid="{00000000-0005-0000-0000-0000B8280000}"/>
    <cellStyle name="Comma 6 4 3 4 4" xfId="12181" xr:uid="{00000000-0005-0000-0000-0000B9280000}"/>
    <cellStyle name="Comma 6 4 3 4 5" xfId="6841" xr:uid="{00000000-0005-0000-0000-0000BA280000}"/>
    <cellStyle name="Comma 6 4 3 5" xfId="4151" xr:uid="{00000000-0005-0000-0000-0000BB280000}"/>
    <cellStyle name="Comma 6 4 3 5 2" xfId="12179" xr:uid="{00000000-0005-0000-0000-0000BC280000}"/>
    <cellStyle name="Comma 6 4 3 6" xfId="11237" xr:uid="{00000000-0005-0000-0000-0000BD280000}"/>
    <cellStyle name="Comma 6 4 3 7" xfId="12188" xr:uid="{00000000-0005-0000-0000-0000BE280000}"/>
    <cellStyle name="Comma 6 4 3 8" xfId="6837" xr:uid="{00000000-0005-0000-0000-0000BF280000}"/>
    <cellStyle name="Comma 6 4 4" xfId="4152" xr:uid="{00000000-0005-0000-0000-0000C0280000}"/>
    <cellStyle name="Comma 6 4 4 2" xfId="4153" xr:uid="{00000000-0005-0000-0000-0000C1280000}"/>
    <cellStyle name="Comma 6 4 4 2 2" xfId="4154" xr:uid="{00000000-0005-0000-0000-0000C2280000}"/>
    <cellStyle name="Comma 6 4 4 2 2 2" xfId="4155" xr:uid="{00000000-0005-0000-0000-0000C3280000}"/>
    <cellStyle name="Comma 6 4 4 2 2 2 2" xfId="12175" xr:uid="{00000000-0005-0000-0000-0000C4280000}"/>
    <cellStyle name="Comma 6 4 4 2 2 3" xfId="11244" xr:uid="{00000000-0005-0000-0000-0000C5280000}"/>
    <cellStyle name="Comma 6 4 4 2 2 4" xfId="12176" xr:uid="{00000000-0005-0000-0000-0000C6280000}"/>
    <cellStyle name="Comma 6 4 4 2 2 5" xfId="6844" xr:uid="{00000000-0005-0000-0000-0000C7280000}"/>
    <cellStyle name="Comma 6 4 4 2 3" xfId="4156" xr:uid="{00000000-0005-0000-0000-0000C8280000}"/>
    <cellStyle name="Comma 6 4 4 2 3 2" xfId="12174" xr:uid="{00000000-0005-0000-0000-0000C9280000}"/>
    <cellStyle name="Comma 6 4 4 2 4" xfId="11243" xr:uid="{00000000-0005-0000-0000-0000CA280000}"/>
    <cellStyle name="Comma 6 4 4 2 5" xfId="12177" xr:uid="{00000000-0005-0000-0000-0000CB280000}"/>
    <cellStyle name="Comma 6 4 4 2 6" xfId="6843" xr:uid="{00000000-0005-0000-0000-0000CC280000}"/>
    <cellStyle name="Comma 6 4 4 3" xfId="4157" xr:uid="{00000000-0005-0000-0000-0000CD280000}"/>
    <cellStyle name="Comma 6 4 4 3 2" xfId="4158" xr:uid="{00000000-0005-0000-0000-0000CE280000}"/>
    <cellStyle name="Comma 6 4 4 3 2 2" xfId="12172" xr:uid="{00000000-0005-0000-0000-0000CF280000}"/>
    <cellStyle name="Comma 6 4 4 3 3" xfId="11245" xr:uid="{00000000-0005-0000-0000-0000D0280000}"/>
    <cellStyle name="Comma 6 4 4 3 4" xfId="12173" xr:uid="{00000000-0005-0000-0000-0000D1280000}"/>
    <cellStyle name="Comma 6 4 4 3 5" xfId="6845" xr:uid="{00000000-0005-0000-0000-0000D2280000}"/>
    <cellStyle name="Comma 6 4 4 4" xfId="4159" xr:uid="{00000000-0005-0000-0000-0000D3280000}"/>
    <cellStyle name="Comma 6 4 4 4 2" xfId="4160" xr:uid="{00000000-0005-0000-0000-0000D4280000}"/>
    <cellStyle name="Comma 6 4 4 4 2 2" xfId="12170" xr:uid="{00000000-0005-0000-0000-0000D5280000}"/>
    <cellStyle name="Comma 6 4 4 4 3" xfId="11246" xr:uid="{00000000-0005-0000-0000-0000D6280000}"/>
    <cellStyle name="Comma 6 4 4 4 4" xfId="12171" xr:uid="{00000000-0005-0000-0000-0000D7280000}"/>
    <cellStyle name="Comma 6 4 4 4 5" xfId="6846" xr:uid="{00000000-0005-0000-0000-0000D8280000}"/>
    <cellStyle name="Comma 6 4 4 5" xfId="4161" xr:uid="{00000000-0005-0000-0000-0000D9280000}"/>
    <cellStyle name="Comma 6 4 4 5 2" xfId="12169" xr:uid="{00000000-0005-0000-0000-0000DA280000}"/>
    <cellStyle name="Comma 6 4 4 6" xfId="11242" xr:uid="{00000000-0005-0000-0000-0000DB280000}"/>
    <cellStyle name="Comma 6 4 4 7" xfId="12178" xr:uid="{00000000-0005-0000-0000-0000DC280000}"/>
    <cellStyle name="Comma 6 4 4 8" xfId="6842" xr:uid="{00000000-0005-0000-0000-0000DD280000}"/>
    <cellStyle name="Comma 6 4 5" xfId="4162" xr:uid="{00000000-0005-0000-0000-0000DE280000}"/>
    <cellStyle name="Comma 6 4 5 2" xfId="4163" xr:uid="{00000000-0005-0000-0000-0000DF280000}"/>
    <cellStyle name="Comma 6 4 5 2 2" xfId="4164" xr:uid="{00000000-0005-0000-0000-0000E0280000}"/>
    <cellStyle name="Comma 6 4 5 2 2 2" xfId="4165" xr:uid="{00000000-0005-0000-0000-0000E1280000}"/>
    <cellStyle name="Comma 6 4 5 2 2 2 2" xfId="12165" xr:uid="{00000000-0005-0000-0000-0000E2280000}"/>
    <cellStyle name="Comma 6 4 5 2 2 3" xfId="11249" xr:uid="{00000000-0005-0000-0000-0000E3280000}"/>
    <cellStyle name="Comma 6 4 5 2 2 4" xfId="12166" xr:uid="{00000000-0005-0000-0000-0000E4280000}"/>
    <cellStyle name="Comma 6 4 5 2 2 5" xfId="6849" xr:uid="{00000000-0005-0000-0000-0000E5280000}"/>
    <cellStyle name="Comma 6 4 5 2 3" xfId="4166" xr:uid="{00000000-0005-0000-0000-0000E6280000}"/>
    <cellStyle name="Comma 6 4 5 2 3 2" xfId="12164" xr:uid="{00000000-0005-0000-0000-0000E7280000}"/>
    <cellStyle name="Comma 6 4 5 2 4" xfId="11248" xr:uid="{00000000-0005-0000-0000-0000E8280000}"/>
    <cellStyle name="Comma 6 4 5 2 5" xfId="12167" xr:uid="{00000000-0005-0000-0000-0000E9280000}"/>
    <cellStyle name="Comma 6 4 5 2 6" xfId="6848" xr:uid="{00000000-0005-0000-0000-0000EA280000}"/>
    <cellStyle name="Comma 6 4 5 3" xfId="4167" xr:uid="{00000000-0005-0000-0000-0000EB280000}"/>
    <cellStyle name="Comma 6 4 5 3 2" xfId="4168" xr:uid="{00000000-0005-0000-0000-0000EC280000}"/>
    <cellStyle name="Comma 6 4 5 3 2 2" xfId="12162" xr:uid="{00000000-0005-0000-0000-0000ED280000}"/>
    <cellStyle name="Comma 6 4 5 3 3" xfId="11250" xr:uid="{00000000-0005-0000-0000-0000EE280000}"/>
    <cellStyle name="Comma 6 4 5 3 4" xfId="12163" xr:uid="{00000000-0005-0000-0000-0000EF280000}"/>
    <cellStyle name="Comma 6 4 5 3 5" xfId="6850" xr:uid="{00000000-0005-0000-0000-0000F0280000}"/>
    <cellStyle name="Comma 6 4 5 4" xfId="4169" xr:uid="{00000000-0005-0000-0000-0000F1280000}"/>
    <cellStyle name="Comma 6 4 5 4 2" xfId="4170" xr:uid="{00000000-0005-0000-0000-0000F2280000}"/>
    <cellStyle name="Comma 6 4 5 4 2 2" xfId="12160" xr:uid="{00000000-0005-0000-0000-0000F3280000}"/>
    <cellStyle name="Comma 6 4 5 4 3" xfId="11251" xr:uid="{00000000-0005-0000-0000-0000F4280000}"/>
    <cellStyle name="Comma 6 4 5 4 4" xfId="12161" xr:uid="{00000000-0005-0000-0000-0000F5280000}"/>
    <cellStyle name="Comma 6 4 5 4 5" xfId="6851" xr:uid="{00000000-0005-0000-0000-0000F6280000}"/>
    <cellStyle name="Comma 6 4 5 5" xfId="4171" xr:uid="{00000000-0005-0000-0000-0000F7280000}"/>
    <cellStyle name="Comma 6 4 5 5 2" xfId="12159" xr:uid="{00000000-0005-0000-0000-0000F8280000}"/>
    <cellStyle name="Comma 6 4 5 6" xfId="11247" xr:uid="{00000000-0005-0000-0000-0000F9280000}"/>
    <cellStyle name="Comma 6 4 5 7" xfId="12168" xr:uid="{00000000-0005-0000-0000-0000FA280000}"/>
    <cellStyle name="Comma 6 4 5 8" xfId="6847" xr:uid="{00000000-0005-0000-0000-0000FB280000}"/>
    <cellStyle name="Comma 6 4 6" xfId="4172" xr:uid="{00000000-0005-0000-0000-0000FC280000}"/>
    <cellStyle name="Comma 6 4 6 2" xfId="4173" xr:uid="{00000000-0005-0000-0000-0000FD280000}"/>
    <cellStyle name="Comma 6 4 6 2 2" xfId="4174" xr:uid="{00000000-0005-0000-0000-0000FE280000}"/>
    <cellStyle name="Comma 6 4 6 2 2 2" xfId="4175" xr:uid="{00000000-0005-0000-0000-0000FF280000}"/>
    <cellStyle name="Comma 6 4 6 2 2 2 2" xfId="12155" xr:uid="{00000000-0005-0000-0000-000000290000}"/>
    <cellStyle name="Comma 6 4 6 2 2 3" xfId="11254" xr:uid="{00000000-0005-0000-0000-000001290000}"/>
    <cellStyle name="Comma 6 4 6 2 2 4" xfId="12156" xr:uid="{00000000-0005-0000-0000-000002290000}"/>
    <cellStyle name="Comma 6 4 6 2 2 5" xfId="6854" xr:uid="{00000000-0005-0000-0000-000003290000}"/>
    <cellStyle name="Comma 6 4 6 2 3" xfId="4176" xr:uid="{00000000-0005-0000-0000-000004290000}"/>
    <cellStyle name="Comma 6 4 6 2 3 2" xfId="12154" xr:uid="{00000000-0005-0000-0000-000005290000}"/>
    <cellStyle name="Comma 6 4 6 2 4" xfId="11253" xr:uid="{00000000-0005-0000-0000-000006290000}"/>
    <cellStyle name="Comma 6 4 6 2 5" xfId="12157" xr:uid="{00000000-0005-0000-0000-000007290000}"/>
    <cellStyle name="Comma 6 4 6 2 6" xfId="6853" xr:uid="{00000000-0005-0000-0000-000008290000}"/>
    <cellStyle name="Comma 6 4 6 3" xfId="4177" xr:uid="{00000000-0005-0000-0000-000009290000}"/>
    <cellStyle name="Comma 6 4 6 3 2" xfId="4178" xr:uid="{00000000-0005-0000-0000-00000A290000}"/>
    <cellStyle name="Comma 6 4 6 3 2 2" xfId="12152" xr:uid="{00000000-0005-0000-0000-00000B290000}"/>
    <cellStyle name="Comma 6 4 6 3 3" xfId="11255" xr:uid="{00000000-0005-0000-0000-00000C290000}"/>
    <cellStyle name="Comma 6 4 6 3 4" xfId="12153" xr:uid="{00000000-0005-0000-0000-00000D290000}"/>
    <cellStyle name="Comma 6 4 6 3 5" xfId="6855" xr:uid="{00000000-0005-0000-0000-00000E290000}"/>
    <cellStyle name="Comma 6 4 6 4" xfId="4179" xr:uid="{00000000-0005-0000-0000-00000F290000}"/>
    <cellStyle name="Comma 6 4 6 4 2" xfId="4180" xr:uid="{00000000-0005-0000-0000-000010290000}"/>
    <cellStyle name="Comma 6 4 6 4 2 2" xfId="12150" xr:uid="{00000000-0005-0000-0000-000011290000}"/>
    <cellStyle name="Comma 6 4 6 4 3" xfId="11256" xr:uid="{00000000-0005-0000-0000-000012290000}"/>
    <cellStyle name="Comma 6 4 6 4 4" xfId="12151" xr:uid="{00000000-0005-0000-0000-000013290000}"/>
    <cellStyle name="Comma 6 4 6 4 5" xfId="6856" xr:uid="{00000000-0005-0000-0000-000014290000}"/>
    <cellStyle name="Comma 6 4 6 5" xfId="4181" xr:uid="{00000000-0005-0000-0000-000015290000}"/>
    <cellStyle name="Comma 6 4 6 5 2" xfId="12149" xr:uid="{00000000-0005-0000-0000-000016290000}"/>
    <cellStyle name="Comma 6 4 6 6" xfId="11252" xr:uid="{00000000-0005-0000-0000-000017290000}"/>
    <cellStyle name="Comma 6 4 6 7" xfId="12158" xr:uid="{00000000-0005-0000-0000-000018290000}"/>
    <cellStyle name="Comma 6 4 6 8" xfId="6852" xr:uid="{00000000-0005-0000-0000-000019290000}"/>
    <cellStyle name="Comma 6 4 7" xfId="4182" xr:uid="{00000000-0005-0000-0000-00001A290000}"/>
    <cellStyle name="Comma 6 4 7 2" xfId="4183" xr:uid="{00000000-0005-0000-0000-00001B290000}"/>
    <cellStyle name="Comma 6 4 7 2 2" xfId="4184" xr:uid="{00000000-0005-0000-0000-00001C290000}"/>
    <cellStyle name="Comma 6 4 7 2 2 2" xfId="12146" xr:uid="{00000000-0005-0000-0000-00001D290000}"/>
    <cellStyle name="Comma 6 4 7 2 3" xfId="11258" xr:uid="{00000000-0005-0000-0000-00001E290000}"/>
    <cellStyle name="Comma 6 4 7 2 4" xfId="12147" xr:uid="{00000000-0005-0000-0000-00001F290000}"/>
    <cellStyle name="Comma 6 4 7 2 5" xfId="6858" xr:uid="{00000000-0005-0000-0000-000020290000}"/>
    <cellStyle name="Comma 6 4 7 3" xfId="4185" xr:uid="{00000000-0005-0000-0000-000021290000}"/>
    <cellStyle name="Comma 6 4 7 3 2" xfId="4186" xr:uid="{00000000-0005-0000-0000-000022290000}"/>
    <cellStyle name="Comma 6 4 7 3 2 2" xfId="12144" xr:uid="{00000000-0005-0000-0000-000023290000}"/>
    <cellStyle name="Comma 6 4 7 3 3" xfId="11259" xr:uid="{00000000-0005-0000-0000-000024290000}"/>
    <cellStyle name="Comma 6 4 7 3 4" xfId="12145" xr:uid="{00000000-0005-0000-0000-000025290000}"/>
    <cellStyle name="Comma 6 4 7 3 5" xfId="6859" xr:uid="{00000000-0005-0000-0000-000026290000}"/>
    <cellStyle name="Comma 6 4 7 4" xfId="4187" xr:uid="{00000000-0005-0000-0000-000027290000}"/>
    <cellStyle name="Comma 6 4 7 4 2" xfId="12143" xr:uid="{00000000-0005-0000-0000-000028290000}"/>
    <cellStyle name="Comma 6 4 7 5" xfId="11257" xr:uid="{00000000-0005-0000-0000-000029290000}"/>
    <cellStyle name="Comma 6 4 7 6" xfId="12148" xr:uid="{00000000-0005-0000-0000-00002A290000}"/>
    <cellStyle name="Comma 6 4 7 7" xfId="6857" xr:uid="{00000000-0005-0000-0000-00002B290000}"/>
    <cellStyle name="Comma 6 4 8" xfId="4188" xr:uid="{00000000-0005-0000-0000-00002C290000}"/>
    <cellStyle name="Comma 6 4 8 2" xfId="4189" xr:uid="{00000000-0005-0000-0000-00002D290000}"/>
    <cellStyle name="Comma 6 4 8 2 2" xfId="4190" xr:uid="{00000000-0005-0000-0000-00002E290000}"/>
    <cellStyle name="Comma 6 4 8 2 2 2" xfId="12140" xr:uid="{00000000-0005-0000-0000-00002F290000}"/>
    <cellStyle name="Comma 6 4 8 2 3" xfId="11261" xr:uid="{00000000-0005-0000-0000-000030290000}"/>
    <cellStyle name="Comma 6 4 8 2 4" xfId="12141" xr:uid="{00000000-0005-0000-0000-000031290000}"/>
    <cellStyle name="Comma 6 4 8 2 5" xfId="6861" xr:uid="{00000000-0005-0000-0000-000032290000}"/>
    <cellStyle name="Comma 6 4 8 3" xfId="4191" xr:uid="{00000000-0005-0000-0000-000033290000}"/>
    <cellStyle name="Comma 6 4 8 3 2" xfId="12139" xr:uid="{00000000-0005-0000-0000-000034290000}"/>
    <cellStyle name="Comma 6 4 8 4" xfId="11260" xr:uid="{00000000-0005-0000-0000-000035290000}"/>
    <cellStyle name="Comma 6 4 8 5" xfId="12142" xr:uid="{00000000-0005-0000-0000-000036290000}"/>
    <cellStyle name="Comma 6 4 8 6" xfId="6860" xr:uid="{00000000-0005-0000-0000-000037290000}"/>
    <cellStyle name="Comma 6 4 9" xfId="4192" xr:uid="{00000000-0005-0000-0000-000038290000}"/>
    <cellStyle name="Comma 6 4 9 2" xfId="4193" xr:uid="{00000000-0005-0000-0000-000039290000}"/>
    <cellStyle name="Comma 6 4 9 2 2" xfId="12137" xr:uid="{00000000-0005-0000-0000-00003A290000}"/>
    <cellStyle name="Comma 6 4 9 3" xfId="11262" xr:uid="{00000000-0005-0000-0000-00003B290000}"/>
    <cellStyle name="Comma 6 4 9 4" xfId="12138" xr:uid="{00000000-0005-0000-0000-00003C290000}"/>
    <cellStyle name="Comma 6 4 9 5" xfId="6862" xr:uid="{00000000-0005-0000-0000-00003D290000}"/>
    <cellStyle name="Comma 6 5" xfId="4194" xr:uid="{00000000-0005-0000-0000-00003E290000}"/>
    <cellStyle name="Comma 6 5 10" xfId="4195" xr:uid="{00000000-0005-0000-0000-00003F290000}"/>
    <cellStyle name="Comma 6 5 10 2" xfId="12135" xr:uid="{00000000-0005-0000-0000-000040290000}"/>
    <cellStyle name="Comma 6 5 11" xfId="11263" xr:uid="{00000000-0005-0000-0000-000041290000}"/>
    <cellStyle name="Comma 6 5 12" xfId="12136" xr:uid="{00000000-0005-0000-0000-000042290000}"/>
    <cellStyle name="Comma 6 5 13" xfId="6863" xr:uid="{00000000-0005-0000-0000-000043290000}"/>
    <cellStyle name="Comma 6 5 2" xfId="4196" xr:uid="{00000000-0005-0000-0000-000044290000}"/>
    <cellStyle name="Comma 6 5 2 2" xfId="4197" xr:uid="{00000000-0005-0000-0000-000045290000}"/>
    <cellStyle name="Comma 6 5 2 2 2" xfId="4198" xr:uid="{00000000-0005-0000-0000-000046290000}"/>
    <cellStyle name="Comma 6 5 2 2 2 2" xfId="4199" xr:uid="{00000000-0005-0000-0000-000047290000}"/>
    <cellStyle name="Comma 6 5 2 2 2 2 2" xfId="12131" xr:uid="{00000000-0005-0000-0000-000048290000}"/>
    <cellStyle name="Comma 6 5 2 2 2 3" xfId="11266" xr:uid="{00000000-0005-0000-0000-000049290000}"/>
    <cellStyle name="Comma 6 5 2 2 2 4" xfId="12132" xr:uid="{00000000-0005-0000-0000-00004A290000}"/>
    <cellStyle name="Comma 6 5 2 2 2 5" xfId="6866" xr:uid="{00000000-0005-0000-0000-00004B290000}"/>
    <cellStyle name="Comma 6 5 2 2 3" xfId="4200" xr:uid="{00000000-0005-0000-0000-00004C290000}"/>
    <cellStyle name="Comma 6 5 2 2 3 2" xfId="12130" xr:uid="{00000000-0005-0000-0000-00004D290000}"/>
    <cellStyle name="Comma 6 5 2 2 4" xfId="11265" xr:uid="{00000000-0005-0000-0000-00004E290000}"/>
    <cellStyle name="Comma 6 5 2 2 5" xfId="12133" xr:uid="{00000000-0005-0000-0000-00004F290000}"/>
    <cellStyle name="Comma 6 5 2 2 6" xfId="6865" xr:uid="{00000000-0005-0000-0000-000050290000}"/>
    <cellStyle name="Comma 6 5 2 3" xfId="4201" xr:uid="{00000000-0005-0000-0000-000051290000}"/>
    <cellStyle name="Comma 6 5 2 3 2" xfId="4202" xr:uid="{00000000-0005-0000-0000-000052290000}"/>
    <cellStyle name="Comma 6 5 2 3 2 2" xfId="12128" xr:uid="{00000000-0005-0000-0000-000053290000}"/>
    <cellStyle name="Comma 6 5 2 3 3" xfId="11267" xr:uid="{00000000-0005-0000-0000-000054290000}"/>
    <cellStyle name="Comma 6 5 2 3 4" xfId="12129" xr:uid="{00000000-0005-0000-0000-000055290000}"/>
    <cellStyle name="Comma 6 5 2 3 5" xfId="6867" xr:uid="{00000000-0005-0000-0000-000056290000}"/>
    <cellStyle name="Comma 6 5 2 4" xfId="4203" xr:uid="{00000000-0005-0000-0000-000057290000}"/>
    <cellStyle name="Comma 6 5 2 4 2" xfId="4204" xr:uid="{00000000-0005-0000-0000-000058290000}"/>
    <cellStyle name="Comma 6 5 2 4 2 2" xfId="12126" xr:uid="{00000000-0005-0000-0000-000059290000}"/>
    <cellStyle name="Comma 6 5 2 4 3" xfId="11268" xr:uid="{00000000-0005-0000-0000-00005A290000}"/>
    <cellStyle name="Comma 6 5 2 4 4" xfId="12127" xr:uid="{00000000-0005-0000-0000-00005B290000}"/>
    <cellStyle name="Comma 6 5 2 4 5" xfId="6868" xr:uid="{00000000-0005-0000-0000-00005C290000}"/>
    <cellStyle name="Comma 6 5 2 5" xfId="4205" xr:uid="{00000000-0005-0000-0000-00005D290000}"/>
    <cellStyle name="Comma 6 5 2 5 2" xfId="12125" xr:uid="{00000000-0005-0000-0000-00005E290000}"/>
    <cellStyle name="Comma 6 5 2 6" xfId="11264" xr:uid="{00000000-0005-0000-0000-00005F290000}"/>
    <cellStyle name="Comma 6 5 2 7" xfId="12134" xr:uid="{00000000-0005-0000-0000-000060290000}"/>
    <cellStyle name="Comma 6 5 2 8" xfId="6864" xr:uid="{00000000-0005-0000-0000-000061290000}"/>
    <cellStyle name="Comma 6 5 3" xfId="4206" xr:uid="{00000000-0005-0000-0000-000062290000}"/>
    <cellStyle name="Comma 6 5 3 2" xfId="4207" xr:uid="{00000000-0005-0000-0000-000063290000}"/>
    <cellStyle name="Comma 6 5 3 2 2" xfId="4208" xr:uid="{00000000-0005-0000-0000-000064290000}"/>
    <cellStyle name="Comma 6 5 3 2 2 2" xfId="4209" xr:uid="{00000000-0005-0000-0000-000065290000}"/>
    <cellStyle name="Comma 6 5 3 2 2 2 2" xfId="12121" xr:uid="{00000000-0005-0000-0000-000066290000}"/>
    <cellStyle name="Comma 6 5 3 2 2 3" xfId="11271" xr:uid="{00000000-0005-0000-0000-000067290000}"/>
    <cellStyle name="Comma 6 5 3 2 2 4" xfId="12122" xr:uid="{00000000-0005-0000-0000-000068290000}"/>
    <cellStyle name="Comma 6 5 3 2 2 5" xfId="6871" xr:uid="{00000000-0005-0000-0000-000069290000}"/>
    <cellStyle name="Comma 6 5 3 2 3" xfId="4210" xr:uid="{00000000-0005-0000-0000-00006A290000}"/>
    <cellStyle name="Comma 6 5 3 2 3 2" xfId="12120" xr:uid="{00000000-0005-0000-0000-00006B290000}"/>
    <cellStyle name="Comma 6 5 3 2 4" xfId="11270" xr:uid="{00000000-0005-0000-0000-00006C290000}"/>
    <cellStyle name="Comma 6 5 3 2 5" xfId="12123" xr:uid="{00000000-0005-0000-0000-00006D290000}"/>
    <cellStyle name="Comma 6 5 3 2 6" xfId="6870" xr:uid="{00000000-0005-0000-0000-00006E290000}"/>
    <cellStyle name="Comma 6 5 3 3" xfId="4211" xr:uid="{00000000-0005-0000-0000-00006F290000}"/>
    <cellStyle name="Comma 6 5 3 3 2" xfId="4212" xr:uid="{00000000-0005-0000-0000-000070290000}"/>
    <cellStyle name="Comma 6 5 3 3 2 2" xfId="12118" xr:uid="{00000000-0005-0000-0000-000071290000}"/>
    <cellStyle name="Comma 6 5 3 3 3" xfId="11272" xr:uid="{00000000-0005-0000-0000-000072290000}"/>
    <cellStyle name="Comma 6 5 3 3 4" xfId="12119" xr:uid="{00000000-0005-0000-0000-000073290000}"/>
    <cellStyle name="Comma 6 5 3 3 5" xfId="6872" xr:uid="{00000000-0005-0000-0000-000074290000}"/>
    <cellStyle name="Comma 6 5 3 4" xfId="4213" xr:uid="{00000000-0005-0000-0000-000075290000}"/>
    <cellStyle name="Comma 6 5 3 4 2" xfId="4214" xr:uid="{00000000-0005-0000-0000-000076290000}"/>
    <cellStyle name="Comma 6 5 3 4 2 2" xfId="12116" xr:uid="{00000000-0005-0000-0000-000077290000}"/>
    <cellStyle name="Comma 6 5 3 4 3" xfId="11273" xr:uid="{00000000-0005-0000-0000-000078290000}"/>
    <cellStyle name="Comma 6 5 3 4 4" xfId="12117" xr:uid="{00000000-0005-0000-0000-000079290000}"/>
    <cellStyle name="Comma 6 5 3 4 5" xfId="6873" xr:uid="{00000000-0005-0000-0000-00007A290000}"/>
    <cellStyle name="Comma 6 5 3 5" xfId="4215" xr:uid="{00000000-0005-0000-0000-00007B290000}"/>
    <cellStyle name="Comma 6 5 3 5 2" xfId="12115" xr:uid="{00000000-0005-0000-0000-00007C290000}"/>
    <cellStyle name="Comma 6 5 3 6" xfId="11269" xr:uid="{00000000-0005-0000-0000-00007D290000}"/>
    <cellStyle name="Comma 6 5 3 7" xfId="12124" xr:uid="{00000000-0005-0000-0000-00007E290000}"/>
    <cellStyle name="Comma 6 5 3 8" xfId="6869" xr:uid="{00000000-0005-0000-0000-00007F290000}"/>
    <cellStyle name="Comma 6 5 4" xfId="4216" xr:uid="{00000000-0005-0000-0000-000080290000}"/>
    <cellStyle name="Comma 6 5 4 2" xfId="4217" xr:uid="{00000000-0005-0000-0000-000081290000}"/>
    <cellStyle name="Comma 6 5 4 2 2" xfId="4218" xr:uid="{00000000-0005-0000-0000-000082290000}"/>
    <cellStyle name="Comma 6 5 4 2 2 2" xfId="4219" xr:uid="{00000000-0005-0000-0000-000083290000}"/>
    <cellStyle name="Comma 6 5 4 2 2 2 2" xfId="12111" xr:uid="{00000000-0005-0000-0000-000084290000}"/>
    <cellStyle name="Comma 6 5 4 2 2 3" xfId="11276" xr:uid="{00000000-0005-0000-0000-000085290000}"/>
    <cellStyle name="Comma 6 5 4 2 2 4" xfId="12112" xr:uid="{00000000-0005-0000-0000-000086290000}"/>
    <cellStyle name="Comma 6 5 4 2 2 5" xfId="6876" xr:uid="{00000000-0005-0000-0000-000087290000}"/>
    <cellStyle name="Comma 6 5 4 2 3" xfId="4220" xr:uid="{00000000-0005-0000-0000-000088290000}"/>
    <cellStyle name="Comma 6 5 4 2 3 2" xfId="12110" xr:uid="{00000000-0005-0000-0000-000089290000}"/>
    <cellStyle name="Comma 6 5 4 2 4" xfId="11275" xr:uid="{00000000-0005-0000-0000-00008A290000}"/>
    <cellStyle name="Comma 6 5 4 2 5" xfId="12113" xr:uid="{00000000-0005-0000-0000-00008B290000}"/>
    <cellStyle name="Comma 6 5 4 2 6" xfId="6875" xr:uid="{00000000-0005-0000-0000-00008C290000}"/>
    <cellStyle name="Comma 6 5 4 3" xfId="4221" xr:uid="{00000000-0005-0000-0000-00008D290000}"/>
    <cellStyle name="Comma 6 5 4 3 2" xfId="4222" xr:uid="{00000000-0005-0000-0000-00008E290000}"/>
    <cellStyle name="Comma 6 5 4 3 2 2" xfId="12108" xr:uid="{00000000-0005-0000-0000-00008F290000}"/>
    <cellStyle name="Comma 6 5 4 3 3" xfId="11277" xr:uid="{00000000-0005-0000-0000-000090290000}"/>
    <cellStyle name="Comma 6 5 4 3 4" xfId="12109" xr:uid="{00000000-0005-0000-0000-000091290000}"/>
    <cellStyle name="Comma 6 5 4 3 5" xfId="6877" xr:uid="{00000000-0005-0000-0000-000092290000}"/>
    <cellStyle name="Comma 6 5 4 4" xfId="4223" xr:uid="{00000000-0005-0000-0000-000093290000}"/>
    <cellStyle name="Comma 6 5 4 4 2" xfId="4224" xr:uid="{00000000-0005-0000-0000-000094290000}"/>
    <cellStyle name="Comma 6 5 4 4 2 2" xfId="12106" xr:uid="{00000000-0005-0000-0000-000095290000}"/>
    <cellStyle name="Comma 6 5 4 4 3" xfId="11278" xr:uid="{00000000-0005-0000-0000-000096290000}"/>
    <cellStyle name="Comma 6 5 4 4 4" xfId="12107" xr:uid="{00000000-0005-0000-0000-000097290000}"/>
    <cellStyle name="Comma 6 5 4 4 5" xfId="6878" xr:uid="{00000000-0005-0000-0000-000098290000}"/>
    <cellStyle name="Comma 6 5 4 5" xfId="4225" xr:uid="{00000000-0005-0000-0000-000099290000}"/>
    <cellStyle name="Comma 6 5 4 5 2" xfId="12105" xr:uid="{00000000-0005-0000-0000-00009A290000}"/>
    <cellStyle name="Comma 6 5 4 6" xfId="11274" xr:uid="{00000000-0005-0000-0000-00009B290000}"/>
    <cellStyle name="Comma 6 5 4 7" xfId="12114" xr:uid="{00000000-0005-0000-0000-00009C290000}"/>
    <cellStyle name="Comma 6 5 4 8" xfId="6874" xr:uid="{00000000-0005-0000-0000-00009D290000}"/>
    <cellStyle name="Comma 6 5 5" xfId="4226" xr:uid="{00000000-0005-0000-0000-00009E290000}"/>
    <cellStyle name="Comma 6 5 5 2" xfId="4227" xr:uid="{00000000-0005-0000-0000-00009F290000}"/>
    <cellStyle name="Comma 6 5 5 2 2" xfId="4228" xr:uid="{00000000-0005-0000-0000-0000A0290000}"/>
    <cellStyle name="Comma 6 5 5 2 2 2" xfId="4229" xr:uid="{00000000-0005-0000-0000-0000A1290000}"/>
    <cellStyle name="Comma 6 5 5 2 2 2 2" xfId="12101" xr:uid="{00000000-0005-0000-0000-0000A2290000}"/>
    <cellStyle name="Comma 6 5 5 2 2 3" xfId="11281" xr:uid="{00000000-0005-0000-0000-0000A3290000}"/>
    <cellStyle name="Comma 6 5 5 2 2 4" xfId="12102" xr:uid="{00000000-0005-0000-0000-0000A4290000}"/>
    <cellStyle name="Comma 6 5 5 2 2 5" xfId="6881" xr:uid="{00000000-0005-0000-0000-0000A5290000}"/>
    <cellStyle name="Comma 6 5 5 2 3" xfId="4230" xr:uid="{00000000-0005-0000-0000-0000A6290000}"/>
    <cellStyle name="Comma 6 5 5 2 3 2" xfId="12100" xr:uid="{00000000-0005-0000-0000-0000A7290000}"/>
    <cellStyle name="Comma 6 5 5 2 4" xfId="11280" xr:uid="{00000000-0005-0000-0000-0000A8290000}"/>
    <cellStyle name="Comma 6 5 5 2 5" xfId="12103" xr:uid="{00000000-0005-0000-0000-0000A9290000}"/>
    <cellStyle name="Comma 6 5 5 2 6" xfId="6880" xr:uid="{00000000-0005-0000-0000-0000AA290000}"/>
    <cellStyle name="Comma 6 5 5 3" xfId="4231" xr:uid="{00000000-0005-0000-0000-0000AB290000}"/>
    <cellStyle name="Comma 6 5 5 3 2" xfId="4232" xr:uid="{00000000-0005-0000-0000-0000AC290000}"/>
    <cellStyle name="Comma 6 5 5 3 2 2" xfId="12098" xr:uid="{00000000-0005-0000-0000-0000AD290000}"/>
    <cellStyle name="Comma 6 5 5 3 3" xfId="11282" xr:uid="{00000000-0005-0000-0000-0000AE290000}"/>
    <cellStyle name="Comma 6 5 5 3 4" xfId="12099" xr:uid="{00000000-0005-0000-0000-0000AF290000}"/>
    <cellStyle name="Comma 6 5 5 3 5" xfId="6882" xr:uid="{00000000-0005-0000-0000-0000B0290000}"/>
    <cellStyle name="Comma 6 5 5 4" xfId="4233" xr:uid="{00000000-0005-0000-0000-0000B1290000}"/>
    <cellStyle name="Comma 6 5 5 4 2" xfId="4234" xr:uid="{00000000-0005-0000-0000-0000B2290000}"/>
    <cellStyle name="Comma 6 5 5 4 2 2" xfId="12096" xr:uid="{00000000-0005-0000-0000-0000B3290000}"/>
    <cellStyle name="Comma 6 5 5 4 3" xfId="11283" xr:uid="{00000000-0005-0000-0000-0000B4290000}"/>
    <cellStyle name="Comma 6 5 5 4 4" xfId="12097" xr:uid="{00000000-0005-0000-0000-0000B5290000}"/>
    <cellStyle name="Comma 6 5 5 4 5" xfId="6883" xr:uid="{00000000-0005-0000-0000-0000B6290000}"/>
    <cellStyle name="Comma 6 5 5 5" xfId="4235" xr:uid="{00000000-0005-0000-0000-0000B7290000}"/>
    <cellStyle name="Comma 6 5 5 5 2" xfId="12095" xr:uid="{00000000-0005-0000-0000-0000B8290000}"/>
    <cellStyle name="Comma 6 5 5 6" xfId="11279" xr:uid="{00000000-0005-0000-0000-0000B9290000}"/>
    <cellStyle name="Comma 6 5 5 7" xfId="12104" xr:uid="{00000000-0005-0000-0000-0000BA290000}"/>
    <cellStyle name="Comma 6 5 5 8" xfId="6879" xr:uid="{00000000-0005-0000-0000-0000BB290000}"/>
    <cellStyle name="Comma 6 5 6" xfId="4236" xr:uid="{00000000-0005-0000-0000-0000BC290000}"/>
    <cellStyle name="Comma 6 5 6 2" xfId="4237" xr:uid="{00000000-0005-0000-0000-0000BD290000}"/>
    <cellStyle name="Comma 6 5 6 2 2" xfId="4238" xr:uid="{00000000-0005-0000-0000-0000BE290000}"/>
    <cellStyle name="Comma 6 5 6 2 2 2" xfId="12092" xr:uid="{00000000-0005-0000-0000-0000BF290000}"/>
    <cellStyle name="Comma 6 5 6 2 3" xfId="11285" xr:uid="{00000000-0005-0000-0000-0000C0290000}"/>
    <cellStyle name="Comma 6 5 6 2 4" xfId="12093" xr:uid="{00000000-0005-0000-0000-0000C1290000}"/>
    <cellStyle name="Comma 6 5 6 2 5" xfId="6885" xr:uid="{00000000-0005-0000-0000-0000C2290000}"/>
    <cellStyle name="Comma 6 5 6 3" xfId="4239" xr:uid="{00000000-0005-0000-0000-0000C3290000}"/>
    <cellStyle name="Comma 6 5 6 3 2" xfId="4240" xr:uid="{00000000-0005-0000-0000-0000C4290000}"/>
    <cellStyle name="Comma 6 5 6 3 2 2" xfId="12090" xr:uid="{00000000-0005-0000-0000-0000C5290000}"/>
    <cellStyle name="Comma 6 5 6 3 3" xfId="11286" xr:uid="{00000000-0005-0000-0000-0000C6290000}"/>
    <cellStyle name="Comma 6 5 6 3 4" xfId="12091" xr:uid="{00000000-0005-0000-0000-0000C7290000}"/>
    <cellStyle name="Comma 6 5 6 3 5" xfId="6886" xr:uid="{00000000-0005-0000-0000-0000C8290000}"/>
    <cellStyle name="Comma 6 5 6 4" xfId="4241" xr:uid="{00000000-0005-0000-0000-0000C9290000}"/>
    <cellStyle name="Comma 6 5 6 4 2" xfId="12089" xr:uid="{00000000-0005-0000-0000-0000CA290000}"/>
    <cellStyle name="Comma 6 5 6 5" xfId="11284" xr:uid="{00000000-0005-0000-0000-0000CB290000}"/>
    <cellStyle name="Comma 6 5 6 6" xfId="12094" xr:uid="{00000000-0005-0000-0000-0000CC290000}"/>
    <cellStyle name="Comma 6 5 6 7" xfId="6884" xr:uid="{00000000-0005-0000-0000-0000CD290000}"/>
    <cellStyle name="Comma 6 5 7" xfId="4242" xr:uid="{00000000-0005-0000-0000-0000CE290000}"/>
    <cellStyle name="Comma 6 5 7 2" xfId="4243" xr:uid="{00000000-0005-0000-0000-0000CF290000}"/>
    <cellStyle name="Comma 6 5 7 2 2" xfId="4244" xr:uid="{00000000-0005-0000-0000-0000D0290000}"/>
    <cellStyle name="Comma 6 5 7 2 2 2" xfId="12086" xr:uid="{00000000-0005-0000-0000-0000D1290000}"/>
    <cellStyle name="Comma 6 5 7 2 3" xfId="11288" xr:uid="{00000000-0005-0000-0000-0000D2290000}"/>
    <cellStyle name="Comma 6 5 7 2 4" xfId="12087" xr:uid="{00000000-0005-0000-0000-0000D3290000}"/>
    <cellStyle name="Comma 6 5 7 2 5" xfId="6888" xr:uid="{00000000-0005-0000-0000-0000D4290000}"/>
    <cellStyle name="Comma 6 5 7 3" xfId="4245" xr:uid="{00000000-0005-0000-0000-0000D5290000}"/>
    <cellStyle name="Comma 6 5 7 3 2" xfId="12085" xr:uid="{00000000-0005-0000-0000-0000D6290000}"/>
    <cellStyle name="Comma 6 5 7 4" xfId="11287" xr:uid="{00000000-0005-0000-0000-0000D7290000}"/>
    <cellStyle name="Comma 6 5 7 5" xfId="12088" xr:uid="{00000000-0005-0000-0000-0000D8290000}"/>
    <cellStyle name="Comma 6 5 7 6" xfId="6887" xr:uid="{00000000-0005-0000-0000-0000D9290000}"/>
    <cellStyle name="Comma 6 5 8" xfId="4246" xr:uid="{00000000-0005-0000-0000-0000DA290000}"/>
    <cellStyle name="Comma 6 5 8 2" xfId="4247" xr:uid="{00000000-0005-0000-0000-0000DB290000}"/>
    <cellStyle name="Comma 6 5 8 2 2" xfId="12083" xr:uid="{00000000-0005-0000-0000-0000DC290000}"/>
    <cellStyle name="Comma 6 5 8 3" xfId="11289" xr:uid="{00000000-0005-0000-0000-0000DD290000}"/>
    <cellStyle name="Comma 6 5 8 4" xfId="12084" xr:uid="{00000000-0005-0000-0000-0000DE290000}"/>
    <cellStyle name="Comma 6 5 8 5" xfId="6889" xr:uid="{00000000-0005-0000-0000-0000DF290000}"/>
    <cellStyle name="Comma 6 5 9" xfId="4248" xr:uid="{00000000-0005-0000-0000-0000E0290000}"/>
    <cellStyle name="Comma 6 5 9 2" xfId="4249" xr:uid="{00000000-0005-0000-0000-0000E1290000}"/>
    <cellStyle name="Comma 6 5 9 2 2" xfId="12081" xr:uid="{00000000-0005-0000-0000-0000E2290000}"/>
    <cellStyle name="Comma 6 5 9 3" xfId="11290" xr:uid="{00000000-0005-0000-0000-0000E3290000}"/>
    <cellStyle name="Comma 6 5 9 4" xfId="12082" xr:uid="{00000000-0005-0000-0000-0000E4290000}"/>
    <cellStyle name="Comma 6 5 9 5" xfId="6890" xr:uid="{00000000-0005-0000-0000-0000E5290000}"/>
    <cellStyle name="Comma 6 6" xfId="4250" xr:uid="{00000000-0005-0000-0000-0000E6290000}"/>
    <cellStyle name="Comma 6 6 2" xfId="4251" xr:uid="{00000000-0005-0000-0000-0000E7290000}"/>
    <cellStyle name="Comma 6 6 2 2" xfId="4252" xr:uid="{00000000-0005-0000-0000-0000E8290000}"/>
    <cellStyle name="Comma 6 6 2 2 2" xfId="4253" xr:uid="{00000000-0005-0000-0000-0000E9290000}"/>
    <cellStyle name="Comma 6 6 2 2 2 2" xfId="12077" xr:uid="{00000000-0005-0000-0000-0000EA290000}"/>
    <cellStyle name="Comma 6 6 2 2 3" xfId="11293" xr:uid="{00000000-0005-0000-0000-0000EB290000}"/>
    <cellStyle name="Comma 6 6 2 2 4" xfId="12078" xr:uid="{00000000-0005-0000-0000-0000EC290000}"/>
    <cellStyle name="Comma 6 6 2 2 5" xfId="6893" xr:uid="{00000000-0005-0000-0000-0000ED290000}"/>
    <cellStyle name="Comma 6 6 2 3" xfId="4254" xr:uid="{00000000-0005-0000-0000-0000EE290000}"/>
    <cellStyle name="Comma 6 6 2 3 2" xfId="12076" xr:uid="{00000000-0005-0000-0000-0000EF290000}"/>
    <cellStyle name="Comma 6 6 2 4" xfId="11292" xr:uid="{00000000-0005-0000-0000-0000F0290000}"/>
    <cellStyle name="Comma 6 6 2 5" xfId="12079" xr:uid="{00000000-0005-0000-0000-0000F1290000}"/>
    <cellStyle name="Comma 6 6 2 6" xfId="6892" xr:uid="{00000000-0005-0000-0000-0000F2290000}"/>
    <cellStyle name="Comma 6 6 3" xfId="4255" xr:uid="{00000000-0005-0000-0000-0000F3290000}"/>
    <cellStyle name="Comma 6 6 3 2" xfId="4256" xr:uid="{00000000-0005-0000-0000-0000F4290000}"/>
    <cellStyle name="Comma 6 6 3 2 2" xfId="12074" xr:uid="{00000000-0005-0000-0000-0000F5290000}"/>
    <cellStyle name="Comma 6 6 3 3" xfId="11294" xr:uid="{00000000-0005-0000-0000-0000F6290000}"/>
    <cellStyle name="Comma 6 6 3 4" xfId="12075" xr:uid="{00000000-0005-0000-0000-0000F7290000}"/>
    <cellStyle name="Comma 6 6 3 5" xfId="6894" xr:uid="{00000000-0005-0000-0000-0000F8290000}"/>
    <cellStyle name="Comma 6 6 4" xfId="4257" xr:uid="{00000000-0005-0000-0000-0000F9290000}"/>
    <cellStyle name="Comma 6 6 4 2" xfId="4258" xr:uid="{00000000-0005-0000-0000-0000FA290000}"/>
    <cellStyle name="Comma 6 6 4 2 2" xfId="12072" xr:uid="{00000000-0005-0000-0000-0000FB290000}"/>
    <cellStyle name="Comma 6 6 4 3" xfId="11295" xr:uid="{00000000-0005-0000-0000-0000FC290000}"/>
    <cellStyle name="Comma 6 6 4 4" xfId="12073" xr:uid="{00000000-0005-0000-0000-0000FD290000}"/>
    <cellStyle name="Comma 6 6 4 5" xfId="6895" xr:uid="{00000000-0005-0000-0000-0000FE290000}"/>
    <cellStyle name="Comma 6 6 5" xfId="4259" xr:uid="{00000000-0005-0000-0000-0000FF290000}"/>
    <cellStyle name="Comma 6 6 5 2" xfId="12071" xr:uid="{00000000-0005-0000-0000-0000002A0000}"/>
    <cellStyle name="Comma 6 6 6" xfId="11291" xr:uid="{00000000-0005-0000-0000-0000012A0000}"/>
    <cellStyle name="Comma 6 6 7" xfId="12080" xr:uid="{00000000-0005-0000-0000-0000022A0000}"/>
    <cellStyle name="Comma 6 6 8" xfId="6891" xr:uid="{00000000-0005-0000-0000-0000032A0000}"/>
    <cellStyle name="Comma 6 7" xfId="4260" xr:uid="{00000000-0005-0000-0000-0000042A0000}"/>
    <cellStyle name="Comma 6 7 2" xfId="4261" xr:uid="{00000000-0005-0000-0000-0000052A0000}"/>
    <cellStyle name="Comma 6 7 2 2" xfId="4262" xr:uid="{00000000-0005-0000-0000-0000062A0000}"/>
    <cellStyle name="Comma 6 7 2 2 2" xfId="4263" xr:uid="{00000000-0005-0000-0000-0000072A0000}"/>
    <cellStyle name="Comma 6 7 2 2 2 2" xfId="12067" xr:uid="{00000000-0005-0000-0000-0000082A0000}"/>
    <cellStyle name="Comma 6 7 2 2 3" xfId="11298" xr:uid="{00000000-0005-0000-0000-0000092A0000}"/>
    <cellStyle name="Comma 6 7 2 2 4" xfId="12068" xr:uid="{00000000-0005-0000-0000-00000A2A0000}"/>
    <cellStyle name="Comma 6 7 2 2 5" xfId="6898" xr:uid="{00000000-0005-0000-0000-00000B2A0000}"/>
    <cellStyle name="Comma 6 7 2 3" xfId="4264" xr:uid="{00000000-0005-0000-0000-00000C2A0000}"/>
    <cellStyle name="Comma 6 7 2 3 2" xfId="12066" xr:uid="{00000000-0005-0000-0000-00000D2A0000}"/>
    <cellStyle name="Comma 6 7 2 4" xfId="11297" xr:uid="{00000000-0005-0000-0000-00000E2A0000}"/>
    <cellStyle name="Comma 6 7 2 5" xfId="12069" xr:uid="{00000000-0005-0000-0000-00000F2A0000}"/>
    <cellStyle name="Comma 6 7 2 6" xfId="6897" xr:uid="{00000000-0005-0000-0000-0000102A0000}"/>
    <cellStyle name="Comma 6 7 3" xfId="4265" xr:uid="{00000000-0005-0000-0000-0000112A0000}"/>
    <cellStyle name="Comma 6 7 3 2" xfId="4266" xr:uid="{00000000-0005-0000-0000-0000122A0000}"/>
    <cellStyle name="Comma 6 7 3 2 2" xfId="12064" xr:uid="{00000000-0005-0000-0000-0000132A0000}"/>
    <cellStyle name="Comma 6 7 3 3" xfId="11299" xr:uid="{00000000-0005-0000-0000-0000142A0000}"/>
    <cellStyle name="Comma 6 7 3 4" xfId="12065" xr:uid="{00000000-0005-0000-0000-0000152A0000}"/>
    <cellStyle name="Comma 6 7 3 5" xfId="6899" xr:uid="{00000000-0005-0000-0000-0000162A0000}"/>
    <cellStyle name="Comma 6 7 4" xfId="4267" xr:uid="{00000000-0005-0000-0000-0000172A0000}"/>
    <cellStyle name="Comma 6 7 4 2" xfId="4268" xr:uid="{00000000-0005-0000-0000-0000182A0000}"/>
    <cellStyle name="Comma 6 7 4 2 2" xfId="12062" xr:uid="{00000000-0005-0000-0000-0000192A0000}"/>
    <cellStyle name="Comma 6 7 4 3" xfId="11300" xr:uid="{00000000-0005-0000-0000-00001A2A0000}"/>
    <cellStyle name="Comma 6 7 4 4" xfId="12063" xr:uid="{00000000-0005-0000-0000-00001B2A0000}"/>
    <cellStyle name="Comma 6 7 4 5" xfId="6900" xr:uid="{00000000-0005-0000-0000-00001C2A0000}"/>
    <cellStyle name="Comma 6 7 5" xfId="4269" xr:uid="{00000000-0005-0000-0000-00001D2A0000}"/>
    <cellStyle name="Comma 6 7 5 2" xfId="12061" xr:uid="{00000000-0005-0000-0000-00001E2A0000}"/>
    <cellStyle name="Comma 6 7 6" xfId="11296" xr:uid="{00000000-0005-0000-0000-00001F2A0000}"/>
    <cellStyle name="Comma 6 7 7" xfId="12070" xr:uid="{00000000-0005-0000-0000-0000202A0000}"/>
    <cellStyle name="Comma 6 7 8" xfId="6896" xr:uid="{00000000-0005-0000-0000-0000212A0000}"/>
    <cellStyle name="Comma 6 8" xfId="4270" xr:uid="{00000000-0005-0000-0000-0000222A0000}"/>
    <cellStyle name="Comma 6 8 2" xfId="4271" xr:uid="{00000000-0005-0000-0000-0000232A0000}"/>
    <cellStyle name="Comma 6 8 2 2" xfId="4272" xr:uid="{00000000-0005-0000-0000-0000242A0000}"/>
    <cellStyle name="Comma 6 8 2 2 2" xfId="4273" xr:uid="{00000000-0005-0000-0000-0000252A0000}"/>
    <cellStyle name="Comma 6 8 2 2 2 2" xfId="12057" xr:uid="{00000000-0005-0000-0000-0000262A0000}"/>
    <cellStyle name="Comma 6 8 2 2 3" xfId="11303" xr:uid="{00000000-0005-0000-0000-0000272A0000}"/>
    <cellStyle name="Comma 6 8 2 2 4" xfId="12058" xr:uid="{00000000-0005-0000-0000-0000282A0000}"/>
    <cellStyle name="Comma 6 8 2 2 5" xfId="6903" xr:uid="{00000000-0005-0000-0000-0000292A0000}"/>
    <cellStyle name="Comma 6 8 2 3" xfId="4274" xr:uid="{00000000-0005-0000-0000-00002A2A0000}"/>
    <cellStyle name="Comma 6 8 2 3 2" xfId="12056" xr:uid="{00000000-0005-0000-0000-00002B2A0000}"/>
    <cellStyle name="Comma 6 8 2 4" xfId="11302" xr:uid="{00000000-0005-0000-0000-00002C2A0000}"/>
    <cellStyle name="Comma 6 8 2 5" xfId="12059" xr:uid="{00000000-0005-0000-0000-00002D2A0000}"/>
    <cellStyle name="Comma 6 8 2 6" xfId="6902" xr:uid="{00000000-0005-0000-0000-00002E2A0000}"/>
    <cellStyle name="Comma 6 8 3" xfId="4275" xr:uid="{00000000-0005-0000-0000-00002F2A0000}"/>
    <cellStyle name="Comma 6 8 3 2" xfId="4276" xr:uid="{00000000-0005-0000-0000-0000302A0000}"/>
    <cellStyle name="Comma 6 8 3 2 2" xfId="12054" xr:uid="{00000000-0005-0000-0000-0000312A0000}"/>
    <cellStyle name="Comma 6 8 3 3" xfId="11304" xr:uid="{00000000-0005-0000-0000-0000322A0000}"/>
    <cellStyle name="Comma 6 8 3 4" xfId="12055" xr:uid="{00000000-0005-0000-0000-0000332A0000}"/>
    <cellStyle name="Comma 6 8 3 5" xfId="6904" xr:uid="{00000000-0005-0000-0000-0000342A0000}"/>
    <cellStyle name="Comma 6 8 4" xfId="4277" xr:uid="{00000000-0005-0000-0000-0000352A0000}"/>
    <cellStyle name="Comma 6 8 4 2" xfId="4278" xr:uid="{00000000-0005-0000-0000-0000362A0000}"/>
    <cellStyle name="Comma 6 8 4 2 2" xfId="12052" xr:uid="{00000000-0005-0000-0000-0000372A0000}"/>
    <cellStyle name="Comma 6 8 4 3" xfId="11305" xr:uid="{00000000-0005-0000-0000-0000382A0000}"/>
    <cellStyle name="Comma 6 8 4 4" xfId="12053" xr:uid="{00000000-0005-0000-0000-0000392A0000}"/>
    <cellStyle name="Comma 6 8 4 5" xfId="6905" xr:uid="{00000000-0005-0000-0000-00003A2A0000}"/>
    <cellStyle name="Comma 6 8 5" xfId="4279" xr:uid="{00000000-0005-0000-0000-00003B2A0000}"/>
    <cellStyle name="Comma 6 8 5 2" xfId="12051" xr:uid="{00000000-0005-0000-0000-00003C2A0000}"/>
    <cellStyle name="Comma 6 8 6" xfId="11301" xr:uid="{00000000-0005-0000-0000-00003D2A0000}"/>
    <cellStyle name="Comma 6 8 7" xfId="12060" xr:uid="{00000000-0005-0000-0000-00003E2A0000}"/>
    <cellStyle name="Comma 6 8 8" xfId="6901" xr:uid="{00000000-0005-0000-0000-00003F2A0000}"/>
    <cellStyle name="Comma 6 9" xfId="4280" xr:uid="{00000000-0005-0000-0000-0000402A0000}"/>
    <cellStyle name="Comma 6 9 2" xfId="4281" xr:uid="{00000000-0005-0000-0000-0000412A0000}"/>
    <cellStyle name="Comma 6 9 2 2" xfId="4282" xr:uid="{00000000-0005-0000-0000-0000422A0000}"/>
    <cellStyle name="Comma 6 9 2 2 2" xfId="4283" xr:uid="{00000000-0005-0000-0000-0000432A0000}"/>
    <cellStyle name="Comma 6 9 2 2 2 2" xfId="12047" xr:uid="{00000000-0005-0000-0000-0000442A0000}"/>
    <cellStyle name="Comma 6 9 2 2 3" xfId="11308" xr:uid="{00000000-0005-0000-0000-0000452A0000}"/>
    <cellStyle name="Comma 6 9 2 2 4" xfId="12048" xr:uid="{00000000-0005-0000-0000-0000462A0000}"/>
    <cellStyle name="Comma 6 9 2 2 5" xfId="6908" xr:uid="{00000000-0005-0000-0000-0000472A0000}"/>
    <cellStyle name="Comma 6 9 2 3" xfId="4284" xr:uid="{00000000-0005-0000-0000-0000482A0000}"/>
    <cellStyle name="Comma 6 9 2 3 2" xfId="12046" xr:uid="{00000000-0005-0000-0000-0000492A0000}"/>
    <cellStyle name="Comma 6 9 2 4" xfId="11307" xr:uid="{00000000-0005-0000-0000-00004A2A0000}"/>
    <cellStyle name="Comma 6 9 2 5" xfId="12049" xr:uid="{00000000-0005-0000-0000-00004B2A0000}"/>
    <cellStyle name="Comma 6 9 2 6" xfId="6907" xr:uid="{00000000-0005-0000-0000-00004C2A0000}"/>
    <cellStyle name="Comma 6 9 3" xfId="4285" xr:uid="{00000000-0005-0000-0000-00004D2A0000}"/>
    <cellStyle name="Comma 6 9 3 2" xfId="4286" xr:uid="{00000000-0005-0000-0000-00004E2A0000}"/>
    <cellStyle name="Comma 6 9 3 2 2" xfId="12044" xr:uid="{00000000-0005-0000-0000-00004F2A0000}"/>
    <cellStyle name="Comma 6 9 3 3" xfId="11309" xr:uid="{00000000-0005-0000-0000-0000502A0000}"/>
    <cellStyle name="Comma 6 9 3 4" xfId="12045" xr:uid="{00000000-0005-0000-0000-0000512A0000}"/>
    <cellStyle name="Comma 6 9 3 5" xfId="6909" xr:uid="{00000000-0005-0000-0000-0000522A0000}"/>
    <cellStyle name="Comma 6 9 4" xfId="4287" xr:uid="{00000000-0005-0000-0000-0000532A0000}"/>
    <cellStyle name="Comma 6 9 4 2" xfId="4288" xr:uid="{00000000-0005-0000-0000-0000542A0000}"/>
    <cellStyle name="Comma 6 9 4 2 2" xfId="12042" xr:uid="{00000000-0005-0000-0000-0000552A0000}"/>
    <cellStyle name="Comma 6 9 4 3" xfId="11310" xr:uid="{00000000-0005-0000-0000-0000562A0000}"/>
    <cellStyle name="Comma 6 9 4 4" xfId="12043" xr:uid="{00000000-0005-0000-0000-0000572A0000}"/>
    <cellStyle name="Comma 6 9 4 5" xfId="6910" xr:uid="{00000000-0005-0000-0000-0000582A0000}"/>
    <cellStyle name="Comma 6 9 5" xfId="4289" xr:uid="{00000000-0005-0000-0000-0000592A0000}"/>
    <cellStyle name="Comma 6 9 5 2" xfId="12041" xr:uid="{00000000-0005-0000-0000-00005A2A0000}"/>
    <cellStyle name="Comma 6 9 6" xfId="11306" xr:uid="{00000000-0005-0000-0000-00005B2A0000}"/>
    <cellStyle name="Comma 6 9 7" xfId="12050" xr:uid="{00000000-0005-0000-0000-00005C2A0000}"/>
    <cellStyle name="Comma 6 9 8" xfId="6906" xr:uid="{00000000-0005-0000-0000-00005D2A0000}"/>
    <cellStyle name="Comma 7" xfId="4290" xr:uid="{00000000-0005-0000-0000-00005E2A0000}"/>
    <cellStyle name="Comma 7 10" xfId="4291" xr:uid="{00000000-0005-0000-0000-00005F2A0000}"/>
    <cellStyle name="Comma 7 10 2" xfId="4292" xr:uid="{00000000-0005-0000-0000-0000602A0000}"/>
    <cellStyle name="Comma 7 10 2 2" xfId="4293" xr:uid="{00000000-0005-0000-0000-0000612A0000}"/>
    <cellStyle name="Comma 7 10 2 2 2" xfId="12037" xr:uid="{00000000-0005-0000-0000-0000622A0000}"/>
    <cellStyle name="Comma 7 10 2 3" xfId="11313" xr:uid="{00000000-0005-0000-0000-0000632A0000}"/>
    <cellStyle name="Comma 7 10 2 4" xfId="12038" xr:uid="{00000000-0005-0000-0000-0000642A0000}"/>
    <cellStyle name="Comma 7 10 2 5" xfId="6913" xr:uid="{00000000-0005-0000-0000-0000652A0000}"/>
    <cellStyle name="Comma 7 10 3" xfId="4294" xr:uid="{00000000-0005-0000-0000-0000662A0000}"/>
    <cellStyle name="Comma 7 10 3 2" xfId="4295" xr:uid="{00000000-0005-0000-0000-0000672A0000}"/>
    <cellStyle name="Comma 7 10 3 2 2" xfId="12035" xr:uid="{00000000-0005-0000-0000-0000682A0000}"/>
    <cellStyle name="Comma 7 10 3 3" xfId="11314" xr:uid="{00000000-0005-0000-0000-0000692A0000}"/>
    <cellStyle name="Comma 7 10 3 4" xfId="12036" xr:uid="{00000000-0005-0000-0000-00006A2A0000}"/>
    <cellStyle name="Comma 7 10 3 5" xfId="6914" xr:uid="{00000000-0005-0000-0000-00006B2A0000}"/>
    <cellStyle name="Comma 7 10 4" xfId="4296" xr:uid="{00000000-0005-0000-0000-00006C2A0000}"/>
    <cellStyle name="Comma 7 10 4 2" xfId="12034" xr:uid="{00000000-0005-0000-0000-00006D2A0000}"/>
    <cellStyle name="Comma 7 10 5" xfId="11312" xr:uid="{00000000-0005-0000-0000-00006E2A0000}"/>
    <cellStyle name="Comma 7 10 6" xfId="12039" xr:uid="{00000000-0005-0000-0000-00006F2A0000}"/>
    <cellStyle name="Comma 7 10 7" xfId="6912" xr:uid="{00000000-0005-0000-0000-0000702A0000}"/>
    <cellStyle name="Comma 7 11" xfId="4297" xr:uid="{00000000-0005-0000-0000-0000712A0000}"/>
    <cellStyle name="Comma 7 11 2" xfId="4298" xr:uid="{00000000-0005-0000-0000-0000722A0000}"/>
    <cellStyle name="Comma 7 11 2 2" xfId="4299" xr:uid="{00000000-0005-0000-0000-0000732A0000}"/>
    <cellStyle name="Comma 7 11 2 2 2" xfId="12031" xr:uid="{00000000-0005-0000-0000-0000742A0000}"/>
    <cellStyle name="Comma 7 11 2 3" xfId="11316" xr:uid="{00000000-0005-0000-0000-0000752A0000}"/>
    <cellStyle name="Comma 7 11 2 4" xfId="12032" xr:uid="{00000000-0005-0000-0000-0000762A0000}"/>
    <cellStyle name="Comma 7 11 2 5" xfId="6916" xr:uid="{00000000-0005-0000-0000-0000772A0000}"/>
    <cellStyle name="Comma 7 11 3" xfId="4300" xr:uid="{00000000-0005-0000-0000-0000782A0000}"/>
    <cellStyle name="Comma 7 11 3 2" xfId="12030" xr:uid="{00000000-0005-0000-0000-0000792A0000}"/>
    <cellStyle name="Comma 7 11 4" xfId="11315" xr:uid="{00000000-0005-0000-0000-00007A2A0000}"/>
    <cellStyle name="Comma 7 11 5" xfId="12033" xr:uid="{00000000-0005-0000-0000-00007B2A0000}"/>
    <cellStyle name="Comma 7 11 6" xfId="6915" xr:uid="{00000000-0005-0000-0000-00007C2A0000}"/>
    <cellStyle name="Comma 7 12" xfId="4301" xr:uid="{00000000-0005-0000-0000-00007D2A0000}"/>
    <cellStyle name="Comma 7 12 2" xfId="4302" xr:uid="{00000000-0005-0000-0000-00007E2A0000}"/>
    <cellStyle name="Comma 7 12 2 2" xfId="12028" xr:uid="{00000000-0005-0000-0000-00007F2A0000}"/>
    <cellStyle name="Comma 7 12 3" xfId="11317" xr:uid="{00000000-0005-0000-0000-0000802A0000}"/>
    <cellStyle name="Comma 7 12 4" xfId="12029" xr:uid="{00000000-0005-0000-0000-0000812A0000}"/>
    <cellStyle name="Comma 7 12 5" xfId="6917" xr:uid="{00000000-0005-0000-0000-0000822A0000}"/>
    <cellStyle name="Comma 7 13" xfId="4303" xr:uid="{00000000-0005-0000-0000-0000832A0000}"/>
    <cellStyle name="Comma 7 13 2" xfId="4304" xr:uid="{00000000-0005-0000-0000-0000842A0000}"/>
    <cellStyle name="Comma 7 13 2 2" xfId="12026" xr:uid="{00000000-0005-0000-0000-0000852A0000}"/>
    <cellStyle name="Comma 7 13 3" xfId="11318" xr:uid="{00000000-0005-0000-0000-0000862A0000}"/>
    <cellStyle name="Comma 7 13 4" xfId="12027" xr:uid="{00000000-0005-0000-0000-0000872A0000}"/>
    <cellStyle name="Comma 7 13 5" xfId="6918" xr:uid="{00000000-0005-0000-0000-0000882A0000}"/>
    <cellStyle name="Comma 7 14" xfId="4305" xr:uid="{00000000-0005-0000-0000-0000892A0000}"/>
    <cellStyle name="Comma 7 14 2" xfId="12025" xr:uid="{00000000-0005-0000-0000-00008A2A0000}"/>
    <cellStyle name="Comma 7 15" xfId="11311" xr:uid="{00000000-0005-0000-0000-00008B2A0000}"/>
    <cellStyle name="Comma 7 16" xfId="12040" xr:uid="{00000000-0005-0000-0000-00008C2A0000}"/>
    <cellStyle name="Comma 7 17" xfId="6911" xr:uid="{00000000-0005-0000-0000-00008D2A0000}"/>
    <cellStyle name="Comma 7 2" xfId="4306" xr:uid="{00000000-0005-0000-0000-00008E2A0000}"/>
    <cellStyle name="Comma 7 2 10" xfId="4307" xr:uid="{00000000-0005-0000-0000-00008F2A0000}"/>
    <cellStyle name="Comma 7 2 10 2" xfId="4308" xr:uid="{00000000-0005-0000-0000-0000902A0000}"/>
    <cellStyle name="Comma 7 2 10 2 2" xfId="12022" xr:uid="{00000000-0005-0000-0000-0000912A0000}"/>
    <cellStyle name="Comma 7 2 10 3" xfId="11320" xr:uid="{00000000-0005-0000-0000-0000922A0000}"/>
    <cellStyle name="Comma 7 2 10 4" xfId="12023" xr:uid="{00000000-0005-0000-0000-0000932A0000}"/>
    <cellStyle name="Comma 7 2 10 5" xfId="6920" xr:uid="{00000000-0005-0000-0000-0000942A0000}"/>
    <cellStyle name="Comma 7 2 11" xfId="4309" xr:uid="{00000000-0005-0000-0000-0000952A0000}"/>
    <cellStyle name="Comma 7 2 11 2" xfId="12021" xr:uid="{00000000-0005-0000-0000-0000962A0000}"/>
    <cellStyle name="Comma 7 2 12" xfId="11319" xr:uid="{00000000-0005-0000-0000-0000972A0000}"/>
    <cellStyle name="Comma 7 2 13" xfId="12024" xr:uid="{00000000-0005-0000-0000-0000982A0000}"/>
    <cellStyle name="Comma 7 2 14" xfId="6919" xr:uid="{00000000-0005-0000-0000-0000992A0000}"/>
    <cellStyle name="Comma 7 2 2" xfId="4310" xr:uid="{00000000-0005-0000-0000-00009A2A0000}"/>
    <cellStyle name="Comma 7 2 2 10" xfId="4311" xr:uid="{00000000-0005-0000-0000-00009B2A0000}"/>
    <cellStyle name="Comma 7 2 2 10 2" xfId="12019" xr:uid="{00000000-0005-0000-0000-00009C2A0000}"/>
    <cellStyle name="Comma 7 2 2 11" xfId="11321" xr:uid="{00000000-0005-0000-0000-00009D2A0000}"/>
    <cellStyle name="Comma 7 2 2 12" xfId="12020" xr:uid="{00000000-0005-0000-0000-00009E2A0000}"/>
    <cellStyle name="Comma 7 2 2 13" xfId="6921" xr:uid="{00000000-0005-0000-0000-00009F2A0000}"/>
    <cellStyle name="Comma 7 2 2 2" xfId="4312" xr:uid="{00000000-0005-0000-0000-0000A02A0000}"/>
    <cellStyle name="Comma 7 2 2 2 2" xfId="4313" xr:uid="{00000000-0005-0000-0000-0000A12A0000}"/>
    <cellStyle name="Comma 7 2 2 2 2 2" xfId="4314" xr:uid="{00000000-0005-0000-0000-0000A22A0000}"/>
    <cellStyle name="Comma 7 2 2 2 2 2 2" xfId="4315" xr:uid="{00000000-0005-0000-0000-0000A32A0000}"/>
    <cellStyle name="Comma 7 2 2 2 2 2 2 2" xfId="12015" xr:uid="{00000000-0005-0000-0000-0000A42A0000}"/>
    <cellStyle name="Comma 7 2 2 2 2 2 3" xfId="11324" xr:uid="{00000000-0005-0000-0000-0000A52A0000}"/>
    <cellStyle name="Comma 7 2 2 2 2 2 4" xfId="12016" xr:uid="{00000000-0005-0000-0000-0000A62A0000}"/>
    <cellStyle name="Comma 7 2 2 2 2 2 5" xfId="6924" xr:uid="{00000000-0005-0000-0000-0000A72A0000}"/>
    <cellStyle name="Comma 7 2 2 2 2 3" xfId="4316" xr:uid="{00000000-0005-0000-0000-0000A82A0000}"/>
    <cellStyle name="Comma 7 2 2 2 2 3 2" xfId="12014" xr:uid="{00000000-0005-0000-0000-0000A92A0000}"/>
    <cellStyle name="Comma 7 2 2 2 2 4" xfId="11323" xr:uid="{00000000-0005-0000-0000-0000AA2A0000}"/>
    <cellStyle name="Comma 7 2 2 2 2 5" xfId="12017" xr:uid="{00000000-0005-0000-0000-0000AB2A0000}"/>
    <cellStyle name="Comma 7 2 2 2 2 6" xfId="6923" xr:uid="{00000000-0005-0000-0000-0000AC2A0000}"/>
    <cellStyle name="Comma 7 2 2 2 3" xfId="4317" xr:uid="{00000000-0005-0000-0000-0000AD2A0000}"/>
    <cellStyle name="Comma 7 2 2 2 3 2" xfId="4318" xr:uid="{00000000-0005-0000-0000-0000AE2A0000}"/>
    <cellStyle name="Comma 7 2 2 2 3 2 2" xfId="12012" xr:uid="{00000000-0005-0000-0000-0000AF2A0000}"/>
    <cellStyle name="Comma 7 2 2 2 3 3" xfId="11325" xr:uid="{00000000-0005-0000-0000-0000B02A0000}"/>
    <cellStyle name="Comma 7 2 2 2 3 4" xfId="12013" xr:uid="{00000000-0005-0000-0000-0000B12A0000}"/>
    <cellStyle name="Comma 7 2 2 2 3 5" xfId="6925" xr:uid="{00000000-0005-0000-0000-0000B22A0000}"/>
    <cellStyle name="Comma 7 2 2 2 4" xfId="4319" xr:uid="{00000000-0005-0000-0000-0000B32A0000}"/>
    <cellStyle name="Comma 7 2 2 2 4 2" xfId="4320" xr:uid="{00000000-0005-0000-0000-0000B42A0000}"/>
    <cellStyle name="Comma 7 2 2 2 4 2 2" xfId="12010" xr:uid="{00000000-0005-0000-0000-0000B52A0000}"/>
    <cellStyle name="Comma 7 2 2 2 4 3" xfId="11326" xr:uid="{00000000-0005-0000-0000-0000B62A0000}"/>
    <cellStyle name="Comma 7 2 2 2 4 4" xfId="12011" xr:uid="{00000000-0005-0000-0000-0000B72A0000}"/>
    <cellStyle name="Comma 7 2 2 2 4 5" xfId="6926" xr:uid="{00000000-0005-0000-0000-0000B82A0000}"/>
    <cellStyle name="Comma 7 2 2 2 5" xfId="4321" xr:uid="{00000000-0005-0000-0000-0000B92A0000}"/>
    <cellStyle name="Comma 7 2 2 2 5 2" xfId="12009" xr:uid="{00000000-0005-0000-0000-0000BA2A0000}"/>
    <cellStyle name="Comma 7 2 2 2 6" xfId="11322" xr:uid="{00000000-0005-0000-0000-0000BB2A0000}"/>
    <cellStyle name="Comma 7 2 2 2 7" xfId="12018" xr:uid="{00000000-0005-0000-0000-0000BC2A0000}"/>
    <cellStyle name="Comma 7 2 2 2 8" xfId="6922" xr:uid="{00000000-0005-0000-0000-0000BD2A0000}"/>
    <cellStyle name="Comma 7 2 2 3" xfId="4322" xr:uid="{00000000-0005-0000-0000-0000BE2A0000}"/>
    <cellStyle name="Comma 7 2 2 3 2" xfId="4323" xr:uid="{00000000-0005-0000-0000-0000BF2A0000}"/>
    <cellStyle name="Comma 7 2 2 3 2 2" xfId="4324" xr:uid="{00000000-0005-0000-0000-0000C02A0000}"/>
    <cellStyle name="Comma 7 2 2 3 2 2 2" xfId="4325" xr:uid="{00000000-0005-0000-0000-0000C12A0000}"/>
    <cellStyle name="Comma 7 2 2 3 2 2 2 2" xfId="12005" xr:uid="{00000000-0005-0000-0000-0000C22A0000}"/>
    <cellStyle name="Comma 7 2 2 3 2 2 3" xfId="11329" xr:uid="{00000000-0005-0000-0000-0000C32A0000}"/>
    <cellStyle name="Comma 7 2 2 3 2 2 4" xfId="12006" xr:uid="{00000000-0005-0000-0000-0000C42A0000}"/>
    <cellStyle name="Comma 7 2 2 3 2 2 5" xfId="6929" xr:uid="{00000000-0005-0000-0000-0000C52A0000}"/>
    <cellStyle name="Comma 7 2 2 3 2 3" xfId="4326" xr:uid="{00000000-0005-0000-0000-0000C62A0000}"/>
    <cellStyle name="Comma 7 2 2 3 2 3 2" xfId="12004" xr:uid="{00000000-0005-0000-0000-0000C72A0000}"/>
    <cellStyle name="Comma 7 2 2 3 2 4" xfId="11328" xr:uid="{00000000-0005-0000-0000-0000C82A0000}"/>
    <cellStyle name="Comma 7 2 2 3 2 5" xfId="12007" xr:uid="{00000000-0005-0000-0000-0000C92A0000}"/>
    <cellStyle name="Comma 7 2 2 3 2 6" xfId="6928" xr:uid="{00000000-0005-0000-0000-0000CA2A0000}"/>
    <cellStyle name="Comma 7 2 2 3 3" xfId="4327" xr:uid="{00000000-0005-0000-0000-0000CB2A0000}"/>
    <cellStyle name="Comma 7 2 2 3 3 2" xfId="4328" xr:uid="{00000000-0005-0000-0000-0000CC2A0000}"/>
    <cellStyle name="Comma 7 2 2 3 3 2 2" xfId="12002" xr:uid="{00000000-0005-0000-0000-0000CD2A0000}"/>
    <cellStyle name="Comma 7 2 2 3 3 3" xfId="11330" xr:uid="{00000000-0005-0000-0000-0000CE2A0000}"/>
    <cellStyle name="Comma 7 2 2 3 3 4" xfId="12003" xr:uid="{00000000-0005-0000-0000-0000CF2A0000}"/>
    <cellStyle name="Comma 7 2 2 3 3 5" xfId="6930" xr:uid="{00000000-0005-0000-0000-0000D02A0000}"/>
    <cellStyle name="Comma 7 2 2 3 4" xfId="4329" xr:uid="{00000000-0005-0000-0000-0000D12A0000}"/>
    <cellStyle name="Comma 7 2 2 3 4 2" xfId="4330" xr:uid="{00000000-0005-0000-0000-0000D22A0000}"/>
    <cellStyle name="Comma 7 2 2 3 4 2 2" xfId="12000" xr:uid="{00000000-0005-0000-0000-0000D32A0000}"/>
    <cellStyle name="Comma 7 2 2 3 4 3" xfId="11331" xr:uid="{00000000-0005-0000-0000-0000D42A0000}"/>
    <cellStyle name="Comma 7 2 2 3 4 4" xfId="12001" xr:uid="{00000000-0005-0000-0000-0000D52A0000}"/>
    <cellStyle name="Comma 7 2 2 3 4 5" xfId="6931" xr:uid="{00000000-0005-0000-0000-0000D62A0000}"/>
    <cellStyle name="Comma 7 2 2 3 5" xfId="4331" xr:uid="{00000000-0005-0000-0000-0000D72A0000}"/>
    <cellStyle name="Comma 7 2 2 3 5 2" xfId="11999" xr:uid="{00000000-0005-0000-0000-0000D82A0000}"/>
    <cellStyle name="Comma 7 2 2 3 6" xfId="11327" xr:uid="{00000000-0005-0000-0000-0000D92A0000}"/>
    <cellStyle name="Comma 7 2 2 3 7" xfId="12008" xr:uid="{00000000-0005-0000-0000-0000DA2A0000}"/>
    <cellStyle name="Comma 7 2 2 3 8" xfId="6927" xr:uid="{00000000-0005-0000-0000-0000DB2A0000}"/>
    <cellStyle name="Comma 7 2 2 4" xfId="4332" xr:uid="{00000000-0005-0000-0000-0000DC2A0000}"/>
    <cellStyle name="Comma 7 2 2 4 2" xfId="4333" xr:uid="{00000000-0005-0000-0000-0000DD2A0000}"/>
    <cellStyle name="Comma 7 2 2 4 2 2" xfId="4334" xr:uid="{00000000-0005-0000-0000-0000DE2A0000}"/>
    <cellStyle name="Comma 7 2 2 4 2 2 2" xfId="4335" xr:uid="{00000000-0005-0000-0000-0000DF2A0000}"/>
    <cellStyle name="Comma 7 2 2 4 2 2 2 2" xfId="11995" xr:uid="{00000000-0005-0000-0000-0000E02A0000}"/>
    <cellStyle name="Comma 7 2 2 4 2 2 3" xfId="11334" xr:uid="{00000000-0005-0000-0000-0000E12A0000}"/>
    <cellStyle name="Comma 7 2 2 4 2 2 4" xfId="11996" xr:uid="{00000000-0005-0000-0000-0000E22A0000}"/>
    <cellStyle name="Comma 7 2 2 4 2 2 5" xfId="6934" xr:uid="{00000000-0005-0000-0000-0000E32A0000}"/>
    <cellStyle name="Comma 7 2 2 4 2 3" xfId="4336" xr:uid="{00000000-0005-0000-0000-0000E42A0000}"/>
    <cellStyle name="Comma 7 2 2 4 2 3 2" xfId="11994" xr:uid="{00000000-0005-0000-0000-0000E52A0000}"/>
    <cellStyle name="Comma 7 2 2 4 2 4" xfId="11333" xr:uid="{00000000-0005-0000-0000-0000E62A0000}"/>
    <cellStyle name="Comma 7 2 2 4 2 5" xfId="11997" xr:uid="{00000000-0005-0000-0000-0000E72A0000}"/>
    <cellStyle name="Comma 7 2 2 4 2 6" xfId="6933" xr:uid="{00000000-0005-0000-0000-0000E82A0000}"/>
    <cellStyle name="Comma 7 2 2 4 3" xfId="4337" xr:uid="{00000000-0005-0000-0000-0000E92A0000}"/>
    <cellStyle name="Comma 7 2 2 4 3 2" xfId="4338" xr:uid="{00000000-0005-0000-0000-0000EA2A0000}"/>
    <cellStyle name="Comma 7 2 2 4 3 2 2" xfId="11992" xr:uid="{00000000-0005-0000-0000-0000EB2A0000}"/>
    <cellStyle name="Comma 7 2 2 4 3 3" xfId="11335" xr:uid="{00000000-0005-0000-0000-0000EC2A0000}"/>
    <cellStyle name="Comma 7 2 2 4 3 4" xfId="11993" xr:uid="{00000000-0005-0000-0000-0000ED2A0000}"/>
    <cellStyle name="Comma 7 2 2 4 3 5" xfId="6935" xr:uid="{00000000-0005-0000-0000-0000EE2A0000}"/>
    <cellStyle name="Comma 7 2 2 4 4" xfId="4339" xr:uid="{00000000-0005-0000-0000-0000EF2A0000}"/>
    <cellStyle name="Comma 7 2 2 4 4 2" xfId="4340" xr:uid="{00000000-0005-0000-0000-0000F02A0000}"/>
    <cellStyle name="Comma 7 2 2 4 4 2 2" xfId="11990" xr:uid="{00000000-0005-0000-0000-0000F12A0000}"/>
    <cellStyle name="Comma 7 2 2 4 4 3" xfId="11336" xr:uid="{00000000-0005-0000-0000-0000F22A0000}"/>
    <cellStyle name="Comma 7 2 2 4 4 4" xfId="11991" xr:uid="{00000000-0005-0000-0000-0000F32A0000}"/>
    <cellStyle name="Comma 7 2 2 4 4 5" xfId="6936" xr:uid="{00000000-0005-0000-0000-0000F42A0000}"/>
    <cellStyle name="Comma 7 2 2 4 5" xfId="4341" xr:uid="{00000000-0005-0000-0000-0000F52A0000}"/>
    <cellStyle name="Comma 7 2 2 4 5 2" xfId="11989" xr:uid="{00000000-0005-0000-0000-0000F62A0000}"/>
    <cellStyle name="Comma 7 2 2 4 6" xfId="11332" xr:uid="{00000000-0005-0000-0000-0000F72A0000}"/>
    <cellStyle name="Comma 7 2 2 4 7" xfId="11998" xr:uid="{00000000-0005-0000-0000-0000F82A0000}"/>
    <cellStyle name="Comma 7 2 2 4 8" xfId="6932" xr:uid="{00000000-0005-0000-0000-0000F92A0000}"/>
    <cellStyle name="Comma 7 2 2 5" xfId="4342" xr:uid="{00000000-0005-0000-0000-0000FA2A0000}"/>
    <cellStyle name="Comma 7 2 2 5 2" xfId="4343" xr:uid="{00000000-0005-0000-0000-0000FB2A0000}"/>
    <cellStyle name="Comma 7 2 2 5 2 2" xfId="4344" xr:uid="{00000000-0005-0000-0000-0000FC2A0000}"/>
    <cellStyle name="Comma 7 2 2 5 2 2 2" xfId="4345" xr:uid="{00000000-0005-0000-0000-0000FD2A0000}"/>
    <cellStyle name="Comma 7 2 2 5 2 2 2 2" xfId="11985" xr:uid="{00000000-0005-0000-0000-0000FE2A0000}"/>
    <cellStyle name="Comma 7 2 2 5 2 2 3" xfId="11339" xr:uid="{00000000-0005-0000-0000-0000FF2A0000}"/>
    <cellStyle name="Comma 7 2 2 5 2 2 4" xfId="11986" xr:uid="{00000000-0005-0000-0000-0000002B0000}"/>
    <cellStyle name="Comma 7 2 2 5 2 2 5" xfId="6939" xr:uid="{00000000-0005-0000-0000-0000012B0000}"/>
    <cellStyle name="Comma 7 2 2 5 2 3" xfId="4346" xr:uid="{00000000-0005-0000-0000-0000022B0000}"/>
    <cellStyle name="Comma 7 2 2 5 2 3 2" xfId="11984" xr:uid="{00000000-0005-0000-0000-0000032B0000}"/>
    <cellStyle name="Comma 7 2 2 5 2 4" xfId="11338" xr:uid="{00000000-0005-0000-0000-0000042B0000}"/>
    <cellStyle name="Comma 7 2 2 5 2 5" xfId="11987" xr:uid="{00000000-0005-0000-0000-0000052B0000}"/>
    <cellStyle name="Comma 7 2 2 5 2 6" xfId="6938" xr:uid="{00000000-0005-0000-0000-0000062B0000}"/>
    <cellStyle name="Comma 7 2 2 5 3" xfId="4347" xr:uid="{00000000-0005-0000-0000-0000072B0000}"/>
    <cellStyle name="Comma 7 2 2 5 3 2" xfId="4348" xr:uid="{00000000-0005-0000-0000-0000082B0000}"/>
    <cellStyle name="Comma 7 2 2 5 3 2 2" xfId="11982" xr:uid="{00000000-0005-0000-0000-0000092B0000}"/>
    <cellStyle name="Comma 7 2 2 5 3 3" xfId="11340" xr:uid="{00000000-0005-0000-0000-00000A2B0000}"/>
    <cellStyle name="Comma 7 2 2 5 3 4" xfId="11983" xr:uid="{00000000-0005-0000-0000-00000B2B0000}"/>
    <cellStyle name="Comma 7 2 2 5 3 5" xfId="6940" xr:uid="{00000000-0005-0000-0000-00000C2B0000}"/>
    <cellStyle name="Comma 7 2 2 5 4" xfId="4349" xr:uid="{00000000-0005-0000-0000-00000D2B0000}"/>
    <cellStyle name="Comma 7 2 2 5 4 2" xfId="4350" xr:uid="{00000000-0005-0000-0000-00000E2B0000}"/>
    <cellStyle name="Comma 7 2 2 5 4 2 2" xfId="11980" xr:uid="{00000000-0005-0000-0000-00000F2B0000}"/>
    <cellStyle name="Comma 7 2 2 5 4 3" xfId="11341" xr:uid="{00000000-0005-0000-0000-0000102B0000}"/>
    <cellStyle name="Comma 7 2 2 5 4 4" xfId="11981" xr:uid="{00000000-0005-0000-0000-0000112B0000}"/>
    <cellStyle name="Comma 7 2 2 5 4 5" xfId="6941" xr:uid="{00000000-0005-0000-0000-0000122B0000}"/>
    <cellStyle name="Comma 7 2 2 5 5" xfId="4351" xr:uid="{00000000-0005-0000-0000-0000132B0000}"/>
    <cellStyle name="Comma 7 2 2 5 5 2" xfId="11979" xr:uid="{00000000-0005-0000-0000-0000142B0000}"/>
    <cellStyle name="Comma 7 2 2 5 6" xfId="11337" xr:uid="{00000000-0005-0000-0000-0000152B0000}"/>
    <cellStyle name="Comma 7 2 2 5 7" xfId="11988" xr:uid="{00000000-0005-0000-0000-0000162B0000}"/>
    <cellStyle name="Comma 7 2 2 5 8" xfId="6937" xr:uid="{00000000-0005-0000-0000-0000172B0000}"/>
    <cellStyle name="Comma 7 2 2 6" xfId="4352" xr:uid="{00000000-0005-0000-0000-0000182B0000}"/>
    <cellStyle name="Comma 7 2 2 6 2" xfId="4353" xr:uid="{00000000-0005-0000-0000-0000192B0000}"/>
    <cellStyle name="Comma 7 2 2 6 2 2" xfId="4354" xr:uid="{00000000-0005-0000-0000-00001A2B0000}"/>
    <cellStyle name="Comma 7 2 2 6 2 2 2" xfId="11976" xr:uid="{00000000-0005-0000-0000-00001B2B0000}"/>
    <cellStyle name="Comma 7 2 2 6 2 3" xfId="11343" xr:uid="{00000000-0005-0000-0000-00001C2B0000}"/>
    <cellStyle name="Comma 7 2 2 6 2 4" xfId="11977" xr:uid="{00000000-0005-0000-0000-00001D2B0000}"/>
    <cellStyle name="Comma 7 2 2 6 2 5" xfId="6943" xr:uid="{00000000-0005-0000-0000-00001E2B0000}"/>
    <cellStyle name="Comma 7 2 2 6 3" xfId="4355" xr:uid="{00000000-0005-0000-0000-00001F2B0000}"/>
    <cellStyle name="Comma 7 2 2 6 3 2" xfId="4356" xr:uid="{00000000-0005-0000-0000-0000202B0000}"/>
    <cellStyle name="Comma 7 2 2 6 3 2 2" xfId="11974" xr:uid="{00000000-0005-0000-0000-0000212B0000}"/>
    <cellStyle name="Comma 7 2 2 6 3 3" xfId="11344" xr:uid="{00000000-0005-0000-0000-0000222B0000}"/>
    <cellStyle name="Comma 7 2 2 6 3 4" xfId="11975" xr:uid="{00000000-0005-0000-0000-0000232B0000}"/>
    <cellStyle name="Comma 7 2 2 6 3 5" xfId="6944" xr:uid="{00000000-0005-0000-0000-0000242B0000}"/>
    <cellStyle name="Comma 7 2 2 6 4" xfId="4357" xr:uid="{00000000-0005-0000-0000-0000252B0000}"/>
    <cellStyle name="Comma 7 2 2 6 4 2" xfId="11973" xr:uid="{00000000-0005-0000-0000-0000262B0000}"/>
    <cellStyle name="Comma 7 2 2 6 5" xfId="11342" xr:uid="{00000000-0005-0000-0000-0000272B0000}"/>
    <cellStyle name="Comma 7 2 2 6 6" xfId="11978" xr:uid="{00000000-0005-0000-0000-0000282B0000}"/>
    <cellStyle name="Comma 7 2 2 6 7" xfId="6942" xr:uid="{00000000-0005-0000-0000-0000292B0000}"/>
    <cellStyle name="Comma 7 2 2 7" xfId="4358" xr:uid="{00000000-0005-0000-0000-00002A2B0000}"/>
    <cellStyle name="Comma 7 2 2 7 2" xfId="4359" xr:uid="{00000000-0005-0000-0000-00002B2B0000}"/>
    <cellStyle name="Comma 7 2 2 7 2 2" xfId="4360" xr:uid="{00000000-0005-0000-0000-00002C2B0000}"/>
    <cellStyle name="Comma 7 2 2 7 2 2 2" xfId="11970" xr:uid="{00000000-0005-0000-0000-00002D2B0000}"/>
    <cellStyle name="Comma 7 2 2 7 2 3" xfId="11346" xr:uid="{00000000-0005-0000-0000-00002E2B0000}"/>
    <cellStyle name="Comma 7 2 2 7 2 4" xfId="11971" xr:uid="{00000000-0005-0000-0000-00002F2B0000}"/>
    <cellStyle name="Comma 7 2 2 7 2 5" xfId="6946" xr:uid="{00000000-0005-0000-0000-0000302B0000}"/>
    <cellStyle name="Comma 7 2 2 7 3" xfId="4361" xr:uid="{00000000-0005-0000-0000-0000312B0000}"/>
    <cellStyle name="Comma 7 2 2 7 3 2" xfId="11969" xr:uid="{00000000-0005-0000-0000-0000322B0000}"/>
    <cellStyle name="Comma 7 2 2 7 4" xfId="11345" xr:uid="{00000000-0005-0000-0000-0000332B0000}"/>
    <cellStyle name="Comma 7 2 2 7 5" xfId="11972" xr:uid="{00000000-0005-0000-0000-0000342B0000}"/>
    <cellStyle name="Comma 7 2 2 7 6" xfId="6945" xr:uid="{00000000-0005-0000-0000-0000352B0000}"/>
    <cellStyle name="Comma 7 2 2 8" xfId="4362" xr:uid="{00000000-0005-0000-0000-0000362B0000}"/>
    <cellStyle name="Comma 7 2 2 8 2" xfId="4363" xr:uid="{00000000-0005-0000-0000-0000372B0000}"/>
    <cellStyle name="Comma 7 2 2 8 2 2" xfId="11967" xr:uid="{00000000-0005-0000-0000-0000382B0000}"/>
    <cellStyle name="Comma 7 2 2 8 3" xfId="11347" xr:uid="{00000000-0005-0000-0000-0000392B0000}"/>
    <cellStyle name="Comma 7 2 2 8 4" xfId="11968" xr:uid="{00000000-0005-0000-0000-00003A2B0000}"/>
    <cellStyle name="Comma 7 2 2 8 5" xfId="6947" xr:uid="{00000000-0005-0000-0000-00003B2B0000}"/>
    <cellStyle name="Comma 7 2 2 9" xfId="4364" xr:uid="{00000000-0005-0000-0000-00003C2B0000}"/>
    <cellStyle name="Comma 7 2 2 9 2" xfId="4365" xr:uid="{00000000-0005-0000-0000-00003D2B0000}"/>
    <cellStyle name="Comma 7 2 2 9 2 2" xfId="11965" xr:uid="{00000000-0005-0000-0000-00003E2B0000}"/>
    <cellStyle name="Comma 7 2 2 9 3" xfId="11348" xr:uid="{00000000-0005-0000-0000-00003F2B0000}"/>
    <cellStyle name="Comma 7 2 2 9 4" xfId="11966" xr:uid="{00000000-0005-0000-0000-0000402B0000}"/>
    <cellStyle name="Comma 7 2 2 9 5" xfId="6948" xr:uid="{00000000-0005-0000-0000-0000412B0000}"/>
    <cellStyle name="Comma 7 2 3" xfId="4366" xr:uid="{00000000-0005-0000-0000-0000422B0000}"/>
    <cellStyle name="Comma 7 2 3 2" xfId="4367" xr:uid="{00000000-0005-0000-0000-0000432B0000}"/>
    <cellStyle name="Comma 7 2 3 2 2" xfId="4368" xr:uid="{00000000-0005-0000-0000-0000442B0000}"/>
    <cellStyle name="Comma 7 2 3 2 2 2" xfId="4369" xr:uid="{00000000-0005-0000-0000-0000452B0000}"/>
    <cellStyle name="Comma 7 2 3 2 2 2 2" xfId="11961" xr:uid="{00000000-0005-0000-0000-0000462B0000}"/>
    <cellStyle name="Comma 7 2 3 2 2 3" xfId="11351" xr:uid="{00000000-0005-0000-0000-0000472B0000}"/>
    <cellStyle name="Comma 7 2 3 2 2 4" xfId="11962" xr:uid="{00000000-0005-0000-0000-0000482B0000}"/>
    <cellStyle name="Comma 7 2 3 2 2 5" xfId="6951" xr:uid="{00000000-0005-0000-0000-0000492B0000}"/>
    <cellStyle name="Comma 7 2 3 2 3" xfId="4370" xr:uid="{00000000-0005-0000-0000-00004A2B0000}"/>
    <cellStyle name="Comma 7 2 3 2 3 2" xfId="11960" xr:uid="{00000000-0005-0000-0000-00004B2B0000}"/>
    <cellStyle name="Comma 7 2 3 2 4" xfId="11350" xr:uid="{00000000-0005-0000-0000-00004C2B0000}"/>
    <cellStyle name="Comma 7 2 3 2 5" xfId="11963" xr:uid="{00000000-0005-0000-0000-00004D2B0000}"/>
    <cellStyle name="Comma 7 2 3 2 6" xfId="6950" xr:uid="{00000000-0005-0000-0000-00004E2B0000}"/>
    <cellStyle name="Comma 7 2 3 3" xfId="4371" xr:uid="{00000000-0005-0000-0000-00004F2B0000}"/>
    <cellStyle name="Comma 7 2 3 3 2" xfId="4372" xr:uid="{00000000-0005-0000-0000-0000502B0000}"/>
    <cellStyle name="Comma 7 2 3 3 2 2" xfId="11958" xr:uid="{00000000-0005-0000-0000-0000512B0000}"/>
    <cellStyle name="Comma 7 2 3 3 3" xfId="11352" xr:uid="{00000000-0005-0000-0000-0000522B0000}"/>
    <cellStyle name="Comma 7 2 3 3 4" xfId="11959" xr:uid="{00000000-0005-0000-0000-0000532B0000}"/>
    <cellStyle name="Comma 7 2 3 3 5" xfId="6952" xr:uid="{00000000-0005-0000-0000-0000542B0000}"/>
    <cellStyle name="Comma 7 2 3 4" xfId="4373" xr:uid="{00000000-0005-0000-0000-0000552B0000}"/>
    <cellStyle name="Comma 7 2 3 4 2" xfId="4374" xr:uid="{00000000-0005-0000-0000-0000562B0000}"/>
    <cellStyle name="Comma 7 2 3 4 2 2" xfId="11956" xr:uid="{00000000-0005-0000-0000-0000572B0000}"/>
    <cellStyle name="Comma 7 2 3 4 3" xfId="11353" xr:uid="{00000000-0005-0000-0000-0000582B0000}"/>
    <cellStyle name="Comma 7 2 3 4 4" xfId="11957" xr:uid="{00000000-0005-0000-0000-0000592B0000}"/>
    <cellStyle name="Comma 7 2 3 4 5" xfId="6953" xr:uid="{00000000-0005-0000-0000-00005A2B0000}"/>
    <cellStyle name="Comma 7 2 3 5" xfId="4375" xr:uid="{00000000-0005-0000-0000-00005B2B0000}"/>
    <cellStyle name="Comma 7 2 3 5 2" xfId="11955" xr:uid="{00000000-0005-0000-0000-00005C2B0000}"/>
    <cellStyle name="Comma 7 2 3 6" xfId="11349" xr:uid="{00000000-0005-0000-0000-00005D2B0000}"/>
    <cellStyle name="Comma 7 2 3 7" xfId="11964" xr:uid="{00000000-0005-0000-0000-00005E2B0000}"/>
    <cellStyle name="Comma 7 2 3 8" xfId="6949" xr:uid="{00000000-0005-0000-0000-00005F2B0000}"/>
    <cellStyle name="Comma 7 2 4" xfId="4376" xr:uid="{00000000-0005-0000-0000-0000602B0000}"/>
    <cellStyle name="Comma 7 2 4 2" xfId="4377" xr:uid="{00000000-0005-0000-0000-0000612B0000}"/>
    <cellStyle name="Comma 7 2 4 2 2" xfId="4378" xr:uid="{00000000-0005-0000-0000-0000622B0000}"/>
    <cellStyle name="Comma 7 2 4 2 2 2" xfId="4379" xr:uid="{00000000-0005-0000-0000-0000632B0000}"/>
    <cellStyle name="Comma 7 2 4 2 2 2 2" xfId="11951" xr:uid="{00000000-0005-0000-0000-0000642B0000}"/>
    <cellStyle name="Comma 7 2 4 2 2 3" xfId="11356" xr:uid="{00000000-0005-0000-0000-0000652B0000}"/>
    <cellStyle name="Comma 7 2 4 2 2 4" xfId="11952" xr:uid="{00000000-0005-0000-0000-0000662B0000}"/>
    <cellStyle name="Comma 7 2 4 2 2 5" xfId="6956" xr:uid="{00000000-0005-0000-0000-0000672B0000}"/>
    <cellStyle name="Comma 7 2 4 2 3" xfId="4380" xr:uid="{00000000-0005-0000-0000-0000682B0000}"/>
    <cellStyle name="Comma 7 2 4 2 3 2" xfId="11950" xr:uid="{00000000-0005-0000-0000-0000692B0000}"/>
    <cellStyle name="Comma 7 2 4 2 4" xfId="11355" xr:uid="{00000000-0005-0000-0000-00006A2B0000}"/>
    <cellStyle name="Comma 7 2 4 2 5" xfId="11953" xr:uid="{00000000-0005-0000-0000-00006B2B0000}"/>
    <cellStyle name="Comma 7 2 4 2 6" xfId="6955" xr:uid="{00000000-0005-0000-0000-00006C2B0000}"/>
    <cellStyle name="Comma 7 2 4 3" xfId="4381" xr:uid="{00000000-0005-0000-0000-00006D2B0000}"/>
    <cellStyle name="Comma 7 2 4 3 2" xfId="4382" xr:uid="{00000000-0005-0000-0000-00006E2B0000}"/>
    <cellStyle name="Comma 7 2 4 3 2 2" xfId="11948" xr:uid="{00000000-0005-0000-0000-00006F2B0000}"/>
    <cellStyle name="Comma 7 2 4 3 3" xfId="11357" xr:uid="{00000000-0005-0000-0000-0000702B0000}"/>
    <cellStyle name="Comma 7 2 4 3 4" xfId="11949" xr:uid="{00000000-0005-0000-0000-0000712B0000}"/>
    <cellStyle name="Comma 7 2 4 3 5" xfId="6957" xr:uid="{00000000-0005-0000-0000-0000722B0000}"/>
    <cellStyle name="Comma 7 2 4 4" xfId="4383" xr:uid="{00000000-0005-0000-0000-0000732B0000}"/>
    <cellStyle name="Comma 7 2 4 4 2" xfId="4384" xr:uid="{00000000-0005-0000-0000-0000742B0000}"/>
    <cellStyle name="Comma 7 2 4 4 2 2" xfId="11946" xr:uid="{00000000-0005-0000-0000-0000752B0000}"/>
    <cellStyle name="Comma 7 2 4 4 3" xfId="11358" xr:uid="{00000000-0005-0000-0000-0000762B0000}"/>
    <cellStyle name="Comma 7 2 4 4 4" xfId="11947" xr:uid="{00000000-0005-0000-0000-0000772B0000}"/>
    <cellStyle name="Comma 7 2 4 4 5" xfId="6958" xr:uid="{00000000-0005-0000-0000-0000782B0000}"/>
    <cellStyle name="Comma 7 2 4 5" xfId="4385" xr:uid="{00000000-0005-0000-0000-0000792B0000}"/>
    <cellStyle name="Comma 7 2 4 5 2" xfId="11945" xr:uid="{00000000-0005-0000-0000-00007A2B0000}"/>
    <cellStyle name="Comma 7 2 4 6" xfId="11354" xr:uid="{00000000-0005-0000-0000-00007B2B0000}"/>
    <cellStyle name="Comma 7 2 4 7" xfId="11954" xr:uid="{00000000-0005-0000-0000-00007C2B0000}"/>
    <cellStyle name="Comma 7 2 4 8" xfId="6954" xr:uid="{00000000-0005-0000-0000-00007D2B0000}"/>
    <cellStyle name="Comma 7 2 5" xfId="4386" xr:uid="{00000000-0005-0000-0000-00007E2B0000}"/>
    <cellStyle name="Comma 7 2 5 2" xfId="4387" xr:uid="{00000000-0005-0000-0000-00007F2B0000}"/>
    <cellStyle name="Comma 7 2 5 2 2" xfId="4388" xr:uid="{00000000-0005-0000-0000-0000802B0000}"/>
    <cellStyle name="Comma 7 2 5 2 2 2" xfId="4389" xr:uid="{00000000-0005-0000-0000-0000812B0000}"/>
    <cellStyle name="Comma 7 2 5 2 2 2 2" xfId="11941" xr:uid="{00000000-0005-0000-0000-0000822B0000}"/>
    <cellStyle name="Comma 7 2 5 2 2 3" xfId="11361" xr:uid="{00000000-0005-0000-0000-0000832B0000}"/>
    <cellStyle name="Comma 7 2 5 2 2 4" xfId="11942" xr:uid="{00000000-0005-0000-0000-0000842B0000}"/>
    <cellStyle name="Comma 7 2 5 2 2 5" xfId="6961" xr:uid="{00000000-0005-0000-0000-0000852B0000}"/>
    <cellStyle name="Comma 7 2 5 2 3" xfId="4390" xr:uid="{00000000-0005-0000-0000-0000862B0000}"/>
    <cellStyle name="Comma 7 2 5 2 3 2" xfId="11940" xr:uid="{00000000-0005-0000-0000-0000872B0000}"/>
    <cellStyle name="Comma 7 2 5 2 4" xfId="11360" xr:uid="{00000000-0005-0000-0000-0000882B0000}"/>
    <cellStyle name="Comma 7 2 5 2 5" xfId="11943" xr:uid="{00000000-0005-0000-0000-0000892B0000}"/>
    <cellStyle name="Comma 7 2 5 2 6" xfId="6960" xr:uid="{00000000-0005-0000-0000-00008A2B0000}"/>
    <cellStyle name="Comma 7 2 5 3" xfId="4391" xr:uid="{00000000-0005-0000-0000-00008B2B0000}"/>
    <cellStyle name="Comma 7 2 5 3 2" xfId="4392" xr:uid="{00000000-0005-0000-0000-00008C2B0000}"/>
    <cellStyle name="Comma 7 2 5 3 2 2" xfId="11938" xr:uid="{00000000-0005-0000-0000-00008D2B0000}"/>
    <cellStyle name="Comma 7 2 5 3 3" xfId="11362" xr:uid="{00000000-0005-0000-0000-00008E2B0000}"/>
    <cellStyle name="Comma 7 2 5 3 4" xfId="11939" xr:uid="{00000000-0005-0000-0000-00008F2B0000}"/>
    <cellStyle name="Comma 7 2 5 3 5" xfId="6962" xr:uid="{00000000-0005-0000-0000-0000902B0000}"/>
    <cellStyle name="Comma 7 2 5 4" xfId="4393" xr:uid="{00000000-0005-0000-0000-0000912B0000}"/>
    <cellStyle name="Comma 7 2 5 4 2" xfId="4394" xr:uid="{00000000-0005-0000-0000-0000922B0000}"/>
    <cellStyle name="Comma 7 2 5 4 2 2" xfId="11936" xr:uid="{00000000-0005-0000-0000-0000932B0000}"/>
    <cellStyle name="Comma 7 2 5 4 3" xfId="11363" xr:uid="{00000000-0005-0000-0000-0000942B0000}"/>
    <cellStyle name="Comma 7 2 5 4 4" xfId="11937" xr:uid="{00000000-0005-0000-0000-0000952B0000}"/>
    <cellStyle name="Comma 7 2 5 4 5" xfId="6963" xr:uid="{00000000-0005-0000-0000-0000962B0000}"/>
    <cellStyle name="Comma 7 2 5 5" xfId="4395" xr:uid="{00000000-0005-0000-0000-0000972B0000}"/>
    <cellStyle name="Comma 7 2 5 5 2" xfId="11935" xr:uid="{00000000-0005-0000-0000-0000982B0000}"/>
    <cellStyle name="Comma 7 2 5 6" xfId="11359" xr:uid="{00000000-0005-0000-0000-0000992B0000}"/>
    <cellStyle name="Comma 7 2 5 7" xfId="11944" xr:uid="{00000000-0005-0000-0000-00009A2B0000}"/>
    <cellStyle name="Comma 7 2 5 8" xfId="6959" xr:uid="{00000000-0005-0000-0000-00009B2B0000}"/>
    <cellStyle name="Comma 7 2 6" xfId="4396" xr:uid="{00000000-0005-0000-0000-00009C2B0000}"/>
    <cellStyle name="Comma 7 2 6 2" xfId="4397" xr:uid="{00000000-0005-0000-0000-00009D2B0000}"/>
    <cellStyle name="Comma 7 2 6 2 2" xfId="4398" xr:uid="{00000000-0005-0000-0000-00009E2B0000}"/>
    <cellStyle name="Comma 7 2 6 2 2 2" xfId="4399" xr:uid="{00000000-0005-0000-0000-00009F2B0000}"/>
    <cellStyle name="Comma 7 2 6 2 2 2 2" xfId="11931" xr:uid="{00000000-0005-0000-0000-0000A02B0000}"/>
    <cellStyle name="Comma 7 2 6 2 2 3" xfId="11366" xr:uid="{00000000-0005-0000-0000-0000A12B0000}"/>
    <cellStyle name="Comma 7 2 6 2 2 4" xfId="11932" xr:uid="{00000000-0005-0000-0000-0000A22B0000}"/>
    <cellStyle name="Comma 7 2 6 2 2 5" xfId="6966" xr:uid="{00000000-0005-0000-0000-0000A32B0000}"/>
    <cellStyle name="Comma 7 2 6 2 3" xfId="4400" xr:uid="{00000000-0005-0000-0000-0000A42B0000}"/>
    <cellStyle name="Comma 7 2 6 2 3 2" xfId="11930" xr:uid="{00000000-0005-0000-0000-0000A52B0000}"/>
    <cellStyle name="Comma 7 2 6 2 4" xfId="11365" xr:uid="{00000000-0005-0000-0000-0000A62B0000}"/>
    <cellStyle name="Comma 7 2 6 2 5" xfId="11933" xr:uid="{00000000-0005-0000-0000-0000A72B0000}"/>
    <cellStyle name="Comma 7 2 6 2 6" xfId="6965" xr:uid="{00000000-0005-0000-0000-0000A82B0000}"/>
    <cellStyle name="Comma 7 2 6 3" xfId="4401" xr:uid="{00000000-0005-0000-0000-0000A92B0000}"/>
    <cellStyle name="Comma 7 2 6 3 2" xfId="4402" xr:uid="{00000000-0005-0000-0000-0000AA2B0000}"/>
    <cellStyle name="Comma 7 2 6 3 2 2" xfId="11928" xr:uid="{00000000-0005-0000-0000-0000AB2B0000}"/>
    <cellStyle name="Comma 7 2 6 3 3" xfId="11367" xr:uid="{00000000-0005-0000-0000-0000AC2B0000}"/>
    <cellStyle name="Comma 7 2 6 3 4" xfId="11929" xr:uid="{00000000-0005-0000-0000-0000AD2B0000}"/>
    <cellStyle name="Comma 7 2 6 3 5" xfId="6967" xr:uid="{00000000-0005-0000-0000-0000AE2B0000}"/>
    <cellStyle name="Comma 7 2 6 4" xfId="4403" xr:uid="{00000000-0005-0000-0000-0000AF2B0000}"/>
    <cellStyle name="Comma 7 2 6 4 2" xfId="4404" xr:uid="{00000000-0005-0000-0000-0000B02B0000}"/>
    <cellStyle name="Comma 7 2 6 4 2 2" xfId="11926" xr:uid="{00000000-0005-0000-0000-0000B12B0000}"/>
    <cellStyle name="Comma 7 2 6 4 3" xfId="11368" xr:uid="{00000000-0005-0000-0000-0000B22B0000}"/>
    <cellStyle name="Comma 7 2 6 4 4" xfId="11927" xr:uid="{00000000-0005-0000-0000-0000B32B0000}"/>
    <cellStyle name="Comma 7 2 6 4 5" xfId="6968" xr:uid="{00000000-0005-0000-0000-0000B42B0000}"/>
    <cellStyle name="Comma 7 2 6 5" xfId="4405" xr:uid="{00000000-0005-0000-0000-0000B52B0000}"/>
    <cellStyle name="Comma 7 2 6 5 2" xfId="11925" xr:uid="{00000000-0005-0000-0000-0000B62B0000}"/>
    <cellStyle name="Comma 7 2 6 6" xfId="11364" xr:uid="{00000000-0005-0000-0000-0000B72B0000}"/>
    <cellStyle name="Comma 7 2 6 7" xfId="11934" xr:uid="{00000000-0005-0000-0000-0000B82B0000}"/>
    <cellStyle name="Comma 7 2 6 8" xfId="6964" xr:uid="{00000000-0005-0000-0000-0000B92B0000}"/>
    <cellStyle name="Comma 7 2 7" xfId="4406" xr:uid="{00000000-0005-0000-0000-0000BA2B0000}"/>
    <cellStyle name="Comma 7 2 7 2" xfId="4407" xr:uid="{00000000-0005-0000-0000-0000BB2B0000}"/>
    <cellStyle name="Comma 7 2 7 2 2" xfId="4408" xr:uid="{00000000-0005-0000-0000-0000BC2B0000}"/>
    <cellStyle name="Comma 7 2 7 2 2 2" xfId="11922" xr:uid="{00000000-0005-0000-0000-0000BD2B0000}"/>
    <cellStyle name="Comma 7 2 7 2 3" xfId="11370" xr:uid="{00000000-0005-0000-0000-0000BE2B0000}"/>
    <cellStyle name="Comma 7 2 7 2 4" xfId="11923" xr:uid="{00000000-0005-0000-0000-0000BF2B0000}"/>
    <cellStyle name="Comma 7 2 7 2 5" xfId="6970" xr:uid="{00000000-0005-0000-0000-0000C02B0000}"/>
    <cellStyle name="Comma 7 2 7 3" xfId="4409" xr:uid="{00000000-0005-0000-0000-0000C12B0000}"/>
    <cellStyle name="Comma 7 2 7 3 2" xfId="4410" xr:uid="{00000000-0005-0000-0000-0000C22B0000}"/>
    <cellStyle name="Comma 7 2 7 3 2 2" xfId="11920" xr:uid="{00000000-0005-0000-0000-0000C32B0000}"/>
    <cellStyle name="Comma 7 2 7 3 3" xfId="11371" xr:uid="{00000000-0005-0000-0000-0000C42B0000}"/>
    <cellStyle name="Comma 7 2 7 3 4" xfId="11921" xr:uid="{00000000-0005-0000-0000-0000C52B0000}"/>
    <cellStyle name="Comma 7 2 7 3 5" xfId="6971" xr:uid="{00000000-0005-0000-0000-0000C62B0000}"/>
    <cellStyle name="Comma 7 2 7 4" xfId="4411" xr:uid="{00000000-0005-0000-0000-0000C72B0000}"/>
    <cellStyle name="Comma 7 2 7 4 2" xfId="11919" xr:uid="{00000000-0005-0000-0000-0000C82B0000}"/>
    <cellStyle name="Comma 7 2 7 5" xfId="11369" xr:uid="{00000000-0005-0000-0000-0000C92B0000}"/>
    <cellStyle name="Comma 7 2 7 6" xfId="11924" xr:uid="{00000000-0005-0000-0000-0000CA2B0000}"/>
    <cellStyle name="Comma 7 2 7 7" xfId="6969" xr:uid="{00000000-0005-0000-0000-0000CB2B0000}"/>
    <cellStyle name="Comma 7 2 8" xfId="4412" xr:uid="{00000000-0005-0000-0000-0000CC2B0000}"/>
    <cellStyle name="Comma 7 2 8 2" xfId="4413" xr:uid="{00000000-0005-0000-0000-0000CD2B0000}"/>
    <cellStyle name="Comma 7 2 8 2 2" xfId="4414" xr:uid="{00000000-0005-0000-0000-0000CE2B0000}"/>
    <cellStyle name="Comma 7 2 8 2 2 2" xfId="11916" xr:uid="{00000000-0005-0000-0000-0000CF2B0000}"/>
    <cellStyle name="Comma 7 2 8 2 3" xfId="11373" xr:uid="{00000000-0005-0000-0000-0000D02B0000}"/>
    <cellStyle name="Comma 7 2 8 2 4" xfId="11917" xr:uid="{00000000-0005-0000-0000-0000D12B0000}"/>
    <cellStyle name="Comma 7 2 8 2 5" xfId="6973" xr:uid="{00000000-0005-0000-0000-0000D22B0000}"/>
    <cellStyle name="Comma 7 2 8 3" xfId="4415" xr:uid="{00000000-0005-0000-0000-0000D32B0000}"/>
    <cellStyle name="Comma 7 2 8 3 2" xfId="11915" xr:uid="{00000000-0005-0000-0000-0000D42B0000}"/>
    <cellStyle name="Comma 7 2 8 4" xfId="11372" xr:uid="{00000000-0005-0000-0000-0000D52B0000}"/>
    <cellStyle name="Comma 7 2 8 5" xfId="11918" xr:uid="{00000000-0005-0000-0000-0000D62B0000}"/>
    <cellStyle name="Comma 7 2 8 6" xfId="6972" xr:uid="{00000000-0005-0000-0000-0000D72B0000}"/>
    <cellStyle name="Comma 7 2 9" xfId="4416" xr:uid="{00000000-0005-0000-0000-0000D82B0000}"/>
    <cellStyle name="Comma 7 2 9 2" xfId="4417" xr:uid="{00000000-0005-0000-0000-0000D92B0000}"/>
    <cellStyle name="Comma 7 2 9 2 2" xfId="11913" xr:uid="{00000000-0005-0000-0000-0000DA2B0000}"/>
    <cellStyle name="Comma 7 2 9 3" xfId="11374" xr:uid="{00000000-0005-0000-0000-0000DB2B0000}"/>
    <cellStyle name="Comma 7 2 9 4" xfId="11914" xr:uid="{00000000-0005-0000-0000-0000DC2B0000}"/>
    <cellStyle name="Comma 7 2 9 5" xfId="6974" xr:uid="{00000000-0005-0000-0000-0000DD2B0000}"/>
    <cellStyle name="Comma 7 3" xfId="4418" xr:uid="{00000000-0005-0000-0000-0000DE2B0000}"/>
    <cellStyle name="Comma 7 3 10" xfId="4419" xr:uid="{00000000-0005-0000-0000-0000DF2B0000}"/>
    <cellStyle name="Comma 7 3 10 2" xfId="4420" xr:uid="{00000000-0005-0000-0000-0000E02B0000}"/>
    <cellStyle name="Comma 7 3 10 2 2" xfId="11910" xr:uid="{00000000-0005-0000-0000-0000E12B0000}"/>
    <cellStyle name="Comma 7 3 10 3" xfId="11376" xr:uid="{00000000-0005-0000-0000-0000E22B0000}"/>
    <cellStyle name="Comma 7 3 10 4" xfId="11911" xr:uid="{00000000-0005-0000-0000-0000E32B0000}"/>
    <cellStyle name="Comma 7 3 10 5" xfId="6976" xr:uid="{00000000-0005-0000-0000-0000E42B0000}"/>
    <cellStyle name="Comma 7 3 11" xfId="4421" xr:uid="{00000000-0005-0000-0000-0000E52B0000}"/>
    <cellStyle name="Comma 7 3 11 2" xfId="11909" xr:uid="{00000000-0005-0000-0000-0000E62B0000}"/>
    <cellStyle name="Comma 7 3 12" xfId="11375" xr:uid="{00000000-0005-0000-0000-0000E72B0000}"/>
    <cellStyle name="Comma 7 3 13" xfId="11912" xr:uid="{00000000-0005-0000-0000-0000E82B0000}"/>
    <cellStyle name="Comma 7 3 14" xfId="6975" xr:uid="{00000000-0005-0000-0000-0000E92B0000}"/>
    <cellStyle name="Comma 7 3 2" xfId="4422" xr:uid="{00000000-0005-0000-0000-0000EA2B0000}"/>
    <cellStyle name="Comma 7 3 2 10" xfId="4423" xr:uid="{00000000-0005-0000-0000-0000EB2B0000}"/>
    <cellStyle name="Comma 7 3 2 10 2" xfId="11907" xr:uid="{00000000-0005-0000-0000-0000EC2B0000}"/>
    <cellStyle name="Comma 7 3 2 11" xfId="11377" xr:uid="{00000000-0005-0000-0000-0000ED2B0000}"/>
    <cellStyle name="Comma 7 3 2 12" xfId="11908" xr:uid="{00000000-0005-0000-0000-0000EE2B0000}"/>
    <cellStyle name="Comma 7 3 2 13" xfId="6977" xr:uid="{00000000-0005-0000-0000-0000EF2B0000}"/>
    <cellStyle name="Comma 7 3 2 2" xfId="4424" xr:uid="{00000000-0005-0000-0000-0000F02B0000}"/>
    <cellStyle name="Comma 7 3 2 2 2" xfId="4425" xr:uid="{00000000-0005-0000-0000-0000F12B0000}"/>
    <cellStyle name="Comma 7 3 2 2 2 2" xfId="4426" xr:uid="{00000000-0005-0000-0000-0000F22B0000}"/>
    <cellStyle name="Comma 7 3 2 2 2 2 2" xfId="4427" xr:uid="{00000000-0005-0000-0000-0000F32B0000}"/>
    <cellStyle name="Comma 7 3 2 2 2 2 2 2" xfId="11903" xr:uid="{00000000-0005-0000-0000-0000F42B0000}"/>
    <cellStyle name="Comma 7 3 2 2 2 2 3" xfId="11380" xr:uid="{00000000-0005-0000-0000-0000F52B0000}"/>
    <cellStyle name="Comma 7 3 2 2 2 2 4" xfId="11904" xr:uid="{00000000-0005-0000-0000-0000F62B0000}"/>
    <cellStyle name="Comma 7 3 2 2 2 2 5" xfId="6980" xr:uid="{00000000-0005-0000-0000-0000F72B0000}"/>
    <cellStyle name="Comma 7 3 2 2 2 3" xfId="4428" xr:uid="{00000000-0005-0000-0000-0000F82B0000}"/>
    <cellStyle name="Comma 7 3 2 2 2 3 2" xfId="11902" xr:uid="{00000000-0005-0000-0000-0000F92B0000}"/>
    <cellStyle name="Comma 7 3 2 2 2 4" xfId="11379" xr:uid="{00000000-0005-0000-0000-0000FA2B0000}"/>
    <cellStyle name="Comma 7 3 2 2 2 5" xfId="11905" xr:uid="{00000000-0005-0000-0000-0000FB2B0000}"/>
    <cellStyle name="Comma 7 3 2 2 2 6" xfId="6979" xr:uid="{00000000-0005-0000-0000-0000FC2B0000}"/>
    <cellStyle name="Comma 7 3 2 2 3" xfId="4429" xr:uid="{00000000-0005-0000-0000-0000FD2B0000}"/>
    <cellStyle name="Comma 7 3 2 2 3 2" xfId="4430" xr:uid="{00000000-0005-0000-0000-0000FE2B0000}"/>
    <cellStyle name="Comma 7 3 2 2 3 2 2" xfId="11900" xr:uid="{00000000-0005-0000-0000-0000FF2B0000}"/>
    <cellStyle name="Comma 7 3 2 2 3 3" xfId="11381" xr:uid="{00000000-0005-0000-0000-0000002C0000}"/>
    <cellStyle name="Comma 7 3 2 2 3 4" xfId="11901" xr:uid="{00000000-0005-0000-0000-0000012C0000}"/>
    <cellStyle name="Comma 7 3 2 2 3 5" xfId="6981" xr:uid="{00000000-0005-0000-0000-0000022C0000}"/>
    <cellStyle name="Comma 7 3 2 2 4" xfId="4431" xr:uid="{00000000-0005-0000-0000-0000032C0000}"/>
    <cellStyle name="Comma 7 3 2 2 4 2" xfId="4432" xr:uid="{00000000-0005-0000-0000-0000042C0000}"/>
    <cellStyle name="Comma 7 3 2 2 4 2 2" xfId="11898" xr:uid="{00000000-0005-0000-0000-0000052C0000}"/>
    <cellStyle name="Comma 7 3 2 2 4 3" xfId="11382" xr:uid="{00000000-0005-0000-0000-0000062C0000}"/>
    <cellStyle name="Comma 7 3 2 2 4 4" xfId="11899" xr:uid="{00000000-0005-0000-0000-0000072C0000}"/>
    <cellStyle name="Comma 7 3 2 2 4 5" xfId="6982" xr:uid="{00000000-0005-0000-0000-0000082C0000}"/>
    <cellStyle name="Comma 7 3 2 2 5" xfId="4433" xr:uid="{00000000-0005-0000-0000-0000092C0000}"/>
    <cellStyle name="Comma 7 3 2 2 5 2" xfId="11897" xr:uid="{00000000-0005-0000-0000-00000A2C0000}"/>
    <cellStyle name="Comma 7 3 2 2 6" xfId="11378" xr:uid="{00000000-0005-0000-0000-00000B2C0000}"/>
    <cellStyle name="Comma 7 3 2 2 7" xfId="11906" xr:uid="{00000000-0005-0000-0000-00000C2C0000}"/>
    <cellStyle name="Comma 7 3 2 2 8" xfId="6978" xr:uid="{00000000-0005-0000-0000-00000D2C0000}"/>
    <cellStyle name="Comma 7 3 2 3" xfId="4434" xr:uid="{00000000-0005-0000-0000-00000E2C0000}"/>
    <cellStyle name="Comma 7 3 2 3 2" xfId="4435" xr:uid="{00000000-0005-0000-0000-00000F2C0000}"/>
    <cellStyle name="Comma 7 3 2 3 2 2" xfId="4436" xr:uid="{00000000-0005-0000-0000-0000102C0000}"/>
    <cellStyle name="Comma 7 3 2 3 2 2 2" xfId="4437" xr:uid="{00000000-0005-0000-0000-0000112C0000}"/>
    <cellStyle name="Comma 7 3 2 3 2 2 2 2" xfId="11893" xr:uid="{00000000-0005-0000-0000-0000122C0000}"/>
    <cellStyle name="Comma 7 3 2 3 2 2 3" xfId="11385" xr:uid="{00000000-0005-0000-0000-0000132C0000}"/>
    <cellStyle name="Comma 7 3 2 3 2 2 4" xfId="11894" xr:uid="{00000000-0005-0000-0000-0000142C0000}"/>
    <cellStyle name="Comma 7 3 2 3 2 2 5" xfId="6985" xr:uid="{00000000-0005-0000-0000-0000152C0000}"/>
    <cellStyle name="Comma 7 3 2 3 2 3" xfId="4438" xr:uid="{00000000-0005-0000-0000-0000162C0000}"/>
    <cellStyle name="Comma 7 3 2 3 2 3 2" xfId="11892" xr:uid="{00000000-0005-0000-0000-0000172C0000}"/>
    <cellStyle name="Comma 7 3 2 3 2 4" xfId="11384" xr:uid="{00000000-0005-0000-0000-0000182C0000}"/>
    <cellStyle name="Comma 7 3 2 3 2 5" xfId="11895" xr:uid="{00000000-0005-0000-0000-0000192C0000}"/>
    <cellStyle name="Comma 7 3 2 3 2 6" xfId="6984" xr:uid="{00000000-0005-0000-0000-00001A2C0000}"/>
    <cellStyle name="Comma 7 3 2 3 3" xfId="4439" xr:uid="{00000000-0005-0000-0000-00001B2C0000}"/>
    <cellStyle name="Comma 7 3 2 3 3 2" xfId="4440" xr:uid="{00000000-0005-0000-0000-00001C2C0000}"/>
    <cellStyle name="Comma 7 3 2 3 3 2 2" xfId="11890" xr:uid="{00000000-0005-0000-0000-00001D2C0000}"/>
    <cellStyle name="Comma 7 3 2 3 3 3" xfId="11386" xr:uid="{00000000-0005-0000-0000-00001E2C0000}"/>
    <cellStyle name="Comma 7 3 2 3 3 4" xfId="11891" xr:uid="{00000000-0005-0000-0000-00001F2C0000}"/>
    <cellStyle name="Comma 7 3 2 3 3 5" xfId="6986" xr:uid="{00000000-0005-0000-0000-0000202C0000}"/>
    <cellStyle name="Comma 7 3 2 3 4" xfId="4441" xr:uid="{00000000-0005-0000-0000-0000212C0000}"/>
    <cellStyle name="Comma 7 3 2 3 4 2" xfId="4442" xr:uid="{00000000-0005-0000-0000-0000222C0000}"/>
    <cellStyle name="Comma 7 3 2 3 4 2 2" xfId="11888" xr:uid="{00000000-0005-0000-0000-0000232C0000}"/>
    <cellStyle name="Comma 7 3 2 3 4 3" xfId="11387" xr:uid="{00000000-0005-0000-0000-0000242C0000}"/>
    <cellStyle name="Comma 7 3 2 3 4 4" xfId="11889" xr:uid="{00000000-0005-0000-0000-0000252C0000}"/>
    <cellStyle name="Comma 7 3 2 3 4 5" xfId="6987" xr:uid="{00000000-0005-0000-0000-0000262C0000}"/>
    <cellStyle name="Comma 7 3 2 3 5" xfId="4443" xr:uid="{00000000-0005-0000-0000-0000272C0000}"/>
    <cellStyle name="Comma 7 3 2 3 5 2" xfId="11887" xr:uid="{00000000-0005-0000-0000-0000282C0000}"/>
    <cellStyle name="Comma 7 3 2 3 6" xfId="11383" xr:uid="{00000000-0005-0000-0000-0000292C0000}"/>
    <cellStyle name="Comma 7 3 2 3 7" xfId="11896" xr:uid="{00000000-0005-0000-0000-00002A2C0000}"/>
    <cellStyle name="Comma 7 3 2 3 8" xfId="6983" xr:uid="{00000000-0005-0000-0000-00002B2C0000}"/>
    <cellStyle name="Comma 7 3 2 4" xfId="4444" xr:uid="{00000000-0005-0000-0000-00002C2C0000}"/>
    <cellStyle name="Comma 7 3 2 4 2" xfId="4445" xr:uid="{00000000-0005-0000-0000-00002D2C0000}"/>
    <cellStyle name="Comma 7 3 2 4 2 2" xfId="4446" xr:uid="{00000000-0005-0000-0000-00002E2C0000}"/>
    <cellStyle name="Comma 7 3 2 4 2 2 2" xfId="4447" xr:uid="{00000000-0005-0000-0000-00002F2C0000}"/>
    <cellStyle name="Comma 7 3 2 4 2 2 2 2" xfId="11883" xr:uid="{00000000-0005-0000-0000-0000302C0000}"/>
    <cellStyle name="Comma 7 3 2 4 2 2 3" xfId="11390" xr:uid="{00000000-0005-0000-0000-0000312C0000}"/>
    <cellStyle name="Comma 7 3 2 4 2 2 4" xfId="11884" xr:uid="{00000000-0005-0000-0000-0000322C0000}"/>
    <cellStyle name="Comma 7 3 2 4 2 2 5" xfId="6990" xr:uid="{00000000-0005-0000-0000-0000332C0000}"/>
    <cellStyle name="Comma 7 3 2 4 2 3" xfId="4448" xr:uid="{00000000-0005-0000-0000-0000342C0000}"/>
    <cellStyle name="Comma 7 3 2 4 2 3 2" xfId="11882" xr:uid="{00000000-0005-0000-0000-0000352C0000}"/>
    <cellStyle name="Comma 7 3 2 4 2 4" xfId="11389" xr:uid="{00000000-0005-0000-0000-0000362C0000}"/>
    <cellStyle name="Comma 7 3 2 4 2 5" xfId="11885" xr:uid="{00000000-0005-0000-0000-0000372C0000}"/>
    <cellStyle name="Comma 7 3 2 4 2 6" xfId="6989" xr:uid="{00000000-0005-0000-0000-0000382C0000}"/>
    <cellStyle name="Comma 7 3 2 4 3" xfId="4449" xr:uid="{00000000-0005-0000-0000-0000392C0000}"/>
    <cellStyle name="Comma 7 3 2 4 3 2" xfId="4450" xr:uid="{00000000-0005-0000-0000-00003A2C0000}"/>
    <cellStyle name="Comma 7 3 2 4 3 2 2" xfId="11880" xr:uid="{00000000-0005-0000-0000-00003B2C0000}"/>
    <cellStyle name="Comma 7 3 2 4 3 3" xfId="11391" xr:uid="{00000000-0005-0000-0000-00003C2C0000}"/>
    <cellStyle name="Comma 7 3 2 4 3 4" xfId="11881" xr:uid="{00000000-0005-0000-0000-00003D2C0000}"/>
    <cellStyle name="Comma 7 3 2 4 3 5" xfId="6991" xr:uid="{00000000-0005-0000-0000-00003E2C0000}"/>
    <cellStyle name="Comma 7 3 2 4 4" xfId="4451" xr:uid="{00000000-0005-0000-0000-00003F2C0000}"/>
    <cellStyle name="Comma 7 3 2 4 4 2" xfId="4452" xr:uid="{00000000-0005-0000-0000-0000402C0000}"/>
    <cellStyle name="Comma 7 3 2 4 4 2 2" xfId="11878" xr:uid="{00000000-0005-0000-0000-0000412C0000}"/>
    <cellStyle name="Comma 7 3 2 4 4 3" xfId="11392" xr:uid="{00000000-0005-0000-0000-0000422C0000}"/>
    <cellStyle name="Comma 7 3 2 4 4 4" xfId="11879" xr:uid="{00000000-0005-0000-0000-0000432C0000}"/>
    <cellStyle name="Comma 7 3 2 4 4 5" xfId="6992" xr:uid="{00000000-0005-0000-0000-0000442C0000}"/>
    <cellStyle name="Comma 7 3 2 4 5" xfId="4453" xr:uid="{00000000-0005-0000-0000-0000452C0000}"/>
    <cellStyle name="Comma 7 3 2 4 5 2" xfId="11877" xr:uid="{00000000-0005-0000-0000-0000462C0000}"/>
    <cellStyle name="Comma 7 3 2 4 6" xfId="11388" xr:uid="{00000000-0005-0000-0000-0000472C0000}"/>
    <cellStyle name="Comma 7 3 2 4 7" xfId="11886" xr:uid="{00000000-0005-0000-0000-0000482C0000}"/>
    <cellStyle name="Comma 7 3 2 4 8" xfId="6988" xr:uid="{00000000-0005-0000-0000-0000492C0000}"/>
    <cellStyle name="Comma 7 3 2 5" xfId="4454" xr:uid="{00000000-0005-0000-0000-00004A2C0000}"/>
    <cellStyle name="Comma 7 3 2 5 2" xfId="4455" xr:uid="{00000000-0005-0000-0000-00004B2C0000}"/>
    <cellStyle name="Comma 7 3 2 5 2 2" xfId="4456" xr:uid="{00000000-0005-0000-0000-00004C2C0000}"/>
    <cellStyle name="Comma 7 3 2 5 2 2 2" xfId="4457" xr:uid="{00000000-0005-0000-0000-00004D2C0000}"/>
    <cellStyle name="Comma 7 3 2 5 2 2 2 2" xfId="11873" xr:uid="{00000000-0005-0000-0000-00004E2C0000}"/>
    <cellStyle name="Comma 7 3 2 5 2 2 3" xfId="11395" xr:uid="{00000000-0005-0000-0000-00004F2C0000}"/>
    <cellStyle name="Comma 7 3 2 5 2 2 4" xfId="11874" xr:uid="{00000000-0005-0000-0000-0000502C0000}"/>
    <cellStyle name="Comma 7 3 2 5 2 2 5" xfId="6995" xr:uid="{00000000-0005-0000-0000-0000512C0000}"/>
    <cellStyle name="Comma 7 3 2 5 2 3" xfId="4458" xr:uid="{00000000-0005-0000-0000-0000522C0000}"/>
    <cellStyle name="Comma 7 3 2 5 2 3 2" xfId="11872" xr:uid="{00000000-0005-0000-0000-0000532C0000}"/>
    <cellStyle name="Comma 7 3 2 5 2 4" xfId="11394" xr:uid="{00000000-0005-0000-0000-0000542C0000}"/>
    <cellStyle name="Comma 7 3 2 5 2 5" xfId="11875" xr:uid="{00000000-0005-0000-0000-0000552C0000}"/>
    <cellStyle name="Comma 7 3 2 5 2 6" xfId="6994" xr:uid="{00000000-0005-0000-0000-0000562C0000}"/>
    <cellStyle name="Comma 7 3 2 5 3" xfId="4459" xr:uid="{00000000-0005-0000-0000-0000572C0000}"/>
    <cellStyle name="Comma 7 3 2 5 3 2" xfId="4460" xr:uid="{00000000-0005-0000-0000-0000582C0000}"/>
    <cellStyle name="Comma 7 3 2 5 3 2 2" xfId="11870" xr:uid="{00000000-0005-0000-0000-0000592C0000}"/>
    <cellStyle name="Comma 7 3 2 5 3 3" xfId="11396" xr:uid="{00000000-0005-0000-0000-00005A2C0000}"/>
    <cellStyle name="Comma 7 3 2 5 3 4" xfId="11871" xr:uid="{00000000-0005-0000-0000-00005B2C0000}"/>
    <cellStyle name="Comma 7 3 2 5 3 5" xfId="6996" xr:uid="{00000000-0005-0000-0000-00005C2C0000}"/>
    <cellStyle name="Comma 7 3 2 5 4" xfId="4461" xr:uid="{00000000-0005-0000-0000-00005D2C0000}"/>
    <cellStyle name="Comma 7 3 2 5 4 2" xfId="4462" xr:uid="{00000000-0005-0000-0000-00005E2C0000}"/>
    <cellStyle name="Comma 7 3 2 5 4 2 2" xfId="11868" xr:uid="{00000000-0005-0000-0000-00005F2C0000}"/>
    <cellStyle name="Comma 7 3 2 5 4 3" xfId="11397" xr:uid="{00000000-0005-0000-0000-0000602C0000}"/>
    <cellStyle name="Comma 7 3 2 5 4 4" xfId="11869" xr:uid="{00000000-0005-0000-0000-0000612C0000}"/>
    <cellStyle name="Comma 7 3 2 5 4 5" xfId="6997" xr:uid="{00000000-0005-0000-0000-0000622C0000}"/>
    <cellStyle name="Comma 7 3 2 5 5" xfId="4463" xr:uid="{00000000-0005-0000-0000-0000632C0000}"/>
    <cellStyle name="Comma 7 3 2 5 5 2" xfId="11867" xr:uid="{00000000-0005-0000-0000-0000642C0000}"/>
    <cellStyle name="Comma 7 3 2 5 6" xfId="11393" xr:uid="{00000000-0005-0000-0000-0000652C0000}"/>
    <cellStyle name="Comma 7 3 2 5 7" xfId="11876" xr:uid="{00000000-0005-0000-0000-0000662C0000}"/>
    <cellStyle name="Comma 7 3 2 5 8" xfId="6993" xr:uid="{00000000-0005-0000-0000-0000672C0000}"/>
    <cellStyle name="Comma 7 3 2 6" xfId="4464" xr:uid="{00000000-0005-0000-0000-0000682C0000}"/>
    <cellStyle name="Comma 7 3 2 6 2" xfId="4465" xr:uid="{00000000-0005-0000-0000-0000692C0000}"/>
    <cellStyle name="Comma 7 3 2 6 2 2" xfId="4466" xr:uid="{00000000-0005-0000-0000-00006A2C0000}"/>
    <cellStyle name="Comma 7 3 2 6 2 2 2" xfId="11864" xr:uid="{00000000-0005-0000-0000-00006B2C0000}"/>
    <cellStyle name="Comma 7 3 2 6 2 3" xfId="11399" xr:uid="{00000000-0005-0000-0000-00006C2C0000}"/>
    <cellStyle name="Comma 7 3 2 6 2 4" xfId="11865" xr:uid="{00000000-0005-0000-0000-00006D2C0000}"/>
    <cellStyle name="Comma 7 3 2 6 2 5" xfId="6999" xr:uid="{00000000-0005-0000-0000-00006E2C0000}"/>
    <cellStyle name="Comma 7 3 2 6 3" xfId="4467" xr:uid="{00000000-0005-0000-0000-00006F2C0000}"/>
    <cellStyle name="Comma 7 3 2 6 3 2" xfId="4468" xr:uid="{00000000-0005-0000-0000-0000702C0000}"/>
    <cellStyle name="Comma 7 3 2 6 3 2 2" xfId="11862" xr:uid="{00000000-0005-0000-0000-0000712C0000}"/>
    <cellStyle name="Comma 7 3 2 6 3 3" xfId="11400" xr:uid="{00000000-0005-0000-0000-0000722C0000}"/>
    <cellStyle name="Comma 7 3 2 6 3 4" xfId="11863" xr:uid="{00000000-0005-0000-0000-0000732C0000}"/>
    <cellStyle name="Comma 7 3 2 6 3 5" xfId="7000" xr:uid="{00000000-0005-0000-0000-0000742C0000}"/>
    <cellStyle name="Comma 7 3 2 6 4" xfId="4469" xr:uid="{00000000-0005-0000-0000-0000752C0000}"/>
    <cellStyle name="Comma 7 3 2 6 4 2" xfId="11861" xr:uid="{00000000-0005-0000-0000-0000762C0000}"/>
    <cellStyle name="Comma 7 3 2 6 5" xfId="11398" xr:uid="{00000000-0005-0000-0000-0000772C0000}"/>
    <cellStyle name="Comma 7 3 2 6 6" xfId="11866" xr:uid="{00000000-0005-0000-0000-0000782C0000}"/>
    <cellStyle name="Comma 7 3 2 6 7" xfId="6998" xr:uid="{00000000-0005-0000-0000-0000792C0000}"/>
    <cellStyle name="Comma 7 3 2 7" xfId="4470" xr:uid="{00000000-0005-0000-0000-00007A2C0000}"/>
    <cellStyle name="Comma 7 3 2 7 2" xfId="4471" xr:uid="{00000000-0005-0000-0000-00007B2C0000}"/>
    <cellStyle name="Comma 7 3 2 7 2 2" xfId="4472" xr:uid="{00000000-0005-0000-0000-00007C2C0000}"/>
    <cellStyle name="Comma 7 3 2 7 2 2 2" xfId="11858" xr:uid="{00000000-0005-0000-0000-00007D2C0000}"/>
    <cellStyle name="Comma 7 3 2 7 2 3" xfId="11402" xr:uid="{00000000-0005-0000-0000-00007E2C0000}"/>
    <cellStyle name="Comma 7 3 2 7 2 4" xfId="11859" xr:uid="{00000000-0005-0000-0000-00007F2C0000}"/>
    <cellStyle name="Comma 7 3 2 7 2 5" xfId="7002" xr:uid="{00000000-0005-0000-0000-0000802C0000}"/>
    <cellStyle name="Comma 7 3 2 7 3" xfId="4473" xr:uid="{00000000-0005-0000-0000-0000812C0000}"/>
    <cellStyle name="Comma 7 3 2 7 3 2" xfId="11857" xr:uid="{00000000-0005-0000-0000-0000822C0000}"/>
    <cellStyle name="Comma 7 3 2 7 4" xfId="11401" xr:uid="{00000000-0005-0000-0000-0000832C0000}"/>
    <cellStyle name="Comma 7 3 2 7 5" xfId="11860" xr:uid="{00000000-0005-0000-0000-0000842C0000}"/>
    <cellStyle name="Comma 7 3 2 7 6" xfId="7001" xr:uid="{00000000-0005-0000-0000-0000852C0000}"/>
    <cellStyle name="Comma 7 3 2 8" xfId="4474" xr:uid="{00000000-0005-0000-0000-0000862C0000}"/>
    <cellStyle name="Comma 7 3 2 8 2" xfId="4475" xr:uid="{00000000-0005-0000-0000-0000872C0000}"/>
    <cellStyle name="Comma 7 3 2 8 2 2" xfId="11855" xr:uid="{00000000-0005-0000-0000-0000882C0000}"/>
    <cellStyle name="Comma 7 3 2 8 3" xfId="11403" xr:uid="{00000000-0005-0000-0000-0000892C0000}"/>
    <cellStyle name="Comma 7 3 2 8 4" xfId="11856" xr:uid="{00000000-0005-0000-0000-00008A2C0000}"/>
    <cellStyle name="Comma 7 3 2 8 5" xfId="7003" xr:uid="{00000000-0005-0000-0000-00008B2C0000}"/>
    <cellStyle name="Comma 7 3 2 9" xfId="4476" xr:uid="{00000000-0005-0000-0000-00008C2C0000}"/>
    <cellStyle name="Comma 7 3 2 9 2" xfId="4477" xr:uid="{00000000-0005-0000-0000-00008D2C0000}"/>
    <cellStyle name="Comma 7 3 2 9 2 2" xfId="11853" xr:uid="{00000000-0005-0000-0000-00008E2C0000}"/>
    <cellStyle name="Comma 7 3 2 9 3" xfId="11404" xr:uid="{00000000-0005-0000-0000-00008F2C0000}"/>
    <cellStyle name="Comma 7 3 2 9 4" xfId="11854" xr:uid="{00000000-0005-0000-0000-0000902C0000}"/>
    <cellStyle name="Comma 7 3 2 9 5" xfId="7004" xr:uid="{00000000-0005-0000-0000-0000912C0000}"/>
    <cellStyle name="Comma 7 3 3" xfId="4478" xr:uid="{00000000-0005-0000-0000-0000922C0000}"/>
    <cellStyle name="Comma 7 3 3 2" xfId="4479" xr:uid="{00000000-0005-0000-0000-0000932C0000}"/>
    <cellStyle name="Comma 7 3 3 2 2" xfId="4480" xr:uid="{00000000-0005-0000-0000-0000942C0000}"/>
    <cellStyle name="Comma 7 3 3 2 2 2" xfId="4481" xr:uid="{00000000-0005-0000-0000-0000952C0000}"/>
    <cellStyle name="Comma 7 3 3 2 2 2 2" xfId="11849" xr:uid="{00000000-0005-0000-0000-0000962C0000}"/>
    <cellStyle name="Comma 7 3 3 2 2 3" xfId="11407" xr:uid="{00000000-0005-0000-0000-0000972C0000}"/>
    <cellStyle name="Comma 7 3 3 2 2 4" xfId="11850" xr:uid="{00000000-0005-0000-0000-0000982C0000}"/>
    <cellStyle name="Comma 7 3 3 2 2 5" xfId="7007" xr:uid="{00000000-0005-0000-0000-0000992C0000}"/>
    <cellStyle name="Comma 7 3 3 2 3" xfId="4482" xr:uid="{00000000-0005-0000-0000-00009A2C0000}"/>
    <cellStyle name="Comma 7 3 3 2 3 2" xfId="11848" xr:uid="{00000000-0005-0000-0000-00009B2C0000}"/>
    <cellStyle name="Comma 7 3 3 2 4" xfId="11406" xr:uid="{00000000-0005-0000-0000-00009C2C0000}"/>
    <cellStyle name="Comma 7 3 3 2 5" xfId="11851" xr:uid="{00000000-0005-0000-0000-00009D2C0000}"/>
    <cellStyle name="Comma 7 3 3 2 6" xfId="7006" xr:uid="{00000000-0005-0000-0000-00009E2C0000}"/>
    <cellStyle name="Comma 7 3 3 3" xfId="4483" xr:uid="{00000000-0005-0000-0000-00009F2C0000}"/>
    <cellStyle name="Comma 7 3 3 3 2" xfId="4484" xr:uid="{00000000-0005-0000-0000-0000A02C0000}"/>
    <cellStyle name="Comma 7 3 3 3 2 2" xfId="11846" xr:uid="{00000000-0005-0000-0000-0000A12C0000}"/>
    <cellStyle name="Comma 7 3 3 3 3" xfId="11408" xr:uid="{00000000-0005-0000-0000-0000A22C0000}"/>
    <cellStyle name="Comma 7 3 3 3 4" xfId="11847" xr:uid="{00000000-0005-0000-0000-0000A32C0000}"/>
    <cellStyle name="Comma 7 3 3 3 5" xfId="7008" xr:uid="{00000000-0005-0000-0000-0000A42C0000}"/>
    <cellStyle name="Comma 7 3 3 4" xfId="4485" xr:uid="{00000000-0005-0000-0000-0000A52C0000}"/>
    <cellStyle name="Comma 7 3 3 4 2" xfId="4486" xr:uid="{00000000-0005-0000-0000-0000A62C0000}"/>
    <cellStyle name="Comma 7 3 3 4 2 2" xfId="11844" xr:uid="{00000000-0005-0000-0000-0000A72C0000}"/>
    <cellStyle name="Comma 7 3 3 4 3" xfId="11409" xr:uid="{00000000-0005-0000-0000-0000A82C0000}"/>
    <cellStyle name="Comma 7 3 3 4 4" xfId="11845" xr:uid="{00000000-0005-0000-0000-0000A92C0000}"/>
    <cellStyle name="Comma 7 3 3 4 5" xfId="7009" xr:uid="{00000000-0005-0000-0000-0000AA2C0000}"/>
    <cellStyle name="Comma 7 3 3 5" xfId="4487" xr:uid="{00000000-0005-0000-0000-0000AB2C0000}"/>
    <cellStyle name="Comma 7 3 3 5 2" xfId="11843" xr:uid="{00000000-0005-0000-0000-0000AC2C0000}"/>
    <cellStyle name="Comma 7 3 3 6" xfId="11405" xr:uid="{00000000-0005-0000-0000-0000AD2C0000}"/>
    <cellStyle name="Comma 7 3 3 7" xfId="11852" xr:uid="{00000000-0005-0000-0000-0000AE2C0000}"/>
    <cellStyle name="Comma 7 3 3 8" xfId="7005" xr:uid="{00000000-0005-0000-0000-0000AF2C0000}"/>
    <cellStyle name="Comma 7 3 4" xfId="4488" xr:uid="{00000000-0005-0000-0000-0000B02C0000}"/>
    <cellStyle name="Comma 7 3 4 2" xfId="4489" xr:uid="{00000000-0005-0000-0000-0000B12C0000}"/>
    <cellStyle name="Comma 7 3 4 2 2" xfId="4490" xr:uid="{00000000-0005-0000-0000-0000B22C0000}"/>
    <cellStyle name="Comma 7 3 4 2 2 2" xfId="4491" xr:uid="{00000000-0005-0000-0000-0000B32C0000}"/>
    <cellStyle name="Comma 7 3 4 2 2 2 2" xfId="11839" xr:uid="{00000000-0005-0000-0000-0000B42C0000}"/>
    <cellStyle name="Comma 7 3 4 2 2 3" xfId="11412" xr:uid="{00000000-0005-0000-0000-0000B52C0000}"/>
    <cellStyle name="Comma 7 3 4 2 2 4" xfId="11840" xr:uid="{00000000-0005-0000-0000-0000B62C0000}"/>
    <cellStyle name="Comma 7 3 4 2 2 5" xfId="7012" xr:uid="{00000000-0005-0000-0000-0000B72C0000}"/>
    <cellStyle name="Comma 7 3 4 2 3" xfId="4492" xr:uid="{00000000-0005-0000-0000-0000B82C0000}"/>
    <cellStyle name="Comma 7 3 4 2 3 2" xfId="11838" xr:uid="{00000000-0005-0000-0000-0000B92C0000}"/>
    <cellStyle name="Comma 7 3 4 2 4" xfId="11411" xr:uid="{00000000-0005-0000-0000-0000BA2C0000}"/>
    <cellStyle name="Comma 7 3 4 2 5" xfId="11841" xr:uid="{00000000-0005-0000-0000-0000BB2C0000}"/>
    <cellStyle name="Comma 7 3 4 2 6" xfId="7011" xr:uid="{00000000-0005-0000-0000-0000BC2C0000}"/>
    <cellStyle name="Comma 7 3 4 3" xfId="4493" xr:uid="{00000000-0005-0000-0000-0000BD2C0000}"/>
    <cellStyle name="Comma 7 3 4 3 2" xfId="4494" xr:uid="{00000000-0005-0000-0000-0000BE2C0000}"/>
    <cellStyle name="Comma 7 3 4 3 2 2" xfId="11836" xr:uid="{00000000-0005-0000-0000-0000BF2C0000}"/>
    <cellStyle name="Comma 7 3 4 3 3" xfId="11413" xr:uid="{00000000-0005-0000-0000-0000C02C0000}"/>
    <cellStyle name="Comma 7 3 4 3 4" xfId="11837" xr:uid="{00000000-0005-0000-0000-0000C12C0000}"/>
    <cellStyle name="Comma 7 3 4 3 5" xfId="7013" xr:uid="{00000000-0005-0000-0000-0000C22C0000}"/>
    <cellStyle name="Comma 7 3 4 4" xfId="4495" xr:uid="{00000000-0005-0000-0000-0000C32C0000}"/>
    <cellStyle name="Comma 7 3 4 4 2" xfId="4496" xr:uid="{00000000-0005-0000-0000-0000C42C0000}"/>
    <cellStyle name="Comma 7 3 4 4 2 2" xfId="11834" xr:uid="{00000000-0005-0000-0000-0000C52C0000}"/>
    <cellStyle name="Comma 7 3 4 4 3" xfId="11414" xr:uid="{00000000-0005-0000-0000-0000C62C0000}"/>
    <cellStyle name="Comma 7 3 4 4 4" xfId="11835" xr:uid="{00000000-0005-0000-0000-0000C72C0000}"/>
    <cellStyle name="Comma 7 3 4 4 5" xfId="7014" xr:uid="{00000000-0005-0000-0000-0000C82C0000}"/>
    <cellStyle name="Comma 7 3 4 5" xfId="4497" xr:uid="{00000000-0005-0000-0000-0000C92C0000}"/>
    <cellStyle name="Comma 7 3 4 5 2" xfId="11833" xr:uid="{00000000-0005-0000-0000-0000CA2C0000}"/>
    <cellStyle name="Comma 7 3 4 6" xfId="11410" xr:uid="{00000000-0005-0000-0000-0000CB2C0000}"/>
    <cellStyle name="Comma 7 3 4 7" xfId="11842" xr:uid="{00000000-0005-0000-0000-0000CC2C0000}"/>
    <cellStyle name="Comma 7 3 4 8" xfId="7010" xr:uid="{00000000-0005-0000-0000-0000CD2C0000}"/>
    <cellStyle name="Comma 7 3 5" xfId="4498" xr:uid="{00000000-0005-0000-0000-0000CE2C0000}"/>
    <cellStyle name="Comma 7 3 5 2" xfId="4499" xr:uid="{00000000-0005-0000-0000-0000CF2C0000}"/>
    <cellStyle name="Comma 7 3 5 2 2" xfId="4500" xr:uid="{00000000-0005-0000-0000-0000D02C0000}"/>
    <cellStyle name="Comma 7 3 5 2 2 2" xfId="4501" xr:uid="{00000000-0005-0000-0000-0000D12C0000}"/>
    <cellStyle name="Comma 7 3 5 2 2 2 2" xfId="11829" xr:uid="{00000000-0005-0000-0000-0000D22C0000}"/>
    <cellStyle name="Comma 7 3 5 2 2 3" xfId="11417" xr:uid="{00000000-0005-0000-0000-0000D32C0000}"/>
    <cellStyle name="Comma 7 3 5 2 2 4" xfId="11830" xr:uid="{00000000-0005-0000-0000-0000D42C0000}"/>
    <cellStyle name="Comma 7 3 5 2 2 5" xfId="7017" xr:uid="{00000000-0005-0000-0000-0000D52C0000}"/>
    <cellStyle name="Comma 7 3 5 2 3" xfId="4502" xr:uid="{00000000-0005-0000-0000-0000D62C0000}"/>
    <cellStyle name="Comma 7 3 5 2 3 2" xfId="11828" xr:uid="{00000000-0005-0000-0000-0000D72C0000}"/>
    <cellStyle name="Comma 7 3 5 2 4" xfId="11416" xr:uid="{00000000-0005-0000-0000-0000D82C0000}"/>
    <cellStyle name="Comma 7 3 5 2 5" xfId="11831" xr:uid="{00000000-0005-0000-0000-0000D92C0000}"/>
    <cellStyle name="Comma 7 3 5 2 6" xfId="7016" xr:uid="{00000000-0005-0000-0000-0000DA2C0000}"/>
    <cellStyle name="Comma 7 3 5 3" xfId="4503" xr:uid="{00000000-0005-0000-0000-0000DB2C0000}"/>
    <cellStyle name="Comma 7 3 5 3 2" xfId="4504" xr:uid="{00000000-0005-0000-0000-0000DC2C0000}"/>
    <cellStyle name="Comma 7 3 5 3 2 2" xfId="11826" xr:uid="{00000000-0005-0000-0000-0000DD2C0000}"/>
    <cellStyle name="Comma 7 3 5 3 3" xfId="11418" xr:uid="{00000000-0005-0000-0000-0000DE2C0000}"/>
    <cellStyle name="Comma 7 3 5 3 4" xfId="11827" xr:uid="{00000000-0005-0000-0000-0000DF2C0000}"/>
    <cellStyle name="Comma 7 3 5 3 5" xfId="7018" xr:uid="{00000000-0005-0000-0000-0000E02C0000}"/>
    <cellStyle name="Comma 7 3 5 4" xfId="4505" xr:uid="{00000000-0005-0000-0000-0000E12C0000}"/>
    <cellStyle name="Comma 7 3 5 4 2" xfId="4506" xr:uid="{00000000-0005-0000-0000-0000E22C0000}"/>
    <cellStyle name="Comma 7 3 5 4 2 2" xfId="11824" xr:uid="{00000000-0005-0000-0000-0000E32C0000}"/>
    <cellStyle name="Comma 7 3 5 4 3" xfId="11419" xr:uid="{00000000-0005-0000-0000-0000E42C0000}"/>
    <cellStyle name="Comma 7 3 5 4 4" xfId="11825" xr:uid="{00000000-0005-0000-0000-0000E52C0000}"/>
    <cellStyle name="Comma 7 3 5 4 5" xfId="7019" xr:uid="{00000000-0005-0000-0000-0000E62C0000}"/>
    <cellStyle name="Comma 7 3 5 5" xfId="4507" xr:uid="{00000000-0005-0000-0000-0000E72C0000}"/>
    <cellStyle name="Comma 7 3 5 5 2" xfId="11823" xr:uid="{00000000-0005-0000-0000-0000E82C0000}"/>
    <cellStyle name="Comma 7 3 5 6" xfId="11415" xr:uid="{00000000-0005-0000-0000-0000E92C0000}"/>
    <cellStyle name="Comma 7 3 5 7" xfId="11832" xr:uid="{00000000-0005-0000-0000-0000EA2C0000}"/>
    <cellStyle name="Comma 7 3 5 8" xfId="7015" xr:uid="{00000000-0005-0000-0000-0000EB2C0000}"/>
    <cellStyle name="Comma 7 3 6" xfId="4508" xr:uid="{00000000-0005-0000-0000-0000EC2C0000}"/>
    <cellStyle name="Comma 7 3 6 2" xfId="4509" xr:uid="{00000000-0005-0000-0000-0000ED2C0000}"/>
    <cellStyle name="Comma 7 3 6 2 2" xfId="4510" xr:uid="{00000000-0005-0000-0000-0000EE2C0000}"/>
    <cellStyle name="Comma 7 3 6 2 2 2" xfId="4511" xr:uid="{00000000-0005-0000-0000-0000EF2C0000}"/>
    <cellStyle name="Comma 7 3 6 2 2 2 2" xfId="11819" xr:uid="{00000000-0005-0000-0000-0000F02C0000}"/>
    <cellStyle name="Comma 7 3 6 2 2 3" xfId="11422" xr:uid="{00000000-0005-0000-0000-0000F12C0000}"/>
    <cellStyle name="Comma 7 3 6 2 2 4" xfId="11820" xr:uid="{00000000-0005-0000-0000-0000F22C0000}"/>
    <cellStyle name="Comma 7 3 6 2 2 5" xfId="7022" xr:uid="{00000000-0005-0000-0000-0000F32C0000}"/>
    <cellStyle name="Comma 7 3 6 2 3" xfId="4512" xr:uid="{00000000-0005-0000-0000-0000F42C0000}"/>
    <cellStyle name="Comma 7 3 6 2 3 2" xfId="11818" xr:uid="{00000000-0005-0000-0000-0000F52C0000}"/>
    <cellStyle name="Comma 7 3 6 2 4" xfId="11421" xr:uid="{00000000-0005-0000-0000-0000F62C0000}"/>
    <cellStyle name="Comma 7 3 6 2 5" xfId="11821" xr:uid="{00000000-0005-0000-0000-0000F72C0000}"/>
    <cellStyle name="Comma 7 3 6 2 6" xfId="7021" xr:uid="{00000000-0005-0000-0000-0000F82C0000}"/>
    <cellStyle name="Comma 7 3 6 3" xfId="4513" xr:uid="{00000000-0005-0000-0000-0000F92C0000}"/>
    <cellStyle name="Comma 7 3 6 3 2" xfId="4514" xr:uid="{00000000-0005-0000-0000-0000FA2C0000}"/>
    <cellStyle name="Comma 7 3 6 3 2 2" xfId="11816" xr:uid="{00000000-0005-0000-0000-0000FB2C0000}"/>
    <cellStyle name="Comma 7 3 6 3 3" xfId="11423" xr:uid="{00000000-0005-0000-0000-0000FC2C0000}"/>
    <cellStyle name="Comma 7 3 6 3 4" xfId="11817" xr:uid="{00000000-0005-0000-0000-0000FD2C0000}"/>
    <cellStyle name="Comma 7 3 6 3 5" xfId="7023" xr:uid="{00000000-0005-0000-0000-0000FE2C0000}"/>
    <cellStyle name="Comma 7 3 6 4" xfId="4515" xr:uid="{00000000-0005-0000-0000-0000FF2C0000}"/>
    <cellStyle name="Comma 7 3 6 4 2" xfId="4516" xr:uid="{00000000-0005-0000-0000-0000002D0000}"/>
    <cellStyle name="Comma 7 3 6 4 2 2" xfId="11814" xr:uid="{00000000-0005-0000-0000-0000012D0000}"/>
    <cellStyle name="Comma 7 3 6 4 3" xfId="11424" xr:uid="{00000000-0005-0000-0000-0000022D0000}"/>
    <cellStyle name="Comma 7 3 6 4 4" xfId="11815" xr:uid="{00000000-0005-0000-0000-0000032D0000}"/>
    <cellStyle name="Comma 7 3 6 4 5" xfId="7024" xr:uid="{00000000-0005-0000-0000-0000042D0000}"/>
    <cellStyle name="Comma 7 3 6 5" xfId="4517" xr:uid="{00000000-0005-0000-0000-0000052D0000}"/>
    <cellStyle name="Comma 7 3 6 5 2" xfId="11813" xr:uid="{00000000-0005-0000-0000-0000062D0000}"/>
    <cellStyle name="Comma 7 3 6 6" xfId="11420" xr:uid="{00000000-0005-0000-0000-0000072D0000}"/>
    <cellStyle name="Comma 7 3 6 7" xfId="11822" xr:uid="{00000000-0005-0000-0000-0000082D0000}"/>
    <cellStyle name="Comma 7 3 6 8" xfId="7020" xr:uid="{00000000-0005-0000-0000-0000092D0000}"/>
    <cellStyle name="Comma 7 3 7" xfId="4518" xr:uid="{00000000-0005-0000-0000-00000A2D0000}"/>
    <cellStyle name="Comma 7 3 7 2" xfId="4519" xr:uid="{00000000-0005-0000-0000-00000B2D0000}"/>
    <cellStyle name="Comma 7 3 7 2 2" xfId="4520" xr:uid="{00000000-0005-0000-0000-00000C2D0000}"/>
    <cellStyle name="Comma 7 3 7 2 2 2" xfId="11810" xr:uid="{00000000-0005-0000-0000-00000D2D0000}"/>
    <cellStyle name="Comma 7 3 7 2 3" xfId="11426" xr:uid="{00000000-0005-0000-0000-00000E2D0000}"/>
    <cellStyle name="Comma 7 3 7 2 4" xfId="11811" xr:uid="{00000000-0005-0000-0000-00000F2D0000}"/>
    <cellStyle name="Comma 7 3 7 2 5" xfId="7026" xr:uid="{00000000-0005-0000-0000-0000102D0000}"/>
    <cellStyle name="Comma 7 3 7 3" xfId="4521" xr:uid="{00000000-0005-0000-0000-0000112D0000}"/>
    <cellStyle name="Comma 7 3 7 3 2" xfId="4522" xr:uid="{00000000-0005-0000-0000-0000122D0000}"/>
    <cellStyle name="Comma 7 3 7 3 2 2" xfId="11808" xr:uid="{00000000-0005-0000-0000-0000132D0000}"/>
    <cellStyle name="Comma 7 3 7 3 3" xfId="11427" xr:uid="{00000000-0005-0000-0000-0000142D0000}"/>
    <cellStyle name="Comma 7 3 7 3 4" xfId="11809" xr:uid="{00000000-0005-0000-0000-0000152D0000}"/>
    <cellStyle name="Comma 7 3 7 3 5" xfId="7027" xr:uid="{00000000-0005-0000-0000-0000162D0000}"/>
    <cellStyle name="Comma 7 3 7 4" xfId="4523" xr:uid="{00000000-0005-0000-0000-0000172D0000}"/>
    <cellStyle name="Comma 7 3 7 4 2" xfId="11807" xr:uid="{00000000-0005-0000-0000-0000182D0000}"/>
    <cellStyle name="Comma 7 3 7 5" xfId="11425" xr:uid="{00000000-0005-0000-0000-0000192D0000}"/>
    <cellStyle name="Comma 7 3 7 6" xfId="11812" xr:uid="{00000000-0005-0000-0000-00001A2D0000}"/>
    <cellStyle name="Comma 7 3 7 7" xfId="7025" xr:uid="{00000000-0005-0000-0000-00001B2D0000}"/>
    <cellStyle name="Comma 7 3 8" xfId="4524" xr:uid="{00000000-0005-0000-0000-00001C2D0000}"/>
    <cellStyle name="Comma 7 3 8 2" xfId="4525" xr:uid="{00000000-0005-0000-0000-00001D2D0000}"/>
    <cellStyle name="Comma 7 3 8 2 2" xfId="4526" xr:uid="{00000000-0005-0000-0000-00001E2D0000}"/>
    <cellStyle name="Comma 7 3 8 2 2 2" xfId="11804" xr:uid="{00000000-0005-0000-0000-00001F2D0000}"/>
    <cellStyle name="Comma 7 3 8 2 3" xfId="11429" xr:uid="{00000000-0005-0000-0000-0000202D0000}"/>
    <cellStyle name="Comma 7 3 8 2 4" xfId="11805" xr:uid="{00000000-0005-0000-0000-0000212D0000}"/>
    <cellStyle name="Comma 7 3 8 2 5" xfId="7029" xr:uid="{00000000-0005-0000-0000-0000222D0000}"/>
    <cellStyle name="Comma 7 3 8 3" xfId="4527" xr:uid="{00000000-0005-0000-0000-0000232D0000}"/>
    <cellStyle name="Comma 7 3 8 3 2" xfId="11803" xr:uid="{00000000-0005-0000-0000-0000242D0000}"/>
    <cellStyle name="Comma 7 3 8 4" xfId="11428" xr:uid="{00000000-0005-0000-0000-0000252D0000}"/>
    <cellStyle name="Comma 7 3 8 5" xfId="11806" xr:uid="{00000000-0005-0000-0000-0000262D0000}"/>
    <cellStyle name="Comma 7 3 8 6" xfId="7028" xr:uid="{00000000-0005-0000-0000-0000272D0000}"/>
    <cellStyle name="Comma 7 3 9" xfId="4528" xr:uid="{00000000-0005-0000-0000-0000282D0000}"/>
    <cellStyle name="Comma 7 3 9 2" xfId="4529" xr:uid="{00000000-0005-0000-0000-0000292D0000}"/>
    <cellStyle name="Comma 7 3 9 2 2" xfId="11801" xr:uid="{00000000-0005-0000-0000-00002A2D0000}"/>
    <cellStyle name="Comma 7 3 9 3" xfId="11430" xr:uid="{00000000-0005-0000-0000-00002B2D0000}"/>
    <cellStyle name="Comma 7 3 9 4" xfId="11802" xr:uid="{00000000-0005-0000-0000-00002C2D0000}"/>
    <cellStyle name="Comma 7 3 9 5" xfId="7030" xr:uid="{00000000-0005-0000-0000-00002D2D0000}"/>
    <cellStyle name="Comma 7 4" xfId="4530" xr:uid="{00000000-0005-0000-0000-00002E2D0000}"/>
    <cellStyle name="Comma 7 4 10" xfId="4531" xr:uid="{00000000-0005-0000-0000-00002F2D0000}"/>
    <cellStyle name="Comma 7 4 10 2" xfId="4532" xr:uid="{00000000-0005-0000-0000-0000302D0000}"/>
    <cellStyle name="Comma 7 4 10 2 2" xfId="11798" xr:uid="{00000000-0005-0000-0000-0000312D0000}"/>
    <cellStyle name="Comma 7 4 10 3" xfId="11432" xr:uid="{00000000-0005-0000-0000-0000322D0000}"/>
    <cellStyle name="Comma 7 4 10 4" xfId="11799" xr:uid="{00000000-0005-0000-0000-0000332D0000}"/>
    <cellStyle name="Comma 7 4 10 5" xfId="7032" xr:uid="{00000000-0005-0000-0000-0000342D0000}"/>
    <cellStyle name="Comma 7 4 11" xfId="4533" xr:uid="{00000000-0005-0000-0000-0000352D0000}"/>
    <cellStyle name="Comma 7 4 11 2" xfId="11797" xr:uid="{00000000-0005-0000-0000-0000362D0000}"/>
    <cellStyle name="Comma 7 4 12" xfId="11431" xr:uid="{00000000-0005-0000-0000-0000372D0000}"/>
    <cellStyle name="Comma 7 4 13" xfId="11800" xr:uid="{00000000-0005-0000-0000-0000382D0000}"/>
    <cellStyle name="Comma 7 4 14" xfId="7031" xr:uid="{00000000-0005-0000-0000-0000392D0000}"/>
    <cellStyle name="Comma 7 4 2" xfId="4534" xr:uid="{00000000-0005-0000-0000-00003A2D0000}"/>
    <cellStyle name="Comma 7 4 2 10" xfId="4535" xr:uid="{00000000-0005-0000-0000-00003B2D0000}"/>
    <cellStyle name="Comma 7 4 2 10 2" xfId="11795" xr:uid="{00000000-0005-0000-0000-00003C2D0000}"/>
    <cellStyle name="Comma 7 4 2 11" xfId="11433" xr:uid="{00000000-0005-0000-0000-00003D2D0000}"/>
    <cellStyle name="Comma 7 4 2 12" xfId="11796" xr:uid="{00000000-0005-0000-0000-00003E2D0000}"/>
    <cellStyle name="Comma 7 4 2 13" xfId="7033" xr:uid="{00000000-0005-0000-0000-00003F2D0000}"/>
    <cellStyle name="Comma 7 4 2 2" xfId="4536" xr:uid="{00000000-0005-0000-0000-0000402D0000}"/>
    <cellStyle name="Comma 7 4 2 2 2" xfId="4537" xr:uid="{00000000-0005-0000-0000-0000412D0000}"/>
    <cellStyle name="Comma 7 4 2 2 2 2" xfId="4538" xr:uid="{00000000-0005-0000-0000-0000422D0000}"/>
    <cellStyle name="Comma 7 4 2 2 2 2 2" xfId="4539" xr:uid="{00000000-0005-0000-0000-0000432D0000}"/>
    <cellStyle name="Comma 7 4 2 2 2 2 2 2" xfId="11791" xr:uid="{00000000-0005-0000-0000-0000442D0000}"/>
    <cellStyle name="Comma 7 4 2 2 2 2 3" xfId="11436" xr:uid="{00000000-0005-0000-0000-0000452D0000}"/>
    <cellStyle name="Comma 7 4 2 2 2 2 4" xfId="11792" xr:uid="{00000000-0005-0000-0000-0000462D0000}"/>
    <cellStyle name="Comma 7 4 2 2 2 2 5" xfId="7036" xr:uid="{00000000-0005-0000-0000-0000472D0000}"/>
    <cellStyle name="Comma 7 4 2 2 2 3" xfId="4540" xr:uid="{00000000-0005-0000-0000-0000482D0000}"/>
    <cellStyle name="Comma 7 4 2 2 2 3 2" xfId="11790" xr:uid="{00000000-0005-0000-0000-0000492D0000}"/>
    <cellStyle name="Comma 7 4 2 2 2 4" xfId="11435" xr:uid="{00000000-0005-0000-0000-00004A2D0000}"/>
    <cellStyle name="Comma 7 4 2 2 2 5" xfId="11793" xr:uid="{00000000-0005-0000-0000-00004B2D0000}"/>
    <cellStyle name="Comma 7 4 2 2 2 6" xfId="7035" xr:uid="{00000000-0005-0000-0000-00004C2D0000}"/>
    <cellStyle name="Comma 7 4 2 2 3" xfId="4541" xr:uid="{00000000-0005-0000-0000-00004D2D0000}"/>
    <cellStyle name="Comma 7 4 2 2 3 2" xfId="4542" xr:uid="{00000000-0005-0000-0000-00004E2D0000}"/>
    <cellStyle name="Comma 7 4 2 2 3 2 2" xfId="11788" xr:uid="{00000000-0005-0000-0000-00004F2D0000}"/>
    <cellStyle name="Comma 7 4 2 2 3 3" xfId="11437" xr:uid="{00000000-0005-0000-0000-0000502D0000}"/>
    <cellStyle name="Comma 7 4 2 2 3 4" xfId="11789" xr:uid="{00000000-0005-0000-0000-0000512D0000}"/>
    <cellStyle name="Comma 7 4 2 2 3 5" xfId="7037" xr:uid="{00000000-0005-0000-0000-0000522D0000}"/>
    <cellStyle name="Comma 7 4 2 2 4" xfId="4543" xr:uid="{00000000-0005-0000-0000-0000532D0000}"/>
    <cellStyle name="Comma 7 4 2 2 4 2" xfId="4544" xr:uid="{00000000-0005-0000-0000-0000542D0000}"/>
    <cellStyle name="Comma 7 4 2 2 4 2 2" xfId="11786" xr:uid="{00000000-0005-0000-0000-0000552D0000}"/>
    <cellStyle name="Comma 7 4 2 2 4 3" xfId="11438" xr:uid="{00000000-0005-0000-0000-0000562D0000}"/>
    <cellStyle name="Comma 7 4 2 2 4 4" xfId="11787" xr:uid="{00000000-0005-0000-0000-0000572D0000}"/>
    <cellStyle name="Comma 7 4 2 2 4 5" xfId="7038" xr:uid="{00000000-0005-0000-0000-0000582D0000}"/>
    <cellStyle name="Comma 7 4 2 2 5" xfId="4545" xr:uid="{00000000-0005-0000-0000-0000592D0000}"/>
    <cellStyle name="Comma 7 4 2 2 5 2" xfId="11785" xr:uid="{00000000-0005-0000-0000-00005A2D0000}"/>
    <cellStyle name="Comma 7 4 2 2 6" xfId="11434" xr:uid="{00000000-0005-0000-0000-00005B2D0000}"/>
    <cellStyle name="Comma 7 4 2 2 7" xfId="11794" xr:uid="{00000000-0005-0000-0000-00005C2D0000}"/>
    <cellStyle name="Comma 7 4 2 2 8" xfId="7034" xr:uid="{00000000-0005-0000-0000-00005D2D0000}"/>
    <cellStyle name="Comma 7 4 2 3" xfId="4546" xr:uid="{00000000-0005-0000-0000-00005E2D0000}"/>
    <cellStyle name="Comma 7 4 2 3 2" xfId="4547" xr:uid="{00000000-0005-0000-0000-00005F2D0000}"/>
    <cellStyle name="Comma 7 4 2 3 2 2" xfId="4548" xr:uid="{00000000-0005-0000-0000-0000602D0000}"/>
    <cellStyle name="Comma 7 4 2 3 2 2 2" xfId="4549" xr:uid="{00000000-0005-0000-0000-0000612D0000}"/>
    <cellStyle name="Comma 7 4 2 3 2 2 2 2" xfId="11781" xr:uid="{00000000-0005-0000-0000-0000622D0000}"/>
    <cellStyle name="Comma 7 4 2 3 2 2 3" xfId="11441" xr:uid="{00000000-0005-0000-0000-0000632D0000}"/>
    <cellStyle name="Comma 7 4 2 3 2 2 4" xfId="11782" xr:uid="{00000000-0005-0000-0000-0000642D0000}"/>
    <cellStyle name="Comma 7 4 2 3 2 2 5" xfId="7041" xr:uid="{00000000-0005-0000-0000-0000652D0000}"/>
    <cellStyle name="Comma 7 4 2 3 2 3" xfId="4550" xr:uid="{00000000-0005-0000-0000-0000662D0000}"/>
    <cellStyle name="Comma 7 4 2 3 2 3 2" xfId="11780" xr:uid="{00000000-0005-0000-0000-0000672D0000}"/>
    <cellStyle name="Comma 7 4 2 3 2 4" xfId="11440" xr:uid="{00000000-0005-0000-0000-0000682D0000}"/>
    <cellStyle name="Comma 7 4 2 3 2 5" xfId="11783" xr:uid="{00000000-0005-0000-0000-0000692D0000}"/>
    <cellStyle name="Comma 7 4 2 3 2 6" xfId="7040" xr:uid="{00000000-0005-0000-0000-00006A2D0000}"/>
    <cellStyle name="Comma 7 4 2 3 3" xfId="4551" xr:uid="{00000000-0005-0000-0000-00006B2D0000}"/>
    <cellStyle name="Comma 7 4 2 3 3 2" xfId="4552" xr:uid="{00000000-0005-0000-0000-00006C2D0000}"/>
    <cellStyle name="Comma 7 4 2 3 3 2 2" xfId="11778" xr:uid="{00000000-0005-0000-0000-00006D2D0000}"/>
    <cellStyle name="Comma 7 4 2 3 3 3" xfId="11442" xr:uid="{00000000-0005-0000-0000-00006E2D0000}"/>
    <cellStyle name="Comma 7 4 2 3 3 4" xfId="11779" xr:uid="{00000000-0005-0000-0000-00006F2D0000}"/>
    <cellStyle name="Comma 7 4 2 3 3 5" xfId="7042" xr:uid="{00000000-0005-0000-0000-0000702D0000}"/>
    <cellStyle name="Comma 7 4 2 3 4" xfId="4553" xr:uid="{00000000-0005-0000-0000-0000712D0000}"/>
    <cellStyle name="Comma 7 4 2 3 4 2" xfId="4554" xr:uid="{00000000-0005-0000-0000-0000722D0000}"/>
    <cellStyle name="Comma 7 4 2 3 4 2 2" xfId="11776" xr:uid="{00000000-0005-0000-0000-0000732D0000}"/>
    <cellStyle name="Comma 7 4 2 3 4 3" xfId="11443" xr:uid="{00000000-0005-0000-0000-0000742D0000}"/>
    <cellStyle name="Comma 7 4 2 3 4 4" xfId="11777" xr:uid="{00000000-0005-0000-0000-0000752D0000}"/>
    <cellStyle name="Comma 7 4 2 3 4 5" xfId="7043" xr:uid="{00000000-0005-0000-0000-0000762D0000}"/>
    <cellStyle name="Comma 7 4 2 3 5" xfId="4555" xr:uid="{00000000-0005-0000-0000-0000772D0000}"/>
    <cellStyle name="Comma 7 4 2 3 5 2" xfId="11775" xr:uid="{00000000-0005-0000-0000-0000782D0000}"/>
    <cellStyle name="Comma 7 4 2 3 6" xfId="11439" xr:uid="{00000000-0005-0000-0000-0000792D0000}"/>
    <cellStyle name="Comma 7 4 2 3 7" xfId="11784" xr:uid="{00000000-0005-0000-0000-00007A2D0000}"/>
    <cellStyle name="Comma 7 4 2 3 8" xfId="7039" xr:uid="{00000000-0005-0000-0000-00007B2D0000}"/>
    <cellStyle name="Comma 7 4 2 4" xfId="4556" xr:uid="{00000000-0005-0000-0000-00007C2D0000}"/>
    <cellStyle name="Comma 7 4 2 4 2" xfId="4557" xr:uid="{00000000-0005-0000-0000-00007D2D0000}"/>
    <cellStyle name="Comma 7 4 2 4 2 2" xfId="4558" xr:uid="{00000000-0005-0000-0000-00007E2D0000}"/>
    <cellStyle name="Comma 7 4 2 4 2 2 2" xfId="4559" xr:uid="{00000000-0005-0000-0000-00007F2D0000}"/>
    <cellStyle name="Comma 7 4 2 4 2 2 2 2" xfId="11771" xr:uid="{00000000-0005-0000-0000-0000802D0000}"/>
    <cellStyle name="Comma 7 4 2 4 2 2 3" xfId="11446" xr:uid="{00000000-0005-0000-0000-0000812D0000}"/>
    <cellStyle name="Comma 7 4 2 4 2 2 4" xfId="11772" xr:uid="{00000000-0005-0000-0000-0000822D0000}"/>
    <cellStyle name="Comma 7 4 2 4 2 2 5" xfId="7046" xr:uid="{00000000-0005-0000-0000-0000832D0000}"/>
    <cellStyle name="Comma 7 4 2 4 2 3" xfId="4560" xr:uid="{00000000-0005-0000-0000-0000842D0000}"/>
    <cellStyle name="Comma 7 4 2 4 2 3 2" xfId="11770" xr:uid="{00000000-0005-0000-0000-0000852D0000}"/>
    <cellStyle name="Comma 7 4 2 4 2 4" xfId="11445" xr:uid="{00000000-0005-0000-0000-0000862D0000}"/>
    <cellStyle name="Comma 7 4 2 4 2 5" xfId="11773" xr:uid="{00000000-0005-0000-0000-0000872D0000}"/>
    <cellStyle name="Comma 7 4 2 4 2 6" xfId="7045" xr:uid="{00000000-0005-0000-0000-0000882D0000}"/>
    <cellStyle name="Comma 7 4 2 4 3" xfId="4561" xr:uid="{00000000-0005-0000-0000-0000892D0000}"/>
    <cellStyle name="Comma 7 4 2 4 3 2" xfId="4562" xr:uid="{00000000-0005-0000-0000-00008A2D0000}"/>
    <cellStyle name="Comma 7 4 2 4 3 2 2" xfId="11768" xr:uid="{00000000-0005-0000-0000-00008B2D0000}"/>
    <cellStyle name="Comma 7 4 2 4 3 3" xfId="11447" xr:uid="{00000000-0005-0000-0000-00008C2D0000}"/>
    <cellStyle name="Comma 7 4 2 4 3 4" xfId="11769" xr:uid="{00000000-0005-0000-0000-00008D2D0000}"/>
    <cellStyle name="Comma 7 4 2 4 3 5" xfId="7047" xr:uid="{00000000-0005-0000-0000-00008E2D0000}"/>
    <cellStyle name="Comma 7 4 2 4 4" xfId="4563" xr:uid="{00000000-0005-0000-0000-00008F2D0000}"/>
    <cellStyle name="Comma 7 4 2 4 4 2" xfId="4564" xr:uid="{00000000-0005-0000-0000-0000902D0000}"/>
    <cellStyle name="Comma 7 4 2 4 4 2 2" xfId="11766" xr:uid="{00000000-0005-0000-0000-0000912D0000}"/>
    <cellStyle name="Comma 7 4 2 4 4 3" xfId="11448" xr:uid="{00000000-0005-0000-0000-0000922D0000}"/>
    <cellStyle name="Comma 7 4 2 4 4 4" xfId="11767" xr:uid="{00000000-0005-0000-0000-0000932D0000}"/>
    <cellStyle name="Comma 7 4 2 4 4 5" xfId="7048" xr:uid="{00000000-0005-0000-0000-0000942D0000}"/>
    <cellStyle name="Comma 7 4 2 4 5" xfId="4565" xr:uid="{00000000-0005-0000-0000-0000952D0000}"/>
    <cellStyle name="Comma 7 4 2 4 5 2" xfId="11765" xr:uid="{00000000-0005-0000-0000-0000962D0000}"/>
    <cellStyle name="Comma 7 4 2 4 6" xfId="11444" xr:uid="{00000000-0005-0000-0000-0000972D0000}"/>
    <cellStyle name="Comma 7 4 2 4 7" xfId="11774" xr:uid="{00000000-0005-0000-0000-0000982D0000}"/>
    <cellStyle name="Comma 7 4 2 4 8" xfId="7044" xr:uid="{00000000-0005-0000-0000-0000992D0000}"/>
    <cellStyle name="Comma 7 4 2 5" xfId="4566" xr:uid="{00000000-0005-0000-0000-00009A2D0000}"/>
    <cellStyle name="Comma 7 4 2 5 2" xfId="4567" xr:uid="{00000000-0005-0000-0000-00009B2D0000}"/>
    <cellStyle name="Comma 7 4 2 5 2 2" xfId="4568" xr:uid="{00000000-0005-0000-0000-00009C2D0000}"/>
    <cellStyle name="Comma 7 4 2 5 2 2 2" xfId="4569" xr:uid="{00000000-0005-0000-0000-00009D2D0000}"/>
    <cellStyle name="Comma 7 4 2 5 2 2 2 2" xfId="11761" xr:uid="{00000000-0005-0000-0000-00009E2D0000}"/>
    <cellStyle name="Comma 7 4 2 5 2 2 3" xfId="11451" xr:uid="{00000000-0005-0000-0000-00009F2D0000}"/>
    <cellStyle name="Comma 7 4 2 5 2 2 4" xfId="11762" xr:uid="{00000000-0005-0000-0000-0000A02D0000}"/>
    <cellStyle name="Comma 7 4 2 5 2 2 5" xfId="7051" xr:uid="{00000000-0005-0000-0000-0000A12D0000}"/>
    <cellStyle name="Comma 7 4 2 5 2 3" xfId="4570" xr:uid="{00000000-0005-0000-0000-0000A22D0000}"/>
    <cellStyle name="Comma 7 4 2 5 2 3 2" xfId="11760" xr:uid="{00000000-0005-0000-0000-0000A32D0000}"/>
    <cellStyle name="Comma 7 4 2 5 2 4" xfId="11450" xr:uid="{00000000-0005-0000-0000-0000A42D0000}"/>
    <cellStyle name="Comma 7 4 2 5 2 5" xfId="11763" xr:uid="{00000000-0005-0000-0000-0000A52D0000}"/>
    <cellStyle name="Comma 7 4 2 5 2 6" xfId="7050" xr:uid="{00000000-0005-0000-0000-0000A62D0000}"/>
    <cellStyle name="Comma 7 4 2 5 3" xfId="4571" xr:uid="{00000000-0005-0000-0000-0000A72D0000}"/>
    <cellStyle name="Comma 7 4 2 5 3 2" xfId="4572" xr:uid="{00000000-0005-0000-0000-0000A82D0000}"/>
    <cellStyle name="Comma 7 4 2 5 3 2 2" xfId="11758" xr:uid="{00000000-0005-0000-0000-0000A92D0000}"/>
    <cellStyle name="Comma 7 4 2 5 3 3" xfId="11452" xr:uid="{00000000-0005-0000-0000-0000AA2D0000}"/>
    <cellStyle name="Comma 7 4 2 5 3 4" xfId="11759" xr:uid="{00000000-0005-0000-0000-0000AB2D0000}"/>
    <cellStyle name="Comma 7 4 2 5 3 5" xfId="7052" xr:uid="{00000000-0005-0000-0000-0000AC2D0000}"/>
    <cellStyle name="Comma 7 4 2 5 4" xfId="4573" xr:uid="{00000000-0005-0000-0000-0000AD2D0000}"/>
    <cellStyle name="Comma 7 4 2 5 4 2" xfId="4574" xr:uid="{00000000-0005-0000-0000-0000AE2D0000}"/>
    <cellStyle name="Comma 7 4 2 5 4 2 2" xfId="11756" xr:uid="{00000000-0005-0000-0000-0000AF2D0000}"/>
    <cellStyle name="Comma 7 4 2 5 4 3" xfId="11453" xr:uid="{00000000-0005-0000-0000-0000B02D0000}"/>
    <cellStyle name="Comma 7 4 2 5 4 4" xfId="11757" xr:uid="{00000000-0005-0000-0000-0000B12D0000}"/>
    <cellStyle name="Comma 7 4 2 5 4 5" xfId="7053" xr:uid="{00000000-0005-0000-0000-0000B22D0000}"/>
    <cellStyle name="Comma 7 4 2 5 5" xfId="4575" xr:uid="{00000000-0005-0000-0000-0000B32D0000}"/>
    <cellStyle name="Comma 7 4 2 5 5 2" xfId="11755" xr:uid="{00000000-0005-0000-0000-0000B42D0000}"/>
    <cellStyle name="Comma 7 4 2 5 6" xfId="11449" xr:uid="{00000000-0005-0000-0000-0000B52D0000}"/>
    <cellStyle name="Comma 7 4 2 5 7" xfId="11764" xr:uid="{00000000-0005-0000-0000-0000B62D0000}"/>
    <cellStyle name="Comma 7 4 2 5 8" xfId="7049" xr:uid="{00000000-0005-0000-0000-0000B72D0000}"/>
    <cellStyle name="Comma 7 4 2 6" xfId="4576" xr:uid="{00000000-0005-0000-0000-0000B82D0000}"/>
    <cellStyle name="Comma 7 4 2 6 2" xfId="4577" xr:uid="{00000000-0005-0000-0000-0000B92D0000}"/>
    <cellStyle name="Comma 7 4 2 6 2 2" xfId="4578" xr:uid="{00000000-0005-0000-0000-0000BA2D0000}"/>
    <cellStyle name="Comma 7 4 2 6 2 2 2" xfId="11752" xr:uid="{00000000-0005-0000-0000-0000BB2D0000}"/>
    <cellStyle name="Comma 7 4 2 6 2 3" xfId="11455" xr:uid="{00000000-0005-0000-0000-0000BC2D0000}"/>
    <cellStyle name="Comma 7 4 2 6 2 4" xfId="11753" xr:uid="{00000000-0005-0000-0000-0000BD2D0000}"/>
    <cellStyle name="Comma 7 4 2 6 2 5" xfId="7055" xr:uid="{00000000-0005-0000-0000-0000BE2D0000}"/>
    <cellStyle name="Comma 7 4 2 6 3" xfId="4579" xr:uid="{00000000-0005-0000-0000-0000BF2D0000}"/>
    <cellStyle name="Comma 7 4 2 6 3 2" xfId="4580" xr:uid="{00000000-0005-0000-0000-0000C02D0000}"/>
    <cellStyle name="Comma 7 4 2 6 3 2 2" xfId="11750" xr:uid="{00000000-0005-0000-0000-0000C12D0000}"/>
    <cellStyle name="Comma 7 4 2 6 3 3" xfId="11456" xr:uid="{00000000-0005-0000-0000-0000C22D0000}"/>
    <cellStyle name="Comma 7 4 2 6 3 4" xfId="11751" xr:uid="{00000000-0005-0000-0000-0000C32D0000}"/>
    <cellStyle name="Comma 7 4 2 6 3 5" xfId="7056" xr:uid="{00000000-0005-0000-0000-0000C42D0000}"/>
    <cellStyle name="Comma 7 4 2 6 4" xfId="4581" xr:uid="{00000000-0005-0000-0000-0000C52D0000}"/>
    <cellStyle name="Comma 7 4 2 6 4 2" xfId="11749" xr:uid="{00000000-0005-0000-0000-0000C62D0000}"/>
    <cellStyle name="Comma 7 4 2 6 5" xfId="11454" xr:uid="{00000000-0005-0000-0000-0000C72D0000}"/>
    <cellStyle name="Comma 7 4 2 6 6" xfId="11754" xr:uid="{00000000-0005-0000-0000-0000C82D0000}"/>
    <cellStyle name="Comma 7 4 2 6 7" xfId="7054" xr:uid="{00000000-0005-0000-0000-0000C92D0000}"/>
    <cellStyle name="Comma 7 4 2 7" xfId="4582" xr:uid="{00000000-0005-0000-0000-0000CA2D0000}"/>
    <cellStyle name="Comma 7 4 2 7 2" xfId="4583" xr:uid="{00000000-0005-0000-0000-0000CB2D0000}"/>
    <cellStyle name="Comma 7 4 2 7 2 2" xfId="4584" xr:uid="{00000000-0005-0000-0000-0000CC2D0000}"/>
    <cellStyle name="Comma 7 4 2 7 2 2 2" xfId="11746" xr:uid="{00000000-0005-0000-0000-0000CD2D0000}"/>
    <cellStyle name="Comma 7 4 2 7 2 3" xfId="11458" xr:uid="{00000000-0005-0000-0000-0000CE2D0000}"/>
    <cellStyle name="Comma 7 4 2 7 2 4" xfId="11747" xr:uid="{00000000-0005-0000-0000-0000CF2D0000}"/>
    <cellStyle name="Comma 7 4 2 7 2 5" xfId="7058" xr:uid="{00000000-0005-0000-0000-0000D02D0000}"/>
    <cellStyle name="Comma 7 4 2 7 3" xfId="4585" xr:uid="{00000000-0005-0000-0000-0000D12D0000}"/>
    <cellStyle name="Comma 7 4 2 7 3 2" xfId="11745" xr:uid="{00000000-0005-0000-0000-0000D22D0000}"/>
    <cellStyle name="Comma 7 4 2 7 4" xfId="11457" xr:uid="{00000000-0005-0000-0000-0000D32D0000}"/>
    <cellStyle name="Comma 7 4 2 7 5" xfId="11748" xr:uid="{00000000-0005-0000-0000-0000D42D0000}"/>
    <cellStyle name="Comma 7 4 2 7 6" xfId="7057" xr:uid="{00000000-0005-0000-0000-0000D52D0000}"/>
    <cellStyle name="Comma 7 4 2 8" xfId="4586" xr:uid="{00000000-0005-0000-0000-0000D62D0000}"/>
    <cellStyle name="Comma 7 4 2 8 2" xfId="4587" xr:uid="{00000000-0005-0000-0000-0000D72D0000}"/>
    <cellStyle name="Comma 7 4 2 8 2 2" xfId="11743" xr:uid="{00000000-0005-0000-0000-0000D82D0000}"/>
    <cellStyle name="Comma 7 4 2 8 3" xfId="11459" xr:uid="{00000000-0005-0000-0000-0000D92D0000}"/>
    <cellStyle name="Comma 7 4 2 8 4" xfId="11744" xr:uid="{00000000-0005-0000-0000-0000DA2D0000}"/>
    <cellStyle name="Comma 7 4 2 8 5" xfId="7059" xr:uid="{00000000-0005-0000-0000-0000DB2D0000}"/>
    <cellStyle name="Comma 7 4 2 9" xfId="4588" xr:uid="{00000000-0005-0000-0000-0000DC2D0000}"/>
    <cellStyle name="Comma 7 4 2 9 2" xfId="4589" xr:uid="{00000000-0005-0000-0000-0000DD2D0000}"/>
    <cellStyle name="Comma 7 4 2 9 2 2" xfId="11741" xr:uid="{00000000-0005-0000-0000-0000DE2D0000}"/>
    <cellStyle name="Comma 7 4 2 9 3" xfId="11460" xr:uid="{00000000-0005-0000-0000-0000DF2D0000}"/>
    <cellStyle name="Comma 7 4 2 9 4" xfId="11742" xr:uid="{00000000-0005-0000-0000-0000E02D0000}"/>
    <cellStyle name="Comma 7 4 2 9 5" xfId="7060" xr:uid="{00000000-0005-0000-0000-0000E12D0000}"/>
    <cellStyle name="Comma 7 4 3" xfId="4590" xr:uid="{00000000-0005-0000-0000-0000E22D0000}"/>
    <cellStyle name="Comma 7 4 3 2" xfId="4591" xr:uid="{00000000-0005-0000-0000-0000E32D0000}"/>
    <cellStyle name="Comma 7 4 3 2 2" xfId="4592" xr:uid="{00000000-0005-0000-0000-0000E42D0000}"/>
    <cellStyle name="Comma 7 4 3 2 2 2" xfId="4593" xr:uid="{00000000-0005-0000-0000-0000E52D0000}"/>
    <cellStyle name="Comma 7 4 3 2 2 2 2" xfId="11737" xr:uid="{00000000-0005-0000-0000-0000E62D0000}"/>
    <cellStyle name="Comma 7 4 3 2 2 3" xfId="11463" xr:uid="{00000000-0005-0000-0000-0000E72D0000}"/>
    <cellStyle name="Comma 7 4 3 2 2 4" xfId="11738" xr:uid="{00000000-0005-0000-0000-0000E82D0000}"/>
    <cellStyle name="Comma 7 4 3 2 2 5" xfId="7063" xr:uid="{00000000-0005-0000-0000-0000E92D0000}"/>
    <cellStyle name="Comma 7 4 3 2 3" xfId="4594" xr:uid="{00000000-0005-0000-0000-0000EA2D0000}"/>
    <cellStyle name="Comma 7 4 3 2 3 2" xfId="11736" xr:uid="{00000000-0005-0000-0000-0000EB2D0000}"/>
    <cellStyle name="Comma 7 4 3 2 4" xfId="11462" xr:uid="{00000000-0005-0000-0000-0000EC2D0000}"/>
    <cellStyle name="Comma 7 4 3 2 5" xfId="11739" xr:uid="{00000000-0005-0000-0000-0000ED2D0000}"/>
    <cellStyle name="Comma 7 4 3 2 6" xfId="7062" xr:uid="{00000000-0005-0000-0000-0000EE2D0000}"/>
    <cellStyle name="Comma 7 4 3 3" xfId="4595" xr:uid="{00000000-0005-0000-0000-0000EF2D0000}"/>
    <cellStyle name="Comma 7 4 3 3 2" xfId="4596" xr:uid="{00000000-0005-0000-0000-0000F02D0000}"/>
    <cellStyle name="Comma 7 4 3 3 2 2" xfId="11734" xr:uid="{00000000-0005-0000-0000-0000F12D0000}"/>
    <cellStyle name="Comma 7 4 3 3 3" xfId="11464" xr:uid="{00000000-0005-0000-0000-0000F22D0000}"/>
    <cellStyle name="Comma 7 4 3 3 4" xfId="11735" xr:uid="{00000000-0005-0000-0000-0000F32D0000}"/>
    <cellStyle name="Comma 7 4 3 3 5" xfId="7064" xr:uid="{00000000-0005-0000-0000-0000F42D0000}"/>
    <cellStyle name="Comma 7 4 3 4" xfId="4597" xr:uid="{00000000-0005-0000-0000-0000F52D0000}"/>
    <cellStyle name="Comma 7 4 3 4 2" xfId="4598" xr:uid="{00000000-0005-0000-0000-0000F62D0000}"/>
    <cellStyle name="Comma 7 4 3 4 2 2" xfId="11732" xr:uid="{00000000-0005-0000-0000-0000F72D0000}"/>
    <cellStyle name="Comma 7 4 3 4 3" xfId="11465" xr:uid="{00000000-0005-0000-0000-0000F82D0000}"/>
    <cellStyle name="Comma 7 4 3 4 4" xfId="11733" xr:uid="{00000000-0005-0000-0000-0000F92D0000}"/>
    <cellStyle name="Comma 7 4 3 4 5" xfId="7065" xr:uid="{00000000-0005-0000-0000-0000FA2D0000}"/>
    <cellStyle name="Comma 7 4 3 5" xfId="4599" xr:uid="{00000000-0005-0000-0000-0000FB2D0000}"/>
    <cellStyle name="Comma 7 4 3 5 2" xfId="11731" xr:uid="{00000000-0005-0000-0000-0000FC2D0000}"/>
    <cellStyle name="Comma 7 4 3 6" xfId="11461" xr:uid="{00000000-0005-0000-0000-0000FD2D0000}"/>
    <cellStyle name="Comma 7 4 3 7" xfId="11740" xr:uid="{00000000-0005-0000-0000-0000FE2D0000}"/>
    <cellStyle name="Comma 7 4 3 8" xfId="7061" xr:uid="{00000000-0005-0000-0000-0000FF2D0000}"/>
    <cellStyle name="Comma 7 4 4" xfId="4600" xr:uid="{00000000-0005-0000-0000-0000002E0000}"/>
    <cellStyle name="Comma 7 4 4 2" xfId="4601" xr:uid="{00000000-0005-0000-0000-0000012E0000}"/>
    <cellStyle name="Comma 7 4 4 2 2" xfId="4602" xr:uid="{00000000-0005-0000-0000-0000022E0000}"/>
    <cellStyle name="Comma 7 4 4 2 2 2" xfId="4603" xr:uid="{00000000-0005-0000-0000-0000032E0000}"/>
    <cellStyle name="Comma 7 4 4 2 2 2 2" xfId="11727" xr:uid="{00000000-0005-0000-0000-0000042E0000}"/>
    <cellStyle name="Comma 7 4 4 2 2 3" xfId="11468" xr:uid="{00000000-0005-0000-0000-0000052E0000}"/>
    <cellStyle name="Comma 7 4 4 2 2 4" xfId="11728" xr:uid="{00000000-0005-0000-0000-0000062E0000}"/>
    <cellStyle name="Comma 7 4 4 2 2 5" xfId="7068" xr:uid="{00000000-0005-0000-0000-0000072E0000}"/>
    <cellStyle name="Comma 7 4 4 2 3" xfId="4604" xr:uid="{00000000-0005-0000-0000-0000082E0000}"/>
    <cellStyle name="Comma 7 4 4 2 3 2" xfId="11726" xr:uid="{00000000-0005-0000-0000-0000092E0000}"/>
    <cellStyle name="Comma 7 4 4 2 4" xfId="11467" xr:uid="{00000000-0005-0000-0000-00000A2E0000}"/>
    <cellStyle name="Comma 7 4 4 2 5" xfId="11729" xr:uid="{00000000-0005-0000-0000-00000B2E0000}"/>
    <cellStyle name="Comma 7 4 4 2 6" xfId="7067" xr:uid="{00000000-0005-0000-0000-00000C2E0000}"/>
    <cellStyle name="Comma 7 4 4 3" xfId="4605" xr:uid="{00000000-0005-0000-0000-00000D2E0000}"/>
    <cellStyle name="Comma 7 4 4 3 2" xfId="4606" xr:uid="{00000000-0005-0000-0000-00000E2E0000}"/>
    <cellStyle name="Comma 7 4 4 3 2 2" xfId="11724" xr:uid="{00000000-0005-0000-0000-00000F2E0000}"/>
    <cellStyle name="Comma 7 4 4 3 3" xfId="11469" xr:uid="{00000000-0005-0000-0000-0000102E0000}"/>
    <cellStyle name="Comma 7 4 4 3 4" xfId="11725" xr:uid="{00000000-0005-0000-0000-0000112E0000}"/>
    <cellStyle name="Comma 7 4 4 3 5" xfId="7069" xr:uid="{00000000-0005-0000-0000-0000122E0000}"/>
    <cellStyle name="Comma 7 4 4 4" xfId="4607" xr:uid="{00000000-0005-0000-0000-0000132E0000}"/>
    <cellStyle name="Comma 7 4 4 4 2" xfId="4608" xr:uid="{00000000-0005-0000-0000-0000142E0000}"/>
    <cellStyle name="Comma 7 4 4 4 2 2" xfId="11722" xr:uid="{00000000-0005-0000-0000-0000152E0000}"/>
    <cellStyle name="Comma 7 4 4 4 3" xfId="11470" xr:uid="{00000000-0005-0000-0000-0000162E0000}"/>
    <cellStyle name="Comma 7 4 4 4 4" xfId="11723" xr:uid="{00000000-0005-0000-0000-0000172E0000}"/>
    <cellStyle name="Comma 7 4 4 4 5" xfId="7070" xr:uid="{00000000-0005-0000-0000-0000182E0000}"/>
    <cellStyle name="Comma 7 4 4 5" xfId="4609" xr:uid="{00000000-0005-0000-0000-0000192E0000}"/>
    <cellStyle name="Comma 7 4 4 5 2" xfId="11721" xr:uid="{00000000-0005-0000-0000-00001A2E0000}"/>
    <cellStyle name="Comma 7 4 4 6" xfId="11466" xr:uid="{00000000-0005-0000-0000-00001B2E0000}"/>
    <cellStyle name="Comma 7 4 4 7" xfId="11730" xr:uid="{00000000-0005-0000-0000-00001C2E0000}"/>
    <cellStyle name="Comma 7 4 4 8" xfId="7066" xr:uid="{00000000-0005-0000-0000-00001D2E0000}"/>
    <cellStyle name="Comma 7 4 5" xfId="4610" xr:uid="{00000000-0005-0000-0000-00001E2E0000}"/>
    <cellStyle name="Comma 7 4 5 2" xfId="4611" xr:uid="{00000000-0005-0000-0000-00001F2E0000}"/>
    <cellStyle name="Comma 7 4 5 2 2" xfId="4612" xr:uid="{00000000-0005-0000-0000-0000202E0000}"/>
    <cellStyle name="Comma 7 4 5 2 2 2" xfId="4613" xr:uid="{00000000-0005-0000-0000-0000212E0000}"/>
    <cellStyle name="Comma 7 4 5 2 2 2 2" xfId="11717" xr:uid="{00000000-0005-0000-0000-0000222E0000}"/>
    <cellStyle name="Comma 7 4 5 2 2 3" xfId="11473" xr:uid="{00000000-0005-0000-0000-0000232E0000}"/>
    <cellStyle name="Comma 7 4 5 2 2 4" xfId="11718" xr:uid="{00000000-0005-0000-0000-0000242E0000}"/>
    <cellStyle name="Comma 7 4 5 2 2 5" xfId="7073" xr:uid="{00000000-0005-0000-0000-0000252E0000}"/>
    <cellStyle name="Comma 7 4 5 2 3" xfId="4614" xr:uid="{00000000-0005-0000-0000-0000262E0000}"/>
    <cellStyle name="Comma 7 4 5 2 3 2" xfId="11716" xr:uid="{00000000-0005-0000-0000-0000272E0000}"/>
    <cellStyle name="Comma 7 4 5 2 4" xfId="11472" xr:uid="{00000000-0005-0000-0000-0000282E0000}"/>
    <cellStyle name="Comma 7 4 5 2 5" xfId="11719" xr:uid="{00000000-0005-0000-0000-0000292E0000}"/>
    <cellStyle name="Comma 7 4 5 2 6" xfId="7072" xr:uid="{00000000-0005-0000-0000-00002A2E0000}"/>
    <cellStyle name="Comma 7 4 5 3" xfId="4615" xr:uid="{00000000-0005-0000-0000-00002B2E0000}"/>
    <cellStyle name="Comma 7 4 5 3 2" xfId="4616" xr:uid="{00000000-0005-0000-0000-00002C2E0000}"/>
    <cellStyle name="Comma 7 4 5 3 2 2" xfId="11714" xr:uid="{00000000-0005-0000-0000-00002D2E0000}"/>
    <cellStyle name="Comma 7 4 5 3 3" xfId="11474" xr:uid="{00000000-0005-0000-0000-00002E2E0000}"/>
    <cellStyle name="Comma 7 4 5 3 4" xfId="11715" xr:uid="{00000000-0005-0000-0000-00002F2E0000}"/>
    <cellStyle name="Comma 7 4 5 3 5" xfId="7074" xr:uid="{00000000-0005-0000-0000-0000302E0000}"/>
    <cellStyle name="Comma 7 4 5 4" xfId="4617" xr:uid="{00000000-0005-0000-0000-0000312E0000}"/>
    <cellStyle name="Comma 7 4 5 4 2" xfId="4618" xr:uid="{00000000-0005-0000-0000-0000322E0000}"/>
    <cellStyle name="Comma 7 4 5 4 2 2" xfId="11712" xr:uid="{00000000-0005-0000-0000-0000332E0000}"/>
    <cellStyle name="Comma 7 4 5 4 3" xfId="11475" xr:uid="{00000000-0005-0000-0000-0000342E0000}"/>
    <cellStyle name="Comma 7 4 5 4 4" xfId="11713" xr:uid="{00000000-0005-0000-0000-0000352E0000}"/>
    <cellStyle name="Comma 7 4 5 4 5" xfId="7075" xr:uid="{00000000-0005-0000-0000-0000362E0000}"/>
    <cellStyle name="Comma 7 4 5 5" xfId="4619" xr:uid="{00000000-0005-0000-0000-0000372E0000}"/>
    <cellStyle name="Comma 7 4 5 5 2" xfId="11711" xr:uid="{00000000-0005-0000-0000-0000382E0000}"/>
    <cellStyle name="Comma 7 4 5 6" xfId="11471" xr:uid="{00000000-0005-0000-0000-0000392E0000}"/>
    <cellStyle name="Comma 7 4 5 7" xfId="11720" xr:uid="{00000000-0005-0000-0000-00003A2E0000}"/>
    <cellStyle name="Comma 7 4 5 8" xfId="7071" xr:uid="{00000000-0005-0000-0000-00003B2E0000}"/>
    <cellStyle name="Comma 7 4 6" xfId="4620" xr:uid="{00000000-0005-0000-0000-00003C2E0000}"/>
    <cellStyle name="Comma 7 4 6 2" xfId="4621" xr:uid="{00000000-0005-0000-0000-00003D2E0000}"/>
    <cellStyle name="Comma 7 4 6 2 2" xfId="4622" xr:uid="{00000000-0005-0000-0000-00003E2E0000}"/>
    <cellStyle name="Comma 7 4 6 2 2 2" xfId="4623" xr:uid="{00000000-0005-0000-0000-00003F2E0000}"/>
    <cellStyle name="Comma 7 4 6 2 2 2 2" xfId="11707" xr:uid="{00000000-0005-0000-0000-0000402E0000}"/>
    <cellStyle name="Comma 7 4 6 2 2 3" xfId="11478" xr:uid="{00000000-0005-0000-0000-0000412E0000}"/>
    <cellStyle name="Comma 7 4 6 2 2 4" xfId="11708" xr:uid="{00000000-0005-0000-0000-0000422E0000}"/>
    <cellStyle name="Comma 7 4 6 2 2 5" xfId="7078" xr:uid="{00000000-0005-0000-0000-0000432E0000}"/>
    <cellStyle name="Comma 7 4 6 2 3" xfId="4624" xr:uid="{00000000-0005-0000-0000-0000442E0000}"/>
    <cellStyle name="Comma 7 4 6 2 3 2" xfId="11706" xr:uid="{00000000-0005-0000-0000-0000452E0000}"/>
    <cellStyle name="Comma 7 4 6 2 4" xfId="11477" xr:uid="{00000000-0005-0000-0000-0000462E0000}"/>
    <cellStyle name="Comma 7 4 6 2 5" xfId="11709" xr:uid="{00000000-0005-0000-0000-0000472E0000}"/>
    <cellStyle name="Comma 7 4 6 2 6" xfId="7077" xr:uid="{00000000-0005-0000-0000-0000482E0000}"/>
    <cellStyle name="Comma 7 4 6 3" xfId="4625" xr:uid="{00000000-0005-0000-0000-0000492E0000}"/>
    <cellStyle name="Comma 7 4 6 3 2" xfId="4626" xr:uid="{00000000-0005-0000-0000-00004A2E0000}"/>
    <cellStyle name="Comma 7 4 6 3 2 2" xfId="11704" xr:uid="{00000000-0005-0000-0000-00004B2E0000}"/>
    <cellStyle name="Comma 7 4 6 3 3" xfId="11479" xr:uid="{00000000-0005-0000-0000-00004C2E0000}"/>
    <cellStyle name="Comma 7 4 6 3 4" xfId="11705" xr:uid="{00000000-0005-0000-0000-00004D2E0000}"/>
    <cellStyle name="Comma 7 4 6 3 5" xfId="7079" xr:uid="{00000000-0005-0000-0000-00004E2E0000}"/>
    <cellStyle name="Comma 7 4 6 4" xfId="4627" xr:uid="{00000000-0005-0000-0000-00004F2E0000}"/>
    <cellStyle name="Comma 7 4 6 4 2" xfId="4628" xr:uid="{00000000-0005-0000-0000-0000502E0000}"/>
    <cellStyle name="Comma 7 4 6 4 2 2" xfId="11702" xr:uid="{00000000-0005-0000-0000-0000512E0000}"/>
    <cellStyle name="Comma 7 4 6 4 3" xfId="11480" xr:uid="{00000000-0005-0000-0000-0000522E0000}"/>
    <cellStyle name="Comma 7 4 6 4 4" xfId="11703" xr:uid="{00000000-0005-0000-0000-0000532E0000}"/>
    <cellStyle name="Comma 7 4 6 4 5" xfId="7080" xr:uid="{00000000-0005-0000-0000-0000542E0000}"/>
    <cellStyle name="Comma 7 4 6 5" xfId="4629" xr:uid="{00000000-0005-0000-0000-0000552E0000}"/>
    <cellStyle name="Comma 7 4 6 5 2" xfId="11701" xr:uid="{00000000-0005-0000-0000-0000562E0000}"/>
    <cellStyle name="Comma 7 4 6 6" xfId="11476" xr:uid="{00000000-0005-0000-0000-0000572E0000}"/>
    <cellStyle name="Comma 7 4 6 7" xfId="11710" xr:uid="{00000000-0005-0000-0000-0000582E0000}"/>
    <cellStyle name="Comma 7 4 6 8" xfId="7076" xr:uid="{00000000-0005-0000-0000-0000592E0000}"/>
    <cellStyle name="Comma 7 4 7" xfId="4630" xr:uid="{00000000-0005-0000-0000-00005A2E0000}"/>
    <cellStyle name="Comma 7 4 7 2" xfId="4631" xr:uid="{00000000-0005-0000-0000-00005B2E0000}"/>
    <cellStyle name="Comma 7 4 7 2 2" xfId="4632" xr:uid="{00000000-0005-0000-0000-00005C2E0000}"/>
    <cellStyle name="Comma 7 4 7 2 2 2" xfId="11698" xr:uid="{00000000-0005-0000-0000-00005D2E0000}"/>
    <cellStyle name="Comma 7 4 7 2 3" xfId="11482" xr:uid="{00000000-0005-0000-0000-00005E2E0000}"/>
    <cellStyle name="Comma 7 4 7 2 4" xfId="11699" xr:uid="{00000000-0005-0000-0000-00005F2E0000}"/>
    <cellStyle name="Comma 7 4 7 2 5" xfId="7082" xr:uid="{00000000-0005-0000-0000-0000602E0000}"/>
    <cellStyle name="Comma 7 4 7 3" xfId="4633" xr:uid="{00000000-0005-0000-0000-0000612E0000}"/>
    <cellStyle name="Comma 7 4 7 3 2" xfId="4634" xr:uid="{00000000-0005-0000-0000-0000622E0000}"/>
    <cellStyle name="Comma 7 4 7 3 2 2" xfId="11696" xr:uid="{00000000-0005-0000-0000-0000632E0000}"/>
    <cellStyle name="Comma 7 4 7 3 3" xfId="11483" xr:uid="{00000000-0005-0000-0000-0000642E0000}"/>
    <cellStyle name="Comma 7 4 7 3 4" xfId="11697" xr:uid="{00000000-0005-0000-0000-0000652E0000}"/>
    <cellStyle name="Comma 7 4 7 3 5" xfId="7083" xr:uid="{00000000-0005-0000-0000-0000662E0000}"/>
    <cellStyle name="Comma 7 4 7 4" xfId="4635" xr:uid="{00000000-0005-0000-0000-0000672E0000}"/>
    <cellStyle name="Comma 7 4 7 4 2" xfId="11695" xr:uid="{00000000-0005-0000-0000-0000682E0000}"/>
    <cellStyle name="Comma 7 4 7 5" xfId="11481" xr:uid="{00000000-0005-0000-0000-0000692E0000}"/>
    <cellStyle name="Comma 7 4 7 6" xfId="11700" xr:uid="{00000000-0005-0000-0000-00006A2E0000}"/>
    <cellStyle name="Comma 7 4 7 7" xfId="7081" xr:uid="{00000000-0005-0000-0000-00006B2E0000}"/>
    <cellStyle name="Comma 7 4 8" xfId="4636" xr:uid="{00000000-0005-0000-0000-00006C2E0000}"/>
    <cellStyle name="Comma 7 4 8 2" xfId="4637" xr:uid="{00000000-0005-0000-0000-00006D2E0000}"/>
    <cellStyle name="Comma 7 4 8 2 2" xfId="4638" xr:uid="{00000000-0005-0000-0000-00006E2E0000}"/>
    <cellStyle name="Comma 7 4 8 2 2 2" xfId="11692" xr:uid="{00000000-0005-0000-0000-00006F2E0000}"/>
    <cellStyle name="Comma 7 4 8 2 3" xfId="11485" xr:uid="{00000000-0005-0000-0000-0000702E0000}"/>
    <cellStyle name="Comma 7 4 8 2 4" xfId="11693" xr:uid="{00000000-0005-0000-0000-0000712E0000}"/>
    <cellStyle name="Comma 7 4 8 2 5" xfId="7085" xr:uid="{00000000-0005-0000-0000-0000722E0000}"/>
    <cellStyle name="Comma 7 4 8 3" xfId="4639" xr:uid="{00000000-0005-0000-0000-0000732E0000}"/>
    <cellStyle name="Comma 7 4 8 3 2" xfId="11691" xr:uid="{00000000-0005-0000-0000-0000742E0000}"/>
    <cellStyle name="Comma 7 4 8 4" xfId="11484" xr:uid="{00000000-0005-0000-0000-0000752E0000}"/>
    <cellStyle name="Comma 7 4 8 5" xfId="11694" xr:uid="{00000000-0005-0000-0000-0000762E0000}"/>
    <cellStyle name="Comma 7 4 8 6" xfId="7084" xr:uid="{00000000-0005-0000-0000-0000772E0000}"/>
    <cellStyle name="Comma 7 4 9" xfId="4640" xr:uid="{00000000-0005-0000-0000-0000782E0000}"/>
    <cellStyle name="Comma 7 4 9 2" xfId="4641" xr:uid="{00000000-0005-0000-0000-0000792E0000}"/>
    <cellStyle name="Comma 7 4 9 2 2" xfId="11689" xr:uid="{00000000-0005-0000-0000-00007A2E0000}"/>
    <cellStyle name="Comma 7 4 9 3" xfId="11486" xr:uid="{00000000-0005-0000-0000-00007B2E0000}"/>
    <cellStyle name="Comma 7 4 9 4" xfId="11690" xr:uid="{00000000-0005-0000-0000-00007C2E0000}"/>
    <cellStyle name="Comma 7 4 9 5" xfId="7086" xr:uid="{00000000-0005-0000-0000-00007D2E0000}"/>
    <cellStyle name="Comma 7 5" xfId="4642" xr:uid="{00000000-0005-0000-0000-00007E2E0000}"/>
    <cellStyle name="Comma 7 5 10" xfId="4643" xr:uid="{00000000-0005-0000-0000-00007F2E0000}"/>
    <cellStyle name="Comma 7 5 10 2" xfId="11687" xr:uid="{00000000-0005-0000-0000-0000802E0000}"/>
    <cellStyle name="Comma 7 5 11" xfId="11487" xr:uid="{00000000-0005-0000-0000-0000812E0000}"/>
    <cellStyle name="Comma 7 5 12" xfId="11688" xr:uid="{00000000-0005-0000-0000-0000822E0000}"/>
    <cellStyle name="Comma 7 5 13" xfId="7087" xr:uid="{00000000-0005-0000-0000-0000832E0000}"/>
    <cellStyle name="Comma 7 5 2" xfId="4644" xr:uid="{00000000-0005-0000-0000-0000842E0000}"/>
    <cellStyle name="Comma 7 5 2 2" xfId="4645" xr:uid="{00000000-0005-0000-0000-0000852E0000}"/>
    <cellStyle name="Comma 7 5 2 2 2" xfId="4646" xr:uid="{00000000-0005-0000-0000-0000862E0000}"/>
    <cellStyle name="Comma 7 5 2 2 2 2" xfId="4647" xr:uid="{00000000-0005-0000-0000-0000872E0000}"/>
    <cellStyle name="Comma 7 5 2 2 2 2 2" xfId="11683" xr:uid="{00000000-0005-0000-0000-0000882E0000}"/>
    <cellStyle name="Comma 7 5 2 2 2 3" xfId="11490" xr:uid="{00000000-0005-0000-0000-0000892E0000}"/>
    <cellStyle name="Comma 7 5 2 2 2 4" xfId="11684" xr:uid="{00000000-0005-0000-0000-00008A2E0000}"/>
    <cellStyle name="Comma 7 5 2 2 2 5" xfId="7090" xr:uid="{00000000-0005-0000-0000-00008B2E0000}"/>
    <cellStyle name="Comma 7 5 2 2 3" xfId="4648" xr:uid="{00000000-0005-0000-0000-00008C2E0000}"/>
    <cellStyle name="Comma 7 5 2 2 3 2" xfId="11682" xr:uid="{00000000-0005-0000-0000-00008D2E0000}"/>
    <cellStyle name="Comma 7 5 2 2 4" xfId="11489" xr:uid="{00000000-0005-0000-0000-00008E2E0000}"/>
    <cellStyle name="Comma 7 5 2 2 5" xfId="11685" xr:uid="{00000000-0005-0000-0000-00008F2E0000}"/>
    <cellStyle name="Comma 7 5 2 2 6" xfId="7089" xr:uid="{00000000-0005-0000-0000-0000902E0000}"/>
    <cellStyle name="Comma 7 5 2 3" xfId="4649" xr:uid="{00000000-0005-0000-0000-0000912E0000}"/>
    <cellStyle name="Comma 7 5 2 3 2" xfId="4650" xr:uid="{00000000-0005-0000-0000-0000922E0000}"/>
    <cellStyle name="Comma 7 5 2 3 2 2" xfId="11680" xr:uid="{00000000-0005-0000-0000-0000932E0000}"/>
    <cellStyle name="Comma 7 5 2 3 3" xfId="11491" xr:uid="{00000000-0005-0000-0000-0000942E0000}"/>
    <cellStyle name="Comma 7 5 2 3 4" xfId="11681" xr:uid="{00000000-0005-0000-0000-0000952E0000}"/>
    <cellStyle name="Comma 7 5 2 3 5" xfId="7091" xr:uid="{00000000-0005-0000-0000-0000962E0000}"/>
    <cellStyle name="Comma 7 5 2 4" xfId="4651" xr:uid="{00000000-0005-0000-0000-0000972E0000}"/>
    <cellStyle name="Comma 7 5 2 4 2" xfId="4652" xr:uid="{00000000-0005-0000-0000-0000982E0000}"/>
    <cellStyle name="Comma 7 5 2 4 2 2" xfId="11678" xr:uid="{00000000-0005-0000-0000-0000992E0000}"/>
    <cellStyle name="Comma 7 5 2 4 3" xfId="11492" xr:uid="{00000000-0005-0000-0000-00009A2E0000}"/>
    <cellStyle name="Comma 7 5 2 4 4" xfId="11679" xr:uid="{00000000-0005-0000-0000-00009B2E0000}"/>
    <cellStyle name="Comma 7 5 2 4 5" xfId="7092" xr:uid="{00000000-0005-0000-0000-00009C2E0000}"/>
    <cellStyle name="Comma 7 5 2 5" xfId="4653" xr:uid="{00000000-0005-0000-0000-00009D2E0000}"/>
    <cellStyle name="Comma 7 5 2 5 2" xfId="11677" xr:uid="{00000000-0005-0000-0000-00009E2E0000}"/>
    <cellStyle name="Comma 7 5 2 6" xfId="11488" xr:uid="{00000000-0005-0000-0000-00009F2E0000}"/>
    <cellStyle name="Comma 7 5 2 7" xfId="11686" xr:uid="{00000000-0005-0000-0000-0000A02E0000}"/>
    <cellStyle name="Comma 7 5 2 8" xfId="7088" xr:uid="{00000000-0005-0000-0000-0000A12E0000}"/>
    <cellStyle name="Comma 7 5 3" xfId="4654" xr:uid="{00000000-0005-0000-0000-0000A22E0000}"/>
    <cellStyle name="Comma 7 5 3 2" xfId="4655" xr:uid="{00000000-0005-0000-0000-0000A32E0000}"/>
    <cellStyle name="Comma 7 5 3 2 2" xfId="4656" xr:uid="{00000000-0005-0000-0000-0000A42E0000}"/>
    <cellStyle name="Comma 7 5 3 2 2 2" xfId="4657" xr:uid="{00000000-0005-0000-0000-0000A52E0000}"/>
    <cellStyle name="Comma 7 5 3 2 2 2 2" xfId="11673" xr:uid="{00000000-0005-0000-0000-0000A62E0000}"/>
    <cellStyle name="Comma 7 5 3 2 2 3" xfId="11495" xr:uid="{00000000-0005-0000-0000-0000A72E0000}"/>
    <cellStyle name="Comma 7 5 3 2 2 4" xfId="11674" xr:uid="{00000000-0005-0000-0000-0000A82E0000}"/>
    <cellStyle name="Comma 7 5 3 2 2 5" xfId="7095" xr:uid="{00000000-0005-0000-0000-0000A92E0000}"/>
    <cellStyle name="Comma 7 5 3 2 3" xfId="4658" xr:uid="{00000000-0005-0000-0000-0000AA2E0000}"/>
    <cellStyle name="Comma 7 5 3 2 3 2" xfId="11672" xr:uid="{00000000-0005-0000-0000-0000AB2E0000}"/>
    <cellStyle name="Comma 7 5 3 2 4" xfId="11494" xr:uid="{00000000-0005-0000-0000-0000AC2E0000}"/>
    <cellStyle name="Comma 7 5 3 2 5" xfId="11675" xr:uid="{00000000-0005-0000-0000-0000AD2E0000}"/>
    <cellStyle name="Comma 7 5 3 2 6" xfId="7094" xr:uid="{00000000-0005-0000-0000-0000AE2E0000}"/>
    <cellStyle name="Comma 7 5 3 3" xfId="4659" xr:uid="{00000000-0005-0000-0000-0000AF2E0000}"/>
    <cellStyle name="Comma 7 5 3 3 2" xfId="4660" xr:uid="{00000000-0005-0000-0000-0000B02E0000}"/>
    <cellStyle name="Comma 7 5 3 3 2 2" xfId="11670" xr:uid="{00000000-0005-0000-0000-0000B12E0000}"/>
    <cellStyle name="Comma 7 5 3 3 3" xfId="11496" xr:uid="{00000000-0005-0000-0000-0000B22E0000}"/>
    <cellStyle name="Comma 7 5 3 3 4" xfId="11671" xr:uid="{00000000-0005-0000-0000-0000B32E0000}"/>
    <cellStyle name="Comma 7 5 3 3 5" xfId="7096" xr:uid="{00000000-0005-0000-0000-0000B42E0000}"/>
    <cellStyle name="Comma 7 5 3 4" xfId="4661" xr:uid="{00000000-0005-0000-0000-0000B52E0000}"/>
    <cellStyle name="Comma 7 5 3 4 2" xfId="4662" xr:uid="{00000000-0005-0000-0000-0000B62E0000}"/>
    <cellStyle name="Comma 7 5 3 4 2 2" xfId="11668" xr:uid="{00000000-0005-0000-0000-0000B72E0000}"/>
    <cellStyle name="Comma 7 5 3 4 3" xfId="11497" xr:uid="{00000000-0005-0000-0000-0000B82E0000}"/>
    <cellStyle name="Comma 7 5 3 4 4" xfId="11669" xr:uid="{00000000-0005-0000-0000-0000B92E0000}"/>
    <cellStyle name="Comma 7 5 3 4 5" xfId="7097" xr:uid="{00000000-0005-0000-0000-0000BA2E0000}"/>
    <cellStyle name="Comma 7 5 3 5" xfId="4663" xr:uid="{00000000-0005-0000-0000-0000BB2E0000}"/>
    <cellStyle name="Comma 7 5 3 5 2" xfId="11667" xr:uid="{00000000-0005-0000-0000-0000BC2E0000}"/>
    <cellStyle name="Comma 7 5 3 6" xfId="11493" xr:uid="{00000000-0005-0000-0000-0000BD2E0000}"/>
    <cellStyle name="Comma 7 5 3 7" xfId="11676" xr:uid="{00000000-0005-0000-0000-0000BE2E0000}"/>
    <cellStyle name="Comma 7 5 3 8" xfId="7093" xr:uid="{00000000-0005-0000-0000-0000BF2E0000}"/>
    <cellStyle name="Comma 7 5 4" xfId="4664" xr:uid="{00000000-0005-0000-0000-0000C02E0000}"/>
    <cellStyle name="Comma 7 5 4 2" xfId="4665" xr:uid="{00000000-0005-0000-0000-0000C12E0000}"/>
    <cellStyle name="Comma 7 5 4 2 2" xfId="4666" xr:uid="{00000000-0005-0000-0000-0000C22E0000}"/>
    <cellStyle name="Comma 7 5 4 2 2 2" xfId="4667" xr:uid="{00000000-0005-0000-0000-0000C32E0000}"/>
    <cellStyle name="Comma 7 5 4 2 2 2 2" xfId="11663" xr:uid="{00000000-0005-0000-0000-0000C42E0000}"/>
    <cellStyle name="Comma 7 5 4 2 2 3" xfId="11500" xr:uid="{00000000-0005-0000-0000-0000C52E0000}"/>
    <cellStyle name="Comma 7 5 4 2 2 4" xfId="11664" xr:uid="{00000000-0005-0000-0000-0000C62E0000}"/>
    <cellStyle name="Comma 7 5 4 2 2 5" xfId="7100" xr:uid="{00000000-0005-0000-0000-0000C72E0000}"/>
    <cellStyle name="Comma 7 5 4 2 3" xfId="4668" xr:uid="{00000000-0005-0000-0000-0000C82E0000}"/>
    <cellStyle name="Comma 7 5 4 2 3 2" xfId="11662" xr:uid="{00000000-0005-0000-0000-0000C92E0000}"/>
    <cellStyle name="Comma 7 5 4 2 4" xfId="11499" xr:uid="{00000000-0005-0000-0000-0000CA2E0000}"/>
    <cellStyle name="Comma 7 5 4 2 5" xfId="11665" xr:uid="{00000000-0005-0000-0000-0000CB2E0000}"/>
    <cellStyle name="Comma 7 5 4 2 6" xfId="7099" xr:uid="{00000000-0005-0000-0000-0000CC2E0000}"/>
    <cellStyle name="Comma 7 5 4 3" xfId="4669" xr:uid="{00000000-0005-0000-0000-0000CD2E0000}"/>
    <cellStyle name="Comma 7 5 4 3 2" xfId="4670" xr:uid="{00000000-0005-0000-0000-0000CE2E0000}"/>
    <cellStyle name="Comma 7 5 4 3 2 2" xfId="11660" xr:uid="{00000000-0005-0000-0000-0000CF2E0000}"/>
    <cellStyle name="Comma 7 5 4 3 3" xfId="11501" xr:uid="{00000000-0005-0000-0000-0000D02E0000}"/>
    <cellStyle name="Comma 7 5 4 3 4" xfId="11661" xr:uid="{00000000-0005-0000-0000-0000D12E0000}"/>
    <cellStyle name="Comma 7 5 4 3 5" xfId="7101" xr:uid="{00000000-0005-0000-0000-0000D22E0000}"/>
    <cellStyle name="Comma 7 5 4 4" xfId="4671" xr:uid="{00000000-0005-0000-0000-0000D32E0000}"/>
    <cellStyle name="Comma 7 5 4 4 2" xfId="4672" xr:uid="{00000000-0005-0000-0000-0000D42E0000}"/>
    <cellStyle name="Comma 7 5 4 4 2 2" xfId="11658" xr:uid="{00000000-0005-0000-0000-0000D52E0000}"/>
    <cellStyle name="Comma 7 5 4 4 3" xfId="11502" xr:uid="{00000000-0005-0000-0000-0000D62E0000}"/>
    <cellStyle name="Comma 7 5 4 4 4" xfId="11659" xr:uid="{00000000-0005-0000-0000-0000D72E0000}"/>
    <cellStyle name="Comma 7 5 4 4 5" xfId="7102" xr:uid="{00000000-0005-0000-0000-0000D82E0000}"/>
    <cellStyle name="Comma 7 5 4 5" xfId="4673" xr:uid="{00000000-0005-0000-0000-0000D92E0000}"/>
    <cellStyle name="Comma 7 5 4 5 2" xfId="11657" xr:uid="{00000000-0005-0000-0000-0000DA2E0000}"/>
    <cellStyle name="Comma 7 5 4 6" xfId="11498" xr:uid="{00000000-0005-0000-0000-0000DB2E0000}"/>
    <cellStyle name="Comma 7 5 4 7" xfId="11666" xr:uid="{00000000-0005-0000-0000-0000DC2E0000}"/>
    <cellStyle name="Comma 7 5 4 8" xfId="7098" xr:uid="{00000000-0005-0000-0000-0000DD2E0000}"/>
    <cellStyle name="Comma 7 5 5" xfId="4674" xr:uid="{00000000-0005-0000-0000-0000DE2E0000}"/>
    <cellStyle name="Comma 7 5 5 2" xfId="4675" xr:uid="{00000000-0005-0000-0000-0000DF2E0000}"/>
    <cellStyle name="Comma 7 5 5 2 2" xfId="4676" xr:uid="{00000000-0005-0000-0000-0000E02E0000}"/>
    <cellStyle name="Comma 7 5 5 2 2 2" xfId="4677" xr:uid="{00000000-0005-0000-0000-0000E12E0000}"/>
    <cellStyle name="Comma 7 5 5 2 2 2 2" xfId="11653" xr:uid="{00000000-0005-0000-0000-0000E22E0000}"/>
    <cellStyle name="Comma 7 5 5 2 2 3" xfId="11505" xr:uid="{00000000-0005-0000-0000-0000E32E0000}"/>
    <cellStyle name="Comma 7 5 5 2 2 4" xfId="11654" xr:uid="{00000000-0005-0000-0000-0000E42E0000}"/>
    <cellStyle name="Comma 7 5 5 2 2 5" xfId="7105" xr:uid="{00000000-0005-0000-0000-0000E52E0000}"/>
    <cellStyle name="Comma 7 5 5 2 3" xfId="4678" xr:uid="{00000000-0005-0000-0000-0000E62E0000}"/>
    <cellStyle name="Comma 7 5 5 2 3 2" xfId="11652" xr:uid="{00000000-0005-0000-0000-0000E72E0000}"/>
    <cellStyle name="Comma 7 5 5 2 4" xfId="11504" xr:uid="{00000000-0005-0000-0000-0000E82E0000}"/>
    <cellStyle name="Comma 7 5 5 2 5" xfId="11655" xr:uid="{00000000-0005-0000-0000-0000E92E0000}"/>
    <cellStyle name="Comma 7 5 5 2 6" xfId="7104" xr:uid="{00000000-0005-0000-0000-0000EA2E0000}"/>
    <cellStyle name="Comma 7 5 5 3" xfId="4679" xr:uid="{00000000-0005-0000-0000-0000EB2E0000}"/>
    <cellStyle name="Comma 7 5 5 3 2" xfId="4680" xr:uid="{00000000-0005-0000-0000-0000EC2E0000}"/>
    <cellStyle name="Comma 7 5 5 3 2 2" xfId="11650" xr:uid="{00000000-0005-0000-0000-0000ED2E0000}"/>
    <cellStyle name="Comma 7 5 5 3 3" xfId="11506" xr:uid="{00000000-0005-0000-0000-0000EE2E0000}"/>
    <cellStyle name="Comma 7 5 5 3 4" xfId="11651" xr:uid="{00000000-0005-0000-0000-0000EF2E0000}"/>
    <cellStyle name="Comma 7 5 5 3 5" xfId="7106" xr:uid="{00000000-0005-0000-0000-0000F02E0000}"/>
    <cellStyle name="Comma 7 5 5 4" xfId="4681" xr:uid="{00000000-0005-0000-0000-0000F12E0000}"/>
    <cellStyle name="Comma 7 5 5 4 2" xfId="4682" xr:uid="{00000000-0005-0000-0000-0000F22E0000}"/>
    <cellStyle name="Comma 7 5 5 4 2 2" xfId="11648" xr:uid="{00000000-0005-0000-0000-0000F32E0000}"/>
    <cellStyle name="Comma 7 5 5 4 3" xfId="11507" xr:uid="{00000000-0005-0000-0000-0000F42E0000}"/>
    <cellStyle name="Comma 7 5 5 4 4" xfId="11649" xr:uid="{00000000-0005-0000-0000-0000F52E0000}"/>
    <cellStyle name="Comma 7 5 5 4 5" xfId="7107" xr:uid="{00000000-0005-0000-0000-0000F62E0000}"/>
    <cellStyle name="Comma 7 5 5 5" xfId="4683" xr:uid="{00000000-0005-0000-0000-0000F72E0000}"/>
    <cellStyle name="Comma 7 5 5 5 2" xfId="11647" xr:uid="{00000000-0005-0000-0000-0000F82E0000}"/>
    <cellStyle name="Comma 7 5 5 6" xfId="11503" xr:uid="{00000000-0005-0000-0000-0000F92E0000}"/>
    <cellStyle name="Comma 7 5 5 7" xfId="11656" xr:uid="{00000000-0005-0000-0000-0000FA2E0000}"/>
    <cellStyle name="Comma 7 5 5 8" xfId="7103" xr:uid="{00000000-0005-0000-0000-0000FB2E0000}"/>
    <cellStyle name="Comma 7 5 6" xfId="4684" xr:uid="{00000000-0005-0000-0000-0000FC2E0000}"/>
    <cellStyle name="Comma 7 5 6 2" xfId="4685" xr:uid="{00000000-0005-0000-0000-0000FD2E0000}"/>
    <cellStyle name="Comma 7 5 6 2 2" xfId="4686" xr:uid="{00000000-0005-0000-0000-0000FE2E0000}"/>
    <cellStyle name="Comma 7 5 6 2 2 2" xfId="11644" xr:uid="{00000000-0005-0000-0000-0000FF2E0000}"/>
    <cellStyle name="Comma 7 5 6 2 3" xfId="11509" xr:uid="{00000000-0005-0000-0000-0000002F0000}"/>
    <cellStyle name="Comma 7 5 6 2 4" xfId="11645" xr:uid="{00000000-0005-0000-0000-0000012F0000}"/>
    <cellStyle name="Comma 7 5 6 2 5" xfId="7109" xr:uid="{00000000-0005-0000-0000-0000022F0000}"/>
    <cellStyle name="Comma 7 5 6 3" xfId="4687" xr:uid="{00000000-0005-0000-0000-0000032F0000}"/>
    <cellStyle name="Comma 7 5 6 3 2" xfId="4688" xr:uid="{00000000-0005-0000-0000-0000042F0000}"/>
    <cellStyle name="Comma 7 5 6 3 2 2" xfId="11642" xr:uid="{00000000-0005-0000-0000-0000052F0000}"/>
    <cellStyle name="Comma 7 5 6 3 3" xfId="11510" xr:uid="{00000000-0005-0000-0000-0000062F0000}"/>
    <cellStyle name="Comma 7 5 6 3 4" xfId="11643" xr:uid="{00000000-0005-0000-0000-0000072F0000}"/>
    <cellStyle name="Comma 7 5 6 3 5" xfId="7110" xr:uid="{00000000-0005-0000-0000-0000082F0000}"/>
    <cellStyle name="Comma 7 5 6 4" xfId="4689" xr:uid="{00000000-0005-0000-0000-0000092F0000}"/>
    <cellStyle name="Comma 7 5 6 4 2" xfId="11641" xr:uid="{00000000-0005-0000-0000-00000A2F0000}"/>
    <cellStyle name="Comma 7 5 6 5" xfId="11508" xr:uid="{00000000-0005-0000-0000-00000B2F0000}"/>
    <cellStyle name="Comma 7 5 6 6" xfId="11646" xr:uid="{00000000-0005-0000-0000-00000C2F0000}"/>
    <cellStyle name="Comma 7 5 6 7" xfId="7108" xr:uid="{00000000-0005-0000-0000-00000D2F0000}"/>
    <cellStyle name="Comma 7 5 7" xfId="4690" xr:uid="{00000000-0005-0000-0000-00000E2F0000}"/>
    <cellStyle name="Comma 7 5 7 2" xfId="4691" xr:uid="{00000000-0005-0000-0000-00000F2F0000}"/>
    <cellStyle name="Comma 7 5 7 2 2" xfId="4692" xr:uid="{00000000-0005-0000-0000-0000102F0000}"/>
    <cellStyle name="Comma 7 5 7 2 2 2" xfId="11638" xr:uid="{00000000-0005-0000-0000-0000112F0000}"/>
    <cellStyle name="Comma 7 5 7 2 3" xfId="11512" xr:uid="{00000000-0005-0000-0000-0000122F0000}"/>
    <cellStyle name="Comma 7 5 7 2 4" xfId="11639" xr:uid="{00000000-0005-0000-0000-0000132F0000}"/>
    <cellStyle name="Comma 7 5 7 2 5" xfId="7112" xr:uid="{00000000-0005-0000-0000-0000142F0000}"/>
    <cellStyle name="Comma 7 5 7 3" xfId="4693" xr:uid="{00000000-0005-0000-0000-0000152F0000}"/>
    <cellStyle name="Comma 7 5 7 3 2" xfId="11637" xr:uid="{00000000-0005-0000-0000-0000162F0000}"/>
    <cellStyle name="Comma 7 5 7 4" xfId="11511" xr:uid="{00000000-0005-0000-0000-0000172F0000}"/>
    <cellStyle name="Comma 7 5 7 5" xfId="11640" xr:uid="{00000000-0005-0000-0000-0000182F0000}"/>
    <cellStyle name="Comma 7 5 7 6" xfId="7111" xr:uid="{00000000-0005-0000-0000-0000192F0000}"/>
    <cellStyle name="Comma 7 5 8" xfId="4694" xr:uid="{00000000-0005-0000-0000-00001A2F0000}"/>
    <cellStyle name="Comma 7 5 8 2" xfId="4695" xr:uid="{00000000-0005-0000-0000-00001B2F0000}"/>
    <cellStyle name="Comma 7 5 8 2 2" xfId="11635" xr:uid="{00000000-0005-0000-0000-00001C2F0000}"/>
    <cellStyle name="Comma 7 5 8 3" xfId="11513" xr:uid="{00000000-0005-0000-0000-00001D2F0000}"/>
    <cellStyle name="Comma 7 5 8 4" xfId="11636" xr:uid="{00000000-0005-0000-0000-00001E2F0000}"/>
    <cellStyle name="Comma 7 5 8 5" xfId="7113" xr:uid="{00000000-0005-0000-0000-00001F2F0000}"/>
    <cellStyle name="Comma 7 5 9" xfId="4696" xr:uid="{00000000-0005-0000-0000-0000202F0000}"/>
    <cellStyle name="Comma 7 5 9 2" xfId="4697" xr:uid="{00000000-0005-0000-0000-0000212F0000}"/>
    <cellStyle name="Comma 7 5 9 2 2" xfId="11633" xr:uid="{00000000-0005-0000-0000-0000222F0000}"/>
    <cellStyle name="Comma 7 5 9 3" xfId="11514" xr:uid="{00000000-0005-0000-0000-0000232F0000}"/>
    <cellStyle name="Comma 7 5 9 4" xfId="11634" xr:uid="{00000000-0005-0000-0000-0000242F0000}"/>
    <cellStyle name="Comma 7 5 9 5" xfId="7114" xr:uid="{00000000-0005-0000-0000-0000252F0000}"/>
    <cellStyle name="Comma 7 6" xfId="4698" xr:uid="{00000000-0005-0000-0000-0000262F0000}"/>
    <cellStyle name="Comma 7 6 2" xfId="4699" xr:uid="{00000000-0005-0000-0000-0000272F0000}"/>
    <cellStyle name="Comma 7 6 2 2" xfId="4700" xr:uid="{00000000-0005-0000-0000-0000282F0000}"/>
    <cellStyle name="Comma 7 6 2 2 2" xfId="4701" xr:uid="{00000000-0005-0000-0000-0000292F0000}"/>
    <cellStyle name="Comma 7 6 2 2 2 2" xfId="11629" xr:uid="{00000000-0005-0000-0000-00002A2F0000}"/>
    <cellStyle name="Comma 7 6 2 2 3" xfId="11517" xr:uid="{00000000-0005-0000-0000-00002B2F0000}"/>
    <cellStyle name="Comma 7 6 2 2 4" xfId="11630" xr:uid="{00000000-0005-0000-0000-00002C2F0000}"/>
    <cellStyle name="Comma 7 6 2 2 5" xfId="7117" xr:uid="{00000000-0005-0000-0000-00002D2F0000}"/>
    <cellStyle name="Comma 7 6 2 3" xfId="4702" xr:uid="{00000000-0005-0000-0000-00002E2F0000}"/>
    <cellStyle name="Comma 7 6 2 3 2" xfId="11628" xr:uid="{00000000-0005-0000-0000-00002F2F0000}"/>
    <cellStyle name="Comma 7 6 2 4" xfId="11516" xr:uid="{00000000-0005-0000-0000-0000302F0000}"/>
    <cellStyle name="Comma 7 6 2 5" xfId="11631" xr:uid="{00000000-0005-0000-0000-0000312F0000}"/>
    <cellStyle name="Comma 7 6 2 6" xfId="7116" xr:uid="{00000000-0005-0000-0000-0000322F0000}"/>
    <cellStyle name="Comma 7 6 3" xfId="4703" xr:uid="{00000000-0005-0000-0000-0000332F0000}"/>
    <cellStyle name="Comma 7 6 3 2" xfId="4704" xr:uid="{00000000-0005-0000-0000-0000342F0000}"/>
    <cellStyle name="Comma 7 6 3 2 2" xfId="11626" xr:uid="{00000000-0005-0000-0000-0000352F0000}"/>
    <cellStyle name="Comma 7 6 3 3" xfId="11518" xr:uid="{00000000-0005-0000-0000-0000362F0000}"/>
    <cellStyle name="Comma 7 6 3 4" xfId="11627" xr:uid="{00000000-0005-0000-0000-0000372F0000}"/>
    <cellStyle name="Comma 7 6 3 5" xfId="7118" xr:uid="{00000000-0005-0000-0000-0000382F0000}"/>
    <cellStyle name="Comma 7 6 4" xfId="4705" xr:uid="{00000000-0005-0000-0000-0000392F0000}"/>
    <cellStyle name="Comma 7 6 4 2" xfId="4706" xr:uid="{00000000-0005-0000-0000-00003A2F0000}"/>
    <cellStyle name="Comma 7 6 4 2 2" xfId="11624" xr:uid="{00000000-0005-0000-0000-00003B2F0000}"/>
    <cellStyle name="Comma 7 6 4 3" xfId="11519" xr:uid="{00000000-0005-0000-0000-00003C2F0000}"/>
    <cellStyle name="Comma 7 6 4 4" xfId="11625" xr:uid="{00000000-0005-0000-0000-00003D2F0000}"/>
    <cellStyle name="Comma 7 6 4 5" xfId="7119" xr:uid="{00000000-0005-0000-0000-00003E2F0000}"/>
    <cellStyle name="Comma 7 6 5" xfId="4707" xr:uid="{00000000-0005-0000-0000-00003F2F0000}"/>
    <cellStyle name="Comma 7 6 5 2" xfId="11623" xr:uid="{00000000-0005-0000-0000-0000402F0000}"/>
    <cellStyle name="Comma 7 6 6" xfId="11515" xr:uid="{00000000-0005-0000-0000-0000412F0000}"/>
    <cellStyle name="Comma 7 6 7" xfId="11632" xr:uid="{00000000-0005-0000-0000-0000422F0000}"/>
    <cellStyle name="Comma 7 6 8" xfId="7115" xr:uid="{00000000-0005-0000-0000-0000432F0000}"/>
    <cellStyle name="Comma 7 7" xfId="4708" xr:uid="{00000000-0005-0000-0000-0000442F0000}"/>
    <cellStyle name="Comma 7 7 2" xfId="4709" xr:uid="{00000000-0005-0000-0000-0000452F0000}"/>
    <cellStyle name="Comma 7 7 2 2" xfId="4710" xr:uid="{00000000-0005-0000-0000-0000462F0000}"/>
    <cellStyle name="Comma 7 7 2 2 2" xfId="4711" xr:uid="{00000000-0005-0000-0000-0000472F0000}"/>
    <cellStyle name="Comma 7 7 2 2 2 2" xfId="11619" xr:uid="{00000000-0005-0000-0000-0000482F0000}"/>
    <cellStyle name="Comma 7 7 2 2 3" xfId="11522" xr:uid="{00000000-0005-0000-0000-0000492F0000}"/>
    <cellStyle name="Comma 7 7 2 2 4" xfId="11620" xr:uid="{00000000-0005-0000-0000-00004A2F0000}"/>
    <cellStyle name="Comma 7 7 2 2 5" xfId="7122" xr:uid="{00000000-0005-0000-0000-00004B2F0000}"/>
    <cellStyle name="Comma 7 7 2 3" xfId="4712" xr:uid="{00000000-0005-0000-0000-00004C2F0000}"/>
    <cellStyle name="Comma 7 7 2 3 2" xfId="11618" xr:uid="{00000000-0005-0000-0000-00004D2F0000}"/>
    <cellStyle name="Comma 7 7 2 4" xfId="11521" xr:uid="{00000000-0005-0000-0000-00004E2F0000}"/>
    <cellStyle name="Comma 7 7 2 5" xfId="11621" xr:uid="{00000000-0005-0000-0000-00004F2F0000}"/>
    <cellStyle name="Comma 7 7 2 6" xfId="7121" xr:uid="{00000000-0005-0000-0000-0000502F0000}"/>
    <cellStyle name="Comma 7 7 3" xfId="4713" xr:uid="{00000000-0005-0000-0000-0000512F0000}"/>
    <cellStyle name="Comma 7 7 3 2" xfId="4714" xr:uid="{00000000-0005-0000-0000-0000522F0000}"/>
    <cellStyle name="Comma 7 7 3 2 2" xfId="11616" xr:uid="{00000000-0005-0000-0000-0000532F0000}"/>
    <cellStyle name="Comma 7 7 3 3" xfId="11523" xr:uid="{00000000-0005-0000-0000-0000542F0000}"/>
    <cellStyle name="Comma 7 7 3 4" xfId="11617" xr:uid="{00000000-0005-0000-0000-0000552F0000}"/>
    <cellStyle name="Comma 7 7 3 5" xfId="7123" xr:uid="{00000000-0005-0000-0000-0000562F0000}"/>
    <cellStyle name="Comma 7 7 4" xfId="4715" xr:uid="{00000000-0005-0000-0000-0000572F0000}"/>
    <cellStyle name="Comma 7 7 4 2" xfId="4716" xr:uid="{00000000-0005-0000-0000-0000582F0000}"/>
    <cellStyle name="Comma 7 7 4 2 2" xfId="11614" xr:uid="{00000000-0005-0000-0000-0000592F0000}"/>
    <cellStyle name="Comma 7 7 4 3" xfId="11524" xr:uid="{00000000-0005-0000-0000-00005A2F0000}"/>
    <cellStyle name="Comma 7 7 4 4" xfId="11615" xr:uid="{00000000-0005-0000-0000-00005B2F0000}"/>
    <cellStyle name="Comma 7 7 4 5" xfId="7124" xr:uid="{00000000-0005-0000-0000-00005C2F0000}"/>
    <cellStyle name="Comma 7 7 5" xfId="4717" xr:uid="{00000000-0005-0000-0000-00005D2F0000}"/>
    <cellStyle name="Comma 7 7 5 2" xfId="11613" xr:uid="{00000000-0005-0000-0000-00005E2F0000}"/>
    <cellStyle name="Comma 7 7 6" xfId="11520" xr:uid="{00000000-0005-0000-0000-00005F2F0000}"/>
    <cellStyle name="Comma 7 7 7" xfId="11622" xr:uid="{00000000-0005-0000-0000-0000602F0000}"/>
    <cellStyle name="Comma 7 7 8" xfId="7120" xr:uid="{00000000-0005-0000-0000-0000612F0000}"/>
    <cellStyle name="Comma 7 8" xfId="4718" xr:uid="{00000000-0005-0000-0000-0000622F0000}"/>
    <cellStyle name="Comma 7 8 2" xfId="4719" xr:uid="{00000000-0005-0000-0000-0000632F0000}"/>
    <cellStyle name="Comma 7 8 2 2" xfId="4720" xr:uid="{00000000-0005-0000-0000-0000642F0000}"/>
    <cellStyle name="Comma 7 8 2 2 2" xfId="4721" xr:uid="{00000000-0005-0000-0000-0000652F0000}"/>
    <cellStyle name="Comma 7 8 2 2 2 2" xfId="11609" xr:uid="{00000000-0005-0000-0000-0000662F0000}"/>
    <cellStyle name="Comma 7 8 2 2 3" xfId="11527" xr:uid="{00000000-0005-0000-0000-0000672F0000}"/>
    <cellStyle name="Comma 7 8 2 2 4" xfId="11610" xr:uid="{00000000-0005-0000-0000-0000682F0000}"/>
    <cellStyle name="Comma 7 8 2 2 5" xfId="7127" xr:uid="{00000000-0005-0000-0000-0000692F0000}"/>
    <cellStyle name="Comma 7 8 2 3" xfId="4722" xr:uid="{00000000-0005-0000-0000-00006A2F0000}"/>
    <cellStyle name="Comma 7 8 2 3 2" xfId="11608" xr:uid="{00000000-0005-0000-0000-00006B2F0000}"/>
    <cellStyle name="Comma 7 8 2 4" xfId="11526" xr:uid="{00000000-0005-0000-0000-00006C2F0000}"/>
    <cellStyle name="Comma 7 8 2 5" xfId="11611" xr:uid="{00000000-0005-0000-0000-00006D2F0000}"/>
    <cellStyle name="Comma 7 8 2 6" xfId="7126" xr:uid="{00000000-0005-0000-0000-00006E2F0000}"/>
    <cellStyle name="Comma 7 8 3" xfId="4723" xr:uid="{00000000-0005-0000-0000-00006F2F0000}"/>
    <cellStyle name="Comma 7 8 3 2" xfId="4724" xr:uid="{00000000-0005-0000-0000-0000702F0000}"/>
    <cellStyle name="Comma 7 8 3 2 2" xfId="11606" xr:uid="{00000000-0005-0000-0000-0000712F0000}"/>
    <cellStyle name="Comma 7 8 3 3" xfId="11528" xr:uid="{00000000-0005-0000-0000-0000722F0000}"/>
    <cellStyle name="Comma 7 8 3 4" xfId="11607" xr:uid="{00000000-0005-0000-0000-0000732F0000}"/>
    <cellStyle name="Comma 7 8 3 5" xfId="7128" xr:uid="{00000000-0005-0000-0000-0000742F0000}"/>
    <cellStyle name="Comma 7 8 4" xfId="4725" xr:uid="{00000000-0005-0000-0000-0000752F0000}"/>
    <cellStyle name="Comma 7 8 4 2" xfId="4726" xr:uid="{00000000-0005-0000-0000-0000762F0000}"/>
    <cellStyle name="Comma 7 8 4 2 2" xfId="11604" xr:uid="{00000000-0005-0000-0000-0000772F0000}"/>
    <cellStyle name="Comma 7 8 4 3" xfId="11529" xr:uid="{00000000-0005-0000-0000-0000782F0000}"/>
    <cellStyle name="Comma 7 8 4 4" xfId="11605" xr:uid="{00000000-0005-0000-0000-0000792F0000}"/>
    <cellStyle name="Comma 7 8 4 5" xfId="7129" xr:uid="{00000000-0005-0000-0000-00007A2F0000}"/>
    <cellStyle name="Comma 7 8 5" xfId="4727" xr:uid="{00000000-0005-0000-0000-00007B2F0000}"/>
    <cellStyle name="Comma 7 8 5 2" xfId="11603" xr:uid="{00000000-0005-0000-0000-00007C2F0000}"/>
    <cellStyle name="Comma 7 8 6" xfId="11525" xr:uid="{00000000-0005-0000-0000-00007D2F0000}"/>
    <cellStyle name="Comma 7 8 7" xfId="11612" xr:uid="{00000000-0005-0000-0000-00007E2F0000}"/>
    <cellStyle name="Comma 7 8 8" xfId="7125" xr:uid="{00000000-0005-0000-0000-00007F2F0000}"/>
    <cellStyle name="Comma 7 9" xfId="4728" xr:uid="{00000000-0005-0000-0000-0000802F0000}"/>
    <cellStyle name="Comma 7 9 2" xfId="4729" xr:uid="{00000000-0005-0000-0000-0000812F0000}"/>
    <cellStyle name="Comma 7 9 2 2" xfId="4730" xr:uid="{00000000-0005-0000-0000-0000822F0000}"/>
    <cellStyle name="Comma 7 9 2 2 2" xfId="4731" xr:uid="{00000000-0005-0000-0000-0000832F0000}"/>
    <cellStyle name="Comma 7 9 2 2 2 2" xfId="11599" xr:uid="{00000000-0005-0000-0000-0000842F0000}"/>
    <cellStyle name="Comma 7 9 2 2 3" xfId="11532" xr:uid="{00000000-0005-0000-0000-0000852F0000}"/>
    <cellStyle name="Comma 7 9 2 2 4" xfId="11600" xr:uid="{00000000-0005-0000-0000-0000862F0000}"/>
    <cellStyle name="Comma 7 9 2 2 5" xfId="7132" xr:uid="{00000000-0005-0000-0000-0000872F0000}"/>
    <cellStyle name="Comma 7 9 2 3" xfId="4732" xr:uid="{00000000-0005-0000-0000-0000882F0000}"/>
    <cellStyle name="Comma 7 9 2 3 2" xfId="11598" xr:uid="{00000000-0005-0000-0000-0000892F0000}"/>
    <cellStyle name="Comma 7 9 2 4" xfId="11531" xr:uid="{00000000-0005-0000-0000-00008A2F0000}"/>
    <cellStyle name="Comma 7 9 2 5" xfId="11601" xr:uid="{00000000-0005-0000-0000-00008B2F0000}"/>
    <cellStyle name="Comma 7 9 2 6" xfId="7131" xr:uid="{00000000-0005-0000-0000-00008C2F0000}"/>
    <cellStyle name="Comma 7 9 3" xfId="4733" xr:uid="{00000000-0005-0000-0000-00008D2F0000}"/>
    <cellStyle name="Comma 7 9 3 2" xfId="4734" xr:uid="{00000000-0005-0000-0000-00008E2F0000}"/>
    <cellStyle name="Comma 7 9 3 2 2" xfId="11596" xr:uid="{00000000-0005-0000-0000-00008F2F0000}"/>
    <cellStyle name="Comma 7 9 3 3" xfId="11533" xr:uid="{00000000-0005-0000-0000-0000902F0000}"/>
    <cellStyle name="Comma 7 9 3 4" xfId="11597" xr:uid="{00000000-0005-0000-0000-0000912F0000}"/>
    <cellStyle name="Comma 7 9 3 5" xfId="7133" xr:uid="{00000000-0005-0000-0000-0000922F0000}"/>
    <cellStyle name="Comma 7 9 4" xfId="4735" xr:uid="{00000000-0005-0000-0000-0000932F0000}"/>
    <cellStyle name="Comma 7 9 4 2" xfId="4736" xr:uid="{00000000-0005-0000-0000-0000942F0000}"/>
    <cellStyle name="Comma 7 9 4 2 2" xfId="11594" xr:uid="{00000000-0005-0000-0000-0000952F0000}"/>
    <cellStyle name="Comma 7 9 4 3" xfId="11534" xr:uid="{00000000-0005-0000-0000-0000962F0000}"/>
    <cellStyle name="Comma 7 9 4 4" xfId="11595" xr:uid="{00000000-0005-0000-0000-0000972F0000}"/>
    <cellStyle name="Comma 7 9 4 5" xfId="7134" xr:uid="{00000000-0005-0000-0000-0000982F0000}"/>
    <cellStyle name="Comma 7 9 5" xfId="4737" xr:uid="{00000000-0005-0000-0000-0000992F0000}"/>
    <cellStyle name="Comma 7 9 5 2" xfId="11593" xr:uid="{00000000-0005-0000-0000-00009A2F0000}"/>
    <cellStyle name="Comma 7 9 6" xfId="11530" xr:uid="{00000000-0005-0000-0000-00009B2F0000}"/>
    <cellStyle name="Comma 7 9 7" xfId="11602" xr:uid="{00000000-0005-0000-0000-00009C2F0000}"/>
    <cellStyle name="Comma 7 9 8" xfId="7130" xr:uid="{00000000-0005-0000-0000-00009D2F0000}"/>
    <cellStyle name="Comma 8" xfId="7135" xr:uid="{00000000-0005-0000-0000-00009E2F0000}"/>
    <cellStyle name="Comma 8 2" xfId="11536" xr:uid="{00000000-0005-0000-0000-00009F2F0000}"/>
    <cellStyle name="Comma 8 3" xfId="11535" xr:uid="{00000000-0005-0000-0000-0000A02F0000}"/>
    <cellStyle name="Comma 9" xfId="12312" xr:uid="{00000000-0005-0000-0000-0000A12F0000}"/>
    <cellStyle name="Descriptor text" xfId="4" xr:uid="{00000000-0005-0000-0000-0000A22F0000}"/>
    <cellStyle name="Descriptor text 2" xfId="4738" xr:uid="{00000000-0005-0000-0000-0000A32F0000}"/>
    <cellStyle name="Descriptor text 2 2" xfId="11592" xr:uid="{00000000-0005-0000-0000-0000A42F0000}"/>
    <cellStyle name="headerStyle" xfId="4739" xr:uid="{00000000-0005-0000-0000-0000A52F0000}"/>
    <cellStyle name="headerStyle 2" xfId="11537" xr:uid="{00000000-0005-0000-0000-0000A62F0000}"/>
    <cellStyle name="headerStyle 3" xfId="11591" xr:uid="{00000000-0005-0000-0000-0000A72F0000}"/>
    <cellStyle name="headerStyle 4" xfId="7136" xr:uid="{00000000-0005-0000-0000-0000A82F0000}"/>
    <cellStyle name="Heading" xfId="3" xr:uid="{00000000-0005-0000-0000-0000A92F0000}"/>
    <cellStyle name="Heading 5" xfId="4740" xr:uid="{00000000-0005-0000-0000-0000AA2F0000}"/>
    <cellStyle name="Heading 5 2" xfId="11590" xr:uid="{00000000-0005-0000-0000-0000AB2F0000}"/>
    <cellStyle name="Hyperlink" xfId="5" builtinId="8"/>
    <cellStyle name="Hyperlink 2" xfId="4741" xr:uid="{00000000-0005-0000-0000-0000AD2F0000}"/>
    <cellStyle name="Hyperlink 2 2" xfId="11538" xr:uid="{00000000-0005-0000-0000-0000AE2F0000}"/>
    <cellStyle name="Hyperlink 2 3" xfId="11589" xr:uid="{00000000-0005-0000-0000-0000AF2F0000}"/>
    <cellStyle name="Hyperlink 2 4" xfId="7138" xr:uid="{00000000-0005-0000-0000-0000B02F0000}"/>
    <cellStyle name="Hyperlink 3" xfId="7137" xr:uid="{00000000-0005-0000-0000-0000B12F0000}"/>
    <cellStyle name="NJS" xfId="4742" xr:uid="{00000000-0005-0000-0000-0000B22F0000}"/>
    <cellStyle name="NJS 2" xfId="11539" xr:uid="{00000000-0005-0000-0000-0000B32F0000}"/>
    <cellStyle name="NJS 3" xfId="11588" xr:uid="{00000000-0005-0000-0000-0000B42F0000}"/>
    <cellStyle name="NJS 4" xfId="7139" xr:uid="{00000000-0005-0000-0000-0000B52F0000}"/>
    <cellStyle name="Normal" xfId="0" builtinId="0"/>
    <cellStyle name="Normal 10 2" xfId="22" xr:uid="{00000000-0005-0000-0000-0000B72F0000}"/>
    <cellStyle name="Normal 10 2 2" xfId="4743" xr:uid="{00000000-0005-0000-0000-0000B82F0000}"/>
    <cellStyle name="Normal 10 2 2 2" xfId="11587" xr:uid="{00000000-0005-0000-0000-0000B92F0000}"/>
    <cellStyle name="Normal 2" xfId="9" xr:uid="{00000000-0005-0000-0000-0000BA2F0000}"/>
    <cellStyle name="Normal 2 2" xfId="11" xr:uid="{00000000-0005-0000-0000-0000BB2F0000}"/>
    <cellStyle name="Normal 2 2 2" xfId="11541" xr:uid="{00000000-0005-0000-0000-0000BC2F0000}"/>
    <cellStyle name="Normal 2 3" xfId="14" xr:uid="{00000000-0005-0000-0000-0000BD2F0000}"/>
    <cellStyle name="Normal 2 3 2" xfId="4744" xr:uid="{00000000-0005-0000-0000-0000BE2F0000}"/>
    <cellStyle name="Normal 2 3 2 2" xfId="11586" xr:uid="{00000000-0005-0000-0000-0000BF2F0000}"/>
    <cellStyle name="Normal 2 4" xfId="11540" xr:uid="{00000000-0005-0000-0000-0000C02F0000}"/>
    <cellStyle name="Normal 24" xfId="4745" xr:uid="{00000000-0005-0000-0000-0000C12F0000}"/>
    <cellStyle name="Normal 24 2" xfId="11542" xr:uid="{00000000-0005-0000-0000-0000C22F0000}"/>
    <cellStyle name="Normal 24 3" xfId="11585" xr:uid="{00000000-0005-0000-0000-0000C32F0000}"/>
    <cellStyle name="Normal 24 4" xfId="7140" xr:uid="{00000000-0005-0000-0000-0000C42F0000}"/>
    <cellStyle name="Normal 3" xfId="6" xr:uid="{00000000-0005-0000-0000-0000C52F0000}"/>
    <cellStyle name="Normal 3 2" xfId="4747" xr:uid="{00000000-0005-0000-0000-0000C62F0000}"/>
    <cellStyle name="Normal 3 2 2" xfId="20" xr:uid="{00000000-0005-0000-0000-0000C72F0000}"/>
    <cellStyle name="Normal 3 2 2 2" xfId="4748" xr:uid="{00000000-0005-0000-0000-0000C82F0000}"/>
    <cellStyle name="Normal 3 2 2 2 2" xfId="11583" xr:uid="{00000000-0005-0000-0000-0000C92F0000}"/>
    <cellStyle name="Normal 3 2 3" xfId="11543" xr:uid="{00000000-0005-0000-0000-0000CA2F0000}"/>
    <cellStyle name="Normal 3 3" xfId="4746" xr:uid="{00000000-0005-0000-0000-0000CB2F0000}"/>
    <cellStyle name="Normal 3 3 2" xfId="18" xr:uid="{00000000-0005-0000-0000-0000CC2F0000}"/>
    <cellStyle name="Normal 3 3 2 2" xfId="4749" xr:uid="{00000000-0005-0000-0000-0000CD2F0000}"/>
    <cellStyle name="Normal 3 3 2 2 2" xfId="11582" xr:uid="{00000000-0005-0000-0000-0000CE2F0000}"/>
    <cellStyle name="Normal 3 3 3" xfId="11584" xr:uid="{00000000-0005-0000-0000-0000CF2F0000}"/>
    <cellStyle name="Normal 3 7" xfId="4750" xr:uid="{00000000-0005-0000-0000-0000D02F0000}"/>
    <cellStyle name="Normal 3 7 2" xfId="4751" xr:uid="{00000000-0005-0000-0000-0000D12F0000}"/>
    <cellStyle name="Normal 3 7 2 2" xfId="11545" xr:uid="{00000000-0005-0000-0000-0000D22F0000}"/>
    <cellStyle name="Normal 3 7 2 3" xfId="11580" xr:uid="{00000000-0005-0000-0000-0000D32F0000}"/>
    <cellStyle name="Normal 3 7 2 4" xfId="7142" xr:uid="{00000000-0005-0000-0000-0000D42F0000}"/>
    <cellStyle name="Normal 3 7 3" xfId="4752" xr:uid="{00000000-0005-0000-0000-0000D52F0000}"/>
    <cellStyle name="Normal 3 7 3 2" xfId="11546" xr:uid="{00000000-0005-0000-0000-0000D62F0000}"/>
    <cellStyle name="Normal 3 7 3 3" xfId="11579" xr:uid="{00000000-0005-0000-0000-0000D72F0000}"/>
    <cellStyle name="Normal 3 7 3 4" xfId="7143" xr:uid="{00000000-0005-0000-0000-0000D82F0000}"/>
    <cellStyle name="Normal 3 7 4" xfId="11544" xr:uid="{00000000-0005-0000-0000-0000D92F0000}"/>
    <cellStyle name="Normal 3 7 5" xfId="11581" xr:uid="{00000000-0005-0000-0000-0000DA2F0000}"/>
    <cellStyle name="Normal 3 7 6" xfId="7141" xr:uid="{00000000-0005-0000-0000-0000DB2F0000}"/>
    <cellStyle name="Normal 4" xfId="8" xr:uid="{00000000-0005-0000-0000-0000DC2F0000}"/>
    <cellStyle name="Normal 4 2" xfId="15" xr:uid="{00000000-0005-0000-0000-0000DD2F0000}"/>
    <cellStyle name="Normal 4 2 2" xfId="11548" xr:uid="{00000000-0005-0000-0000-0000DE2F0000}"/>
    <cellStyle name="Normal 4 3" xfId="11547" xr:uid="{00000000-0005-0000-0000-0000DF2F0000}"/>
    <cellStyle name="Normal 5" xfId="17" xr:uid="{00000000-0005-0000-0000-0000E02F0000}"/>
    <cellStyle name="Normal 5 2" xfId="4754" xr:uid="{00000000-0005-0000-0000-0000E12F0000}"/>
    <cellStyle name="Normal 5 2 2" xfId="11549" xr:uid="{00000000-0005-0000-0000-0000E22F0000}"/>
    <cellStyle name="Normal 5 2 3" xfId="11577" xr:uid="{00000000-0005-0000-0000-0000E32F0000}"/>
    <cellStyle name="Normal 5 2 4" xfId="7145" xr:uid="{00000000-0005-0000-0000-0000E42F0000}"/>
    <cellStyle name="Normal 5 3" xfId="4755" xr:uid="{00000000-0005-0000-0000-0000E52F0000}"/>
    <cellStyle name="Normal 5 3 2" xfId="11550" xr:uid="{00000000-0005-0000-0000-0000E62F0000}"/>
    <cellStyle name="Normal 5 3 3" xfId="11576" xr:uid="{00000000-0005-0000-0000-0000E72F0000}"/>
    <cellStyle name="Normal 5 3 4" xfId="7146" xr:uid="{00000000-0005-0000-0000-0000E82F0000}"/>
    <cellStyle name="Normal 5 4" xfId="4756" xr:uid="{00000000-0005-0000-0000-0000E92F0000}"/>
    <cellStyle name="Normal 5 4 2" xfId="11551" xr:uid="{00000000-0005-0000-0000-0000EA2F0000}"/>
    <cellStyle name="Normal 5 4 3" xfId="11575" xr:uid="{00000000-0005-0000-0000-0000EB2F0000}"/>
    <cellStyle name="Normal 5 4 4" xfId="7147" xr:uid="{00000000-0005-0000-0000-0000EC2F0000}"/>
    <cellStyle name="Normal 5 5" xfId="21" xr:uid="{00000000-0005-0000-0000-0000ED2F0000}"/>
    <cellStyle name="Normal 5 5 2" xfId="4757" xr:uid="{00000000-0005-0000-0000-0000EE2F0000}"/>
    <cellStyle name="Normal 5 5 2 2" xfId="11574" xr:uid="{00000000-0005-0000-0000-0000EF2F0000}"/>
    <cellStyle name="Normal 5 6" xfId="4753" xr:uid="{00000000-0005-0000-0000-0000F02F0000}"/>
    <cellStyle name="Normal 5 6 2" xfId="11578" xr:uid="{00000000-0005-0000-0000-0000F12F0000}"/>
    <cellStyle name="Normal 5 7" xfId="7144" xr:uid="{00000000-0005-0000-0000-0000F22F0000}"/>
    <cellStyle name="Normal 6" xfId="4758" xr:uid="{00000000-0005-0000-0000-0000F32F0000}"/>
    <cellStyle name="Normal 6 2" xfId="11552" xr:uid="{00000000-0005-0000-0000-0000F42F0000}"/>
    <cellStyle name="Normal 6 3" xfId="11573" xr:uid="{00000000-0005-0000-0000-0000F52F0000}"/>
    <cellStyle name="Normal 6 4" xfId="7148" xr:uid="{00000000-0005-0000-0000-0000F62F0000}"/>
    <cellStyle name="Normal 7" xfId="16" xr:uid="{00000000-0005-0000-0000-0000F72F0000}"/>
    <cellStyle name="Normal 7 2" xfId="11553" xr:uid="{00000000-0005-0000-0000-0000F82F0000}"/>
    <cellStyle name="Normal 8" xfId="24" xr:uid="{00000000-0005-0000-0000-0000F92F0000}"/>
    <cellStyle name="Normal 8 2" xfId="12323" xr:uid="{00000000-0005-0000-0000-0000FA2F0000}"/>
    <cellStyle name="Normal 8 3" xfId="12309" xr:uid="{00000000-0005-0000-0000-0000FB2F0000}"/>
    <cellStyle name="Output Amounts" xfId="4759" xr:uid="{00000000-0005-0000-0000-0000FC2F0000}"/>
    <cellStyle name="Output Amounts 2" xfId="11554" xr:uid="{00000000-0005-0000-0000-0000FD2F0000}"/>
    <cellStyle name="Output Amounts 3" xfId="11572" xr:uid="{00000000-0005-0000-0000-0000FE2F0000}"/>
    <cellStyle name="Output Amounts 4" xfId="7149" xr:uid="{00000000-0005-0000-0000-0000FF2F0000}"/>
    <cellStyle name="Output Column Headings" xfId="4760" xr:uid="{00000000-0005-0000-0000-000000300000}"/>
    <cellStyle name="Output Column Headings 2" xfId="11555" xr:uid="{00000000-0005-0000-0000-000001300000}"/>
    <cellStyle name="Output Column Headings 3" xfId="7168" xr:uid="{00000000-0005-0000-0000-000002300000}"/>
    <cellStyle name="Output Column Headings 4" xfId="7150" xr:uid="{00000000-0005-0000-0000-000003300000}"/>
    <cellStyle name="Output Line Items" xfId="4761" xr:uid="{00000000-0005-0000-0000-000004300000}"/>
    <cellStyle name="Output Line Items 2" xfId="11556" xr:uid="{00000000-0005-0000-0000-000005300000}"/>
    <cellStyle name="Output Line Items 3" xfId="7169" xr:uid="{00000000-0005-0000-0000-000006300000}"/>
    <cellStyle name="Output Line Items 4" xfId="7151" xr:uid="{00000000-0005-0000-0000-000007300000}"/>
    <cellStyle name="Output Report Heading" xfId="4762" xr:uid="{00000000-0005-0000-0000-000008300000}"/>
    <cellStyle name="Output Report Heading 2" xfId="11557" xr:uid="{00000000-0005-0000-0000-000009300000}"/>
    <cellStyle name="Output Report Heading 3" xfId="7170" xr:uid="{00000000-0005-0000-0000-00000A300000}"/>
    <cellStyle name="Output Report Heading 4" xfId="7152" xr:uid="{00000000-0005-0000-0000-00000B300000}"/>
    <cellStyle name="Output Report Title" xfId="4763" xr:uid="{00000000-0005-0000-0000-00000C300000}"/>
    <cellStyle name="Output Report Title 2" xfId="11558" xr:uid="{00000000-0005-0000-0000-00000D300000}"/>
    <cellStyle name="Output Report Title 3" xfId="7171" xr:uid="{00000000-0005-0000-0000-00000E300000}"/>
    <cellStyle name="Output Report Title 4" xfId="7153" xr:uid="{00000000-0005-0000-0000-00000F300000}"/>
    <cellStyle name="Percent" xfId="2" builtinId="5"/>
    <cellStyle name="Percent 2" xfId="19" xr:uid="{00000000-0005-0000-0000-000011300000}"/>
    <cellStyle name="Percent 2 2" xfId="4765" xr:uid="{00000000-0005-0000-0000-000012300000}"/>
    <cellStyle name="Percent 2 2 2" xfId="4766" xr:uid="{00000000-0005-0000-0000-000013300000}"/>
    <cellStyle name="Percent 2 2 2 2" xfId="11560" xr:uid="{00000000-0005-0000-0000-000014300000}"/>
    <cellStyle name="Percent 2 2 2 3" xfId="7174" xr:uid="{00000000-0005-0000-0000-000015300000}"/>
    <cellStyle name="Percent 2 2 2 4" xfId="7156" xr:uid="{00000000-0005-0000-0000-000016300000}"/>
    <cellStyle name="Percent 2 2 3" xfId="4767" xr:uid="{00000000-0005-0000-0000-000017300000}"/>
    <cellStyle name="Percent 2 2 3 2" xfId="11561" xr:uid="{00000000-0005-0000-0000-000018300000}"/>
    <cellStyle name="Percent 2 2 3 3" xfId="7175" xr:uid="{00000000-0005-0000-0000-000019300000}"/>
    <cellStyle name="Percent 2 2 3 4" xfId="7157" xr:uid="{00000000-0005-0000-0000-00001A300000}"/>
    <cellStyle name="Percent 2 2 4" xfId="4768" xr:uid="{00000000-0005-0000-0000-00001B300000}"/>
    <cellStyle name="Percent 2 2 4 2" xfId="11562" xr:uid="{00000000-0005-0000-0000-00001C300000}"/>
    <cellStyle name="Percent 2 2 4 3" xfId="7176" xr:uid="{00000000-0005-0000-0000-00001D300000}"/>
    <cellStyle name="Percent 2 2 4 4" xfId="7158" xr:uid="{00000000-0005-0000-0000-00001E300000}"/>
    <cellStyle name="Percent 2 2 5" xfId="11559" xr:uid="{00000000-0005-0000-0000-00001F300000}"/>
    <cellStyle name="Percent 2 2 6" xfId="7173" xr:uid="{00000000-0005-0000-0000-000020300000}"/>
    <cellStyle name="Percent 2 2 7" xfId="7155" xr:uid="{00000000-0005-0000-0000-000021300000}"/>
    <cellStyle name="Percent 2 3" xfId="4769" xr:uid="{00000000-0005-0000-0000-000022300000}"/>
    <cellStyle name="Percent 2 3 2" xfId="4770" xr:uid="{00000000-0005-0000-0000-000023300000}"/>
    <cellStyle name="Percent 2 3 2 2" xfId="11564" xr:uid="{00000000-0005-0000-0000-000024300000}"/>
    <cellStyle name="Percent 2 3 2 3" xfId="12314" xr:uid="{00000000-0005-0000-0000-000025300000}"/>
    <cellStyle name="Percent 2 3 2 4" xfId="7160" xr:uid="{00000000-0005-0000-0000-000026300000}"/>
    <cellStyle name="Percent 2 3 3" xfId="4771" xr:uid="{00000000-0005-0000-0000-000027300000}"/>
    <cellStyle name="Percent 2 3 3 2" xfId="11565" xr:uid="{00000000-0005-0000-0000-000028300000}"/>
    <cellStyle name="Percent 2 3 3 3" xfId="12315" xr:uid="{00000000-0005-0000-0000-000029300000}"/>
    <cellStyle name="Percent 2 3 3 4" xfId="7161" xr:uid="{00000000-0005-0000-0000-00002A300000}"/>
    <cellStyle name="Percent 2 3 4" xfId="11563" xr:uid="{00000000-0005-0000-0000-00002B300000}"/>
    <cellStyle name="Percent 2 3 5" xfId="12313" xr:uid="{00000000-0005-0000-0000-00002C300000}"/>
    <cellStyle name="Percent 2 3 6" xfId="7159" xr:uid="{00000000-0005-0000-0000-00002D300000}"/>
    <cellStyle name="Percent 2 4" xfId="4772" xr:uid="{00000000-0005-0000-0000-00002E300000}"/>
    <cellStyle name="Percent 2 4 2" xfId="4773" xr:uid="{00000000-0005-0000-0000-00002F300000}"/>
    <cellStyle name="Percent 2 4 2 2" xfId="11567" xr:uid="{00000000-0005-0000-0000-000030300000}"/>
    <cellStyle name="Percent 2 4 2 3" xfId="12317" xr:uid="{00000000-0005-0000-0000-000031300000}"/>
    <cellStyle name="Percent 2 4 2 4" xfId="7163" xr:uid="{00000000-0005-0000-0000-000032300000}"/>
    <cellStyle name="Percent 2 4 3" xfId="4774" xr:uid="{00000000-0005-0000-0000-000033300000}"/>
    <cellStyle name="Percent 2 4 3 2" xfId="11568" xr:uid="{00000000-0005-0000-0000-000034300000}"/>
    <cellStyle name="Percent 2 4 3 3" xfId="12318" xr:uid="{00000000-0005-0000-0000-000035300000}"/>
    <cellStyle name="Percent 2 4 3 4" xfId="7164" xr:uid="{00000000-0005-0000-0000-000036300000}"/>
    <cellStyle name="Percent 2 4 4" xfId="11566" xr:uid="{00000000-0005-0000-0000-000037300000}"/>
    <cellStyle name="Percent 2 4 5" xfId="12316" xr:uid="{00000000-0005-0000-0000-000038300000}"/>
    <cellStyle name="Percent 2 4 6" xfId="7162" xr:uid="{00000000-0005-0000-0000-000039300000}"/>
    <cellStyle name="Percent 2 5" xfId="4775" xr:uid="{00000000-0005-0000-0000-00003A300000}"/>
    <cellStyle name="Percent 2 5 2" xfId="11569" xr:uid="{00000000-0005-0000-0000-00003B300000}"/>
    <cellStyle name="Percent 2 5 3" xfId="12319" xr:uid="{00000000-0005-0000-0000-00003C300000}"/>
    <cellStyle name="Percent 2 5 4" xfId="7165" xr:uid="{00000000-0005-0000-0000-00003D300000}"/>
    <cellStyle name="Percent 2 6" xfId="4776" xr:uid="{00000000-0005-0000-0000-00003E300000}"/>
    <cellStyle name="Percent 2 6 2" xfId="11570" xr:uid="{00000000-0005-0000-0000-00003F300000}"/>
    <cellStyle name="Percent 2 6 3" xfId="12320" xr:uid="{00000000-0005-0000-0000-000040300000}"/>
    <cellStyle name="Percent 2 6 4" xfId="7166" xr:uid="{00000000-0005-0000-0000-000041300000}"/>
    <cellStyle name="Percent 2 7" xfId="4777" xr:uid="{00000000-0005-0000-0000-000042300000}"/>
    <cellStyle name="Percent 2 7 2" xfId="11571" xr:uid="{00000000-0005-0000-0000-000043300000}"/>
    <cellStyle name="Percent 2 7 3" xfId="12321" xr:uid="{00000000-0005-0000-0000-000044300000}"/>
    <cellStyle name="Percent 2 7 4" xfId="7167" xr:uid="{00000000-0005-0000-0000-000045300000}"/>
    <cellStyle name="Percent 2 8" xfId="4764" xr:uid="{00000000-0005-0000-0000-000046300000}"/>
    <cellStyle name="Percent 2 8 2" xfId="7172" xr:uid="{00000000-0005-0000-0000-000047300000}"/>
    <cellStyle name="Percent 2 9" xfId="7154" xr:uid="{00000000-0005-0000-0000-000048300000}"/>
    <cellStyle name="Validation error" xfId="7" xr:uid="{00000000-0005-0000-0000-000049300000}"/>
    <cellStyle name="Validation error 2" xfId="4778" xr:uid="{00000000-0005-0000-0000-00004A300000}"/>
    <cellStyle name="Validation error 2 2" xfId="12322" xr:uid="{00000000-0005-0000-0000-00004B300000}"/>
  </cellStyles>
  <dxfs count="6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6E6E6"/>
        </patternFill>
      </fill>
    </dxf>
    <dxf>
      <fill>
        <patternFill>
          <bgColor rgb="FFE6E6E6"/>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E6E6E6"/>
        </patternFill>
      </fill>
    </dxf>
    <dxf>
      <fill>
        <patternFill>
          <bgColor theme="2"/>
        </patternFill>
      </fill>
    </dxf>
    <dxf>
      <fill>
        <patternFill>
          <bgColor theme="2"/>
        </patternFill>
      </fill>
    </dxf>
    <dxf>
      <fill>
        <patternFill>
          <bgColor rgb="FFE6E6E6"/>
        </patternFill>
      </fill>
    </dxf>
    <dxf>
      <fill>
        <patternFill>
          <bgColor rgb="FFE6E6E6"/>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rgb="FFFF0000"/>
        </patternFill>
      </fill>
    </dxf>
    <dxf>
      <fill>
        <patternFill>
          <bgColor rgb="FFFF0000"/>
        </patternFill>
      </fill>
    </dxf>
    <dxf>
      <font>
        <strike/>
        <color theme="0"/>
      </font>
    </dxf>
    <dxf>
      <font>
        <strike/>
        <color theme="0"/>
      </font>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FF0000"/>
        </patternFill>
      </fill>
    </dxf>
    <dxf>
      <font>
        <color auto="1"/>
      </font>
      <fill>
        <patternFill>
          <bgColor rgb="FFFF0000"/>
        </patternFill>
      </fill>
    </dxf>
    <dxf>
      <fill>
        <patternFill>
          <bgColor rgb="FFFF0000"/>
        </patternFill>
      </fill>
    </dxf>
    <dxf>
      <fill>
        <patternFill>
          <bgColor theme="2"/>
        </patternFill>
      </fill>
    </dxf>
    <dxf>
      <fill>
        <patternFill>
          <bgColor rgb="FFFF0000"/>
        </patternFill>
      </fill>
    </dxf>
    <dxf>
      <font>
        <color auto="1"/>
      </font>
      <fill>
        <patternFill>
          <bgColor rgb="FFFF0000"/>
        </patternFill>
      </fill>
    </dxf>
    <dxf>
      <fill>
        <patternFill>
          <bgColor rgb="FFFF0000"/>
        </patternFill>
      </fill>
    </dxf>
    <dxf>
      <fill>
        <patternFill>
          <bgColor theme="2"/>
        </patternFill>
      </fill>
    </dxf>
    <dxf>
      <fill>
        <patternFill>
          <bgColor theme="2"/>
        </patternFill>
      </fill>
    </dxf>
    <dxf>
      <fill>
        <patternFill>
          <bgColor rgb="FFFF0000"/>
        </patternFill>
      </fill>
    </dxf>
    <dxf>
      <fill>
        <patternFill>
          <bgColor theme="2"/>
        </patternFill>
      </fill>
    </dxf>
    <dxf>
      <fill>
        <patternFill>
          <bgColor rgb="FFFF0000"/>
        </patternFill>
      </fill>
    </dxf>
    <dxf>
      <fill>
        <patternFill>
          <bgColor theme="2"/>
        </patternFill>
      </fill>
    </dxf>
    <dxf>
      <fill>
        <patternFill>
          <bgColor rgb="FFFF0000"/>
        </patternFill>
      </fill>
    </dxf>
    <dxf>
      <fill>
        <patternFill>
          <bgColor rgb="FFFF0000"/>
        </patternFill>
      </fill>
    </dxf>
    <dxf>
      <fill>
        <patternFill>
          <bgColor theme="2"/>
        </patternFill>
      </fill>
    </dxf>
    <dxf>
      <fill>
        <patternFill>
          <bgColor rgb="FFFF0000"/>
        </patternFill>
      </fill>
    </dxf>
    <dxf>
      <font>
        <color rgb="FF9C0006"/>
      </font>
      <fill>
        <patternFill>
          <bgColor rgb="FFFFC7CE"/>
        </patternFill>
      </fill>
    </dxf>
    <dxf>
      <font>
        <strike/>
        <color theme="0"/>
      </font>
    </dxf>
    <dxf>
      <fill>
        <patternFill>
          <bgColor rgb="FFFF0000"/>
        </patternFill>
      </fill>
    </dxf>
    <dxf>
      <font>
        <color rgb="FF9C0006"/>
      </font>
      <fill>
        <patternFill>
          <bgColor rgb="FFFFC7CE"/>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ill>
        <patternFill>
          <bgColor theme="2"/>
        </patternFill>
      </fill>
    </dxf>
    <dxf>
      <fill>
        <patternFill>
          <bgColor theme="2"/>
        </patternFill>
      </fill>
    </dxf>
    <dxf>
      <fill>
        <patternFill>
          <bgColor rgb="FFFF0000"/>
        </patternFill>
      </fill>
    </dxf>
    <dxf>
      <font>
        <color auto="1"/>
      </font>
      <fill>
        <patternFill>
          <bgColor rgb="FFFF0000"/>
        </patternFill>
      </fill>
    </dxf>
    <dxf>
      <font>
        <strike/>
        <color theme="0"/>
      </font>
    </dxf>
    <dxf>
      <font>
        <color theme="0"/>
      </font>
      <fill>
        <patternFill>
          <bgColor theme="0"/>
        </patternFill>
      </fill>
    </dxf>
    <dxf>
      <font>
        <color auto="1"/>
      </font>
      <fill>
        <patternFill>
          <bgColor rgb="FFFF0000"/>
        </patternFill>
      </fill>
    </dxf>
    <dxf>
      <font>
        <strike/>
        <color theme="0"/>
      </font>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strike/>
        <color theme="0"/>
      </font>
    </dxf>
    <dxf>
      <font>
        <strike/>
        <color theme="0"/>
      </font>
    </dxf>
    <dxf>
      <font>
        <color theme="0"/>
      </font>
      <fill>
        <patternFill>
          <bgColor theme="0"/>
        </patternFill>
      </fill>
    </dxf>
    <dxf>
      <font>
        <strike/>
        <color theme="0"/>
      </font>
    </dxf>
    <dxf>
      <font>
        <color auto="1"/>
      </font>
      <fill>
        <patternFill>
          <bgColor rgb="FFFF0000"/>
        </patternFill>
      </fill>
    </dxf>
    <dxf>
      <fill>
        <patternFill>
          <bgColor theme="2"/>
        </patternFill>
      </fill>
    </dxf>
    <dxf>
      <fill>
        <patternFill>
          <bgColor them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color theme="0"/>
      </font>
      <fill>
        <patternFill>
          <bgColor theme="0"/>
        </patternFill>
      </fill>
    </dxf>
    <dxf>
      <font>
        <strike/>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ill>
        <patternFill>
          <bgColor theme="2"/>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ont>
        <color theme="0"/>
      </font>
      <fill>
        <patternFill>
          <bgColor theme="0"/>
        </patternFill>
      </fill>
    </dxf>
    <dxf>
      <numFmt numFmtId="0" formatCode="General"/>
      <fill>
        <patternFill>
          <bgColor theme="0" tint="-0.14996795556505021"/>
        </patternFill>
      </fill>
    </dxf>
    <dxf>
      <font>
        <color theme="0"/>
      </font>
      <fill>
        <patternFill>
          <bgColor theme="0"/>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numFmt numFmtId="30" formatCode="@"/>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6E6E6"/>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E0DCD8"/>
        </patternFill>
      </fill>
    </dxf>
    <dxf>
      <fill>
        <patternFill>
          <bgColor rgb="FFE0DCD8"/>
        </patternFill>
      </fill>
    </dxf>
    <dxf>
      <fill>
        <patternFill>
          <bgColor rgb="FFE0DCD8"/>
        </patternFill>
      </fill>
    </dxf>
    <dxf>
      <fill>
        <patternFill>
          <bgColor theme="0" tint="-0.14996795556505021"/>
        </patternFill>
      </fill>
    </dxf>
    <dxf>
      <fill>
        <patternFill>
          <bgColor theme="0" tint="-0.14996795556505021"/>
        </patternFill>
      </fill>
    </dxf>
    <dxf>
      <fill>
        <patternFill>
          <bgColor rgb="FFE0DCD8"/>
        </patternFill>
      </fill>
    </dxf>
    <dxf>
      <fill>
        <patternFill>
          <bgColor theme="0" tint="-0.14996795556505021"/>
        </patternFill>
      </fill>
    </dxf>
    <dxf>
      <fill>
        <patternFill>
          <bgColor rgb="FFE0DCD8"/>
        </patternFill>
      </fill>
    </dxf>
    <dxf>
      <fill>
        <patternFill>
          <bgColor theme="0" tint="-0.14996795556505021"/>
        </patternFill>
      </fill>
    </dxf>
    <dxf>
      <fill>
        <patternFill>
          <bgColor rgb="FFE0DCD8"/>
        </patternFill>
      </fill>
    </dxf>
    <dxf>
      <fill>
        <patternFill>
          <bgColor rgb="FFE6E6E6"/>
        </patternFill>
      </fill>
    </dxf>
    <dxf>
      <fill>
        <patternFill>
          <bgColor rgb="FFE6E6E6"/>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F2BFE0"/>
      <color rgb="FFE6E6E6"/>
      <color rgb="FFFCEABF"/>
      <color rgb="FFD9D9D9"/>
      <color rgb="FFEFE5F7"/>
      <color rgb="FFBFDDF1"/>
      <color rgb="FF0078C9"/>
      <color rgb="FFF8DCEE"/>
      <color rgb="FF857362"/>
      <color rgb="FFF0DC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73"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54</xdr:row>
      <xdr:rowOff>0</xdr:rowOff>
    </xdr:from>
    <xdr:to>
      <xdr:col>16</xdr:col>
      <xdr:colOff>0</xdr:colOff>
      <xdr:row>55</xdr:row>
      <xdr:rowOff>0</xdr:rowOff>
    </xdr:to>
    <xdr:sp macro="" textlink="">
      <xdr:nvSpPr>
        <xdr:cNvPr id="2" name="TextBox 1">
          <a:extLst>
            <a:ext uri="{FF2B5EF4-FFF2-40B4-BE49-F238E27FC236}">
              <a16:creationId xmlns:a16="http://schemas.microsoft.com/office/drawing/2014/main" id="{00000000-0008-0000-2700-000002000000}"/>
            </a:ext>
          </a:extLst>
        </xdr:cNvPr>
        <xdr:cNvSpPr txBox="1"/>
      </xdr:nvSpPr>
      <xdr:spPr>
        <a:xfrm>
          <a:off x="228600" y="8953500"/>
          <a:ext cx="11087100" cy="411480"/>
        </a:xfrm>
        <a:prstGeom prst="rect">
          <a:avLst/>
        </a:prstGeom>
        <a:solidFill>
          <a:schemeClr val="lt1"/>
        </a:solidFill>
        <a:ln w="9525" cmpd="sng">
          <a:solidFill>
            <a:srgbClr val="85736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u="none" strike="noStrike">
              <a:solidFill>
                <a:schemeClr val="dk1"/>
              </a:solidFill>
              <a:effectLst/>
              <a:latin typeface="Arial" panose="020B0604020202020204" pitchFamily="34" charset="0"/>
              <a:ea typeface="+mn-ea"/>
              <a:cs typeface="Arial" panose="020B0604020202020204" pitchFamily="34" charset="0"/>
            </a:rPr>
            <a:t>Financial derivatives include cross currency swaps, interest rate swaps and forward currency contracts.</a:t>
          </a:r>
          <a:r>
            <a:rPr lang="en-GB" sz="900" b="0" i="0" u="none" strike="noStrike" baseline="0">
              <a:solidFill>
                <a:schemeClr val="dk1"/>
              </a:solidFill>
              <a:effectLst/>
              <a:latin typeface="Arial" panose="020B0604020202020204" pitchFamily="34" charset="0"/>
              <a:ea typeface="+mn-ea"/>
              <a:cs typeface="Arial" panose="020B0604020202020204" pitchFamily="34" charset="0"/>
            </a:rPr>
            <a:t> They should not include any amounts which do not relate to financing obligations. If the total derivatives do not reconcile to the total financial instruments on table 1C then please can you provide an explanation of the difference.</a:t>
          </a:r>
        </a:p>
        <a:p>
          <a:endParaRPr lang="en-GB" sz="900" b="0" i="0" u="none" strike="noStrike" baseline="0">
            <a:solidFill>
              <a:schemeClr val="dk1"/>
            </a:solidFill>
            <a:effectLst/>
            <a:latin typeface="Arial" panose="020B0604020202020204" pitchFamily="34" charset="0"/>
            <a:ea typeface="+mn-ea"/>
            <a:cs typeface="Arial" panose="020B0604020202020204" pitchFamily="34" charset="0"/>
          </a:endParaRPr>
        </a:p>
        <a:p>
          <a:endParaRPr lang="en-GB" sz="9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0-03-expectations-for-monopoly-company-annual-performance-reporting-2019-20/" TargetMode="External"/><Relationship Id="rId2" Type="http://schemas.openxmlformats.org/officeDocument/2006/relationships/hyperlink" Target="https://www.ofwat.gov.uk/wp-content/uploads/2019/03/IN-1903-2018-19-RAG-1.pdf" TargetMode="External"/><Relationship Id="rId1" Type="http://schemas.openxmlformats.org/officeDocument/2006/relationships/hyperlink" Target="mailto:FinanceAndGovernance@ofwat.gov.uk"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vmlDrawing" Target="../drawings/vmlDrawing33.vml"/><Relationship Id="rId1" Type="http://schemas.openxmlformats.org/officeDocument/2006/relationships/printerSettings" Target="../printerSettings/printerSettings33.bin"/><Relationship Id="rId4"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vmlDrawing" Target="../drawings/vmlDrawing56.vml"/><Relationship Id="rId1" Type="http://schemas.openxmlformats.org/officeDocument/2006/relationships/printerSettings" Target="../printerSettings/printerSettings57.bin"/><Relationship Id="rId4" Type="http://schemas.openxmlformats.org/officeDocument/2006/relationships/comments" Target="../comments3.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3479"/>
    <pageSetUpPr fitToPage="1"/>
  </sheetPr>
  <dimension ref="A1:C36"/>
  <sheetViews>
    <sheetView topLeftCell="A25" workbookViewId="0">
      <selection activeCell="B36" sqref="B36"/>
    </sheetView>
  </sheetViews>
  <sheetFormatPr defaultColWidth="9" defaultRowHeight="14"/>
  <cols>
    <col min="1" max="1" width="2.08203125" style="2" customWidth="1"/>
    <col min="2" max="2" width="104" style="8" customWidth="1"/>
    <col min="3" max="3" width="2.08203125" style="2" customWidth="1"/>
    <col min="4" max="4" width="8.08203125" style="2" customWidth="1"/>
    <col min="5" max="16384" width="9" style="2"/>
  </cols>
  <sheetData>
    <row r="1" spans="1:3" ht="20">
      <c r="A1" s="6" t="s">
        <v>0</v>
      </c>
      <c r="B1" s="6"/>
      <c r="C1" s="6"/>
    </row>
    <row r="2" spans="1:3" ht="21">
      <c r="A2" s="3"/>
      <c r="B2" s="2"/>
    </row>
    <row r="3" spans="1:3" ht="14.5">
      <c r="A3" s="408" t="s">
        <v>1</v>
      </c>
      <c r="B3" s="408"/>
      <c r="C3" s="408"/>
    </row>
    <row r="4" spans="1:3">
      <c r="A4" s="4"/>
      <c r="B4" s="2"/>
    </row>
    <row r="5" spans="1:3" ht="50">
      <c r="B5" s="409" t="s">
        <v>2</v>
      </c>
    </row>
    <row r="6" spans="1:3">
      <c r="B6" s="409"/>
    </row>
    <row r="7" spans="1:3">
      <c r="B7" s="2889" t="s">
        <v>12896</v>
      </c>
    </row>
    <row r="8" spans="1:3">
      <c r="B8" s="409"/>
    </row>
    <row r="9" spans="1:3" ht="14.5">
      <c r="A9" s="408" t="s">
        <v>3</v>
      </c>
      <c r="B9" s="408"/>
      <c r="C9" s="408"/>
    </row>
    <row r="10" spans="1:3">
      <c r="B10" s="409"/>
    </row>
    <row r="11" spans="1:3">
      <c r="B11" s="409" t="s">
        <v>4</v>
      </c>
    </row>
    <row r="12" spans="1:3">
      <c r="B12" s="409"/>
    </row>
    <row r="13" spans="1:3">
      <c r="B13" s="409" t="s">
        <v>5</v>
      </c>
    </row>
    <row r="14" spans="1:3">
      <c r="B14" s="409"/>
    </row>
    <row r="15" spans="1:3">
      <c r="B15" s="409" t="s">
        <v>6</v>
      </c>
    </row>
    <row r="16" spans="1:3">
      <c r="B16" s="409"/>
    </row>
    <row r="17" spans="1:3" ht="25">
      <c r="B17" s="409" t="s">
        <v>7</v>
      </c>
    </row>
    <row r="18" spans="1:3">
      <c r="B18" s="409"/>
    </row>
    <row r="19" spans="1:3">
      <c r="B19" s="409" t="s">
        <v>8</v>
      </c>
    </row>
    <row r="20" spans="1:3">
      <c r="B20" s="409"/>
    </row>
    <row r="21" spans="1:3" ht="51" customHeight="1">
      <c r="B21" s="683" t="s">
        <v>9</v>
      </c>
    </row>
    <row r="22" spans="1:3">
      <c r="B22" s="683"/>
    </row>
    <row r="23" spans="1:3">
      <c r="B23" s="409"/>
    </row>
    <row r="24" spans="1:3" ht="14.5">
      <c r="A24" s="408" t="s">
        <v>10</v>
      </c>
      <c r="B24" s="408"/>
      <c r="C24" s="408"/>
    </row>
    <row r="25" spans="1:3">
      <c r="B25" s="409"/>
    </row>
    <row r="26" spans="1:3">
      <c r="B26" s="409" t="s">
        <v>11</v>
      </c>
    </row>
    <row r="27" spans="1:3">
      <c r="B27" s="409"/>
    </row>
    <row r="28" spans="1:3" ht="25">
      <c r="B28" s="409" t="s">
        <v>12</v>
      </c>
    </row>
    <row r="29" spans="1:3">
      <c r="B29" s="409"/>
    </row>
    <row r="30" spans="1:3" ht="25">
      <c r="B30" s="409" t="s">
        <v>13</v>
      </c>
    </row>
    <row r="31" spans="1:3">
      <c r="B31" s="409"/>
    </row>
    <row r="32" spans="1:3" ht="25">
      <c r="B32" s="409" t="s">
        <v>14</v>
      </c>
    </row>
    <row r="33" spans="1:3">
      <c r="B33" s="2887" t="s">
        <v>12895</v>
      </c>
    </row>
    <row r="34" spans="1:3">
      <c r="A34" s="4"/>
      <c r="B34" s="2"/>
    </row>
    <row r="35" spans="1:3" ht="14.5">
      <c r="A35" s="408" t="s">
        <v>15</v>
      </c>
      <c r="B35" s="408"/>
      <c r="C35" s="408"/>
    </row>
    <row r="36" spans="1:3">
      <c r="B36" s="2888" t="s">
        <v>16</v>
      </c>
    </row>
  </sheetData>
  <hyperlinks>
    <hyperlink ref="B33" r:id="rId1" xr:uid="{00000000-0004-0000-0000-000000000000}"/>
    <hyperlink ref="B36" r:id="rId2" xr:uid="{00000000-0004-0000-0000-000001000000}"/>
    <hyperlink ref="B7" r:id="rId3" xr:uid="{00000000-0004-0000-0000-000002000000}"/>
  </hyperlinks>
  <printOptions horizontalCentered="1"/>
  <pageMargins left="0.39370078740157483" right="0.39370078740157483" top="0.78740157480314965" bottom="0.78740157480314965" header="0.31496062992125984" footer="0.31496062992125984"/>
  <pageSetup paperSize="9" scale="81" orientation="portrait" r:id="rId4"/>
  <headerFooter>
    <oddHeader>&amp;L&amp;9&amp;K857362Page &amp;P of &amp;N&amp;C&amp;9 &amp;K8573622019-20 annual performance report tables&amp;R&amp;G</oddHeader>
    <oddFooter>&amp;L&amp;9&amp;K857362&amp;A&amp;R&amp;9&amp;K857362Printed: &amp;D &amp;T</oddFooter>
  </headerFooter>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3479"/>
    <pageSetUpPr fitToPage="1"/>
  </sheetPr>
  <dimension ref="A1:L35"/>
  <sheetViews>
    <sheetView topLeftCell="A1048576" workbookViewId="0">
      <selection activeCell="A1048576" sqref="A1048576"/>
    </sheetView>
  </sheetViews>
  <sheetFormatPr defaultColWidth="0" defaultRowHeight="14.25" customHeight="1" zeroHeight="1"/>
  <cols>
    <col min="1" max="1" width="0.58203125" style="8" customWidth="1"/>
    <col min="2" max="8" width="8.58203125" style="8" hidden="1" customWidth="1"/>
    <col min="9" max="16384" width="8.58203125" style="8" hidden="1"/>
  </cols>
  <sheetData>
    <row r="1" spans="12:12" ht="14" hidden="1">
      <c r="L1" s="483"/>
    </row>
    <row r="2" spans="12:12" ht="14" hidden="1">
      <c r="L2" s="483"/>
    </row>
    <row r="3" spans="12:12" ht="14" hidden="1">
      <c r="L3" s="483"/>
    </row>
    <row r="4" spans="12:12" ht="14" hidden="1">
      <c r="L4" s="483"/>
    </row>
    <row r="5" spans="12:12" ht="14" hidden="1">
      <c r="L5" s="483"/>
    </row>
    <row r="6" spans="12:12" ht="14" hidden="1">
      <c r="L6" s="483">
        <f>IF(Validation!$H$3=1,0,IF(ISNUMBER(#REF!),0,1))</f>
        <v>0</v>
      </c>
    </row>
    <row r="7" spans="12:12" ht="14" hidden="1">
      <c r="L7" s="483"/>
    </row>
    <row r="8" spans="12:12" ht="14" hidden="1">
      <c r="L8" s="483"/>
    </row>
    <row r="9" spans="12:12" ht="14" hidden="1">
      <c r="L9" s="483"/>
    </row>
    <row r="10" spans="12:12" ht="14" hidden="1">
      <c r="L10" s="483"/>
    </row>
    <row r="11" spans="12:12" ht="14" hidden="1">
      <c r="L11" s="483"/>
    </row>
    <row r="12" spans="12:12" ht="14" hidden="1">
      <c r="L12" s="483"/>
    </row>
    <row r="13" spans="12:12" ht="14" hidden="1">
      <c r="L13" s="483"/>
    </row>
    <row r="14" spans="12:12" ht="14" hidden="1">
      <c r="L14" s="483"/>
    </row>
    <row r="15" spans="12:12" ht="14" hidden="1">
      <c r="L15" s="483"/>
    </row>
    <row r="16" spans="12:12" ht="14" hidden="1">
      <c r="L16" s="483"/>
    </row>
    <row r="17" ht="14" hidden="1"/>
    <row r="18" ht="14" hidden="1"/>
    <row r="19" ht="14" hidden="1"/>
    <row r="20" ht="14" hidden="1"/>
    <row r="21" ht="14" hidden="1"/>
    <row r="22" ht="14" hidden="1"/>
    <row r="23" ht="14" hidden="1"/>
    <row r="24" ht="14" hidden="1"/>
    <row r="25" ht="14" hidden="1"/>
    <row r="26" ht="14" hidden="1"/>
    <row r="27" ht="14" hidden="1"/>
    <row r="28" ht="14" hidden="1"/>
    <row r="29" ht="14" hidden="1"/>
    <row r="30" ht="14" hidden="1"/>
    <row r="31" ht="14" hidden="1"/>
    <row r="32" ht="14" hidden="1"/>
    <row r="33" ht="14" hidden="1"/>
    <row r="34" ht="14" hidden="1"/>
    <row r="35" ht="14" hidden="1"/>
  </sheetData>
  <sheetProtection algorithmName="SHA-512" hashValue="ZCB2RBw8SBzKqeHGKVqKYnc8UwHh8aEMWIjV9naQ7aOQ9ult5ExNyLKFjz7wrVwsNoTsZEqhxY9kaK074UCGNQ==" saltValue="HRlC5QpmZsE0WvvZMEk7W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92D050"/>
    <pageSetUpPr fitToPage="1"/>
  </sheetPr>
  <dimension ref="A1:BV46"/>
  <sheetViews>
    <sheetView workbookViewId="0">
      <selection activeCell="B1" sqref="B1:P18"/>
    </sheetView>
  </sheetViews>
  <sheetFormatPr defaultColWidth="0" defaultRowHeight="14" zeroHeight="1"/>
  <cols>
    <col min="1" max="1" width="0.58203125" style="74" customWidth="1"/>
    <col min="2" max="2" width="4.08203125" style="74" customWidth="1"/>
    <col min="3" max="3" width="34.58203125" style="74" bestFit="1" customWidth="1"/>
    <col min="4" max="4" width="5.58203125" style="74" hidden="1" customWidth="1"/>
    <col min="5" max="6" width="5.08203125" style="74" customWidth="1"/>
    <col min="7" max="16" width="12.58203125" style="74" customWidth="1"/>
    <col min="17" max="17" width="2.58203125" style="74" customWidth="1"/>
    <col min="18" max="18" width="42.58203125" style="74" customWidth="1"/>
    <col min="19" max="19" width="25.5" style="74" customWidth="1"/>
    <col min="20" max="20" width="1.58203125" style="70" customWidth="1"/>
    <col min="21" max="21" width="1.58203125" style="71" hidden="1" customWidth="1"/>
    <col min="22" max="31" width="4.58203125" style="70" hidden="1" customWidth="1"/>
    <col min="32" max="32" width="1.58203125" style="71" hidden="1" customWidth="1"/>
    <col min="33" max="37" width="8" style="74" hidden="1" customWidth="1"/>
    <col min="38" max="38" width="1.58203125" style="71" hidden="1" customWidth="1"/>
    <col min="39" max="39" width="8.08203125" style="74" hidden="1" customWidth="1"/>
    <col min="40" max="40" width="7" style="74" hidden="1" customWidth="1"/>
    <col min="41" max="41" width="42.58203125" style="74" hidden="1" customWidth="1"/>
    <col min="42" max="43" width="5.58203125" style="74" hidden="1" customWidth="1"/>
    <col min="44" max="44" width="54.5" style="74" hidden="1" customWidth="1"/>
    <col min="45" max="45" width="5.58203125" style="74" hidden="1" customWidth="1"/>
    <col min="46" max="46" width="5.08203125" style="74" hidden="1" customWidth="1"/>
    <col min="47" max="47" width="35.58203125" style="74" hidden="1" customWidth="1"/>
    <col min="48" max="48" width="5.58203125" style="74" hidden="1" customWidth="1"/>
    <col min="49" max="49" width="5.08203125" style="74" hidden="1" customWidth="1"/>
    <col min="50" max="50" width="39.58203125" style="74" hidden="1" customWidth="1"/>
    <col min="51" max="52" width="5.08203125" style="74" hidden="1" customWidth="1"/>
    <col min="53" max="53" width="39.58203125" style="74" hidden="1" customWidth="1"/>
    <col min="54" max="54" width="1.58203125" style="71" hidden="1" customWidth="1"/>
    <col min="55" max="57" width="8.58203125" style="74" hidden="1" customWidth="1"/>
    <col min="58" max="58" width="8" style="74" customWidth="1"/>
    <col min="59" max="59" width="4.08203125" style="74" customWidth="1"/>
    <col min="60" max="60" width="34.58203125" style="74" bestFit="1" customWidth="1"/>
    <col min="61" max="61" width="5.58203125" style="74" hidden="1" customWidth="1"/>
    <col min="62" max="63" width="5.08203125" style="74" customWidth="1"/>
    <col min="64" max="73" width="12.58203125" style="74" customWidth="1"/>
    <col min="74" max="74" width="3.08203125" style="74" customWidth="1"/>
    <col min="75" max="16384" width="8" style="74" hidden="1"/>
  </cols>
  <sheetData>
    <row r="1" spans="2:73" s="70" customFormat="1" ht="20">
      <c r="B1" s="66" t="s">
        <v>899</v>
      </c>
      <c r="C1" s="66"/>
      <c r="D1" s="66"/>
      <c r="E1" s="66"/>
      <c r="F1" s="66"/>
      <c r="G1" s="66"/>
      <c r="H1" s="66"/>
      <c r="I1" s="68"/>
      <c r="J1" s="68"/>
      <c r="K1" s="68"/>
      <c r="L1" s="68"/>
      <c r="M1" s="68"/>
      <c r="N1" s="66"/>
      <c r="O1" s="66"/>
      <c r="P1" s="68" t="str">
        <f>Validation!B3</f>
        <v>Bristol Water</v>
      </c>
      <c r="Q1" s="69"/>
      <c r="R1" s="69"/>
      <c r="S1" s="69" t="s">
        <v>32</v>
      </c>
      <c r="U1" s="71"/>
      <c r="AF1" s="71"/>
      <c r="AL1" s="71"/>
      <c r="BB1" s="71"/>
      <c r="BG1" s="66" t="s">
        <v>33</v>
      </c>
      <c r="BH1" s="66"/>
      <c r="BI1" s="66"/>
      <c r="BJ1" s="66"/>
      <c r="BK1" s="66"/>
      <c r="BL1" s="66"/>
      <c r="BM1" s="66"/>
      <c r="BN1" s="68"/>
      <c r="BO1" s="68"/>
      <c r="BP1" s="68"/>
      <c r="BQ1" s="68"/>
      <c r="BR1" s="68"/>
      <c r="BS1" s="66"/>
      <c r="BT1" s="66"/>
      <c r="BU1" s="68"/>
    </row>
    <row r="2" spans="2:73" s="70" customFormat="1" ht="14.5" thickBot="1">
      <c r="B2" s="73" t="str">
        <f>'1F'!B2</f>
        <v>For the 12 months ended 31 March 2020</v>
      </c>
      <c r="U2" s="71"/>
      <c r="AF2" s="71"/>
      <c r="AL2" s="71"/>
      <c r="BB2" s="71"/>
      <c r="BG2" s="73" t="str">
        <f>+B2</f>
        <v>For the 12 months ended 31 March 2020</v>
      </c>
    </row>
    <row r="3" spans="2:73" ht="13.5" customHeight="1">
      <c r="B3" s="2943" t="s">
        <v>34</v>
      </c>
      <c r="C3" s="2944"/>
      <c r="D3" s="2829" t="s">
        <v>35</v>
      </c>
      <c r="E3" s="2947" t="s">
        <v>36</v>
      </c>
      <c r="F3" s="2949" t="s">
        <v>37</v>
      </c>
      <c r="G3" s="2951" t="s">
        <v>900</v>
      </c>
      <c r="H3" s="2952"/>
      <c r="I3" s="2953" t="s">
        <v>901</v>
      </c>
      <c r="J3" s="2954"/>
      <c r="K3" s="2954"/>
      <c r="L3" s="2954"/>
      <c r="M3" s="2954"/>
      <c r="N3" s="2954"/>
      <c r="O3" s="2955"/>
      <c r="P3" s="2941" t="s">
        <v>708</v>
      </c>
      <c r="R3" s="2904" t="s">
        <v>703</v>
      </c>
      <c r="S3" s="2906" t="s">
        <v>41</v>
      </c>
      <c r="V3" s="2909" t="s">
        <v>45</v>
      </c>
      <c r="W3" s="2909"/>
      <c r="X3" s="2909"/>
      <c r="Y3" s="2909"/>
      <c r="Z3" s="2909"/>
      <c r="AA3" s="2909"/>
      <c r="AB3" s="2909"/>
      <c r="AC3" s="2909"/>
      <c r="AD3" s="2909"/>
      <c r="AE3" s="2909"/>
      <c r="AG3" s="2909" t="s">
        <v>24</v>
      </c>
      <c r="AH3" s="2822"/>
      <c r="AI3" s="2822"/>
      <c r="AJ3" s="2822"/>
      <c r="AK3" s="2822"/>
      <c r="AM3" s="2956" t="s">
        <v>902</v>
      </c>
      <c r="AN3" s="2956"/>
      <c r="AO3" s="2956"/>
      <c r="AP3" s="2956"/>
      <c r="AQ3" s="2956"/>
      <c r="AR3" s="2956"/>
      <c r="AS3" s="2956"/>
      <c r="AT3" s="2956"/>
      <c r="AU3" s="2956"/>
      <c r="AV3" s="2956"/>
      <c r="AW3" s="2956"/>
      <c r="AX3" s="2956"/>
      <c r="AY3" s="2831"/>
      <c r="AZ3" s="2831"/>
      <c r="BA3" s="2831"/>
      <c r="BG3" s="2943" t="s">
        <v>34</v>
      </c>
      <c r="BH3" s="2944"/>
      <c r="BI3" s="2829" t="s">
        <v>35</v>
      </c>
      <c r="BJ3" s="2947" t="s">
        <v>36</v>
      </c>
      <c r="BK3" s="2949" t="s">
        <v>37</v>
      </c>
      <c r="BL3" s="2951" t="s">
        <v>900</v>
      </c>
      <c r="BM3" s="2952"/>
      <c r="BN3" s="2953" t="s">
        <v>901</v>
      </c>
      <c r="BO3" s="2954"/>
      <c r="BP3" s="2954"/>
      <c r="BQ3" s="2954"/>
      <c r="BR3" s="2954"/>
      <c r="BS3" s="2954"/>
      <c r="BT3" s="2955"/>
      <c r="BU3" s="2941" t="s">
        <v>708</v>
      </c>
    </row>
    <row r="4" spans="2:73" ht="28.5" customHeight="1" thickBot="1">
      <c r="B4" s="2945"/>
      <c r="C4" s="2946"/>
      <c r="D4" s="2830"/>
      <c r="E4" s="2948"/>
      <c r="F4" s="2950"/>
      <c r="G4" s="259" t="s">
        <v>903</v>
      </c>
      <c r="H4" s="260" t="s">
        <v>904</v>
      </c>
      <c r="I4" s="495" t="s">
        <v>905</v>
      </c>
      <c r="J4" s="496" t="s">
        <v>906</v>
      </c>
      <c r="K4" s="496" t="s">
        <v>907</v>
      </c>
      <c r="L4" s="495" t="s">
        <v>908</v>
      </c>
      <c r="M4" s="496" t="s">
        <v>909</v>
      </c>
      <c r="N4" s="1837" t="s">
        <v>910</v>
      </c>
      <c r="O4" s="260" t="s">
        <v>911</v>
      </c>
      <c r="P4" s="2942"/>
      <c r="R4" s="2957"/>
      <c r="S4" s="2958"/>
      <c r="T4" s="79"/>
      <c r="V4" s="2909"/>
      <c r="W4" s="2909"/>
      <c r="X4" s="2909"/>
      <c r="Y4" s="2909"/>
      <c r="Z4" s="2909"/>
      <c r="AA4" s="2909"/>
      <c r="AB4" s="2909"/>
      <c r="AC4" s="2909"/>
      <c r="AD4" s="2909"/>
      <c r="AE4" s="2909"/>
      <c r="AG4" s="2909"/>
      <c r="AH4" s="2822"/>
      <c r="AI4" s="2822"/>
      <c r="AJ4" s="2822"/>
      <c r="AK4" s="2822"/>
      <c r="AM4" s="2956"/>
      <c r="AN4" s="2956"/>
      <c r="AO4" s="2956"/>
      <c r="AP4" s="2956"/>
      <c r="AQ4" s="2956"/>
      <c r="AR4" s="2956"/>
      <c r="AS4" s="2956"/>
      <c r="AT4" s="2956"/>
      <c r="AU4" s="2956"/>
      <c r="AV4" s="2956"/>
      <c r="AW4" s="2956"/>
      <c r="AX4" s="2956"/>
      <c r="AY4" s="2831"/>
      <c r="AZ4" s="2831"/>
      <c r="BA4" s="2831"/>
      <c r="BG4" s="2945"/>
      <c r="BH4" s="2946"/>
      <c r="BI4" s="2830"/>
      <c r="BJ4" s="2948"/>
      <c r="BK4" s="2950"/>
      <c r="BL4" s="259" t="s">
        <v>903</v>
      </c>
      <c r="BM4" s="260" t="s">
        <v>904</v>
      </c>
      <c r="BN4" s="495" t="s">
        <v>905</v>
      </c>
      <c r="BO4" s="496" t="s">
        <v>906</v>
      </c>
      <c r="BP4" s="496" t="s">
        <v>907</v>
      </c>
      <c r="BQ4" s="495" t="s">
        <v>908</v>
      </c>
      <c r="BR4" s="496" t="s">
        <v>909</v>
      </c>
      <c r="BS4" s="260" t="s">
        <v>910</v>
      </c>
      <c r="BT4" s="260" t="s">
        <v>911</v>
      </c>
      <c r="BU4" s="2942"/>
    </row>
    <row r="5" spans="2:73" ht="14.5" thickBot="1">
      <c r="B5" s="262"/>
      <c r="C5" s="262"/>
      <c r="D5" s="262"/>
      <c r="V5" s="85" t="s">
        <v>46</v>
      </c>
      <c r="BG5" s="262"/>
      <c r="BH5" s="262"/>
      <c r="BI5" s="262"/>
    </row>
    <row r="6" spans="2:73" ht="20">
      <c r="B6" s="288" t="s">
        <v>912</v>
      </c>
      <c r="C6" s="29" t="s">
        <v>913</v>
      </c>
      <c r="D6" s="29"/>
      <c r="E6" s="300" t="s">
        <v>49</v>
      </c>
      <c r="F6" s="275">
        <v>3</v>
      </c>
      <c r="G6" s="458">
        <v>11.98</v>
      </c>
      <c r="H6" s="454">
        <v>0</v>
      </c>
      <c r="J6" s="599">
        <v>107.994</v>
      </c>
      <c r="K6" s="379">
        <f xml:space="preserve"> J6</f>
        <v>107.994</v>
      </c>
      <c r="L6" s="674"/>
      <c r="N6" s="686">
        <f xml:space="preserve"> L6</f>
        <v>0</v>
      </c>
      <c r="O6" s="1861"/>
      <c r="P6" s="379">
        <f xml:space="preserve"> G6 + H6 + K6 + N6 + O6</f>
        <v>119.974</v>
      </c>
      <c r="R6" s="1339">
        <f xml:space="preserve"> IF( SUM( AF6:AL6 ) = 0, 0, IF(AG6=1,AO6,"") &amp; IF(AH6=1,AR6,"") &amp; IF(AI6=1,AU6,"") &amp; IF(AJ6=1,AX6,"") &amp; IF(AK6=1,BA6,""))</f>
        <v>0</v>
      </c>
      <c r="S6" s="24">
        <f xml:space="preserve"> IF( SUM( U6:AF6 ) = 0, 0, $V$5 )</f>
        <v>0</v>
      </c>
      <c r="V6" s="93">
        <f xml:space="preserve"> IF( ISNUMBER( G6 ), 0, 1 )</f>
        <v>0</v>
      </c>
      <c r="W6" s="93">
        <f xml:space="preserve"> IF( ISNUMBER( H6 ), 0, 1 )</f>
        <v>0</v>
      </c>
      <c r="X6" s="127"/>
      <c r="Y6" s="93">
        <f xml:space="preserve"> IF( ISNUMBER( J6 ), 0, 1 )</f>
        <v>0</v>
      </c>
      <c r="Z6" s="127"/>
      <c r="AA6" s="93">
        <f xml:space="preserve"> IF( Validation!$H$3 = 1, 0, ( IF( ISNUMBER( L6 ), 0, 1 )))</f>
        <v>0</v>
      </c>
      <c r="AB6" s="127"/>
      <c r="AC6" s="127"/>
      <c r="AD6" s="93">
        <f>IF( Validation!$H$3 = 1, 0, IF(Validation!$B$3 &lt;&gt; "Thames Water",0, (IF(ISNUMBER(O6),0,1))))</f>
        <v>0</v>
      </c>
      <c r="AG6" s="93">
        <f xml:space="preserve"> IF( (AM6 - AN6) = 0, 0, 1 )</f>
        <v>0</v>
      </c>
      <c r="AH6" s="93">
        <f xml:space="preserve"> IF( (AP6 - AQ6) = 0, 0, 1 )</f>
        <v>0</v>
      </c>
      <c r="AI6" s="93">
        <f xml:space="preserve"> IF( (AS6 - AT6) = 0, 0, 1 )</f>
        <v>0</v>
      </c>
      <c r="AJ6" s="93">
        <f xml:space="preserve"> IF( (AV6 - AW6) = 0, 0, 1 )</f>
        <v>0</v>
      </c>
      <c r="AK6" s="93">
        <f xml:space="preserve"> IF( (AY6 - AZ6) = 0, 0, 1 )</f>
        <v>0</v>
      </c>
      <c r="AM6" s="165">
        <f xml:space="preserve"> ROUND( G6, 3)</f>
        <v>11.98</v>
      </c>
      <c r="AN6" s="165">
        <f xml:space="preserve"> ROUND( '2I'!G29, 3 )</f>
        <v>11.98</v>
      </c>
      <c r="AO6" s="1340" t="s">
        <v>914</v>
      </c>
      <c r="AP6" s="165">
        <f xml:space="preserve"> ROUND( H6, 3)</f>
        <v>0</v>
      </c>
      <c r="AQ6" s="165">
        <f xml:space="preserve"> ROUND( '2I'!H29, 3 )</f>
        <v>0</v>
      </c>
      <c r="AR6" s="1340" t="s">
        <v>915</v>
      </c>
      <c r="AS6" s="165">
        <f xml:space="preserve"> ROUND( K6, 3)</f>
        <v>107.994</v>
      </c>
      <c r="AT6" s="165">
        <f xml:space="preserve"> ROUND( '2I'!I9, 3 )</f>
        <v>107.994</v>
      </c>
      <c r="AU6" s="1340" t="s">
        <v>916</v>
      </c>
      <c r="AV6" s="165">
        <f xml:space="preserve"> ROUND( N6, 3)</f>
        <v>0</v>
      </c>
      <c r="AW6" s="165">
        <f xml:space="preserve"> ROUND( '2I'!I15, 3 )</f>
        <v>0</v>
      </c>
      <c r="AX6" s="1340" t="s">
        <v>917</v>
      </c>
      <c r="AY6" s="165">
        <f xml:space="preserve"> ROUND( O6, 3)</f>
        <v>0</v>
      </c>
      <c r="AZ6" s="165">
        <f xml:space="preserve"> ROUND( '2I'!I21, 3 )</f>
        <v>0</v>
      </c>
      <c r="BA6" s="1340" t="s">
        <v>918</v>
      </c>
      <c r="BG6" s="288" t="s">
        <v>912</v>
      </c>
      <c r="BH6" s="29" t="s">
        <v>913</v>
      </c>
      <c r="BI6" s="29"/>
      <c r="BJ6" s="300" t="s">
        <v>49</v>
      </c>
      <c r="BK6" s="275">
        <v>3</v>
      </c>
      <c r="BL6" s="2417" t="s">
        <v>919</v>
      </c>
      <c r="BM6" s="2418" t="s">
        <v>920</v>
      </c>
      <c r="BO6" s="2419" t="s">
        <v>921</v>
      </c>
      <c r="BP6" s="379" t="s">
        <v>922</v>
      </c>
      <c r="BQ6" s="1817" t="s">
        <v>923</v>
      </c>
      <c r="BS6" s="686" t="s">
        <v>924</v>
      </c>
      <c r="BT6" s="1817" t="s">
        <v>925</v>
      </c>
      <c r="BU6" s="379" t="s">
        <v>926</v>
      </c>
    </row>
    <row r="7" spans="2:73" ht="14.25" customHeight="1" thickBot="1">
      <c r="B7" s="289" t="s">
        <v>927</v>
      </c>
      <c r="C7" s="30" t="s">
        <v>928</v>
      </c>
      <c r="D7" s="30"/>
      <c r="E7" s="301" t="s">
        <v>49</v>
      </c>
      <c r="F7" s="279">
        <v>3</v>
      </c>
      <c r="G7" s="459">
        <v>0</v>
      </c>
      <c r="H7" s="455">
        <v>0</v>
      </c>
      <c r="J7" s="498">
        <v>2.2799999999999998</v>
      </c>
      <c r="K7" s="380">
        <f xml:space="preserve"> J7</f>
        <v>2.2799999999999998</v>
      </c>
      <c r="L7" s="675"/>
      <c r="N7" s="687">
        <f xml:space="preserve"> L7</f>
        <v>0</v>
      </c>
      <c r="O7" s="455"/>
      <c r="P7" s="380">
        <f xml:space="preserve"> G7 + H7 + K7 + N7 + O7</f>
        <v>2.2799999999999998</v>
      </c>
      <c r="R7" s="1339">
        <f xml:space="preserve"> IF( SUM( AF7:AL7 ) = 0, 0, AO7 )</f>
        <v>0</v>
      </c>
      <c r="S7" s="24">
        <f t="shared" ref="S7:S20" si="0" xml:space="preserve"> IF( SUM( U7:AF7 ) = 0, 0, $V$5 )</f>
        <v>0</v>
      </c>
      <c r="V7" s="93">
        <f xml:space="preserve"> IF( ISNUMBER( G7 ), 0, 1 )</f>
        <v>0</v>
      </c>
      <c r="W7" s="93">
        <f xml:space="preserve"> IF( ISNUMBER( H7 ), 0, 1 )</f>
        <v>0</v>
      </c>
      <c r="X7" s="127"/>
      <c r="Y7" s="93">
        <f xml:space="preserve"> IF( ISNUMBER( J7 ), 0, 1 )</f>
        <v>0</v>
      </c>
      <c r="Z7" s="127"/>
      <c r="AA7" s="93">
        <f xml:space="preserve"> IF( Validation!$H$3 = 1, 0, ( IF( ISNUMBER( L7 ), 0, 1 )))</f>
        <v>0</v>
      </c>
      <c r="AB7" s="127"/>
      <c r="AC7" s="127"/>
      <c r="AD7" s="93">
        <f>IF( Validation!$H$3 = 1, 0, IF(Validation!$B$3 &lt;&gt; "Thames Water",0, (IF(ISNUMBER(O7),0,1))))</f>
        <v>0</v>
      </c>
      <c r="AG7" s="93">
        <f xml:space="preserve"> IF( (AM7 - AN7) = 0, 0, 1 )</f>
        <v>0</v>
      </c>
      <c r="AM7" s="165">
        <f xml:space="preserve"> ROUND( P6 + P7, 3)</f>
        <v>122.254</v>
      </c>
      <c r="AN7" s="165">
        <f xml:space="preserve"> ROUND( '1A'!K6, 3 )</f>
        <v>122.254</v>
      </c>
      <c r="AO7" s="1340" t="s">
        <v>929</v>
      </c>
      <c r="AP7" s="165"/>
      <c r="AQ7" s="165"/>
      <c r="AR7" s="1340"/>
      <c r="AS7" s="165"/>
      <c r="AT7" s="165"/>
      <c r="AU7" s="1340"/>
      <c r="AV7" s="165"/>
      <c r="AW7" s="165"/>
      <c r="AX7" s="1340"/>
      <c r="AY7" s="1340"/>
      <c r="AZ7" s="1340"/>
      <c r="BA7" s="1340"/>
      <c r="BG7" s="289" t="s">
        <v>927</v>
      </c>
      <c r="BH7" s="30" t="s">
        <v>928</v>
      </c>
      <c r="BI7" s="30"/>
      <c r="BJ7" s="301" t="s">
        <v>49</v>
      </c>
      <c r="BK7" s="279">
        <v>3</v>
      </c>
      <c r="BL7" s="2420" t="s">
        <v>930</v>
      </c>
      <c r="BM7" s="2421" t="s">
        <v>931</v>
      </c>
      <c r="BO7" s="2422" t="s">
        <v>932</v>
      </c>
      <c r="BP7" s="380" t="s">
        <v>933</v>
      </c>
      <c r="BQ7" s="1818" t="s">
        <v>934</v>
      </c>
      <c r="BS7" s="687" t="s">
        <v>935</v>
      </c>
      <c r="BT7" s="1818" t="s">
        <v>936</v>
      </c>
      <c r="BU7" s="380" t="s">
        <v>937</v>
      </c>
    </row>
    <row r="8" spans="2:73" ht="14.25" customHeight="1">
      <c r="B8" s="289" t="s">
        <v>938</v>
      </c>
      <c r="C8" s="30" t="s">
        <v>939</v>
      </c>
      <c r="D8" s="30"/>
      <c r="E8" s="301" t="s">
        <v>49</v>
      </c>
      <c r="F8" s="279">
        <v>3</v>
      </c>
      <c r="G8" s="388">
        <f xml:space="preserve"> -1 * ( '2C'!G14 )</f>
        <v>-12.581</v>
      </c>
      <c r="H8" s="332">
        <f xml:space="preserve"> -1 * ( '2C'!H14 )</f>
        <v>-0.86299999999999999</v>
      </c>
      <c r="I8" s="746">
        <f xml:space="preserve"> -1 * ( '2B'!G17 )</f>
        <v>-16.041</v>
      </c>
      <c r="J8" s="332">
        <f xml:space="preserve"> -1 * ( '2B'!H17 )</f>
        <v>-48.168999999999997</v>
      </c>
      <c r="K8" s="380">
        <f t="shared" ref="K8:K11" si="1" xml:space="preserve"> I8 + J8</f>
        <v>-64.209999999999994</v>
      </c>
      <c r="L8" s="684">
        <f xml:space="preserve"> -1 * ( '2B'!I17 )</f>
        <v>0</v>
      </c>
      <c r="M8" s="685">
        <f xml:space="preserve"> -1 * ( '2B'!J17 )</f>
        <v>0</v>
      </c>
      <c r="N8" s="688">
        <f t="shared" ref="N8:N15" si="2" xml:space="preserve"> L8 + M8</f>
        <v>0</v>
      </c>
      <c r="O8" s="332">
        <f xml:space="preserve"> -1 * ( '2B'!K17 )</f>
        <v>0</v>
      </c>
      <c r="P8" s="380">
        <f t="shared" ref="P8:P12" si="3" xml:space="preserve"> G8 + H8 + K8 + N8 + O8</f>
        <v>-77.653999999999996</v>
      </c>
      <c r="R8" s="1339">
        <f xml:space="preserve"> IF( SUM( AF8:AL8 ) = 0, 0, AO8 )</f>
        <v>0</v>
      </c>
      <c r="S8" s="24">
        <f xml:space="preserve"> IF( SUM( U8:AF8 ) = 0, 0, $V$5 )</f>
        <v>0</v>
      </c>
      <c r="V8" s="127"/>
      <c r="W8" s="127"/>
      <c r="X8" s="127"/>
      <c r="Y8" s="127"/>
      <c r="Z8" s="127"/>
      <c r="AA8" s="127"/>
      <c r="AB8" s="127"/>
      <c r="AC8" s="127"/>
      <c r="AD8" s="127"/>
      <c r="AG8" s="93">
        <f xml:space="preserve"> IF( (AM8 - AN8) = 0, 0, 1 )</f>
        <v>0</v>
      </c>
      <c r="AM8" s="165">
        <f xml:space="preserve"> ROUND( P8 + P9 + P10, 3)</f>
        <v>-102.709</v>
      </c>
      <c r="AN8" s="165">
        <f xml:space="preserve"> ROUND( '1A'!K7, 3 )</f>
        <v>-102.709</v>
      </c>
      <c r="AO8" s="1340" t="s">
        <v>940</v>
      </c>
      <c r="AP8" s="165"/>
      <c r="AQ8" s="165"/>
      <c r="AR8" s="1340"/>
      <c r="AS8" s="165"/>
      <c r="AT8" s="165"/>
      <c r="AU8" s="1340"/>
      <c r="AV8" s="165"/>
      <c r="AW8" s="165"/>
      <c r="AX8" s="1340"/>
      <c r="AY8" s="1340"/>
      <c r="AZ8" s="1340"/>
      <c r="BA8" s="1340"/>
      <c r="BG8" s="289" t="s">
        <v>938</v>
      </c>
      <c r="BH8" s="30" t="s">
        <v>939</v>
      </c>
      <c r="BI8" s="30"/>
      <c r="BJ8" s="301" t="s">
        <v>49</v>
      </c>
      <c r="BK8" s="279">
        <v>3</v>
      </c>
      <c r="BL8" s="388" t="s">
        <v>941</v>
      </c>
      <c r="BM8" s="332" t="s">
        <v>942</v>
      </c>
      <c r="BN8" s="746" t="s">
        <v>943</v>
      </c>
      <c r="BO8" s="332" t="s">
        <v>944</v>
      </c>
      <c r="BP8" s="380" t="s">
        <v>945</v>
      </c>
      <c r="BQ8" s="684" t="s">
        <v>946</v>
      </c>
      <c r="BR8" s="685" t="s">
        <v>947</v>
      </c>
      <c r="BS8" s="688" t="s">
        <v>948</v>
      </c>
      <c r="BT8" s="688" t="s">
        <v>949</v>
      </c>
      <c r="BU8" s="380" t="s">
        <v>950</v>
      </c>
    </row>
    <row r="9" spans="2:73" ht="14.25" customHeight="1">
      <c r="B9" s="289" t="s">
        <v>951</v>
      </c>
      <c r="C9" s="30" t="s">
        <v>952</v>
      </c>
      <c r="D9" s="30"/>
      <c r="E9" s="301" t="s">
        <v>49</v>
      </c>
      <c r="F9" s="279">
        <v>3</v>
      </c>
      <c r="G9" s="2036">
        <f>'2D'!L18</f>
        <v>-0.11739704999999998</v>
      </c>
      <c r="H9" s="2035">
        <f>'2D'!M18</f>
        <v>0</v>
      </c>
      <c r="I9" s="2031">
        <f>'2D'!G18</f>
        <v>-1.831262070893541</v>
      </c>
      <c r="J9" s="2032">
        <f>'2D'!H18</f>
        <v>-20.208155433539751</v>
      </c>
      <c r="K9" s="380">
        <f xml:space="preserve"> I9 + J9</f>
        <v>-22.039417504433292</v>
      </c>
      <c r="L9" s="2033">
        <f>'2D'!I18</f>
        <v>0</v>
      </c>
      <c r="M9" s="2034">
        <f>'2D'!J18</f>
        <v>0</v>
      </c>
      <c r="N9" s="688">
        <f t="shared" si="2"/>
        <v>0</v>
      </c>
      <c r="O9" s="2035">
        <f>'2D'!K18</f>
        <v>0</v>
      </c>
      <c r="P9" s="380">
        <f t="shared" si="3"/>
        <v>-22.156814554433293</v>
      </c>
      <c r="R9" s="1339">
        <f xml:space="preserve"> IF( SUM( AF9:AL9 ) = 0, 0, AO9 )</f>
        <v>0</v>
      </c>
      <c r="S9" s="24">
        <f t="shared" ref="S9:S10" si="4" xml:space="preserve"> IF( SUM( U9:AF9 ) = 0, 0, $V$5 )</f>
        <v>0</v>
      </c>
      <c r="V9" s="127"/>
      <c r="W9" s="127"/>
      <c r="X9" s="127"/>
      <c r="Y9" s="127"/>
      <c r="Z9" s="127"/>
      <c r="AA9" s="127"/>
      <c r="AB9" s="127"/>
      <c r="AC9" s="127"/>
      <c r="AD9" s="127"/>
      <c r="AG9" s="93">
        <f xml:space="preserve"> IF( (AM9 - AN9) = 0, 0, 1 )</f>
        <v>0</v>
      </c>
      <c r="AM9" s="165">
        <f xml:space="preserve"> ROUND( P9, 3)</f>
        <v>-22.157</v>
      </c>
      <c r="AN9" s="223">
        <f xml:space="preserve"> ROUND( '2D'!N18, 3)</f>
        <v>-22.157</v>
      </c>
      <c r="AO9" s="1340" t="s">
        <v>953</v>
      </c>
      <c r="AP9" s="165"/>
      <c r="AQ9" s="223"/>
      <c r="AR9" s="1340"/>
      <c r="AS9" s="165"/>
      <c r="AT9" s="223"/>
      <c r="AU9" s="1340"/>
      <c r="AV9" s="165"/>
      <c r="AW9" s="223"/>
      <c r="AX9" s="1340"/>
      <c r="AY9" s="1340"/>
      <c r="AZ9" s="1340"/>
      <c r="BA9" s="1340"/>
      <c r="BG9" s="289" t="s">
        <v>951</v>
      </c>
      <c r="BH9" s="30" t="s">
        <v>952</v>
      </c>
      <c r="BI9" s="30"/>
      <c r="BJ9" s="301" t="s">
        <v>49</v>
      </c>
      <c r="BK9" s="279">
        <v>3</v>
      </c>
      <c r="BL9" s="752" t="str">
        <f>'2D'!BK18</f>
        <v>BM4046H</v>
      </c>
      <c r="BM9" s="753" t="str">
        <f>'2D'!BL18</f>
        <v>BM4046NH</v>
      </c>
      <c r="BN9" s="754" t="str">
        <f>'2D'!BF18</f>
        <v>BM4046WR</v>
      </c>
      <c r="BO9" s="755" t="str">
        <f>'2D'!BG18</f>
        <v>BM4046WN</v>
      </c>
      <c r="BP9" s="380" t="s">
        <v>954</v>
      </c>
      <c r="BQ9" s="756" t="str">
        <f>'2D'!BH18</f>
        <v>BM4046WNK</v>
      </c>
      <c r="BR9" s="736" t="str">
        <f>'2D'!BI18</f>
        <v>BM4046SG</v>
      </c>
      <c r="BS9" s="688" t="s">
        <v>955</v>
      </c>
      <c r="BT9" s="688" t="s">
        <v>956</v>
      </c>
      <c r="BU9" s="380" t="s">
        <v>957</v>
      </c>
    </row>
    <row r="10" spans="2:73" ht="14.25" customHeight="1">
      <c r="B10" s="289" t="s">
        <v>958</v>
      </c>
      <c r="C10" s="30" t="s">
        <v>959</v>
      </c>
      <c r="D10" s="30"/>
      <c r="E10" s="301" t="s">
        <v>49</v>
      </c>
      <c r="F10" s="279">
        <v>3</v>
      </c>
      <c r="G10" s="459">
        <v>-0.192</v>
      </c>
      <c r="H10" s="455">
        <v>0</v>
      </c>
      <c r="I10" s="655">
        <v>-0.22539999999999999</v>
      </c>
      <c r="J10" s="497">
        <v>-2.4804508904853511</v>
      </c>
      <c r="K10" s="380">
        <f t="shared" si="1"/>
        <v>-2.7058508904853511</v>
      </c>
      <c r="L10" s="671"/>
      <c r="M10" s="672"/>
      <c r="N10" s="688">
        <f t="shared" si="2"/>
        <v>0</v>
      </c>
      <c r="O10" s="455"/>
      <c r="P10" s="380">
        <f t="shared" si="3"/>
        <v>-2.8978508904853513</v>
      </c>
      <c r="R10" s="126"/>
      <c r="S10" s="24">
        <f t="shared" si="4"/>
        <v>0</v>
      </c>
      <c r="V10" s="93">
        <f t="shared" ref="V10" si="5" xml:space="preserve"> IF( ISNUMBER( G10 ), 0, 1 )</f>
        <v>0</v>
      </c>
      <c r="W10" s="93">
        <f t="shared" ref="W10" si="6" xml:space="preserve"> IF( ISNUMBER( H10 ), 0, 1 )</f>
        <v>0</v>
      </c>
      <c r="X10" s="93">
        <f t="shared" ref="X10:X11" si="7" xml:space="preserve"> IF( ISNUMBER( I10 ), 0, 1 )</f>
        <v>0</v>
      </c>
      <c r="Y10" s="93">
        <f t="shared" ref="Y10:Y11" si="8" xml:space="preserve"> IF( ISNUMBER( J10 ), 0, 1 )</f>
        <v>0</v>
      </c>
      <c r="Z10" s="127"/>
      <c r="AA10" s="93">
        <f xml:space="preserve"> IF( Validation!$H$3 = 1, 0, ( IF( ISNUMBER( L10 ), 0, 1 )))</f>
        <v>0</v>
      </c>
      <c r="AB10" s="93">
        <f xml:space="preserve"> IF( Validation!$H$3 = 1, 0, ( IF( ISNUMBER( M10 ), 0, 1 )))</f>
        <v>0</v>
      </c>
      <c r="AC10" s="127"/>
      <c r="AD10" s="93">
        <f>IF( Validation!$H$3 = 1, 0, IF(Validation!$B$3 &lt;&gt; "Thames Water",0, (IF(ISNUMBER(O10),0,1))))</f>
        <v>0</v>
      </c>
      <c r="AG10" s="127"/>
      <c r="AM10" s="165"/>
      <c r="AN10" s="165"/>
      <c r="AO10" s="1340"/>
      <c r="AP10" s="165"/>
      <c r="AQ10" s="165"/>
      <c r="AR10" s="1340"/>
      <c r="AS10" s="165"/>
      <c r="AT10" s="165"/>
      <c r="AU10" s="1340"/>
      <c r="AV10" s="165"/>
      <c r="AW10" s="165"/>
      <c r="AX10" s="1340"/>
      <c r="AY10" s="1340"/>
      <c r="AZ10" s="1340"/>
      <c r="BA10" s="1340"/>
      <c r="BG10" s="289" t="s">
        <v>958</v>
      </c>
      <c r="BH10" s="30" t="s">
        <v>959</v>
      </c>
      <c r="BI10" s="30"/>
      <c r="BJ10" s="301" t="s">
        <v>49</v>
      </c>
      <c r="BK10" s="279">
        <v>3</v>
      </c>
      <c r="BL10" s="2420" t="s">
        <v>960</v>
      </c>
      <c r="BM10" s="2421" t="s">
        <v>961</v>
      </c>
      <c r="BN10" s="2423" t="s">
        <v>962</v>
      </c>
      <c r="BO10" s="2424" t="s">
        <v>963</v>
      </c>
      <c r="BP10" s="380" t="s">
        <v>964</v>
      </c>
      <c r="BQ10" s="2425" t="s">
        <v>965</v>
      </c>
      <c r="BR10" s="2426" t="s">
        <v>966</v>
      </c>
      <c r="BS10" s="688" t="s">
        <v>967</v>
      </c>
      <c r="BT10" s="1819" t="s">
        <v>968</v>
      </c>
      <c r="BU10" s="380" t="s">
        <v>969</v>
      </c>
    </row>
    <row r="11" spans="2:73" ht="14.25" customHeight="1" thickBot="1">
      <c r="B11" s="289" t="s">
        <v>970</v>
      </c>
      <c r="C11" s="30" t="s">
        <v>63</v>
      </c>
      <c r="D11" s="30"/>
      <c r="E11" s="301" t="s">
        <v>49</v>
      </c>
      <c r="F11" s="279">
        <v>3</v>
      </c>
      <c r="G11" s="459">
        <v>1.6E-2</v>
      </c>
      <c r="H11" s="455">
        <v>0</v>
      </c>
      <c r="I11" s="656">
        <v>0.36499999999999999</v>
      </c>
      <c r="J11" s="456">
        <v>0.30599999999999999</v>
      </c>
      <c r="K11" s="380">
        <f t="shared" si="1"/>
        <v>0.67100000000000004</v>
      </c>
      <c r="L11" s="680"/>
      <c r="M11" s="681"/>
      <c r="N11" s="688">
        <f t="shared" si="2"/>
        <v>0</v>
      </c>
      <c r="O11" s="455"/>
      <c r="P11" s="380">
        <f t="shared" si="3"/>
        <v>0.68700000000000006</v>
      </c>
      <c r="R11" s="1339">
        <f xml:space="preserve"> IF( SUM( AF11:AL11 ) = 0, 0, AO11 )</f>
        <v>0</v>
      </c>
      <c r="S11" s="24">
        <f t="shared" si="0"/>
        <v>0</v>
      </c>
      <c r="V11" s="93">
        <f xml:space="preserve"> IF( ISNUMBER( G11 ), 0, 1 )</f>
        <v>0</v>
      </c>
      <c r="W11" s="93">
        <f xml:space="preserve"> IF( ISNUMBER( H11 ), 0, 1 )</f>
        <v>0</v>
      </c>
      <c r="X11" s="93">
        <f t="shared" si="7"/>
        <v>0</v>
      </c>
      <c r="Y11" s="93">
        <f t="shared" si="8"/>
        <v>0</v>
      </c>
      <c r="Z11" s="127"/>
      <c r="AA11" s="93">
        <f xml:space="preserve"> IF( Validation!$H$3 = 1, 0, ( IF( ISNUMBER( L11 ), 0, 1 )))</f>
        <v>0</v>
      </c>
      <c r="AB11" s="93">
        <f xml:space="preserve"> IF( Validation!$H$3 = 1, 0, ( IF( ISNUMBER( M11 ), 0, 1 )))</f>
        <v>0</v>
      </c>
      <c r="AC11" s="127"/>
      <c r="AD11" s="93">
        <f>IF( Validation!$H$3 = 1, 0, IF(Validation!$B$3 &lt;&gt; "Thames Water",0, (IF(ISNUMBER(O11),0,1))))</f>
        <v>0</v>
      </c>
      <c r="AG11" s="93">
        <f xml:space="preserve"> IF( (AM11 - AN11) = 0, 0, 1 )</f>
        <v>0</v>
      </c>
      <c r="AM11" s="165">
        <f xml:space="preserve"> ROUND( P11, 3)</f>
        <v>0.68700000000000006</v>
      </c>
      <c r="AN11" s="165">
        <f xml:space="preserve"> ROUND( '1A'!K8, 3 )</f>
        <v>0.68700000000000006</v>
      </c>
      <c r="AO11" s="1340" t="s">
        <v>971</v>
      </c>
      <c r="AP11" s="165"/>
      <c r="AQ11" s="165"/>
      <c r="AR11" s="1340"/>
      <c r="AS11" s="165"/>
      <c r="AT11" s="165"/>
      <c r="AU11" s="1340"/>
      <c r="AV11" s="165"/>
      <c r="AW11" s="165"/>
      <c r="AX11" s="1340"/>
      <c r="AY11" s="1340"/>
      <c r="AZ11" s="1340"/>
      <c r="BA11" s="1340"/>
      <c r="BG11" s="289" t="s">
        <v>970</v>
      </c>
      <c r="BH11" s="30" t="s">
        <v>63</v>
      </c>
      <c r="BI11" s="30"/>
      <c r="BJ11" s="301" t="s">
        <v>49</v>
      </c>
      <c r="BK11" s="279">
        <v>3</v>
      </c>
      <c r="BL11" s="2420" t="s">
        <v>972</v>
      </c>
      <c r="BM11" s="2421" t="s">
        <v>973</v>
      </c>
      <c r="BN11" s="2427" t="s">
        <v>974</v>
      </c>
      <c r="BO11" s="2428" t="s">
        <v>975</v>
      </c>
      <c r="BP11" s="380" t="s">
        <v>976</v>
      </c>
      <c r="BQ11" s="2429" t="s">
        <v>977</v>
      </c>
      <c r="BR11" s="2430" t="s">
        <v>978</v>
      </c>
      <c r="BS11" s="191" t="s">
        <v>979</v>
      </c>
      <c r="BT11" s="1819" t="s">
        <v>980</v>
      </c>
      <c r="BU11" s="380" t="s">
        <v>981</v>
      </c>
    </row>
    <row r="12" spans="2:73" ht="14.25" customHeight="1" thickBot="1">
      <c r="B12" s="290" t="s">
        <v>982</v>
      </c>
      <c r="C12" s="31" t="s">
        <v>983</v>
      </c>
      <c r="D12" s="31"/>
      <c r="E12" s="283" t="s">
        <v>49</v>
      </c>
      <c r="F12" s="284">
        <v>3</v>
      </c>
      <c r="G12" s="389">
        <f>SUM(G6:G11)</f>
        <v>-0.89439704999999914</v>
      </c>
      <c r="H12" s="335">
        <f>SUM(H6:H11)</f>
        <v>-0.86299999999999999</v>
      </c>
      <c r="K12" s="344">
        <f>SUM(K6:K11)</f>
        <v>21.989731605081364</v>
      </c>
      <c r="N12" s="689">
        <f>SUM(N6:N11)</f>
        <v>0</v>
      </c>
      <c r="O12" s="335">
        <f>SUM(O6:O11)</f>
        <v>0</v>
      </c>
      <c r="P12" s="344">
        <f t="shared" si="3"/>
        <v>20.232334555081366</v>
      </c>
      <c r="R12" s="126"/>
      <c r="S12" s="126"/>
      <c r="Z12" s="192"/>
      <c r="AC12" s="192"/>
      <c r="BG12" s="290" t="s">
        <v>982</v>
      </c>
      <c r="BH12" s="31" t="s">
        <v>983</v>
      </c>
      <c r="BI12" s="31"/>
      <c r="BJ12" s="283" t="s">
        <v>49</v>
      </c>
      <c r="BK12" s="284">
        <v>3</v>
      </c>
      <c r="BL12" s="389" t="s">
        <v>984</v>
      </c>
      <c r="BM12" s="335" t="s">
        <v>985</v>
      </c>
      <c r="BP12" s="344" t="s">
        <v>986</v>
      </c>
      <c r="BS12" s="689" t="s">
        <v>987</v>
      </c>
      <c r="BT12" s="689" t="s">
        <v>988</v>
      </c>
      <c r="BU12" s="344" t="s">
        <v>989</v>
      </c>
    </row>
    <row r="13" spans="2:73" s="110" customFormat="1" ht="14.5" thickBot="1">
      <c r="C13" s="152"/>
      <c r="D13" s="152"/>
      <c r="H13" s="163"/>
      <c r="N13" s="118"/>
      <c r="O13" s="118"/>
      <c r="P13" s="118"/>
      <c r="Q13" s="118"/>
      <c r="R13" s="126"/>
      <c r="S13" s="120"/>
      <c r="T13" s="70"/>
      <c r="U13" s="71"/>
      <c r="V13" s="70"/>
      <c r="W13" s="70"/>
      <c r="X13" s="70"/>
      <c r="Y13" s="70"/>
      <c r="Z13" s="70"/>
      <c r="AA13" s="70"/>
      <c r="AB13" s="70"/>
      <c r="AC13" s="70"/>
      <c r="AD13" s="70"/>
      <c r="AE13" s="70"/>
      <c r="AF13" s="71"/>
      <c r="AL13" s="71"/>
      <c r="BB13" s="71"/>
      <c r="BH13" s="152"/>
      <c r="BI13" s="152"/>
      <c r="BM13" s="163"/>
      <c r="BS13" s="118"/>
      <c r="BT13" s="118"/>
      <c r="BU13" s="118"/>
    </row>
    <row r="14" spans="2:73" ht="14.25" customHeight="1" thickBot="1">
      <c r="B14" s="2865" t="s">
        <v>153</v>
      </c>
      <c r="C14" s="83" t="s">
        <v>990</v>
      </c>
      <c r="D14" s="1473"/>
      <c r="E14" s="110"/>
      <c r="F14" s="110"/>
      <c r="G14" s="110"/>
      <c r="H14" s="110"/>
      <c r="I14" s="110"/>
      <c r="J14" s="110"/>
      <c r="K14" s="110"/>
      <c r="L14" s="110"/>
      <c r="M14" s="110"/>
      <c r="N14" s="110"/>
      <c r="O14" s="110"/>
      <c r="P14" s="110"/>
      <c r="Q14" s="110"/>
      <c r="R14" s="126"/>
      <c r="S14" s="126"/>
      <c r="Z14" s="192"/>
      <c r="AC14" s="192"/>
      <c r="BG14" s="2865" t="s">
        <v>153</v>
      </c>
      <c r="BH14" s="83" t="s">
        <v>990</v>
      </c>
      <c r="BI14" s="1473"/>
      <c r="BJ14" s="110"/>
      <c r="BK14" s="110"/>
      <c r="BL14" s="110"/>
      <c r="BM14" s="110"/>
      <c r="BN14" s="110"/>
      <c r="BO14" s="110"/>
      <c r="BP14" s="110"/>
      <c r="BQ14" s="110"/>
      <c r="BR14" s="110"/>
      <c r="BS14" s="110"/>
      <c r="BT14" s="110"/>
      <c r="BU14" s="110"/>
    </row>
    <row r="15" spans="2:73" ht="14.25" customHeight="1">
      <c r="B15" s="289" t="s">
        <v>991</v>
      </c>
      <c r="C15" s="30" t="s">
        <v>992</v>
      </c>
      <c r="D15" s="1492"/>
      <c r="E15" s="300" t="s">
        <v>49</v>
      </c>
      <c r="F15" s="275">
        <v>3</v>
      </c>
      <c r="G15" s="458">
        <v>-0.59599999999999997</v>
      </c>
      <c r="H15" s="454">
        <v>0</v>
      </c>
      <c r="I15" s="601">
        <v>0</v>
      </c>
      <c r="J15" s="454">
        <v>0</v>
      </c>
      <c r="K15" s="379">
        <f xml:space="preserve"> I15 + J15</f>
        <v>0</v>
      </c>
      <c r="L15" s="457"/>
      <c r="M15" s="676"/>
      <c r="N15" s="757">
        <f t="shared" si="2"/>
        <v>0</v>
      </c>
      <c r="O15" s="2818"/>
      <c r="P15" s="379">
        <f xml:space="preserve"> G15 + H15 + K15 + N15 + O15</f>
        <v>-0.59599999999999997</v>
      </c>
      <c r="R15" s="126"/>
      <c r="S15" s="24">
        <f t="shared" si="0"/>
        <v>0</v>
      </c>
      <c r="V15" s="93">
        <f t="shared" ref="V15:Y16" si="9" xml:space="preserve"> IF( ISNUMBER( G15 ), 0, 1 )</f>
        <v>0</v>
      </c>
      <c r="W15" s="93">
        <f t="shared" si="9"/>
        <v>0</v>
      </c>
      <c r="X15" s="93">
        <f t="shared" si="9"/>
        <v>0</v>
      </c>
      <c r="Y15" s="93">
        <f t="shared" si="9"/>
        <v>0</v>
      </c>
      <c r="Z15" s="127"/>
      <c r="AA15" s="93">
        <f xml:space="preserve"> IF( Validation!$H$3 = 1, 0, ( IF( ISNUMBER( L15 ), 0, 1 )))</f>
        <v>0</v>
      </c>
      <c r="AB15" s="93">
        <f xml:space="preserve"> IF( Validation!$H$3 = 1, 0, ( IF( ISNUMBER( M15 ), 0, 1 )))</f>
        <v>0</v>
      </c>
      <c r="AC15" s="127"/>
      <c r="AD15" s="93">
        <f>IF( Validation!$H$3 = 1, 0, IF(Validation!$B$3 &lt;&gt; "Thames Water",0, (IF(ISNUMBER(O15),0,1))))</f>
        <v>0</v>
      </c>
      <c r="BG15" s="289" t="s">
        <v>991</v>
      </c>
      <c r="BH15" s="30" t="s">
        <v>992</v>
      </c>
      <c r="BI15" s="1492"/>
      <c r="BJ15" s="300" t="s">
        <v>49</v>
      </c>
      <c r="BK15" s="275">
        <v>3</v>
      </c>
      <c r="BL15" s="2417" t="s">
        <v>993</v>
      </c>
      <c r="BM15" s="2418" t="s">
        <v>994</v>
      </c>
      <c r="BN15" s="2431" t="s">
        <v>995</v>
      </c>
      <c r="BO15" s="2418" t="s">
        <v>996</v>
      </c>
      <c r="BP15" s="379" t="s">
        <v>997</v>
      </c>
      <c r="BQ15" s="2432" t="s">
        <v>998</v>
      </c>
      <c r="BR15" s="1826" t="s">
        <v>999</v>
      </c>
      <c r="BS15" s="757" t="s">
        <v>1000</v>
      </c>
      <c r="BT15" s="1820" t="s">
        <v>1001</v>
      </c>
      <c r="BU15" s="379" t="s">
        <v>1002</v>
      </c>
    </row>
    <row r="16" spans="2:73" ht="14.25" customHeight="1" thickBot="1">
      <c r="B16" s="290" t="s">
        <v>1003</v>
      </c>
      <c r="C16" s="31" t="s">
        <v>1004</v>
      </c>
      <c r="D16" s="31"/>
      <c r="E16" s="283" t="s">
        <v>49</v>
      </c>
      <c r="F16" s="284">
        <v>3</v>
      </c>
      <c r="G16" s="760">
        <v>0</v>
      </c>
      <c r="H16" s="456">
        <v>0</v>
      </c>
      <c r="I16" s="600">
        <v>0.05</v>
      </c>
      <c r="J16" s="456">
        <v>0.54600000000000004</v>
      </c>
      <c r="K16" s="344">
        <f xml:space="preserve"> I16 + J16</f>
        <v>0.59600000000000009</v>
      </c>
      <c r="L16" s="680"/>
      <c r="M16" s="681"/>
      <c r="N16" s="689">
        <f t="shared" ref="N16" si="10" xml:space="preserve"> L16 + M16</f>
        <v>0</v>
      </c>
      <c r="O16" s="2819"/>
      <c r="P16" s="344">
        <f xml:space="preserve"> G16 + H16 + K16 + N16 + O16</f>
        <v>0.59600000000000009</v>
      </c>
      <c r="R16" s="126"/>
      <c r="S16" s="24">
        <f t="shared" si="0"/>
        <v>0</v>
      </c>
      <c r="V16" s="93">
        <f t="shared" si="9"/>
        <v>0</v>
      </c>
      <c r="W16" s="93">
        <f t="shared" si="9"/>
        <v>0</v>
      </c>
      <c r="X16" s="93">
        <f t="shared" si="9"/>
        <v>0</v>
      </c>
      <c r="Y16" s="93">
        <f t="shared" si="9"/>
        <v>0</v>
      </c>
      <c r="Z16" s="127"/>
      <c r="AA16" s="93">
        <f xml:space="preserve"> IF( Validation!$H$3 = 1, 0, ( IF( ISNUMBER( L16 ), 0, 1 )))</f>
        <v>0</v>
      </c>
      <c r="AB16" s="93">
        <f xml:space="preserve"> IF( Validation!$H$3 = 1, 0, ( IF( ISNUMBER( M16 ), 0, 1 )))</f>
        <v>0</v>
      </c>
      <c r="AC16" s="127"/>
      <c r="AD16" s="93">
        <f>IF( Validation!$H$3 = 1, 0, IF(Validation!$B$3 &lt;&gt; "Thames Water",0, (IF(ISNUMBER(O16),0,1))))</f>
        <v>0</v>
      </c>
      <c r="BG16" s="290" t="s">
        <v>1003</v>
      </c>
      <c r="BH16" s="31" t="s">
        <v>1004</v>
      </c>
      <c r="BI16" s="31"/>
      <c r="BJ16" s="283" t="s">
        <v>49</v>
      </c>
      <c r="BK16" s="284">
        <v>3</v>
      </c>
      <c r="BL16" s="2433" t="s">
        <v>1005</v>
      </c>
      <c r="BM16" s="2428" t="s">
        <v>1006</v>
      </c>
      <c r="BN16" s="2434" t="s">
        <v>1007</v>
      </c>
      <c r="BO16" s="2428" t="s">
        <v>1008</v>
      </c>
      <c r="BP16" s="344" t="s">
        <v>1009</v>
      </c>
      <c r="BQ16" s="2429" t="s">
        <v>1010</v>
      </c>
      <c r="BR16" s="2430" t="s">
        <v>1011</v>
      </c>
      <c r="BS16" s="689" t="s">
        <v>1012</v>
      </c>
      <c r="BT16" s="1821" t="s">
        <v>1013</v>
      </c>
      <c r="BU16" s="344" t="s">
        <v>1014</v>
      </c>
    </row>
    <row r="17" spans="1:73" s="110" customFormat="1" ht="14.5" thickBot="1">
      <c r="C17" s="152"/>
      <c r="D17" s="152"/>
      <c r="H17" s="163"/>
      <c r="N17" s="118"/>
      <c r="O17" s="118"/>
      <c r="P17" s="118"/>
      <c r="Q17" s="118"/>
      <c r="R17" s="126"/>
      <c r="S17" s="120"/>
      <c r="T17" s="70"/>
      <c r="U17" s="71"/>
      <c r="V17" s="70"/>
      <c r="W17" s="70"/>
      <c r="X17" s="70"/>
      <c r="Y17" s="70"/>
      <c r="Z17" s="70"/>
      <c r="AA17" s="70"/>
      <c r="AB17" s="70"/>
      <c r="AC17" s="70"/>
      <c r="AD17" s="70"/>
      <c r="AE17" s="70"/>
      <c r="AF17" s="71"/>
      <c r="AL17" s="71"/>
      <c r="BB17" s="71"/>
      <c r="BH17" s="152"/>
      <c r="BI17" s="152"/>
      <c r="BM17" s="163"/>
      <c r="BS17" s="118"/>
      <c r="BT17" s="118"/>
      <c r="BU17" s="118"/>
    </row>
    <row r="18" spans="1:73" ht="14.25" customHeight="1" thickBot="1">
      <c r="B18" s="338" t="s">
        <v>1015</v>
      </c>
      <c r="C18" s="28" t="s">
        <v>70</v>
      </c>
      <c r="D18" s="28"/>
      <c r="E18" s="339" t="s">
        <v>49</v>
      </c>
      <c r="F18" s="266">
        <v>3</v>
      </c>
      <c r="G18" s="340">
        <f xml:space="preserve"> G12 + SUM(G15:G16)</f>
        <v>-1.490397049999999</v>
      </c>
      <c r="H18" s="342">
        <f xml:space="preserve"> H12 + SUM(H15:H16)</f>
        <v>-0.86299999999999999</v>
      </c>
      <c r="K18" s="621">
        <f xml:space="preserve"> K12 + SUM(K15:K16)</f>
        <v>22.585731605081364</v>
      </c>
      <c r="N18" s="759">
        <f xml:space="preserve"> N12 + SUM(N15:N16)</f>
        <v>0</v>
      </c>
      <c r="O18" s="759">
        <f xml:space="preserve"> O12 + SUM(O15:O16)</f>
        <v>0</v>
      </c>
      <c r="P18" s="621">
        <f xml:space="preserve"> G18 + H18 + K18 + N18 + O18</f>
        <v>20.232334555081366</v>
      </c>
      <c r="R18" s="126"/>
      <c r="S18" s="126"/>
      <c r="BG18" s="338" t="s">
        <v>1015</v>
      </c>
      <c r="BH18" s="28" t="s">
        <v>70</v>
      </c>
      <c r="BI18" s="28"/>
      <c r="BJ18" s="339" t="s">
        <v>49</v>
      </c>
      <c r="BK18" s="266">
        <v>3</v>
      </c>
      <c r="BL18" s="340" t="s">
        <v>1016</v>
      </c>
      <c r="BM18" s="342" t="s">
        <v>1017</v>
      </c>
      <c r="BP18" s="621" t="s">
        <v>1018</v>
      </c>
      <c r="BS18" s="759" t="s">
        <v>1019</v>
      </c>
      <c r="BT18" s="759" t="s">
        <v>1020</v>
      </c>
      <c r="BU18" s="621" t="s">
        <v>1021</v>
      </c>
    </row>
    <row r="19" spans="1:73" s="110" customFormat="1" ht="14.5" thickBot="1">
      <c r="C19" s="152"/>
      <c r="D19" s="152"/>
      <c r="H19" s="163"/>
      <c r="N19" s="118"/>
      <c r="O19" s="118"/>
      <c r="P19" s="118"/>
      <c r="Q19" s="118"/>
      <c r="R19" s="126"/>
      <c r="S19" s="120"/>
      <c r="T19" s="70"/>
      <c r="U19" s="71"/>
      <c r="V19" s="70"/>
      <c r="W19" s="70"/>
      <c r="X19" s="70"/>
      <c r="Y19" s="70"/>
      <c r="Z19" s="70"/>
      <c r="AA19" s="70"/>
      <c r="AB19" s="70"/>
      <c r="AC19" s="70"/>
      <c r="AD19" s="70"/>
      <c r="AE19" s="70"/>
      <c r="AF19" s="71"/>
      <c r="AL19" s="71"/>
      <c r="BB19" s="71"/>
      <c r="BH19" s="152"/>
      <c r="BI19" s="152"/>
      <c r="BM19" s="163"/>
      <c r="BS19" s="118"/>
      <c r="BT19" s="118"/>
      <c r="BU19" s="118"/>
    </row>
    <row r="20" spans="1:73" ht="14.25" customHeight="1" thickBot="1">
      <c r="B20" s="338" t="s">
        <v>1022</v>
      </c>
      <c r="C20" s="28" t="s">
        <v>1023</v>
      </c>
      <c r="D20" s="28"/>
      <c r="E20" s="339" t="s">
        <v>49</v>
      </c>
      <c r="F20" s="266">
        <v>3</v>
      </c>
      <c r="G20" s="390"/>
      <c r="H20" s="390"/>
      <c r="I20" s="390"/>
      <c r="J20" s="390"/>
      <c r="K20" s="390"/>
      <c r="L20" s="390"/>
      <c r="M20" s="390"/>
      <c r="N20" s="390"/>
      <c r="O20" s="390"/>
      <c r="P20" s="758">
        <v>0</v>
      </c>
      <c r="R20" s="126"/>
      <c r="S20" s="24">
        <f t="shared" si="0"/>
        <v>0</v>
      </c>
      <c r="AE20" s="93">
        <f t="shared" ref="AE20" si="11" xml:space="preserve"> IF( ISNUMBER( P20 ), 0, 1 )</f>
        <v>0</v>
      </c>
      <c r="BG20" s="338" t="s">
        <v>1022</v>
      </c>
      <c r="BH20" s="28" t="s">
        <v>1023</v>
      </c>
      <c r="BI20" s="28"/>
      <c r="BJ20" s="339" t="s">
        <v>49</v>
      </c>
      <c r="BK20" s="266">
        <v>3</v>
      </c>
      <c r="BL20" s="390"/>
      <c r="BM20" s="390"/>
      <c r="BN20" s="390"/>
      <c r="BO20" s="390"/>
      <c r="BP20" s="390"/>
      <c r="BQ20" s="390"/>
      <c r="BR20" s="390"/>
      <c r="BS20" s="390"/>
      <c r="BT20" s="390"/>
      <c r="BU20" s="2435" t="s">
        <v>1024</v>
      </c>
    </row>
    <row r="21" spans="1:73" s="110" customFormat="1">
      <c r="C21" s="152"/>
      <c r="D21" s="152"/>
      <c r="H21" s="163"/>
      <c r="N21" s="118"/>
      <c r="O21" s="118"/>
      <c r="P21" s="118"/>
      <c r="Q21" s="118"/>
      <c r="R21" s="126"/>
      <c r="S21" s="120"/>
      <c r="T21" s="70"/>
      <c r="U21" s="71"/>
      <c r="V21" s="70"/>
      <c r="W21" s="70"/>
      <c r="X21" s="70"/>
      <c r="Y21" s="70"/>
      <c r="Z21" s="70"/>
      <c r="AA21" s="70"/>
      <c r="AB21" s="70"/>
      <c r="AC21" s="70"/>
      <c r="AD21" s="70"/>
      <c r="AE21" s="70"/>
      <c r="AF21" s="71"/>
      <c r="AL21" s="71"/>
      <c r="BB21" s="71"/>
      <c r="BH21" s="152"/>
      <c r="BI21" s="152"/>
      <c r="BM21" s="163"/>
      <c r="BS21" s="118"/>
      <c r="BT21" s="118"/>
      <c r="BU21" s="118"/>
    </row>
    <row r="22" spans="1:73" s="163" customFormat="1">
      <c r="B22" s="2914" t="s">
        <v>241</v>
      </c>
      <c r="C22" s="2914"/>
      <c r="D22" s="2823"/>
      <c r="N22" s="126"/>
      <c r="O22" s="126"/>
      <c r="P22" s="126"/>
      <c r="Q22" s="126"/>
      <c r="R22" s="126"/>
      <c r="S22" s="126"/>
      <c r="T22" s="70"/>
      <c r="U22" s="71"/>
      <c r="V22" s="70"/>
      <c r="W22" s="70"/>
      <c r="X22" s="70"/>
      <c r="Y22" s="70"/>
      <c r="Z22" s="70"/>
      <c r="AA22" s="70"/>
      <c r="AB22" s="70"/>
      <c r="AC22" s="70"/>
      <c r="AD22" s="70"/>
      <c r="AE22" s="70"/>
      <c r="AF22" s="71"/>
      <c r="AL22" s="71"/>
      <c r="BB22" s="71"/>
    </row>
    <row r="23" spans="1:73" s="163" customFormat="1">
      <c r="B23" s="141"/>
      <c r="C23" s="142"/>
      <c r="D23" s="142"/>
      <c r="N23" s="126"/>
      <c r="O23" s="126"/>
      <c r="P23" s="126"/>
      <c r="Q23" s="126"/>
      <c r="R23" s="126"/>
      <c r="S23" s="126"/>
      <c r="T23" s="70"/>
      <c r="U23" s="71"/>
      <c r="V23" s="70"/>
      <c r="W23" s="70"/>
      <c r="X23" s="70"/>
      <c r="Y23" s="70"/>
      <c r="Z23" s="70"/>
      <c r="AA23" s="70"/>
      <c r="AB23" s="70"/>
      <c r="AC23" s="70"/>
      <c r="AD23" s="70"/>
      <c r="AE23" s="70"/>
      <c r="AF23" s="71"/>
      <c r="AL23" s="71"/>
      <c r="BB23" s="71"/>
    </row>
    <row r="24" spans="1:73" s="163" customFormat="1">
      <c r="B24" s="25"/>
      <c r="C24" s="143" t="s">
        <v>188</v>
      </c>
      <c r="D24" s="143"/>
      <c r="N24" s="126"/>
      <c r="O24" s="126"/>
      <c r="P24" s="126"/>
      <c r="Q24" s="126"/>
      <c r="R24" s="126"/>
      <c r="S24" s="126"/>
      <c r="T24" s="70"/>
      <c r="U24" s="71"/>
      <c r="V24" s="70"/>
      <c r="W24" s="70"/>
      <c r="X24" s="70"/>
      <c r="Y24" s="70"/>
      <c r="Z24" s="70"/>
      <c r="AA24" s="70"/>
      <c r="AB24" s="70"/>
      <c r="AC24" s="70"/>
      <c r="AD24" s="70"/>
      <c r="AE24" s="70"/>
      <c r="AF24" s="71"/>
      <c r="AL24" s="71"/>
      <c r="BB24" s="71"/>
    </row>
    <row r="25" spans="1:73" s="163" customFormat="1">
      <c r="B25" s="141"/>
      <c r="C25" s="142"/>
      <c r="D25" s="142"/>
      <c r="N25" s="126"/>
      <c r="O25" s="126"/>
      <c r="P25" s="126"/>
      <c r="Q25" s="126"/>
      <c r="R25" s="126"/>
      <c r="S25" s="126"/>
      <c r="T25" s="70"/>
      <c r="U25" s="71"/>
      <c r="V25" s="70"/>
      <c r="W25" s="70"/>
      <c r="X25" s="70"/>
      <c r="Y25" s="70"/>
      <c r="Z25" s="70"/>
      <c r="AA25" s="70"/>
      <c r="AB25" s="70"/>
      <c r="AC25" s="70"/>
      <c r="AD25" s="70"/>
      <c r="AE25" s="70"/>
      <c r="AF25" s="71"/>
      <c r="AL25" s="71"/>
      <c r="BB25" s="71"/>
    </row>
    <row r="26" spans="1:73" s="163" customFormat="1">
      <c r="B26" s="144"/>
      <c r="C26" s="143" t="s">
        <v>189</v>
      </c>
      <c r="D26" s="143"/>
      <c r="N26" s="126"/>
      <c r="O26" s="126"/>
      <c r="P26" s="126"/>
      <c r="Q26" s="126"/>
      <c r="R26" s="126"/>
      <c r="S26" s="126"/>
      <c r="T26" s="70"/>
      <c r="U26" s="71"/>
      <c r="V26" s="70"/>
      <c r="W26" s="70"/>
      <c r="X26" s="70"/>
      <c r="Y26" s="70"/>
      <c r="Z26" s="70"/>
      <c r="AA26" s="70"/>
      <c r="AB26" s="70"/>
      <c r="AC26" s="70"/>
      <c r="AD26" s="70"/>
      <c r="AE26" s="70"/>
      <c r="AF26" s="71"/>
      <c r="AL26" s="71"/>
      <c r="BB26" s="71"/>
    </row>
    <row r="27" spans="1:73" s="163" customFormat="1">
      <c r="B27" s="143"/>
      <c r="C27" s="143"/>
      <c r="D27" s="143"/>
      <c r="N27" s="126"/>
      <c r="O27" s="126"/>
      <c r="P27" s="126"/>
      <c r="Q27" s="126"/>
      <c r="R27" s="126"/>
      <c r="S27" s="126"/>
      <c r="T27" s="70"/>
      <c r="U27" s="71"/>
      <c r="V27" s="70"/>
      <c r="W27" s="70"/>
      <c r="X27" s="70"/>
      <c r="Y27" s="70"/>
      <c r="Z27" s="70"/>
      <c r="AA27" s="70"/>
      <c r="AB27" s="70"/>
      <c r="AC27" s="70"/>
      <c r="AD27" s="70"/>
      <c r="AE27" s="70"/>
      <c r="AF27" s="71"/>
      <c r="AL27" s="71"/>
      <c r="BB27" s="71"/>
    </row>
    <row r="28" spans="1:73" s="163" customFormat="1">
      <c r="B28" s="2188"/>
      <c r="C28" s="179" t="s">
        <v>242</v>
      </c>
      <c r="D28" s="143"/>
      <c r="N28" s="126"/>
      <c r="O28" s="126"/>
      <c r="P28" s="126"/>
      <c r="Q28" s="126"/>
      <c r="R28" s="126"/>
      <c r="S28" s="126"/>
      <c r="T28" s="70"/>
      <c r="U28" s="71"/>
      <c r="V28" s="70"/>
      <c r="W28" s="70"/>
      <c r="X28" s="70"/>
      <c r="Y28" s="70"/>
      <c r="Z28" s="70"/>
      <c r="AA28" s="70"/>
      <c r="AB28" s="70"/>
      <c r="AC28" s="70"/>
      <c r="AD28" s="70"/>
      <c r="AE28" s="70"/>
      <c r="AF28" s="71"/>
      <c r="AL28" s="71"/>
      <c r="BB28" s="71"/>
    </row>
    <row r="29" spans="1:73" s="178" customFormat="1" ht="13" thickBot="1">
      <c r="C29" s="179"/>
      <c r="D29" s="179"/>
      <c r="N29" s="130"/>
      <c r="O29" s="130"/>
      <c r="P29" s="130"/>
      <c r="Q29" s="130"/>
      <c r="R29" s="126"/>
      <c r="S29" s="126"/>
      <c r="T29" s="126"/>
      <c r="U29" s="119"/>
      <c r="V29" s="126"/>
      <c r="W29" s="126"/>
      <c r="X29" s="126"/>
      <c r="Y29" s="126"/>
      <c r="Z29" s="126"/>
      <c r="AA29" s="203"/>
      <c r="AB29" s="203"/>
      <c r="AC29" s="203"/>
      <c r="AD29" s="203"/>
      <c r="AE29" s="163"/>
      <c r="AF29" s="119"/>
      <c r="AL29" s="119"/>
      <c r="BB29" s="119"/>
    </row>
    <row r="30" spans="1:73" s="178" customFormat="1" ht="20.5" thickBot="1">
      <c r="B30" s="2886" t="s">
        <v>190</v>
      </c>
      <c r="C30" s="147"/>
      <c r="D30" s="147"/>
      <c r="E30" s="148"/>
      <c r="F30" s="148"/>
      <c r="G30" s="148"/>
      <c r="H30" s="148"/>
      <c r="I30" s="148"/>
      <c r="J30" s="148"/>
      <c r="K30" s="148"/>
      <c r="L30" s="148"/>
      <c r="M30" s="148"/>
      <c r="N30" s="148"/>
      <c r="O30" s="148"/>
      <c r="P30" s="154"/>
      <c r="Q30" s="130"/>
      <c r="R30" s="126"/>
      <c r="S30" s="126"/>
      <c r="T30" s="126"/>
      <c r="U30" s="119"/>
      <c r="V30" s="126"/>
      <c r="W30" s="126"/>
      <c r="X30" s="126"/>
      <c r="Y30" s="126"/>
      <c r="Z30" s="126"/>
      <c r="AA30" s="203"/>
      <c r="AB30" s="203"/>
      <c r="AC30" s="203"/>
      <c r="AD30" s="203"/>
      <c r="AE30" s="163"/>
      <c r="AF30" s="119"/>
      <c r="AL30" s="119"/>
      <c r="BB30" s="119"/>
    </row>
    <row r="31" spans="1:73" s="178" customFormat="1" ht="12.5">
      <c r="C31" s="179"/>
      <c r="D31" s="179"/>
      <c r="N31" s="130"/>
      <c r="O31" s="130"/>
      <c r="P31" s="130"/>
      <c r="Q31" s="130"/>
      <c r="R31" s="126"/>
      <c r="S31" s="126"/>
      <c r="T31" s="126"/>
      <c r="U31" s="119"/>
      <c r="V31" s="126"/>
      <c r="W31" s="126"/>
      <c r="X31" s="126"/>
      <c r="Y31" s="126"/>
      <c r="Z31" s="126"/>
      <c r="AA31" s="203"/>
      <c r="AB31" s="203"/>
      <c r="AC31" s="203"/>
      <c r="AD31" s="203"/>
      <c r="AE31" s="163"/>
      <c r="AF31" s="119"/>
      <c r="AL31" s="119"/>
      <c r="BB31" s="119"/>
    </row>
    <row r="32" spans="1:73" s="110" customFormat="1" ht="20.5" hidden="1" thickBot="1">
      <c r="A32" s="1528"/>
      <c r="B32" s="146" t="str">
        <f ca="1" xml:space="preserve"> RIGHT(CELL("filename", $A$1), LEN(CELL("filename", $A$1)) - SEARCH("]", CELL("filename", $A$1)))&amp;" - Line definitions"</f>
        <v>2A - Line definitions</v>
      </c>
      <c r="C32" s="147"/>
      <c r="D32" s="147"/>
      <c r="E32" s="148"/>
      <c r="F32" s="148"/>
      <c r="G32" s="148"/>
      <c r="H32" s="148"/>
      <c r="I32" s="148"/>
      <c r="J32" s="148"/>
      <c r="K32" s="148"/>
      <c r="L32" s="148"/>
      <c r="M32" s="148"/>
      <c r="N32" s="148"/>
      <c r="O32" s="148"/>
      <c r="P32" s="154"/>
      <c r="Q32" s="118"/>
      <c r="R32" s="120"/>
      <c r="S32" s="120"/>
      <c r="T32" s="126"/>
      <c r="U32" s="119"/>
      <c r="V32" s="126"/>
      <c r="W32" s="126"/>
      <c r="X32" s="126"/>
      <c r="Y32" s="126"/>
      <c r="Z32" s="126"/>
      <c r="AA32" s="203"/>
      <c r="AB32" s="203"/>
      <c r="AC32" s="203"/>
      <c r="AD32" s="203"/>
      <c r="AE32" s="163"/>
      <c r="AF32" s="119"/>
      <c r="AL32" s="119"/>
      <c r="BB32" s="119"/>
    </row>
    <row r="33" spans="1:54" s="110" customFormat="1" ht="14.5" hidden="1" thickBot="1">
      <c r="A33" s="1528"/>
      <c r="B33" s="74"/>
      <c r="C33" s="155"/>
      <c r="D33" s="155"/>
      <c r="E33" s="74"/>
      <c r="F33" s="74"/>
      <c r="G33" s="74"/>
      <c r="N33" s="118"/>
      <c r="O33" s="118"/>
      <c r="P33" s="118"/>
      <c r="Q33" s="118"/>
      <c r="R33" s="120"/>
      <c r="S33" s="120"/>
      <c r="T33" s="126"/>
      <c r="U33" s="119"/>
      <c r="W33" s="126"/>
      <c r="X33" s="126"/>
      <c r="Y33" s="126"/>
      <c r="Z33" s="126"/>
      <c r="AA33" s="203"/>
      <c r="AB33" s="203"/>
      <c r="AC33" s="203"/>
      <c r="AD33" s="203"/>
      <c r="AE33" s="163"/>
      <c r="AF33" s="119"/>
      <c r="AL33" s="119"/>
      <c r="BB33" s="119"/>
    </row>
    <row r="34" spans="1:54" s="178" customFormat="1" hidden="1" thickBot="1">
      <c r="A34" s="1529"/>
      <c r="B34" s="367" t="s">
        <v>191</v>
      </c>
      <c r="C34" s="368" t="s">
        <v>192</v>
      </c>
      <c r="D34" s="369"/>
      <c r="E34" s="369"/>
      <c r="F34" s="369"/>
      <c r="G34" s="369"/>
      <c r="H34" s="369"/>
      <c r="I34" s="369"/>
      <c r="J34" s="369"/>
      <c r="K34" s="369"/>
      <c r="L34" s="369"/>
      <c r="M34" s="369"/>
      <c r="N34" s="369"/>
      <c r="O34" s="369"/>
      <c r="P34" s="370"/>
      <c r="Q34" s="346"/>
      <c r="R34" s="130"/>
      <c r="S34" s="130"/>
      <c r="T34" s="126"/>
      <c r="U34" s="119"/>
      <c r="V34" s="85" t="s">
        <v>193</v>
      </c>
      <c r="W34" s="126"/>
      <c r="X34" s="126"/>
      <c r="Y34" s="126"/>
      <c r="Z34" s="126"/>
      <c r="AA34" s="203"/>
      <c r="AB34" s="203"/>
      <c r="AC34" s="203"/>
      <c r="AD34" s="203"/>
      <c r="AE34" s="163"/>
      <c r="AF34" s="119"/>
      <c r="AL34" s="119"/>
      <c r="BB34" s="119"/>
    </row>
    <row r="35" spans="1:54" s="110" customFormat="1" ht="23.25" hidden="1" customHeight="1">
      <c r="A35" s="1528"/>
      <c r="B35" s="181" t="s">
        <v>912</v>
      </c>
      <c r="C35" s="2910" t="s">
        <v>1025</v>
      </c>
      <c r="D35" s="2910"/>
      <c r="E35" s="2910"/>
      <c r="F35" s="2910"/>
      <c r="G35" s="2910"/>
      <c r="H35" s="2910"/>
      <c r="I35" s="2910"/>
      <c r="J35" s="2910"/>
      <c r="K35" s="2910"/>
      <c r="L35" s="2910"/>
      <c r="M35" s="2910"/>
      <c r="N35" s="2910"/>
      <c r="O35" s="2928"/>
      <c r="P35" s="2911"/>
      <c r="Q35" s="348"/>
      <c r="R35" s="120"/>
      <c r="S35" s="120"/>
      <c r="T35" s="126"/>
      <c r="U35" s="119"/>
      <c r="V35" s="161" t="s">
        <v>195</v>
      </c>
      <c r="W35" s="126"/>
      <c r="X35" s="126"/>
      <c r="Y35" s="126"/>
      <c r="Z35" s="126"/>
      <c r="AA35" s="203"/>
      <c r="AB35" s="203"/>
      <c r="AC35" s="203"/>
      <c r="AD35" s="203"/>
      <c r="AE35" s="163"/>
      <c r="AF35" s="119"/>
      <c r="AL35" s="119"/>
      <c r="BB35" s="119"/>
    </row>
    <row r="36" spans="1:54" s="110" customFormat="1" ht="23.25" hidden="1" customHeight="1">
      <c r="A36" s="1528"/>
      <c r="B36" s="159" t="s">
        <v>927</v>
      </c>
      <c r="C36" s="2892" t="s">
        <v>1026</v>
      </c>
      <c r="D36" s="2892"/>
      <c r="E36" s="2892"/>
      <c r="F36" s="2892"/>
      <c r="G36" s="2892"/>
      <c r="H36" s="2892"/>
      <c r="I36" s="2892"/>
      <c r="J36" s="2892"/>
      <c r="K36" s="2892"/>
      <c r="L36" s="2892"/>
      <c r="M36" s="2892"/>
      <c r="N36" s="2892"/>
      <c r="O36" s="2919"/>
      <c r="P36" s="2893"/>
      <c r="Q36" s="348"/>
      <c r="R36" s="120"/>
      <c r="S36" s="120"/>
      <c r="T36" s="126"/>
      <c r="U36" s="119"/>
      <c r="V36" s="161" t="s">
        <v>195</v>
      </c>
      <c r="W36" s="126"/>
      <c r="X36" s="126"/>
      <c r="Y36" s="126"/>
      <c r="Z36" s="126"/>
      <c r="AA36" s="203"/>
      <c r="AB36" s="203"/>
      <c r="AC36" s="203"/>
      <c r="AD36" s="203"/>
      <c r="AE36" s="163"/>
      <c r="AF36" s="119"/>
      <c r="AL36" s="119"/>
      <c r="BB36" s="119"/>
    </row>
    <row r="37" spans="1:54" s="110" customFormat="1" ht="23.25" hidden="1" customHeight="1">
      <c r="A37" s="1528"/>
      <c r="B37" s="159" t="s">
        <v>938</v>
      </c>
      <c r="C37" s="2892" t="s">
        <v>1027</v>
      </c>
      <c r="D37" s="2892"/>
      <c r="E37" s="2892"/>
      <c r="F37" s="2892"/>
      <c r="G37" s="2892"/>
      <c r="H37" s="2892"/>
      <c r="I37" s="2892"/>
      <c r="J37" s="2892"/>
      <c r="K37" s="2892"/>
      <c r="L37" s="2892"/>
      <c r="M37" s="2892"/>
      <c r="N37" s="2892"/>
      <c r="O37" s="2919"/>
      <c r="P37" s="2893"/>
      <c r="Q37" s="348"/>
      <c r="R37" s="120"/>
      <c r="S37" s="120"/>
      <c r="T37" s="126"/>
      <c r="U37" s="119"/>
      <c r="V37" s="161" t="s">
        <v>195</v>
      </c>
      <c r="W37" s="126"/>
      <c r="X37" s="126"/>
      <c r="Y37" s="126"/>
      <c r="Z37" s="126"/>
      <c r="AA37" s="302"/>
      <c r="AB37" s="302"/>
      <c r="AC37" s="302"/>
      <c r="AD37" s="302"/>
      <c r="AE37" s="178"/>
      <c r="AF37" s="119"/>
      <c r="AL37" s="119"/>
      <c r="BB37" s="119"/>
    </row>
    <row r="38" spans="1:54" s="110" customFormat="1" ht="13.5" hidden="1" customHeight="1">
      <c r="A38" s="1528"/>
      <c r="B38" s="159" t="s">
        <v>951</v>
      </c>
      <c r="C38" s="2892" t="s">
        <v>1028</v>
      </c>
      <c r="D38" s="2892"/>
      <c r="E38" s="2892"/>
      <c r="F38" s="2892"/>
      <c r="G38" s="2892"/>
      <c r="H38" s="2892"/>
      <c r="I38" s="2892"/>
      <c r="J38" s="2892"/>
      <c r="K38" s="2892"/>
      <c r="L38" s="2892"/>
      <c r="M38" s="2892"/>
      <c r="N38" s="2892"/>
      <c r="O38" s="2919"/>
      <c r="P38" s="2893"/>
      <c r="Q38" s="348"/>
      <c r="R38" s="120"/>
      <c r="S38" s="120"/>
      <c r="T38" s="126"/>
      <c r="U38" s="119"/>
      <c r="V38" s="161">
        <v>1</v>
      </c>
      <c r="W38" s="126"/>
      <c r="X38" s="126"/>
      <c r="Y38" s="126"/>
      <c r="Z38" s="126"/>
      <c r="AA38" s="302"/>
      <c r="AB38" s="302"/>
      <c r="AC38" s="302"/>
      <c r="AD38" s="302"/>
      <c r="AE38" s="178"/>
      <c r="AF38" s="119"/>
      <c r="AL38" s="119"/>
      <c r="BB38" s="119"/>
    </row>
    <row r="39" spans="1:54" s="110" customFormat="1" ht="13.5" hidden="1" customHeight="1">
      <c r="A39" s="1528"/>
      <c r="B39" s="159" t="s">
        <v>958</v>
      </c>
      <c r="C39" s="2892" t="s">
        <v>1029</v>
      </c>
      <c r="D39" s="2892"/>
      <c r="E39" s="2892"/>
      <c r="F39" s="2892"/>
      <c r="G39" s="2892"/>
      <c r="H39" s="2892"/>
      <c r="I39" s="2892"/>
      <c r="J39" s="2892"/>
      <c r="K39" s="2892"/>
      <c r="L39" s="2892"/>
      <c r="M39" s="2892"/>
      <c r="N39" s="2892"/>
      <c r="O39" s="2919"/>
      <c r="P39" s="2893"/>
      <c r="Q39" s="348"/>
      <c r="R39" s="120"/>
      <c r="S39" s="120"/>
      <c r="T39" s="126"/>
      <c r="U39" s="119"/>
      <c r="V39" s="161">
        <v>1</v>
      </c>
      <c r="W39" s="126"/>
      <c r="X39" s="126"/>
      <c r="Y39" s="126"/>
      <c r="Z39" s="126"/>
      <c r="AA39" s="302"/>
      <c r="AB39" s="302"/>
      <c r="AC39" s="302"/>
      <c r="AD39" s="302"/>
      <c r="AE39" s="178"/>
      <c r="AF39" s="119"/>
      <c r="AL39" s="119"/>
      <c r="BB39" s="119"/>
    </row>
    <row r="40" spans="1:54" s="110" customFormat="1" ht="13.5" hidden="1" customHeight="1">
      <c r="A40" s="1528"/>
      <c r="B40" s="159" t="s">
        <v>970</v>
      </c>
      <c r="C40" s="2892" t="s">
        <v>1030</v>
      </c>
      <c r="D40" s="2892"/>
      <c r="E40" s="2892"/>
      <c r="F40" s="2892"/>
      <c r="G40" s="2892"/>
      <c r="H40" s="2892"/>
      <c r="I40" s="2892"/>
      <c r="J40" s="2892"/>
      <c r="K40" s="2892"/>
      <c r="L40" s="2892"/>
      <c r="M40" s="2892"/>
      <c r="N40" s="2892"/>
      <c r="O40" s="2919"/>
      <c r="P40" s="2893"/>
      <c r="Q40" s="348"/>
      <c r="R40" s="120"/>
      <c r="S40" s="120"/>
      <c r="T40" s="126"/>
      <c r="U40" s="119"/>
      <c r="V40" s="161">
        <v>1</v>
      </c>
      <c r="W40" s="126"/>
      <c r="X40" s="126"/>
      <c r="Y40" s="126"/>
      <c r="Z40" s="126"/>
      <c r="AA40" s="302"/>
      <c r="AB40" s="302"/>
      <c r="AC40" s="302"/>
      <c r="AD40" s="302"/>
      <c r="AE40" s="178"/>
      <c r="AF40" s="119"/>
      <c r="AL40" s="119"/>
      <c r="BB40" s="119"/>
    </row>
    <row r="41" spans="1:54" s="110" customFormat="1" ht="13.5" hidden="1" customHeight="1">
      <c r="A41" s="1528"/>
      <c r="B41" s="159" t="s">
        <v>982</v>
      </c>
      <c r="C41" s="2892" t="s">
        <v>1031</v>
      </c>
      <c r="D41" s="2892"/>
      <c r="E41" s="2892"/>
      <c r="F41" s="2892"/>
      <c r="G41" s="2892"/>
      <c r="H41" s="2892"/>
      <c r="I41" s="2892"/>
      <c r="J41" s="2892"/>
      <c r="K41" s="2892"/>
      <c r="L41" s="2892"/>
      <c r="M41" s="2892"/>
      <c r="N41" s="2892"/>
      <c r="O41" s="2919"/>
      <c r="P41" s="2893"/>
      <c r="Q41" s="348"/>
      <c r="R41" s="120"/>
      <c r="S41" s="120"/>
      <c r="T41" s="118"/>
      <c r="U41" s="119"/>
      <c r="V41" s="161">
        <v>1</v>
      </c>
      <c r="W41" s="118"/>
      <c r="X41" s="118"/>
      <c r="Y41" s="118"/>
      <c r="Z41" s="118"/>
      <c r="AA41" s="280"/>
      <c r="AB41" s="280"/>
      <c r="AC41" s="280"/>
      <c r="AD41" s="280"/>
      <c r="AF41" s="119"/>
      <c r="AL41" s="119"/>
      <c r="BB41" s="119"/>
    </row>
    <row r="42" spans="1:54" s="110" customFormat="1" ht="13.5" hidden="1" customHeight="1">
      <c r="A42" s="1528"/>
      <c r="B42" s="159" t="s">
        <v>991</v>
      </c>
      <c r="C42" s="2892" t="s">
        <v>1032</v>
      </c>
      <c r="D42" s="2892"/>
      <c r="E42" s="2892"/>
      <c r="F42" s="2892"/>
      <c r="G42" s="2892"/>
      <c r="H42" s="2892"/>
      <c r="I42" s="2892"/>
      <c r="J42" s="2892"/>
      <c r="K42" s="2892"/>
      <c r="L42" s="2892"/>
      <c r="M42" s="2892"/>
      <c r="N42" s="2892"/>
      <c r="O42" s="2919"/>
      <c r="P42" s="2893"/>
      <c r="Q42" s="348"/>
      <c r="R42" s="120"/>
      <c r="S42" s="120"/>
      <c r="T42" s="118"/>
      <c r="U42" s="124"/>
      <c r="V42" s="161">
        <v>1</v>
      </c>
      <c r="W42" s="118"/>
      <c r="X42" s="118"/>
      <c r="Y42" s="118"/>
      <c r="Z42" s="118"/>
      <c r="AA42" s="280"/>
      <c r="AB42" s="280"/>
      <c r="AC42" s="280"/>
      <c r="AD42" s="280"/>
      <c r="AF42" s="124"/>
      <c r="AL42" s="124"/>
      <c r="BB42" s="124"/>
    </row>
    <row r="43" spans="1:54" s="110" customFormat="1" ht="13.5" hidden="1" customHeight="1">
      <c r="A43" s="1528"/>
      <c r="B43" s="159" t="s">
        <v>1003</v>
      </c>
      <c r="C43" s="2892" t="s">
        <v>1033</v>
      </c>
      <c r="D43" s="2892"/>
      <c r="E43" s="2892"/>
      <c r="F43" s="2892"/>
      <c r="G43" s="2892"/>
      <c r="H43" s="2892"/>
      <c r="I43" s="2892"/>
      <c r="J43" s="2892"/>
      <c r="K43" s="2892"/>
      <c r="L43" s="2892"/>
      <c r="M43" s="2892"/>
      <c r="N43" s="2892"/>
      <c r="O43" s="2919"/>
      <c r="P43" s="2893"/>
      <c r="Q43" s="348"/>
      <c r="R43" s="120"/>
      <c r="S43" s="120"/>
      <c r="T43" s="118"/>
      <c r="U43" s="124"/>
      <c r="V43" s="161">
        <v>1</v>
      </c>
      <c r="W43" s="118"/>
      <c r="X43" s="118"/>
      <c r="Y43" s="118"/>
      <c r="Z43" s="118"/>
      <c r="AA43" s="178"/>
      <c r="AB43" s="178"/>
      <c r="AC43" s="178"/>
      <c r="AD43" s="178"/>
      <c r="AE43" s="178"/>
      <c r="AF43" s="124"/>
      <c r="AL43" s="124"/>
      <c r="BB43" s="124"/>
    </row>
    <row r="44" spans="1:54" s="110" customFormat="1" hidden="1">
      <c r="A44" s="1528"/>
      <c r="B44" s="159" t="s">
        <v>1015</v>
      </c>
      <c r="C44" s="2892" t="s">
        <v>1034</v>
      </c>
      <c r="D44" s="2892"/>
      <c r="E44" s="2892"/>
      <c r="F44" s="2892"/>
      <c r="G44" s="2892"/>
      <c r="H44" s="2892"/>
      <c r="I44" s="2892"/>
      <c r="J44" s="2892"/>
      <c r="K44" s="2892"/>
      <c r="L44" s="2892"/>
      <c r="M44" s="2892"/>
      <c r="N44" s="2892"/>
      <c r="O44" s="2919"/>
      <c r="P44" s="2893"/>
      <c r="Q44" s="348"/>
      <c r="R44" s="120"/>
      <c r="S44" s="120"/>
      <c r="T44" s="118"/>
      <c r="U44" s="124"/>
      <c r="V44" s="158">
        <v>1</v>
      </c>
      <c r="W44" s="118"/>
      <c r="X44" s="118"/>
      <c r="Y44" s="118"/>
      <c r="Z44" s="118"/>
      <c r="AA44" s="280"/>
      <c r="AB44" s="280"/>
      <c r="AC44" s="280"/>
      <c r="AD44" s="280"/>
      <c r="AF44" s="124"/>
      <c r="AL44" s="124"/>
      <c r="BB44" s="124"/>
    </row>
    <row r="45" spans="1:54" s="110" customFormat="1" ht="14.25" hidden="1" customHeight="1" thickBot="1">
      <c r="A45" s="1528"/>
      <c r="B45" s="183" t="s">
        <v>1022</v>
      </c>
      <c r="C45" s="2912" t="s">
        <v>1035</v>
      </c>
      <c r="D45" s="2912"/>
      <c r="E45" s="2912"/>
      <c r="F45" s="2912"/>
      <c r="G45" s="2912"/>
      <c r="H45" s="2912"/>
      <c r="I45" s="2912"/>
      <c r="J45" s="2912"/>
      <c r="K45" s="2912"/>
      <c r="L45" s="2912"/>
      <c r="M45" s="2912"/>
      <c r="N45" s="2912"/>
      <c r="O45" s="2922"/>
      <c r="P45" s="2913"/>
      <c r="Q45" s="348"/>
      <c r="R45" s="120"/>
      <c r="S45" s="120"/>
      <c r="U45" s="124"/>
      <c r="V45" s="158">
        <v>1</v>
      </c>
      <c r="AF45" s="124"/>
      <c r="AL45" s="124"/>
      <c r="BB45" s="124"/>
    </row>
    <row r="46" spans="1:54" hidden="1">
      <c r="A46" s="1532"/>
      <c r="C46" s="177"/>
      <c r="D46" s="177"/>
      <c r="T46" s="110"/>
      <c r="U46" s="124"/>
      <c r="V46" s="158"/>
      <c r="W46" s="110"/>
      <c r="X46" s="110"/>
      <c r="Y46" s="110"/>
      <c r="Z46" s="110"/>
      <c r="AA46" s="110"/>
      <c r="AB46" s="110"/>
      <c r="AC46" s="110"/>
      <c r="AD46" s="110"/>
      <c r="AE46" s="110"/>
      <c r="AF46" s="124"/>
      <c r="AL46" s="124"/>
      <c r="BB46" s="124"/>
    </row>
  </sheetData>
  <sheetProtection algorithmName="SHA-512" hashValue="VJsK/jRYe4pMHGOkvfkiJmtiUaHUR9SDXmnz78yuXEuAOXjiXELnUDP0icltWJD16fY1tCxQSDOHb6u5CNnvbg==" saltValue="fp7RxWSp+q+N5ZsDi42ZCw==" spinCount="100000" sheet="1" objects="1" scenarios="1"/>
  <mergeCells count="32">
    <mergeCell ref="C42:P42"/>
    <mergeCell ref="C43:P43"/>
    <mergeCell ref="C44:P44"/>
    <mergeCell ref="C45:P45"/>
    <mergeCell ref="B22:C22"/>
    <mergeCell ref="C35:P35"/>
    <mergeCell ref="C36:P36"/>
    <mergeCell ref="C37:P37"/>
    <mergeCell ref="C40:P40"/>
    <mergeCell ref="C41:P41"/>
    <mergeCell ref="C38:P38"/>
    <mergeCell ref="C39:P39"/>
    <mergeCell ref="AP3:AR4"/>
    <mergeCell ref="AS3:AU4"/>
    <mergeCell ref="AV3:AX4"/>
    <mergeCell ref="B3:C4"/>
    <mergeCell ref="E3:E4"/>
    <mergeCell ref="F3:F4"/>
    <mergeCell ref="G3:H3"/>
    <mergeCell ref="P3:P4"/>
    <mergeCell ref="R3:R4"/>
    <mergeCell ref="S3:S4"/>
    <mergeCell ref="V3:AE4"/>
    <mergeCell ref="AG3:AG4"/>
    <mergeCell ref="AM3:AO4"/>
    <mergeCell ref="I3:O3"/>
    <mergeCell ref="BU3:BU4"/>
    <mergeCell ref="BG3:BH4"/>
    <mergeCell ref="BJ3:BJ4"/>
    <mergeCell ref="BK3:BK4"/>
    <mergeCell ref="BL3:BM3"/>
    <mergeCell ref="BN3:BT3"/>
  </mergeCells>
  <conditionalFormatting sqref="R5 S15:S16 S20 R11:S11 S9:S10 S6 R7:S8">
    <cfRule type="cellIs" dxfId="508" priority="30" operator="equal">
      <formula>0</formula>
    </cfRule>
  </conditionalFormatting>
  <conditionalFormatting sqref="R9">
    <cfRule type="cellIs" dxfId="507" priority="26" operator="equal">
      <formula>0</formula>
    </cfRule>
  </conditionalFormatting>
  <conditionalFormatting sqref="R6">
    <cfRule type="cellIs" dxfId="506" priority="23" operator="equal">
      <formula>0</formula>
    </cfRule>
  </conditionalFormatting>
  <conditionalFormatting sqref="O6:O12 O15:O16 O18">
    <cfRule type="expression" dxfId="505" priority="1">
      <formula>$P$1&lt;&gt;"Thames Water"</formula>
    </cfRule>
  </conditionalFormatting>
  <printOptions horizontalCentered="1"/>
  <pageMargins left="0.39370078740157483" right="0.39370078740157483" top="0.78740157480314965" bottom="0.78740157480314965" header="0.31496062992125984" footer="0.31496062992125984"/>
  <pageSetup paperSize="9" scale="52" orientation="landscape" r:id="rId1"/>
  <headerFooter>
    <oddHeader>&amp;L&amp;9&amp;K857362Page &amp;P of &amp;N&amp;C&amp;9 &amp;K8573622019-20 annual performance report tables&amp;R&amp;G</oddHeader>
    <oddFooter>&amp;L&amp;9&amp;K857362&amp;A&amp;R&amp;9&amp;K857362Printed: &amp;D &amp;T</oddFooter>
  </headerFooter>
  <ignoredErrors>
    <ignoredError sqref="O12 O18" unlockedFormula="1"/>
  </ignoredErrors>
  <legacyDrawingHF r:id="rId2"/>
  <extLst>
    <ext xmlns:x14="http://schemas.microsoft.com/office/spreadsheetml/2009/9/main" uri="{78C0D931-6437-407d-A8EE-F0AAD7539E65}">
      <x14:conditionalFormattings>
        <x14:conditionalFormatting xmlns:xm="http://schemas.microsoft.com/office/excel/2006/main">
          <x14:cfRule type="expression" priority="25" id="{1B8B9C76-50E9-4AEF-93AB-778E91ED2BD9}">
            <xm:f>Validation!$H$3=1</xm:f>
            <x14:dxf>
              <fill>
                <patternFill>
                  <bgColor rgb="FFE0DCD8"/>
                </patternFill>
              </fill>
            </x14:dxf>
          </x14:cfRule>
          <xm:sqref>L6</xm:sqref>
        </x14:conditionalFormatting>
        <x14:conditionalFormatting xmlns:xm="http://schemas.microsoft.com/office/excel/2006/main">
          <x14:cfRule type="expression" priority="24" id="{6904E0D7-9B3E-41DF-90CE-7925EE91B07E}">
            <xm:f>Validation!$H$3=1</xm:f>
            <x14:dxf>
              <fill>
                <patternFill>
                  <bgColor rgb="FFE0DCD8"/>
                </patternFill>
              </fill>
            </x14:dxf>
          </x14:cfRule>
          <xm:sqref>N6:N12 L7:L11 M8:M11 L15:N16 N18</xm:sqref>
        </x14:conditionalFormatting>
        <x14:conditionalFormatting xmlns:xm="http://schemas.microsoft.com/office/excel/2006/main">
          <x14:cfRule type="expression" priority="14" id="{45B37148-DE23-4035-ACBF-B4CB2E1053A2}">
            <xm:f>Validation!$H$3=1</xm:f>
            <x14:dxf>
              <fill>
                <patternFill>
                  <bgColor rgb="FFE0DCD8"/>
                </patternFill>
              </fill>
            </x14:dxf>
          </x14:cfRule>
          <xm:sqref>BQ6</xm:sqref>
        </x14:conditionalFormatting>
        <x14:conditionalFormatting xmlns:xm="http://schemas.microsoft.com/office/excel/2006/main">
          <x14:cfRule type="expression" priority="13" id="{F4E1E0FE-06B4-47CE-B758-A8E4BDB1BB6F}">
            <xm:f>Validation!$H$3=1</xm:f>
            <x14:dxf>
              <fill>
                <patternFill>
                  <bgColor rgb="FFE0DCD8"/>
                </patternFill>
              </fill>
            </x14:dxf>
          </x14:cfRule>
          <xm:sqref>BS6:BS10 BQ7:BQ8 BR8 BQ15:BS16 BS18 BQ10:BR11 BS12</xm:sqref>
        </x14:conditionalFormatting>
        <x14:conditionalFormatting xmlns:xm="http://schemas.microsoft.com/office/excel/2006/main">
          <x14:cfRule type="expression" priority="12" id="{480D4BF2-2D17-4D35-B04C-033EC3B9E660}">
            <xm:f>Validation!$H$3=1</xm:f>
            <x14:dxf>
              <fill>
                <patternFill>
                  <bgColor rgb="FFE0DCD8"/>
                </patternFill>
              </fill>
            </x14:dxf>
          </x14:cfRule>
          <xm:sqref>BQ9:BR9</xm:sqref>
        </x14:conditionalFormatting>
        <x14:conditionalFormatting xmlns:xm="http://schemas.microsoft.com/office/excel/2006/main">
          <x14:cfRule type="expression" priority="11" id="{4636C007-DACE-4F0C-B322-B2524CC962C0}">
            <xm:f>Validation!$H$3=1</xm:f>
            <x14:dxf>
              <fill>
                <patternFill>
                  <bgColor rgb="FFE0DCD8"/>
                </patternFill>
              </fill>
            </x14:dxf>
          </x14:cfRule>
          <xm:sqref>BT6:BT12 BT15:BT16 BT18</xm:sqref>
        </x14:conditionalFormatting>
        <x14:conditionalFormatting xmlns:xm="http://schemas.microsoft.com/office/excel/2006/main">
          <x14:cfRule type="expression" priority="10" id="{BEEFB7F5-B07B-4922-AF41-F4E2347AD7EB}">
            <xm:f>Validation!$H$3=1</xm:f>
            <x14:dxf>
              <fill>
                <patternFill>
                  <bgColor rgb="FFE0DCD8"/>
                </patternFill>
              </fill>
            </x14:dxf>
          </x14:cfRule>
          <xm:sqref>BS11</xm:sqref>
        </x14:conditionalFormatting>
        <x14:conditionalFormatting xmlns:xm="http://schemas.microsoft.com/office/excel/2006/main">
          <x14:cfRule type="expression" priority="3" id="{6C46E87B-FE5B-4277-8427-066A31956255}">
            <xm:f>Validation!$H$3=1</xm:f>
            <x14:dxf>
              <fill>
                <patternFill>
                  <bgColor rgb="FFE0DCD8"/>
                </patternFill>
              </fill>
            </x14:dxf>
          </x14:cfRule>
          <xm:sqref>O18</xm:sqref>
        </x14:conditionalFormatting>
        <x14:conditionalFormatting xmlns:xm="http://schemas.microsoft.com/office/excel/2006/main">
          <x14:cfRule type="expression" priority="2" id="{DDE0EA24-BA33-4199-9555-5843A86121B0}">
            <xm:f>Validation!$H$3=1</xm:f>
            <x14:dxf>
              <fill>
                <patternFill>
                  <bgColor rgb="FFE0DCD8"/>
                </patternFill>
              </fill>
            </x14:dxf>
          </x14:cfRule>
          <xm:sqref>O6:O12 O15:O16 O18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92D050"/>
    <pageSetUpPr fitToPage="1"/>
  </sheetPr>
  <dimension ref="A1:BL79"/>
  <sheetViews>
    <sheetView topLeftCell="A7" workbookViewId="0">
      <selection activeCell="B1" sqref="B1:L39"/>
    </sheetView>
  </sheetViews>
  <sheetFormatPr defaultColWidth="0" defaultRowHeight="14" zeroHeight="1"/>
  <cols>
    <col min="1" max="1" width="0.58203125" style="82" customWidth="1"/>
    <col min="2" max="2" width="6.08203125" style="82" customWidth="1"/>
    <col min="3" max="3" width="58.08203125" style="82" bestFit="1" customWidth="1"/>
    <col min="4" max="4" width="5.58203125" style="82" hidden="1" customWidth="1"/>
    <col min="5" max="6" width="5.08203125" style="82" customWidth="1"/>
    <col min="7" max="12" width="12.58203125" style="162" customWidth="1"/>
    <col min="13" max="13" width="2.58203125" style="162" customWidth="1"/>
    <col min="14" max="14" width="35.75" style="74" customWidth="1"/>
    <col min="15" max="15" width="24.58203125" style="74" customWidth="1"/>
    <col min="16" max="16" width="1.58203125" style="70" customWidth="1"/>
    <col min="17" max="17" width="1.58203125" style="71" hidden="1" customWidth="1"/>
    <col min="18" max="21" width="5.08203125" style="70" hidden="1" customWidth="1"/>
    <col min="22" max="22" width="1.58203125" style="71" hidden="1" customWidth="1"/>
    <col min="23" max="23" width="8" style="74" hidden="1" customWidth="1"/>
    <col min="24" max="24" width="1.58203125" style="71" hidden="1" customWidth="1"/>
    <col min="25" max="28" width="6.58203125" style="74" hidden="1" customWidth="1"/>
    <col min="29" max="29" width="66.58203125" style="74" hidden="1" customWidth="1"/>
    <col min="30" max="30" width="1.58203125" style="71" hidden="1" customWidth="1"/>
    <col min="31" max="51" width="8.58203125" style="82" hidden="1" customWidth="1"/>
    <col min="52" max="52" width="9" style="82" customWidth="1"/>
    <col min="53" max="53" width="6.08203125" style="82" customWidth="1"/>
    <col min="54" max="54" width="58.08203125" style="82" bestFit="1" customWidth="1"/>
    <col min="55" max="55" width="5.58203125" style="82" hidden="1" customWidth="1"/>
    <col min="56" max="57" width="5.08203125" style="82" customWidth="1"/>
    <col min="58" max="63" width="12.58203125" style="162" customWidth="1"/>
    <col min="64" max="64" width="2.58203125" style="82" customWidth="1"/>
    <col min="65" max="16384" width="9" style="82" hidden="1"/>
  </cols>
  <sheetData>
    <row r="1" spans="2:63" s="70" customFormat="1" ht="20">
      <c r="B1" s="66" t="s">
        <v>1036</v>
      </c>
      <c r="C1" s="66"/>
      <c r="D1" s="66"/>
      <c r="E1" s="66"/>
      <c r="F1" s="66"/>
      <c r="G1" s="66"/>
      <c r="H1" s="66"/>
      <c r="I1" s="66"/>
      <c r="J1" s="66"/>
      <c r="K1" s="66"/>
      <c r="L1" s="68" t="str">
        <f>Validation!B3</f>
        <v>Bristol Water</v>
      </c>
      <c r="M1" s="66"/>
      <c r="N1" s="69"/>
      <c r="O1" s="69" t="s">
        <v>32</v>
      </c>
      <c r="Q1" s="71"/>
      <c r="V1" s="71"/>
      <c r="X1" s="71"/>
      <c r="AD1" s="71"/>
      <c r="BA1" s="66" t="s">
        <v>33</v>
      </c>
      <c r="BB1" s="66"/>
      <c r="BC1" s="66"/>
      <c r="BD1" s="66"/>
      <c r="BE1" s="66"/>
      <c r="BF1" s="66"/>
      <c r="BG1" s="66"/>
      <c r="BH1" s="66"/>
      <c r="BI1" s="66"/>
      <c r="BJ1" s="66"/>
      <c r="BK1" s="68"/>
    </row>
    <row r="2" spans="2:63" s="2" customFormat="1" ht="15.75" customHeight="1" thickBot="1">
      <c r="B2" s="73" t="str">
        <f>'2A'!B2</f>
        <v>For the 12 months ended 31 March 2020</v>
      </c>
      <c r="C2" s="383"/>
      <c r="D2" s="383"/>
      <c r="E2" s="74"/>
      <c r="F2" s="74"/>
      <c r="G2" s="74"/>
      <c r="H2" s="74"/>
      <c r="I2" s="74"/>
      <c r="J2" s="74"/>
      <c r="K2" s="74"/>
      <c r="L2" s="74"/>
      <c r="M2" s="74"/>
      <c r="N2" s="70"/>
      <c r="O2" s="70"/>
      <c r="P2" s="70"/>
      <c r="Q2" s="71"/>
      <c r="R2" s="70"/>
      <c r="S2" s="70"/>
      <c r="T2" s="70"/>
      <c r="U2" s="70"/>
      <c r="V2" s="71"/>
      <c r="W2" s="70"/>
      <c r="X2" s="71"/>
      <c r="Y2" s="70"/>
      <c r="Z2" s="70"/>
      <c r="AA2" s="70"/>
      <c r="AB2" s="70"/>
      <c r="AC2" s="70"/>
      <c r="AD2" s="71"/>
      <c r="BA2" s="73" t="str">
        <f>+B2</f>
        <v>For the 12 months ended 31 March 2020</v>
      </c>
      <c r="BB2" s="383"/>
      <c r="BC2" s="383"/>
      <c r="BD2" s="74"/>
      <c r="BE2" s="74"/>
      <c r="BF2" s="74"/>
      <c r="BG2" s="74"/>
      <c r="BH2" s="74"/>
      <c r="BI2" s="74"/>
      <c r="BJ2" s="74"/>
      <c r="BK2" s="74"/>
    </row>
    <row r="3" spans="2:63" s="606" customFormat="1" ht="29.25" customHeight="1" thickBot="1">
      <c r="B3" s="2959" t="s">
        <v>34</v>
      </c>
      <c r="C3" s="2960"/>
      <c r="D3" s="2835" t="s">
        <v>35</v>
      </c>
      <c r="E3" s="307" t="s">
        <v>36</v>
      </c>
      <c r="F3" s="297" t="s">
        <v>37</v>
      </c>
      <c r="G3" s="296" t="s">
        <v>1037</v>
      </c>
      <c r="H3" s="297" t="s">
        <v>906</v>
      </c>
      <c r="I3" s="602" t="s">
        <v>1038</v>
      </c>
      <c r="J3" s="1846" t="s">
        <v>909</v>
      </c>
      <c r="K3" s="297" t="s">
        <v>911</v>
      </c>
      <c r="L3" s="350" t="s">
        <v>708</v>
      </c>
      <c r="M3" s="603"/>
      <c r="N3" s="2824" t="s">
        <v>703</v>
      </c>
      <c r="O3" s="2824" t="s">
        <v>41</v>
      </c>
      <c r="P3" s="604"/>
      <c r="Q3" s="605"/>
      <c r="R3" s="2909" t="s">
        <v>45</v>
      </c>
      <c r="S3" s="2909"/>
      <c r="T3" s="2909"/>
      <c r="U3" s="2909"/>
      <c r="V3" s="605"/>
      <c r="W3" s="2909" t="s">
        <v>24</v>
      </c>
      <c r="X3" s="71"/>
      <c r="Y3" s="2956" t="s">
        <v>902</v>
      </c>
      <c r="Z3" s="2956"/>
      <c r="AA3" s="2956"/>
      <c r="AB3" s="2956"/>
      <c r="AC3" s="2956"/>
      <c r="AD3" s="71"/>
      <c r="BA3" s="2959" t="s">
        <v>34</v>
      </c>
      <c r="BB3" s="2960"/>
      <c r="BC3" s="2835" t="s">
        <v>35</v>
      </c>
      <c r="BD3" s="307" t="s">
        <v>36</v>
      </c>
      <c r="BE3" s="297" t="s">
        <v>37</v>
      </c>
      <c r="BF3" s="296" t="s">
        <v>1037</v>
      </c>
      <c r="BG3" s="297" t="s">
        <v>906</v>
      </c>
      <c r="BH3" s="602" t="s">
        <v>1038</v>
      </c>
      <c r="BI3" s="297" t="s">
        <v>909</v>
      </c>
      <c r="BJ3" s="1822" t="s">
        <v>911</v>
      </c>
      <c r="BK3" s="350" t="s">
        <v>708</v>
      </c>
    </row>
    <row r="4" spans="2:63" s="2" customFormat="1" ht="14.5" thickBot="1">
      <c r="B4" s="74"/>
      <c r="C4" s="330"/>
      <c r="D4" s="330"/>
      <c r="E4" s="74"/>
      <c r="F4" s="74"/>
      <c r="G4" s="74"/>
      <c r="H4" s="74"/>
      <c r="I4" s="74"/>
      <c r="J4" s="74"/>
      <c r="K4" s="74"/>
      <c r="L4" s="74"/>
      <c r="M4" s="74"/>
      <c r="N4" s="74"/>
      <c r="O4" s="74"/>
      <c r="P4" s="79"/>
      <c r="Q4" s="71"/>
      <c r="R4" s="2909"/>
      <c r="S4" s="2909"/>
      <c r="T4" s="2909"/>
      <c r="U4" s="2909"/>
      <c r="V4" s="71"/>
      <c r="W4" s="2909"/>
      <c r="X4" s="71"/>
      <c r="Y4" s="2956"/>
      <c r="Z4" s="2956"/>
      <c r="AA4" s="2956"/>
      <c r="AB4" s="2956"/>
      <c r="AC4" s="2956"/>
      <c r="AD4" s="71"/>
      <c r="BA4" s="74"/>
      <c r="BB4" s="330"/>
      <c r="BC4" s="330"/>
      <c r="BD4" s="74"/>
      <c r="BE4" s="74"/>
      <c r="BF4" s="74"/>
      <c r="BG4" s="74"/>
      <c r="BH4" s="74"/>
      <c r="BI4" s="74"/>
      <c r="BJ4" s="74"/>
      <c r="BK4" s="74"/>
    </row>
    <row r="5" spans="2:63" s="2" customFormat="1" ht="14.5" thickBot="1">
      <c r="B5" s="2851" t="s">
        <v>153</v>
      </c>
      <c r="C5" s="298" t="s">
        <v>939</v>
      </c>
      <c r="D5" s="1476"/>
      <c r="E5" s="262"/>
      <c r="F5" s="262"/>
      <c r="G5" s="262"/>
      <c r="H5" s="262"/>
      <c r="I5" s="262"/>
      <c r="J5" s="262"/>
      <c r="K5" s="262"/>
      <c r="L5" s="262"/>
      <c r="M5" s="74"/>
      <c r="N5" s="130"/>
      <c r="O5" s="130"/>
      <c r="P5" s="70"/>
      <c r="Q5" s="71"/>
      <c r="R5" s="85" t="s">
        <v>46</v>
      </c>
      <c r="S5" s="85"/>
      <c r="T5" s="85"/>
      <c r="U5" s="70"/>
      <c r="V5" s="71"/>
      <c r="W5" s="74"/>
      <c r="X5" s="71"/>
      <c r="Y5" s="74"/>
      <c r="Z5" s="74"/>
      <c r="AA5" s="74"/>
      <c r="AB5" s="74"/>
      <c r="AC5" s="74"/>
      <c r="AD5" s="71"/>
      <c r="BA5" s="2851" t="s">
        <v>153</v>
      </c>
      <c r="BB5" s="298" t="s">
        <v>939</v>
      </c>
      <c r="BC5" s="1476"/>
      <c r="BD5" s="262"/>
      <c r="BE5" s="262"/>
      <c r="BF5" s="262"/>
      <c r="BG5" s="262"/>
      <c r="BH5" s="262"/>
      <c r="BI5" s="262"/>
      <c r="BJ5" s="262"/>
      <c r="BK5" s="262"/>
    </row>
    <row r="6" spans="2:63" s="2" customFormat="1">
      <c r="B6" s="288" t="s">
        <v>1039</v>
      </c>
      <c r="C6" s="273" t="s">
        <v>1040</v>
      </c>
      <c r="D6" s="273"/>
      <c r="E6" s="300" t="s">
        <v>49</v>
      </c>
      <c r="F6" s="275">
        <v>3</v>
      </c>
      <c r="G6" s="732">
        <f xml:space="preserve"> SUM( '4D'!G7:H7 )</f>
        <v>1.6850000000000001</v>
      </c>
      <c r="H6" s="733">
        <f xml:space="preserve"> SUM( '4D'!I7:L7 )</f>
        <v>6.7789999999999999</v>
      </c>
      <c r="I6" s="732">
        <f xml:space="preserve"> SUM( '4E'!G7:K7 )</f>
        <v>0</v>
      </c>
      <c r="J6" s="1847">
        <f xml:space="preserve"> SUM( '4E'!L7:N7 )</f>
        <v>0</v>
      </c>
      <c r="K6" s="1861"/>
      <c r="L6" s="379">
        <f xml:space="preserve"> SUM( G6:K6 )</f>
        <v>8.4640000000000004</v>
      </c>
      <c r="M6" s="74"/>
      <c r="N6" s="130"/>
      <c r="O6" s="24">
        <f xml:space="preserve"> IF( SUM( Q6:V6 ) = 0, 0, $R$5 )</f>
        <v>0</v>
      </c>
      <c r="P6" s="70"/>
      <c r="Q6" s="71"/>
      <c r="R6" s="127"/>
      <c r="S6" s="127"/>
      <c r="T6" s="127"/>
      <c r="U6" s="93">
        <f>IF( Validation!$H$3=1, 0, IF(Validation!$B$3 &lt;&gt; "Thames Water", 0, (IF(ISNUMBER(K6), 0, 1))))</f>
        <v>0</v>
      </c>
      <c r="V6" s="71"/>
      <c r="W6" s="127"/>
      <c r="X6" s="71"/>
      <c r="Y6" s="223"/>
      <c r="Z6" s="223"/>
      <c r="AA6" s="223"/>
      <c r="AB6" s="223"/>
      <c r="AC6" s="2961"/>
      <c r="AD6" s="71"/>
      <c r="BA6" s="288" t="s">
        <v>1039</v>
      </c>
      <c r="BB6" s="273" t="s">
        <v>1040</v>
      </c>
      <c r="BC6" s="273"/>
      <c r="BD6" s="300" t="s">
        <v>49</v>
      </c>
      <c r="BE6" s="275">
        <v>3</v>
      </c>
      <c r="BF6" s="732" t="s">
        <v>1041</v>
      </c>
      <c r="BG6" s="733" t="s">
        <v>1042</v>
      </c>
      <c r="BH6" s="732" t="s">
        <v>1043</v>
      </c>
      <c r="BI6" s="733" t="s">
        <v>1044</v>
      </c>
      <c r="BJ6" s="1826" t="s">
        <v>1045</v>
      </c>
      <c r="BK6" s="379" t="s">
        <v>1046</v>
      </c>
    </row>
    <row r="7" spans="2:63" s="2" customFormat="1">
      <c r="B7" s="289" t="s">
        <v>1047</v>
      </c>
      <c r="C7" s="277" t="s">
        <v>1048</v>
      </c>
      <c r="D7" s="277"/>
      <c r="E7" s="301" t="s">
        <v>49</v>
      </c>
      <c r="F7" s="279">
        <v>3</v>
      </c>
      <c r="G7" s="734">
        <f xml:space="preserve"> SUM( '4D'!G8:H8 )</f>
        <v>0</v>
      </c>
      <c r="H7" s="735">
        <f xml:space="preserve"> SUM( '4D'!I8:L8 )</f>
        <v>0</v>
      </c>
      <c r="I7" s="734">
        <f xml:space="preserve"> SUM( '4E'!G8:K8 )</f>
        <v>0</v>
      </c>
      <c r="J7" s="1848">
        <f xml:space="preserve"> SUM( '4E'!L8:N8 )</f>
        <v>0</v>
      </c>
      <c r="K7" s="1862"/>
      <c r="L7" s="380">
        <f t="shared" ref="L7:L13" si="0" xml:space="preserve"> SUM( G7:K7 )</f>
        <v>0</v>
      </c>
      <c r="M7" s="74"/>
      <c r="N7" s="130"/>
      <c r="O7" s="24">
        <f t="shared" ref="O7:O13" si="1" xml:space="preserve"> IF( SUM( Q7:V7 ) = 0, 0, $R$5 )</f>
        <v>0</v>
      </c>
      <c r="P7" s="70"/>
      <c r="Q7" s="71"/>
      <c r="R7" s="127"/>
      <c r="S7" s="127"/>
      <c r="T7" s="127"/>
      <c r="U7" s="93">
        <f>IF( Validation!$H$3=1, 0, IF(Validation!$B$3 &lt;&gt; "Thames Water", 0, (IF(ISNUMBER(K7), 0, 1))))</f>
        <v>0</v>
      </c>
      <c r="V7" s="71"/>
      <c r="W7" s="74"/>
      <c r="X7" s="71"/>
      <c r="Y7" s="74"/>
      <c r="Z7" s="74"/>
      <c r="AA7" s="74"/>
      <c r="AB7" s="74"/>
      <c r="AC7" s="2961"/>
      <c r="AD7" s="71"/>
      <c r="BA7" s="289" t="s">
        <v>1047</v>
      </c>
      <c r="BB7" s="277" t="s">
        <v>1048</v>
      </c>
      <c r="BC7" s="277"/>
      <c r="BD7" s="301" t="s">
        <v>49</v>
      </c>
      <c r="BE7" s="279">
        <v>3</v>
      </c>
      <c r="BF7" s="734" t="s">
        <v>1049</v>
      </c>
      <c r="BG7" s="735" t="s">
        <v>1050</v>
      </c>
      <c r="BH7" s="734" t="s">
        <v>1051</v>
      </c>
      <c r="BI7" s="735" t="s">
        <v>1052</v>
      </c>
      <c r="BJ7" s="1827" t="s">
        <v>1053</v>
      </c>
      <c r="BK7" s="380" t="s">
        <v>1054</v>
      </c>
    </row>
    <row r="8" spans="2:63" s="2" customFormat="1">
      <c r="B8" s="289" t="s">
        <v>1055</v>
      </c>
      <c r="C8" s="277" t="s">
        <v>1056</v>
      </c>
      <c r="D8" s="277"/>
      <c r="E8" s="301" t="s">
        <v>49</v>
      </c>
      <c r="F8" s="279">
        <v>3</v>
      </c>
      <c r="G8" s="734">
        <f xml:space="preserve"> SUM( '4D'!G9:H9 )</f>
        <v>2.72</v>
      </c>
      <c r="H8" s="735">
        <f xml:space="preserve"> SUM( '4D'!I9:L9 )</f>
        <v>0.10100000000000001</v>
      </c>
      <c r="I8" s="734">
        <f xml:space="preserve"> SUM( '4E'!G9:K9 )</f>
        <v>0</v>
      </c>
      <c r="J8" s="1848">
        <f xml:space="preserve"> SUM( '4E'!L9:N9 )</f>
        <v>0</v>
      </c>
      <c r="K8" s="1862"/>
      <c r="L8" s="380">
        <f t="shared" si="0"/>
        <v>2.8210000000000002</v>
      </c>
      <c r="M8" s="92"/>
      <c r="N8" s="130"/>
      <c r="O8" s="24">
        <f t="shared" si="1"/>
        <v>0</v>
      </c>
      <c r="P8" s="70"/>
      <c r="Q8" s="71"/>
      <c r="R8" s="127"/>
      <c r="S8" s="127"/>
      <c r="T8" s="127"/>
      <c r="U8" s="93">
        <f>IF( Validation!$H$3=1, 0, IF(Validation!$B$3 &lt;&gt; "Thames Water", 0, (IF(ISNUMBER(K8), 0, 1))))</f>
        <v>0</v>
      </c>
      <c r="V8" s="71"/>
      <c r="W8" s="127"/>
      <c r="X8" s="71"/>
      <c r="Y8" s="223"/>
      <c r="Z8" s="223"/>
      <c r="AA8" s="223"/>
      <c r="AB8" s="223"/>
      <c r="AC8" s="2836"/>
      <c r="AD8" s="71"/>
      <c r="BA8" s="289" t="s">
        <v>1055</v>
      </c>
      <c r="BB8" s="277" t="s">
        <v>1056</v>
      </c>
      <c r="BC8" s="277"/>
      <c r="BD8" s="301" t="s">
        <v>49</v>
      </c>
      <c r="BE8" s="279">
        <v>3</v>
      </c>
      <c r="BF8" s="734" t="s">
        <v>1057</v>
      </c>
      <c r="BG8" s="735" t="s">
        <v>1058</v>
      </c>
      <c r="BH8" s="734" t="s">
        <v>1059</v>
      </c>
      <c r="BI8" s="735" t="s">
        <v>1060</v>
      </c>
      <c r="BJ8" s="1827" t="s">
        <v>1061</v>
      </c>
      <c r="BK8" s="380" t="s">
        <v>1062</v>
      </c>
    </row>
    <row r="9" spans="2:63" s="2" customFormat="1" ht="14.25" customHeight="1">
      <c r="B9" s="289" t="s">
        <v>1063</v>
      </c>
      <c r="C9" s="277" t="s">
        <v>1064</v>
      </c>
      <c r="D9" s="277"/>
      <c r="E9" s="301" t="s">
        <v>49</v>
      </c>
      <c r="F9" s="279">
        <v>3</v>
      </c>
      <c r="G9" s="734">
        <f xml:space="preserve"> SUM( '4D'!G10:H10 )</f>
        <v>1.6E-2</v>
      </c>
      <c r="H9" s="735">
        <f xml:space="preserve"> SUM( '4D'!I10:L10 )</f>
        <v>0.114</v>
      </c>
      <c r="I9" s="734">
        <f xml:space="preserve"> SUM( '4E'!G10:K10 )</f>
        <v>0</v>
      </c>
      <c r="J9" s="1848">
        <f xml:space="preserve"> SUM( '4E'!L10:N10 )</f>
        <v>0</v>
      </c>
      <c r="K9" s="1862"/>
      <c r="L9" s="380">
        <f t="shared" si="0"/>
        <v>0.13</v>
      </c>
      <c r="M9" s="92"/>
      <c r="N9" s="130"/>
      <c r="O9" s="24">
        <f t="shared" si="1"/>
        <v>0</v>
      </c>
      <c r="P9" s="70"/>
      <c r="Q9" s="71"/>
      <c r="R9" s="127"/>
      <c r="S9" s="127"/>
      <c r="T9" s="127"/>
      <c r="U9" s="93">
        <f>IF( Validation!$H$3=1, 0, IF(Validation!$B$3 &lt;&gt; "Thames Water", 0, (IF(ISNUMBER(K9), 0, 1))))</f>
        <v>0</v>
      </c>
      <c r="V9" s="71"/>
      <c r="W9" s="127"/>
      <c r="X9" s="71"/>
      <c r="Y9" s="223"/>
      <c r="Z9" s="223"/>
      <c r="AA9" s="223"/>
      <c r="AB9" s="223"/>
      <c r="AC9" s="2836"/>
      <c r="AD9" s="71"/>
      <c r="BA9" s="289" t="s">
        <v>1063</v>
      </c>
      <c r="BB9" s="277" t="s">
        <v>1064</v>
      </c>
      <c r="BC9" s="277"/>
      <c r="BD9" s="301" t="s">
        <v>49</v>
      </c>
      <c r="BE9" s="279">
        <v>3</v>
      </c>
      <c r="BF9" s="734" t="s">
        <v>1065</v>
      </c>
      <c r="BG9" s="735" t="s">
        <v>1066</v>
      </c>
      <c r="BH9" s="734" t="s">
        <v>1067</v>
      </c>
      <c r="BI9" s="735" t="s">
        <v>1068</v>
      </c>
      <c r="BJ9" s="1827" t="s">
        <v>1069</v>
      </c>
      <c r="BK9" s="380" t="s">
        <v>1070</v>
      </c>
    </row>
    <row r="10" spans="2:63" s="2" customFormat="1">
      <c r="B10" s="289" t="s">
        <v>1071</v>
      </c>
      <c r="C10" s="277" t="s">
        <v>1072</v>
      </c>
      <c r="D10" s="277"/>
      <c r="E10" s="301" t="s">
        <v>49</v>
      </c>
      <c r="F10" s="279">
        <v>3</v>
      </c>
      <c r="G10" s="734">
        <f xml:space="preserve"> SUM( '4D'!G11:H11 )</f>
        <v>0.11799999999999999</v>
      </c>
      <c r="H10" s="735">
        <f xml:space="preserve"> SUM( '4D'!I11:L11 )</f>
        <v>1.766</v>
      </c>
      <c r="I10" s="734">
        <f xml:space="preserve"> SUM( '4E'!G11:K11 )</f>
        <v>0</v>
      </c>
      <c r="J10" s="1848">
        <f xml:space="preserve"> SUM( '4E'!L11:N11 )</f>
        <v>0</v>
      </c>
      <c r="K10" s="1862"/>
      <c r="L10" s="380">
        <f t="shared" si="0"/>
        <v>1.8839999999999999</v>
      </c>
      <c r="M10" s="92"/>
      <c r="N10" s="130"/>
      <c r="O10" s="24">
        <f t="shared" si="1"/>
        <v>0</v>
      </c>
      <c r="P10" s="70"/>
      <c r="Q10" s="71"/>
      <c r="R10" s="127"/>
      <c r="S10" s="127"/>
      <c r="T10" s="127"/>
      <c r="U10" s="93">
        <f>IF( Validation!$H$3=1, 0, IF(Validation!$B$3 &lt;&gt; "Thames Water", 0, (IF(ISNUMBER(K10), 0, 1))))</f>
        <v>0</v>
      </c>
      <c r="V10" s="71"/>
      <c r="W10" s="127"/>
      <c r="X10" s="71"/>
      <c r="Y10" s="165"/>
      <c r="Z10" s="165"/>
      <c r="AA10" s="165"/>
      <c r="AB10" s="165"/>
      <c r="AC10" s="2836"/>
      <c r="AD10" s="71"/>
      <c r="BA10" s="289" t="s">
        <v>1071</v>
      </c>
      <c r="BB10" s="277" t="s">
        <v>1072</v>
      </c>
      <c r="BC10" s="277"/>
      <c r="BD10" s="301" t="s">
        <v>49</v>
      </c>
      <c r="BE10" s="279">
        <v>3</v>
      </c>
      <c r="BF10" s="734" t="s">
        <v>1073</v>
      </c>
      <c r="BG10" s="735" t="s">
        <v>1074</v>
      </c>
      <c r="BH10" s="734" t="s">
        <v>1075</v>
      </c>
      <c r="BI10" s="735" t="s">
        <v>1076</v>
      </c>
      <c r="BJ10" s="1827" t="s">
        <v>1077</v>
      </c>
      <c r="BK10" s="380" t="s">
        <v>1078</v>
      </c>
    </row>
    <row r="11" spans="2:63" s="2" customFormat="1">
      <c r="B11" s="289" t="s">
        <v>1079</v>
      </c>
      <c r="C11" s="277" t="s">
        <v>1080</v>
      </c>
      <c r="D11" s="277"/>
      <c r="E11" s="301" t="s">
        <v>49</v>
      </c>
      <c r="F11" s="279">
        <v>3</v>
      </c>
      <c r="G11" s="734">
        <f xml:space="preserve"> SUM( '4D'!G12:H12 )</f>
        <v>0</v>
      </c>
      <c r="H11" s="735">
        <f xml:space="preserve"> SUM( '4D'!I12:L12 )</f>
        <v>0</v>
      </c>
      <c r="I11" s="734">
        <f xml:space="preserve"> SUM( '4E'!G12:K12 )</f>
        <v>0</v>
      </c>
      <c r="J11" s="1848">
        <f xml:space="preserve"> SUM( '4E'!L12:N12 )</f>
        <v>0</v>
      </c>
      <c r="K11" s="1862"/>
      <c r="L11" s="380">
        <f t="shared" si="0"/>
        <v>0</v>
      </c>
      <c r="M11" s="92"/>
      <c r="N11" s="130"/>
      <c r="O11" s="24">
        <f t="shared" si="1"/>
        <v>0</v>
      </c>
      <c r="P11" s="70"/>
      <c r="Q11" s="71"/>
      <c r="R11" s="127"/>
      <c r="S11" s="127"/>
      <c r="T11" s="127"/>
      <c r="U11" s="93">
        <f>IF( Validation!$H$3=1, 0, IF(Validation!$B$3 &lt;&gt; "Thames Water", 0, (IF(ISNUMBER(K11), 0, 1))))</f>
        <v>0</v>
      </c>
      <c r="V11" s="71"/>
      <c r="W11" s="127"/>
      <c r="X11" s="71"/>
      <c r="Y11" s="165"/>
      <c r="Z11" s="165"/>
      <c r="AA11" s="165"/>
      <c r="AB11" s="165"/>
      <c r="AC11" s="2836"/>
      <c r="AD11" s="71"/>
      <c r="BA11" s="289" t="s">
        <v>1079</v>
      </c>
      <c r="BB11" s="277" t="s">
        <v>1080</v>
      </c>
      <c r="BC11" s="277"/>
      <c r="BD11" s="301" t="s">
        <v>49</v>
      </c>
      <c r="BE11" s="279">
        <v>3</v>
      </c>
      <c r="BF11" s="734" t="s">
        <v>1081</v>
      </c>
      <c r="BG11" s="735" t="s">
        <v>1082</v>
      </c>
      <c r="BH11" s="734" t="s">
        <v>1083</v>
      </c>
      <c r="BI11" s="735" t="s">
        <v>1084</v>
      </c>
      <c r="BJ11" s="1827" t="s">
        <v>1085</v>
      </c>
      <c r="BK11" s="380" t="s">
        <v>1086</v>
      </c>
    </row>
    <row r="12" spans="2:63" s="2" customFormat="1">
      <c r="B12" s="289" t="s">
        <v>1087</v>
      </c>
      <c r="C12" s="277" t="s">
        <v>1088</v>
      </c>
      <c r="D12" s="277"/>
      <c r="E12" s="301" t="s">
        <v>49</v>
      </c>
      <c r="F12" s="279">
        <v>3</v>
      </c>
      <c r="G12" s="734">
        <f xml:space="preserve"> SUM( '4D'!G13:H13 )</f>
        <v>9.952</v>
      </c>
      <c r="H12" s="735">
        <f xml:space="preserve"> SUM( '4D'!I13:L13 )</f>
        <v>34.724000000000004</v>
      </c>
      <c r="I12" s="734">
        <f xml:space="preserve"> SUM( '4E'!G13:K13 )</f>
        <v>0</v>
      </c>
      <c r="J12" s="1848">
        <f xml:space="preserve"> SUM( '4E'!L13:N13 )</f>
        <v>0</v>
      </c>
      <c r="K12" s="1862"/>
      <c r="L12" s="380">
        <f t="shared" si="0"/>
        <v>44.676000000000002</v>
      </c>
      <c r="M12" s="92"/>
      <c r="N12" s="130"/>
      <c r="O12" s="24">
        <f t="shared" si="1"/>
        <v>0</v>
      </c>
      <c r="P12" s="70"/>
      <c r="Q12" s="71"/>
      <c r="R12" s="127"/>
      <c r="S12" s="127"/>
      <c r="T12" s="127"/>
      <c r="U12" s="93">
        <f>IF( Validation!$H$3=1, 0, IF(Validation!$B$3 &lt;&gt; "Thames Water", 0, (IF(ISNUMBER(K12), 0, 1))))</f>
        <v>0</v>
      </c>
      <c r="V12" s="71"/>
      <c r="W12" s="127"/>
      <c r="X12" s="71"/>
      <c r="Y12" s="165"/>
      <c r="Z12" s="165"/>
      <c r="AA12" s="165"/>
      <c r="AB12" s="165"/>
      <c r="AC12" s="2836"/>
      <c r="AD12" s="71"/>
      <c r="BA12" s="289" t="s">
        <v>1087</v>
      </c>
      <c r="BB12" s="277" t="s">
        <v>1088</v>
      </c>
      <c r="BC12" s="277"/>
      <c r="BD12" s="301" t="s">
        <v>49</v>
      </c>
      <c r="BE12" s="279">
        <v>3</v>
      </c>
      <c r="BF12" s="734" t="s">
        <v>1089</v>
      </c>
      <c r="BG12" s="735" t="s">
        <v>1090</v>
      </c>
      <c r="BH12" s="734" t="s">
        <v>1091</v>
      </c>
      <c r="BI12" s="735" t="s">
        <v>1092</v>
      </c>
      <c r="BJ12" s="1827" t="s">
        <v>1093</v>
      </c>
      <c r="BK12" s="380" t="s">
        <v>1094</v>
      </c>
    </row>
    <row r="13" spans="2:63" s="2" customFormat="1">
      <c r="B13" s="289" t="s">
        <v>1095</v>
      </c>
      <c r="C13" s="277" t="s">
        <v>1096</v>
      </c>
      <c r="D13" s="277"/>
      <c r="E13" s="301" t="s">
        <v>49</v>
      </c>
      <c r="F13" s="279">
        <v>3</v>
      </c>
      <c r="G13" s="734">
        <f xml:space="preserve"> SUM( '4D'!G14:H14 )</f>
        <v>1.292</v>
      </c>
      <c r="H13" s="735">
        <f xml:space="preserve"> SUM( '4D'!I14:L14 )</f>
        <v>3.718</v>
      </c>
      <c r="I13" s="734">
        <f xml:space="preserve"> SUM( '4E'!G14:K14 )</f>
        <v>0</v>
      </c>
      <c r="J13" s="1848">
        <f xml:space="preserve"> SUM( '4E'!L14:N14 )</f>
        <v>0</v>
      </c>
      <c r="K13" s="1862"/>
      <c r="L13" s="380">
        <f t="shared" si="0"/>
        <v>5.01</v>
      </c>
      <c r="M13" s="92"/>
      <c r="N13" s="130"/>
      <c r="O13" s="24">
        <f t="shared" si="1"/>
        <v>0</v>
      </c>
      <c r="P13" s="70"/>
      <c r="Q13" s="71"/>
      <c r="R13" s="127"/>
      <c r="S13" s="127"/>
      <c r="T13" s="127"/>
      <c r="U13" s="93">
        <f>IF( Validation!$H$3=1, 0, IF(Validation!$B$3 &lt;&gt; "Thames Water", 0, (IF(ISNUMBER(K13), 0, 1))))</f>
        <v>0</v>
      </c>
      <c r="V13" s="71"/>
      <c r="W13" s="127"/>
      <c r="X13" s="71"/>
      <c r="Y13" s="165"/>
      <c r="Z13" s="165"/>
      <c r="AA13" s="165"/>
      <c r="AB13" s="165"/>
      <c r="AC13" s="2836"/>
      <c r="AD13" s="71"/>
      <c r="BA13" s="289" t="s">
        <v>1095</v>
      </c>
      <c r="BB13" s="277" t="s">
        <v>1096</v>
      </c>
      <c r="BC13" s="277"/>
      <c r="BD13" s="301" t="s">
        <v>49</v>
      </c>
      <c r="BE13" s="279">
        <v>3</v>
      </c>
      <c r="BF13" s="734" t="s">
        <v>1097</v>
      </c>
      <c r="BG13" s="735" t="s">
        <v>1098</v>
      </c>
      <c r="BH13" s="734" t="s">
        <v>1099</v>
      </c>
      <c r="BI13" s="735" t="s">
        <v>1100</v>
      </c>
      <c r="BJ13" s="1827" t="s">
        <v>1101</v>
      </c>
      <c r="BK13" s="380" t="s">
        <v>1102</v>
      </c>
    </row>
    <row r="14" spans="2:63" s="2" customFormat="1" ht="14.5" thickBot="1">
      <c r="B14" s="290" t="s">
        <v>1103</v>
      </c>
      <c r="C14" s="282" t="s">
        <v>1104</v>
      </c>
      <c r="D14" s="282"/>
      <c r="E14" s="283" t="s">
        <v>49</v>
      </c>
      <c r="F14" s="284">
        <v>3</v>
      </c>
      <c r="G14" s="333">
        <f t="shared" ref="G14:L14" si="2" xml:space="preserve"> SUM( G6:G13 )</f>
        <v>15.782999999999999</v>
      </c>
      <c r="H14" s="335">
        <f t="shared" si="2"/>
        <v>47.201999999999998</v>
      </c>
      <c r="I14" s="389">
        <f t="shared" si="2"/>
        <v>0</v>
      </c>
      <c r="J14" s="1849">
        <f t="shared" si="2"/>
        <v>0</v>
      </c>
      <c r="K14" s="335">
        <f t="shared" si="2"/>
        <v>0</v>
      </c>
      <c r="L14" s="344">
        <f t="shared" si="2"/>
        <v>62.984999999999999</v>
      </c>
      <c r="M14" s="92"/>
      <c r="N14" s="130"/>
      <c r="O14" s="130"/>
      <c r="P14" s="70"/>
      <c r="Q14" s="71"/>
      <c r="R14" s="192"/>
      <c r="S14" s="192"/>
      <c r="T14" s="192"/>
      <c r="U14" s="192"/>
      <c r="V14" s="71"/>
      <c r="W14" s="74"/>
      <c r="X14" s="71"/>
      <c r="Y14" s="74"/>
      <c r="Z14" s="74"/>
      <c r="AA14" s="74"/>
      <c r="AB14" s="74"/>
      <c r="AC14" s="74"/>
      <c r="AD14" s="71"/>
      <c r="BA14" s="290" t="s">
        <v>1103</v>
      </c>
      <c r="BB14" s="282" t="s">
        <v>1104</v>
      </c>
      <c r="BC14" s="282"/>
      <c r="BD14" s="283" t="s">
        <v>49</v>
      </c>
      <c r="BE14" s="284">
        <v>3</v>
      </c>
      <c r="BF14" s="333" t="s">
        <v>1105</v>
      </c>
      <c r="BG14" s="335" t="s">
        <v>1106</v>
      </c>
      <c r="BH14" s="389" t="s">
        <v>1107</v>
      </c>
      <c r="BI14" s="335" t="s">
        <v>1108</v>
      </c>
      <c r="BJ14" s="1823" t="s">
        <v>1109</v>
      </c>
      <c r="BK14" s="344" t="s">
        <v>1110</v>
      </c>
    </row>
    <row r="15" spans="2:63" s="2" customFormat="1" ht="14.5" thickBot="1">
      <c r="E15" s="5"/>
      <c r="F15" s="5"/>
      <c r="G15" s="765"/>
      <c r="H15" s="765"/>
      <c r="I15" s="765"/>
      <c r="J15" s="765"/>
      <c r="K15" s="765"/>
      <c r="L15" s="765"/>
      <c r="N15" s="126"/>
      <c r="O15" s="126"/>
      <c r="P15" s="70"/>
      <c r="Q15" s="71"/>
      <c r="R15" s="192"/>
      <c r="S15" s="192"/>
      <c r="T15" s="192"/>
      <c r="U15" s="192"/>
      <c r="V15" s="71"/>
      <c r="W15" s="74"/>
      <c r="X15" s="71"/>
      <c r="Y15" s="74"/>
      <c r="Z15" s="74"/>
      <c r="AA15" s="74"/>
      <c r="AB15" s="74"/>
      <c r="AC15" s="74"/>
      <c r="AD15" s="71"/>
      <c r="BD15" s="5"/>
      <c r="BE15" s="5"/>
      <c r="BF15" s="765"/>
      <c r="BG15" s="765"/>
      <c r="BH15" s="765"/>
      <c r="BI15" s="765"/>
      <c r="BJ15" s="765"/>
      <c r="BK15" s="765"/>
    </row>
    <row r="16" spans="2:63" s="2" customFormat="1">
      <c r="B16" s="288" t="s">
        <v>1111</v>
      </c>
      <c r="C16" s="29" t="s">
        <v>1112</v>
      </c>
      <c r="D16" s="29"/>
      <c r="E16" s="300" t="s">
        <v>49</v>
      </c>
      <c r="F16" s="275">
        <v>3</v>
      </c>
      <c r="G16" s="732">
        <f xml:space="preserve"> SUM( '4D'!G17:H17 )</f>
        <v>0.25800000000000001</v>
      </c>
      <c r="H16" s="685">
        <f xml:space="preserve"> SUM( '4D'!I17:L17 )</f>
        <v>0.96700000000000008</v>
      </c>
      <c r="I16" s="732">
        <f xml:space="preserve"> SUM( '4E'!G17:K17 )</f>
        <v>0</v>
      </c>
      <c r="J16" s="1847">
        <f xml:space="preserve"> SUM( '4E'!L17:N17 )</f>
        <v>0</v>
      </c>
      <c r="K16" s="1861"/>
      <c r="L16" s="379">
        <f xml:space="preserve"> SUM( G16:K16 )</f>
        <v>1.2250000000000001</v>
      </c>
      <c r="M16" s="92"/>
      <c r="N16" s="126"/>
      <c r="O16" s="24">
        <f xml:space="preserve"> IF( SUM( Q16:V16 ) = 0, 0, $R$5 )</f>
        <v>0</v>
      </c>
      <c r="P16" s="70"/>
      <c r="Q16" s="71"/>
      <c r="R16" s="127"/>
      <c r="S16" s="127"/>
      <c r="T16" s="127"/>
      <c r="U16" s="93">
        <f>IF( Validation!$H$3=1, 0, IF(Validation!$B$3 &lt;&gt; "Thames Water", 0, (IF(ISNUMBER(K16), 0, 1))))</f>
        <v>0</v>
      </c>
      <c r="V16" s="71"/>
      <c r="W16" s="74"/>
      <c r="X16" s="71"/>
      <c r="Y16" s="74"/>
      <c r="Z16" s="74"/>
      <c r="AA16" s="74"/>
      <c r="AB16" s="74"/>
      <c r="AC16" s="74"/>
      <c r="AD16" s="71"/>
      <c r="BA16" s="288" t="s">
        <v>1111</v>
      </c>
      <c r="BB16" s="29" t="s">
        <v>1112</v>
      </c>
      <c r="BC16" s="29"/>
      <c r="BD16" s="300" t="s">
        <v>49</v>
      </c>
      <c r="BE16" s="275">
        <v>3</v>
      </c>
      <c r="BF16" s="732" t="s">
        <v>1113</v>
      </c>
      <c r="BG16" s="685" t="s">
        <v>1114</v>
      </c>
      <c r="BH16" s="732" t="s">
        <v>1115</v>
      </c>
      <c r="BI16" s="733" t="s">
        <v>1116</v>
      </c>
      <c r="BJ16" s="1826" t="s">
        <v>1117</v>
      </c>
      <c r="BK16" s="379" t="s">
        <v>1118</v>
      </c>
    </row>
    <row r="17" spans="2:63" s="2" customFormat="1" ht="14.5" thickBot="1">
      <c r="B17" s="290" t="s">
        <v>1119</v>
      </c>
      <c r="C17" s="31" t="s">
        <v>1120</v>
      </c>
      <c r="D17" s="31"/>
      <c r="E17" s="283" t="s">
        <v>49</v>
      </c>
      <c r="F17" s="284">
        <v>3</v>
      </c>
      <c r="G17" s="333">
        <f xml:space="preserve"> G14 + G16</f>
        <v>16.041</v>
      </c>
      <c r="H17" s="335">
        <f t="shared" ref="H17:J17" si="3" xml:space="preserve"> H14 + H16</f>
        <v>48.168999999999997</v>
      </c>
      <c r="I17" s="389">
        <f t="shared" si="3"/>
        <v>0</v>
      </c>
      <c r="J17" s="1849">
        <f t="shared" si="3"/>
        <v>0</v>
      </c>
      <c r="K17" s="335">
        <f xml:space="preserve"> K14 + K16</f>
        <v>0</v>
      </c>
      <c r="L17" s="344">
        <f t="shared" ref="L17" si="4" xml:space="preserve"> L14 + L16</f>
        <v>64.209999999999994</v>
      </c>
      <c r="M17" s="92"/>
      <c r="N17" s="126"/>
      <c r="O17" s="126"/>
      <c r="P17" s="70"/>
      <c r="Q17" s="71"/>
      <c r="R17" s="192"/>
      <c r="S17" s="192"/>
      <c r="T17" s="192"/>
      <c r="U17" s="192"/>
      <c r="V17" s="71"/>
      <c r="W17" s="74"/>
      <c r="X17" s="71"/>
      <c r="Y17" s="74"/>
      <c r="Z17" s="74"/>
      <c r="AA17" s="74"/>
      <c r="AB17" s="74"/>
      <c r="AC17" s="74"/>
      <c r="AD17" s="71"/>
      <c r="BA17" s="290" t="s">
        <v>1119</v>
      </c>
      <c r="BB17" s="31" t="s">
        <v>1120</v>
      </c>
      <c r="BC17" s="31"/>
      <c r="BD17" s="283" t="s">
        <v>49</v>
      </c>
      <c r="BE17" s="284">
        <v>3</v>
      </c>
      <c r="BF17" s="333" t="s">
        <v>1121</v>
      </c>
      <c r="BG17" s="335" t="s">
        <v>1122</v>
      </c>
      <c r="BH17" s="389" t="s">
        <v>1123</v>
      </c>
      <c r="BI17" s="335" t="s">
        <v>1124</v>
      </c>
      <c r="BJ17" s="1823" t="s">
        <v>1125</v>
      </c>
      <c r="BK17" s="344" t="s">
        <v>1126</v>
      </c>
    </row>
    <row r="18" spans="2:63" s="2" customFormat="1" ht="14.5" thickBot="1">
      <c r="E18" s="5"/>
      <c r="F18" s="5"/>
      <c r="G18" s="765"/>
      <c r="H18" s="765"/>
      <c r="I18" s="765"/>
      <c r="J18" s="765"/>
      <c r="K18" s="765"/>
      <c r="L18" s="765"/>
      <c r="N18" s="126"/>
      <c r="O18" s="126"/>
      <c r="P18" s="70"/>
      <c r="Q18" s="71"/>
      <c r="R18" s="192"/>
      <c r="S18" s="192"/>
      <c r="T18" s="192"/>
      <c r="U18" s="192"/>
      <c r="V18" s="71"/>
      <c r="W18" s="74"/>
      <c r="X18" s="71"/>
      <c r="Y18" s="74"/>
      <c r="Z18" s="74"/>
      <c r="AA18" s="74"/>
      <c r="AB18" s="74"/>
      <c r="AC18" s="74"/>
      <c r="AD18" s="71"/>
      <c r="BD18" s="5"/>
      <c r="BE18" s="5"/>
      <c r="BF18" s="765"/>
      <c r="BG18" s="765"/>
      <c r="BH18" s="765"/>
      <c r="BI18" s="765"/>
      <c r="BJ18" s="765"/>
      <c r="BK18" s="765"/>
    </row>
    <row r="19" spans="2:63" s="2" customFormat="1" ht="14.5" thickBot="1">
      <c r="B19" s="2851" t="s">
        <v>175</v>
      </c>
      <c r="C19" s="298" t="s">
        <v>1127</v>
      </c>
      <c r="D19" s="1476"/>
      <c r="E19" s="5"/>
      <c r="F19" s="5"/>
      <c r="G19" s="765"/>
      <c r="H19" s="765"/>
      <c r="I19" s="765"/>
      <c r="J19" s="765"/>
      <c r="K19" s="765"/>
      <c r="L19" s="765"/>
      <c r="N19" s="126"/>
      <c r="O19" s="126"/>
      <c r="P19" s="70"/>
      <c r="Q19" s="71"/>
      <c r="R19" s="192"/>
      <c r="S19" s="192"/>
      <c r="T19" s="192"/>
      <c r="U19" s="192"/>
      <c r="V19" s="71"/>
      <c r="W19" s="110"/>
      <c r="X19" s="71"/>
      <c r="Y19" s="110"/>
      <c r="Z19" s="110"/>
      <c r="AA19" s="110"/>
      <c r="AB19" s="110"/>
      <c r="AC19" s="110"/>
      <c r="AD19" s="71"/>
      <c r="BA19" s="2851" t="s">
        <v>175</v>
      </c>
      <c r="BB19" s="298" t="s">
        <v>1127</v>
      </c>
      <c r="BC19" s="1476"/>
      <c r="BD19" s="5"/>
      <c r="BE19" s="5"/>
      <c r="BF19" s="765"/>
      <c r="BG19" s="765"/>
      <c r="BH19" s="765"/>
      <c r="BI19" s="765"/>
      <c r="BJ19" s="765"/>
      <c r="BK19" s="765"/>
    </row>
    <row r="20" spans="2:63" s="2" customFormat="1">
      <c r="B20" s="288" t="s">
        <v>1128</v>
      </c>
      <c r="C20" s="273" t="s">
        <v>1129</v>
      </c>
      <c r="D20" s="273"/>
      <c r="E20" s="300" t="s">
        <v>49</v>
      </c>
      <c r="F20" s="275">
        <v>3</v>
      </c>
      <c r="G20" s="732">
        <f xml:space="preserve"> SUM( '4D'!G21:H21 )</f>
        <v>0.68243299999999996</v>
      </c>
      <c r="H20" s="733">
        <f xml:space="preserve"> SUM( '4D'!I21:L21 )</f>
        <v>26.31878</v>
      </c>
      <c r="I20" s="732">
        <f xml:space="preserve"> SUM( '4E'!G21:K21 )</f>
        <v>0</v>
      </c>
      <c r="J20" s="1847">
        <f xml:space="preserve"> SUM( '4E'!L21:N21 )</f>
        <v>0</v>
      </c>
      <c r="K20" s="1861"/>
      <c r="L20" s="379">
        <f t="shared" ref="L20:L24" si="5" xml:space="preserve"> SUM( G20:K20 )</f>
        <v>27.001213</v>
      </c>
      <c r="M20" s="92"/>
      <c r="N20" s="126"/>
      <c r="O20" s="24">
        <f t="shared" ref="O20:O24" si="6" xml:space="preserve"> IF( SUM( Q20:V20 ) = 0, 0, $R$5 )</f>
        <v>0</v>
      </c>
      <c r="P20" s="70"/>
      <c r="Q20" s="71"/>
      <c r="R20" s="127"/>
      <c r="S20" s="127"/>
      <c r="T20" s="127"/>
      <c r="U20" s="93">
        <f>IF( Validation!$H$3=1, 0, IF(Validation!$B$3 &lt;&gt; "Thames Water", 0, (IF(ISNUMBER(K20), 0, 1))))</f>
        <v>0</v>
      </c>
      <c r="V20" s="71"/>
      <c r="W20" s="163"/>
      <c r="X20" s="71"/>
      <c r="Y20" s="163"/>
      <c r="Z20" s="163"/>
      <c r="AA20" s="163"/>
      <c r="AB20" s="163"/>
      <c r="AC20" s="163"/>
      <c r="AD20" s="71"/>
      <c r="BA20" s="288" t="s">
        <v>1128</v>
      </c>
      <c r="BB20" s="273" t="s">
        <v>1129</v>
      </c>
      <c r="BC20" s="273"/>
      <c r="BD20" s="300" t="s">
        <v>49</v>
      </c>
      <c r="BE20" s="275">
        <v>3</v>
      </c>
      <c r="BF20" s="732" t="s">
        <v>1130</v>
      </c>
      <c r="BG20" s="733" t="s">
        <v>1131</v>
      </c>
      <c r="BH20" s="732" t="s">
        <v>1132</v>
      </c>
      <c r="BI20" s="733" t="s">
        <v>1133</v>
      </c>
      <c r="BJ20" s="1826" t="s">
        <v>1134</v>
      </c>
      <c r="BK20" s="379" t="s">
        <v>1135</v>
      </c>
    </row>
    <row r="21" spans="2:63" s="2" customFormat="1">
      <c r="B21" s="289" t="s">
        <v>1136</v>
      </c>
      <c r="C21" s="277" t="s">
        <v>1137</v>
      </c>
      <c r="D21" s="277"/>
      <c r="E21" s="301" t="s">
        <v>49</v>
      </c>
      <c r="F21" s="279">
        <v>3</v>
      </c>
      <c r="G21" s="734">
        <f xml:space="preserve"> SUM( '4D'!G22:H22 )</f>
        <v>1.4641093631228497</v>
      </c>
      <c r="H21" s="735">
        <f xml:space="preserve"> SUM( '4D'!I22:L22 )</f>
        <v>21.089551382732633</v>
      </c>
      <c r="I21" s="734">
        <f xml:space="preserve"> SUM( '4E'!G22:K22 )</f>
        <v>0</v>
      </c>
      <c r="J21" s="1848">
        <f xml:space="preserve"> SUM( '4E'!L22:N22 )</f>
        <v>0</v>
      </c>
      <c r="K21" s="1862"/>
      <c r="L21" s="380">
        <f t="shared" si="5"/>
        <v>22.553660745855481</v>
      </c>
      <c r="M21" s="92"/>
      <c r="N21" s="126"/>
      <c r="O21" s="24">
        <f t="shared" si="6"/>
        <v>0</v>
      </c>
      <c r="P21" s="70"/>
      <c r="Q21" s="71"/>
      <c r="R21" s="127"/>
      <c r="S21" s="127"/>
      <c r="T21" s="127"/>
      <c r="U21" s="93">
        <f>IF( Validation!$H$3=1, 0, IF(Validation!$B$3 &lt;&gt; "Thames Water", 0, (IF(ISNUMBER(K21), 0, 1))))</f>
        <v>0</v>
      </c>
      <c r="V21" s="71"/>
      <c r="W21" s="163"/>
      <c r="X21" s="71"/>
      <c r="Y21" s="163"/>
      <c r="Z21" s="163"/>
      <c r="AA21" s="163"/>
      <c r="AB21" s="163"/>
      <c r="AC21" s="163"/>
      <c r="AD21" s="71"/>
      <c r="BA21" s="289" t="s">
        <v>1136</v>
      </c>
      <c r="BB21" s="277" t="s">
        <v>1137</v>
      </c>
      <c r="BC21" s="277"/>
      <c r="BD21" s="301" t="s">
        <v>49</v>
      </c>
      <c r="BE21" s="279">
        <v>3</v>
      </c>
      <c r="BF21" s="734" t="s">
        <v>1138</v>
      </c>
      <c r="BG21" s="735" t="s">
        <v>1139</v>
      </c>
      <c r="BH21" s="734" t="s">
        <v>1140</v>
      </c>
      <c r="BI21" s="735" t="s">
        <v>1141</v>
      </c>
      <c r="BJ21" s="1827" t="s">
        <v>1142</v>
      </c>
      <c r="BK21" s="380" t="s">
        <v>1143</v>
      </c>
    </row>
    <row r="22" spans="2:63" s="2" customFormat="1">
      <c r="B22" s="289" t="s">
        <v>1144</v>
      </c>
      <c r="C22" s="384" t="s">
        <v>1145</v>
      </c>
      <c r="D22" s="384"/>
      <c r="E22" s="301" t="s">
        <v>49</v>
      </c>
      <c r="F22" s="279">
        <v>3</v>
      </c>
      <c r="G22" s="734">
        <f xml:space="preserve"> SUM( '4D'!G23:H23 )</f>
        <v>0</v>
      </c>
      <c r="H22" s="735">
        <f xml:space="preserve"> SUM( '4D'!I23:L23 )</f>
        <v>10.2643</v>
      </c>
      <c r="I22" s="734">
        <f xml:space="preserve"> SUM( '4E'!G23:K23 )</f>
        <v>0</v>
      </c>
      <c r="J22" s="1848">
        <f xml:space="preserve"> SUM( '4E'!L23:N23 )</f>
        <v>0</v>
      </c>
      <c r="K22" s="1862"/>
      <c r="L22" s="380">
        <f t="shared" si="5"/>
        <v>10.2643</v>
      </c>
      <c r="M22" s="92"/>
      <c r="N22" s="126"/>
      <c r="O22" s="24">
        <f t="shared" si="6"/>
        <v>0</v>
      </c>
      <c r="P22" s="70"/>
      <c r="Q22" s="71"/>
      <c r="R22" s="127"/>
      <c r="S22" s="127"/>
      <c r="T22" s="127"/>
      <c r="U22" s="93">
        <f>IF( Validation!$H$3=1, 0, IF(Validation!$B$3 &lt;&gt; "Thames Water", 0, (IF(ISNUMBER(K22), 0, 1))))</f>
        <v>0</v>
      </c>
      <c r="V22" s="71"/>
      <c r="W22" s="163"/>
      <c r="X22" s="71"/>
      <c r="Y22" s="163"/>
      <c r="Z22" s="163"/>
      <c r="AA22" s="163"/>
      <c r="AB22" s="163"/>
      <c r="AC22" s="163"/>
      <c r="AD22" s="71"/>
      <c r="BA22" s="289" t="s">
        <v>1144</v>
      </c>
      <c r="BB22" s="384" t="s">
        <v>1145</v>
      </c>
      <c r="BC22" s="384"/>
      <c r="BD22" s="301" t="s">
        <v>49</v>
      </c>
      <c r="BE22" s="279">
        <v>3</v>
      </c>
      <c r="BF22" s="734" t="s">
        <v>1146</v>
      </c>
      <c r="BG22" s="735" t="s">
        <v>1147</v>
      </c>
      <c r="BH22" s="734" t="s">
        <v>1148</v>
      </c>
      <c r="BI22" s="735" t="s">
        <v>1149</v>
      </c>
      <c r="BJ22" s="1827" t="s">
        <v>1150</v>
      </c>
      <c r="BK22" s="380" t="s">
        <v>1151</v>
      </c>
    </row>
    <row r="23" spans="2:63" s="2" customFormat="1">
      <c r="B23" s="289" t="s">
        <v>1152</v>
      </c>
      <c r="C23" s="384" t="s">
        <v>1153</v>
      </c>
      <c r="D23" s="384"/>
      <c r="E23" s="301" t="s">
        <v>49</v>
      </c>
      <c r="F23" s="279">
        <v>3</v>
      </c>
      <c r="G23" s="734">
        <f xml:space="preserve"> SUM( '4D'!G24:H24 )</f>
        <v>1.0701603409919898</v>
      </c>
      <c r="H23" s="735">
        <f xml:space="preserve"> SUM( '4D'!I24:L24 )</f>
        <v>5.8727609064971054</v>
      </c>
      <c r="I23" s="734">
        <f xml:space="preserve"> SUM( '4E'!G24:K24 )</f>
        <v>0</v>
      </c>
      <c r="J23" s="1848">
        <f xml:space="preserve"> SUM( '4E'!L24:N24 )</f>
        <v>0</v>
      </c>
      <c r="K23" s="1862"/>
      <c r="L23" s="380">
        <f t="shared" si="5"/>
        <v>6.9429212474890951</v>
      </c>
      <c r="M23" s="92"/>
      <c r="N23" s="126"/>
      <c r="O23" s="24">
        <f t="shared" si="6"/>
        <v>0</v>
      </c>
      <c r="P23" s="70"/>
      <c r="Q23" s="71"/>
      <c r="R23" s="127"/>
      <c r="S23" s="127"/>
      <c r="T23" s="127"/>
      <c r="U23" s="93">
        <f>IF( Validation!$H$3=1, 0, IF(Validation!$B$3 &lt;&gt; "Thames Water", 0, (IF(ISNUMBER(K23), 0, 1))))</f>
        <v>0</v>
      </c>
      <c r="V23" s="71"/>
      <c r="W23" s="163"/>
      <c r="X23" s="71"/>
      <c r="Y23" s="163"/>
      <c r="Z23" s="163"/>
      <c r="AA23" s="163"/>
      <c r="AB23" s="163"/>
      <c r="AC23" s="163"/>
      <c r="AD23" s="71"/>
      <c r="BA23" s="289" t="s">
        <v>1152</v>
      </c>
      <c r="BB23" s="384" t="s">
        <v>1153</v>
      </c>
      <c r="BC23" s="384"/>
      <c r="BD23" s="301" t="s">
        <v>49</v>
      </c>
      <c r="BE23" s="279">
        <v>3</v>
      </c>
      <c r="BF23" s="734" t="s">
        <v>1154</v>
      </c>
      <c r="BG23" s="735" t="s">
        <v>1155</v>
      </c>
      <c r="BH23" s="734" t="s">
        <v>1156</v>
      </c>
      <c r="BI23" s="735" t="s">
        <v>1157</v>
      </c>
      <c r="BJ23" s="1827" t="s">
        <v>1158</v>
      </c>
      <c r="BK23" s="380" t="s">
        <v>1159</v>
      </c>
    </row>
    <row r="24" spans="2:63" s="2" customFormat="1">
      <c r="B24" s="289" t="s">
        <v>1160</v>
      </c>
      <c r="C24" s="384" t="s">
        <v>1161</v>
      </c>
      <c r="D24" s="384"/>
      <c r="E24" s="301" t="s">
        <v>49</v>
      </c>
      <c r="F24" s="279">
        <v>3</v>
      </c>
      <c r="G24" s="734">
        <f xml:space="preserve"> SUM( '4D'!G25:H25 )</f>
        <v>0</v>
      </c>
      <c r="H24" s="735">
        <f xml:space="preserve"> SUM( '4D'!I25:L25 )</f>
        <v>1.1260000000000001</v>
      </c>
      <c r="I24" s="734">
        <f xml:space="preserve"> SUM( '4E'!G25:K25 )</f>
        <v>0</v>
      </c>
      <c r="J24" s="1848">
        <f xml:space="preserve"> SUM( '4E'!L25:N25 )</f>
        <v>0</v>
      </c>
      <c r="K24" s="1862"/>
      <c r="L24" s="380">
        <f t="shared" si="5"/>
        <v>1.1260000000000001</v>
      </c>
      <c r="M24" s="92"/>
      <c r="N24" s="126"/>
      <c r="O24" s="24">
        <f t="shared" si="6"/>
        <v>0</v>
      </c>
      <c r="P24" s="70"/>
      <c r="Q24" s="71"/>
      <c r="R24" s="127"/>
      <c r="S24" s="127"/>
      <c r="T24" s="127"/>
      <c r="U24" s="93">
        <f>IF( Validation!$H$3=1, 0, IF(Validation!$B$3 &lt;&gt; "Thames Water", 0, (IF(ISNUMBER(K24), 0, 1))))</f>
        <v>0</v>
      </c>
      <c r="V24" s="71"/>
      <c r="W24" s="163"/>
      <c r="X24" s="71"/>
      <c r="Y24" s="163"/>
      <c r="Z24" s="163"/>
      <c r="AA24" s="163"/>
      <c r="AB24" s="163"/>
      <c r="AC24" s="163"/>
      <c r="AD24" s="71"/>
      <c r="BA24" s="289" t="s">
        <v>1160</v>
      </c>
      <c r="BB24" s="384" t="s">
        <v>1161</v>
      </c>
      <c r="BC24" s="384"/>
      <c r="BD24" s="301" t="s">
        <v>49</v>
      </c>
      <c r="BE24" s="279">
        <v>3</v>
      </c>
      <c r="BF24" s="734" t="s">
        <v>1162</v>
      </c>
      <c r="BG24" s="735" t="s">
        <v>1163</v>
      </c>
      <c r="BH24" s="734" t="s">
        <v>1164</v>
      </c>
      <c r="BI24" s="735" t="s">
        <v>1165</v>
      </c>
      <c r="BJ24" s="1827" t="s">
        <v>1166</v>
      </c>
      <c r="BK24" s="380" t="s">
        <v>1167</v>
      </c>
    </row>
    <row r="25" spans="2:63" s="2" customFormat="1">
      <c r="B25" s="289" t="s">
        <v>1168</v>
      </c>
      <c r="C25" s="277" t="s">
        <v>1169</v>
      </c>
      <c r="D25" s="277"/>
      <c r="E25" s="301" t="s">
        <v>49</v>
      </c>
      <c r="F25" s="279">
        <v>3</v>
      </c>
      <c r="G25" s="347">
        <f t="shared" ref="G25:L25" si="7" xml:space="preserve"> SUM( G20:G24 )</f>
        <v>3.2167027041148395</v>
      </c>
      <c r="H25" s="332">
        <f t="shared" si="7"/>
        <v>64.671392289229743</v>
      </c>
      <c r="I25" s="388">
        <f t="shared" si="7"/>
        <v>0</v>
      </c>
      <c r="J25" s="1850">
        <f t="shared" si="7"/>
        <v>0</v>
      </c>
      <c r="K25" s="332">
        <f t="shared" si="7"/>
        <v>0</v>
      </c>
      <c r="L25" s="380">
        <f t="shared" si="7"/>
        <v>67.888094993344581</v>
      </c>
      <c r="M25" s="92"/>
      <c r="N25" s="126"/>
      <c r="O25" s="126"/>
      <c r="P25" s="118"/>
      <c r="Q25" s="71"/>
      <c r="R25" s="192"/>
      <c r="S25" s="192"/>
      <c r="T25" s="192"/>
      <c r="U25" s="192"/>
      <c r="V25" s="71"/>
      <c r="W25" s="163"/>
      <c r="X25" s="71"/>
      <c r="Y25" s="163"/>
      <c r="Z25" s="163"/>
      <c r="AA25" s="163"/>
      <c r="AB25" s="163"/>
      <c r="AC25" s="163"/>
      <c r="AD25" s="71"/>
      <c r="BA25" s="289" t="s">
        <v>1168</v>
      </c>
      <c r="BB25" s="277" t="s">
        <v>1169</v>
      </c>
      <c r="BC25" s="277"/>
      <c r="BD25" s="301" t="s">
        <v>49</v>
      </c>
      <c r="BE25" s="279">
        <v>3</v>
      </c>
      <c r="BF25" s="347" t="s">
        <v>1170</v>
      </c>
      <c r="BG25" s="332" t="s">
        <v>1171</v>
      </c>
      <c r="BH25" s="388" t="s">
        <v>1172</v>
      </c>
      <c r="BI25" s="332" t="s">
        <v>1173</v>
      </c>
      <c r="BJ25" s="1824" t="s">
        <v>1174</v>
      </c>
      <c r="BK25" s="380" t="s">
        <v>1175</v>
      </c>
    </row>
    <row r="26" spans="2:63" s="2" customFormat="1">
      <c r="B26" s="289" t="s">
        <v>1176</v>
      </c>
      <c r="C26" s="277" t="s">
        <v>1112</v>
      </c>
      <c r="D26" s="277"/>
      <c r="E26" s="301" t="s">
        <v>49</v>
      </c>
      <c r="F26" s="279">
        <v>3</v>
      </c>
      <c r="G26" s="734">
        <f xml:space="preserve"> SUM( '4D'!G27:H27 )</f>
        <v>6.9999999999999999E-4</v>
      </c>
      <c r="H26" s="735">
        <f xml:space="preserve"> SUM( '4D'!I27:L27 )</f>
        <v>0.37496000000000007</v>
      </c>
      <c r="I26" s="734">
        <f xml:space="preserve"> SUM( '4E'!G27:K27 )</f>
        <v>0</v>
      </c>
      <c r="J26" s="1848">
        <f xml:space="preserve"> SUM( '4E'!L27:N27 )</f>
        <v>0</v>
      </c>
      <c r="K26" s="1862"/>
      <c r="L26" s="380">
        <f xml:space="preserve"> SUM( G26:K26 )</f>
        <v>0.37566000000000005</v>
      </c>
      <c r="M26" s="92"/>
      <c r="N26" s="126"/>
      <c r="O26" s="24">
        <f xml:space="preserve"> IF( SUM( Q26:V26 ) = 0, 0, $R$5 )</f>
        <v>0</v>
      </c>
      <c r="P26" s="126"/>
      <c r="Q26" s="124"/>
      <c r="R26" s="127"/>
      <c r="S26" s="127"/>
      <c r="T26" s="127"/>
      <c r="U26" s="93">
        <f>IF( Validation!$H$3=1, 0, IF(Validation!$B$3 &lt;&gt; "Thames Water", 0, (IF(ISNUMBER(K26), 0, 1))))</f>
        <v>0</v>
      </c>
      <c r="V26" s="124"/>
      <c r="W26" s="163"/>
      <c r="X26" s="71"/>
      <c r="Y26" s="163"/>
      <c r="Z26" s="163"/>
      <c r="AA26" s="163"/>
      <c r="AB26" s="163"/>
      <c r="AC26" s="163"/>
      <c r="AD26" s="71"/>
      <c r="BA26" s="289" t="s">
        <v>1176</v>
      </c>
      <c r="BB26" s="277" t="s">
        <v>1112</v>
      </c>
      <c r="BC26" s="277"/>
      <c r="BD26" s="301" t="s">
        <v>49</v>
      </c>
      <c r="BE26" s="279">
        <v>3</v>
      </c>
      <c r="BF26" s="734" t="s">
        <v>1177</v>
      </c>
      <c r="BG26" s="735" t="s">
        <v>1178</v>
      </c>
      <c r="BH26" s="734" t="s">
        <v>1179</v>
      </c>
      <c r="BI26" s="735" t="s">
        <v>1180</v>
      </c>
      <c r="BJ26" s="1827" t="s">
        <v>1181</v>
      </c>
      <c r="BK26" s="380" t="s">
        <v>1182</v>
      </c>
    </row>
    <row r="27" spans="2:63" s="2" customFormat="1" ht="14.5" thickBot="1">
      <c r="B27" s="290" t="s">
        <v>1183</v>
      </c>
      <c r="C27" s="282" t="s">
        <v>1184</v>
      </c>
      <c r="D27" s="282"/>
      <c r="E27" s="283" t="s">
        <v>49</v>
      </c>
      <c r="F27" s="284">
        <v>3</v>
      </c>
      <c r="G27" s="333">
        <f xml:space="preserve"> G25 + G26</f>
        <v>3.2174027041148396</v>
      </c>
      <c r="H27" s="335">
        <f t="shared" ref="H27:K27" si="8" xml:space="preserve"> H25 + H26</f>
        <v>65.046352289229745</v>
      </c>
      <c r="I27" s="761">
        <f t="shared" si="8"/>
        <v>0</v>
      </c>
      <c r="J27" s="1851">
        <f t="shared" si="8"/>
        <v>0</v>
      </c>
      <c r="K27" s="762">
        <f t="shared" si="8"/>
        <v>0</v>
      </c>
      <c r="L27" s="344">
        <f t="shared" ref="L27" si="9" xml:space="preserve"> L25 + L26</f>
        <v>68.263754993344577</v>
      </c>
      <c r="M27" s="92"/>
      <c r="N27" s="126"/>
      <c r="O27" s="126"/>
      <c r="P27" s="126"/>
      <c r="Q27" s="119"/>
      <c r="R27" s="239"/>
      <c r="S27" s="239"/>
      <c r="T27" s="239"/>
      <c r="U27" s="239"/>
      <c r="V27" s="119"/>
      <c r="W27" s="163"/>
      <c r="X27" s="71"/>
      <c r="Y27" s="163"/>
      <c r="Z27" s="163"/>
      <c r="AA27" s="163"/>
      <c r="AB27" s="163"/>
      <c r="AC27" s="163"/>
      <c r="AD27" s="71"/>
      <c r="BA27" s="290" t="s">
        <v>1183</v>
      </c>
      <c r="BB27" s="282" t="s">
        <v>1184</v>
      </c>
      <c r="BC27" s="282"/>
      <c r="BD27" s="283" t="s">
        <v>49</v>
      </c>
      <c r="BE27" s="284">
        <v>3</v>
      </c>
      <c r="BF27" s="333" t="s">
        <v>1185</v>
      </c>
      <c r="BG27" s="335" t="s">
        <v>1186</v>
      </c>
      <c r="BH27" s="761" t="s">
        <v>1187</v>
      </c>
      <c r="BI27" s="762" t="s">
        <v>1188</v>
      </c>
      <c r="BJ27" s="1825" t="s">
        <v>1189</v>
      </c>
      <c r="BK27" s="344" t="s">
        <v>1190</v>
      </c>
    </row>
    <row r="28" spans="2:63" s="2" customFormat="1" ht="14.5" thickBot="1">
      <c r="B28" s="385"/>
      <c r="E28" s="5"/>
      <c r="F28" s="5"/>
      <c r="G28" s="765"/>
      <c r="H28" s="765"/>
      <c r="I28" s="765"/>
      <c r="J28" s="765"/>
      <c r="K28" s="765"/>
      <c r="L28" s="765"/>
      <c r="N28" s="120"/>
      <c r="O28" s="120"/>
      <c r="P28" s="126"/>
      <c r="Q28" s="119"/>
      <c r="R28" s="239"/>
      <c r="S28" s="239"/>
      <c r="T28" s="239"/>
      <c r="U28" s="239"/>
      <c r="V28" s="119"/>
      <c r="W28" s="110"/>
      <c r="X28" s="119"/>
      <c r="Y28" s="110"/>
      <c r="Z28" s="110"/>
      <c r="AA28" s="110"/>
      <c r="AB28" s="110"/>
      <c r="AC28" s="110"/>
      <c r="AD28" s="119"/>
      <c r="BA28" s="385"/>
      <c r="BD28" s="5"/>
      <c r="BE28" s="5"/>
      <c r="BF28" s="765"/>
      <c r="BG28" s="765"/>
      <c r="BH28" s="765"/>
      <c r="BI28" s="765"/>
      <c r="BJ28" s="765"/>
      <c r="BK28" s="765"/>
    </row>
    <row r="29" spans="2:63" s="2" customFormat="1" ht="14.5" thickBot="1">
      <c r="B29" s="2851" t="s">
        <v>333</v>
      </c>
      <c r="C29" s="298" t="s">
        <v>1191</v>
      </c>
      <c r="D29" s="1476"/>
      <c r="E29" s="5"/>
      <c r="F29" s="5"/>
      <c r="G29" s="765"/>
      <c r="H29" s="765"/>
      <c r="I29" s="765"/>
      <c r="J29" s="765"/>
      <c r="K29" s="765"/>
      <c r="L29" s="765"/>
      <c r="N29" s="126"/>
      <c r="O29" s="126"/>
      <c r="P29" s="70"/>
      <c r="Q29" s="71"/>
      <c r="R29" s="192"/>
      <c r="S29" s="192"/>
      <c r="T29" s="192"/>
      <c r="U29" s="192"/>
      <c r="V29" s="71"/>
      <c r="W29" s="110"/>
      <c r="X29" s="71"/>
      <c r="Y29" s="110"/>
      <c r="Z29" s="110"/>
      <c r="AA29" s="110"/>
      <c r="AB29" s="110"/>
      <c r="AC29" s="110"/>
      <c r="AD29" s="71"/>
      <c r="BA29" s="2851" t="s">
        <v>333</v>
      </c>
      <c r="BB29" s="298" t="s">
        <v>1191</v>
      </c>
      <c r="BC29" s="1476"/>
      <c r="BD29" s="5"/>
      <c r="BE29" s="5"/>
      <c r="BF29" s="765"/>
      <c r="BG29" s="765"/>
      <c r="BH29" s="765"/>
      <c r="BI29" s="765"/>
      <c r="BJ29" s="765"/>
      <c r="BK29" s="765"/>
    </row>
    <row r="30" spans="2:63" s="2" customFormat="1" ht="24" customHeight="1" thickBot="1">
      <c r="B30" s="338" t="s">
        <v>1192</v>
      </c>
      <c r="C30" s="264" t="s">
        <v>1191</v>
      </c>
      <c r="D30" s="264"/>
      <c r="E30" s="339" t="s">
        <v>49</v>
      </c>
      <c r="F30" s="266">
        <v>3</v>
      </c>
      <c r="G30" s="763">
        <f xml:space="preserve"> SUM( '4D'!G31:H31 )</f>
        <v>0</v>
      </c>
      <c r="H30" s="764">
        <f xml:space="preserve"> SUM( '4D'!I31:L31 )</f>
        <v>4.391</v>
      </c>
      <c r="I30" s="763">
        <f xml:space="preserve"> SUM( '4E'!G31:K31 )</f>
        <v>0</v>
      </c>
      <c r="J30" s="1852">
        <f xml:space="preserve"> SUM( '4E'!L31:N31 )</f>
        <v>0</v>
      </c>
      <c r="K30" s="1863"/>
      <c r="L30" s="621">
        <f xml:space="preserve"> SUM( G30:K30 )</f>
        <v>4.391</v>
      </c>
      <c r="M30" s="92"/>
      <c r="N30" s="1339">
        <f xml:space="preserve"> IF( SUM( V30:X30 ) = 0, 0, AC30 )</f>
        <v>0</v>
      </c>
      <c r="O30" s="24">
        <f xml:space="preserve"> IF( SUM( Q30:V30 ) = 0, 0, $R$5 )</f>
        <v>0</v>
      </c>
      <c r="P30" s="126"/>
      <c r="Q30" s="119"/>
      <c r="R30" s="127"/>
      <c r="S30" s="127"/>
      <c r="T30" s="127"/>
      <c r="U30" s="93">
        <f>IF( Validation!$H$3=1, 0, IF(Validation!$B$3 &lt;&gt; "Thames Water", 0, (IF(ISNUMBER(K30), 0, 1))))</f>
        <v>0</v>
      </c>
      <c r="V30" s="119"/>
      <c r="W30" s="93">
        <f xml:space="preserve"> IF(L1 ="Bazalgette Tunnel Ltd (Tideway)",IF( (Y30 - Z30 - AA30 - AB30 ) = 0, 0, 1 ),0)</f>
        <v>0</v>
      </c>
      <c r="X30" s="71"/>
      <c r="Y30" s="165">
        <f xml:space="preserve"> ROUND( L30, 3)</f>
        <v>4.391</v>
      </c>
      <c r="Z30" s="165">
        <f xml:space="preserve"> ROUND( '2E'!J13, 3 )</f>
        <v>4.391</v>
      </c>
      <c r="AA30" s="165">
        <f xml:space="preserve"> ROUND( '2E'!J24, 3 )</f>
        <v>0</v>
      </c>
      <c r="AB30" s="165">
        <f xml:space="preserve"> ROUND( '2E'!J35, 3 )</f>
        <v>0</v>
      </c>
      <c r="AC30" s="2836" t="s">
        <v>1193</v>
      </c>
      <c r="AD30" s="124"/>
      <c r="BA30" s="338" t="s">
        <v>1192</v>
      </c>
      <c r="BB30" s="264" t="s">
        <v>1191</v>
      </c>
      <c r="BC30" s="264"/>
      <c r="BD30" s="339" t="s">
        <v>49</v>
      </c>
      <c r="BE30" s="266">
        <v>3</v>
      </c>
      <c r="BF30" s="763" t="s">
        <v>1194</v>
      </c>
      <c r="BG30" s="764" t="s">
        <v>1195</v>
      </c>
      <c r="BH30" s="763" t="s">
        <v>1196</v>
      </c>
      <c r="BI30" s="764" t="s">
        <v>1197</v>
      </c>
      <c r="BJ30" s="1828" t="s">
        <v>1198</v>
      </c>
      <c r="BK30" s="621" t="s">
        <v>1199</v>
      </c>
    </row>
    <row r="31" spans="2:63" s="2" customFormat="1" ht="14.5" thickBot="1">
      <c r="B31" s="385"/>
      <c r="E31" s="5"/>
      <c r="F31" s="5"/>
      <c r="G31" s="765"/>
      <c r="H31" s="765"/>
      <c r="I31" s="765"/>
      <c r="J31" s="765"/>
      <c r="K31" s="765"/>
      <c r="L31" s="765"/>
      <c r="N31" s="120"/>
      <c r="O31" s="120"/>
      <c r="P31" s="126"/>
      <c r="Q31" s="119"/>
      <c r="R31" s="239"/>
      <c r="S31" s="239"/>
      <c r="T31" s="239"/>
      <c r="U31" s="239"/>
      <c r="V31" s="119"/>
      <c r="W31" s="110"/>
      <c r="X31" s="119"/>
      <c r="Y31" s="110"/>
      <c r="Z31" s="110"/>
      <c r="AA31" s="110"/>
      <c r="AB31" s="110"/>
      <c r="AC31" s="110"/>
      <c r="AD31" s="119"/>
      <c r="BA31" s="385"/>
      <c r="BD31" s="5"/>
      <c r="BE31" s="5"/>
      <c r="BF31" s="765"/>
      <c r="BG31" s="765"/>
      <c r="BH31" s="765"/>
      <c r="BI31" s="765"/>
      <c r="BJ31" s="765"/>
      <c r="BK31" s="765"/>
    </row>
    <row r="32" spans="2:63" s="2" customFormat="1" ht="14.5" thickBot="1">
      <c r="B32" s="338" t="s">
        <v>1200</v>
      </c>
      <c r="C32" s="264" t="s">
        <v>1201</v>
      </c>
      <c r="D32" s="264"/>
      <c r="E32" s="339" t="s">
        <v>49</v>
      </c>
      <c r="F32" s="266">
        <v>3</v>
      </c>
      <c r="G32" s="340">
        <f xml:space="preserve"> G17 + G27 - G30</f>
        <v>19.25840270411484</v>
      </c>
      <c r="H32" s="342">
        <f t="shared" ref="H32:K32" si="10" xml:space="preserve"> H17 + H27 - H30</f>
        <v>108.82435228922974</v>
      </c>
      <c r="I32" s="766">
        <f t="shared" si="10"/>
        <v>0</v>
      </c>
      <c r="J32" s="1853">
        <f t="shared" si="10"/>
        <v>0</v>
      </c>
      <c r="K32" s="342">
        <f t="shared" si="10"/>
        <v>0</v>
      </c>
      <c r="L32" s="621">
        <f xml:space="preserve"> SUM( G32:K32 )</f>
        <v>128.08275499334457</v>
      </c>
      <c r="M32" s="92"/>
      <c r="N32" s="126"/>
      <c r="O32" s="126"/>
      <c r="P32" s="126"/>
      <c r="Q32" s="119"/>
      <c r="R32" s="239"/>
      <c r="S32" s="239"/>
      <c r="T32" s="239"/>
      <c r="U32" s="239"/>
      <c r="V32" s="119"/>
      <c r="W32" s="178"/>
      <c r="X32" s="119"/>
      <c r="Y32" s="178"/>
      <c r="Z32" s="178"/>
      <c r="AA32" s="178"/>
      <c r="AB32" s="178"/>
      <c r="AC32" s="178"/>
      <c r="AD32" s="119"/>
      <c r="BA32" s="338" t="s">
        <v>1200</v>
      </c>
      <c r="BB32" s="264" t="s">
        <v>1201</v>
      </c>
      <c r="BC32" s="264"/>
      <c r="BD32" s="339" t="s">
        <v>49</v>
      </c>
      <c r="BE32" s="266">
        <v>3</v>
      </c>
      <c r="BF32" s="340" t="s">
        <v>1202</v>
      </c>
      <c r="BG32" s="342" t="s">
        <v>1203</v>
      </c>
      <c r="BH32" s="766" t="s">
        <v>1204</v>
      </c>
      <c r="BI32" s="342" t="s">
        <v>1205</v>
      </c>
      <c r="BJ32" s="342" t="s">
        <v>1206</v>
      </c>
      <c r="BK32" s="621" t="s">
        <v>1207</v>
      </c>
    </row>
    <row r="33" spans="2:63" s="2" customFormat="1" ht="14.5" thickBot="1">
      <c r="B33" s="385"/>
      <c r="E33" s="5"/>
      <c r="F33" s="5"/>
      <c r="G33" s="765"/>
      <c r="H33" s="765"/>
      <c r="I33" s="765"/>
      <c r="J33" s="765"/>
      <c r="K33" s="765"/>
      <c r="L33" s="765"/>
      <c r="N33" s="120"/>
      <c r="O33" s="120"/>
      <c r="P33" s="126"/>
      <c r="Q33" s="119"/>
      <c r="R33" s="239"/>
      <c r="S33" s="239"/>
      <c r="T33" s="239"/>
      <c r="U33" s="239"/>
      <c r="V33" s="119"/>
      <c r="W33" s="110"/>
      <c r="X33" s="119"/>
      <c r="Y33" s="110"/>
      <c r="Z33" s="110"/>
      <c r="AA33" s="110"/>
      <c r="AB33" s="110"/>
      <c r="AC33" s="110"/>
      <c r="AD33" s="119"/>
      <c r="BA33" s="385"/>
      <c r="BD33" s="5"/>
      <c r="BE33" s="5"/>
      <c r="BF33" s="765"/>
      <c r="BG33" s="765"/>
      <c r="BH33" s="765"/>
      <c r="BI33" s="765"/>
      <c r="BJ33" s="765"/>
      <c r="BK33" s="765"/>
    </row>
    <row r="34" spans="2:63" s="2" customFormat="1" ht="14.5" thickBot="1">
      <c r="B34" s="2851" t="s">
        <v>390</v>
      </c>
      <c r="C34" s="298" t="s">
        <v>1208</v>
      </c>
      <c r="D34" s="1476"/>
      <c r="E34" s="5"/>
      <c r="F34" s="5"/>
      <c r="G34" s="765"/>
      <c r="H34" s="765"/>
      <c r="I34" s="765"/>
      <c r="J34" s="765"/>
      <c r="K34" s="765"/>
      <c r="L34" s="765"/>
      <c r="N34" s="120"/>
      <c r="O34" s="120"/>
      <c r="P34" s="126"/>
      <c r="Q34" s="119"/>
      <c r="R34" s="239"/>
      <c r="S34" s="239"/>
      <c r="T34" s="239"/>
      <c r="U34" s="239"/>
      <c r="V34" s="119"/>
      <c r="W34" s="110"/>
      <c r="X34" s="119"/>
      <c r="Y34" s="110"/>
      <c r="Z34" s="110"/>
      <c r="AA34" s="110"/>
      <c r="AB34" s="110"/>
      <c r="AC34" s="110"/>
      <c r="AD34" s="119"/>
      <c r="BA34" s="2851" t="s">
        <v>390</v>
      </c>
      <c r="BB34" s="298" t="s">
        <v>1208</v>
      </c>
      <c r="BC34" s="1476"/>
      <c r="BD34" s="5"/>
      <c r="BE34" s="5"/>
      <c r="BF34" s="765"/>
      <c r="BG34" s="765"/>
      <c r="BH34" s="765"/>
      <c r="BI34" s="765"/>
      <c r="BJ34" s="765"/>
      <c r="BK34" s="765"/>
    </row>
    <row r="35" spans="2:63" s="2" customFormat="1">
      <c r="B35" s="288" t="s">
        <v>1209</v>
      </c>
      <c r="C35" s="273" t="s">
        <v>1210</v>
      </c>
      <c r="D35" s="273"/>
      <c r="E35" s="300" t="s">
        <v>49</v>
      </c>
      <c r="F35" s="275">
        <v>3</v>
      </c>
      <c r="G35" s="737">
        <f xml:space="preserve"> SUM( '4D'!G36:H36 )</f>
        <v>0</v>
      </c>
      <c r="H35" s="738">
        <f xml:space="preserve"> SUM( '4D'!I36:L36 )</f>
        <v>0</v>
      </c>
      <c r="I35" s="737">
        <f xml:space="preserve"> SUM( '4E'!G36:K36 )</f>
        <v>0</v>
      </c>
      <c r="J35" s="1854">
        <f xml:space="preserve"> SUM( '4E'!L36:N36 )</f>
        <v>0</v>
      </c>
      <c r="K35" s="1864"/>
      <c r="L35" s="379">
        <f t="shared" ref="L35:L36" si="11" xml:space="preserve"> SUM( G35:K35 )</f>
        <v>0</v>
      </c>
      <c r="M35" s="92"/>
      <c r="N35" s="130"/>
      <c r="O35" s="24">
        <f t="shared" ref="O35:O36" si="12" xml:space="preserve"> IF( SUM( Q35:V35 ) = 0, 0, $R$5 )</f>
        <v>0</v>
      </c>
      <c r="P35" s="126"/>
      <c r="Q35" s="119"/>
      <c r="R35" s="127"/>
      <c r="S35" s="127"/>
      <c r="T35" s="127"/>
      <c r="U35" s="93">
        <f>IF( Validation!$H$3=1, 0, IF(Validation!$B$3 &lt;&gt; "Thames Water", 0, (IF(ISNUMBER(K35), 0, 1))))</f>
        <v>0</v>
      </c>
      <c r="V35" s="119"/>
      <c r="W35" s="178"/>
      <c r="X35" s="119"/>
      <c r="Y35" s="178"/>
      <c r="Z35" s="178"/>
      <c r="AA35" s="178"/>
      <c r="AB35" s="178"/>
      <c r="AC35" s="178"/>
      <c r="AD35" s="119"/>
      <c r="BA35" s="288" t="s">
        <v>1209</v>
      </c>
      <c r="BB35" s="273" t="s">
        <v>1210</v>
      </c>
      <c r="BC35" s="273"/>
      <c r="BD35" s="300" t="s">
        <v>49</v>
      </c>
      <c r="BE35" s="275">
        <v>3</v>
      </c>
      <c r="BF35" s="737" t="s">
        <v>1211</v>
      </c>
      <c r="BG35" s="738" t="s">
        <v>1212</v>
      </c>
      <c r="BH35" s="737" t="s">
        <v>1213</v>
      </c>
      <c r="BI35" s="738" t="s">
        <v>1214</v>
      </c>
      <c r="BJ35" s="1829" t="s">
        <v>1215</v>
      </c>
      <c r="BK35" s="379" t="s">
        <v>1216</v>
      </c>
    </row>
    <row r="36" spans="2:63" s="2" customFormat="1" ht="14.5" thickBot="1">
      <c r="B36" s="290" t="s">
        <v>1217</v>
      </c>
      <c r="C36" s="282" t="s">
        <v>1218</v>
      </c>
      <c r="D36" s="282"/>
      <c r="E36" s="283" t="s">
        <v>49</v>
      </c>
      <c r="F36" s="284">
        <v>3</v>
      </c>
      <c r="G36" s="739">
        <f xml:space="preserve"> SUM( '4D'!G37:H37 )</f>
        <v>0</v>
      </c>
      <c r="H36" s="740">
        <f xml:space="preserve"> SUM( '4D'!I37:L37 )</f>
        <v>0</v>
      </c>
      <c r="I36" s="739">
        <f xml:space="preserve"> SUM( '4E'!G37:K37 )</f>
        <v>0</v>
      </c>
      <c r="J36" s="1855">
        <f xml:space="preserve"> SUM( '4E'!L37:N37 )</f>
        <v>0</v>
      </c>
      <c r="K36" s="1865"/>
      <c r="L36" s="344">
        <f t="shared" si="11"/>
        <v>0</v>
      </c>
      <c r="M36" s="92"/>
      <c r="N36" s="120"/>
      <c r="O36" s="24">
        <f t="shared" si="12"/>
        <v>0</v>
      </c>
      <c r="P36" s="126"/>
      <c r="Q36" s="119"/>
      <c r="R36" s="127"/>
      <c r="S36" s="127"/>
      <c r="T36" s="127"/>
      <c r="U36" s="93">
        <f>IF( Validation!$H$3=1, 0, IF(Validation!$B$3 &lt;&gt; "Thames Water", 0, (IF(ISNUMBER(K36), 0, 1))))</f>
        <v>0</v>
      </c>
      <c r="V36" s="119"/>
      <c r="W36" s="110"/>
      <c r="X36" s="119"/>
      <c r="Y36" s="110"/>
      <c r="Z36" s="110"/>
      <c r="AA36" s="110"/>
      <c r="AB36" s="110"/>
      <c r="AC36" s="110"/>
      <c r="AD36" s="119"/>
      <c r="BA36" s="290" t="s">
        <v>1217</v>
      </c>
      <c r="BB36" s="282" t="s">
        <v>1218</v>
      </c>
      <c r="BC36" s="282"/>
      <c r="BD36" s="283" t="s">
        <v>49</v>
      </c>
      <c r="BE36" s="284">
        <v>3</v>
      </c>
      <c r="BF36" s="739" t="s">
        <v>1219</v>
      </c>
      <c r="BG36" s="740" t="s">
        <v>1220</v>
      </c>
      <c r="BH36" s="739" t="s">
        <v>1221</v>
      </c>
      <c r="BI36" s="740" t="s">
        <v>1222</v>
      </c>
      <c r="BJ36" s="1830" t="s">
        <v>1223</v>
      </c>
      <c r="BK36" s="344" t="s">
        <v>1224</v>
      </c>
    </row>
    <row r="37" spans="2:63" s="2" customFormat="1" ht="14.5" thickBot="1">
      <c r="B37" s="270"/>
      <c r="C37" s="267"/>
      <c r="D37" s="267"/>
      <c r="E37" s="269"/>
      <c r="F37" s="269"/>
      <c r="G37" s="386"/>
      <c r="H37" s="386"/>
      <c r="I37" s="386"/>
      <c r="J37" s="386"/>
      <c r="K37" s="765"/>
      <c r="L37" s="390"/>
      <c r="M37" s="92"/>
      <c r="N37" s="120"/>
      <c r="O37" s="120"/>
      <c r="P37" s="126"/>
      <c r="Q37" s="119"/>
      <c r="R37" s="126"/>
      <c r="S37" s="126"/>
      <c r="T37" s="126"/>
      <c r="U37" s="126"/>
      <c r="V37" s="119"/>
      <c r="W37" s="110"/>
      <c r="X37" s="119"/>
      <c r="Y37" s="110"/>
      <c r="Z37" s="110"/>
      <c r="AA37" s="110"/>
      <c r="AB37" s="110"/>
      <c r="AC37" s="110"/>
      <c r="AD37" s="119"/>
      <c r="BA37" s="270"/>
      <c r="BB37" s="267"/>
      <c r="BC37" s="267"/>
      <c r="BD37" s="269"/>
      <c r="BE37" s="269"/>
      <c r="BF37" s="386"/>
      <c r="BG37" s="386"/>
      <c r="BH37" s="386"/>
      <c r="BI37" s="386"/>
      <c r="BJ37" s="386"/>
      <c r="BK37" s="390"/>
    </row>
    <row r="38" spans="2:63" s="2" customFormat="1" ht="14.5" thickBot="1">
      <c r="B38" s="261" t="s">
        <v>464</v>
      </c>
      <c r="C38" s="27" t="s">
        <v>708</v>
      </c>
      <c r="D38" s="1476"/>
      <c r="E38" s="269"/>
      <c r="F38" s="269"/>
      <c r="G38" s="386"/>
      <c r="H38" s="386"/>
      <c r="I38" s="386"/>
      <c r="J38" s="386"/>
      <c r="K38" s="765"/>
      <c r="L38" s="390"/>
      <c r="M38" s="92"/>
      <c r="N38" s="120"/>
      <c r="O38" s="120"/>
      <c r="P38" s="118"/>
      <c r="Q38" s="119"/>
      <c r="R38" s="120"/>
      <c r="S38" s="120"/>
      <c r="T38" s="120"/>
      <c r="U38" s="118"/>
      <c r="V38" s="119"/>
      <c r="W38" s="110"/>
      <c r="X38" s="119"/>
      <c r="Y38" s="110"/>
      <c r="Z38" s="110"/>
      <c r="AA38" s="110"/>
      <c r="AB38" s="110"/>
      <c r="AC38" s="110"/>
      <c r="AD38" s="119"/>
      <c r="BA38" s="261" t="s">
        <v>464</v>
      </c>
      <c r="BB38" s="27" t="s">
        <v>708</v>
      </c>
      <c r="BC38" s="1476"/>
      <c r="BD38" s="269"/>
      <c r="BE38" s="269"/>
      <c r="BF38" s="386"/>
      <c r="BG38" s="386"/>
      <c r="BH38" s="386"/>
      <c r="BI38" s="386"/>
      <c r="BJ38" s="386"/>
      <c r="BK38" s="390"/>
    </row>
    <row r="39" spans="2:63" s="2" customFormat="1" ht="14.5" thickBot="1">
      <c r="B39" s="338" t="s">
        <v>1225</v>
      </c>
      <c r="C39" s="264" t="s">
        <v>1226</v>
      </c>
      <c r="D39" s="264"/>
      <c r="E39" s="339" t="s">
        <v>49</v>
      </c>
      <c r="F39" s="266">
        <v>3</v>
      </c>
      <c r="G39" s="340">
        <f xml:space="preserve"> G32 + SUM( G35:G36 )</f>
        <v>19.25840270411484</v>
      </c>
      <c r="H39" s="342">
        <f t="shared" ref="H39:K39" si="13" xml:space="preserve"> H32 + SUM( H35:H36 )</f>
        <v>108.82435228922974</v>
      </c>
      <c r="I39" s="766">
        <f xml:space="preserve"> I32 + SUM( I35:I36 )</f>
        <v>0</v>
      </c>
      <c r="J39" s="1853">
        <f t="shared" si="13"/>
        <v>0</v>
      </c>
      <c r="K39" s="342">
        <f t="shared" si="13"/>
        <v>0</v>
      </c>
      <c r="L39" s="621">
        <f t="shared" ref="L39" si="14" xml:space="preserve"> L32 + SUM( L35:L36 )</f>
        <v>128.08275499334457</v>
      </c>
      <c r="M39" s="92"/>
      <c r="N39" s="120"/>
      <c r="O39" s="120"/>
      <c r="P39" s="118"/>
      <c r="Q39" s="124"/>
      <c r="R39" s="120"/>
      <c r="S39" s="120"/>
      <c r="T39" s="120"/>
      <c r="U39" s="118"/>
      <c r="V39" s="124"/>
      <c r="W39" s="110"/>
      <c r="X39" s="119"/>
      <c r="Y39" s="110"/>
      <c r="Z39" s="110"/>
      <c r="AA39" s="110"/>
      <c r="AB39" s="110"/>
      <c r="AC39" s="110"/>
      <c r="AD39" s="119"/>
      <c r="BA39" s="338" t="s">
        <v>1225</v>
      </c>
      <c r="BB39" s="264" t="s">
        <v>1226</v>
      </c>
      <c r="BC39" s="264"/>
      <c r="BD39" s="339" t="s">
        <v>49</v>
      </c>
      <c r="BE39" s="266">
        <v>3</v>
      </c>
      <c r="BF39" s="340" t="s">
        <v>1227</v>
      </c>
      <c r="BG39" s="342" t="s">
        <v>1228</v>
      </c>
      <c r="BH39" s="766" t="s">
        <v>1229</v>
      </c>
      <c r="BI39" s="342" t="s">
        <v>1230</v>
      </c>
      <c r="BJ39" s="1843" t="s">
        <v>1231</v>
      </c>
      <c r="BK39" s="621" t="s">
        <v>1232</v>
      </c>
    </row>
    <row r="40" spans="2:63" s="110" customFormat="1">
      <c r="C40" s="152"/>
      <c r="D40" s="152"/>
      <c r="J40" s="163"/>
      <c r="K40" s="163"/>
      <c r="M40" s="118"/>
      <c r="N40" s="120"/>
      <c r="O40" s="120"/>
      <c r="P40" s="118"/>
      <c r="Q40" s="124"/>
      <c r="R40" s="130"/>
      <c r="S40" s="130"/>
      <c r="T40" s="130"/>
      <c r="U40" s="118"/>
      <c r="V40" s="124"/>
      <c r="X40" s="119"/>
      <c r="AD40" s="119"/>
      <c r="BB40" s="152"/>
      <c r="BC40" s="152"/>
      <c r="BI40" s="163"/>
      <c r="BJ40" s="163"/>
    </row>
    <row r="41" spans="2:63" s="163" customFormat="1">
      <c r="B41" s="2914" t="s">
        <v>241</v>
      </c>
      <c r="C41" s="2914"/>
      <c r="D41" s="2823"/>
      <c r="M41" s="126"/>
      <c r="N41" s="120"/>
      <c r="O41" s="120"/>
      <c r="P41" s="118"/>
      <c r="Q41" s="124"/>
      <c r="R41" s="120"/>
      <c r="S41" s="120"/>
      <c r="T41" s="120"/>
      <c r="U41" s="118"/>
      <c r="V41" s="124"/>
      <c r="W41" s="110"/>
      <c r="X41" s="119"/>
      <c r="Y41" s="110"/>
      <c r="Z41" s="110"/>
      <c r="AA41" s="110"/>
      <c r="AB41" s="110"/>
      <c r="AC41" s="110"/>
      <c r="AD41" s="119"/>
    </row>
    <row r="42" spans="2:63" s="163" customFormat="1">
      <c r="B42" s="141"/>
      <c r="C42" s="142"/>
      <c r="D42" s="142"/>
      <c r="M42" s="126"/>
      <c r="N42" s="120"/>
      <c r="O42" s="120"/>
      <c r="P42" s="110"/>
      <c r="Q42" s="124"/>
      <c r="R42" s="110"/>
      <c r="S42" s="110"/>
      <c r="T42" s="110"/>
      <c r="U42" s="110"/>
      <c r="V42" s="124"/>
      <c r="W42" s="110"/>
      <c r="X42" s="119"/>
      <c r="Y42" s="110"/>
      <c r="Z42" s="110"/>
      <c r="AA42" s="110"/>
      <c r="AB42" s="110"/>
      <c r="AC42" s="110"/>
      <c r="AD42" s="119"/>
    </row>
    <row r="43" spans="2:63" s="163" customFormat="1">
      <c r="B43" s="25"/>
      <c r="C43" s="143" t="s">
        <v>188</v>
      </c>
      <c r="D43" s="143"/>
      <c r="M43" s="126"/>
      <c r="N43" s="120"/>
      <c r="O43" s="120"/>
      <c r="P43" s="110"/>
      <c r="Q43" s="124"/>
      <c r="R43" s="110"/>
      <c r="S43" s="110"/>
      <c r="T43" s="110"/>
      <c r="U43" s="110"/>
      <c r="V43" s="124"/>
      <c r="W43" s="110"/>
      <c r="X43" s="124"/>
      <c r="Y43" s="110"/>
      <c r="Z43" s="110"/>
      <c r="AA43" s="110"/>
      <c r="AB43" s="110"/>
      <c r="AC43" s="110"/>
      <c r="AD43" s="124"/>
    </row>
    <row r="44" spans="2:63" s="163" customFormat="1">
      <c r="B44" s="141"/>
      <c r="C44" s="142"/>
      <c r="D44" s="142"/>
      <c r="M44" s="126"/>
      <c r="N44" s="120"/>
      <c r="O44" s="120"/>
      <c r="P44" s="120"/>
      <c r="Q44" s="124"/>
      <c r="R44" s="120"/>
      <c r="S44" s="120"/>
      <c r="T44" s="120"/>
      <c r="U44" s="120"/>
      <c r="V44" s="124"/>
      <c r="W44" s="110"/>
      <c r="X44" s="124"/>
      <c r="Y44" s="110"/>
      <c r="Z44" s="110"/>
      <c r="AA44" s="110"/>
      <c r="AB44" s="110"/>
      <c r="AC44" s="110"/>
      <c r="AD44" s="124"/>
    </row>
    <row r="45" spans="2:63" s="163" customFormat="1">
      <c r="B45" s="144"/>
      <c r="C45" s="143" t="s">
        <v>189</v>
      </c>
      <c r="D45" s="143"/>
      <c r="M45" s="126"/>
      <c r="N45" s="120"/>
      <c r="O45" s="120"/>
      <c r="P45" s="120"/>
      <c r="Q45" s="124"/>
      <c r="R45" s="120"/>
      <c r="S45" s="120"/>
      <c r="T45" s="120"/>
      <c r="U45" s="120"/>
      <c r="V45" s="124"/>
      <c r="W45" s="110"/>
      <c r="X45" s="124"/>
      <c r="Y45" s="110"/>
      <c r="Z45" s="110"/>
      <c r="AA45" s="110"/>
      <c r="AB45" s="110"/>
      <c r="AC45" s="110"/>
      <c r="AD45" s="124"/>
    </row>
    <row r="46" spans="2:63" s="163" customFormat="1">
      <c r="B46" s="145"/>
      <c r="C46" s="143"/>
      <c r="D46" s="143"/>
      <c r="M46" s="126"/>
      <c r="N46" s="120"/>
      <c r="O46" s="120"/>
      <c r="P46" s="120"/>
      <c r="Q46" s="124"/>
      <c r="R46" s="120"/>
      <c r="S46" s="120"/>
      <c r="T46" s="120"/>
      <c r="U46" s="120"/>
      <c r="V46" s="124"/>
      <c r="W46" s="110"/>
      <c r="X46" s="124"/>
      <c r="Y46" s="110"/>
      <c r="Z46" s="110"/>
      <c r="AA46" s="110"/>
      <c r="AB46" s="110"/>
      <c r="AC46" s="110"/>
      <c r="AD46" s="124"/>
    </row>
    <row r="47" spans="2:63" s="178" customFormat="1" ht="14.5" thickBot="1">
      <c r="C47" s="179"/>
      <c r="D47" s="179"/>
      <c r="M47" s="130"/>
      <c r="N47" s="74"/>
      <c r="O47" s="74"/>
      <c r="P47" s="70"/>
      <c r="Q47" s="71"/>
      <c r="R47" s="70"/>
      <c r="S47" s="70"/>
      <c r="T47" s="70"/>
      <c r="U47" s="70"/>
      <c r="V47" s="71"/>
      <c r="W47" s="74"/>
      <c r="X47" s="124"/>
      <c r="Y47" s="74"/>
      <c r="Z47" s="74"/>
      <c r="AA47" s="74"/>
      <c r="AB47" s="74"/>
      <c r="AC47" s="74"/>
      <c r="AD47" s="124"/>
    </row>
    <row r="48" spans="2:63" s="178" customFormat="1" ht="15.5" thickBot="1">
      <c r="B48" s="2886" t="str">
        <f>'2A'!B30</f>
        <v>Please refer to RAG 4.08 - Guideline for the table definitions in the annual performance report for the reporting year 2019-20</v>
      </c>
      <c r="C48" s="147"/>
      <c r="D48" s="147"/>
      <c r="E48" s="148"/>
      <c r="F48" s="148"/>
      <c r="G48" s="148"/>
      <c r="H48" s="148"/>
      <c r="I48" s="148"/>
      <c r="J48" s="148"/>
      <c r="K48" s="148"/>
      <c r="L48" s="251"/>
      <c r="M48" s="130"/>
      <c r="N48" s="74"/>
      <c r="O48" s="74"/>
      <c r="P48" s="70"/>
      <c r="Q48" s="71"/>
      <c r="R48" s="70"/>
      <c r="S48" s="70"/>
      <c r="T48" s="70"/>
      <c r="U48" s="70"/>
      <c r="V48" s="71"/>
      <c r="W48" s="74"/>
      <c r="X48" s="124"/>
      <c r="Y48" s="74"/>
      <c r="Z48" s="74"/>
      <c r="AA48" s="74"/>
      <c r="AB48" s="74"/>
      <c r="AC48" s="74"/>
      <c r="AD48" s="124"/>
    </row>
    <row r="49" spans="1:30" s="178" customFormat="1">
      <c r="C49" s="179"/>
      <c r="D49" s="179"/>
      <c r="M49" s="130"/>
      <c r="N49" s="74"/>
      <c r="O49" s="74"/>
      <c r="P49" s="70"/>
      <c r="Q49" s="71"/>
      <c r="R49" s="70"/>
      <c r="S49" s="70"/>
      <c r="T49" s="70"/>
      <c r="U49" s="70"/>
      <c r="V49" s="71"/>
      <c r="W49" s="74"/>
      <c r="X49" s="124"/>
      <c r="Y49" s="74"/>
      <c r="Z49" s="74"/>
      <c r="AA49" s="74"/>
      <c r="AB49" s="74"/>
      <c r="AC49" s="74"/>
      <c r="AD49" s="124"/>
    </row>
    <row r="50" spans="1:30" s="110" customFormat="1" ht="15.5" hidden="1" thickBot="1">
      <c r="A50" s="1528"/>
      <c r="B50" s="146" t="str">
        <f ca="1" xml:space="preserve"> RIGHT(CELL("filename", $A$1), LEN(CELL("filename", $A$1)) - SEARCH("]", CELL("filename", $A$1)))&amp;" - Line definitions"</f>
        <v>2B - Line definitions</v>
      </c>
      <c r="C50" s="147"/>
      <c r="D50" s="147"/>
      <c r="E50" s="148"/>
      <c r="F50" s="148"/>
      <c r="G50" s="148"/>
      <c r="H50" s="148"/>
      <c r="I50" s="148"/>
      <c r="J50" s="148"/>
      <c r="K50" s="148"/>
      <c r="L50" s="251"/>
      <c r="M50" s="130"/>
      <c r="N50" s="74"/>
      <c r="O50" s="74"/>
      <c r="P50" s="70"/>
      <c r="Q50" s="71"/>
      <c r="R50" s="70"/>
      <c r="S50" s="70"/>
      <c r="T50" s="70"/>
      <c r="U50" s="70"/>
      <c r="V50" s="71"/>
      <c r="W50" s="74"/>
      <c r="X50" s="124"/>
      <c r="Y50" s="74"/>
      <c r="Z50" s="74"/>
      <c r="AA50" s="74"/>
      <c r="AB50" s="74"/>
      <c r="AC50" s="74"/>
      <c r="AD50" s="124"/>
    </row>
    <row r="51" spans="1:30" s="110" customFormat="1" ht="14.5" hidden="1" thickBot="1">
      <c r="A51" s="1528"/>
      <c r="B51" s="74"/>
      <c r="C51" s="155"/>
      <c r="D51" s="155"/>
      <c r="E51" s="74"/>
      <c r="F51" s="74"/>
      <c r="G51" s="74"/>
      <c r="H51" s="74"/>
      <c r="I51" s="74"/>
      <c r="M51" s="130"/>
      <c r="N51" s="74"/>
      <c r="O51" s="74"/>
      <c r="P51" s="70"/>
      <c r="Q51" s="71"/>
      <c r="U51" s="70"/>
      <c r="V51" s="71"/>
      <c r="W51" s="74"/>
      <c r="X51" s="124"/>
      <c r="Y51" s="74"/>
      <c r="Z51" s="74"/>
      <c r="AA51" s="74"/>
      <c r="AB51" s="74"/>
      <c r="AC51" s="74"/>
      <c r="AD51" s="124"/>
    </row>
    <row r="52" spans="1:30" s="178" customFormat="1" ht="14.5" hidden="1" thickBot="1">
      <c r="A52" s="1529"/>
      <c r="B52" s="367" t="s">
        <v>191</v>
      </c>
      <c r="C52" s="368" t="s">
        <v>192</v>
      </c>
      <c r="D52" s="369"/>
      <c r="E52" s="369"/>
      <c r="F52" s="369"/>
      <c r="G52" s="369"/>
      <c r="H52" s="369"/>
      <c r="I52" s="369"/>
      <c r="J52" s="369"/>
      <c r="K52" s="369"/>
      <c r="L52" s="387"/>
      <c r="M52" s="2"/>
      <c r="N52" s="74"/>
      <c r="O52" s="74"/>
      <c r="P52" s="70"/>
      <c r="Q52" s="71"/>
      <c r="R52" s="85" t="s">
        <v>193</v>
      </c>
      <c r="S52" s="85"/>
      <c r="T52" s="85"/>
      <c r="U52" s="70"/>
      <c r="V52" s="71"/>
      <c r="W52" s="74"/>
      <c r="X52" s="71"/>
      <c r="Y52" s="74"/>
      <c r="Z52" s="74"/>
      <c r="AA52" s="74"/>
      <c r="AB52" s="74"/>
      <c r="AC52" s="74"/>
      <c r="AD52" s="71"/>
    </row>
    <row r="53" spans="1:30" s="110" customFormat="1" ht="23.25" hidden="1" customHeight="1">
      <c r="A53" s="1528"/>
      <c r="B53" s="181" t="s">
        <v>1039</v>
      </c>
      <c r="C53" s="2965" t="s">
        <v>1233</v>
      </c>
      <c r="D53" s="2966"/>
      <c r="E53" s="2966"/>
      <c r="F53" s="2966"/>
      <c r="G53" s="2966"/>
      <c r="H53" s="2966"/>
      <c r="I53" s="2966"/>
      <c r="J53" s="2966"/>
      <c r="K53" s="2966"/>
      <c r="L53" s="2967"/>
      <c r="M53" s="2"/>
      <c r="N53" s="74"/>
      <c r="O53" s="74"/>
      <c r="P53" s="70"/>
      <c r="Q53" s="71"/>
      <c r="R53" s="161" t="s">
        <v>195</v>
      </c>
      <c r="S53" s="158"/>
      <c r="T53" s="158"/>
      <c r="U53" s="70"/>
      <c r="V53" s="71"/>
      <c r="W53" s="74"/>
      <c r="X53" s="71"/>
      <c r="Y53" s="74"/>
      <c r="Z53" s="74"/>
      <c r="AA53" s="74"/>
      <c r="AB53" s="74"/>
      <c r="AC53" s="74"/>
      <c r="AD53" s="71"/>
    </row>
    <row r="54" spans="1:30" s="110" customFormat="1" ht="64.5" hidden="1" customHeight="1">
      <c r="A54" s="1528"/>
      <c r="B54" s="159" t="s">
        <v>1047</v>
      </c>
      <c r="C54" s="2962" t="s">
        <v>1234</v>
      </c>
      <c r="D54" s="2963"/>
      <c r="E54" s="2963"/>
      <c r="F54" s="2963"/>
      <c r="G54" s="2963"/>
      <c r="H54" s="2963"/>
      <c r="I54" s="2963"/>
      <c r="J54" s="2963"/>
      <c r="K54" s="2963"/>
      <c r="L54" s="2964"/>
      <c r="M54" s="2"/>
      <c r="N54" s="74"/>
      <c r="O54" s="74"/>
      <c r="P54" s="70"/>
      <c r="Q54" s="71"/>
      <c r="R54" s="161" t="s">
        <v>787</v>
      </c>
      <c r="S54" s="161"/>
      <c r="T54" s="161"/>
      <c r="U54" s="70"/>
      <c r="V54" s="71"/>
      <c r="W54" s="74"/>
      <c r="X54" s="71"/>
      <c r="Y54" s="74"/>
      <c r="Z54" s="74"/>
      <c r="AA54" s="74"/>
      <c r="AB54" s="74"/>
      <c r="AC54" s="74"/>
      <c r="AD54" s="71"/>
    </row>
    <row r="55" spans="1:30" s="110" customFormat="1" ht="13.5" hidden="1" customHeight="1">
      <c r="A55" s="1528"/>
      <c r="B55" s="159" t="s">
        <v>1055</v>
      </c>
      <c r="C55" s="2962" t="s">
        <v>1235</v>
      </c>
      <c r="D55" s="2963"/>
      <c r="E55" s="2963"/>
      <c r="F55" s="2963"/>
      <c r="G55" s="2963"/>
      <c r="H55" s="2963"/>
      <c r="I55" s="2963"/>
      <c r="J55" s="2963"/>
      <c r="K55" s="2963"/>
      <c r="L55" s="2964"/>
      <c r="M55" s="2"/>
      <c r="N55" s="74"/>
      <c r="O55" s="74"/>
      <c r="P55" s="70"/>
      <c r="Q55" s="71"/>
      <c r="R55" s="158">
        <v>1</v>
      </c>
      <c r="S55" s="158"/>
      <c r="T55" s="158"/>
      <c r="U55" s="70"/>
      <c r="V55" s="71"/>
      <c r="W55" s="74"/>
      <c r="X55" s="71"/>
      <c r="Y55" s="74"/>
      <c r="Z55" s="74"/>
      <c r="AA55" s="74"/>
      <c r="AB55" s="74"/>
      <c r="AC55" s="74"/>
      <c r="AD55" s="71"/>
    </row>
    <row r="56" spans="1:30" s="110" customFormat="1" ht="16.5" hidden="1" customHeight="1">
      <c r="A56" s="1528"/>
      <c r="B56" s="159" t="s">
        <v>1063</v>
      </c>
      <c r="C56" s="2962" t="s">
        <v>1236</v>
      </c>
      <c r="D56" s="2963"/>
      <c r="E56" s="2963"/>
      <c r="F56" s="2963"/>
      <c r="G56" s="2963"/>
      <c r="H56" s="2963"/>
      <c r="I56" s="2963"/>
      <c r="J56" s="2963"/>
      <c r="K56" s="2963"/>
      <c r="L56" s="2964"/>
      <c r="M56" s="2"/>
      <c r="N56" s="74"/>
      <c r="O56" s="74"/>
      <c r="P56" s="70"/>
      <c r="Q56" s="71"/>
      <c r="R56" s="161" t="s">
        <v>195</v>
      </c>
      <c r="S56" s="161"/>
      <c r="T56" s="161"/>
      <c r="U56" s="70"/>
      <c r="V56" s="71"/>
      <c r="W56" s="74"/>
      <c r="X56" s="71"/>
      <c r="Y56" s="74"/>
      <c r="Z56" s="74"/>
      <c r="AA56" s="74"/>
      <c r="AB56" s="74"/>
      <c r="AC56" s="74"/>
      <c r="AD56" s="71"/>
    </row>
    <row r="57" spans="1:30" s="110" customFormat="1" ht="23.25" hidden="1" customHeight="1">
      <c r="A57" s="1528"/>
      <c r="B57" s="159" t="s">
        <v>1071</v>
      </c>
      <c r="C57" s="2962" t="s">
        <v>1237</v>
      </c>
      <c r="D57" s="2963"/>
      <c r="E57" s="2963"/>
      <c r="F57" s="2963"/>
      <c r="G57" s="2963"/>
      <c r="H57" s="2963"/>
      <c r="I57" s="2963"/>
      <c r="J57" s="2963"/>
      <c r="K57" s="2963"/>
      <c r="L57" s="2964"/>
      <c r="M57" s="2"/>
      <c r="N57" s="74"/>
      <c r="O57" s="74"/>
      <c r="P57" s="70"/>
      <c r="Q57" s="71"/>
      <c r="R57" s="161" t="s">
        <v>195</v>
      </c>
      <c r="S57" s="158"/>
      <c r="T57" s="158"/>
      <c r="U57" s="70"/>
      <c r="V57" s="71"/>
      <c r="W57" s="74"/>
      <c r="X57" s="71"/>
      <c r="Y57" s="74"/>
      <c r="Z57" s="74"/>
      <c r="AA57" s="74"/>
      <c r="AB57" s="74"/>
      <c r="AC57" s="74"/>
      <c r="AD57" s="71"/>
    </row>
    <row r="58" spans="1:30" s="110" customFormat="1" ht="23.25" hidden="1" customHeight="1">
      <c r="A58" s="1528"/>
      <c r="B58" s="159" t="s">
        <v>1079</v>
      </c>
      <c r="C58" s="2962" t="s">
        <v>1238</v>
      </c>
      <c r="D58" s="2963"/>
      <c r="E58" s="2963"/>
      <c r="F58" s="2963"/>
      <c r="G58" s="2963"/>
      <c r="H58" s="2963"/>
      <c r="I58" s="2963"/>
      <c r="J58" s="2963"/>
      <c r="K58" s="2963"/>
      <c r="L58" s="2964"/>
      <c r="M58" s="2"/>
      <c r="N58" s="74"/>
      <c r="O58" s="74"/>
      <c r="P58" s="70"/>
      <c r="Q58" s="71"/>
      <c r="R58" s="161" t="s">
        <v>195</v>
      </c>
      <c r="S58" s="158"/>
      <c r="T58" s="158"/>
      <c r="U58" s="70"/>
      <c r="V58" s="71"/>
      <c r="W58" s="74"/>
      <c r="X58" s="71"/>
      <c r="Y58" s="74"/>
      <c r="Z58" s="74"/>
      <c r="AA58" s="74"/>
      <c r="AB58" s="74"/>
      <c r="AC58" s="74"/>
      <c r="AD58" s="71"/>
    </row>
    <row r="59" spans="1:30" s="110" customFormat="1" hidden="1">
      <c r="A59" s="1528"/>
      <c r="B59" s="159" t="s">
        <v>1087</v>
      </c>
      <c r="C59" s="2962" t="s">
        <v>1239</v>
      </c>
      <c r="D59" s="2963"/>
      <c r="E59" s="2963"/>
      <c r="F59" s="2963"/>
      <c r="G59" s="2963"/>
      <c r="H59" s="2963"/>
      <c r="I59" s="2963"/>
      <c r="J59" s="2963"/>
      <c r="K59" s="2963"/>
      <c r="L59" s="2964"/>
      <c r="M59" s="2"/>
      <c r="N59" s="74"/>
      <c r="O59" s="74"/>
      <c r="P59" s="70"/>
      <c r="Q59" s="71"/>
      <c r="R59" s="158">
        <v>1</v>
      </c>
      <c r="S59" s="158"/>
      <c r="T59" s="158"/>
      <c r="U59" s="70"/>
      <c r="V59" s="71"/>
      <c r="W59" s="74"/>
      <c r="X59" s="71"/>
      <c r="Y59" s="74"/>
      <c r="Z59" s="74"/>
      <c r="AA59" s="74"/>
      <c r="AB59" s="74"/>
      <c r="AC59" s="74"/>
      <c r="AD59" s="71"/>
    </row>
    <row r="60" spans="1:30" s="110" customFormat="1" ht="16.149999999999999" hidden="1" customHeight="1">
      <c r="A60" s="1528"/>
      <c r="B60" s="159" t="s">
        <v>1095</v>
      </c>
      <c r="C60" s="2962" t="s">
        <v>1240</v>
      </c>
      <c r="D60" s="2963"/>
      <c r="E60" s="2963"/>
      <c r="F60" s="2963"/>
      <c r="G60" s="2963"/>
      <c r="H60" s="2963"/>
      <c r="I60" s="2963"/>
      <c r="J60" s="2963"/>
      <c r="K60" s="2963"/>
      <c r="L60" s="2964"/>
      <c r="M60" s="2"/>
      <c r="N60" s="74"/>
      <c r="O60" s="74"/>
      <c r="P60" s="70"/>
      <c r="Q60" s="71"/>
      <c r="R60" s="161" t="s">
        <v>195</v>
      </c>
      <c r="S60" s="161"/>
      <c r="T60" s="161"/>
      <c r="U60" s="70"/>
      <c r="V60" s="71"/>
      <c r="W60" s="74"/>
      <c r="X60" s="71"/>
      <c r="Y60" s="74"/>
      <c r="Z60" s="74"/>
      <c r="AA60" s="74"/>
      <c r="AB60" s="74"/>
      <c r="AC60" s="74"/>
      <c r="AD60" s="71"/>
    </row>
    <row r="61" spans="1:30" s="110" customFormat="1" ht="13.5" hidden="1" customHeight="1">
      <c r="A61" s="1528"/>
      <c r="B61" s="159" t="s">
        <v>1103</v>
      </c>
      <c r="C61" s="2962" t="s">
        <v>1241</v>
      </c>
      <c r="D61" s="2963"/>
      <c r="E61" s="2963"/>
      <c r="F61" s="2963"/>
      <c r="G61" s="2963"/>
      <c r="H61" s="2963"/>
      <c r="I61" s="2963"/>
      <c r="J61" s="2963"/>
      <c r="K61" s="2963"/>
      <c r="L61" s="2964"/>
      <c r="M61" s="2"/>
      <c r="N61" s="74"/>
      <c r="O61" s="74"/>
      <c r="P61" s="70"/>
      <c r="Q61" s="71"/>
      <c r="R61" s="158">
        <v>1</v>
      </c>
      <c r="S61" s="158"/>
      <c r="T61" s="158"/>
      <c r="U61" s="70"/>
      <c r="V61" s="71"/>
      <c r="W61" s="74"/>
      <c r="X61" s="71"/>
      <c r="Y61" s="74"/>
      <c r="Z61" s="74"/>
      <c r="AA61" s="74"/>
      <c r="AB61" s="74"/>
      <c r="AC61" s="74"/>
      <c r="AD61" s="71"/>
    </row>
    <row r="62" spans="1:30" s="110" customFormat="1" ht="17.649999999999999" hidden="1" customHeight="1">
      <c r="A62" s="1528"/>
      <c r="B62" s="159" t="s">
        <v>1111</v>
      </c>
      <c r="C62" s="2962" t="s">
        <v>1242</v>
      </c>
      <c r="D62" s="2963"/>
      <c r="E62" s="2963"/>
      <c r="F62" s="2963"/>
      <c r="G62" s="2963"/>
      <c r="H62" s="2963"/>
      <c r="I62" s="2963"/>
      <c r="J62" s="2963"/>
      <c r="K62" s="2963"/>
      <c r="L62" s="2964"/>
      <c r="M62" s="2"/>
      <c r="N62" s="74"/>
      <c r="O62" s="74"/>
      <c r="P62" s="70"/>
      <c r="Q62" s="71"/>
      <c r="R62" s="161" t="s">
        <v>195</v>
      </c>
      <c r="S62" s="161"/>
      <c r="T62" s="161"/>
      <c r="U62" s="70"/>
      <c r="V62" s="71"/>
      <c r="W62" s="74"/>
      <c r="X62" s="71"/>
      <c r="Y62" s="74"/>
      <c r="Z62" s="74"/>
      <c r="AA62" s="74"/>
      <c r="AB62" s="74"/>
      <c r="AC62" s="74"/>
      <c r="AD62" s="71"/>
    </row>
    <row r="63" spans="1:30" s="110" customFormat="1" ht="18.75" hidden="1" customHeight="1">
      <c r="A63" s="1528"/>
      <c r="B63" s="159" t="s">
        <v>1119</v>
      </c>
      <c r="C63" s="2962" t="s">
        <v>1243</v>
      </c>
      <c r="D63" s="2963"/>
      <c r="E63" s="2963"/>
      <c r="F63" s="2963"/>
      <c r="G63" s="2963"/>
      <c r="H63" s="2963"/>
      <c r="I63" s="2963"/>
      <c r="J63" s="2963"/>
      <c r="K63" s="2963"/>
      <c r="L63" s="2964"/>
      <c r="M63" s="2"/>
      <c r="N63" s="74"/>
      <c r="O63" s="74"/>
      <c r="P63" s="70"/>
      <c r="Q63" s="71"/>
      <c r="R63" s="161" t="s">
        <v>195</v>
      </c>
      <c r="S63" s="161"/>
      <c r="T63" s="161"/>
      <c r="U63" s="70"/>
      <c r="V63" s="71"/>
      <c r="W63" s="74"/>
      <c r="X63" s="71"/>
      <c r="Y63" s="74"/>
      <c r="Z63" s="74"/>
      <c r="AA63" s="74"/>
      <c r="AB63" s="74"/>
      <c r="AC63" s="74"/>
      <c r="AD63" s="71"/>
    </row>
    <row r="64" spans="1:30" s="110" customFormat="1" ht="23.25" hidden="1" customHeight="1">
      <c r="A64" s="1528"/>
      <c r="B64" s="159" t="s">
        <v>1128</v>
      </c>
      <c r="C64" s="2962" t="s">
        <v>1244</v>
      </c>
      <c r="D64" s="2963"/>
      <c r="E64" s="2963"/>
      <c r="F64" s="2963"/>
      <c r="G64" s="2963"/>
      <c r="H64" s="2963"/>
      <c r="I64" s="2963"/>
      <c r="J64" s="2963"/>
      <c r="K64" s="2963"/>
      <c r="L64" s="2964"/>
      <c r="M64" s="2"/>
      <c r="N64" s="74"/>
      <c r="O64" s="74"/>
      <c r="P64" s="70"/>
      <c r="Q64" s="71"/>
      <c r="R64" s="161" t="s">
        <v>195</v>
      </c>
      <c r="S64" s="161"/>
      <c r="T64" s="161"/>
      <c r="U64" s="70"/>
      <c r="V64" s="71"/>
      <c r="W64" s="74"/>
      <c r="X64" s="71"/>
      <c r="Y64" s="74"/>
      <c r="Z64" s="74"/>
      <c r="AA64" s="74"/>
      <c r="AB64" s="74"/>
      <c r="AC64" s="74"/>
      <c r="AD64" s="71"/>
    </row>
    <row r="65" spans="1:63" s="110" customFormat="1" ht="23.25" hidden="1" customHeight="1">
      <c r="A65" s="1528"/>
      <c r="B65" s="159" t="s">
        <v>1136</v>
      </c>
      <c r="C65" s="2962" t="s">
        <v>1245</v>
      </c>
      <c r="D65" s="2963"/>
      <c r="E65" s="2963"/>
      <c r="F65" s="2963"/>
      <c r="G65" s="2963"/>
      <c r="H65" s="2963"/>
      <c r="I65" s="2963"/>
      <c r="J65" s="2963"/>
      <c r="K65" s="2963"/>
      <c r="L65" s="2964"/>
      <c r="M65" s="2"/>
      <c r="N65" s="74"/>
      <c r="O65" s="74"/>
      <c r="P65" s="70"/>
      <c r="Q65" s="71"/>
      <c r="R65" s="161" t="s">
        <v>195</v>
      </c>
      <c r="S65" s="161"/>
      <c r="T65" s="161"/>
      <c r="U65" s="70"/>
      <c r="V65" s="71"/>
      <c r="W65" s="74"/>
      <c r="X65" s="71"/>
      <c r="Y65" s="74"/>
      <c r="Z65" s="74"/>
      <c r="AA65" s="74"/>
      <c r="AB65" s="74"/>
      <c r="AC65" s="74"/>
      <c r="AD65" s="71"/>
    </row>
    <row r="66" spans="1:63" s="110" customFormat="1" ht="13.5" hidden="1" customHeight="1">
      <c r="A66" s="1528"/>
      <c r="B66" s="159" t="s">
        <v>1144</v>
      </c>
      <c r="C66" s="2962" t="s">
        <v>1246</v>
      </c>
      <c r="D66" s="2963"/>
      <c r="E66" s="2963"/>
      <c r="F66" s="2963"/>
      <c r="G66" s="2963"/>
      <c r="H66" s="2963"/>
      <c r="I66" s="2963"/>
      <c r="J66" s="2963"/>
      <c r="K66" s="2963"/>
      <c r="L66" s="2964"/>
      <c r="M66" s="2"/>
      <c r="N66" s="74"/>
      <c r="O66" s="74"/>
      <c r="P66" s="70"/>
      <c r="Q66" s="71"/>
      <c r="R66" s="158">
        <v>1</v>
      </c>
      <c r="S66" s="158"/>
      <c r="T66" s="158"/>
      <c r="U66" s="70"/>
      <c r="V66" s="71"/>
      <c r="W66" s="74"/>
      <c r="X66" s="71"/>
      <c r="Y66" s="74"/>
      <c r="Z66" s="74"/>
      <c r="AA66" s="74"/>
      <c r="AB66" s="74"/>
      <c r="AC66" s="74"/>
      <c r="AD66" s="71"/>
    </row>
    <row r="67" spans="1:63" s="110" customFormat="1" ht="13.5" hidden="1" customHeight="1">
      <c r="A67" s="1528"/>
      <c r="B67" s="159" t="s">
        <v>1152</v>
      </c>
      <c r="C67" s="2962" t="s">
        <v>1247</v>
      </c>
      <c r="D67" s="2963"/>
      <c r="E67" s="2963"/>
      <c r="F67" s="2963"/>
      <c r="G67" s="2963"/>
      <c r="H67" s="2963"/>
      <c r="I67" s="2963"/>
      <c r="J67" s="2963"/>
      <c r="K67" s="2963"/>
      <c r="L67" s="2964"/>
      <c r="M67" s="2"/>
      <c r="N67" s="74"/>
      <c r="O67" s="74"/>
      <c r="P67" s="70"/>
      <c r="Q67" s="71"/>
      <c r="R67" s="158">
        <v>1</v>
      </c>
      <c r="S67" s="158"/>
      <c r="T67" s="158"/>
      <c r="U67" s="70"/>
      <c r="V67" s="71"/>
      <c r="W67" s="74"/>
      <c r="X67" s="71"/>
      <c r="Y67" s="74"/>
      <c r="Z67" s="74"/>
      <c r="AA67" s="74"/>
      <c r="AB67" s="74"/>
      <c r="AC67" s="74"/>
      <c r="AD67" s="71"/>
    </row>
    <row r="68" spans="1:63" s="110" customFormat="1" ht="65.650000000000006" hidden="1" customHeight="1">
      <c r="A68" s="1528"/>
      <c r="B68" s="159" t="s">
        <v>1160</v>
      </c>
      <c r="C68" s="2962" t="s">
        <v>1248</v>
      </c>
      <c r="D68" s="2963"/>
      <c r="E68" s="2963"/>
      <c r="F68" s="2963"/>
      <c r="G68" s="2963"/>
      <c r="H68" s="2963"/>
      <c r="I68" s="2963"/>
      <c r="J68" s="2963"/>
      <c r="K68" s="2963"/>
      <c r="L68" s="2964"/>
      <c r="M68" s="2"/>
      <c r="N68" s="74"/>
      <c r="O68" s="74"/>
      <c r="P68" s="70"/>
      <c r="Q68" s="71"/>
      <c r="R68" s="161" t="s">
        <v>782</v>
      </c>
      <c r="S68" s="158"/>
      <c r="T68" s="158"/>
      <c r="U68" s="70"/>
      <c r="V68" s="71"/>
      <c r="W68" s="74"/>
      <c r="X68" s="71"/>
      <c r="Y68" s="74"/>
      <c r="Z68" s="74"/>
      <c r="AA68" s="74"/>
      <c r="AB68" s="74"/>
      <c r="AC68" s="74"/>
      <c r="AD68" s="71"/>
    </row>
    <row r="69" spans="1:63" s="110" customFormat="1" ht="13.5" hidden="1" customHeight="1">
      <c r="A69" s="1528"/>
      <c r="B69" s="159" t="s">
        <v>1168</v>
      </c>
      <c r="C69" s="2962" t="s">
        <v>1249</v>
      </c>
      <c r="D69" s="2963"/>
      <c r="E69" s="2963"/>
      <c r="F69" s="2963"/>
      <c r="G69" s="2963"/>
      <c r="H69" s="2963"/>
      <c r="I69" s="2963"/>
      <c r="J69" s="2963"/>
      <c r="K69" s="2963"/>
      <c r="L69" s="2964"/>
      <c r="M69" s="2"/>
      <c r="N69" s="74"/>
      <c r="O69" s="74"/>
      <c r="P69" s="70"/>
      <c r="Q69" s="71"/>
      <c r="R69" s="158">
        <v>1</v>
      </c>
      <c r="S69" s="158"/>
      <c r="T69" s="158"/>
      <c r="U69" s="70"/>
      <c r="V69" s="71"/>
      <c r="W69" s="74"/>
      <c r="X69" s="71"/>
      <c r="Y69" s="74"/>
      <c r="Z69" s="74"/>
      <c r="AA69" s="74"/>
      <c r="AB69" s="74"/>
      <c r="AC69" s="74"/>
      <c r="AD69" s="71"/>
    </row>
    <row r="70" spans="1:63" s="110" customFormat="1" ht="13.5" hidden="1" customHeight="1">
      <c r="A70" s="1528"/>
      <c r="B70" s="159" t="s">
        <v>1176</v>
      </c>
      <c r="C70" s="2962" t="s">
        <v>1250</v>
      </c>
      <c r="D70" s="2963"/>
      <c r="E70" s="2963"/>
      <c r="F70" s="2963"/>
      <c r="G70" s="2963"/>
      <c r="H70" s="2963"/>
      <c r="I70" s="2963"/>
      <c r="J70" s="2963"/>
      <c r="K70" s="2963"/>
      <c r="L70" s="2964"/>
      <c r="M70" s="2"/>
      <c r="N70" s="74"/>
      <c r="O70" s="74"/>
      <c r="P70" s="70"/>
      <c r="Q70" s="71"/>
      <c r="R70" s="158">
        <v>1</v>
      </c>
      <c r="S70" s="161"/>
      <c r="T70" s="161"/>
      <c r="U70" s="70"/>
      <c r="V70" s="71"/>
      <c r="W70" s="74"/>
      <c r="X70" s="71"/>
      <c r="Y70" s="74"/>
      <c r="Z70" s="74"/>
      <c r="AA70" s="74"/>
      <c r="AB70" s="74"/>
      <c r="AC70" s="74"/>
      <c r="AD70" s="71"/>
    </row>
    <row r="71" spans="1:63" s="110" customFormat="1" hidden="1">
      <c r="A71" s="1528"/>
      <c r="B71" s="159" t="s">
        <v>1183</v>
      </c>
      <c r="C71" s="2962" t="s">
        <v>1251</v>
      </c>
      <c r="D71" s="2963"/>
      <c r="E71" s="2963"/>
      <c r="F71" s="2963"/>
      <c r="G71" s="2963"/>
      <c r="H71" s="2963"/>
      <c r="I71" s="2963"/>
      <c r="J71" s="2963"/>
      <c r="K71" s="2963"/>
      <c r="L71" s="2964"/>
      <c r="M71" s="2"/>
      <c r="N71" s="74"/>
      <c r="O71" s="74"/>
      <c r="P71" s="70"/>
      <c r="Q71" s="71"/>
      <c r="R71" s="158">
        <v>1</v>
      </c>
      <c r="S71" s="158"/>
      <c r="T71" s="158"/>
      <c r="U71" s="70"/>
      <c r="V71" s="71"/>
      <c r="W71" s="74"/>
      <c r="X71" s="71"/>
      <c r="Y71" s="74"/>
      <c r="Z71" s="74"/>
      <c r="AA71" s="74"/>
      <c r="AB71" s="74"/>
      <c r="AC71" s="74"/>
      <c r="AD71" s="71"/>
    </row>
    <row r="72" spans="1:63" s="110" customFormat="1" ht="23.25" hidden="1" customHeight="1">
      <c r="A72" s="1528"/>
      <c r="B72" s="159" t="s">
        <v>1192</v>
      </c>
      <c r="C72" s="2962" t="s">
        <v>1252</v>
      </c>
      <c r="D72" s="2963"/>
      <c r="E72" s="2963"/>
      <c r="F72" s="2963"/>
      <c r="G72" s="2963"/>
      <c r="H72" s="2963"/>
      <c r="I72" s="2963"/>
      <c r="J72" s="2963"/>
      <c r="K72" s="2963"/>
      <c r="L72" s="2964"/>
      <c r="M72" s="2"/>
      <c r="N72" s="74"/>
      <c r="O72" s="74"/>
      <c r="P72" s="70"/>
      <c r="Q72" s="71"/>
      <c r="R72" s="161" t="s">
        <v>195</v>
      </c>
      <c r="S72" s="161"/>
      <c r="T72" s="161"/>
      <c r="U72" s="70"/>
      <c r="V72" s="71"/>
      <c r="W72" s="74"/>
      <c r="X72" s="71"/>
      <c r="Y72" s="74"/>
      <c r="Z72" s="74"/>
      <c r="AA72" s="74"/>
      <c r="AB72" s="74"/>
      <c r="AC72" s="74"/>
      <c r="AD72" s="71"/>
    </row>
    <row r="73" spans="1:63" s="110" customFormat="1" hidden="1">
      <c r="A73" s="1528"/>
      <c r="B73" s="159" t="s">
        <v>1200</v>
      </c>
      <c r="C73" s="2962" t="s">
        <v>1253</v>
      </c>
      <c r="D73" s="2963"/>
      <c r="E73" s="2963"/>
      <c r="F73" s="2963"/>
      <c r="G73" s="2963"/>
      <c r="H73" s="2963"/>
      <c r="I73" s="2963"/>
      <c r="J73" s="2963"/>
      <c r="K73" s="2963"/>
      <c r="L73" s="2964"/>
      <c r="M73" s="2"/>
      <c r="N73" s="74"/>
      <c r="O73" s="74"/>
      <c r="P73" s="70"/>
      <c r="Q73" s="71"/>
      <c r="R73" s="158">
        <v>1</v>
      </c>
      <c r="S73" s="158"/>
      <c r="T73" s="158"/>
      <c r="U73" s="70"/>
      <c r="V73" s="71"/>
      <c r="W73" s="74"/>
      <c r="X73" s="71"/>
      <c r="Y73" s="74"/>
      <c r="Z73" s="74"/>
      <c r="AA73" s="74"/>
      <c r="AB73" s="74"/>
      <c r="AC73" s="74"/>
      <c r="AD73" s="71"/>
    </row>
    <row r="74" spans="1:63" s="110" customFormat="1" ht="13.5" hidden="1" customHeight="1">
      <c r="A74" s="1528"/>
      <c r="B74" s="159" t="s">
        <v>1209</v>
      </c>
      <c r="C74" s="2962" t="s">
        <v>1254</v>
      </c>
      <c r="D74" s="2963"/>
      <c r="E74" s="2963"/>
      <c r="F74" s="2963"/>
      <c r="G74" s="2963"/>
      <c r="H74" s="2963"/>
      <c r="I74" s="2963"/>
      <c r="J74" s="2963"/>
      <c r="K74" s="2963"/>
      <c r="L74" s="2964"/>
      <c r="M74" s="2"/>
      <c r="N74" s="74"/>
      <c r="O74" s="74"/>
      <c r="P74" s="70"/>
      <c r="Q74" s="71"/>
      <c r="R74" s="158">
        <v>1</v>
      </c>
      <c r="S74" s="158"/>
      <c r="T74" s="158"/>
      <c r="U74" s="70"/>
      <c r="V74" s="71"/>
      <c r="W74" s="74"/>
      <c r="X74" s="71"/>
      <c r="Y74" s="74"/>
      <c r="Z74" s="74"/>
      <c r="AA74" s="74"/>
      <c r="AB74" s="74"/>
      <c r="AC74" s="74"/>
      <c r="AD74" s="71"/>
    </row>
    <row r="75" spans="1:63" s="110" customFormat="1" hidden="1">
      <c r="A75" s="1528"/>
      <c r="B75" s="159" t="s">
        <v>1217</v>
      </c>
      <c r="C75" s="2962" t="s">
        <v>1255</v>
      </c>
      <c r="D75" s="2963"/>
      <c r="E75" s="2963"/>
      <c r="F75" s="2963"/>
      <c r="G75" s="2963"/>
      <c r="H75" s="2963"/>
      <c r="I75" s="2963"/>
      <c r="J75" s="2963"/>
      <c r="K75" s="2963"/>
      <c r="L75" s="2964"/>
      <c r="M75" s="2"/>
      <c r="N75" s="74"/>
      <c r="O75" s="74"/>
      <c r="P75" s="70"/>
      <c r="Q75" s="71"/>
      <c r="R75" s="158">
        <v>1</v>
      </c>
      <c r="S75" s="158"/>
      <c r="T75" s="158"/>
      <c r="U75" s="70"/>
      <c r="V75" s="71"/>
      <c r="W75" s="74"/>
      <c r="X75" s="71"/>
      <c r="Y75" s="74"/>
      <c r="Z75" s="74"/>
      <c r="AA75" s="74"/>
      <c r="AB75" s="74"/>
      <c r="AC75" s="74"/>
      <c r="AD75" s="71"/>
    </row>
    <row r="76" spans="1:63" s="110" customFormat="1" ht="14.5" hidden="1" thickBot="1">
      <c r="A76" s="1528"/>
      <c r="B76" s="183" t="s">
        <v>1225</v>
      </c>
      <c r="C76" s="2968" t="s">
        <v>1256</v>
      </c>
      <c r="D76" s="2969"/>
      <c r="E76" s="2969"/>
      <c r="F76" s="2969"/>
      <c r="G76" s="2969"/>
      <c r="H76" s="2969"/>
      <c r="I76" s="2969"/>
      <c r="J76" s="2969"/>
      <c r="K76" s="2969"/>
      <c r="L76" s="2970"/>
      <c r="M76" s="2"/>
      <c r="N76" s="74"/>
      <c r="O76" s="74"/>
      <c r="P76" s="70"/>
      <c r="Q76" s="71"/>
      <c r="R76" s="158">
        <v>1</v>
      </c>
      <c r="S76" s="158"/>
      <c r="T76" s="158"/>
      <c r="U76" s="70"/>
      <c r="V76" s="71"/>
      <c r="W76" s="74"/>
      <c r="X76" s="71"/>
      <c r="Y76" s="74"/>
      <c r="Z76" s="74"/>
      <c r="AA76" s="74"/>
      <c r="AB76" s="74"/>
      <c r="AC76" s="74"/>
      <c r="AD76" s="71"/>
    </row>
    <row r="77" spans="1:63" s="2" customFormat="1" hidden="1">
      <c r="A77" s="1533"/>
      <c r="N77" s="74"/>
      <c r="O77" s="74"/>
      <c r="P77" s="70"/>
      <c r="Q77" s="71"/>
      <c r="R77" s="70"/>
      <c r="S77" s="70"/>
      <c r="T77" s="70"/>
      <c r="U77" s="70"/>
      <c r="V77" s="71"/>
      <c r="W77" s="74"/>
      <c r="X77" s="71"/>
      <c r="Y77" s="74"/>
      <c r="Z77" s="74"/>
      <c r="AA77" s="74"/>
      <c r="AB77" s="74"/>
      <c r="AC77" s="74"/>
      <c r="AD77" s="71"/>
    </row>
    <row r="78" spans="1:63" hidden="1">
      <c r="A78" s="1534"/>
      <c r="BF78" s="82"/>
      <c r="BG78" s="82"/>
      <c r="BH78" s="82"/>
      <c r="BI78" s="82"/>
      <c r="BJ78" s="82"/>
      <c r="BK78" s="82"/>
    </row>
    <row r="79" spans="1:63" hidden="1">
      <c r="A79" s="1534"/>
      <c r="BF79" s="82"/>
      <c r="BG79" s="82"/>
      <c r="BH79" s="82"/>
      <c r="BI79" s="82"/>
      <c r="BJ79" s="82"/>
      <c r="BK79" s="82"/>
    </row>
  </sheetData>
  <sheetProtection algorithmName="SHA-512" hashValue="tYpVrJTMsUdr7QeaHQ5TIhgXfkimxKv1vNSp4DxRHeZZO28PSQ/EBPwpI6YFDZs2y8iQvKR5Im5GQFgJGMCt5g==" saltValue="Sg2TPbYqnrMlV28MsPI+bw==" spinCount="100000" sheet="1" objects="1" scenarios="1"/>
  <mergeCells count="31">
    <mergeCell ref="C58:L58"/>
    <mergeCell ref="C59:L59"/>
    <mergeCell ref="C68:L68"/>
    <mergeCell ref="C76:L76"/>
    <mergeCell ref="C64:L64"/>
    <mergeCell ref="C65:L65"/>
    <mergeCell ref="C66:L66"/>
    <mergeCell ref="C67:L67"/>
    <mergeCell ref="C69:L69"/>
    <mergeCell ref="C70:L70"/>
    <mergeCell ref="C71:L71"/>
    <mergeCell ref="C72:L72"/>
    <mergeCell ref="C73:L73"/>
    <mergeCell ref="C74:L74"/>
    <mergeCell ref="C75:L75"/>
    <mergeCell ref="BA3:BB3"/>
    <mergeCell ref="W3:W4"/>
    <mergeCell ref="Y3:AC4"/>
    <mergeCell ref="AC6:AC7"/>
    <mergeCell ref="C63:L63"/>
    <mergeCell ref="B3:C3"/>
    <mergeCell ref="R3:U4"/>
    <mergeCell ref="B41:C41"/>
    <mergeCell ref="C53:L53"/>
    <mergeCell ref="C54:L54"/>
    <mergeCell ref="C55:L55"/>
    <mergeCell ref="C56:L56"/>
    <mergeCell ref="C57:L57"/>
    <mergeCell ref="C60:L60"/>
    <mergeCell ref="C61:L61"/>
    <mergeCell ref="C62:L62"/>
  </mergeCells>
  <conditionalFormatting sqref="N30 O6:O13">
    <cfRule type="cellIs" dxfId="495" priority="47" operator="equal">
      <formula>0</formula>
    </cfRule>
  </conditionalFormatting>
  <conditionalFormatting sqref="O35:O36">
    <cfRule type="cellIs" dxfId="494" priority="2" operator="equal">
      <formula>0</formula>
    </cfRule>
  </conditionalFormatting>
  <conditionalFormatting sqref="O16">
    <cfRule type="cellIs" dxfId="493" priority="6" operator="equal">
      <formula>0</formula>
    </cfRule>
  </conditionalFormatting>
  <conditionalFormatting sqref="O20:O24">
    <cfRule type="cellIs" dxfId="492" priority="5" operator="equal">
      <formula>0</formula>
    </cfRule>
  </conditionalFormatting>
  <conditionalFormatting sqref="O26">
    <cfRule type="cellIs" dxfId="491" priority="4" operator="equal">
      <formula>0</formula>
    </cfRule>
  </conditionalFormatting>
  <conditionalFormatting sqref="O30">
    <cfRule type="cellIs" dxfId="490" priority="3" operator="equal">
      <formula>0</formula>
    </cfRule>
  </conditionalFormatting>
  <conditionalFormatting sqref="K6:K14 K16:K17 K20:K27 K30 K35:K36 K39 K32">
    <cfRule type="expression" dxfId="489" priority="1">
      <formula>$L$1&lt;&gt;"Thames Water"</formula>
    </cfRule>
  </conditionalFormatting>
  <printOptions horizontalCentered="1"/>
  <pageMargins left="0.39370078740157483" right="0.39370078740157483" top="0.78740157480314965" bottom="0.78740157480314965" header="0.31496062992125984" footer="0.31496062992125984"/>
  <pageSetup paperSize="9" scale="60" orientation="landscape"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67" id="{12652496-AA06-4D42-9C79-16D396A94CAC}">
            <xm:f>Validation!$H$3=1</xm:f>
            <x14:dxf>
              <fill>
                <patternFill>
                  <bgColor rgb="FFE0DCD8"/>
                </patternFill>
              </fill>
            </x14:dxf>
          </x14:cfRule>
          <xm:sqref>I16:K17 I20:K27 I30:K30 I35:K36 I39:K39 I32:K32 I6:K14 BH6:BJ14</xm:sqref>
        </x14:conditionalFormatting>
        <x14:conditionalFormatting xmlns:xm="http://schemas.microsoft.com/office/excel/2006/main">
          <x14:cfRule type="expression" priority="10" id="{92B02FC3-7588-49CA-91DB-0794342675F7}">
            <xm:f>Validation!$H$3=1</xm:f>
            <x14:dxf>
              <fill>
                <patternFill>
                  <bgColor rgb="FFE0DCD8"/>
                </patternFill>
              </fill>
            </x14:dxf>
          </x14:cfRule>
          <xm:sqref>BH16:BI17 BH20:BI27 BH30:BI30 BH32:BI32 BH35:BI36 BH39:BJ39</xm:sqref>
        </x14:conditionalFormatting>
        <x14:conditionalFormatting xmlns:xm="http://schemas.microsoft.com/office/excel/2006/main">
          <x14:cfRule type="expression" priority="9" id="{01F0F4FF-5E82-409A-856E-B857E4CBECBD}">
            <xm:f>Validation!$H$3=1</xm:f>
            <x14:dxf>
              <fill>
                <patternFill>
                  <bgColor rgb="FFE0DCD8"/>
                </patternFill>
              </fill>
            </x14:dxf>
          </x14:cfRule>
          <xm:sqref>BJ16:BJ17 BJ20:BJ27 BJ30 BJ35:BJ36 BJ32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92D050"/>
    <pageSetUpPr fitToPage="1"/>
  </sheetPr>
  <dimension ref="A1:AI48"/>
  <sheetViews>
    <sheetView workbookViewId="0">
      <selection activeCell="B1" sqref="B1:I21"/>
    </sheetView>
  </sheetViews>
  <sheetFormatPr defaultColWidth="0" defaultRowHeight="14" zeroHeight="1"/>
  <cols>
    <col min="1" max="1" width="0.58203125" style="74" customWidth="1"/>
    <col min="2" max="2" width="5.08203125" style="74" customWidth="1"/>
    <col min="3" max="3" width="47.08203125" style="74" customWidth="1"/>
    <col min="4" max="4" width="5.58203125" style="74" hidden="1" customWidth="1"/>
    <col min="5" max="6" width="5.08203125" style="74" customWidth="1"/>
    <col min="7" max="9" width="13.58203125" style="74" customWidth="1"/>
    <col min="10" max="10" width="2.58203125" style="70" customWidth="1"/>
    <col min="11" max="11" width="18.58203125" style="70" bestFit="1" customWidth="1"/>
    <col min="12" max="12" width="1.58203125" style="70" customWidth="1"/>
    <col min="13" max="13" width="1.58203125" style="71" hidden="1" customWidth="1"/>
    <col min="14" max="15" width="8.58203125" style="70" hidden="1" customWidth="1"/>
    <col min="16" max="16" width="1.58203125" style="71" hidden="1" customWidth="1"/>
    <col min="17" max="25" width="0" style="74" hidden="1" customWidth="1"/>
    <col min="26" max="26" width="8" style="74" customWidth="1"/>
    <col min="27" max="27" width="5.08203125" style="74" customWidth="1"/>
    <col min="28" max="28" width="47.08203125" style="74" customWidth="1"/>
    <col min="29" max="29" width="5.58203125" style="74" hidden="1" customWidth="1"/>
    <col min="30" max="31" width="5.08203125" style="74" customWidth="1"/>
    <col min="32" max="34" width="13.58203125" style="74" customWidth="1"/>
    <col min="35" max="35" width="2.75" style="74" customWidth="1"/>
    <col min="36" max="16384" width="8" style="74" hidden="1"/>
  </cols>
  <sheetData>
    <row r="1" spans="2:34" s="70" customFormat="1" ht="20">
      <c r="B1" s="66" t="s">
        <v>1257</v>
      </c>
      <c r="C1" s="66"/>
      <c r="D1" s="66"/>
      <c r="E1" s="66"/>
      <c r="F1" s="66"/>
      <c r="G1" s="67"/>
      <c r="H1" s="66"/>
      <c r="I1" s="68" t="str">
        <f>Validation!B3</f>
        <v>Bristol Water</v>
      </c>
      <c r="J1" s="66"/>
      <c r="K1" s="69" t="s">
        <v>32</v>
      </c>
      <c r="M1" s="71"/>
      <c r="P1" s="71"/>
      <c r="AA1" s="66" t="s">
        <v>33</v>
      </c>
      <c r="AB1" s="66"/>
      <c r="AC1" s="66"/>
      <c r="AD1" s="66"/>
      <c r="AE1" s="66"/>
      <c r="AF1" s="67"/>
      <c r="AG1" s="66"/>
      <c r="AH1" s="68"/>
    </row>
    <row r="2" spans="2:34" ht="19" thickBot="1">
      <c r="B2" s="73" t="str">
        <f>'2B'!B2</f>
        <v>For the 12 months ended 31 March 2020</v>
      </c>
      <c r="C2" s="304"/>
      <c r="D2" s="304"/>
      <c r="AA2" s="73" t="str">
        <f>+B2</f>
        <v>For the 12 months ended 31 March 2020</v>
      </c>
      <c r="AB2" s="304"/>
      <c r="AC2" s="304"/>
    </row>
    <row r="3" spans="2:34" ht="15" customHeight="1" thickBot="1">
      <c r="B3" s="2971" t="s">
        <v>34</v>
      </c>
      <c r="C3" s="2972"/>
      <c r="D3" s="2840" t="s">
        <v>35</v>
      </c>
      <c r="E3" s="376" t="s">
        <v>36</v>
      </c>
      <c r="F3" s="377" t="s">
        <v>37</v>
      </c>
      <c r="G3" s="296" t="s">
        <v>903</v>
      </c>
      <c r="H3" s="297" t="s">
        <v>1258</v>
      </c>
      <c r="I3" s="378" t="s">
        <v>708</v>
      </c>
      <c r="J3" s="371"/>
      <c r="K3" s="2824" t="s">
        <v>41</v>
      </c>
      <c r="N3" s="2909" t="s">
        <v>45</v>
      </c>
      <c r="O3" s="2909"/>
      <c r="AA3" s="2971" t="s">
        <v>34</v>
      </c>
      <c r="AB3" s="2972"/>
      <c r="AC3" s="2840" t="s">
        <v>35</v>
      </c>
      <c r="AD3" s="376" t="s">
        <v>36</v>
      </c>
      <c r="AE3" s="377" t="s">
        <v>37</v>
      </c>
      <c r="AF3" s="296" t="s">
        <v>903</v>
      </c>
      <c r="AG3" s="297" t="s">
        <v>1258</v>
      </c>
      <c r="AH3" s="378" t="s">
        <v>708</v>
      </c>
    </row>
    <row r="4" spans="2:34" ht="14.5" thickBot="1">
      <c r="C4" s="330"/>
      <c r="D4" s="330"/>
      <c r="J4" s="74"/>
      <c r="K4" s="74"/>
      <c r="L4" s="79"/>
      <c r="N4" s="2909"/>
      <c r="O4" s="2909"/>
      <c r="AB4" s="330"/>
      <c r="AC4" s="330"/>
    </row>
    <row r="5" spans="2:34" ht="15" customHeight="1" thickBot="1">
      <c r="B5" s="2971" t="s">
        <v>939</v>
      </c>
      <c r="C5" s="2973"/>
      <c r="D5" s="1491"/>
      <c r="E5" s="262"/>
      <c r="F5" s="262"/>
      <c r="G5" s="262"/>
      <c r="H5" s="262"/>
      <c r="I5" s="262"/>
      <c r="N5" s="85" t="s">
        <v>46</v>
      </c>
      <c r="AA5" s="2971" t="s">
        <v>939</v>
      </c>
      <c r="AB5" s="2973"/>
      <c r="AC5" s="1491"/>
      <c r="AD5" s="262"/>
      <c r="AE5" s="262"/>
      <c r="AF5" s="262"/>
      <c r="AG5" s="262"/>
      <c r="AH5" s="262"/>
    </row>
    <row r="6" spans="2:34" ht="14.25" customHeight="1">
      <c r="B6" s="288" t="s">
        <v>1259</v>
      </c>
      <c r="C6" s="273" t="s">
        <v>1260</v>
      </c>
      <c r="D6" s="273"/>
      <c r="E6" s="300" t="s">
        <v>49</v>
      </c>
      <c r="F6" s="275">
        <v>3</v>
      </c>
      <c r="G6" s="787">
        <f xml:space="preserve"> '4F'!O7</f>
        <v>2.8679999999999999</v>
      </c>
      <c r="H6" s="454">
        <v>0.28399999999999997</v>
      </c>
      <c r="I6" s="379">
        <f xml:space="preserve"> G6 + H6</f>
        <v>3.1519999999999997</v>
      </c>
      <c r="K6" s="24">
        <f xml:space="preserve"> IF( SUM( M6:P6 ) = 0, 0, $N$5 )</f>
        <v>0</v>
      </c>
      <c r="N6" s="127"/>
      <c r="O6" s="93">
        <f t="shared" ref="O6:O11" si="0" xml:space="preserve"> IF( ISNUMBER( H6 ), 0, 1 )</f>
        <v>0</v>
      </c>
      <c r="AA6" s="288" t="s">
        <v>1259</v>
      </c>
      <c r="AB6" s="273" t="s">
        <v>1260</v>
      </c>
      <c r="AC6" s="273"/>
      <c r="AD6" s="300" t="s">
        <v>49</v>
      </c>
      <c r="AE6" s="275">
        <v>3</v>
      </c>
      <c r="AF6" s="787" t="str">
        <f xml:space="preserve"> '4F'!BN7</f>
        <v>BM9030</v>
      </c>
      <c r="AG6" s="2418" t="s">
        <v>1261</v>
      </c>
      <c r="AH6" s="379" t="s">
        <v>1262</v>
      </c>
    </row>
    <row r="7" spans="2:34" ht="14.25" customHeight="1">
      <c r="B7" s="289" t="s">
        <v>1263</v>
      </c>
      <c r="C7" s="277" t="s">
        <v>1264</v>
      </c>
      <c r="D7" s="277"/>
      <c r="E7" s="301" t="s">
        <v>49</v>
      </c>
      <c r="F7" s="279">
        <v>3</v>
      </c>
      <c r="G7" s="788">
        <f xml:space="preserve"> '4F'!O8</f>
        <v>0.45</v>
      </c>
      <c r="H7" s="455">
        <v>0</v>
      </c>
      <c r="I7" s="380">
        <f t="shared" ref="I7:I17" si="1" xml:space="preserve"> G7 + H7</f>
        <v>0.45</v>
      </c>
      <c r="K7" s="24">
        <f t="shared" ref="K7:K17" si="2" xml:space="preserve"> IF( SUM( M7:P7 ) = 0, 0, $N$5 )</f>
        <v>0</v>
      </c>
      <c r="N7" s="127"/>
      <c r="O7" s="93">
        <f t="shared" si="0"/>
        <v>0</v>
      </c>
      <c r="AA7" s="289" t="s">
        <v>1263</v>
      </c>
      <c r="AB7" s="277" t="s">
        <v>1264</v>
      </c>
      <c r="AC7" s="277"/>
      <c r="AD7" s="301" t="s">
        <v>49</v>
      </c>
      <c r="AE7" s="279">
        <v>3</v>
      </c>
      <c r="AF7" s="788" t="str">
        <f xml:space="preserve"> '4F'!BN8</f>
        <v>BM9002</v>
      </c>
      <c r="AG7" s="2421" t="s">
        <v>1265</v>
      </c>
      <c r="AH7" s="380" t="s">
        <v>1266</v>
      </c>
    </row>
    <row r="8" spans="2:34" ht="14.25" customHeight="1">
      <c r="B8" s="289" t="s">
        <v>1267</v>
      </c>
      <c r="C8" s="277" t="s">
        <v>1268</v>
      </c>
      <c r="D8" s="277"/>
      <c r="E8" s="301" t="s">
        <v>49</v>
      </c>
      <c r="F8" s="279">
        <v>3</v>
      </c>
      <c r="G8" s="788">
        <f xml:space="preserve"> '4F'!O9</f>
        <v>4.5350000000000001</v>
      </c>
      <c r="H8" s="455">
        <v>0</v>
      </c>
      <c r="I8" s="380">
        <f t="shared" si="1"/>
        <v>4.5350000000000001</v>
      </c>
      <c r="K8" s="24">
        <f t="shared" si="2"/>
        <v>0</v>
      </c>
      <c r="N8" s="127"/>
      <c r="O8" s="93">
        <f t="shared" si="0"/>
        <v>0</v>
      </c>
      <c r="AA8" s="289" t="s">
        <v>1267</v>
      </c>
      <c r="AB8" s="277" t="s">
        <v>1268</v>
      </c>
      <c r="AC8" s="277"/>
      <c r="AD8" s="301" t="s">
        <v>49</v>
      </c>
      <c r="AE8" s="279">
        <v>3</v>
      </c>
      <c r="AF8" s="788" t="str">
        <f xml:space="preserve"> '4F'!BN9</f>
        <v>BM9003</v>
      </c>
      <c r="AG8" s="2421" t="s">
        <v>1269</v>
      </c>
      <c r="AH8" s="380" t="s">
        <v>1270</v>
      </c>
    </row>
    <row r="9" spans="2:34" ht="14.25" customHeight="1" thickBot="1">
      <c r="B9" s="289" t="s">
        <v>1271</v>
      </c>
      <c r="C9" s="277" t="s">
        <v>1272</v>
      </c>
      <c r="D9" s="277"/>
      <c r="E9" s="301" t="s">
        <v>49</v>
      </c>
      <c r="F9" s="279">
        <v>3</v>
      </c>
      <c r="G9" s="788">
        <f xml:space="preserve"> '4F'!O10</f>
        <v>0.30599999999999999</v>
      </c>
      <c r="H9" s="455">
        <v>0</v>
      </c>
      <c r="I9" s="380">
        <f t="shared" si="1"/>
        <v>0.30599999999999999</v>
      </c>
      <c r="K9" s="24">
        <f t="shared" si="2"/>
        <v>0</v>
      </c>
      <c r="N9" s="127"/>
      <c r="O9" s="93">
        <f t="shared" si="0"/>
        <v>0</v>
      </c>
      <c r="AA9" s="289" t="s">
        <v>1271</v>
      </c>
      <c r="AB9" s="277" t="s">
        <v>1272</v>
      </c>
      <c r="AC9" s="277"/>
      <c r="AD9" s="301" t="s">
        <v>49</v>
      </c>
      <c r="AE9" s="279">
        <v>3</v>
      </c>
      <c r="AF9" s="788" t="str">
        <f xml:space="preserve"> '4F'!BN10</f>
        <v>BM9007</v>
      </c>
      <c r="AG9" s="2421" t="s">
        <v>1273</v>
      </c>
      <c r="AH9" s="380" t="s">
        <v>1274</v>
      </c>
    </row>
    <row r="10" spans="2:34" ht="14.25" customHeight="1" thickBot="1">
      <c r="B10" s="289" t="s">
        <v>1275</v>
      </c>
      <c r="C10" s="277" t="s">
        <v>1276</v>
      </c>
      <c r="D10" s="277"/>
      <c r="E10" s="301" t="s">
        <v>49</v>
      </c>
      <c r="F10" s="279">
        <v>3</v>
      </c>
      <c r="G10" s="741"/>
      <c r="H10" s="666">
        <v>0.39100000000000001</v>
      </c>
      <c r="I10" s="380">
        <f xml:space="preserve"> H10</f>
        <v>0.39100000000000001</v>
      </c>
      <c r="K10" s="24">
        <f t="shared" si="2"/>
        <v>0</v>
      </c>
      <c r="N10" s="127"/>
      <c r="O10" s="93">
        <f t="shared" si="0"/>
        <v>0</v>
      </c>
      <c r="AA10" s="289" t="s">
        <v>1275</v>
      </c>
      <c r="AB10" s="277" t="s">
        <v>1276</v>
      </c>
      <c r="AC10" s="277"/>
      <c r="AD10" s="301" t="s">
        <v>49</v>
      </c>
      <c r="AE10" s="279">
        <v>3</v>
      </c>
      <c r="AF10" s="1613"/>
      <c r="AG10" s="2436" t="s">
        <v>1277</v>
      </c>
      <c r="AH10" s="380" t="s">
        <v>1278</v>
      </c>
    </row>
    <row r="11" spans="2:34" ht="14.25" customHeight="1">
      <c r="B11" s="289" t="s">
        <v>1279</v>
      </c>
      <c r="C11" s="277" t="s">
        <v>1280</v>
      </c>
      <c r="D11" s="277"/>
      <c r="E11" s="301" t="s">
        <v>49</v>
      </c>
      <c r="F11" s="279">
        <v>3</v>
      </c>
      <c r="G11" s="788">
        <f xml:space="preserve"> '4F'!O11</f>
        <v>4.4219999999999997</v>
      </c>
      <c r="H11" s="455">
        <v>0.188</v>
      </c>
      <c r="I11" s="380">
        <f xml:space="preserve"> G11 + H11</f>
        <v>4.6099999999999994</v>
      </c>
      <c r="K11" s="24">
        <f t="shared" si="2"/>
        <v>0</v>
      </c>
      <c r="N11" s="127"/>
      <c r="O11" s="93">
        <f t="shared" si="0"/>
        <v>0</v>
      </c>
      <c r="AA11" s="289" t="s">
        <v>1279</v>
      </c>
      <c r="AB11" s="277" t="s">
        <v>1280</v>
      </c>
      <c r="AC11" s="277"/>
      <c r="AD11" s="301" t="s">
        <v>49</v>
      </c>
      <c r="AE11" s="279">
        <v>3</v>
      </c>
      <c r="AF11" s="788" t="str">
        <f xml:space="preserve"> '4F'!BN11</f>
        <v>BM9033</v>
      </c>
      <c r="AG11" s="2421" t="s">
        <v>1281</v>
      </c>
      <c r="AH11" s="380" t="s">
        <v>1282</v>
      </c>
    </row>
    <row r="12" spans="2:34" ht="14.25" customHeight="1">
      <c r="B12" s="289" t="s">
        <v>1283</v>
      </c>
      <c r="C12" s="277" t="s">
        <v>1104</v>
      </c>
      <c r="D12" s="277"/>
      <c r="E12" s="301" t="s">
        <v>49</v>
      </c>
      <c r="F12" s="279">
        <v>3</v>
      </c>
      <c r="G12" s="347">
        <f xml:space="preserve"> SUM( G6:G9 ) + G11</f>
        <v>12.581</v>
      </c>
      <c r="H12" s="332">
        <f xml:space="preserve"> SUM( H6:H11 )</f>
        <v>0.86299999999999999</v>
      </c>
      <c r="I12" s="380">
        <f xml:space="preserve"> SUM( I6:I11 )</f>
        <v>13.443999999999999</v>
      </c>
      <c r="K12" s="224"/>
      <c r="N12" s="192"/>
      <c r="AA12" s="289" t="s">
        <v>1283</v>
      </c>
      <c r="AB12" s="277" t="s">
        <v>1104</v>
      </c>
      <c r="AC12" s="277"/>
      <c r="AD12" s="301" t="s">
        <v>49</v>
      </c>
      <c r="AE12" s="279">
        <v>3</v>
      </c>
      <c r="AF12" s="347" t="str">
        <f xml:space="preserve"> '4F'!BN12</f>
        <v>BM9021</v>
      </c>
      <c r="AG12" s="332" t="s">
        <v>1284</v>
      </c>
      <c r="AH12" s="380" t="s">
        <v>1285</v>
      </c>
    </row>
    <row r="13" spans="2:34" ht="14.25" customHeight="1">
      <c r="B13" s="289" t="s">
        <v>1286</v>
      </c>
      <c r="C13" s="277" t="s">
        <v>1287</v>
      </c>
      <c r="D13" s="277"/>
      <c r="E13" s="301" t="s">
        <v>49</v>
      </c>
      <c r="F13" s="279">
        <v>3</v>
      </c>
      <c r="G13" s="788">
        <f xml:space="preserve"> '4F'!O14</f>
        <v>0</v>
      </c>
      <c r="H13" s="455">
        <v>0</v>
      </c>
      <c r="I13" s="380">
        <f t="shared" si="1"/>
        <v>0</v>
      </c>
      <c r="K13" s="24">
        <f t="shared" si="2"/>
        <v>0</v>
      </c>
      <c r="N13" s="127"/>
      <c r="O13" s="93">
        <f t="shared" ref="N13:O21" si="3" xml:space="preserve"> IF( ISNUMBER( H13 ), 0, 1 )</f>
        <v>0</v>
      </c>
      <c r="AA13" s="289" t="s">
        <v>1286</v>
      </c>
      <c r="AB13" s="277" t="s">
        <v>1287</v>
      </c>
      <c r="AC13" s="277"/>
      <c r="AD13" s="301" t="s">
        <v>49</v>
      </c>
      <c r="AE13" s="279">
        <v>3</v>
      </c>
      <c r="AF13" s="788" t="str">
        <f xml:space="preserve"> '4F'!BN14</f>
        <v>BM9022</v>
      </c>
      <c r="AG13" s="2421" t="s">
        <v>1288</v>
      </c>
      <c r="AH13" s="380" t="s">
        <v>1289</v>
      </c>
    </row>
    <row r="14" spans="2:34" ht="14.25" customHeight="1" thickBot="1">
      <c r="B14" s="290" t="s">
        <v>1290</v>
      </c>
      <c r="C14" s="282" t="s">
        <v>1120</v>
      </c>
      <c r="D14" s="282"/>
      <c r="E14" s="283" t="s">
        <v>49</v>
      </c>
      <c r="F14" s="284">
        <v>3</v>
      </c>
      <c r="G14" s="333">
        <f xml:space="preserve"> SUM( G12:G13 )</f>
        <v>12.581</v>
      </c>
      <c r="H14" s="335">
        <f xml:space="preserve"> SUM( H12:H13 )</f>
        <v>0.86299999999999999</v>
      </c>
      <c r="I14" s="344">
        <f xml:space="preserve"> SUM( I12:I13 )</f>
        <v>13.443999999999999</v>
      </c>
      <c r="K14" s="224"/>
      <c r="N14" s="192"/>
      <c r="AA14" s="290" t="s">
        <v>1290</v>
      </c>
      <c r="AB14" s="282" t="s">
        <v>1120</v>
      </c>
      <c r="AC14" s="282"/>
      <c r="AD14" s="283" t="s">
        <v>49</v>
      </c>
      <c r="AE14" s="284">
        <v>3</v>
      </c>
      <c r="AF14" s="333" t="str">
        <f xml:space="preserve"> '4F'!BN15</f>
        <v>BM9023</v>
      </c>
      <c r="AG14" s="335" t="s">
        <v>1291</v>
      </c>
      <c r="AH14" s="344" t="s">
        <v>1292</v>
      </c>
    </row>
    <row r="15" spans="2:34" s="110" customFormat="1" ht="14.5" thickBot="1">
      <c r="C15" s="152"/>
      <c r="D15" s="152"/>
      <c r="H15" s="163"/>
      <c r="J15" s="70"/>
      <c r="K15" s="70"/>
      <c r="L15" s="70"/>
      <c r="M15" s="71"/>
      <c r="N15" s="70"/>
      <c r="O15" s="70"/>
      <c r="P15" s="71"/>
      <c r="AB15" s="152"/>
      <c r="AC15" s="152"/>
      <c r="AF15" s="1614"/>
      <c r="AG15" s="163"/>
    </row>
    <row r="16" spans="2:34" ht="14.25" customHeight="1">
      <c r="B16" s="288" t="s">
        <v>1293</v>
      </c>
      <c r="C16" s="273" t="s">
        <v>952</v>
      </c>
      <c r="D16" s="273"/>
      <c r="E16" s="300" t="s">
        <v>49</v>
      </c>
      <c r="F16" s="275">
        <v>3</v>
      </c>
      <c r="G16" s="787">
        <f xml:space="preserve"> '4F'!O17 + '4F'!O18</f>
        <v>0.11739705</v>
      </c>
      <c r="H16" s="454">
        <v>0</v>
      </c>
      <c r="I16" s="379">
        <f t="shared" si="1"/>
        <v>0.11739705</v>
      </c>
      <c r="K16" s="24">
        <f t="shared" si="2"/>
        <v>0</v>
      </c>
      <c r="N16" s="127"/>
      <c r="O16" s="93">
        <f t="shared" si="3"/>
        <v>0</v>
      </c>
      <c r="AA16" s="288" t="s">
        <v>1293</v>
      </c>
      <c r="AB16" s="273" t="s">
        <v>952</v>
      </c>
      <c r="AC16" s="273"/>
      <c r="AD16" s="300" t="s">
        <v>49</v>
      </c>
      <c r="AE16" s="275">
        <v>3</v>
      </c>
      <c r="AF16" s="787" t="s">
        <v>1294</v>
      </c>
      <c r="AG16" s="2418" t="s">
        <v>1295</v>
      </c>
      <c r="AH16" s="379" t="s">
        <v>1296</v>
      </c>
    </row>
    <row r="17" spans="1:34" ht="14.25" customHeight="1" thickBot="1">
      <c r="B17" s="290" t="s">
        <v>1297</v>
      </c>
      <c r="C17" s="282" t="s">
        <v>959</v>
      </c>
      <c r="D17" s="282"/>
      <c r="E17" s="283" t="s">
        <v>49</v>
      </c>
      <c r="F17" s="284">
        <v>3</v>
      </c>
      <c r="G17" s="789">
        <f xml:space="preserve"> '4F'!O19 + '4F'!O20</f>
        <v>0.19189217</v>
      </c>
      <c r="H17" s="456">
        <v>0</v>
      </c>
      <c r="I17" s="344">
        <f t="shared" si="1"/>
        <v>0.19189217</v>
      </c>
      <c r="K17" s="24">
        <f t="shared" si="2"/>
        <v>0</v>
      </c>
      <c r="N17" s="127"/>
      <c r="O17" s="93">
        <f t="shared" ref="O17" si="4" xml:space="preserve"> IF( ISNUMBER( H17 ), 0, 1 )</f>
        <v>0</v>
      </c>
      <c r="AA17" s="290" t="s">
        <v>1297</v>
      </c>
      <c r="AB17" s="282" t="s">
        <v>959</v>
      </c>
      <c r="AC17" s="282"/>
      <c r="AD17" s="283" t="s">
        <v>49</v>
      </c>
      <c r="AE17" s="284">
        <v>3</v>
      </c>
      <c r="AF17" s="789" t="s">
        <v>1298</v>
      </c>
      <c r="AG17" s="2428" t="s">
        <v>1299</v>
      </c>
      <c r="AH17" s="344" t="s">
        <v>1300</v>
      </c>
    </row>
    <row r="18" spans="1:34" s="110" customFormat="1" ht="14.5" thickBot="1">
      <c r="C18" s="152"/>
      <c r="D18" s="152"/>
      <c r="H18" s="163"/>
      <c r="J18" s="70"/>
      <c r="K18" s="70"/>
      <c r="L18" s="70"/>
      <c r="M18" s="71"/>
      <c r="N18" s="70"/>
      <c r="O18" s="70"/>
      <c r="P18" s="71"/>
      <c r="AB18" s="152"/>
      <c r="AC18" s="152"/>
      <c r="AF18" s="1614"/>
      <c r="AG18" s="163"/>
    </row>
    <row r="19" spans="1:34" ht="14.25" customHeight="1" thickBot="1">
      <c r="B19" s="338" t="s">
        <v>1301</v>
      </c>
      <c r="C19" s="264" t="s">
        <v>1302</v>
      </c>
      <c r="D19" s="264"/>
      <c r="E19" s="339" t="s">
        <v>49</v>
      </c>
      <c r="F19" s="266">
        <v>3</v>
      </c>
      <c r="G19" s="340">
        <f xml:space="preserve"> G14 + SUM( G16:G17 )</f>
        <v>12.89028922</v>
      </c>
      <c r="H19" s="342">
        <f xml:space="preserve"> H14 + SUM( H16:H17 )</f>
        <v>0.86299999999999999</v>
      </c>
      <c r="I19" s="621">
        <f xml:space="preserve"> I14 + SUM( I16:I17 )</f>
        <v>13.753289219999999</v>
      </c>
      <c r="K19" s="224"/>
      <c r="AA19" s="338" t="s">
        <v>1301</v>
      </c>
      <c r="AB19" s="264" t="s">
        <v>1302</v>
      </c>
      <c r="AC19" s="264"/>
      <c r="AD19" s="339" t="s">
        <v>49</v>
      </c>
      <c r="AE19" s="266">
        <v>3</v>
      </c>
      <c r="AF19" s="340" t="str">
        <f xml:space="preserve"> '4F'!BN21</f>
        <v>BM9029</v>
      </c>
      <c r="AG19" s="342" t="s">
        <v>1303</v>
      </c>
      <c r="AH19" s="621" t="s">
        <v>1304</v>
      </c>
    </row>
    <row r="20" spans="1:34" s="110" customFormat="1" ht="14.5" thickBot="1">
      <c r="C20" s="152"/>
      <c r="D20" s="152"/>
      <c r="H20" s="163"/>
      <c r="J20" s="70"/>
      <c r="K20" s="70"/>
      <c r="L20" s="70"/>
      <c r="M20" s="71"/>
      <c r="N20" s="70"/>
      <c r="O20" s="70"/>
      <c r="P20" s="71"/>
      <c r="AB20" s="152"/>
      <c r="AC20" s="152"/>
      <c r="AG20" s="163"/>
    </row>
    <row r="21" spans="1:34" ht="14.25" customHeight="1" thickBot="1">
      <c r="B21" s="338" t="s">
        <v>1305</v>
      </c>
      <c r="C21" s="264" t="s">
        <v>1306</v>
      </c>
      <c r="D21" s="264"/>
      <c r="E21" s="339" t="s">
        <v>49</v>
      </c>
      <c r="F21" s="266">
        <v>3</v>
      </c>
      <c r="G21" s="785">
        <v>3.226</v>
      </c>
      <c r="H21" s="786">
        <v>0</v>
      </c>
      <c r="I21" s="621">
        <f xml:space="preserve"> G21 + H21</f>
        <v>3.226</v>
      </c>
      <c r="K21" s="24">
        <f xml:space="preserve"> IF( SUM( M21:P21 ) = 0, 0, $N$5 )</f>
        <v>0</v>
      </c>
      <c r="N21" s="93">
        <f t="shared" si="3"/>
        <v>0</v>
      </c>
      <c r="O21" s="93">
        <f t="shared" si="3"/>
        <v>0</v>
      </c>
      <c r="AA21" s="338" t="s">
        <v>1305</v>
      </c>
      <c r="AB21" s="264" t="s">
        <v>1306</v>
      </c>
      <c r="AC21" s="264"/>
      <c r="AD21" s="339" t="s">
        <v>49</v>
      </c>
      <c r="AE21" s="266">
        <v>3</v>
      </c>
      <c r="AF21" s="2437" t="s">
        <v>1307</v>
      </c>
      <c r="AG21" s="2438" t="s">
        <v>1308</v>
      </c>
      <c r="AH21" s="621" t="s">
        <v>1309</v>
      </c>
    </row>
    <row r="22" spans="1:34" s="110" customFormat="1">
      <c r="C22" s="152"/>
      <c r="D22" s="152"/>
      <c r="H22" s="163"/>
      <c r="J22" s="70"/>
      <c r="K22" s="70"/>
      <c r="L22" s="70"/>
      <c r="M22" s="71"/>
      <c r="N22" s="70"/>
      <c r="O22" s="70"/>
      <c r="P22" s="71"/>
      <c r="AB22" s="152"/>
      <c r="AC22" s="152"/>
      <c r="AG22" s="163"/>
    </row>
    <row r="23" spans="1:34" s="163" customFormat="1">
      <c r="B23" s="2914" t="s">
        <v>241</v>
      </c>
      <c r="C23" s="2914"/>
      <c r="D23" s="2823"/>
      <c r="J23" s="70"/>
      <c r="K23" s="70"/>
      <c r="L23" s="70"/>
      <c r="M23" s="71"/>
      <c r="N23" s="70"/>
      <c r="O23" s="70"/>
      <c r="P23" s="71"/>
    </row>
    <row r="24" spans="1:34" s="163" customFormat="1">
      <c r="B24" s="141"/>
      <c r="C24" s="142"/>
      <c r="D24" s="142"/>
      <c r="J24" s="70"/>
      <c r="K24" s="70"/>
      <c r="L24" s="70"/>
      <c r="M24" s="71"/>
      <c r="N24" s="70"/>
      <c r="O24" s="70"/>
      <c r="P24" s="71"/>
    </row>
    <row r="25" spans="1:34" s="163" customFormat="1">
      <c r="B25" s="25"/>
      <c r="C25" s="143" t="s">
        <v>188</v>
      </c>
      <c r="D25" s="143"/>
      <c r="J25" s="70"/>
      <c r="K25" s="70"/>
      <c r="L25" s="70"/>
      <c r="M25" s="71"/>
      <c r="N25" s="70"/>
      <c r="O25" s="70"/>
      <c r="P25" s="71"/>
    </row>
    <row r="26" spans="1:34" s="163" customFormat="1">
      <c r="B26" s="141"/>
      <c r="C26" s="142"/>
      <c r="D26" s="142"/>
      <c r="J26" s="118"/>
      <c r="K26" s="120"/>
      <c r="L26" s="118"/>
      <c r="M26" s="71"/>
      <c r="N26" s="70"/>
      <c r="O26" s="70"/>
      <c r="P26" s="71"/>
    </row>
    <row r="27" spans="1:34" s="163" customFormat="1" ht="11.5">
      <c r="B27" s="144"/>
      <c r="C27" s="143" t="s">
        <v>189</v>
      </c>
      <c r="D27" s="143"/>
      <c r="J27" s="126"/>
      <c r="K27" s="126"/>
      <c r="L27" s="126"/>
      <c r="M27" s="124"/>
      <c r="N27" s="126"/>
      <c r="O27" s="126"/>
      <c r="P27" s="124"/>
    </row>
    <row r="28" spans="1:34" s="163" customFormat="1" ht="11.5">
      <c r="B28" s="145"/>
      <c r="C28" s="143"/>
      <c r="D28" s="143"/>
      <c r="J28" s="126"/>
      <c r="K28" s="126"/>
      <c r="L28" s="126"/>
      <c r="M28" s="119"/>
      <c r="N28" s="126"/>
      <c r="O28" s="126"/>
      <c r="P28" s="119"/>
    </row>
    <row r="29" spans="1:34" s="178" customFormat="1" ht="13" thickBot="1">
      <c r="C29" s="179"/>
      <c r="D29" s="179"/>
      <c r="J29" s="126"/>
      <c r="K29" s="126"/>
      <c r="L29" s="126"/>
      <c r="M29" s="119"/>
      <c r="N29" s="126"/>
      <c r="O29" s="126"/>
      <c r="P29" s="119"/>
    </row>
    <row r="30" spans="1:34" s="178" customFormat="1" ht="15.5" thickBot="1">
      <c r="B30" s="2886" t="str">
        <f>'2B'!B48</f>
        <v>Please refer to RAG 4.08 - Guideline for the table definitions in the annual performance report for the reporting year 2019-20</v>
      </c>
      <c r="C30" s="147"/>
      <c r="D30" s="147"/>
      <c r="E30" s="148"/>
      <c r="F30" s="148"/>
      <c r="G30" s="148"/>
      <c r="H30" s="148"/>
      <c r="I30" s="251"/>
      <c r="J30" s="126"/>
      <c r="K30" s="126"/>
      <c r="L30" s="126"/>
      <c r="M30" s="119"/>
      <c r="N30" s="126"/>
      <c r="O30" s="126"/>
      <c r="P30" s="119"/>
    </row>
    <row r="31" spans="1:34" s="178" customFormat="1" ht="12.5">
      <c r="C31" s="179"/>
      <c r="D31" s="179"/>
      <c r="J31" s="126"/>
      <c r="K31" s="126"/>
      <c r="L31" s="126"/>
      <c r="M31" s="119"/>
      <c r="N31" s="126"/>
      <c r="O31" s="126"/>
      <c r="P31" s="119"/>
    </row>
    <row r="32" spans="1:34" s="110" customFormat="1" ht="15.5" hidden="1" thickBot="1">
      <c r="A32" s="1528"/>
      <c r="B32" s="146" t="str">
        <f ca="1" xml:space="preserve"> RIGHT(CELL("filename", $A$1), LEN(CELL("filename", $A$1)) - SEARCH("]", CELL("filename", $A$1)))&amp;" - Line definitions"</f>
        <v>2C - Line definitions</v>
      </c>
      <c r="C32" s="147"/>
      <c r="D32" s="147"/>
      <c r="E32" s="148"/>
      <c r="F32" s="148"/>
      <c r="G32" s="148"/>
      <c r="H32" s="148"/>
      <c r="I32" s="251"/>
      <c r="J32" s="126"/>
      <c r="K32" s="126"/>
      <c r="L32" s="126"/>
      <c r="M32" s="119"/>
      <c r="N32" s="126"/>
      <c r="O32" s="126"/>
      <c r="P32" s="119"/>
    </row>
    <row r="33" spans="1:16" s="110" customFormat="1" ht="14.5" hidden="1" thickBot="1">
      <c r="A33" s="1528"/>
      <c r="B33" s="74"/>
      <c r="C33" s="155"/>
      <c r="D33" s="155"/>
      <c r="E33" s="74"/>
      <c r="F33" s="74"/>
      <c r="G33" s="74"/>
      <c r="J33" s="126"/>
      <c r="K33" s="126"/>
      <c r="L33" s="126"/>
      <c r="M33" s="119"/>
      <c r="N33" s="126"/>
      <c r="O33" s="126"/>
      <c r="P33" s="119"/>
    </row>
    <row r="34" spans="1:16" s="319" customFormat="1" ht="14.25" hidden="1" customHeight="1" thickBot="1">
      <c r="A34" s="1535"/>
      <c r="B34" s="156" t="s">
        <v>191</v>
      </c>
      <c r="C34" s="2841" t="s">
        <v>903</v>
      </c>
      <c r="D34" s="2841"/>
      <c r="E34" s="2974" t="s">
        <v>1258</v>
      </c>
      <c r="F34" s="2974"/>
      <c r="G34" s="2974"/>
      <c r="H34" s="2974"/>
      <c r="I34" s="2975"/>
      <c r="J34" s="130"/>
      <c r="K34" s="126"/>
      <c r="L34" s="126"/>
      <c r="M34" s="119"/>
      <c r="N34" s="126"/>
      <c r="O34" s="126"/>
      <c r="P34" s="119"/>
    </row>
    <row r="35" spans="1:16" ht="154.15" hidden="1" customHeight="1" thickBot="1">
      <c r="A35" s="1532"/>
      <c r="B35" s="381" t="s">
        <v>1259</v>
      </c>
      <c r="C35" s="790" t="s">
        <v>1310</v>
      </c>
      <c r="D35" s="790"/>
      <c r="E35" s="2910" t="s">
        <v>1311</v>
      </c>
      <c r="F35" s="2910"/>
      <c r="G35" s="2910"/>
      <c r="H35" s="2910"/>
      <c r="I35" s="2911"/>
      <c r="J35" s="130"/>
      <c r="K35" s="126"/>
      <c r="L35" s="126"/>
      <c r="M35" s="119"/>
      <c r="N35" s="202" t="s">
        <v>1312</v>
      </c>
      <c r="O35" s="126"/>
      <c r="P35" s="119"/>
    </row>
    <row r="36" spans="1:16" ht="117" hidden="1" customHeight="1" thickBot="1">
      <c r="A36" s="1532"/>
      <c r="B36" s="381" t="s">
        <v>1263</v>
      </c>
      <c r="C36" s="2842" t="s">
        <v>1313</v>
      </c>
      <c r="D36" s="2842"/>
      <c r="E36" s="2892" t="s">
        <v>1314</v>
      </c>
      <c r="F36" s="2892"/>
      <c r="G36" s="2892"/>
      <c r="H36" s="2892"/>
      <c r="I36" s="2893"/>
      <c r="J36" s="118"/>
      <c r="K36" s="120"/>
      <c r="L36" s="118"/>
      <c r="M36" s="119"/>
      <c r="N36" s="202" t="s">
        <v>200</v>
      </c>
      <c r="O36" s="118"/>
      <c r="P36" s="119"/>
    </row>
    <row r="37" spans="1:16" ht="37.5" hidden="1" customHeight="1" thickBot="1">
      <c r="A37" s="1532"/>
      <c r="B37" s="381" t="s">
        <v>1267</v>
      </c>
      <c r="C37" s="2842" t="s">
        <v>1315</v>
      </c>
      <c r="D37" s="2842"/>
      <c r="E37" s="2892" t="s">
        <v>1316</v>
      </c>
      <c r="F37" s="2892"/>
      <c r="G37" s="2892"/>
      <c r="H37" s="2892"/>
      <c r="I37" s="2893"/>
      <c r="J37" s="118"/>
      <c r="K37" s="120"/>
      <c r="L37" s="118"/>
      <c r="M37" s="124"/>
      <c r="N37" s="374" t="s">
        <v>778</v>
      </c>
      <c r="O37" s="118"/>
      <c r="P37" s="124"/>
    </row>
    <row r="38" spans="1:16" ht="95.25" hidden="1" customHeight="1" thickBot="1">
      <c r="A38" s="1532"/>
      <c r="B38" s="381" t="s">
        <v>1271</v>
      </c>
      <c r="C38" s="2842" t="s">
        <v>1317</v>
      </c>
      <c r="D38" s="2842"/>
      <c r="E38" s="2892" t="s">
        <v>1318</v>
      </c>
      <c r="F38" s="2892"/>
      <c r="G38" s="2892"/>
      <c r="H38" s="2892"/>
      <c r="I38" s="2893"/>
      <c r="J38" s="346"/>
      <c r="K38" s="130"/>
      <c r="L38" s="118"/>
      <c r="M38" s="124"/>
      <c r="N38" s="202" t="s">
        <v>787</v>
      </c>
      <c r="O38" s="118"/>
      <c r="P38" s="124"/>
    </row>
    <row r="39" spans="1:16" ht="84.75" hidden="1" customHeight="1" thickBot="1">
      <c r="A39" s="1532"/>
      <c r="B39" s="381" t="s">
        <v>1275</v>
      </c>
      <c r="C39" s="2842" t="s">
        <v>1319</v>
      </c>
      <c r="D39" s="2842"/>
      <c r="E39" s="2976" t="s">
        <v>1320</v>
      </c>
      <c r="F39" s="2976"/>
      <c r="G39" s="2976"/>
      <c r="H39" s="2976"/>
      <c r="I39" s="2977"/>
      <c r="J39" s="348"/>
      <c r="K39" s="120"/>
      <c r="L39" s="118"/>
      <c r="M39" s="124"/>
      <c r="N39" s="374" t="s">
        <v>1321</v>
      </c>
      <c r="O39" s="118"/>
      <c r="P39" s="124"/>
    </row>
    <row r="40" spans="1:16" ht="140.25" hidden="1" customHeight="1" thickBot="1">
      <c r="A40" s="1532"/>
      <c r="B40" s="381" t="s">
        <v>1279</v>
      </c>
      <c r="C40" s="2842" t="s">
        <v>1322</v>
      </c>
      <c r="D40" s="2842"/>
      <c r="E40" s="2892" t="s">
        <v>1323</v>
      </c>
      <c r="F40" s="2892"/>
      <c r="G40" s="2892"/>
      <c r="H40" s="2892"/>
      <c r="I40" s="2893"/>
      <c r="J40" s="348"/>
      <c r="K40" s="110"/>
      <c r="L40" s="110"/>
      <c r="M40" s="124"/>
      <c r="N40" s="202" t="s">
        <v>1324</v>
      </c>
      <c r="O40" s="110"/>
      <c r="P40" s="124"/>
    </row>
    <row r="41" spans="1:16" ht="14.25" hidden="1" customHeight="1" thickBot="1">
      <c r="A41" s="1532"/>
      <c r="B41" s="381" t="s">
        <v>1283</v>
      </c>
      <c r="C41" s="2842" t="s">
        <v>1325</v>
      </c>
      <c r="D41" s="2842"/>
      <c r="E41" s="2892" t="s">
        <v>1325</v>
      </c>
      <c r="F41" s="2892"/>
      <c r="G41" s="2892"/>
      <c r="H41" s="2892"/>
      <c r="I41" s="2893"/>
      <c r="J41" s="348"/>
      <c r="K41" s="110"/>
      <c r="L41" s="110"/>
      <c r="M41" s="124"/>
      <c r="N41" s="253">
        <v>1</v>
      </c>
      <c r="O41" s="110"/>
      <c r="P41" s="124"/>
    </row>
    <row r="42" spans="1:16" ht="25.5" hidden="1" customHeight="1" thickBot="1">
      <c r="A42" s="1532"/>
      <c r="B42" s="381" t="s">
        <v>1286</v>
      </c>
      <c r="C42" s="2842" t="s">
        <v>1326</v>
      </c>
      <c r="D42" s="2842"/>
      <c r="E42" s="2892" t="s">
        <v>1327</v>
      </c>
      <c r="F42" s="2892"/>
      <c r="G42" s="2892"/>
      <c r="H42" s="2892"/>
      <c r="I42" s="2893"/>
      <c r="J42" s="348"/>
      <c r="K42" s="120"/>
      <c r="L42" s="120"/>
      <c r="M42" s="124"/>
      <c r="N42" s="374" t="s">
        <v>195</v>
      </c>
      <c r="O42" s="120"/>
      <c r="P42" s="124"/>
    </row>
    <row r="43" spans="1:16" ht="35.25" hidden="1" customHeight="1" thickBot="1">
      <c r="A43" s="1532"/>
      <c r="B43" s="381" t="s">
        <v>1290</v>
      </c>
      <c r="C43" s="2842" t="s">
        <v>1328</v>
      </c>
      <c r="D43" s="2842"/>
      <c r="E43" s="2892" t="s">
        <v>1329</v>
      </c>
      <c r="F43" s="2892"/>
      <c r="G43" s="2892"/>
      <c r="H43" s="2892"/>
      <c r="I43" s="2893"/>
      <c r="J43" s="348"/>
      <c r="K43" s="120"/>
      <c r="L43" s="120"/>
      <c r="M43" s="124"/>
      <c r="N43" s="374" t="s">
        <v>778</v>
      </c>
      <c r="O43" s="120"/>
      <c r="P43" s="124"/>
    </row>
    <row r="44" spans="1:16" ht="25.5" hidden="1" customHeight="1" thickBot="1">
      <c r="A44" s="1532"/>
      <c r="B44" s="381" t="s">
        <v>1293</v>
      </c>
      <c r="C44" s="2842" t="s">
        <v>1330</v>
      </c>
      <c r="D44" s="2842"/>
      <c r="E44" s="2892" t="s">
        <v>1331</v>
      </c>
      <c r="F44" s="2892"/>
      <c r="G44" s="2892"/>
      <c r="H44" s="2892"/>
      <c r="I44" s="2893"/>
      <c r="J44" s="348"/>
      <c r="K44" s="120"/>
      <c r="L44" s="120"/>
      <c r="M44" s="124"/>
      <c r="N44" s="374" t="s">
        <v>195</v>
      </c>
      <c r="O44" s="120"/>
      <c r="P44" s="124"/>
    </row>
    <row r="45" spans="1:16" ht="25.5" hidden="1" customHeight="1" thickBot="1">
      <c r="A45" s="1532"/>
      <c r="B45" s="381" t="s">
        <v>1297</v>
      </c>
      <c r="C45" s="2842" t="s">
        <v>1332</v>
      </c>
      <c r="D45" s="2842"/>
      <c r="E45" s="2892" t="s">
        <v>1333</v>
      </c>
      <c r="F45" s="2892"/>
      <c r="G45" s="2892"/>
      <c r="H45" s="2892"/>
      <c r="I45" s="2893"/>
      <c r="J45" s="348"/>
      <c r="K45" s="120"/>
      <c r="L45" s="120"/>
      <c r="M45" s="124"/>
      <c r="N45" s="161" t="s">
        <v>195</v>
      </c>
      <c r="O45" s="120"/>
      <c r="P45" s="124"/>
    </row>
    <row r="46" spans="1:16" ht="25.15" hidden="1" customHeight="1">
      <c r="A46" s="1532"/>
      <c r="B46" s="381" t="s">
        <v>1301</v>
      </c>
      <c r="C46" s="2842" t="s">
        <v>1334</v>
      </c>
      <c r="D46" s="2842"/>
      <c r="E46" s="2892" t="s">
        <v>1335</v>
      </c>
      <c r="F46" s="2892"/>
      <c r="G46" s="2892"/>
      <c r="H46" s="2892"/>
      <c r="I46" s="2893"/>
      <c r="J46" s="348"/>
      <c r="M46" s="124"/>
      <c r="N46" s="161" t="s">
        <v>195</v>
      </c>
      <c r="P46" s="124"/>
    </row>
    <row r="47" spans="1:16" ht="61.5" hidden="1" customHeight="1" thickBot="1">
      <c r="A47" s="1532"/>
      <c r="B47" s="382" t="s">
        <v>1305</v>
      </c>
      <c r="C47" s="2845" t="s">
        <v>1336</v>
      </c>
      <c r="D47" s="2845"/>
      <c r="E47" s="2912" t="s">
        <v>1337</v>
      </c>
      <c r="F47" s="2912"/>
      <c r="G47" s="2912"/>
      <c r="H47" s="2912"/>
      <c r="I47" s="2913"/>
      <c r="J47" s="348"/>
      <c r="N47" s="202" t="s">
        <v>1338</v>
      </c>
    </row>
    <row r="48" spans="1:16" hidden="1">
      <c r="A48" s="1532"/>
      <c r="G48" s="483"/>
      <c r="H48" s="483"/>
      <c r="J48" s="348"/>
      <c r="N48" s="254"/>
    </row>
  </sheetData>
  <sheetProtection algorithmName="SHA-512" hashValue="hBzqsqJ5NFOZBKjfikPefENBFaF22yTsjiITFeWBUxWL/jnqGoIT7aLYnwEXlNcYP/O8ItO6mx0AtwzfuZz1gw==" saltValue="TGulfzIIxxHrvsVfpNUy0A==" spinCount="100000" sheet="1" objects="1" scenarios="1"/>
  <mergeCells count="20">
    <mergeCell ref="E42:I42"/>
    <mergeCell ref="E43:I43"/>
    <mergeCell ref="E44:I44"/>
    <mergeCell ref="E46:I46"/>
    <mergeCell ref="E47:I47"/>
    <mergeCell ref="E45:I45"/>
    <mergeCell ref="AA3:AB3"/>
    <mergeCell ref="AA5:AB5"/>
    <mergeCell ref="E41:I41"/>
    <mergeCell ref="B3:C3"/>
    <mergeCell ref="N3:O4"/>
    <mergeCell ref="B5:C5"/>
    <mergeCell ref="B23:C23"/>
    <mergeCell ref="E34:I34"/>
    <mergeCell ref="E35:I35"/>
    <mergeCell ref="E36:I36"/>
    <mergeCell ref="E37:I37"/>
    <mergeCell ref="E38:I38"/>
    <mergeCell ref="E39:I39"/>
    <mergeCell ref="E40:I40"/>
  </mergeCells>
  <conditionalFormatting sqref="K6:K11">
    <cfRule type="cellIs" dxfId="485" priority="5" operator="equal">
      <formula>0</formula>
    </cfRule>
  </conditionalFormatting>
  <conditionalFormatting sqref="K24:K25">
    <cfRule type="cellIs" dxfId="484" priority="4" operator="equal">
      <formula>2</formula>
    </cfRule>
  </conditionalFormatting>
  <conditionalFormatting sqref="K13">
    <cfRule type="cellIs" dxfId="483" priority="3" operator="equal">
      <formula>0</formula>
    </cfRule>
  </conditionalFormatting>
  <conditionalFormatting sqref="K16:K17">
    <cfRule type="cellIs" dxfId="482" priority="2" operator="equal">
      <formula>0</formula>
    </cfRule>
  </conditionalFormatting>
  <conditionalFormatting sqref="K21">
    <cfRule type="cellIs" dxfId="481"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orientation="landscape" r:id="rId1"/>
  <headerFooter>
    <oddHeader>&amp;L&amp;9&amp;K857362Page &amp;P of &amp;N&amp;C&amp;9 &amp;K8573622019-20 annual performance report tables&amp;R&amp;G</oddHeader>
    <oddFooter>&amp;L&amp;9&amp;K857362&amp;A&amp;R&amp;9&amp;K857362Printed: &amp;D &amp;T</oddFooter>
  </headerFooter>
  <rowBreaks count="1" manualBreakCount="1">
    <brk id="31" max="17"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92D050"/>
    <pageSetUpPr fitToPage="1"/>
  </sheetPr>
  <dimension ref="A1:BN58"/>
  <sheetViews>
    <sheetView workbookViewId="0">
      <selection activeCell="B1" sqref="B1:N27"/>
    </sheetView>
  </sheetViews>
  <sheetFormatPr defaultColWidth="0" defaultRowHeight="14" zeroHeight="1"/>
  <cols>
    <col min="1" max="1" width="0.58203125" style="70" customWidth="1"/>
    <col min="2" max="2" width="5.08203125" style="70" customWidth="1"/>
    <col min="3" max="3" width="38.08203125" style="70" customWidth="1"/>
    <col min="4" max="4" width="5.58203125" style="70" hidden="1" customWidth="1"/>
    <col min="5" max="6" width="5.08203125" style="70" customWidth="1"/>
    <col min="7" max="14" width="12.58203125" style="70" customWidth="1"/>
    <col min="15" max="15" width="2.58203125" style="70" customWidth="1"/>
    <col min="16" max="16" width="36.58203125" style="74" customWidth="1"/>
    <col min="17" max="17" width="18.58203125" style="70" bestFit="1" customWidth="1"/>
    <col min="18" max="18" width="1.58203125" style="70" customWidth="1"/>
    <col min="19" max="19" width="1.58203125" style="71" hidden="1" customWidth="1"/>
    <col min="20" max="26" width="4.58203125" style="70" hidden="1" customWidth="1"/>
    <col min="27" max="27" width="1.58203125" style="71" hidden="1" customWidth="1"/>
    <col min="28" max="35" width="5.08203125" style="74" hidden="1" customWidth="1"/>
    <col min="36" max="36" width="1.58203125" style="71" hidden="1" customWidth="1"/>
    <col min="37" max="51" width="0" style="70" hidden="1" customWidth="1"/>
    <col min="52" max="52" width="9" style="70" customWidth="1"/>
    <col min="53" max="53" width="5.08203125" style="70" customWidth="1"/>
    <col min="54" max="54" width="38.08203125" style="70" customWidth="1"/>
    <col min="55" max="55" width="5.58203125" style="70" hidden="1" customWidth="1"/>
    <col min="56" max="57" width="5.08203125" style="70" customWidth="1"/>
    <col min="58" max="65" width="12.58203125" style="70" customWidth="1"/>
    <col min="66" max="66" width="3" style="70" customWidth="1"/>
    <col min="67" max="16384" width="9" style="70" hidden="1"/>
  </cols>
  <sheetData>
    <row r="1" spans="2:65" ht="20">
      <c r="B1" s="66" t="s">
        <v>1339</v>
      </c>
      <c r="C1" s="66"/>
      <c r="D1" s="66"/>
      <c r="E1" s="66"/>
      <c r="F1" s="66"/>
      <c r="G1" s="66"/>
      <c r="H1" s="66"/>
      <c r="I1" s="66"/>
      <c r="J1" s="66"/>
      <c r="K1" s="66"/>
      <c r="L1" s="66"/>
      <c r="M1" s="66"/>
      <c r="N1" s="68" t="str">
        <f>Validation!B3</f>
        <v>Bristol Water</v>
      </c>
      <c r="O1" s="66"/>
      <c r="P1" s="69"/>
      <c r="Q1" s="69" t="s">
        <v>32</v>
      </c>
      <c r="AB1" s="70"/>
      <c r="AC1" s="70"/>
      <c r="AD1" s="70"/>
      <c r="AE1" s="70"/>
      <c r="AF1" s="70"/>
      <c r="AG1" s="70"/>
      <c r="AH1" s="70"/>
      <c r="AI1" s="70"/>
      <c r="BA1" s="66" t="s">
        <v>33</v>
      </c>
      <c r="BB1" s="66"/>
      <c r="BC1" s="66"/>
      <c r="BD1" s="66"/>
      <c r="BE1" s="66"/>
      <c r="BF1" s="66"/>
      <c r="BG1" s="66"/>
      <c r="BH1" s="66"/>
      <c r="BI1" s="66"/>
      <c r="BJ1" s="66"/>
      <c r="BK1" s="66"/>
      <c r="BL1" s="66"/>
      <c r="BM1" s="68"/>
    </row>
    <row r="2" spans="2:65" ht="14.5" thickBot="1">
      <c r="B2" s="73" t="str">
        <f>'2C'!B2</f>
        <v>For the 12 months ended 31 March 2020</v>
      </c>
      <c r="P2" s="70"/>
      <c r="AB2" s="70"/>
      <c r="AC2" s="70"/>
      <c r="AD2" s="70"/>
      <c r="AE2" s="70"/>
      <c r="AF2" s="70"/>
      <c r="AG2" s="70"/>
      <c r="AH2" s="70"/>
      <c r="AI2" s="70"/>
      <c r="BA2" s="73" t="str">
        <f>+B2</f>
        <v>For the 12 months ended 31 March 2020</v>
      </c>
    </row>
    <row r="3" spans="2:65" ht="15" customHeight="1">
      <c r="B3" s="2894" t="s">
        <v>34</v>
      </c>
      <c r="C3" s="2895"/>
      <c r="D3" s="2820" t="s">
        <v>35</v>
      </c>
      <c r="E3" s="2898" t="s">
        <v>36</v>
      </c>
      <c r="F3" s="2900" t="s">
        <v>37</v>
      </c>
      <c r="G3" s="2904" t="s">
        <v>901</v>
      </c>
      <c r="H3" s="2926"/>
      <c r="I3" s="2926"/>
      <c r="J3" s="2926"/>
      <c r="K3" s="2906"/>
      <c r="L3" s="2926" t="s">
        <v>900</v>
      </c>
      <c r="M3" s="2927"/>
      <c r="N3" s="2907" t="s">
        <v>708</v>
      </c>
      <c r="O3" s="371"/>
      <c r="P3" s="2907" t="s">
        <v>703</v>
      </c>
      <c r="Q3" s="2907" t="s">
        <v>41</v>
      </c>
      <c r="T3" s="2909" t="s">
        <v>45</v>
      </c>
      <c r="U3" s="2909"/>
      <c r="V3" s="2909"/>
      <c r="W3" s="2909"/>
      <c r="X3" s="2909"/>
      <c r="Y3" s="2980"/>
      <c r="Z3" s="2980"/>
      <c r="AB3" s="2978" t="s">
        <v>24</v>
      </c>
      <c r="AC3" s="2979"/>
      <c r="AD3" s="2979"/>
      <c r="AE3" s="2979"/>
      <c r="AF3" s="2979"/>
      <c r="AG3" s="2979"/>
      <c r="AH3" s="2979"/>
      <c r="AI3" s="2979"/>
      <c r="BA3" s="2894" t="s">
        <v>34</v>
      </c>
      <c r="BB3" s="2895"/>
      <c r="BC3" s="2820" t="s">
        <v>35</v>
      </c>
      <c r="BD3" s="2898" t="s">
        <v>36</v>
      </c>
      <c r="BE3" s="2900" t="s">
        <v>37</v>
      </c>
      <c r="BF3" s="2904" t="s">
        <v>901</v>
      </c>
      <c r="BG3" s="2926"/>
      <c r="BH3" s="2926"/>
      <c r="BI3" s="2926"/>
      <c r="BJ3" s="2906"/>
      <c r="BK3" s="2926" t="s">
        <v>900</v>
      </c>
      <c r="BL3" s="2927"/>
      <c r="BM3" s="2907" t="s">
        <v>708</v>
      </c>
    </row>
    <row r="4" spans="2:65" ht="27.5" thickBot="1">
      <c r="B4" s="2896"/>
      <c r="C4" s="2897"/>
      <c r="D4" s="2821"/>
      <c r="E4" s="2899"/>
      <c r="F4" s="2901"/>
      <c r="G4" s="1354" t="s">
        <v>1037</v>
      </c>
      <c r="H4" s="78" t="s">
        <v>906</v>
      </c>
      <c r="I4" s="2853" t="s">
        <v>1038</v>
      </c>
      <c r="J4" s="853" t="s">
        <v>909</v>
      </c>
      <c r="K4" s="2833" t="s">
        <v>911</v>
      </c>
      <c r="L4" s="373" t="s">
        <v>903</v>
      </c>
      <c r="M4" s="2833" t="s">
        <v>904</v>
      </c>
      <c r="N4" s="2908"/>
      <c r="O4" s="371"/>
      <c r="P4" s="2908"/>
      <c r="Q4" s="2908"/>
      <c r="R4" s="79"/>
      <c r="T4" s="2909"/>
      <c r="U4" s="2909"/>
      <c r="V4" s="2909"/>
      <c r="W4" s="2909"/>
      <c r="X4" s="2909"/>
      <c r="Y4" s="2980"/>
      <c r="Z4" s="2980"/>
      <c r="AB4" s="2978"/>
      <c r="AC4" s="2979"/>
      <c r="AD4" s="2979"/>
      <c r="AE4" s="2979"/>
      <c r="AF4" s="2979"/>
      <c r="AG4" s="2979"/>
      <c r="AH4" s="2979"/>
      <c r="AI4" s="2979"/>
      <c r="BA4" s="2896"/>
      <c r="BB4" s="2897"/>
      <c r="BC4" s="2821"/>
      <c r="BD4" s="2899"/>
      <c r="BE4" s="2901"/>
      <c r="BF4" s="1354" t="s">
        <v>1037</v>
      </c>
      <c r="BG4" s="78" t="s">
        <v>906</v>
      </c>
      <c r="BH4" s="2853" t="s">
        <v>1038</v>
      </c>
      <c r="BI4" s="372" t="s">
        <v>909</v>
      </c>
      <c r="BJ4" s="372" t="s">
        <v>911</v>
      </c>
      <c r="BK4" s="373" t="s">
        <v>903</v>
      </c>
      <c r="BL4" s="2833" t="s">
        <v>904</v>
      </c>
      <c r="BM4" s="2908"/>
    </row>
    <row r="5" spans="2:65" ht="14.5" thickBot="1">
      <c r="P5" s="130"/>
      <c r="T5" s="85" t="s">
        <v>46</v>
      </c>
      <c r="U5" s="85"/>
      <c r="V5" s="85"/>
      <c r="W5" s="85"/>
      <c r="AB5" s="85" t="s">
        <v>1340</v>
      </c>
    </row>
    <row r="6" spans="2:65" ht="14.5" thickBot="1">
      <c r="B6" s="2865" t="s">
        <v>153</v>
      </c>
      <c r="C6" s="83" t="s">
        <v>1341</v>
      </c>
      <c r="D6" s="1473"/>
      <c r="P6" s="130"/>
      <c r="AB6" s="127"/>
      <c r="AC6" s="127"/>
      <c r="AD6" s="127"/>
      <c r="AE6" s="127"/>
      <c r="AF6" s="127"/>
      <c r="AG6" s="127"/>
      <c r="AH6" s="127"/>
      <c r="AI6" s="127"/>
      <c r="BA6" s="2865" t="s">
        <v>153</v>
      </c>
      <c r="BB6" s="83" t="s">
        <v>1341</v>
      </c>
      <c r="BC6" s="1473"/>
    </row>
    <row r="7" spans="2:65">
      <c r="B7" s="86" t="s">
        <v>1342</v>
      </c>
      <c r="C7" s="117" t="s">
        <v>1343</v>
      </c>
      <c r="D7" s="117"/>
      <c r="E7" s="88" t="s">
        <v>49</v>
      </c>
      <c r="F7" s="89">
        <v>3</v>
      </c>
      <c r="G7" s="414">
        <v>64.37</v>
      </c>
      <c r="H7" s="467">
        <v>828.46924251750306</v>
      </c>
      <c r="I7" s="425"/>
      <c r="J7" s="425"/>
      <c r="K7" s="471"/>
      <c r="L7" s="424">
        <v>1.089</v>
      </c>
      <c r="M7" s="450">
        <v>0</v>
      </c>
      <c r="N7" s="199">
        <f>SUM(G7:M7)</f>
        <v>893.92824251750312</v>
      </c>
      <c r="P7" s="130"/>
      <c r="Q7" s="24">
        <f xml:space="preserve"> IF( SUM( S7:AA7 ) = 0, 0, $T$5 )</f>
        <v>0</v>
      </c>
      <c r="T7" s="93">
        <f t="shared" ref="T7:U9" si="0" xml:space="preserve"> IF( ISNUMBER( G7 ), 0, 1 )</f>
        <v>0</v>
      </c>
      <c r="U7" s="93">
        <f t="shared" si="0"/>
        <v>0</v>
      </c>
      <c r="V7" s="93">
        <f>IF(Validation!$H$3=1,0,IF(ISNUMBER(I7),0,1))</f>
        <v>0</v>
      </c>
      <c r="W7" s="93">
        <f>IF(Validation!$H$3=1,0,IF(ISNUMBER(J7),0,1))</f>
        <v>0</v>
      </c>
      <c r="X7" s="93">
        <f>IF( Validation!$H$3=1, 0, IF(Validation!$B$3 &lt;&gt; "Thames Water", 0, (IF(ISNUMBER(K7), 0, 1))))</f>
        <v>0</v>
      </c>
      <c r="Y7" s="93">
        <f t="shared" ref="Y7:Z9" si="1" xml:space="preserve"> IF( ISNUMBER( L7 ), 0, 1 )</f>
        <v>0</v>
      </c>
      <c r="Z7" s="93">
        <f t="shared" si="1"/>
        <v>0</v>
      </c>
      <c r="BA7" s="86" t="s">
        <v>1342</v>
      </c>
      <c r="BB7" s="117" t="s">
        <v>1343</v>
      </c>
      <c r="BC7" s="117"/>
      <c r="BD7" s="88" t="s">
        <v>49</v>
      </c>
      <c r="BE7" s="89">
        <v>3</v>
      </c>
      <c r="BF7" s="2380" t="s">
        <v>1344</v>
      </c>
      <c r="BG7" s="2385" t="s">
        <v>1345</v>
      </c>
      <c r="BH7" s="2381" t="s">
        <v>1346</v>
      </c>
      <c r="BI7" s="2379" t="s">
        <v>1347</v>
      </c>
      <c r="BJ7" s="2379" t="s">
        <v>1348</v>
      </c>
      <c r="BK7" s="2439" t="s">
        <v>1349</v>
      </c>
      <c r="BL7" s="2440" t="s">
        <v>1350</v>
      </c>
      <c r="BM7" s="199" t="s">
        <v>1351</v>
      </c>
    </row>
    <row r="8" spans="2:65">
      <c r="B8" s="94" t="s">
        <v>1352</v>
      </c>
      <c r="C8" s="87" t="s">
        <v>1353</v>
      </c>
      <c r="D8" s="87"/>
      <c r="E8" s="95" t="s">
        <v>49</v>
      </c>
      <c r="F8" s="96">
        <v>3</v>
      </c>
      <c r="G8" s="412">
        <v>-3.3882263906980375E-2</v>
      </c>
      <c r="H8" s="463">
        <v>-0.51609483609301965</v>
      </c>
      <c r="I8" s="413"/>
      <c r="J8" s="413"/>
      <c r="K8" s="472"/>
      <c r="L8" s="426">
        <v>-0.11127931999999997</v>
      </c>
      <c r="M8" s="451">
        <v>0</v>
      </c>
      <c r="N8" s="241">
        <f t="shared" ref="N8:N12" si="2">SUM(G8:M8)</f>
        <v>-0.66125641999999996</v>
      </c>
      <c r="P8" s="130"/>
      <c r="Q8" s="24">
        <f t="shared" ref="Q8:Q11" si="3" xml:space="preserve"> IF( SUM( S8:AA8 ) = 0, 0, $T$5 )</f>
        <v>0</v>
      </c>
      <c r="T8" s="93">
        <f t="shared" si="0"/>
        <v>0</v>
      </c>
      <c r="U8" s="93">
        <f t="shared" si="0"/>
        <v>0</v>
      </c>
      <c r="V8" s="93">
        <f>IF(Validation!$H$3=1,0,IF(ISNUMBER(I8),0,1))</f>
        <v>0</v>
      </c>
      <c r="W8" s="93">
        <f>IF(Validation!$H$3=1,0,IF(ISNUMBER(J8),0,1))</f>
        <v>0</v>
      </c>
      <c r="X8" s="93">
        <f>IF( Validation!$H$3=1, 0, IF(Validation!$B$3 &lt;&gt; "Thames Water", 0, (IF(ISNUMBER(K8), 0, 1))))</f>
        <v>0</v>
      </c>
      <c r="Y8" s="93">
        <f t="shared" si="1"/>
        <v>0</v>
      </c>
      <c r="Z8" s="93">
        <f t="shared" si="1"/>
        <v>0</v>
      </c>
      <c r="AB8" s="127"/>
      <c r="AC8" s="127"/>
      <c r="AD8" s="127"/>
      <c r="AE8" s="127"/>
      <c r="AF8" s="127"/>
      <c r="AG8" s="127"/>
      <c r="AH8" s="127"/>
      <c r="AI8" s="127"/>
      <c r="BA8" s="94" t="s">
        <v>1352</v>
      </c>
      <c r="BB8" s="87" t="s">
        <v>1353</v>
      </c>
      <c r="BC8" s="87"/>
      <c r="BD8" s="95" t="s">
        <v>49</v>
      </c>
      <c r="BE8" s="96">
        <v>3</v>
      </c>
      <c r="BF8" s="2383" t="s">
        <v>1354</v>
      </c>
      <c r="BG8" s="2386" t="s">
        <v>1355</v>
      </c>
      <c r="BH8" s="2384" t="s">
        <v>1356</v>
      </c>
      <c r="BI8" s="2382" t="s">
        <v>1357</v>
      </c>
      <c r="BJ8" s="2382" t="s">
        <v>1358</v>
      </c>
      <c r="BK8" s="2396" t="s">
        <v>1359</v>
      </c>
      <c r="BL8" s="2441" t="s">
        <v>1360</v>
      </c>
      <c r="BM8" s="241" t="s">
        <v>1361</v>
      </c>
    </row>
    <row r="9" spans="2:65">
      <c r="B9" s="94" t="s">
        <v>1362</v>
      </c>
      <c r="C9" s="87" t="s">
        <v>1363</v>
      </c>
      <c r="D9" s="87"/>
      <c r="E9" s="95" t="s">
        <v>49</v>
      </c>
      <c r="F9" s="96">
        <v>3</v>
      </c>
      <c r="G9" s="412">
        <v>2.7816803920640614</v>
      </c>
      <c r="H9" s="463">
        <v>60.152963549160432</v>
      </c>
      <c r="I9" s="413"/>
      <c r="J9" s="413"/>
      <c r="K9" s="472"/>
      <c r="L9" s="426">
        <v>0.44094171999999959</v>
      </c>
      <c r="M9" s="451">
        <v>0</v>
      </c>
      <c r="N9" s="241">
        <f t="shared" si="2"/>
        <v>63.375585661224491</v>
      </c>
      <c r="P9" s="130"/>
      <c r="Q9" s="24">
        <f t="shared" si="3"/>
        <v>0</v>
      </c>
      <c r="T9" s="93">
        <f t="shared" si="0"/>
        <v>0</v>
      </c>
      <c r="U9" s="93">
        <f t="shared" si="0"/>
        <v>0</v>
      </c>
      <c r="V9" s="93">
        <f>IF(Validation!$H$3=1,0,IF(ISNUMBER(I9),0,1))</f>
        <v>0</v>
      </c>
      <c r="W9" s="93">
        <f>IF(Validation!$H$3=1,0,IF(ISNUMBER(J9),0,1))</f>
        <v>0</v>
      </c>
      <c r="X9" s="93">
        <f>IF( Validation!$H$3=1, 0, IF(Validation!$B$3 &lt;&gt; "Thames Water", 0, (IF(ISNUMBER(K9), 0, 1))))</f>
        <v>0</v>
      </c>
      <c r="Y9" s="93">
        <f t="shared" si="1"/>
        <v>0</v>
      </c>
      <c r="Z9" s="93">
        <f t="shared" si="1"/>
        <v>0</v>
      </c>
      <c r="AB9" s="127"/>
      <c r="AC9" s="127"/>
      <c r="AD9" s="127"/>
      <c r="AE9" s="127"/>
      <c r="AF9" s="127"/>
      <c r="AG9" s="127"/>
      <c r="AH9" s="127"/>
      <c r="AI9" s="127"/>
      <c r="BA9" s="94" t="s">
        <v>1362</v>
      </c>
      <c r="BB9" s="87" t="s">
        <v>1363</v>
      </c>
      <c r="BC9" s="87"/>
      <c r="BD9" s="95" t="s">
        <v>49</v>
      </c>
      <c r="BE9" s="96">
        <v>3</v>
      </c>
      <c r="BF9" s="2383" t="s">
        <v>1364</v>
      </c>
      <c r="BG9" s="2386" t="s">
        <v>1365</v>
      </c>
      <c r="BH9" s="2384" t="s">
        <v>1366</v>
      </c>
      <c r="BI9" s="2382" t="s">
        <v>1367</v>
      </c>
      <c r="BJ9" s="2382" t="s">
        <v>1368</v>
      </c>
      <c r="BK9" s="2396" t="s">
        <v>1369</v>
      </c>
      <c r="BL9" s="2441" t="s">
        <v>1370</v>
      </c>
      <c r="BM9" s="241" t="s">
        <v>1371</v>
      </c>
    </row>
    <row r="10" spans="2:65">
      <c r="B10" s="94" t="s">
        <v>1372</v>
      </c>
      <c r="C10" s="219" t="s">
        <v>39</v>
      </c>
      <c r="D10" s="219"/>
      <c r="E10" s="95" t="s">
        <v>49</v>
      </c>
      <c r="F10" s="96">
        <v>3</v>
      </c>
      <c r="G10" s="465">
        <v>-0.42899999999999999</v>
      </c>
      <c r="H10" s="464">
        <v>1.1134999999999999</v>
      </c>
      <c r="I10" s="466"/>
      <c r="J10" s="466"/>
      <c r="K10" s="673"/>
      <c r="L10" s="608">
        <v>-4.9960036108132044E-16</v>
      </c>
      <c r="M10" s="609">
        <v>0</v>
      </c>
      <c r="N10" s="241">
        <f t="shared" si="2"/>
        <v>0.68449999999999944</v>
      </c>
      <c r="P10" s="130"/>
      <c r="Q10" s="24">
        <f t="shared" ref="Q10" si="4" xml:space="preserve"> IF( SUM( S10:AA10 ) = 0, 0, $T$5 )</f>
        <v>0</v>
      </c>
      <c r="T10" s="93">
        <f t="shared" ref="T10" si="5" xml:space="preserve"> IF( ISNUMBER( G10 ), 0, 1 )</f>
        <v>0</v>
      </c>
      <c r="U10" s="93">
        <f t="shared" ref="U10" si="6" xml:space="preserve"> IF( ISNUMBER( H10 ), 0, 1 )</f>
        <v>0</v>
      </c>
      <c r="V10" s="93">
        <f>IF(Validation!$H$3=1,0,IF(ISNUMBER(I10),0,1))</f>
        <v>0</v>
      </c>
      <c r="W10" s="93">
        <f>IF(Validation!$H$3=1,0,IF(ISNUMBER(J10),0,1))</f>
        <v>0</v>
      </c>
      <c r="X10" s="93">
        <f>IF( Validation!$H$3=1, 0, IF(Validation!$B$3 &lt;&gt; "Thames Water", 0, (IF(ISNUMBER(K10), 0, 1))))</f>
        <v>0</v>
      </c>
      <c r="Y10" s="93">
        <f t="shared" ref="Y10" si="7" xml:space="preserve"> IF( ISNUMBER( L10 ), 0, 1 )</f>
        <v>0</v>
      </c>
      <c r="Z10" s="93">
        <f t="shared" ref="Z10" si="8" xml:space="preserve"> IF( ISNUMBER( M10 ), 0, 1 )</f>
        <v>0</v>
      </c>
      <c r="AB10" s="127"/>
      <c r="AC10" s="127"/>
      <c r="AD10" s="127"/>
      <c r="AE10" s="127"/>
      <c r="AF10" s="127"/>
      <c r="AG10" s="127"/>
      <c r="AH10" s="127"/>
      <c r="AI10" s="127"/>
      <c r="BA10" s="94" t="s">
        <v>1372</v>
      </c>
      <c r="BB10" s="219" t="s">
        <v>39</v>
      </c>
      <c r="BC10" s="219"/>
      <c r="BD10" s="95" t="s">
        <v>49</v>
      </c>
      <c r="BE10" s="96">
        <v>3</v>
      </c>
      <c r="BF10" s="2442" t="s">
        <v>1373</v>
      </c>
      <c r="BG10" s="2443" t="s">
        <v>1374</v>
      </c>
      <c r="BH10" s="2444" t="s">
        <v>1375</v>
      </c>
      <c r="BI10" s="2445" t="s">
        <v>1376</v>
      </c>
      <c r="BJ10" s="2445" t="s">
        <v>1377</v>
      </c>
      <c r="BK10" s="2446" t="s">
        <v>1378</v>
      </c>
      <c r="BL10" s="2447" t="s">
        <v>1379</v>
      </c>
      <c r="BM10" s="1970" t="s">
        <v>1380</v>
      </c>
    </row>
    <row r="11" spans="2:65">
      <c r="B11" s="94" t="s">
        <v>1381</v>
      </c>
      <c r="C11" s="219" t="s">
        <v>1382</v>
      </c>
      <c r="D11" s="219"/>
      <c r="E11" s="95" t="s">
        <v>49</v>
      </c>
      <c r="F11" s="96">
        <v>3</v>
      </c>
      <c r="G11" s="465">
        <v>0</v>
      </c>
      <c r="H11" s="464">
        <v>0</v>
      </c>
      <c r="I11" s="466"/>
      <c r="J11" s="466"/>
      <c r="K11" s="673"/>
      <c r="L11" s="608">
        <v>0</v>
      </c>
      <c r="M11" s="609">
        <v>0</v>
      </c>
      <c r="N11" s="241">
        <f t="shared" si="2"/>
        <v>0</v>
      </c>
      <c r="P11" s="130"/>
      <c r="Q11" s="24">
        <f t="shared" si="3"/>
        <v>0</v>
      </c>
      <c r="T11" s="93">
        <f xml:space="preserve"> IF( ISNUMBER( G11 ), 0, 1 )</f>
        <v>0</v>
      </c>
      <c r="U11" s="93">
        <f xml:space="preserve"> IF( ISNUMBER( H11 ), 0, 1 )</f>
        <v>0</v>
      </c>
      <c r="V11" s="93">
        <f>IF(Validation!$H$3=1,0,IF(ISNUMBER(I11),0,1))</f>
        <v>0</v>
      </c>
      <c r="W11" s="93">
        <f>IF(Validation!$H$3=1,0,IF(ISNUMBER(J11),0,1))</f>
        <v>0</v>
      </c>
      <c r="X11" s="93">
        <f>IF( Validation!$H$3=1, 0, IF(Validation!$B$3 &lt;&gt; "Thames Water", 0, (IF(ISNUMBER(K11), 0, 1))))</f>
        <v>0</v>
      </c>
      <c r="Y11" s="93">
        <f xml:space="preserve"> IF( ISNUMBER( L11 ), 0, 1 )</f>
        <v>0</v>
      </c>
      <c r="Z11" s="93">
        <f xml:space="preserve"> IF( ISNUMBER( M11 ), 0, 1 )</f>
        <v>0</v>
      </c>
      <c r="AB11" s="127"/>
      <c r="AC11" s="127"/>
      <c r="AD11" s="127"/>
      <c r="AE11" s="127"/>
      <c r="AF11" s="127"/>
      <c r="AG11" s="127"/>
      <c r="AH11" s="127"/>
      <c r="AI11" s="127"/>
      <c r="BA11" s="94" t="s">
        <v>1381</v>
      </c>
      <c r="BB11" s="219" t="s">
        <v>1382</v>
      </c>
      <c r="BC11" s="219"/>
      <c r="BD11" s="95" t="s">
        <v>49</v>
      </c>
      <c r="BE11" s="96">
        <v>3</v>
      </c>
      <c r="BF11" s="2442" t="s">
        <v>1383</v>
      </c>
      <c r="BG11" s="2443" t="s">
        <v>1384</v>
      </c>
      <c r="BH11" s="2444" t="s">
        <v>1385</v>
      </c>
      <c r="BI11" s="2445" t="s">
        <v>1386</v>
      </c>
      <c r="BJ11" s="2445" t="s">
        <v>1387</v>
      </c>
      <c r="BK11" s="2446" t="s">
        <v>1388</v>
      </c>
      <c r="BL11" s="2447" t="s">
        <v>1389</v>
      </c>
      <c r="BM11" s="1970" t="s">
        <v>1390</v>
      </c>
    </row>
    <row r="12" spans="2:65" ht="14.5" thickBot="1">
      <c r="B12" s="101" t="s">
        <v>1391</v>
      </c>
      <c r="C12" s="102" t="s">
        <v>1392</v>
      </c>
      <c r="D12" s="102"/>
      <c r="E12" s="103" t="s">
        <v>49</v>
      </c>
      <c r="F12" s="100">
        <v>3</v>
      </c>
      <c r="G12" s="193">
        <f>SUM(G7:G11)</f>
        <v>66.688798128157089</v>
      </c>
      <c r="H12" s="607">
        <f t="shared" ref="H12:M12" si="9">SUM(H7:H11)</f>
        <v>889.21961123057054</v>
      </c>
      <c r="I12" s="194">
        <f t="shared" si="9"/>
        <v>0</v>
      </c>
      <c r="J12" s="194">
        <f t="shared" ref="J12" si="10">SUM(J7:J11)</f>
        <v>0</v>
      </c>
      <c r="K12" s="198">
        <f t="shared" si="9"/>
        <v>0</v>
      </c>
      <c r="L12" s="242">
        <f t="shared" si="9"/>
        <v>1.4186623999999992</v>
      </c>
      <c r="M12" s="365">
        <f t="shared" si="9"/>
        <v>0</v>
      </c>
      <c r="N12" s="200">
        <f t="shared" si="2"/>
        <v>957.32707175872758</v>
      </c>
      <c r="P12" s="130"/>
      <c r="AB12" s="127"/>
      <c r="AC12" s="127"/>
      <c r="AD12" s="127"/>
      <c r="AE12" s="127"/>
      <c r="AF12" s="127"/>
      <c r="AG12" s="127"/>
      <c r="AH12" s="127"/>
      <c r="AI12" s="127"/>
      <c r="BA12" s="101" t="s">
        <v>1391</v>
      </c>
      <c r="BB12" s="102" t="s">
        <v>1392</v>
      </c>
      <c r="BC12" s="102"/>
      <c r="BD12" s="103" t="s">
        <v>49</v>
      </c>
      <c r="BE12" s="100">
        <v>3</v>
      </c>
      <c r="BF12" s="1971" t="s">
        <v>1393</v>
      </c>
      <c r="BG12" s="1972" t="s">
        <v>1394</v>
      </c>
      <c r="BH12" s="1889" t="s">
        <v>1395</v>
      </c>
      <c r="BI12" s="1890" t="s">
        <v>1396</v>
      </c>
      <c r="BJ12" s="1890" t="s">
        <v>1397</v>
      </c>
      <c r="BK12" s="1973" t="s">
        <v>1398</v>
      </c>
      <c r="BL12" s="1974" t="s">
        <v>1399</v>
      </c>
      <c r="BM12" s="1891" t="s">
        <v>1400</v>
      </c>
    </row>
    <row r="13" spans="2:65" ht="14.5" thickBot="1">
      <c r="P13" s="130"/>
      <c r="BF13" s="1975"/>
      <c r="BG13" s="1975"/>
      <c r="BH13" s="1975"/>
      <c r="BI13" s="1975"/>
      <c r="BJ13" s="1975"/>
      <c r="BK13" s="1975"/>
      <c r="BL13" s="1975"/>
      <c r="BM13" s="1975"/>
    </row>
    <row r="14" spans="2:65" ht="14.5" thickBot="1">
      <c r="B14" s="2865" t="s">
        <v>175</v>
      </c>
      <c r="C14" s="83" t="s">
        <v>531</v>
      </c>
      <c r="D14" s="1473"/>
      <c r="P14" s="126"/>
      <c r="BA14" s="2865" t="s">
        <v>175</v>
      </c>
      <c r="BB14" s="83" t="s">
        <v>531</v>
      </c>
      <c r="BC14" s="1473"/>
      <c r="BF14" s="1975"/>
      <c r="BG14" s="1975"/>
      <c r="BH14" s="1975"/>
      <c r="BI14" s="1975"/>
      <c r="BJ14" s="1975"/>
      <c r="BK14" s="1975"/>
      <c r="BL14" s="1975"/>
      <c r="BM14" s="1975"/>
    </row>
    <row r="15" spans="2:65">
      <c r="B15" s="86" t="s">
        <v>1401</v>
      </c>
      <c r="C15" s="117" t="s">
        <v>1343</v>
      </c>
      <c r="D15" s="117"/>
      <c r="E15" s="88" t="s">
        <v>49</v>
      </c>
      <c r="F15" s="89">
        <v>3</v>
      </c>
      <c r="G15" s="414">
        <v>-23.309000000000001</v>
      </c>
      <c r="H15" s="424">
        <v>-248.245</v>
      </c>
      <c r="I15" s="425"/>
      <c r="J15" s="425"/>
      <c r="K15" s="471"/>
      <c r="L15" s="424">
        <v>-1.2170000000000001</v>
      </c>
      <c r="M15" s="450">
        <v>0</v>
      </c>
      <c r="N15" s="199">
        <f>SUM(G15:M15)</f>
        <v>-272.77100000000002</v>
      </c>
      <c r="P15" s="126"/>
      <c r="Q15" s="24">
        <f t="shared" ref="Q15:Q18" si="11" xml:space="preserve"> IF( SUM( S15:AA15 ) = 0, 0, $T$5 )</f>
        <v>0</v>
      </c>
      <c r="T15" s="93">
        <f xml:space="preserve"> IF( ISNUMBER( G15 ), 0, 1 )</f>
        <v>0</v>
      </c>
      <c r="U15" s="93">
        <f xml:space="preserve"> IF( ISNUMBER( H15 ), 0, 1 )</f>
        <v>0</v>
      </c>
      <c r="V15" s="93">
        <f>IF(Validation!$H$3=1,0,IF(ISNUMBER(I15),0,1))</f>
        <v>0</v>
      </c>
      <c r="W15" s="93">
        <f>IF(Validation!$H$3=1,0,IF(ISNUMBER(J15),0,1))</f>
        <v>0</v>
      </c>
      <c r="X15" s="93">
        <f>IF( Validation!$H$3=1, 0, IF(Validation!$B$3 &lt;&gt; "Thames Water", 0, (IF(ISNUMBER(K15), 0, 1))))</f>
        <v>0</v>
      </c>
      <c r="Y15" s="93">
        <f xml:space="preserve"> IF( ISNUMBER( L15 ), 0, 1 )</f>
        <v>0</v>
      </c>
      <c r="Z15" s="93">
        <f xml:space="preserve"> IF( ISNUMBER( M15 ), 0, 1 )</f>
        <v>0</v>
      </c>
      <c r="BA15" s="86" t="s">
        <v>1401</v>
      </c>
      <c r="BB15" s="117" t="s">
        <v>1343</v>
      </c>
      <c r="BC15" s="117"/>
      <c r="BD15" s="88" t="s">
        <v>49</v>
      </c>
      <c r="BE15" s="89">
        <v>3</v>
      </c>
      <c r="BF15" s="2217" t="s">
        <v>1402</v>
      </c>
      <c r="BG15" s="2448" t="s">
        <v>1403</v>
      </c>
      <c r="BH15" s="2391" t="s">
        <v>1404</v>
      </c>
      <c r="BI15" s="2449" t="s">
        <v>1405</v>
      </c>
      <c r="BJ15" s="2449" t="s">
        <v>1406</v>
      </c>
      <c r="BK15" s="2448" t="s">
        <v>1407</v>
      </c>
      <c r="BL15" s="2450" t="s">
        <v>1408</v>
      </c>
      <c r="BM15" s="1976" t="s">
        <v>1409</v>
      </c>
    </row>
    <row r="16" spans="2:65">
      <c r="B16" s="94" t="s">
        <v>1410</v>
      </c>
      <c r="C16" s="87" t="s">
        <v>1353</v>
      </c>
      <c r="D16" s="87"/>
      <c r="E16" s="95" t="s">
        <v>49</v>
      </c>
      <c r="F16" s="96">
        <v>3</v>
      </c>
      <c r="G16" s="412">
        <v>2.3930939506214638E-2</v>
      </c>
      <c r="H16" s="426">
        <v>0.49206733049378537</v>
      </c>
      <c r="I16" s="413"/>
      <c r="J16" s="413"/>
      <c r="K16" s="472"/>
      <c r="L16" s="426">
        <v>9.7737349999999945E-2</v>
      </c>
      <c r="M16" s="451">
        <v>0</v>
      </c>
      <c r="N16" s="241">
        <f>SUM(G16:M16)</f>
        <v>0.61373561999999993</v>
      </c>
      <c r="P16" s="126"/>
      <c r="Q16" s="24">
        <f t="shared" si="11"/>
        <v>0</v>
      </c>
      <c r="T16" s="93">
        <f xml:space="preserve"> IF( ISNUMBER( G16 ), 0, 1 )</f>
        <v>0</v>
      </c>
      <c r="U16" s="93">
        <f xml:space="preserve"> IF( ISNUMBER( H16 ), 0, 1 )</f>
        <v>0</v>
      </c>
      <c r="V16" s="93">
        <f>IF(Validation!$H$3=1,0,IF(ISNUMBER(I16),0,1))</f>
        <v>0</v>
      </c>
      <c r="W16" s="93">
        <f>IF(Validation!$H$3=1,0,IF(ISNUMBER(J16),0,1))</f>
        <v>0</v>
      </c>
      <c r="X16" s="93">
        <f>IF( Validation!$H$3=1, 0, IF(Validation!$B$3 &lt;&gt; "Thames Water", 0, (IF(ISNUMBER(K16), 0, 1))))</f>
        <v>0</v>
      </c>
      <c r="Y16" s="93">
        <f xml:space="preserve"> IF( ISNUMBER( L16 ), 0, 1 )</f>
        <v>0</v>
      </c>
      <c r="Z16" s="93">
        <f xml:space="preserve"> IF( ISNUMBER( M16 ), 0, 1 )</f>
        <v>0</v>
      </c>
      <c r="BA16" s="94" t="s">
        <v>1410</v>
      </c>
      <c r="BB16" s="87" t="s">
        <v>1353</v>
      </c>
      <c r="BC16" s="87"/>
      <c r="BD16" s="95" t="s">
        <v>49</v>
      </c>
      <c r="BE16" s="96">
        <v>3</v>
      </c>
      <c r="BF16" s="2219" t="s">
        <v>1411</v>
      </c>
      <c r="BG16" s="2451" t="s">
        <v>1412</v>
      </c>
      <c r="BH16" s="2393" t="s">
        <v>1413</v>
      </c>
      <c r="BI16" s="2452" t="s">
        <v>1414</v>
      </c>
      <c r="BJ16" s="2452" t="s">
        <v>1415</v>
      </c>
      <c r="BK16" s="2451" t="s">
        <v>1416</v>
      </c>
      <c r="BL16" s="2453" t="s">
        <v>1417</v>
      </c>
      <c r="BM16" s="1970" t="s">
        <v>1418</v>
      </c>
    </row>
    <row r="17" spans="2:65">
      <c r="B17" s="94" t="s">
        <v>1419</v>
      </c>
      <c r="C17" s="219" t="s">
        <v>39</v>
      </c>
      <c r="D17" s="219"/>
      <c r="E17" s="95" t="s">
        <v>49</v>
      </c>
      <c r="F17" s="96">
        <v>3</v>
      </c>
      <c r="G17" s="412">
        <v>0.22500000000000001</v>
      </c>
      <c r="H17" s="426">
        <v>-0.26400000000000001</v>
      </c>
      <c r="I17" s="413"/>
      <c r="J17" s="413"/>
      <c r="K17" s="472"/>
      <c r="L17" s="426">
        <v>0</v>
      </c>
      <c r="M17" s="451">
        <v>0</v>
      </c>
      <c r="N17" s="241">
        <f>SUM(G17:M17)</f>
        <v>-3.9000000000000007E-2</v>
      </c>
      <c r="P17" s="126"/>
      <c r="Q17" s="24">
        <f t="shared" ref="Q17" si="12" xml:space="preserve"> IF( SUM( S17:AA17 ) = 0, 0, $T$5 )</f>
        <v>0</v>
      </c>
      <c r="T17" s="93">
        <f t="shared" ref="T17" si="13" xml:space="preserve"> IF( ISNUMBER( G17 ), 0, 1 )</f>
        <v>0</v>
      </c>
      <c r="U17" s="93">
        <f t="shared" ref="U17" si="14" xml:space="preserve"> IF( ISNUMBER( H17 ), 0, 1 )</f>
        <v>0</v>
      </c>
      <c r="V17" s="93">
        <f>IF(Validation!$H$3=1,0,IF(ISNUMBER(I17),0,1))</f>
        <v>0</v>
      </c>
      <c r="W17" s="93">
        <f>IF(Validation!$H$3=1,0,IF(ISNUMBER(J17),0,1))</f>
        <v>0</v>
      </c>
      <c r="X17" s="93">
        <f>IF( Validation!$H$3=1, 0, IF(Validation!$B$3 &lt;&gt; "Thames Water", 0, (IF(ISNUMBER(K17), 0, 1))))</f>
        <v>0</v>
      </c>
      <c r="Y17" s="93">
        <f t="shared" ref="Y17" si="15" xml:space="preserve"> IF( ISNUMBER( L17 ), 0, 1 )</f>
        <v>0</v>
      </c>
      <c r="Z17" s="93">
        <f t="shared" ref="Z17" si="16" xml:space="preserve"> IF( ISNUMBER( M17 ), 0, 1 )</f>
        <v>0</v>
      </c>
      <c r="BA17" s="94" t="s">
        <v>1419</v>
      </c>
      <c r="BB17" s="219" t="s">
        <v>39</v>
      </c>
      <c r="BC17" s="219"/>
      <c r="BD17" s="95" t="s">
        <v>49</v>
      </c>
      <c r="BE17" s="96">
        <v>3</v>
      </c>
      <c r="BF17" s="2219" t="s">
        <v>1420</v>
      </c>
      <c r="BG17" s="2451" t="s">
        <v>1421</v>
      </c>
      <c r="BH17" s="2393" t="s">
        <v>1422</v>
      </c>
      <c r="BI17" s="2452" t="s">
        <v>1423</v>
      </c>
      <c r="BJ17" s="2452" t="s">
        <v>1424</v>
      </c>
      <c r="BK17" s="2451" t="s">
        <v>1425</v>
      </c>
      <c r="BL17" s="2453" t="s">
        <v>1426</v>
      </c>
      <c r="BM17" s="1970" t="s">
        <v>1427</v>
      </c>
    </row>
    <row r="18" spans="2:65">
      <c r="B18" s="94" t="s">
        <v>1428</v>
      </c>
      <c r="C18" s="87" t="s">
        <v>1429</v>
      </c>
      <c r="D18" s="87"/>
      <c r="E18" s="95" t="s">
        <v>49</v>
      </c>
      <c r="F18" s="96">
        <v>3</v>
      </c>
      <c r="G18" s="412">
        <v>-1.831262070893541</v>
      </c>
      <c r="H18" s="426">
        <v>-20.208155433539751</v>
      </c>
      <c r="I18" s="413"/>
      <c r="J18" s="413"/>
      <c r="K18" s="472"/>
      <c r="L18" s="426">
        <v>-0.11739704999999998</v>
      </c>
      <c r="M18" s="451">
        <v>0</v>
      </c>
      <c r="N18" s="241">
        <f>SUM(G18:M18)</f>
        <v>-22.156814554433293</v>
      </c>
      <c r="P18" s="126"/>
      <c r="Q18" s="24">
        <f t="shared" si="11"/>
        <v>0</v>
      </c>
      <c r="T18" s="93">
        <f xml:space="preserve"> IF( ISNUMBER( G18 ), 0, 1 )</f>
        <v>0</v>
      </c>
      <c r="U18" s="93">
        <f xml:space="preserve"> IF( ISNUMBER( H18 ), 0, 1 )</f>
        <v>0</v>
      </c>
      <c r="V18" s="93">
        <f>IF(Validation!$H$3=1,0,IF(ISNUMBER(I18),0,1))</f>
        <v>0</v>
      </c>
      <c r="W18" s="93">
        <f>IF(Validation!$H$3=1,0,IF(ISNUMBER(J18),0,1))</f>
        <v>0</v>
      </c>
      <c r="X18" s="93">
        <f>IF( Validation!$H$3=1, 0, IF(Validation!$B$3 &lt;&gt; "Thames Water", 0, (IF(ISNUMBER(K18), 0, 1))))</f>
        <v>0</v>
      </c>
      <c r="Y18" s="93">
        <f t="shared" ref="Y18" si="17" xml:space="preserve"> IF( ISNUMBER( L18 ), 0, 1 )</f>
        <v>0</v>
      </c>
      <c r="Z18" s="93">
        <f t="shared" ref="Z18" si="18" xml:space="preserve"> IF( ISNUMBER( M18 ), 0, 1 )</f>
        <v>0</v>
      </c>
      <c r="BA18" s="94" t="s">
        <v>1428</v>
      </c>
      <c r="BB18" s="87" t="s">
        <v>1429</v>
      </c>
      <c r="BC18" s="87"/>
      <c r="BD18" s="95" t="s">
        <v>49</v>
      </c>
      <c r="BE18" s="96">
        <v>3</v>
      </c>
      <c r="BF18" s="2383" t="s">
        <v>1430</v>
      </c>
      <c r="BG18" s="2396" t="s">
        <v>1431</v>
      </c>
      <c r="BH18" s="2384" t="s">
        <v>1432</v>
      </c>
      <c r="BI18" s="2382" t="s">
        <v>1433</v>
      </c>
      <c r="BJ18" s="2382" t="s">
        <v>956</v>
      </c>
      <c r="BK18" s="2396" t="s">
        <v>1434</v>
      </c>
      <c r="BL18" s="2441" t="s">
        <v>1435</v>
      </c>
      <c r="BM18" s="241" t="s">
        <v>1436</v>
      </c>
    </row>
    <row r="19" spans="2:65" ht="14.5" thickBot="1">
      <c r="B19" s="101" t="s">
        <v>1437</v>
      </c>
      <c r="C19" s="102" t="s">
        <v>1392</v>
      </c>
      <c r="D19" s="102"/>
      <c r="E19" s="103" t="s">
        <v>49</v>
      </c>
      <c r="F19" s="100">
        <v>3</v>
      </c>
      <c r="G19" s="193">
        <f t="shared" ref="G19:M19" si="19">SUM(G15:G18)</f>
        <v>-24.891331131387325</v>
      </c>
      <c r="H19" s="242">
        <f t="shared" si="19"/>
        <v>-268.22508810304595</v>
      </c>
      <c r="I19" s="194">
        <f t="shared" si="19"/>
        <v>0</v>
      </c>
      <c r="J19" s="194">
        <f t="shared" ref="J19" si="20">SUM(J15:J18)</f>
        <v>0</v>
      </c>
      <c r="K19" s="198">
        <f t="shared" si="19"/>
        <v>0</v>
      </c>
      <c r="L19" s="242">
        <f t="shared" si="19"/>
        <v>-1.2366596999999999</v>
      </c>
      <c r="M19" s="365">
        <f t="shared" si="19"/>
        <v>0</v>
      </c>
      <c r="N19" s="200">
        <f>SUM(G19:M19)</f>
        <v>-294.35307893443331</v>
      </c>
      <c r="P19" s="126"/>
      <c r="AB19" s="110"/>
      <c r="AC19" s="110"/>
      <c r="AD19" s="110"/>
      <c r="AE19" s="110"/>
      <c r="AF19" s="110"/>
      <c r="AG19" s="110"/>
      <c r="AH19" s="110"/>
      <c r="AI19" s="110"/>
      <c r="BA19" s="101" t="s">
        <v>1437</v>
      </c>
      <c r="BB19" s="102" t="s">
        <v>1392</v>
      </c>
      <c r="BC19" s="102"/>
      <c r="BD19" s="103" t="s">
        <v>49</v>
      </c>
      <c r="BE19" s="100">
        <v>3</v>
      </c>
      <c r="BF19" s="193" t="s">
        <v>1438</v>
      </c>
      <c r="BG19" s="242" t="s">
        <v>1439</v>
      </c>
      <c r="BH19" s="194" t="s">
        <v>1440</v>
      </c>
      <c r="BI19" s="198" t="s">
        <v>1441</v>
      </c>
      <c r="BJ19" s="198" t="s">
        <v>1442</v>
      </c>
      <c r="BK19" s="242" t="s">
        <v>1443</v>
      </c>
      <c r="BL19" s="365" t="s">
        <v>1444</v>
      </c>
      <c r="BM19" s="200" t="s">
        <v>1445</v>
      </c>
    </row>
    <row r="20" spans="2:65" ht="14.5" thickBot="1">
      <c r="P20" s="126"/>
      <c r="AB20" s="163"/>
      <c r="AC20" s="163"/>
      <c r="AD20" s="163"/>
      <c r="AE20" s="163"/>
      <c r="AF20" s="163"/>
      <c r="AG20" s="163"/>
      <c r="AH20" s="163"/>
      <c r="AI20" s="163"/>
    </row>
    <row r="21" spans="2:65">
      <c r="B21" s="86" t="s">
        <v>1446</v>
      </c>
      <c r="C21" s="117" t="s">
        <v>1447</v>
      </c>
      <c r="D21" s="117"/>
      <c r="E21" s="88" t="s">
        <v>49</v>
      </c>
      <c r="F21" s="215">
        <v>3</v>
      </c>
      <c r="G21" s="188">
        <f xml:space="preserve"> G12 + G19</f>
        <v>41.797466996769764</v>
      </c>
      <c r="H21" s="189">
        <f t="shared" ref="H21:I21" si="21" xml:space="preserve"> H12 + H19</f>
        <v>620.99452312752464</v>
      </c>
      <c r="I21" s="189">
        <f t="shared" si="21"/>
        <v>0</v>
      </c>
      <c r="J21" s="189">
        <f t="shared" ref="J21" si="22" xml:space="preserve"> J12 + J19</f>
        <v>0</v>
      </c>
      <c r="K21" s="196">
        <f t="shared" ref="K21:M21" si="23" xml:space="preserve"> K12 + K19</f>
        <v>0</v>
      </c>
      <c r="L21" s="188">
        <f t="shared" si="23"/>
        <v>0.1820026999999993</v>
      </c>
      <c r="M21" s="190">
        <f t="shared" si="23"/>
        <v>0</v>
      </c>
      <c r="N21" s="199">
        <f xml:space="preserve"> N12 + N19</f>
        <v>662.97399282429433</v>
      </c>
      <c r="P21" s="126"/>
      <c r="AB21" s="163"/>
      <c r="AC21" s="163"/>
      <c r="AD21" s="163"/>
      <c r="AE21" s="163"/>
      <c r="AF21" s="163"/>
      <c r="AG21" s="163"/>
      <c r="AH21" s="163"/>
      <c r="AI21" s="163"/>
      <c r="BA21" s="86" t="s">
        <v>1446</v>
      </c>
      <c r="BB21" s="117" t="s">
        <v>1447</v>
      </c>
      <c r="BC21" s="117"/>
      <c r="BD21" s="88" t="s">
        <v>49</v>
      </c>
      <c r="BE21" s="215">
        <v>3</v>
      </c>
      <c r="BF21" s="188" t="s">
        <v>1448</v>
      </c>
      <c r="BG21" s="189" t="s">
        <v>1449</v>
      </c>
      <c r="BH21" s="189" t="s">
        <v>1450</v>
      </c>
      <c r="BI21" s="196" t="s">
        <v>1451</v>
      </c>
      <c r="BJ21" s="196" t="s">
        <v>1452</v>
      </c>
      <c r="BK21" s="188" t="s">
        <v>1453</v>
      </c>
      <c r="BL21" s="190" t="s">
        <v>1454</v>
      </c>
      <c r="BM21" s="199" t="s">
        <v>1455</v>
      </c>
    </row>
    <row r="22" spans="2:65" ht="14.5" thickBot="1">
      <c r="B22" s="101" t="s">
        <v>1456</v>
      </c>
      <c r="C22" s="102" t="s">
        <v>1457</v>
      </c>
      <c r="D22" s="102"/>
      <c r="E22" s="103" t="s">
        <v>49</v>
      </c>
      <c r="F22" s="225">
        <v>3</v>
      </c>
      <c r="G22" s="193">
        <f t="shared" ref="G22:N22" si="24" xml:space="preserve"> G7 + G15</f>
        <v>41.061000000000007</v>
      </c>
      <c r="H22" s="194">
        <f t="shared" si="24"/>
        <v>580.22424251750306</v>
      </c>
      <c r="I22" s="194">
        <f t="shared" si="24"/>
        <v>0</v>
      </c>
      <c r="J22" s="194">
        <f t="shared" ref="J22" si="25" xml:space="preserve"> J7 + J15</f>
        <v>0</v>
      </c>
      <c r="K22" s="198">
        <f t="shared" si="24"/>
        <v>0</v>
      </c>
      <c r="L22" s="193">
        <f t="shared" si="24"/>
        <v>-0.12800000000000011</v>
      </c>
      <c r="M22" s="195">
        <f t="shared" si="24"/>
        <v>0</v>
      </c>
      <c r="N22" s="200">
        <f t="shared" si="24"/>
        <v>621.15724251750316</v>
      </c>
      <c r="P22" s="126"/>
      <c r="AB22" s="163"/>
      <c r="AC22" s="163"/>
      <c r="AD22" s="163"/>
      <c r="AE22" s="163"/>
      <c r="AF22" s="163"/>
      <c r="AG22" s="163"/>
      <c r="AH22" s="163"/>
      <c r="AI22" s="163"/>
      <c r="BA22" s="101" t="s">
        <v>1456</v>
      </c>
      <c r="BB22" s="102" t="s">
        <v>1457</v>
      </c>
      <c r="BC22" s="102"/>
      <c r="BD22" s="103" t="s">
        <v>49</v>
      </c>
      <c r="BE22" s="225">
        <v>3</v>
      </c>
      <c r="BF22" s="193" t="s">
        <v>1458</v>
      </c>
      <c r="BG22" s="194" t="s">
        <v>1459</v>
      </c>
      <c r="BH22" s="194" t="s">
        <v>1460</v>
      </c>
      <c r="BI22" s="198" t="s">
        <v>1461</v>
      </c>
      <c r="BJ22" s="198" t="s">
        <v>1462</v>
      </c>
      <c r="BK22" s="193" t="s">
        <v>1463</v>
      </c>
      <c r="BL22" s="195" t="s">
        <v>1464</v>
      </c>
      <c r="BM22" s="200" t="s">
        <v>1465</v>
      </c>
    </row>
    <row r="23" spans="2:65" ht="14.5" thickBot="1">
      <c r="B23" s="110"/>
      <c r="C23" s="152"/>
      <c r="D23" s="152"/>
      <c r="E23" s="110"/>
      <c r="F23" s="110"/>
      <c r="G23" s="163"/>
      <c r="H23" s="163"/>
      <c r="I23" s="163"/>
      <c r="L23" s="110"/>
      <c r="M23" s="118"/>
      <c r="N23" s="118"/>
      <c r="P23" s="126"/>
      <c r="AB23" s="163"/>
      <c r="AC23" s="163"/>
      <c r="AD23" s="163"/>
      <c r="AE23" s="163"/>
      <c r="AF23" s="163"/>
      <c r="AG23" s="163"/>
      <c r="AH23" s="163"/>
      <c r="AI23" s="163"/>
      <c r="BA23" s="110"/>
      <c r="BB23" s="152"/>
      <c r="BC23" s="152"/>
      <c r="BD23" s="110"/>
      <c r="BE23" s="110"/>
      <c r="BF23" s="163"/>
      <c r="BG23" s="163"/>
      <c r="BH23" s="163"/>
      <c r="BI23" s="163"/>
      <c r="BJ23" s="163"/>
      <c r="BK23" s="110"/>
      <c r="BL23" s="118"/>
      <c r="BM23" s="118"/>
    </row>
    <row r="24" spans="2:65" ht="14.5" thickBot="1">
      <c r="B24" s="2865" t="s">
        <v>390</v>
      </c>
      <c r="C24" s="83" t="s">
        <v>1466</v>
      </c>
      <c r="D24" s="1473"/>
      <c r="P24" s="126"/>
      <c r="AB24" s="163"/>
      <c r="AC24" s="163"/>
      <c r="AD24" s="163"/>
      <c r="AE24" s="163"/>
      <c r="AF24" s="163"/>
      <c r="AG24" s="163"/>
      <c r="AH24" s="163"/>
      <c r="AI24" s="163"/>
      <c r="BA24" s="2865" t="s">
        <v>390</v>
      </c>
      <c r="BB24" s="83" t="s">
        <v>1466</v>
      </c>
      <c r="BC24" s="1473"/>
    </row>
    <row r="25" spans="2:65">
      <c r="B25" s="86" t="s">
        <v>1467</v>
      </c>
      <c r="C25" s="117" t="s">
        <v>1468</v>
      </c>
      <c r="D25" s="117"/>
      <c r="E25" s="88" t="s">
        <v>49</v>
      </c>
      <c r="F25" s="89">
        <v>3</v>
      </c>
      <c r="G25" s="414">
        <v>-1.8263426632971773</v>
      </c>
      <c r="H25" s="424">
        <v>-20.096985700936116</v>
      </c>
      <c r="I25" s="425"/>
      <c r="J25" s="425"/>
      <c r="K25" s="471"/>
      <c r="L25" s="424">
        <v>-0.11739704999999998</v>
      </c>
      <c r="M25" s="450">
        <v>0</v>
      </c>
      <c r="N25" s="199">
        <f>SUM(G25:M25)</f>
        <v>-22.040725414233293</v>
      </c>
      <c r="P25" s="126"/>
      <c r="Q25" s="24">
        <f xml:space="preserve"> IF( SUM( S25:AA25 ) = 0, 0, $T$5 )</f>
        <v>0</v>
      </c>
      <c r="T25" s="93">
        <f xml:space="preserve"> IF( ISNUMBER( G25 ), 0, 1 )</f>
        <v>0</v>
      </c>
      <c r="U25" s="93">
        <f xml:space="preserve"> IF( ISNUMBER( H25 ), 0, 1 )</f>
        <v>0</v>
      </c>
      <c r="V25" s="93">
        <f>IF(Validation!$H$3=1,0,IF(ISNUMBER(I25),0,1))</f>
        <v>0</v>
      </c>
      <c r="W25" s="93">
        <f>IF(Validation!$H$3=1,0,IF(ISNUMBER(J25),0,1))</f>
        <v>0</v>
      </c>
      <c r="X25" s="93">
        <f>IF( Validation!$H$3=1, 0, IF(Validation!$B$3 &lt;&gt; "Thames Water", 0, (IF(ISNUMBER(K25), 0, 1))))</f>
        <v>0</v>
      </c>
      <c r="Y25" s="93">
        <f t="shared" ref="Y25:Y26" si="26" xml:space="preserve"> IF( ISNUMBER( L25 ), 0, 1 )</f>
        <v>0</v>
      </c>
      <c r="Z25" s="93">
        <f t="shared" ref="Z25:Z26" si="27" xml:space="preserve"> IF( ISNUMBER( M25 ), 0, 1 )</f>
        <v>0</v>
      </c>
      <c r="AB25" s="163"/>
      <c r="AC25" s="163"/>
      <c r="AD25" s="163"/>
      <c r="AE25" s="163"/>
      <c r="AF25" s="163"/>
      <c r="AG25" s="163"/>
      <c r="AH25" s="163"/>
      <c r="AI25" s="163"/>
      <c r="BA25" s="86" t="s">
        <v>1467</v>
      </c>
      <c r="BB25" s="117" t="s">
        <v>1468</v>
      </c>
      <c r="BC25" s="117"/>
      <c r="BD25" s="88" t="s">
        <v>49</v>
      </c>
      <c r="BE25" s="89">
        <v>3</v>
      </c>
      <c r="BF25" s="2380" t="s">
        <v>1469</v>
      </c>
      <c r="BG25" s="2439" t="s">
        <v>1470</v>
      </c>
      <c r="BH25" s="2381" t="s">
        <v>1471</v>
      </c>
      <c r="BI25" s="2379" t="s">
        <v>1472</v>
      </c>
      <c r="BJ25" s="2379" t="s">
        <v>1473</v>
      </c>
      <c r="BK25" s="2439" t="s">
        <v>1474</v>
      </c>
      <c r="BL25" s="2440" t="s">
        <v>1475</v>
      </c>
      <c r="BM25" s="199" t="s">
        <v>1476</v>
      </c>
    </row>
    <row r="26" spans="2:65">
      <c r="B26" s="94" t="s">
        <v>1477</v>
      </c>
      <c r="C26" s="87" t="s">
        <v>1112</v>
      </c>
      <c r="D26" s="87"/>
      <c r="E26" s="95" t="s">
        <v>49</v>
      </c>
      <c r="F26" s="96">
        <v>3</v>
      </c>
      <c r="G26" s="412">
        <v>-4.9194075963636388E-3</v>
      </c>
      <c r="H26" s="426">
        <v>-0.11116973260363638</v>
      </c>
      <c r="I26" s="413"/>
      <c r="J26" s="413"/>
      <c r="K26" s="472"/>
      <c r="L26" s="426">
        <v>0</v>
      </c>
      <c r="M26" s="451">
        <v>0</v>
      </c>
      <c r="N26" s="241">
        <f>SUM(G26:M26)</f>
        <v>-0.11608914020000002</v>
      </c>
      <c r="P26" s="126"/>
      <c r="Q26" s="24">
        <f xml:space="preserve"> IF( SUM( S26:AA26 ) = 0, 0, $T$5 )</f>
        <v>0</v>
      </c>
      <c r="T26" s="93">
        <f xml:space="preserve"> IF( ISNUMBER( G26 ), 0, 1 )</f>
        <v>0</v>
      </c>
      <c r="U26" s="93">
        <f xml:space="preserve"> IF( ISNUMBER( H26 ), 0, 1 )</f>
        <v>0</v>
      </c>
      <c r="V26" s="93">
        <f>IF(Validation!$H$3=1,0,IF(ISNUMBER(I26),0,1))</f>
        <v>0</v>
      </c>
      <c r="W26" s="93">
        <f>IF(Validation!$H$3=1,0,IF(ISNUMBER(J26),0,1))</f>
        <v>0</v>
      </c>
      <c r="X26" s="93">
        <f>IF( Validation!$H$3=1, 0, IF(Validation!$B$3 &lt;&gt; "Thames Water", 0, (IF(ISNUMBER(K26), 0, 1))))</f>
        <v>0</v>
      </c>
      <c r="Y26" s="93">
        <f t="shared" si="26"/>
        <v>0</v>
      </c>
      <c r="Z26" s="93">
        <f t="shared" si="27"/>
        <v>0</v>
      </c>
      <c r="AB26" s="163"/>
      <c r="AC26" s="163"/>
      <c r="AD26" s="163"/>
      <c r="AE26" s="163"/>
      <c r="AF26" s="163"/>
      <c r="AG26" s="163"/>
      <c r="AH26" s="163"/>
      <c r="AI26" s="163"/>
      <c r="BA26" s="94" t="s">
        <v>1477</v>
      </c>
      <c r="BB26" s="87" t="s">
        <v>1112</v>
      </c>
      <c r="BC26" s="87"/>
      <c r="BD26" s="95" t="s">
        <v>49</v>
      </c>
      <c r="BE26" s="96">
        <v>3</v>
      </c>
      <c r="BF26" s="2383" t="s">
        <v>1478</v>
      </c>
      <c r="BG26" s="2396" t="s">
        <v>1479</v>
      </c>
      <c r="BH26" s="2384" t="s">
        <v>1480</v>
      </c>
      <c r="BI26" s="2382" t="s">
        <v>1481</v>
      </c>
      <c r="BJ26" s="2382" t="s">
        <v>1482</v>
      </c>
      <c r="BK26" s="2396" t="s">
        <v>1483</v>
      </c>
      <c r="BL26" s="2441" t="s">
        <v>1484</v>
      </c>
      <c r="BM26" s="241" t="s">
        <v>1485</v>
      </c>
    </row>
    <row r="27" spans="2:65" ht="14.5" thickBot="1">
      <c r="B27" s="101" t="s">
        <v>1486</v>
      </c>
      <c r="C27" s="102" t="s">
        <v>708</v>
      </c>
      <c r="D27" s="102"/>
      <c r="E27" s="103" t="s">
        <v>49</v>
      </c>
      <c r="F27" s="225">
        <v>3</v>
      </c>
      <c r="G27" s="193">
        <f>G25+G26</f>
        <v>-1.831262070893541</v>
      </c>
      <c r="H27" s="194">
        <f t="shared" ref="H27:M27" si="28">H25+H26</f>
        <v>-20.208155433539751</v>
      </c>
      <c r="I27" s="194">
        <f t="shared" si="28"/>
        <v>0</v>
      </c>
      <c r="J27" s="194">
        <f t="shared" ref="J27" si="29">J25+J26</f>
        <v>0</v>
      </c>
      <c r="K27" s="198">
        <f t="shared" si="28"/>
        <v>0</v>
      </c>
      <c r="L27" s="242">
        <f t="shared" si="28"/>
        <v>-0.11739704999999998</v>
      </c>
      <c r="M27" s="195">
        <f t="shared" si="28"/>
        <v>0</v>
      </c>
      <c r="N27" s="200">
        <f>SUM(G27:M27)</f>
        <v>-22.156814554433293</v>
      </c>
      <c r="P27" s="1339">
        <f xml:space="preserve"> IF( SUM( AA27:AJ27 ) = 0, 0, AB5 )</f>
        <v>0</v>
      </c>
      <c r="T27" s="127"/>
      <c r="U27" s="127"/>
      <c r="V27" s="127"/>
      <c r="W27" s="127"/>
      <c r="X27" s="127"/>
      <c r="Y27" s="127"/>
      <c r="Z27" s="127"/>
      <c r="AB27" s="93">
        <f xml:space="preserve"> IF( (ROUND( G27, 3) - ROUND( G18, 3)) = 0, 0, 1 )</f>
        <v>0</v>
      </c>
      <c r="AC27" s="93">
        <f xml:space="preserve"> IF( (ROUND( H27, 3) - ROUND( H18, 3)) = 0, 0, 1 )</f>
        <v>0</v>
      </c>
      <c r="AD27" s="93">
        <f xml:space="preserve"> IF( (ROUND( I27, 3) - ROUND( I18, 3)) = 0, 0, 1 )</f>
        <v>0</v>
      </c>
      <c r="AE27" s="93">
        <f t="shared" ref="AE27:AH27" si="30" xml:space="preserve"> IF( (ROUND( J27, 3) - ROUND( J18, 3)) = 0, 0, 1 )</f>
        <v>0</v>
      </c>
      <c r="AF27" s="93">
        <f t="shared" si="30"/>
        <v>0</v>
      </c>
      <c r="AG27" s="93">
        <f t="shared" si="30"/>
        <v>0</v>
      </c>
      <c r="AH27" s="93">
        <f t="shared" si="30"/>
        <v>0</v>
      </c>
      <c r="AI27" s="93">
        <f xml:space="preserve"> IF( (ROUND( N27, 3) - ROUND( N18, 3)) = 0, 0, 1 )</f>
        <v>0</v>
      </c>
      <c r="BA27" s="101" t="s">
        <v>1486</v>
      </c>
      <c r="BB27" s="102" t="s">
        <v>708</v>
      </c>
      <c r="BC27" s="102"/>
      <c r="BD27" s="103" t="s">
        <v>49</v>
      </c>
      <c r="BE27" s="225">
        <v>3</v>
      </c>
      <c r="BF27" s="193" t="s">
        <v>1487</v>
      </c>
      <c r="BG27" s="194" t="s">
        <v>1488</v>
      </c>
      <c r="BH27" s="194" t="s">
        <v>1489</v>
      </c>
      <c r="BI27" s="198" t="s">
        <v>1490</v>
      </c>
      <c r="BJ27" s="198" t="s">
        <v>1491</v>
      </c>
      <c r="BK27" s="242" t="s">
        <v>1492</v>
      </c>
      <c r="BL27" s="195" t="s">
        <v>1493</v>
      </c>
      <c r="BM27" s="200" t="s">
        <v>1494</v>
      </c>
    </row>
    <row r="28" spans="2:65">
      <c r="B28" s="110"/>
      <c r="C28" s="152"/>
      <c r="D28" s="152"/>
      <c r="E28" s="110"/>
      <c r="F28" s="110"/>
      <c r="G28" s="163"/>
      <c r="H28" s="163"/>
      <c r="I28" s="163"/>
      <c r="J28" s="163"/>
      <c r="K28" s="163"/>
      <c r="L28" s="110"/>
      <c r="M28" s="118"/>
      <c r="N28" s="118"/>
      <c r="P28" s="130"/>
      <c r="AB28" s="178"/>
      <c r="AC28" s="178"/>
      <c r="AD28" s="178"/>
      <c r="AE28" s="178"/>
      <c r="AF28" s="178"/>
      <c r="AG28" s="178"/>
      <c r="AH28" s="178"/>
      <c r="AI28" s="178"/>
      <c r="AJ28" s="119"/>
    </row>
    <row r="29" spans="2:65">
      <c r="B29" s="2914" t="s">
        <v>241</v>
      </c>
      <c r="C29" s="2914"/>
      <c r="D29" s="2823"/>
      <c r="E29" s="163"/>
      <c r="F29" s="163"/>
      <c r="G29" s="163"/>
      <c r="H29" s="163"/>
      <c r="I29" s="163"/>
      <c r="J29" s="163"/>
      <c r="K29" s="163"/>
      <c r="L29" s="163"/>
      <c r="M29" s="126"/>
      <c r="N29" s="126"/>
      <c r="P29" s="120"/>
      <c r="AB29" s="110"/>
      <c r="AC29" s="110"/>
      <c r="AD29" s="110"/>
      <c r="AE29" s="110"/>
      <c r="AF29" s="110"/>
      <c r="AG29" s="110"/>
      <c r="AH29" s="110"/>
      <c r="AI29" s="110"/>
      <c r="AJ29" s="119"/>
    </row>
    <row r="30" spans="2:65">
      <c r="B30" s="141"/>
      <c r="C30" s="142"/>
      <c r="D30" s="142"/>
      <c r="E30" s="163"/>
      <c r="F30" s="163"/>
      <c r="G30" s="163"/>
      <c r="H30" s="163"/>
      <c r="I30" s="163"/>
      <c r="J30" s="163"/>
      <c r="K30" s="163"/>
      <c r="L30" s="163"/>
      <c r="M30" s="126"/>
      <c r="N30" s="126"/>
      <c r="O30" s="118"/>
      <c r="P30" s="120"/>
      <c r="Q30" s="120"/>
      <c r="R30" s="118"/>
      <c r="AB30" s="110"/>
      <c r="AC30" s="110"/>
      <c r="AD30" s="110"/>
      <c r="AE30" s="110"/>
      <c r="AF30" s="110"/>
      <c r="AG30" s="110"/>
      <c r="AH30" s="110"/>
      <c r="AI30" s="110"/>
      <c r="AJ30" s="119"/>
    </row>
    <row r="31" spans="2:65">
      <c r="B31" s="25"/>
      <c r="C31" s="143" t="s">
        <v>188</v>
      </c>
      <c r="D31" s="143"/>
      <c r="E31" s="163"/>
      <c r="F31" s="163"/>
      <c r="G31" s="163"/>
      <c r="H31" s="163"/>
      <c r="I31" s="163"/>
      <c r="J31" s="163"/>
      <c r="K31" s="163"/>
      <c r="L31" s="163"/>
      <c r="M31" s="126"/>
      <c r="N31" s="126"/>
      <c r="O31" s="126"/>
      <c r="P31" s="120"/>
      <c r="Q31" s="126"/>
      <c r="R31" s="126"/>
      <c r="S31" s="124"/>
      <c r="T31" s="126"/>
      <c r="U31" s="126"/>
      <c r="V31" s="126"/>
      <c r="W31" s="126"/>
      <c r="X31" s="126"/>
      <c r="Y31" s="126"/>
      <c r="Z31" s="126"/>
      <c r="AA31" s="124"/>
      <c r="AB31" s="110"/>
      <c r="AC31" s="110"/>
      <c r="AD31" s="110"/>
      <c r="AE31" s="110"/>
      <c r="AF31" s="110"/>
      <c r="AG31" s="110"/>
      <c r="AH31" s="110"/>
      <c r="AI31" s="110"/>
      <c r="AJ31" s="119"/>
    </row>
    <row r="32" spans="2:65">
      <c r="B32" s="141"/>
      <c r="C32" s="142"/>
      <c r="D32" s="142"/>
      <c r="E32" s="163"/>
      <c r="F32" s="163"/>
      <c r="G32" s="163"/>
      <c r="H32" s="163"/>
      <c r="I32" s="163"/>
      <c r="J32" s="163"/>
      <c r="K32" s="163"/>
      <c r="L32" s="163"/>
      <c r="M32" s="126"/>
      <c r="N32" s="126"/>
      <c r="O32" s="126"/>
      <c r="P32" s="120"/>
      <c r="Q32" s="126"/>
      <c r="R32" s="126"/>
      <c r="S32" s="119"/>
      <c r="T32" s="126"/>
      <c r="U32" s="126"/>
      <c r="V32" s="126"/>
      <c r="W32" s="126"/>
      <c r="X32" s="126"/>
      <c r="Y32" s="126"/>
      <c r="Z32" s="126"/>
      <c r="AA32" s="119"/>
      <c r="AB32" s="110"/>
      <c r="AC32" s="110"/>
      <c r="AD32" s="110"/>
      <c r="AE32" s="110"/>
      <c r="AF32" s="110"/>
      <c r="AG32" s="110"/>
      <c r="AH32" s="110"/>
      <c r="AI32" s="110"/>
      <c r="AJ32" s="119"/>
    </row>
    <row r="33" spans="1:36">
      <c r="B33" s="144"/>
      <c r="C33" s="143" t="s">
        <v>189</v>
      </c>
      <c r="D33" s="143"/>
      <c r="E33" s="163"/>
      <c r="F33" s="163"/>
      <c r="G33" s="163"/>
      <c r="H33" s="163"/>
      <c r="I33" s="163"/>
      <c r="J33" s="163"/>
      <c r="K33" s="163"/>
      <c r="L33" s="163"/>
      <c r="M33" s="126"/>
      <c r="N33" s="126"/>
      <c r="O33" s="126"/>
      <c r="P33" s="120"/>
      <c r="Q33" s="126"/>
      <c r="R33" s="126"/>
      <c r="S33" s="119"/>
      <c r="T33" s="126"/>
      <c r="U33" s="126"/>
      <c r="V33" s="126"/>
      <c r="W33" s="126"/>
      <c r="X33" s="126"/>
      <c r="Y33" s="126"/>
      <c r="Z33" s="126"/>
      <c r="AA33" s="119"/>
      <c r="AB33" s="110"/>
      <c r="AC33" s="110"/>
      <c r="AD33" s="110"/>
      <c r="AE33" s="110"/>
      <c r="AF33" s="110"/>
      <c r="AG33" s="110"/>
      <c r="AH33" s="110"/>
      <c r="AI33" s="110"/>
      <c r="AJ33" s="119"/>
    </row>
    <row r="34" spans="1:36">
      <c r="B34" s="145"/>
      <c r="C34" s="143"/>
      <c r="D34" s="143"/>
      <c r="E34" s="163"/>
      <c r="F34" s="163"/>
      <c r="G34" s="163"/>
      <c r="H34" s="163"/>
      <c r="I34" s="163"/>
      <c r="J34" s="163"/>
      <c r="K34" s="163"/>
      <c r="L34" s="163"/>
      <c r="M34" s="126"/>
      <c r="N34" s="126"/>
      <c r="O34" s="126"/>
      <c r="P34" s="120"/>
      <c r="Q34" s="126"/>
      <c r="R34" s="126"/>
      <c r="S34" s="119"/>
      <c r="T34" s="126"/>
      <c r="U34" s="126"/>
      <c r="V34" s="126"/>
      <c r="W34" s="126"/>
      <c r="X34" s="126"/>
      <c r="Y34" s="126"/>
      <c r="Z34" s="126"/>
      <c r="AA34" s="119"/>
      <c r="AB34" s="110"/>
      <c r="AC34" s="110"/>
      <c r="AD34" s="110"/>
      <c r="AE34" s="110"/>
      <c r="AF34" s="110"/>
      <c r="AG34" s="110"/>
      <c r="AH34" s="110"/>
      <c r="AI34" s="110"/>
      <c r="AJ34" s="119"/>
    </row>
    <row r="35" spans="1:36" ht="14.5" thickBot="1">
      <c r="B35" s="178"/>
      <c r="C35" s="179"/>
      <c r="D35" s="179"/>
      <c r="E35" s="178"/>
      <c r="F35" s="178"/>
      <c r="G35" s="178"/>
      <c r="H35" s="178"/>
      <c r="I35" s="178"/>
      <c r="J35" s="178"/>
      <c r="K35" s="178"/>
      <c r="L35" s="178"/>
      <c r="M35" s="130"/>
      <c r="N35" s="130"/>
      <c r="O35" s="126"/>
      <c r="P35" s="120"/>
      <c r="Q35" s="126"/>
      <c r="R35" s="126"/>
      <c r="S35" s="119"/>
      <c r="T35" s="126"/>
      <c r="U35" s="126"/>
      <c r="V35" s="126"/>
      <c r="W35" s="126"/>
      <c r="X35" s="126"/>
      <c r="Y35" s="126"/>
      <c r="Z35" s="126"/>
      <c r="AA35" s="119"/>
      <c r="AB35" s="110"/>
      <c r="AC35" s="110"/>
      <c r="AD35" s="110"/>
      <c r="AE35" s="110"/>
      <c r="AF35" s="110"/>
      <c r="AG35" s="110"/>
      <c r="AH35" s="110"/>
      <c r="AI35" s="110"/>
      <c r="AJ35" s="124"/>
    </row>
    <row r="36" spans="1:36" ht="20.5" thickBot="1">
      <c r="B36" s="2886" t="str">
        <f>'2C'!B30</f>
        <v>Please refer to RAG 4.08 - Guideline for the table definitions in the annual performance report for the reporting year 2019-20</v>
      </c>
      <c r="C36" s="147"/>
      <c r="D36" s="147"/>
      <c r="E36" s="148"/>
      <c r="F36" s="148"/>
      <c r="G36" s="148"/>
      <c r="H36" s="148"/>
      <c r="I36" s="148"/>
      <c r="J36" s="148"/>
      <c r="K36" s="148"/>
      <c r="L36" s="148"/>
      <c r="M36" s="148"/>
      <c r="N36" s="154"/>
      <c r="O36" s="126"/>
      <c r="P36" s="120"/>
      <c r="Q36" s="126"/>
      <c r="R36" s="126"/>
      <c r="S36" s="119"/>
      <c r="T36" s="126"/>
      <c r="U36" s="126"/>
      <c r="V36" s="126"/>
      <c r="W36" s="126"/>
      <c r="X36" s="126"/>
      <c r="Y36" s="126"/>
      <c r="Z36" s="126"/>
      <c r="AA36" s="119"/>
      <c r="AB36" s="110"/>
      <c r="AC36" s="110"/>
      <c r="AD36" s="110"/>
      <c r="AE36" s="110"/>
      <c r="AF36" s="110"/>
      <c r="AG36" s="110"/>
      <c r="AH36" s="110"/>
      <c r="AI36" s="110"/>
      <c r="AJ36" s="124"/>
    </row>
    <row r="37" spans="1:36">
      <c r="B37" s="178"/>
      <c r="C37" s="179"/>
      <c r="D37" s="179"/>
      <c r="E37" s="178"/>
      <c r="F37" s="178"/>
      <c r="G37" s="178"/>
      <c r="H37" s="178"/>
      <c r="I37" s="178"/>
      <c r="J37" s="178"/>
      <c r="K37" s="178"/>
      <c r="L37" s="178"/>
      <c r="M37" s="130"/>
      <c r="N37" s="130"/>
      <c r="O37" s="126"/>
      <c r="P37" s="120"/>
      <c r="Q37" s="126"/>
      <c r="R37" s="126"/>
      <c r="S37" s="119"/>
      <c r="T37" s="126"/>
      <c r="U37" s="126"/>
      <c r="V37" s="126"/>
      <c r="W37" s="126"/>
      <c r="X37" s="126"/>
      <c r="Y37" s="126"/>
      <c r="Z37" s="126"/>
      <c r="AA37" s="119"/>
      <c r="AB37" s="110"/>
      <c r="AC37" s="110"/>
      <c r="AD37" s="110"/>
      <c r="AE37" s="110"/>
      <c r="AF37" s="110"/>
      <c r="AG37" s="110"/>
      <c r="AH37" s="110"/>
      <c r="AI37" s="110"/>
      <c r="AJ37" s="124"/>
    </row>
    <row r="38" spans="1:36" s="110" customFormat="1" ht="21" hidden="1" customHeight="1" thickBot="1">
      <c r="A38" s="1528"/>
      <c r="B38" s="146" t="str">
        <f ca="1" xml:space="preserve"> RIGHT(CELL("filename", $A$1), LEN(CELL("filename", $A$1)) - SEARCH("]", CELL("filename", $A$1)))&amp;" - Line definitions"</f>
        <v>2D - Line definitions</v>
      </c>
      <c r="C38" s="147"/>
      <c r="D38" s="147"/>
      <c r="E38" s="148"/>
      <c r="F38" s="148"/>
      <c r="G38" s="148"/>
      <c r="H38" s="148"/>
      <c r="I38" s="148"/>
      <c r="J38" s="148"/>
      <c r="K38" s="148"/>
      <c r="L38" s="148"/>
      <c r="M38" s="148"/>
      <c r="N38" s="154"/>
      <c r="O38" s="130"/>
      <c r="P38" s="120"/>
      <c r="Q38" s="126"/>
      <c r="R38" s="126"/>
      <c r="S38" s="119"/>
      <c r="T38" s="126"/>
      <c r="U38" s="126"/>
      <c r="V38" s="126"/>
      <c r="W38" s="126"/>
      <c r="X38" s="126"/>
      <c r="Y38" s="126"/>
      <c r="Z38" s="126"/>
      <c r="AA38" s="119"/>
      <c r="AJ38" s="124"/>
    </row>
    <row r="39" spans="1:36" s="163" customFormat="1" ht="15" hidden="1" customHeight="1" thickBot="1">
      <c r="A39" s="1536"/>
      <c r="B39" s="74"/>
      <c r="C39" s="155"/>
      <c r="D39" s="155"/>
      <c r="E39" s="74"/>
      <c r="F39" s="74"/>
      <c r="G39" s="110"/>
      <c r="H39" s="110"/>
      <c r="I39" s="110"/>
      <c r="J39" s="110"/>
      <c r="K39" s="110"/>
      <c r="L39" s="110"/>
      <c r="M39" s="118"/>
      <c r="N39" s="118"/>
      <c r="O39" s="130"/>
      <c r="P39" s="120"/>
      <c r="Q39" s="126"/>
      <c r="R39" s="126"/>
      <c r="S39" s="119"/>
      <c r="T39" s="126"/>
      <c r="U39" s="126"/>
      <c r="V39" s="126"/>
      <c r="W39" s="126"/>
      <c r="X39" s="126"/>
      <c r="Y39" s="126"/>
      <c r="Z39" s="126"/>
      <c r="AA39" s="119"/>
      <c r="AB39" s="110"/>
      <c r="AC39" s="110"/>
      <c r="AD39" s="110"/>
      <c r="AE39" s="110"/>
      <c r="AF39" s="110"/>
      <c r="AG39" s="110"/>
      <c r="AH39" s="110"/>
      <c r="AI39" s="110"/>
      <c r="AJ39" s="124"/>
    </row>
    <row r="40" spans="1:36" s="163" customFormat="1" ht="14.5" hidden="1" thickBot="1">
      <c r="A40" s="1536"/>
      <c r="B40" s="367" t="s">
        <v>191</v>
      </c>
      <c r="C40" s="368" t="s">
        <v>192</v>
      </c>
      <c r="D40" s="369"/>
      <c r="E40" s="369"/>
      <c r="F40" s="369"/>
      <c r="G40" s="369"/>
      <c r="H40" s="369"/>
      <c r="I40" s="369"/>
      <c r="J40" s="369"/>
      <c r="K40" s="369"/>
      <c r="L40" s="369"/>
      <c r="M40" s="369"/>
      <c r="N40" s="370"/>
      <c r="O40" s="118"/>
      <c r="P40" s="74"/>
      <c r="Q40" s="120"/>
      <c r="R40" s="118"/>
      <c r="S40" s="119"/>
      <c r="T40" s="85" t="s">
        <v>193</v>
      </c>
      <c r="U40" s="85"/>
      <c r="V40" s="85"/>
      <c r="W40" s="85"/>
      <c r="X40" s="118"/>
      <c r="Y40" s="118"/>
      <c r="Z40" s="118"/>
      <c r="AA40" s="119"/>
      <c r="AB40" s="74"/>
      <c r="AC40" s="74"/>
      <c r="AD40" s="74"/>
      <c r="AE40" s="74"/>
      <c r="AF40" s="74"/>
      <c r="AG40" s="74"/>
      <c r="AH40" s="74"/>
      <c r="AI40" s="74"/>
      <c r="AJ40" s="124"/>
    </row>
    <row r="41" spans="1:36" s="163" customFormat="1" ht="14.25" hidden="1" customHeight="1">
      <c r="A41" s="1536"/>
      <c r="B41" s="181" t="str">
        <f t="shared" ref="B41:B46" si="31">B7</f>
        <v>2D.1</v>
      </c>
      <c r="C41" s="2910" t="s">
        <v>1495</v>
      </c>
      <c r="D41" s="2910"/>
      <c r="E41" s="2910"/>
      <c r="F41" s="2910"/>
      <c r="G41" s="2910"/>
      <c r="H41" s="2910"/>
      <c r="I41" s="2910"/>
      <c r="J41" s="2910"/>
      <c r="K41" s="2910"/>
      <c r="L41" s="2910"/>
      <c r="M41" s="2910"/>
      <c r="N41" s="2911"/>
      <c r="O41" s="118"/>
      <c r="P41" s="74"/>
      <c r="Q41" s="120"/>
      <c r="R41" s="118"/>
      <c r="S41" s="124"/>
      <c r="T41" s="202">
        <v>1</v>
      </c>
      <c r="U41" s="202"/>
      <c r="V41" s="202"/>
      <c r="W41" s="202"/>
      <c r="X41" s="253"/>
      <c r="Y41" s="118"/>
      <c r="Z41" s="118"/>
      <c r="AA41" s="124"/>
      <c r="AB41" s="74"/>
      <c r="AC41" s="74"/>
      <c r="AD41" s="74"/>
      <c r="AE41" s="74"/>
      <c r="AF41" s="74"/>
      <c r="AG41" s="74"/>
      <c r="AH41" s="74"/>
      <c r="AI41" s="74"/>
      <c r="AJ41" s="124"/>
    </row>
    <row r="42" spans="1:36" s="163" customFormat="1" ht="14.25" hidden="1" customHeight="1">
      <c r="A42" s="1536"/>
      <c r="B42" s="159" t="str">
        <f t="shared" si="31"/>
        <v>2D.2</v>
      </c>
      <c r="C42" s="2892" t="s">
        <v>1496</v>
      </c>
      <c r="D42" s="2892"/>
      <c r="E42" s="2892"/>
      <c r="F42" s="2892"/>
      <c r="G42" s="2892"/>
      <c r="H42" s="2892"/>
      <c r="I42" s="2892"/>
      <c r="J42" s="2892"/>
      <c r="K42" s="2892"/>
      <c r="L42" s="2892"/>
      <c r="M42" s="2892"/>
      <c r="N42" s="2893"/>
      <c r="O42" s="346"/>
      <c r="P42" s="74"/>
      <c r="Q42" s="130"/>
      <c r="R42" s="118"/>
      <c r="S42" s="124"/>
      <c r="T42" s="253">
        <v>1</v>
      </c>
      <c r="U42" s="253"/>
      <c r="V42" s="253"/>
      <c r="W42" s="253"/>
      <c r="X42" s="253"/>
      <c r="Y42" s="118"/>
      <c r="Z42" s="118"/>
      <c r="AA42" s="124"/>
      <c r="AB42" s="74"/>
      <c r="AC42" s="74"/>
      <c r="AD42" s="74"/>
      <c r="AE42" s="74"/>
      <c r="AF42" s="74"/>
      <c r="AG42" s="74"/>
      <c r="AH42" s="74"/>
      <c r="AI42" s="74"/>
      <c r="AJ42" s="124"/>
    </row>
    <row r="43" spans="1:36" s="163" customFormat="1" ht="14.25" hidden="1" customHeight="1">
      <c r="A43" s="1536"/>
      <c r="B43" s="159" t="str">
        <f t="shared" si="31"/>
        <v>2D.3</v>
      </c>
      <c r="C43" s="2892" t="s">
        <v>1497</v>
      </c>
      <c r="D43" s="2892"/>
      <c r="E43" s="2892"/>
      <c r="F43" s="2892"/>
      <c r="G43" s="2892"/>
      <c r="H43" s="2892"/>
      <c r="I43" s="2892"/>
      <c r="J43" s="2892"/>
      <c r="K43" s="2892"/>
      <c r="L43" s="2892"/>
      <c r="M43" s="2892"/>
      <c r="N43" s="2893"/>
      <c r="O43" s="348"/>
      <c r="P43" s="74"/>
      <c r="Q43" s="120"/>
      <c r="R43" s="118"/>
      <c r="S43" s="124"/>
      <c r="T43" s="253">
        <v>1</v>
      </c>
      <c r="U43" s="253"/>
      <c r="V43" s="253"/>
      <c r="W43" s="253"/>
      <c r="X43" s="253"/>
      <c r="Y43" s="118"/>
      <c r="Z43" s="118"/>
      <c r="AA43" s="124"/>
      <c r="AB43" s="74"/>
      <c r="AC43" s="74"/>
      <c r="AD43" s="74"/>
      <c r="AE43" s="74"/>
      <c r="AF43" s="74"/>
      <c r="AG43" s="74"/>
      <c r="AH43" s="74"/>
      <c r="AI43" s="74"/>
      <c r="AJ43" s="124"/>
    </row>
    <row r="44" spans="1:36" s="163" customFormat="1" ht="14.25" hidden="1" customHeight="1">
      <c r="A44" s="1536"/>
      <c r="B44" s="159" t="str">
        <f t="shared" si="31"/>
        <v>2D.4</v>
      </c>
      <c r="C44" s="2892" t="s">
        <v>1498</v>
      </c>
      <c r="D44" s="2892"/>
      <c r="E44" s="2892"/>
      <c r="F44" s="2892"/>
      <c r="G44" s="2892"/>
      <c r="H44" s="2892"/>
      <c r="I44" s="2892"/>
      <c r="J44" s="2892"/>
      <c r="K44" s="2892"/>
      <c r="L44" s="2892"/>
      <c r="M44" s="2892"/>
      <c r="N44" s="2893"/>
      <c r="O44" s="348"/>
      <c r="P44" s="74"/>
      <c r="Q44" s="120"/>
      <c r="R44" s="118"/>
      <c r="S44" s="124"/>
      <c r="T44" s="253"/>
      <c r="U44" s="253"/>
      <c r="V44" s="253"/>
      <c r="W44" s="253"/>
      <c r="X44" s="253"/>
      <c r="Y44" s="118"/>
      <c r="Z44" s="118"/>
      <c r="AA44" s="124"/>
      <c r="AB44" s="74"/>
      <c r="AC44" s="74"/>
      <c r="AD44" s="74"/>
      <c r="AE44" s="74"/>
      <c r="AF44" s="74"/>
      <c r="AG44" s="74"/>
      <c r="AH44" s="74"/>
      <c r="AI44" s="74"/>
      <c r="AJ44" s="124"/>
    </row>
    <row r="45" spans="1:36" s="163" customFormat="1" ht="14.25" hidden="1" customHeight="1">
      <c r="A45" s="1536"/>
      <c r="B45" s="159" t="str">
        <f t="shared" si="31"/>
        <v>2D.5</v>
      </c>
      <c r="C45" s="2892" t="s">
        <v>1499</v>
      </c>
      <c r="D45" s="2892"/>
      <c r="E45" s="2892"/>
      <c r="F45" s="2892"/>
      <c r="G45" s="2892"/>
      <c r="H45" s="2892"/>
      <c r="I45" s="2892"/>
      <c r="J45" s="2892"/>
      <c r="K45" s="2892"/>
      <c r="L45" s="2892"/>
      <c r="M45" s="2892"/>
      <c r="N45" s="2893"/>
      <c r="O45" s="348"/>
      <c r="P45" s="74"/>
      <c r="Q45" s="120"/>
      <c r="R45" s="118"/>
      <c r="S45" s="124"/>
      <c r="T45" s="253">
        <v>1</v>
      </c>
      <c r="U45" s="253"/>
      <c r="V45" s="253"/>
      <c r="W45" s="253"/>
      <c r="X45" s="253"/>
      <c r="Y45" s="118"/>
      <c r="Z45" s="118"/>
      <c r="AA45" s="124"/>
      <c r="AB45" s="74"/>
      <c r="AC45" s="74"/>
      <c r="AD45" s="74"/>
      <c r="AE45" s="74"/>
      <c r="AF45" s="74"/>
      <c r="AG45" s="74"/>
      <c r="AH45" s="74"/>
      <c r="AI45" s="74"/>
      <c r="AJ45" s="124"/>
    </row>
    <row r="46" spans="1:36" s="163" customFormat="1" ht="13.5" hidden="1" customHeight="1">
      <c r="A46" s="1536"/>
      <c r="B46" s="159" t="str">
        <f t="shared" si="31"/>
        <v>2D.6</v>
      </c>
      <c r="C46" s="2892" t="s">
        <v>1500</v>
      </c>
      <c r="D46" s="2892"/>
      <c r="E46" s="2892"/>
      <c r="F46" s="2892"/>
      <c r="G46" s="2892"/>
      <c r="H46" s="2892"/>
      <c r="I46" s="2892"/>
      <c r="J46" s="2892"/>
      <c r="K46" s="2892"/>
      <c r="L46" s="2892"/>
      <c r="M46" s="2892"/>
      <c r="N46" s="2893"/>
      <c r="O46" s="348"/>
      <c r="P46" s="74"/>
      <c r="Q46" s="110"/>
      <c r="R46" s="110"/>
      <c r="S46" s="124"/>
      <c r="T46" s="253">
        <v>1</v>
      </c>
      <c r="U46" s="253"/>
      <c r="V46" s="253"/>
      <c r="W46" s="253"/>
      <c r="X46" s="291"/>
      <c r="Y46" s="110"/>
      <c r="Z46" s="110"/>
      <c r="AA46" s="124"/>
      <c r="AB46" s="74"/>
      <c r="AC46" s="74"/>
      <c r="AD46" s="74"/>
      <c r="AE46" s="74"/>
      <c r="AF46" s="74"/>
      <c r="AG46" s="74"/>
      <c r="AH46" s="74"/>
      <c r="AI46" s="74"/>
      <c r="AJ46" s="71"/>
    </row>
    <row r="47" spans="1:36" s="163" customFormat="1" ht="13.5" hidden="1" customHeight="1">
      <c r="A47" s="1536"/>
      <c r="B47" s="159" t="str">
        <f>B15</f>
        <v>2D.7</v>
      </c>
      <c r="C47" s="2892" t="s">
        <v>1501</v>
      </c>
      <c r="D47" s="2892"/>
      <c r="E47" s="2892"/>
      <c r="F47" s="2892"/>
      <c r="G47" s="2892"/>
      <c r="H47" s="2892"/>
      <c r="I47" s="2892"/>
      <c r="J47" s="2892"/>
      <c r="K47" s="2892"/>
      <c r="L47" s="2892"/>
      <c r="M47" s="2892"/>
      <c r="N47" s="2893"/>
      <c r="O47" s="348"/>
      <c r="P47" s="74"/>
      <c r="Q47" s="110"/>
      <c r="R47" s="110"/>
      <c r="S47" s="124"/>
      <c r="T47" s="253">
        <v>1</v>
      </c>
      <c r="U47" s="374"/>
      <c r="V47" s="374"/>
      <c r="W47" s="374"/>
      <c r="X47" s="291"/>
      <c r="Y47" s="110"/>
      <c r="Z47" s="110"/>
      <c r="AA47" s="124"/>
      <c r="AB47" s="74"/>
      <c r="AC47" s="74"/>
      <c r="AD47" s="74"/>
      <c r="AE47" s="74"/>
      <c r="AF47" s="74"/>
      <c r="AG47" s="74"/>
      <c r="AH47" s="74"/>
      <c r="AI47" s="74"/>
      <c r="AJ47" s="71"/>
    </row>
    <row r="48" spans="1:36" s="178" customFormat="1" ht="13.5" hidden="1" customHeight="1">
      <c r="A48" s="1537"/>
      <c r="B48" s="159" t="str">
        <f>B16</f>
        <v>2D.8</v>
      </c>
      <c r="C48" s="2892" t="s">
        <v>1502</v>
      </c>
      <c r="D48" s="2892"/>
      <c r="E48" s="2892"/>
      <c r="F48" s="2892"/>
      <c r="G48" s="2892"/>
      <c r="H48" s="2892"/>
      <c r="I48" s="2892"/>
      <c r="J48" s="2892"/>
      <c r="K48" s="2892"/>
      <c r="L48" s="2892"/>
      <c r="M48" s="2892"/>
      <c r="N48" s="2893"/>
      <c r="O48" s="348"/>
      <c r="P48" s="74"/>
      <c r="Q48" s="120"/>
      <c r="R48" s="120"/>
      <c r="S48" s="124"/>
      <c r="T48" s="253">
        <v>1</v>
      </c>
      <c r="U48" s="253"/>
      <c r="V48" s="253"/>
      <c r="W48" s="253"/>
      <c r="X48" s="253"/>
      <c r="Y48" s="120"/>
      <c r="Z48" s="120"/>
      <c r="AA48" s="124"/>
      <c r="AB48" s="74"/>
      <c r="AC48" s="74"/>
      <c r="AD48" s="74"/>
      <c r="AE48" s="74"/>
      <c r="AF48" s="74"/>
      <c r="AG48" s="74"/>
      <c r="AH48" s="74"/>
      <c r="AI48" s="74"/>
      <c r="AJ48" s="71"/>
    </row>
    <row r="49" spans="1:36" s="178" customFormat="1" ht="13.5" hidden="1" customHeight="1">
      <c r="A49" s="1537"/>
      <c r="B49" s="159" t="str">
        <f>B17</f>
        <v>2D.9</v>
      </c>
      <c r="C49" s="2892" t="s">
        <v>1503</v>
      </c>
      <c r="D49" s="2892"/>
      <c r="E49" s="2892"/>
      <c r="F49" s="2892"/>
      <c r="G49" s="2892"/>
      <c r="H49" s="2892"/>
      <c r="I49" s="2892"/>
      <c r="J49" s="2892"/>
      <c r="K49" s="2892"/>
      <c r="L49" s="2892"/>
      <c r="M49" s="2892"/>
      <c r="N49" s="2893"/>
      <c r="O49" s="348"/>
      <c r="P49" s="74"/>
      <c r="Q49" s="120"/>
      <c r="R49" s="120"/>
      <c r="S49" s="124"/>
      <c r="T49" s="253"/>
      <c r="U49" s="253"/>
      <c r="V49" s="253"/>
      <c r="W49" s="253"/>
      <c r="X49" s="253"/>
      <c r="Y49" s="120"/>
      <c r="Z49" s="120"/>
      <c r="AA49" s="124"/>
      <c r="AB49" s="74"/>
      <c r="AC49" s="74"/>
      <c r="AD49" s="74"/>
      <c r="AE49" s="74"/>
      <c r="AF49" s="74"/>
      <c r="AG49" s="74"/>
      <c r="AH49" s="74"/>
      <c r="AI49" s="74"/>
      <c r="AJ49" s="71"/>
    </row>
    <row r="50" spans="1:36" s="178" customFormat="1" ht="14.25" hidden="1" customHeight="1">
      <c r="A50" s="1529"/>
      <c r="B50" s="159" t="str">
        <f>B18</f>
        <v>2D.10</v>
      </c>
      <c r="C50" s="2892" t="s">
        <v>1504</v>
      </c>
      <c r="D50" s="2892"/>
      <c r="E50" s="2892"/>
      <c r="F50" s="2892"/>
      <c r="G50" s="2892"/>
      <c r="H50" s="2892"/>
      <c r="I50" s="2892"/>
      <c r="J50" s="2892"/>
      <c r="K50" s="2892"/>
      <c r="L50" s="2892"/>
      <c r="M50" s="2892"/>
      <c r="N50" s="2893"/>
      <c r="O50" s="348"/>
      <c r="P50" s="74"/>
      <c r="Q50" s="120"/>
      <c r="R50" s="120"/>
      <c r="S50" s="124"/>
      <c r="T50" s="253">
        <v>1</v>
      </c>
      <c r="U50" s="253"/>
      <c r="V50" s="253"/>
      <c r="W50" s="253"/>
      <c r="X50" s="253"/>
      <c r="Y50" s="120"/>
      <c r="Z50" s="120"/>
      <c r="AA50" s="124"/>
      <c r="AB50" s="74"/>
      <c r="AC50" s="74"/>
      <c r="AD50" s="74"/>
      <c r="AE50" s="74"/>
      <c r="AF50" s="74"/>
      <c r="AG50" s="74"/>
      <c r="AH50" s="74"/>
      <c r="AI50" s="74"/>
      <c r="AJ50" s="71"/>
    </row>
    <row r="51" spans="1:36" s="110" customFormat="1" ht="14.25" hidden="1" customHeight="1">
      <c r="A51" s="1528"/>
      <c r="B51" s="159" t="str">
        <f>B19</f>
        <v>2D.11</v>
      </c>
      <c r="C51" s="2892" t="s">
        <v>1505</v>
      </c>
      <c r="D51" s="2892"/>
      <c r="E51" s="2892"/>
      <c r="F51" s="2892"/>
      <c r="G51" s="2892"/>
      <c r="H51" s="2892"/>
      <c r="I51" s="2892"/>
      <c r="J51" s="2892"/>
      <c r="K51" s="2892"/>
      <c r="L51" s="2892"/>
      <c r="M51" s="2892"/>
      <c r="N51" s="2893"/>
      <c r="O51" s="348"/>
      <c r="P51" s="74"/>
      <c r="Q51" s="120"/>
      <c r="R51" s="120"/>
      <c r="S51" s="124"/>
      <c r="T51" s="253">
        <v>1</v>
      </c>
      <c r="U51" s="253"/>
      <c r="V51" s="253"/>
      <c r="W51" s="253"/>
      <c r="X51" s="253"/>
      <c r="Y51" s="120"/>
      <c r="Z51" s="120"/>
      <c r="AA51" s="124"/>
      <c r="AB51" s="74"/>
      <c r="AC51" s="74"/>
      <c r="AD51" s="74"/>
      <c r="AE51" s="74"/>
      <c r="AF51" s="74"/>
      <c r="AG51" s="74"/>
      <c r="AH51" s="74"/>
      <c r="AI51" s="74"/>
      <c r="AJ51" s="71"/>
    </row>
    <row r="52" spans="1:36" s="110" customFormat="1" ht="13.5" hidden="1" customHeight="1">
      <c r="A52" s="1528"/>
      <c r="B52" s="159" t="str">
        <f>B21</f>
        <v>2D.12</v>
      </c>
      <c r="C52" s="2892" t="s">
        <v>1506</v>
      </c>
      <c r="D52" s="2892"/>
      <c r="E52" s="2892"/>
      <c r="F52" s="2892"/>
      <c r="G52" s="2892"/>
      <c r="H52" s="2892"/>
      <c r="I52" s="2892"/>
      <c r="J52" s="2892"/>
      <c r="K52" s="2892"/>
      <c r="L52" s="2892"/>
      <c r="M52" s="2892"/>
      <c r="N52" s="2893"/>
      <c r="O52" s="348"/>
      <c r="P52" s="74"/>
      <c r="Q52" s="70"/>
      <c r="R52" s="70"/>
      <c r="S52" s="124"/>
      <c r="T52" s="253">
        <v>1</v>
      </c>
      <c r="U52" s="161"/>
      <c r="V52" s="161"/>
      <c r="W52" s="161"/>
      <c r="X52" s="375"/>
      <c r="Y52" s="70"/>
      <c r="Z52" s="70"/>
      <c r="AA52" s="124"/>
      <c r="AB52" s="74"/>
      <c r="AC52" s="74"/>
      <c r="AD52" s="74"/>
      <c r="AE52" s="74"/>
      <c r="AF52" s="74"/>
      <c r="AG52" s="74"/>
      <c r="AH52" s="74"/>
      <c r="AI52" s="74"/>
      <c r="AJ52" s="71"/>
    </row>
    <row r="53" spans="1:36" s="110" customFormat="1" ht="14.25" hidden="1" customHeight="1">
      <c r="A53" s="1528"/>
      <c r="B53" s="159" t="str">
        <f>B22</f>
        <v>2D.13</v>
      </c>
      <c r="C53" s="2892" t="s">
        <v>1507</v>
      </c>
      <c r="D53" s="2892"/>
      <c r="E53" s="2892"/>
      <c r="F53" s="2892"/>
      <c r="G53" s="2892"/>
      <c r="H53" s="2892"/>
      <c r="I53" s="2892"/>
      <c r="J53" s="2892"/>
      <c r="K53" s="2892"/>
      <c r="L53" s="2892"/>
      <c r="M53" s="2892"/>
      <c r="N53" s="2893"/>
      <c r="O53" s="348"/>
      <c r="P53" s="74"/>
      <c r="Q53" s="70"/>
      <c r="R53" s="70"/>
      <c r="S53" s="71"/>
      <c r="T53" s="253">
        <v>1</v>
      </c>
      <c r="U53" s="158"/>
      <c r="V53" s="158"/>
      <c r="W53" s="158"/>
      <c r="X53" s="375"/>
      <c r="Y53" s="70"/>
      <c r="Z53" s="70"/>
      <c r="AA53" s="71"/>
      <c r="AB53" s="74"/>
      <c r="AC53" s="74"/>
      <c r="AD53" s="74"/>
      <c r="AE53" s="74"/>
      <c r="AF53" s="74"/>
      <c r="AG53" s="74"/>
      <c r="AH53" s="74"/>
      <c r="AI53" s="74"/>
      <c r="AJ53" s="71"/>
    </row>
    <row r="54" spans="1:36" s="110" customFormat="1" ht="14.25" hidden="1" customHeight="1">
      <c r="A54" s="1528"/>
      <c r="B54" s="159" t="str">
        <f>B25</f>
        <v>2D.14</v>
      </c>
      <c r="C54" s="2892" t="s">
        <v>1508</v>
      </c>
      <c r="D54" s="2892"/>
      <c r="E54" s="2892"/>
      <c r="F54" s="2892"/>
      <c r="G54" s="2892"/>
      <c r="H54" s="2892"/>
      <c r="I54" s="2892"/>
      <c r="J54" s="2892"/>
      <c r="K54" s="2892"/>
      <c r="L54" s="2892"/>
      <c r="M54" s="2892"/>
      <c r="N54" s="2893"/>
      <c r="O54" s="348"/>
      <c r="P54" s="74"/>
      <c r="Q54" s="70"/>
      <c r="R54" s="70"/>
      <c r="S54" s="71"/>
      <c r="T54" s="253">
        <v>1</v>
      </c>
      <c r="U54" s="158"/>
      <c r="V54" s="158"/>
      <c r="W54" s="158"/>
      <c r="X54" s="375"/>
      <c r="Y54" s="70"/>
      <c r="Z54" s="70"/>
      <c r="AA54" s="71"/>
      <c r="AB54" s="74"/>
      <c r="AC54" s="74"/>
      <c r="AD54" s="74"/>
      <c r="AE54" s="74"/>
      <c r="AF54" s="74"/>
      <c r="AG54" s="74"/>
      <c r="AH54" s="74"/>
      <c r="AI54" s="74"/>
      <c r="AJ54" s="71"/>
    </row>
    <row r="55" spans="1:36" s="110" customFormat="1" ht="14.25" hidden="1" customHeight="1">
      <c r="A55" s="1528"/>
      <c r="B55" s="159" t="str">
        <f t="shared" ref="B55:B56" si="32">B26</f>
        <v>2D.15</v>
      </c>
      <c r="C55" s="2892" t="s">
        <v>1509</v>
      </c>
      <c r="D55" s="2892"/>
      <c r="E55" s="2892"/>
      <c r="F55" s="2892"/>
      <c r="G55" s="2892"/>
      <c r="H55" s="2892"/>
      <c r="I55" s="2892"/>
      <c r="J55" s="2892"/>
      <c r="K55" s="2892"/>
      <c r="L55" s="2892"/>
      <c r="M55" s="2892"/>
      <c r="N55" s="2893"/>
      <c r="O55" s="348"/>
      <c r="P55" s="74"/>
      <c r="Q55" s="70"/>
      <c r="R55" s="70"/>
      <c r="S55" s="71"/>
      <c r="T55" s="253">
        <v>1</v>
      </c>
      <c r="U55" s="254"/>
      <c r="V55" s="254"/>
      <c r="W55" s="254"/>
      <c r="X55" s="70"/>
      <c r="Y55" s="70"/>
      <c r="Z55" s="70"/>
      <c r="AA55" s="71"/>
      <c r="AB55" s="74"/>
      <c r="AC55" s="74"/>
      <c r="AD55" s="74"/>
      <c r="AE55" s="74"/>
      <c r="AF55" s="74"/>
      <c r="AG55" s="74"/>
      <c r="AH55" s="74"/>
      <c r="AI55" s="74"/>
      <c r="AJ55" s="71"/>
    </row>
    <row r="56" spans="1:36" s="110" customFormat="1" ht="14.25" hidden="1" customHeight="1" thickBot="1">
      <c r="A56" s="1528"/>
      <c r="B56" s="183" t="str">
        <f t="shared" si="32"/>
        <v>2D.16</v>
      </c>
      <c r="C56" s="2912" t="s">
        <v>1510</v>
      </c>
      <c r="D56" s="2912"/>
      <c r="E56" s="2912"/>
      <c r="F56" s="2912"/>
      <c r="G56" s="2912"/>
      <c r="H56" s="2912"/>
      <c r="I56" s="2912"/>
      <c r="J56" s="2912"/>
      <c r="K56" s="2912"/>
      <c r="L56" s="2912"/>
      <c r="M56" s="2912"/>
      <c r="N56" s="2913"/>
      <c r="O56" s="348"/>
      <c r="P56" s="74"/>
      <c r="Q56" s="70"/>
      <c r="R56" s="70"/>
      <c r="S56" s="71"/>
      <c r="T56" s="253">
        <v>1</v>
      </c>
      <c r="U56" s="254"/>
      <c r="V56" s="254"/>
      <c r="W56" s="254"/>
      <c r="X56" s="70"/>
      <c r="Y56" s="70"/>
      <c r="Z56" s="70"/>
      <c r="AA56" s="71"/>
      <c r="AB56" s="74"/>
      <c r="AC56" s="74"/>
      <c r="AD56" s="74"/>
      <c r="AE56" s="74"/>
      <c r="AF56" s="74"/>
      <c r="AG56" s="74"/>
      <c r="AH56" s="74"/>
      <c r="AI56" s="74"/>
      <c r="AJ56" s="71"/>
    </row>
    <row r="57" spans="1:36" s="110" customFormat="1" hidden="1">
      <c r="A57" s="1528"/>
      <c r="B57" s="70"/>
      <c r="C57" s="70"/>
      <c r="D57" s="70"/>
      <c r="E57" s="70"/>
      <c r="F57" s="70"/>
      <c r="G57" s="70"/>
      <c r="H57" s="70"/>
      <c r="I57" s="70"/>
      <c r="J57" s="70"/>
      <c r="K57" s="70"/>
      <c r="L57" s="70"/>
      <c r="M57" s="70"/>
      <c r="N57" s="70"/>
      <c r="O57" s="348"/>
      <c r="P57" s="74"/>
      <c r="Q57" s="70"/>
      <c r="R57" s="70"/>
      <c r="S57" s="71"/>
      <c r="T57" s="254"/>
      <c r="U57" s="254"/>
      <c r="V57" s="254"/>
      <c r="W57" s="254"/>
      <c r="X57" s="70"/>
      <c r="Y57" s="70"/>
      <c r="Z57" s="70"/>
      <c r="AA57" s="71"/>
      <c r="AB57" s="74"/>
      <c r="AC57" s="74"/>
      <c r="AD57" s="74"/>
      <c r="AE57" s="74"/>
      <c r="AF57" s="74"/>
      <c r="AG57" s="74"/>
      <c r="AH57" s="74"/>
      <c r="AI57" s="74"/>
      <c r="AJ57" s="71"/>
    </row>
    <row r="58" spans="1:36" s="178" customFormat="1" hidden="1">
      <c r="A58" s="1529"/>
      <c r="B58" s="70"/>
      <c r="C58" s="70"/>
      <c r="D58" s="70"/>
      <c r="E58" s="70"/>
      <c r="F58" s="70"/>
      <c r="G58" s="70"/>
      <c r="H58" s="70"/>
      <c r="I58" s="70"/>
      <c r="J58" s="70"/>
      <c r="K58" s="70"/>
      <c r="L58" s="70"/>
      <c r="M58" s="70"/>
      <c r="N58" s="70"/>
      <c r="O58" s="70"/>
      <c r="P58" s="74"/>
      <c r="Q58" s="70"/>
      <c r="R58" s="70"/>
      <c r="S58" s="71"/>
      <c r="T58" s="254"/>
      <c r="U58" s="254"/>
      <c r="V58" s="254"/>
      <c r="W58" s="254"/>
      <c r="X58" s="70"/>
      <c r="Y58" s="70"/>
      <c r="Z58" s="70"/>
      <c r="AA58" s="71"/>
      <c r="AB58" s="74"/>
      <c r="AC58" s="74"/>
      <c r="AD58" s="74"/>
      <c r="AE58" s="74"/>
      <c r="AF58" s="74"/>
      <c r="AG58" s="74"/>
      <c r="AH58" s="74"/>
      <c r="AI58" s="74"/>
      <c r="AJ58" s="71"/>
    </row>
  </sheetData>
  <sheetProtection algorithmName="SHA-512" hashValue="U5GXraIEC34XD0DBymuiVCX7sOYdpuKAqy5l2qKlh8Tl3HCvso3UGbeluhLjDOcRCTQq12JqHr+yqyyutSrbkA==" saltValue="QCu1VmiG78OcC+0kwcMkAQ==" spinCount="100000" sheet="1" objects="1" scenarios="1"/>
  <mergeCells count="33">
    <mergeCell ref="C56:N56"/>
    <mergeCell ref="C43:N43"/>
    <mergeCell ref="N3:N4"/>
    <mergeCell ref="C42:N42"/>
    <mergeCell ref="C53:N53"/>
    <mergeCell ref="C46:N46"/>
    <mergeCell ref="C47:N47"/>
    <mergeCell ref="C48:N48"/>
    <mergeCell ref="C50:N50"/>
    <mergeCell ref="C51:N51"/>
    <mergeCell ref="C52:N52"/>
    <mergeCell ref="C45:N45"/>
    <mergeCell ref="B29:C29"/>
    <mergeCell ref="C41:N41"/>
    <mergeCell ref="B3:C4"/>
    <mergeCell ref="E3:E4"/>
    <mergeCell ref="AB3:AI4"/>
    <mergeCell ref="C54:N54"/>
    <mergeCell ref="C55:N55"/>
    <mergeCell ref="Q3:Q4"/>
    <mergeCell ref="T3:Z4"/>
    <mergeCell ref="F3:F4"/>
    <mergeCell ref="G3:K3"/>
    <mergeCell ref="L3:M3"/>
    <mergeCell ref="P3:P4"/>
    <mergeCell ref="C44:N44"/>
    <mergeCell ref="C49:N49"/>
    <mergeCell ref="BM3:BM4"/>
    <mergeCell ref="BA3:BB4"/>
    <mergeCell ref="BD3:BD4"/>
    <mergeCell ref="BE3:BE4"/>
    <mergeCell ref="BK3:BL3"/>
    <mergeCell ref="BF3:BJ3"/>
  </mergeCells>
  <conditionalFormatting sqref="Q7:Q9 Q11">
    <cfRule type="cellIs" dxfId="480" priority="33" operator="equal">
      <formula>0</formula>
    </cfRule>
  </conditionalFormatting>
  <conditionalFormatting sqref="Q28:Q29">
    <cfRule type="cellIs" dxfId="479" priority="32" operator="equal">
      <formula>2</formula>
    </cfRule>
  </conditionalFormatting>
  <conditionalFormatting sqref="Q15:Q16 Q18">
    <cfRule type="cellIs" dxfId="478" priority="29" operator="equal">
      <formula>0</formula>
    </cfRule>
  </conditionalFormatting>
  <conditionalFormatting sqref="Q25:Q26">
    <cfRule type="cellIs" dxfId="477" priority="25" operator="equal">
      <formula>0</formula>
    </cfRule>
  </conditionalFormatting>
  <conditionalFormatting sqref="Q27">
    <cfRule type="cellIs" dxfId="476" priority="23" operator="equal">
      <formula>2</formula>
    </cfRule>
  </conditionalFormatting>
  <conditionalFormatting sqref="Q19:Q24">
    <cfRule type="cellIs" dxfId="475" priority="22" operator="equal">
      <formula>2</formula>
    </cfRule>
  </conditionalFormatting>
  <conditionalFormatting sqref="Q12:Q14">
    <cfRule type="cellIs" dxfId="474" priority="21" operator="equal">
      <formula>2</formula>
    </cfRule>
  </conditionalFormatting>
  <conditionalFormatting sqref="P27">
    <cfRule type="cellIs" dxfId="473" priority="19" operator="equal">
      <formula>0</formula>
    </cfRule>
  </conditionalFormatting>
  <conditionalFormatting sqref="Q10">
    <cfRule type="cellIs" dxfId="472" priority="15" operator="equal">
      <formula>0</formula>
    </cfRule>
  </conditionalFormatting>
  <conditionalFormatting sqref="Q17">
    <cfRule type="cellIs" dxfId="471" priority="14" operator="equal">
      <formula>0</formula>
    </cfRule>
  </conditionalFormatting>
  <conditionalFormatting sqref="K7:K12 K15:K19 K21:K22 K25:K27">
    <cfRule type="expression" dxfId="470" priority="1">
      <formula>$N$1&lt;&gt;"Thames Water"</formula>
    </cfRule>
  </conditionalFormatting>
  <printOptions horizontalCentered="1"/>
  <pageMargins left="0.39370078740157483" right="0.39370078740157483" top="0.78740157480314965" bottom="0.78740157480314965" header="0.31496062992125984" footer="0.31496062992125984"/>
  <pageSetup paperSize="9" scale="60" orientation="landscape"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7" id="{CA1E7E2E-419B-41CD-BA1D-EECCF95A25AD}">
            <xm:f>Validation!$H$3=1</xm:f>
            <x14:dxf>
              <fill>
                <patternFill>
                  <bgColor rgb="FFE0DCD8"/>
                </patternFill>
              </fill>
            </x14:dxf>
          </x14:cfRule>
          <xm:sqref>K7:K12 K15:K19 K21:K22</xm:sqref>
        </x14:conditionalFormatting>
        <x14:conditionalFormatting xmlns:xm="http://schemas.microsoft.com/office/excel/2006/main">
          <x14:cfRule type="expression" priority="26" id="{CBE5907F-C00D-45D3-9FB3-0D0DDB012274}">
            <xm:f>Validation!$H$3=1</xm:f>
            <x14:dxf>
              <fill>
                <patternFill>
                  <bgColor rgb="FFE0DCD8"/>
                </patternFill>
              </fill>
            </x14:dxf>
          </x14:cfRule>
          <xm:sqref>K25:K26</xm:sqref>
        </x14:conditionalFormatting>
        <x14:conditionalFormatting xmlns:xm="http://schemas.microsoft.com/office/excel/2006/main">
          <x14:cfRule type="expression" priority="20" id="{E38F5D01-CF9E-461B-85A5-44CFE0DEE865}">
            <xm:f>Validation!$H$3=1</xm:f>
            <x14:dxf>
              <fill>
                <patternFill>
                  <bgColor rgb="FFE0DCD8"/>
                </patternFill>
              </fill>
            </x14:dxf>
          </x14:cfRule>
          <xm:sqref>K27</xm:sqref>
        </x14:conditionalFormatting>
        <x14:conditionalFormatting xmlns:xm="http://schemas.microsoft.com/office/excel/2006/main">
          <x14:cfRule type="expression" priority="18" id="{61D3A0C9-2F3B-4BA6-893D-C116FD8DDEA7}">
            <xm:f>Validation!$H$3=1</xm:f>
            <x14:dxf>
              <fill>
                <patternFill>
                  <bgColor rgb="FFE0DCD8"/>
                </patternFill>
              </fill>
            </x14:dxf>
          </x14:cfRule>
          <xm:sqref>I7:I12 I15:I19 I21:I22</xm:sqref>
        </x14:conditionalFormatting>
        <x14:conditionalFormatting xmlns:xm="http://schemas.microsoft.com/office/excel/2006/main">
          <x14:cfRule type="expression" priority="17" id="{FCF1DD5F-F4C5-486A-8413-71C66E6BB291}">
            <xm:f>Validation!$H$3=1</xm:f>
            <x14:dxf>
              <fill>
                <patternFill>
                  <bgColor rgb="FFE0DCD8"/>
                </patternFill>
              </fill>
            </x14:dxf>
          </x14:cfRule>
          <xm:sqref>I25:I26</xm:sqref>
        </x14:conditionalFormatting>
        <x14:conditionalFormatting xmlns:xm="http://schemas.microsoft.com/office/excel/2006/main">
          <x14:cfRule type="expression" priority="16" id="{BCF49CBA-F795-44ED-AAE8-8141055E3B3B}">
            <xm:f>Validation!$H$3=1</xm:f>
            <x14:dxf>
              <fill>
                <patternFill>
                  <bgColor rgb="FFE0DCD8"/>
                </patternFill>
              </fill>
            </x14:dxf>
          </x14:cfRule>
          <xm:sqref>I27</xm:sqref>
        </x14:conditionalFormatting>
        <x14:conditionalFormatting xmlns:xm="http://schemas.microsoft.com/office/excel/2006/main">
          <x14:cfRule type="expression" priority="8" id="{67952E99-8824-4368-B208-BE2A370AAA6B}">
            <xm:f>Validation!$H$3=1</xm:f>
            <x14:dxf>
              <fill>
                <patternFill>
                  <bgColor rgb="FFE0DCD8"/>
                </patternFill>
              </fill>
            </x14:dxf>
          </x14:cfRule>
          <xm:sqref>BH27</xm:sqref>
        </x14:conditionalFormatting>
        <x14:conditionalFormatting xmlns:xm="http://schemas.microsoft.com/office/excel/2006/main">
          <x14:cfRule type="expression" priority="13" id="{57A931F3-F7A2-44DE-8606-083E43E56ED9}">
            <xm:f>Validation!$H$3=1</xm:f>
            <x14:dxf>
              <fill>
                <patternFill>
                  <bgColor rgb="FFE0DCD8"/>
                </patternFill>
              </fill>
            </x14:dxf>
          </x14:cfRule>
          <xm:sqref>BI7:BI12 BI15:BI19 BI21:BI22</xm:sqref>
        </x14:conditionalFormatting>
        <x14:conditionalFormatting xmlns:xm="http://schemas.microsoft.com/office/excel/2006/main">
          <x14:cfRule type="expression" priority="12" id="{D0674C07-61D6-4259-9C4A-7F531C942789}">
            <xm:f>Validation!$H$3=1</xm:f>
            <x14:dxf>
              <fill>
                <patternFill>
                  <bgColor rgb="FFE0DCD8"/>
                </patternFill>
              </fill>
            </x14:dxf>
          </x14:cfRule>
          <xm:sqref>BI25:BI26</xm:sqref>
        </x14:conditionalFormatting>
        <x14:conditionalFormatting xmlns:xm="http://schemas.microsoft.com/office/excel/2006/main">
          <x14:cfRule type="expression" priority="11" id="{C62F8704-6627-450F-BB04-12C069B4D65E}">
            <xm:f>Validation!$H$3=1</xm:f>
            <x14:dxf>
              <fill>
                <patternFill>
                  <bgColor rgb="FFE0DCD8"/>
                </patternFill>
              </fill>
            </x14:dxf>
          </x14:cfRule>
          <xm:sqref>BI27</xm:sqref>
        </x14:conditionalFormatting>
        <x14:conditionalFormatting xmlns:xm="http://schemas.microsoft.com/office/excel/2006/main">
          <x14:cfRule type="expression" priority="10" id="{2CE65009-F58B-4AF7-B212-96642260E8FE}">
            <xm:f>Validation!$H$3=1</xm:f>
            <x14:dxf>
              <fill>
                <patternFill>
                  <bgColor rgb="FFE0DCD8"/>
                </patternFill>
              </fill>
            </x14:dxf>
          </x14:cfRule>
          <xm:sqref>BH7:BH12 BH15:BH19 BH21:BH22</xm:sqref>
        </x14:conditionalFormatting>
        <x14:conditionalFormatting xmlns:xm="http://schemas.microsoft.com/office/excel/2006/main">
          <x14:cfRule type="expression" priority="9" id="{BB4D0237-0B98-43D9-80AB-065D7DCFFD12}">
            <xm:f>Validation!$H$3=1</xm:f>
            <x14:dxf>
              <fill>
                <patternFill>
                  <bgColor rgb="FFE0DCD8"/>
                </patternFill>
              </fill>
            </x14:dxf>
          </x14:cfRule>
          <xm:sqref>BH25:BH26</xm:sqref>
        </x14:conditionalFormatting>
        <x14:conditionalFormatting xmlns:xm="http://schemas.microsoft.com/office/excel/2006/main">
          <x14:cfRule type="expression" priority="7" id="{1A55C809-BFF1-4BDB-A924-84FE3EDA4D81}">
            <xm:f>Validation!$H$3=1</xm:f>
            <x14:dxf>
              <fill>
                <patternFill>
                  <bgColor rgb="FFE0DCD8"/>
                </patternFill>
              </fill>
            </x14:dxf>
          </x14:cfRule>
          <xm:sqref>J7:J12 J15:J19 J21:J22</xm:sqref>
        </x14:conditionalFormatting>
        <x14:conditionalFormatting xmlns:xm="http://schemas.microsoft.com/office/excel/2006/main">
          <x14:cfRule type="expression" priority="6" id="{C0DB6C7F-AB0D-4692-AB47-31904C19E905}">
            <xm:f>Validation!$H$3=1</xm:f>
            <x14:dxf>
              <fill>
                <patternFill>
                  <bgColor rgb="FFE0DCD8"/>
                </patternFill>
              </fill>
            </x14:dxf>
          </x14:cfRule>
          <xm:sqref>J25:J26</xm:sqref>
        </x14:conditionalFormatting>
        <x14:conditionalFormatting xmlns:xm="http://schemas.microsoft.com/office/excel/2006/main">
          <x14:cfRule type="expression" priority="5" id="{2D2DCB7D-EC09-4D36-A8B3-51BCFB0E21EA}">
            <xm:f>Validation!$H$3=1</xm:f>
            <x14:dxf>
              <fill>
                <patternFill>
                  <bgColor rgb="FFE0DCD8"/>
                </patternFill>
              </fill>
            </x14:dxf>
          </x14:cfRule>
          <xm:sqref>J27</xm:sqref>
        </x14:conditionalFormatting>
        <x14:conditionalFormatting xmlns:xm="http://schemas.microsoft.com/office/excel/2006/main">
          <x14:cfRule type="expression" priority="4" id="{205304BA-96B1-4E35-AFB4-51C1890511CE}">
            <xm:f>Validation!$H$3=1</xm:f>
            <x14:dxf>
              <fill>
                <patternFill>
                  <bgColor rgb="FFE0DCD8"/>
                </patternFill>
              </fill>
            </x14:dxf>
          </x14:cfRule>
          <xm:sqref>BJ7:BJ12 BJ15:BJ19 BJ21:BJ22</xm:sqref>
        </x14:conditionalFormatting>
        <x14:conditionalFormatting xmlns:xm="http://schemas.microsoft.com/office/excel/2006/main">
          <x14:cfRule type="expression" priority="3" id="{FDA640CB-0540-44A9-9E23-50E0C00195BC}">
            <xm:f>Validation!$H$3=1</xm:f>
            <x14:dxf>
              <fill>
                <patternFill>
                  <bgColor rgb="FFE0DCD8"/>
                </patternFill>
              </fill>
            </x14:dxf>
          </x14:cfRule>
          <xm:sqref>BJ25:BJ26</xm:sqref>
        </x14:conditionalFormatting>
        <x14:conditionalFormatting xmlns:xm="http://schemas.microsoft.com/office/excel/2006/main">
          <x14:cfRule type="expression" priority="2" id="{35CEE39D-1884-4D05-9D63-475DDE41023E}">
            <xm:f>Validation!$H$3=1</xm:f>
            <x14:dxf>
              <fill>
                <patternFill>
                  <bgColor rgb="FFE0DCD8"/>
                </patternFill>
              </fill>
            </x14:dxf>
          </x14:cfRule>
          <xm:sqref>BJ27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92D050"/>
    <pageSetUpPr fitToPage="1"/>
  </sheetPr>
  <dimension ref="A1:AJ86"/>
  <sheetViews>
    <sheetView topLeftCell="A23" workbookViewId="0">
      <selection activeCell="G44" sqref="G44"/>
    </sheetView>
  </sheetViews>
  <sheetFormatPr defaultColWidth="0" defaultRowHeight="14" zeroHeight="1"/>
  <cols>
    <col min="1" max="1" width="0.58203125" style="70" customWidth="1"/>
    <col min="2" max="2" width="5.08203125" style="70" customWidth="1"/>
    <col min="3" max="3" width="38.08203125" style="70" customWidth="1"/>
    <col min="4" max="4" width="5.58203125" style="70" hidden="1" customWidth="1"/>
    <col min="5" max="6" width="5.08203125" style="70" customWidth="1"/>
    <col min="7" max="10" width="14.58203125" style="70" customWidth="1"/>
    <col min="11" max="11" width="2.58203125" style="70" customWidth="1"/>
    <col min="12" max="12" width="18.58203125" style="70" bestFit="1" customWidth="1"/>
    <col min="13" max="13" width="1.58203125" style="70" customWidth="1"/>
    <col min="14" max="14" width="1.58203125" style="71" hidden="1" customWidth="1"/>
    <col min="15" max="17" width="5.58203125" style="70" hidden="1" customWidth="1"/>
    <col min="18" max="18" width="1.58203125" style="71" hidden="1" customWidth="1"/>
    <col min="19" max="25" width="0" style="8" hidden="1" customWidth="1"/>
    <col min="26" max="26" width="8.58203125" style="8" customWidth="1"/>
    <col min="27" max="27" width="5.08203125" style="70" customWidth="1"/>
    <col min="28" max="28" width="38.08203125" style="70" customWidth="1"/>
    <col min="29" max="29" width="5.58203125" style="70" hidden="1" customWidth="1"/>
    <col min="30" max="31" width="5.08203125" style="70" customWidth="1"/>
    <col min="32" max="32" width="16.33203125" style="70" customWidth="1"/>
    <col min="33" max="35" width="14.58203125" style="70" customWidth="1"/>
    <col min="36" max="36" width="2.58203125" style="8" customWidth="1"/>
    <col min="37" max="16384" width="8.58203125" style="8" hidden="1"/>
  </cols>
  <sheetData>
    <row r="1" spans="1:35" ht="20">
      <c r="B1" s="66" t="s">
        <v>1511</v>
      </c>
      <c r="C1" s="66"/>
      <c r="D1" s="66"/>
      <c r="E1" s="66"/>
      <c r="F1" s="66"/>
      <c r="G1" s="66"/>
      <c r="H1" s="66"/>
      <c r="I1" s="66"/>
      <c r="J1" s="68" t="str">
        <f>Validation!B3</f>
        <v>Bristol Water</v>
      </c>
      <c r="K1" s="66"/>
      <c r="L1" s="69" t="s">
        <v>32</v>
      </c>
      <c r="S1" s="483"/>
      <c r="T1" s="483"/>
      <c r="U1" s="483"/>
      <c r="V1" s="483"/>
      <c r="W1" s="483"/>
      <c r="X1" s="483"/>
      <c r="Y1" s="483"/>
      <c r="Z1" s="483"/>
      <c r="AA1" s="66" t="s">
        <v>33</v>
      </c>
      <c r="AB1" s="66"/>
      <c r="AC1" s="66"/>
      <c r="AD1" s="66"/>
      <c r="AE1" s="66"/>
      <c r="AF1" s="66"/>
      <c r="AG1" s="66"/>
      <c r="AH1" s="66"/>
      <c r="AI1" s="68"/>
    </row>
    <row r="2" spans="1:35" ht="14.5" thickBot="1">
      <c r="B2" s="73" t="str">
        <f>'2D'!B2</f>
        <v>For the 12 months ended 31 March 2020</v>
      </c>
      <c r="S2" s="483"/>
      <c r="T2" s="483"/>
      <c r="U2" s="483"/>
      <c r="V2" s="483"/>
      <c r="W2" s="483"/>
      <c r="X2" s="483"/>
      <c r="Y2" s="483"/>
      <c r="Z2" s="483"/>
      <c r="AA2" s="73" t="str">
        <f>+B2</f>
        <v>For the 12 months ended 31 March 2020</v>
      </c>
    </row>
    <row r="3" spans="1:35" ht="15" customHeight="1">
      <c r="B3" s="2981" t="s">
        <v>34</v>
      </c>
      <c r="C3" s="2982"/>
      <c r="D3" s="2843" t="s">
        <v>35</v>
      </c>
      <c r="E3" s="2985" t="s">
        <v>36</v>
      </c>
      <c r="F3" s="2987" t="s">
        <v>37</v>
      </c>
      <c r="G3" s="2904" t="s">
        <v>156</v>
      </c>
      <c r="H3" s="2905"/>
      <c r="I3" s="2905"/>
      <c r="J3" s="2906"/>
      <c r="L3" s="2907" t="s">
        <v>41</v>
      </c>
      <c r="O3" s="2909" t="s">
        <v>45</v>
      </c>
      <c r="P3" s="2909"/>
      <c r="Q3" s="2980"/>
      <c r="S3" s="483"/>
      <c r="T3" s="483"/>
      <c r="U3" s="483"/>
      <c r="V3" s="483"/>
      <c r="W3" s="483"/>
      <c r="X3" s="483"/>
      <c r="Y3" s="483"/>
      <c r="Z3" s="483"/>
      <c r="AA3" s="2981" t="s">
        <v>34</v>
      </c>
      <c r="AB3" s="2982"/>
      <c r="AC3" s="2843" t="s">
        <v>35</v>
      </c>
      <c r="AD3" s="2985" t="s">
        <v>36</v>
      </c>
      <c r="AE3" s="2987" t="s">
        <v>37</v>
      </c>
      <c r="AF3" s="2904" t="s">
        <v>156</v>
      </c>
      <c r="AG3" s="2905"/>
      <c r="AH3" s="2905"/>
      <c r="AI3" s="2906"/>
    </row>
    <row r="4" spans="1:35" ht="41" thickBot="1">
      <c r="B4" s="2983"/>
      <c r="C4" s="2984"/>
      <c r="D4" s="2844"/>
      <c r="E4" s="2986"/>
      <c r="F4" s="2988"/>
      <c r="G4" s="2832" t="s">
        <v>1512</v>
      </c>
      <c r="H4" s="78" t="s">
        <v>1513</v>
      </c>
      <c r="I4" s="78" t="s">
        <v>1514</v>
      </c>
      <c r="J4" s="2833" t="s">
        <v>708</v>
      </c>
      <c r="L4" s="2908"/>
      <c r="M4" s="79"/>
      <c r="O4" s="2909"/>
      <c r="P4" s="2909"/>
      <c r="Q4" s="2980"/>
      <c r="S4" s="483"/>
      <c r="T4" s="483"/>
      <c r="U4" s="483"/>
      <c r="V4" s="483"/>
      <c r="W4" s="483"/>
      <c r="X4" s="483"/>
      <c r="Y4" s="483"/>
      <c r="Z4" s="483"/>
      <c r="AA4" s="2983"/>
      <c r="AB4" s="2984"/>
      <c r="AC4" s="2844"/>
      <c r="AD4" s="2986"/>
      <c r="AE4" s="2988"/>
      <c r="AF4" s="2832" t="s">
        <v>1512</v>
      </c>
      <c r="AG4" s="78" t="s">
        <v>1513</v>
      </c>
      <c r="AH4" s="78" t="s">
        <v>1514</v>
      </c>
      <c r="AI4" s="2833" t="s">
        <v>708</v>
      </c>
    </row>
    <row r="5" spans="1:35" ht="14.5" thickBot="1">
      <c r="O5" s="85" t="s">
        <v>46</v>
      </c>
      <c r="S5" s="483"/>
      <c r="T5" s="483"/>
      <c r="U5" s="483"/>
      <c r="V5" s="483"/>
      <c r="W5" s="483"/>
      <c r="X5" s="483"/>
      <c r="Y5" s="483"/>
      <c r="Z5" s="483"/>
    </row>
    <row r="6" spans="1:35" ht="14.5" thickBot="1">
      <c r="B6" s="2865" t="s">
        <v>153</v>
      </c>
      <c r="C6" s="83" t="s">
        <v>1515</v>
      </c>
      <c r="D6" s="1473"/>
      <c r="S6" s="483"/>
      <c r="T6" s="483"/>
      <c r="U6" s="483"/>
      <c r="V6" s="483"/>
      <c r="W6" s="483"/>
      <c r="X6" s="483"/>
      <c r="Y6" s="483"/>
      <c r="Z6" s="483"/>
      <c r="AA6" s="2865" t="s">
        <v>153</v>
      </c>
      <c r="AB6" s="83" t="s">
        <v>1515</v>
      </c>
      <c r="AC6" s="1473"/>
    </row>
    <row r="7" spans="1:35">
      <c r="B7" s="86" t="s">
        <v>1516</v>
      </c>
      <c r="C7" s="117" t="s">
        <v>1517</v>
      </c>
      <c r="D7" s="117"/>
      <c r="E7" s="88" t="s">
        <v>49</v>
      </c>
      <c r="F7" s="89">
        <v>3</v>
      </c>
      <c r="G7" s="414">
        <v>0</v>
      </c>
      <c r="H7" s="425">
        <v>1.8240000000000001</v>
      </c>
      <c r="I7" s="450">
        <v>0</v>
      </c>
      <c r="J7" s="190">
        <f>SUM(G7:I7)</f>
        <v>1.8240000000000001</v>
      </c>
      <c r="L7" s="24">
        <f xml:space="preserve"> IF( SUM( N7:R7 ) = 0, 0, $O$5 )</f>
        <v>0</v>
      </c>
      <c r="O7" s="93">
        <f t="shared" ref="O7:Q12" si="0" xml:space="preserve"> IF( ISNUMBER( G7 ), 0, 1 )</f>
        <v>0</v>
      </c>
      <c r="P7" s="93">
        <f t="shared" si="0"/>
        <v>0</v>
      </c>
      <c r="Q7" s="93">
        <f t="shared" si="0"/>
        <v>0</v>
      </c>
      <c r="S7" s="483"/>
      <c r="T7" s="483"/>
      <c r="U7" s="483"/>
      <c r="V7" s="483"/>
      <c r="W7" s="483"/>
      <c r="X7" s="483"/>
      <c r="Y7" s="483"/>
      <c r="Z7" s="483"/>
      <c r="AA7" s="86" t="s">
        <v>1516</v>
      </c>
      <c r="AB7" s="117" t="s">
        <v>1517</v>
      </c>
      <c r="AC7" s="117"/>
      <c r="AD7" s="88" t="s">
        <v>49</v>
      </c>
      <c r="AE7" s="89">
        <v>3</v>
      </c>
      <c r="AF7" s="2380" t="s">
        <v>1518</v>
      </c>
      <c r="AG7" s="2381" t="s">
        <v>1519</v>
      </c>
      <c r="AH7" s="2440" t="s">
        <v>1520</v>
      </c>
      <c r="AI7" s="190" t="s">
        <v>1521</v>
      </c>
    </row>
    <row r="8" spans="1:35">
      <c r="B8" s="94" t="s">
        <v>1522</v>
      </c>
      <c r="C8" s="87" t="s">
        <v>1523</v>
      </c>
      <c r="D8" s="87"/>
      <c r="E8" s="95" t="s">
        <v>49</v>
      </c>
      <c r="F8" s="96">
        <v>3</v>
      </c>
      <c r="G8" s="412">
        <v>0</v>
      </c>
      <c r="H8" s="413">
        <v>1.4279999999999999</v>
      </c>
      <c r="I8" s="451">
        <v>0</v>
      </c>
      <c r="J8" s="191">
        <f t="shared" ref="J8:J13" si="1">SUM(G8:I8)</f>
        <v>1.4279999999999999</v>
      </c>
      <c r="L8" s="24">
        <f t="shared" ref="L8:L12" si="2" xml:space="preserve"> IF( SUM( N8:R8 ) = 0, 0, $O$5 )</f>
        <v>0</v>
      </c>
      <c r="O8" s="93">
        <f t="shared" si="0"/>
        <v>0</v>
      </c>
      <c r="P8" s="93">
        <f t="shared" si="0"/>
        <v>0</v>
      </c>
      <c r="Q8" s="93">
        <f t="shared" si="0"/>
        <v>0</v>
      </c>
      <c r="S8" s="483"/>
      <c r="T8" s="483"/>
      <c r="U8" s="483"/>
      <c r="V8" s="483"/>
      <c r="W8" s="483"/>
      <c r="X8" s="483"/>
      <c r="Y8" s="483"/>
      <c r="Z8" s="483"/>
      <c r="AA8" s="94" t="s">
        <v>1522</v>
      </c>
      <c r="AB8" s="87" t="s">
        <v>1523</v>
      </c>
      <c r="AC8" s="87"/>
      <c r="AD8" s="95" t="s">
        <v>49</v>
      </c>
      <c r="AE8" s="96">
        <v>3</v>
      </c>
      <c r="AF8" s="2383" t="s">
        <v>1524</v>
      </c>
      <c r="AG8" s="2384" t="s">
        <v>1525</v>
      </c>
      <c r="AH8" s="2441" t="s">
        <v>1526</v>
      </c>
      <c r="AI8" s="191" t="s">
        <v>1527</v>
      </c>
    </row>
    <row r="9" spans="1:35">
      <c r="B9" s="94" t="s">
        <v>1528</v>
      </c>
      <c r="C9" s="87" t="s">
        <v>1529</v>
      </c>
      <c r="D9" s="87"/>
      <c r="E9" s="95" t="s">
        <v>49</v>
      </c>
      <c r="F9" s="96">
        <v>3</v>
      </c>
      <c r="G9" s="412">
        <v>0</v>
      </c>
      <c r="H9" s="413">
        <v>0.21099999999999999</v>
      </c>
      <c r="I9" s="451">
        <v>0</v>
      </c>
      <c r="J9" s="191">
        <f t="shared" si="1"/>
        <v>0.21099999999999999</v>
      </c>
      <c r="L9" s="24">
        <f t="shared" si="2"/>
        <v>0</v>
      </c>
      <c r="O9" s="93">
        <f t="shared" si="0"/>
        <v>0</v>
      </c>
      <c r="P9" s="93">
        <f t="shared" si="0"/>
        <v>0</v>
      </c>
      <c r="Q9" s="93">
        <f t="shared" si="0"/>
        <v>0</v>
      </c>
      <c r="S9" s="483"/>
      <c r="T9" s="483"/>
      <c r="U9" s="483"/>
      <c r="V9" s="483"/>
      <c r="W9" s="483"/>
      <c r="X9" s="483"/>
      <c r="Y9" s="483"/>
      <c r="Z9" s="483"/>
      <c r="AA9" s="94" t="s">
        <v>1528</v>
      </c>
      <c r="AB9" s="87" t="s">
        <v>1529</v>
      </c>
      <c r="AC9" s="87"/>
      <c r="AD9" s="95" t="s">
        <v>49</v>
      </c>
      <c r="AE9" s="96">
        <v>3</v>
      </c>
      <c r="AF9" s="2383" t="s">
        <v>1530</v>
      </c>
      <c r="AG9" s="2384" t="s">
        <v>1531</v>
      </c>
      <c r="AH9" s="2441" t="s">
        <v>1532</v>
      </c>
      <c r="AI9" s="191" t="s">
        <v>1533</v>
      </c>
    </row>
    <row r="10" spans="1:35" s="483" customFormat="1">
      <c r="A10" s="70"/>
      <c r="B10" s="94" t="s">
        <v>1534</v>
      </c>
      <c r="C10" s="87" t="s">
        <v>1535</v>
      </c>
      <c r="D10" s="87"/>
      <c r="E10" s="95" t="s">
        <v>49</v>
      </c>
      <c r="F10" s="96">
        <v>3</v>
      </c>
      <c r="G10" s="412">
        <v>0</v>
      </c>
      <c r="H10" s="413">
        <v>0.36199999999999999</v>
      </c>
      <c r="I10" s="451">
        <v>0</v>
      </c>
      <c r="J10" s="191">
        <f t="shared" si="1"/>
        <v>0.36199999999999999</v>
      </c>
      <c r="K10" s="70"/>
      <c r="L10" s="24">
        <f t="shared" si="2"/>
        <v>0</v>
      </c>
      <c r="M10" s="70"/>
      <c r="N10" s="71"/>
      <c r="O10" s="93">
        <f t="shared" ref="O10" si="3" xml:space="preserve"> IF( ISNUMBER( G10 ), 0, 1 )</f>
        <v>0</v>
      </c>
      <c r="P10" s="93">
        <f t="shared" ref="P10" si="4" xml:space="preserve"> IF( ISNUMBER( H10 ), 0, 1 )</f>
        <v>0</v>
      </c>
      <c r="Q10" s="93">
        <f t="shared" ref="Q10" si="5" xml:space="preserve"> IF( ISNUMBER( I10 ), 0, 1 )</f>
        <v>0</v>
      </c>
      <c r="R10" s="71"/>
      <c r="AA10" s="94" t="s">
        <v>1534</v>
      </c>
      <c r="AB10" s="87" t="s">
        <v>1535</v>
      </c>
      <c r="AC10" s="87"/>
      <c r="AD10" s="95" t="s">
        <v>49</v>
      </c>
      <c r="AE10" s="96">
        <v>3</v>
      </c>
      <c r="AF10" s="2219" t="s">
        <v>1536</v>
      </c>
      <c r="AG10" s="2393" t="s">
        <v>1537</v>
      </c>
      <c r="AH10" s="2453" t="s">
        <v>1538</v>
      </c>
      <c r="AI10" s="1885" t="s">
        <v>1539</v>
      </c>
    </row>
    <row r="11" spans="1:35">
      <c r="B11" s="94" t="s">
        <v>1540</v>
      </c>
      <c r="C11" s="87" t="s">
        <v>1541</v>
      </c>
      <c r="D11" s="87"/>
      <c r="E11" s="95" t="s">
        <v>49</v>
      </c>
      <c r="F11" s="96">
        <v>3</v>
      </c>
      <c r="G11" s="412">
        <v>0.56599999999999995</v>
      </c>
      <c r="H11" s="413">
        <v>0</v>
      </c>
      <c r="I11" s="451">
        <v>0</v>
      </c>
      <c r="J11" s="191">
        <f t="shared" si="1"/>
        <v>0.56599999999999995</v>
      </c>
      <c r="L11" s="24">
        <f t="shared" si="2"/>
        <v>0</v>
      </c>
      <c r="O11" s="93">
        <f t="shared" si="0"/>
        <v>0</v>
      </c>
      <c r="P11" s="93">
        <f t="shared" si="0"/>
        <v>0</v>
      </c>
      <c r="Q11" s="93">
        <f t="shared" si="0"/>
        <v>0</v>
      </c>
      <c r="S11" s="483"/>
      <c r="T11" s="483"/>
      <c r="U11" s="483"/>
      <c r="V11" s="483"/>
      <c r="W11" s="483"/>
      <c r="X11" s="483"/>
      <c r="Y11" s="483"/>
      <c r="Z11" s="483"/>
      <c r="AA11" s="94" t="s">
        <v>1540</v>
      </c>
      <c r="AB11" s="87" t="s">
        <v>1541</v>
      </c>
      <c r="AC11" s="87"/>
      <c r="AD11" s="95" t="s">
        <v>49</v>
      </c>
      <c r="AE11" s="96">
        <v>3</v>
      </c>
      <c r="AF11" s="2219" t="s">
        <v>1542</v>
      </c>
      <c r="AG11" s="2393" t="s">
        <v>1543</v>
      </c>
      <c r="AH11" s="2453" t="s">
        <v>1544</v>
      </c>
      <c r="AI11" s="1885" t="s">
        <v>1545</v>
      </c>
    </row>
    <row r="12" spans="1:35">
      <c r="B12" s="94" t="s">
        <v>1546</v>
      </c>
      <c r="C12" s="87" t="s">
        <v>1547</v>
      </c>
      <c r="D12" s="87"/>
      <c r="E12" s="95" t="s">
        <v>49</v>
      </c>
      <c r="F12" s="96">
        <v>3</v>
      </c>
      <c r="G12" s="412">
        <v>0</v>
      </c>
      <c r="H12" s="413">
        <v>0</v>
      </c>
      <c r="I12" s="451">
        <v>0</v>
      </c>
      <c r="J12" s="191">
        <f t="shared" si="1"/>
        <v>0</v>
      </c>
      <c r="L12" s="24">
        <f t="shared" si="2"/>
        <v>0</v>
      </c>
      <c r="O12" s="93">
        <f t="shared" si="0"/>
        <v>0</v>
      </c>
      <c r="P12" s="93">
        <f t="shared" si="0"/>
        <v>0</v>
      </c>
      <c r="Q12" s="93">
        <f t="shared" si="0"/>
        <v>0</v>
      </c>
      <c r="S12" s="483"/>
      <c r="T12" s="483"/>
      <c r="U12" s="483"/>
      <c r="V12" s="483"/>
      <c r="W12" s="483"/>
      <c r="X12" s="483"/>
      <c r="Y12" s="483"/>
      <c r="Z12" s="483"/>
      <c r="AA12" s="94" t="s">
        <v>1546</v>
      </c>
      <c r="AB12" s="87" t="s">
        <v>1547</v>
      </c>
      <c r="AC12" s="87"/>
      <c r="AD12" s="95" t="s">
        <v>49</v>
      </c>
      <c r="AE12" s="96">
        <v>3</v>
      </c>
      <c r="AF12" s="2219" t="s">
        <v>1548</v>
      </c>
      <c r="AG12" s="2393" t="s">
        <v>1549</v>
      </c>
      <c r="AH12" s="2453" t="s">
        <v>1550</v>
      </c>
      <c r="AI12" s="1885" t="s">
        <v>1551</v>
      </c>
    </row>
    <row r="13" spans="1:35" ht="14.5" thickBot="1">
      <c r="B13" s="101" t="s">
        <v>1552</v>
      </c>
      <c r="C13" s="102" t="s">
        <v>708</v>
      </c>
      <c r="D13" s="102"/>
      <c r="E13" s="103" t="s">
        <v>49</v>
      </c>
      <c r="F13" s="100">
        <v>3</v>
      </c>
      <c r="G13" s="193">
        <f>SUM(G7:G12)</f>
        <v>0.56599999999999995</v>
      </c>
      <c r="H13" s="194">
        <f>SUM(H7:H12)</f>
        <v>3.8249999999999997</v>
      </c>
      <c r="I13" s="365">
        <f>SUM(I7:I12)</f>
        <v>0</v>
      </c>
      <c r="J13" s="195">
        <f t="shared" si="1"/>
        <v>4.391</v>
      </c>
      <c r="L13" s="130"/>
      <c r="S13" s="483"/>
      <c r="T13" s="483"/>
      <c r="U13" s="483"/>
      <c r="V13" s="483"/>
      <c r="W13" s="483"/>
      <c r="X13" s="483"/>
      <c r="Y13" s="483"/>
      <c r="Z13" s="483"/>
      <c r="AA13" s="101" t="s">
        <v>1552</v>
      </c>
      <c r="AB13" s="102" t="s">
        <v>708</v>
      </c>
      <c r="AC13" s="102"/>
      <c r="AD13" s="103" t="s">
        <v>49</v>
      </c>
      <c r="AE13" s="100">
        <v>3</v>
      </c>
      <c r="AF13" s="1971" t="s">
        <v>1553</v>
      </c>
      <c r="AG13" s="1889" t="s">
        <v>1554</v>
      </c>
      <c r="AH13" s="1974" t="s">
        <v>1555</v>
      </c>
      <c r="AI13" s="1887" t="s">
        <v>1556</v>
      </c>
    </row>
    <row r="14" spans="1:35" s="483" customFormat="1" ht="14.5" thickBot="1">
      <c r="A14" s="70"/>
      <c r="B14" s="121"/>
      <c r="C14" s="122"/>
      <c r="D14" s="122"/>
      <c r="E14" s="115"/>
      <c r="F14" s="115"/>
      <c r="G14" s="238"/>
      <c r="H14" s="238"/>
      <c r="I14" s="238"/>
      <c r="J14" s="238"/>
      <c r="K14" s="192"/>
      <c r="L14" s="130"/>
      <c r="M14" s="70"/>
      <c r="N14" s="71"/>
      <c r="O14" s="70"/>
      <c r="P14" s="70"/>
      <c r="Q14" s="70"/>
      <c r="R14" s="71"/>
      <c r="AA14" s="121"/>
      <c r="AB14" s="122"/>
      <c r="AC14" s="122"/>
      <c r="AD14" s="115"/>
      <c r="AE14" s="115"/>
      <c r="AF14" s="1977"/>
      <c r="AG14" s="1977"/>
      <c r="AH14" s="1977"/>
      <c r="AI14" s="1977"/>
    </row>
    <row r="15" spans="1:35" s="483" customFormat="1" ht="14.5" thickBot="1">
      <c r="A15" s="70"/>
      <c r="B15" s="131" t="s">
        <v>1557</v>
      </c>
      <c r="C15" s="132" t="s">
        <v>1558</v>
      </c>
      <c r="D15" s="132"/>
      <c r="E15" s="133" t="s">
        <v>49</v>
      </c>
      <c r="F15" s="134">
        <v>3</v>
      </c>
      <c r="G15" s="452">
        <v>0</v>
      </c>
      <c r="H15" s="771">
        <v>0</v>
      </c>
      <c r="I15" s="238"/>
      <c r="J15" s="490">
        <f xml:space="preserve"> +G15+H15</f>
        <v>0</v>
      </c>
      <c r="K15" s="70"/>
      <c r="L15" s="24">
        <f xml:space="preserve"> IF( SUM( N15:R15 ) = 0, 0, $O$5 )</f>
        <v>0</v>
      </c>
      <c r="M15" s="70"/>
      <c r="N15" s="71"/>
      <c r="O15" s="93">
        <f xml:space="preserve"> IF( ISNUMBER( G15 ), 0, 1 )</f>
        <v>0</v>
      </c>
      <c r="P15" s="93">
        <f xml:space="preserve"> IF( ISNUMBER( H15 ), 0, 1 )</f>
        <v>0</v>
      </c>
      <c r="Q15" s="70"/>
      <c r="R15" s="71"/>
      <c r="AA15" s="131" t="s">
        <v>1557</v>
      </c>
      <c r="AB15" s="132" t="s">
        <v>1558</v>
      </c>
      <c r="AC15" s="132"/>
      <c r="AD15" s="133" t="s">
        <v>49</v>
      </c>
      <c r="AE15" s="134">
        <v>3</v>
      </c>
      <c r="AF15" s="2454" t="s">
        <v>1559</v>
      </c>
      <c r="AG15" s="2455" t="s">
        <v>1560</v>
      </c>
      <c r="AH15" s="1977"/>
      <c r="AI15" s="1978" t="s">
        <v>1561</v>
      </c>
    </row>
    <row r="16" spans="1:35" s="483" customFormat="1">
      <c r="A16" s="70"/>
      <c r="B16" s="121"/>
      <c r="C16" s="122"/>
      <c r="D16" s="122"/>
      <c r="E16" s="115"/>
      <c r="F16" s="115"/>
      <c r="G16" s="238"/>
      <c r="H16" s="238"/>
      <c r="I16" s="238"/>
      <c r="J16" s="238"/>
      <c r="K16" s="192"/>
      <c r="L16" s="130"/>
      <c r="M16" s="70"/>
      <c r="N16" s="71"/>
      <c r="O16" s="70"/>
      <c r="P16" s="70"/>
      <c r="Q16" s="70"/>
      <c r="R16" s="71"/>
      <c r="AA16" s="121"/>
      <c r="AB16" s="122"/>
      <c r="AC16" s="122"/>
      <c r="AD16" s="115"/>
      <c r="AE16" s="115"/>
      <c r="AF16" s="1977"/>
      <c r="AG16" s="1977"/>
      <c r="AH16" s="1977"/>
      <c r="AI16" s="1977"/>
    </row>
    <row r="17" spans="1:35" ht="14.5" thickBot="1">
      <c r="L17" s="130"/>
      <c r="S17" s="483"/>
      <c r="T17" s="483"/>
      <c r="U17" s="483"/>
      <c r="V17" s="483"/>
      <c r="W17" s="483"/>
      <c r="X17" s="483"/>
      <c r="Y17" s="483"/>
      <c r="Z17" s="483"/>
      <c r="AF17" s="1975"/>
      <c r="AG17" s="1975"/>
      <c r="AH17" s="1975"/>
      <c r="AI17" s="1975"/>
    </row>
    <row r="18" spans="1:35" ht="14.5" thickBot="1">
      <c r="B18" s="2865" t="s">
        <v>175</v>
      </c>
      <c r="C18" s="83" t="s">
        <v>1562</v>
      </c>
      <c r="D18" s="1473"/>
      <c r="L18" s="130"/>
      <c r="S18" s="483"/>
      <c r="T18" s="483"/>
      <c r="U18" s="483"/>
      <c r="V18" s="483"/>
      <c r="W18" s="483"/>
      <c r="X18" s="483"/>
      <c r="Y18" s="483"/>
      <c r="Z18" s="483"/>
      <c r="AA18" s="2865" t="s">
        <v>175</v>
      </c>
      <c r="AB18" s="83" t="s">
        <v>1562</v>
      </c>
      <c r="AC18" s="1473"/>
      <c r="AF18" s="1975"/>
      <c r="AG18" s="1975"/>
      <c r="AH18" s="1975"/>
      <c r="AI18" s="1975"/>
    </row>
    <row r="19" spans="1:35">
      <c r="B19" s="86" t="s">
        <v>1563</v>
      </c>
      <c r="C19" s="117" t="s">
        <v>1523</v>
      </c>
      <c r="D19" s="117"/>
      <c r="E19" s="88" t="s">
        <v>49</v>
      </c>
      <c r="F19" s="89">
        <v>3</v>
      </c>
      <c r="G19" s="414"/>
      <c r="H19" s="425"/>
      <c r="I19" s="450"/>
      <c r="J19" s="190">
        <f t="shared" ref="J19:J24" si="6">SUM(G19:I19)</f>
        <v>0</v>
      </c>
      <c r="L19" s="24">
        <f t="shared" ref="L19:L23" si="7" xml:space="preserve"> IF( SUM( N19:R19 ) = 0, 0, $O$5 )</f>
        <v>0</v>
      </c>
      <c r="O19" s="93">
        <f>IF(Validation!$H$3=1,0,IF(ISNUMBER(G19),0,1))</f>
        <v>0</v>
      </c>
      <c r="P19" s="93">
        <f>IF(Validation!$H$3=1,0,IF(ISNUMBER(H19),0,1))</f>
        <v>0</v>
      </c>
      <c r="Q19" s="93">
        <f>IF(Validation!$H$3=1,0,IF(ISNUMBER(I19),0,1))</f>
        <v>0</v>
      </c>
      <c r="S19" s="483"/>
      <c r="T19" s="483"/>
      <c r="U19" s="483"/>
      <c r="V19" s="483"/>
      <c r="W19" s="483"/>
      <c r="X19" s="483"/>
      <c r="Y19" s="483"/>
      <c r="Z19" s="483"/>
      <c r="AA19" s="86" t="s">
        <v>1563</v>
      </c>
      <c r="AB19" s="117" t="s">
        <v>1523</v>
      </c>
      <c r="AC19" s="117"/>
      <c r="AD19" s="88" t="s">
        <v>49</v>
      </c>
      <c r="AE19" s="89">
        <v>3</v>
      </c>
      <c r="AF19" s="2217" t="s">
        <v>1564</v>
      </c>
      <c r="AG19" s="2391" t="s">
        <v>1565</v>
      </c>
      <c r="AH19" s="2450" t="s">
        <v>1566</v>
      </c>
      <c r="AI19" s="1883" t="s">
        <v>1567</v>
      </c>
    </row>
    <row r="20" spans="1:35">
      <c r="B20" s="94" t="s">
        <v>1568</v>
      </c>
      <c r="C20" s="87" t="s">
        <v>1569</v>
      </c>
      <c r="D20" s="87"/>
      <c r="E20" s="95" t="s">
        <v>49</v>
      </c>
      <c r="F20" s="96">
        <v>3</v>
      </c>
      <c r="G20" s="412"/>
      <c r="H20" s="413"/>
      <c r="I20" s="451"/>
      <c r="J20" s="191">
        <f t="shared" si="6"/>
        <v>0</v>
      </c>
      <c r="L20" s="24">
        <f t="shared" si="7"/>
        <v>0</v>
      </c>
      <c r="O20" s="93">
        <f>IF(Validation!$H$3=1,0,IF(ISNUMBER(G20),0,1))</f>
        <v>0</v>
      </c>
      <c r="P20" s="93">
        <f>IF(Validation!$H$3=1,0,IF(ISNUMBER(H20),0,1))</f>
        <v>0</v>
      </c>
      <c r="Q20" s="93">
        <f>IF(Validation!$H$3=1,0,IF(ISNUMBER(I20),0,1))</f>
        <v>0</v>
      </c>
      <c r="S20" s="483"/>
      <c r="T20" s="483"/>
      <c r="U20" s="483"/>
      <c r="V20" s="483"/>
      <c r="W20" s="483"/>
      <c r="X20" s="483"/>
      <c r="Y20" s="483"/>
      <c r="Z20" s="483"/>
      <c r="AA20" s="94" t="s">
        <v>1568</v>
      </c>
      <c r="AB20" s="87" t="s">
        <v>1569</v>
      </c>
      <c r="AC20" s="87"/>
      <c r="AD20" s="95" t="s">
        <v>49</v>
      </c>
      <c r="AE20" s="96">
        <v>3</v>
      </c>
      <c r="AF20" s="2219" t="s">
        <v>1570</v>
      </c>
      <c r="AG20" s="2393" t="s">
        <v>1571</v>
      </c>
      <c r="AH20" s="2453" t="s">
        <v>1572</v>
      </c>
      <c r="AI20" s="1885" t="s">
        <v>1573</v>
      </c>
    </row>
    <row r="21" spans="1:35" s="483" customFormat="1">
      <c r="A21" s="70"/>
      <c r="B21" s="94" t="s">
        <v>1574</v>
      </c>
      <c r="C21" s="87" t="s">
        <v>1535</v>
      </c>
      <c r="D21" s="87"/>
      <c r="E21" s="95" t="s">
        <v>49</v>
      </c>
      <c r="F21" s="96">
        <v>3</v>
      </c>
      <c r="G21" s="412"/>
      <c r="H21" s="413"/>
      <c r="I21" s="451"/>
      <c r="J21" s="191">
        <f t="shared" ref="J21" si="8">SUM(G21:I21)</f>
        <v>0</v>
      </c>
      <c r="K21" s="70"/>
      <c r="L21" s="24">
        <f t="shared" si="7"/>
        <v>0</v>
      </c>
      <c r="M21" s="70"/>
      <c r="N21" s="71"/>
      <c r="O21" s="93">
        <f>IF(Validation!$H$3=1,0,IF(ISNUMBER(G21),0,1))</f>
        <v>0</v>
      </c>
      <c r="P21" s="93">
        <f>IF(Validation!$H$3=1,0,IF(ISNUMBER(H21),0,1))</f>
        <v>0</v>
      </c>
      <c r="Q21" s="93">
        <f>IF(Validation!$H$3=1,0,IF(ISNUMBER(I21),0,1))</f>
        <v>0</v>
      </c>
      <c r="R21" s="71"/>
      <c r="AA21" s="94" t="s">
        <v>1574</v>
      </c>
      <c r="AB21" s="87" t="s">
        <v>1535</v>
      </c>
      <c r="AC21" s="87"/>
      <c r="AD21" s="95" t="s">
        <v>49</v>
      </c>
      <c r="AE21" s="96">
        <v>3</v>
      </c>
      <c r="AF21" s="2219" t="s">
        <v>1575</v>
      </c>
      <c r="AG21" s="2393" t="s">
        <v>1576</v>
      </c>
      <c r="AH21" s="2453" t="s">
        <v>1577</v>
      </c>
      <c r="AI21" s="1885" t="s">
        <v>1578</v>
      </c>
    </row>
    <row r="22" spans="1:35">
      <c r="B22" s="94" t="s">
        <v>1579</v>
      </c>
      <c r="C22" s="87" t="s">
        <v>1541</v>
      </c>
      <c r="D22" s="87"/>
      <c r="E22" s="95" t="s">
        <v>49</v>
      </c>
      <c r="F22" s="96">
        <v>3</v>
      </c>
      <c r="G22" s="412"/>
      <c r="H22" s="413"/>
      <c r="I22" s="451"/>
      <c r="J22" s="191">
        <f t="shared" si="6"/>
        <v>0</v>
      </c>
      <c r="L22" s="24">
        <f t="shared" si="7"/>
        <v>0</v>
      </c>
      <c r="O22" s="93">
        <f>IF(Validation!$H$3=1,0,IF(ISNUMBER(G22),0,1))</f>
        <v>0</v>
      </c>
      <c r="P22" s="93">
        <f>IF(Validation!$H$3=1,0,IF(ISNUMBER(H22),0,1))</f>
        <v>0</v>
      </c>
      <c r="Q22" s="93">
        <f>IF(Validation!$H$3=1,0,IF(ISNUMBER(I22),0,1))</f>
        <v>0</v>
      </c>
      <c r="S22" s="483"/>
      <c r="T22" s="483"/>
      <c r="U22" s="483"/>
      <c r="V22" s="483"/>
      <c r="W22" s="483"/>
      <c r="X22" s="483"/>
      <c r="Y22" s="483"/>
      <c r="Z22" s="483"/>
      <c r="AA22" s="94" t="s">
        <v>1579</v>
      </c>
      <c r="AB22" s="87" t="s">
        <v>1541</v>
      </c>
      <c r="AC22" s="87"/>
      <c r="AD22" s="95" t="s">
        <v>49</v>
      </c>
      <c r="AE22" s="96">
        <v>3</v>
      </c>
      <c r="AF22" s="2219" t="s">
        <v>1580</v>
      </c>
      <c r="AG22" s="2393" t="s">
        <v>1581</v>
      </c>
      <c r="AH22" s="2453" t="s">
        <v>1582</v>
      </c>
      <c r="AI22" s="1885" t="s">
        <v>1583</v>
      </c>
    </row>
    <row r="23" spans="1:35">
      <c r="B23" s="94" t="s">
        <v>1584</v>
      </c>
      <c r="C23" s="87" t="s">
        <v>1547</v>
      </c>
      <c r="D23" s="87"/>
      <c r="E23" s="95" t="s">
        <v>49</v>
      </c>
      <c r="F23" s="96">
        <v>3</v>
      </c>
      <c r="G23" s="412"/>
      <c r="H23" s="413"/>
      <c r="I23" s="451"/>
      <c r="J23" s="191">
        <f t="shared" si="6"/>
        <v>0</v>
      </c>
      <c r="L23" s="24">
        <f t="shared" si="7"/>
        <v>0</v>
      </c>
      <c r="O23" s="93">
        <f>IF(Validation!$H$3=1,0,IF(ISNUMBER(G23),0,1))</f>
        <v>0</v>
      </c>
      <c r="P23" s="93">
        <f>IF(Validation!$H$3=1,0,IF(ISNUMBER(H23),0,1))</f>
        <v>0</v>
      </c>
      <c r="Q23" s="93">
        <f>IF(Validation!$H$3=1,0,IF(ISNUMBER(I23),0,1))</f>
        <v>0</v>
      </c>
      <c r="S23" s="483"/>
      <c r="T23" s="483"/>
      <c r="U23" s="483"/>
      <c r="V23" s="483"/>
      <c r="W23" s="483"/>
      <c r="X23" s="483"/>
      <c r="Y23" s="483"/>
      <c r="Z23" s="483"/>
      <c r="AA23" s="94" t="s">
        <v>1584</v>
      </c>
      <c r="AB23" s="87" t="s">
        <v>1547</v>
      </c>
      <c r="AC23" s="87"/>
      <c r="AD23" s="95" t="s">
        <v>49</v>
      </c>
      <c r="AE23" s="96">
        <v>3</v>
      </c>
      <c r="AF23" s="2219" t="s">
        <v>1585</v>
      </c>
      <c r="AG23" s="2393" t="s">
        <v>1586</v>
      </c>
      <c r="AH23" s="2453" t="s">
        <v>1587</v>
      </c>
      <c r="AI23" s="1885" t="s">
        <v>1588</v>
      </c>
    </row>
    <row r="24" spans="1:35" ht="14.5" thickBot="1">
      <c r="B24" s="101" t="s">
        <v>1589</v>
      </c>
      <c r="C24" s="102" t="s">
        <v>708</v>
      </c>
      <c r="D24" s="102"/>
      <c r="E24" s="103" t="s">
        <v>49</v>
      </c>
      <c r="F24" s="100">
        <v>3</v>
      </c>
      <c r="G24" s="193">
        <f>SUM(G19:G23)</f>
        <v>0</v>
      </c>
      <c r="H24" s="194">
        <f>SUM(H19:H23)</f>
        <v>0</v>
      </c>
      <c r="I24" s="365">
        <f>SUM(I19:I23)</f>
        <v>0</v>
      </c>
      <c r="J24" s="195">
        <f t="shared" si="6"/>
        <v>0</v>
      </c>
      <c r="L24" s="130"/>
      <c r="S24" s="483"/>
      <c r="T24" s="483"/>
      <c r="U24" s="483"/>
      <c r="V24" s="483"/>
      <c r="W24" s="483"/>
      <c r="X24" s="483"/>
      <c r="Y24" s="483"/>
      <c r="Z24" s="483"/>
      <c r="AA24" s="101" t="s">
        <v>1589</v>
      </c>
      <c r="AB24" s="102" t="s">
        <v>708</v>
      </c>
      <c r="AC24" s="102"/>
      <c r="AD24" s="103" t="s">
        <v>49</v>
      </c>
      <c r="AE24" s="100">
        <v>3</v>
      </c>
      <c r="AF24" s="1971" t="s">
        <v>1590</v>
      </c>
      <c r="AG24" s="1889" t="s">
        <v>1591</v>
      </c>
      <c r="AH24" s="1974" t="s">
        <v>1592</v>
      </c>
      <c r="AI24" s="1887" t="s">
        <v>1593</v>
      </c>
    </row>
    <row r="25" spans="1:35" s="483" customFormat="1" ht="14.5" thickBot="1">
      <c r="A25" s="70"/>
      <c r="B25" s="121"/>
      <c r="C25" s="122"/>
      <c r="D25" s="122"/>
      <c r="E25" s="115"/>
      <c r="F25" s="115"/>
      <c r="G25" s="238"/>
      <c r="H25" s="238"/>
      <c r="I25" s="238"/>
      <c r="J25" s="238"/>
      <c r="K25" s="192"/>
      <c r="L25" s="130"/>
      <c r="M25" s="70"/>
      <c r="N25" s="71"/>
      <c r="O25" s="70"/>
      <c r="P25" s="70"/>
      <c r="Q25" s="70"/>
      <c r="R25" s="71"/>
      <c r="AA25" s="121"/>
      <c r="AB25" s="122"/>
      <c r="AC25" s="122"/>
      <c r="AD25" s="115"/>
      <c r="AE25" s="115"/>
      <c r="AF25" s="1977"/>
      <c r="AG25" s="1977"/>
      <c r="AH25" s="1977"/>
      <c r="AI25" s="1977"/>
    </row>
    <row r="26" spans="1:35" s="483" customFormat="1" ht="14.5" thickBot="1">
      <c r="A26" s="70"/>
      <c r="B26" s="131" t="s">
        <v>1594</v>
      </c>
      <c r="C26" s="132" t="s">
        <v>1558</v>
      </c>
      <c r="D26" s="132"/>
      <c r="E26" s="133" t="s">
        <v>49</v>
      </c>
      <c r="F26" s="134">
        <v>3</v>
      </c>
      <c r="G26" s="452">
        <v>0</v>
      </c>
      <c r="H26" s="771">
        <v>0</v>
      </c>
      <c r="I26" s="238"/>
      <c r="J26" s="490">
        <f xml:space="preserve"> +G26+H26</f>
        <v>0</v>
      </c>
      <c r="K26" s="70"/>
      <c r="L26" s="24">
        <f xml:space="preserve"> IF( SUM( N26:R26 ) = 0, 0, $O$5 )</f>
        <v>0</v>
      </c>
      <c r="M26" s="70"/>
      <c r="N26" s="71"/>
      <c r="O26" s="93">
        <f xml:space="preserve"> IF( ISNUMBER( G26 ), 0, 1 )</f>
        <v>0</v>
      </c>
      <c r="P26" s="93">
        <f>IF(Validation!$H$3=1,0,IF(ISNUMBER(H26),0,1))</f>
        <v>0</v>
      </c>
      <c r="Q26" s="70"/>
      <c r="R26" s="71"/>
      <c r="AA26" s="131" t="s">
        <v>1594</v>
      </c>
      <c r="AB26" s="132" t="s">
        <v>1558</v>
      </c>
      <c r="AC26" s="132"/>
      <c r="AD26" s="133" t="s">
        <v>49</v>
      </c>
      <c r="AE26" s="134">
        <v>3</v>
      </c>
      <c r="AF26" s="2454" t="s">
        <v>1595</v>
      </c>
      <c r="AG26" s="2455" t="s">
        <v>1596</v>
      </c>
      <c r="AH26" s="1977"/>
      <c r="AI26" s="1978" t="s">
        <v>1597</v>
      </c>
    </row>
    <row r="27" spans="1:35">
      <c r="L27" s="130"/>
      <c r="S27" s="483"/>
      <c r="T27" s="483"/>
      <c r="U27" s="483"/>
      <c r="V27" s="483"/>
      <c r="W27" s="483"/>
      <c r="X27" s="483"/>
      <c r="Y27" s="483"/>
      <c r="Z27" s="483"/>
      <c r="AF27" s="1975"/>
      <c r="AG27" s="1975"/>
      <c r="AH27" s="1975"/>
      <c r="AI27" s="1975"/>
    </row>
    <row r="28" spans="1:35" s="483" customFormat="1" ht="14.5" thickBot="1">
      <c r="A28" s="70"/>
      <c r="B28" s="70"/>
      <c r="C28" s="70"/>
      <c r="D28" s="70"/>
      <c r="E28" s="70"/>
      <c r="F28" s="70"/>
      <c r="G28" s="70"/>
      <c r="H28" s="70"/>
      <c r="I28" s="70"/>
      <c r="J28" s="70"/>
      <c r="K28" s="70"/>
      <c r="L28" s="130"/>
      <c r="M28" s="70"/>
      <c r="N28" s="71"/>
      <c r="O28" s="70"/>
      <c r="P28" s="70"/>
      <c r="Q28" s="70"/>
      <c r="R28" s="71"/>
      <c r="AA28" s="70"/>
      <c r="AB28" s="70"/>
      <c r="AC28" s="70"/>
      <c r="AD28" s="70"/>
      <c r="AE28" s="70"/>
      <c r="AF28" s="1975"/>
      <c r="AG28" s="1975"/>
      <c r="AH28" s="1975"/>
      <c r="AI28" s="1975"/>
    </row>
    <row r="29" spans="1:35" s="483" customFormat="1" ht="14.5" thickBot="1">
      <c r="A29" s="70"/>
      <c r="B29" s="2865" t="s">
        <v>175</v>
      </c>
      <c r="C29" s="83" t="s">
        <v>1598</v>
      </c>
      <c r="D29" s="1473"/>
      <c r="E29" s="70"/>
      <c r="F29" s="70"/>
      <c r="G29" s="70"/>
      <c r="H29" s="70"/>
      <c r="I29" s="70"/>
      <c r="J29" s="70"/>
      <c r="K29" s="70"/>
      <c r="L29" s="130"/>
      <c r="M29" s="70"/>
      <c r="N29" s="71"/>
      <c r="O29" s="70"/>
      <c r="P29" s="70"/>
      <c r="Q29" s="70"/>
      <c r="R29" s="71"/>
      <c r="AA29" s="2865" t="s">
        <v>175</v>
      </c>
      <c r="AB29" s="83" t="s">
        <v>1598</v>
      </c>
      <c r="AC29" s="1473"/>
      <c r="AD29" s="70"/>
      <c r="AE29" s="70"/>
      <c r="AF29" s="1975"/>
      <c r="AG29" s="1975"/>
      <c r="AH29" s="1975"/>
      <c r="AI29" s="1975"/>
    </row>
    <row r="30" spans="1:35" s="483" customFormat="1">
      <c r="A30" s="70"/>
      <c r="B30" s="86" t="s">
        <v>1563</v>
      </c>
      <c r="C30" s="117" t="s">
        <v>1523</v>
      </c>
      <c r="D30" s="117"/>
      <c r="E30" s="88" t="s">
        <v>49</v>
      </c>
      <c r="F30" s="89">
        <v>3</v>
      </c>
      <c r="G30" s="414"/>
      <c r="H30" s="425"/>
      <c r="I30" s="450"/>
      <c r="J30" s="190">
        <f t="shared" ref="J30:J31" si="9">SUM(G30:I30)</f>
        <v>0</v>
      </c>
      <c r="K30" s="70"/>
      <c r="L30" s="24">
        <f t="shared" ref="L30:L31" si="10" xml:space="preserve"> IF( SUM( N30:R30 ) = 0, 0, $O$5 )</f>
        <v>0</v>
      </c>
      <c r="M30" s="70"/>
      <c r="N30" s="71"/>
      <c r="O30" s="93">
        <f>IF( Validation!$H$3=1, 0, IF(Validation!$B$3 &lt;&gt; "Thames Water", 0, (IF(ISNUMBER(G30), 0, 1))))</f>
        <v>0</v>
      </c>
      <c r="P30" s="93">
        <f>IF( Validation!$H$3=1, 0, IF(Validation!$B$3 &lt;&gt; "Thames Water", 0, (IF(ISNUMBER(H30), 0, 1))))</f>
        <v>0</v>
      </c>
      <c r="Q30" s="93">
        <f>IF( Validation!$H$3=1, 0, IF(Validation!$B$3 &lt;&gt; "Thames Water", 0, (IF(ISNUMBER(I30), 0, 1))))</f>
        <v>0</v>
      </c>
      <c r="R30" s="71"/>
      <c r="AA30" s="86" t="s">
        <v>1563</v>
      </c>
      <c r="AB30" s="117" t="s">
        <v>1523</v>
      </c>
      <c r="AC30" s="117"/>
      <c r="AD30" s="88" t="s">
        <v>49</v>
      </c>
      <c r="AE30" s="89">
        <v>3</v>
      </c>
      <c r="AF30" s="2217" t="s">
        <v>1599</v>
      </c>
      <c r="AG30" s="2391" t="s">
        <v>1600</v>
      </c>
      <c r="AH30" s="2450" t="s">
        <v>1601</v>
      </c>
      <c r="AI30" s="1883" t="s">
        <v>1602</v>
      </c>
    </row>
    <row r="31" spans="1:35" s="483" customFormat="1">
      <c r="A31" s="70"/>
      <c r="B31" s="94" t="s">
        <v>1568</v>
      </c>
      <c r="C31" s="87" t="s">
        <v>1569</v>
      </c>
      <c r="D31" s="87"/>
      <c r="E31" s="95" t="s">
        <v>49</v>
      </c>
      <c r="F31" s="96">
        <v>3</v>
      </c>
      <c r="G31" s="412"/>
      <c r="H31" s="413"/>
      <c r="I31" s="451"/>
      <c r="J31" s="191">
        <f t="shared" si="9"/>
        <v>0</v>
      </c>
      <c r="K31" s="70"/>
      <c r="L31" s="24">
        <f t="shared" si="10"/>
        <v>0</v>
      </c>
      <c r="M31" s="70"/>
      <c r="N31" s="71"/>
      <c r="O31" s="93">
        <f>IF( Validation!$H$3=1, 0, IF(Validation!$B$3 &lt;&gt; "Thames Water", 0, (IF(ISNUMBER(G31), 0, 1))))</f>
        <v>0</v>
      </c>
      <c r="P31" s="93">
        <f>IF( Validation!$H$3=1, 0, IF(Validation!$B$3 &lt;&gt; "Thames Water", 0, (IF(ISNUMBER(H31), 0, 1))))</f>
        <v>0</v>
      </c>
      <c r="Q31" s="93">
        <f>IF( Validation!$H$3=1, 0, IF(Validation!$B$3 &lt;&gt; "Thames Water", 0, (IF(ISNUMBER(I31), 0, 1))))</f>
        <v>0</v>
      </c>
      <c r="R31" s="71"/>
      <c r="AA31" s="94" t="s">
        <v>1568</v>
      </c>
      <c r="AB31" s="87" t="s">
        <v>1569</v>
      </c>
      <c r="AC31" s="87"/>
      <c r="AD31" s="95" t="s">
        <v>49</v>
      </c>
      <c r="AE31" s="96">
        <v>3</v>
      </c>
      <c r="AF31" s="2219" t="s">
        <v>1603</v>
      </c>
      <c r="AG31" s="2393" t="s">
        <v>1604</v>
      </c>
      <c r="AH31" s="2453" t="s">
        <v>1605</v>
      </c>
      <c r="AI31" s="1885" t="s">
        <v>1606</v>
      </c>
    </row>
    <row r="32" spans="1:35" s="483" customFormat="1">
      <c r="A32" s="70"/>
      <c r="B32" s="94" t="s">
        <v>1574</v>
      </c>
      <c r="C32" s="87" t="s">
        <v>1535</v>
      </c>
      <c r="D32" s="87"/>
      <c r="E32" s="95" t="s">
        <v>49</v>
      </c>
      <c r="F32" s="96">
        <v>3</v>
      </c>
      <c r="G32" s="412"/>
      <c r="H32" s="413"/>
      <c r="I32" s="451"/>
      <c r="J32" s="191">
        <f t="shared" ref="J32" si="11">SUM(G32:I32)</f>
        <v>0</v>
      </c>
      <c r="K32" s="70"/>
      <c r="L32" s="24">
        <f t="shared" ref="L32" si="12" xml:space="preserve"> IF( SUM( N32:R32 ) = 0, 0, $O$5 )</f>
        <v>0</v>
      </c>
      <c r="M32" s="70"/>
      <c r="N32" s="71"/>
      <c r="O32" s="93">
        <f>IF( Validation!$H$3=1, 0, IF(Validation!$B$3 &lt;&gt; "Thames Water", 0, (IF(ISNUMBER(G32), 0, 1))))</f>
        <v>0</v>
      </c>
      <c r="P32" s="93">
        <f>IF( Validation!$H$3=1, 0, IF(Validation!$B$3 &lt;&gt; "Thames Water", 0, (IF(ISNUMBER(H32), 0, 1))))</f>
        <v>0</v>
      </c>
      <c r="Q32" s="93">
        <f>IF( Validation!$H$3=1, 0, IF(Validation!$B$3 &lt;&gt; "Thames Water", 0, (IF(ISNUMBER(I32), 0, 1))))</f>
        <v>0</v>
      </c>
      <c r="R32" s="71"/>
      <c r="AA32" s="94" t="s">
        <v>1574</v>
      </c>
      <c r="AB32" s="87" t="s">
        <v>1535</v>
      </c>
      <c r="AC32" s="87"/>
      <c r="AD32" s="95" t="s">
        <v>49</v>
      </c>
      <c r="AE32" s="96">
        <v>3</v>
      </c>
      <c r="AF32" s="2219" t="s">
        <v>1607</v>
      </c>
      <c r="AG32" s="2393" t="s">
        <v>1608</v>
      </c>
      <c r="AH32" s="2453" t="s">
        <v>1609</v>
      </c>
      <c r="AI32" s="1885" t="s">
        <v>1610</v>
      </c>
    </row>
    <row r="33" spans="1:35" s="483" customFormat="1">
      <c r="A33" s="70"/>
      <c r="B33" s="94" t="s">
        <v>1579</v>
      </c>
      <c r="C33" s="87" t="s">
        <v>1541</v>
      </c>
      <c r="D33" s="87"/>
      <c r="E33" s="95" t="s">
        <v>49</v>
      </c>
      <c r="F33" s="96">
        <v>3</v>
      </c>
      <c r="G33" s="412"/>
      <c r="H33" s="413"/>
      <c r="I33" s="451"/>
      <c r="J33" s="191">
        <f t="shared" ref="J33:J35" si="13">SUM(G33:I33)</f>
        <v>0</v>
      </c>
      <c r="K33" s="70"/>
      <c r="L33" s="24">
        <f t="shared" ref="L33:L34" si="14" xml:space="preserve"> IF( SUM( N33:R33 ) = 0, 0, $O$5 )</f>
        <v>0</v>
      </c>
      <c r="M33" s="70"/>
      <c r="N33" s="71"/>
      <c r="O33" s="93">
        <f>IF( Validation!$H$3=1, 0, IF(Validation!$B$3 &lt;&gt; "Thames Water", 0, (IF(ISNUMBER(G33), 0, 1))))</f>
        <v>0</v>
      </c>
      <c r="P33" s="93">
        <f>IF( Validation!$H$3=1, 0, IF(Validation!$B$3 &lt;&gt; "Thames Water", 0, (IF(ISNUMBER(H33), 0, 1))))</f>
        <v>0</v>
      </c>
      <c r="Q33" s="93">
        <f>IF( Validation!$H$3=1, 0, IF(Validation!$B$3 &lt;&gt; "Thames Water", 0, (IF(ISNUMBER(I33), 0, 1))))</f>
        <v>0</v>
      </c>
      <c r="R33" s="71"/>
      <c r="AA33" s="94" t="s">
        <v>1579</v>
      </c>
      <c r="AB33" s="87" t="s">
        <v>1541</v>
      </c>
      <c r="AC33" s="87"/>
      <c r="AD33" s="95" t="s">
        <v>49</v>
      </c>
      <c r="AE33" s="96">
        <v>3</v>
      </c>
      <c r="AF33" s="2219" t="s">
        <v>1611</v>
      </c>
      <c r="AG33" s="2393" t="s">
        <v>1612</v>
      </c>
      <c r="AH33" s="2453" t="s">
        <v>1613</v>
      </c>
      <c r="AI33" s="1885" t="s">
        <v>1614</v>
      </c>
    </row>
    <row r="34" spans="1:35" s="483" customFormat="1">
      <c r="A34" s="70"/>
      <c r="B34" s="94" t="s">
        <v>1584</v>
      </c>
      <c r="C34" s="87" t="s">
        <v>1547</v>
      </c>
      <c r="D34" s="87"/>
      <c r="E34" s="95" t="s">
        <v>49</v>
      </c>
      <c r="F34" s="96">
        <v>3</v>
      </c>
      <c r="G34" s="412"/>
      <c r="H34" s="413"/>
      <c r="I34" s="451"/>
      <c r="J34" s="191">
        <f t="shared" si="13"/>
        <v>0</v>
      </c>
      <c r="K34" s="70"/>
      <c r="L34" s="24">
        <f t="shared" si="14"/>
        <v>0</v>
      </c>
      <c r="M34" s="70"/>
      <c r="N34" s="71"/>
      <c r="O34" s="93">
        <f>IF( Validation!$H$3=1, 0, IF(Validation!$B$3 &lt;&gt; "Thames Water", 0, (IF(ISNUMBER(G34), 0, 1))))</f>
        <v>0</v>
      </c>
      <c r="P34" s="93">
        <f>IF( Validation!$H$3=1, 0, IF(Validation!$B$3 &lt;&gt; "Thames Water", 0, (IF(ISNUMBER(H34), 0, 1))))</f>
        <v>0</v>
      </c>
      <c r="Q34" s="93">
        <f>IF( Validation!$H$3=1, 0, IF(Validation!$B$3 &lt;&gt; "Thames Water", 0, (IF(ISNUMBER(I34), 0, 1))))</f>
        <v>0</v>
      </c>
      <c r="R34" s="71"/>
      <c r="AA34" s="94" t="s">
        <v>1584</v>
      </c>
      <c r="AB34" s="87" t="s">
        <v>1547</v>
      </c>
      <c r="AC34" s="87"/>
      <c r="AD34" s="95" t="s">
        <v>49</v>
      </c>
      <c r="AE34" s="96">
        <v>3</v>
      </c>
      <c r="AF34" s="2219" t="s">
        <v>1615</v>
      </c>
      <c r="AG34" s="2393" t="s">
        <v>1616</v>
      </c>
      <c r="AH34" s="2453" t="s">
        <v>1617</v>
      </c>
      <c r="AI34" s="1885" t="s">
        <v>1618</v>
      </c>
    </row>
    <row r="35" spans="1:35" s="483" customFormat="1" ht="14.5" thickBot="1">
      <c r="A35" s="70"/>
      <c r="B35" s="101" t="s">
        <v>1589</v>
      </c>
      <c r="C35" s="102" t="s">
        <v>708</v>
      </c>
      <c r="D35" s="102"/>
      <c r="E35" s="103" t="s">
        <v>49</v>
      </c>
      <c r="F35" s="100">
        <v>3</v>
      </c>
      <c r="G35" s="193">
        <f>SUM(G30:G34)</f>
        <v>0</v>
      </c>
      <c r="H35" s="194">
        <f>SUM(H30:H34)</f>
        <v>0</v>
      </c>
      <c r="I35" s="365">
        <f>SUM(I30:I34)</f>
        <v>0</v>
      </c>
      <c r="J35" s="195">
        <f t="shared" si="13"/>
        <v>0</v>
      </c>
      <c r="K35" s="70"/>
      <c r="L35" s="130"/>
      <c r="M35" s="70"/>
      <c r="N35" s="71"/>
      <c r="O35" s="70"/>
      <c r="P35" s="70"/>
      <c r="Q35" s="70"/>
      <c r="R35" s="71"/>
      <c r="AA35" s="101" t="s">
        <v>1589</v>
      </c>
      <c r="AB35" s="102" t="s">
        <v>708</v>
      </c>
      <c r="AC35" s="102"/>
      <c r="AD35" s="103" t="s">
        <v>49</v>
      </c>
      <c r="AE35" s="100">
        <v>3</v>
      </c>
      <c r="AF35" s="1971" t="s">
        <v>1619</v>
      </c>
      <c r="AG35" s="1889" t="s">
        <v>1620</v>
      </c>
      <c r="AH35" s="1974" t="s">
        <v>1621</v>
      </c>
      <c r="AI35" s="1887" t="s">
        <v>1622</v>
      </c>
    </row>
    <row r="36" spans="1:35" s="483" customFormat="1" ht="14.5" thickBot="1">
      <c r="A36" s="70"/>
      <c r="B36" s="121"/>
      <c r="C36" s="122"/>
      <c r="D36" s="122"/>
      <c r="E36" s="115"/>
      <c r="F36" s="115"/>
      <c r="G36" s="238"/>
      <c r="H36" s="238"/>
      <c r="I36" s="238"/>
      <c r="J36" s="238"/>
      <c r="K36" s="192"/>
      <c r="L36" s="130"/>
      <c r="M36" s="70"/>
      <c r="N36" s="71"/>
      <c r="O36" s="70"/>
      <c r="P36" s="70"/>
      <c r="Q36" s="70"/>
      <c r="R36" s="71"/>
      <c r="AA36" s="121"/>
      <c r="AB36" s="122"/>
      <c r="AC36" s="122"/>
      <c r="AD36" s="115"/>
      <c r="AE36" s="115"/>
      <c r="AF36" s="238"/>
      <c r="AG36" s="238"/>
      <c r="AH36" s="238"/>
      <c r="AI36" s="238"/>
    </row>
    <row r="37" spans="1:35" s="483" customFormat="1" ht="14.5" thickBot="1">
      <c r="A37" s="70"/>
      <c r="B37" s="131" t="s">
        <v>1594</v>
      </c>
      <c r="C37" s="132" t="s">
        <v>1558</v>
      </c>
      <c r="D37" s="132"/>
      <c r="E37" s="133" t="s">
        <v>49</v>
      </c>
      <c r="F37" s="134">
        <v>3</v>
      </c>
      <c r="G37" s="452">
        <v>0</v>
      </c>
      <c r="H37" s="771"/>
      <c r="I37" s="238"/>
      <c r="J37" s="490">
        <f xml:space="preserve"> +G37+H37</f>
        <v>0</v>
      </c>
      <c r="K37" s="70"/>
      <c r="L37" s="24">
        <f xml:space="preserve"> IF( SUM( N37:R37 ) = 0, 0, $O$5 )</f>
        <v>0</v>
      </c>
      <c r="M37" s="70"/>
      <c r="N37" s="71"/>
      <c r="O37" s="93">
        <f xml:space="preserve"> IF( ISNUMBER( G37 ), 0, 1 )</f>
        <v>0</v>
      </c>
      <c r="P37" s="93">
        <f>IF( Validation!$H$3=1, 0, IF(Validation!$B$3 &lt;&gt; "Thames Water", 0, (IF(ISNUMBER(H37), 0, 1))))</f>
        <v>0</v>
      </c>
      <c r="Q37" s="70"/>
      <c r="R37" s="71"/>
      <c r="AA37" s="131" t="s">
        <v>1594</v>
      </c>
      <c r="AB37" s="132" t="s">
        <v>1558</v>
      </c>
      <c r="AC37" s="132"/>
      <c r="AD37" s="133" t="s">
        <v>49</v>
      </c>
      <c r="AE37" s="134">
        <v>3</v>
      </c>
      <c r="AF37" s="2454" t="s">
        <v>1623</v>
      </c>
      <c r="AG37" s="2456" t="s">
        <v>1624</v>
      </c>
      <c r="AH37" s="238"/>
      <c r="AI37" s="1978" t="s">
        <v>1625</v>
      </c>
    </row>
    <row r="38" spans="1:35" s="483" customFormat="1">
      <c r="A38" s="70"/>
      <c r="B38" s="70"/>
      <c r="C38" s="70"/>
      <c r="D38" s="70"/>
      <c r="E38" s="70"/>
      <c r="F38" s="70"/>
      <c r="G38" s="70"/>
      <c r="H38" s="70"/>
      <c r="I38" s="70"/>
      <c r="J38" s="70"/>
      <c r="K38" s="70"/>
      <c r="L38" s="130"/>
      <c r="M38" s="70"/>
      <c r="N38" s="71"/>
      <c r="O38" s="70"/>
      <c r="P38" s="70"/>
      <c r="Q38" s="70"/>
      <c r="R38" s="71"/>
      <c r="AA38" s="70"/>
      <c r="AB38" s="70"/>
      <c r="AC38" s="70"/>
      <c r="AD38" s="70"/>
      <c r="AE38" s="70"/>
      <c r="AF38" s="70"/>
      <c r="AG38" s="70"/>
      <c r="AH38" s="70"/>
      <c r="AI38" s="70"/>
    </row>
    <row r="39" spans="1:35" s="483" customFormat="1" ht="14.5" thickBot="1">
      <c r="A39" s="70"/>
      <c r="B39" s="70"/>
      <c r="C39" s="70"/>
      <c r="D39" s="70"/>
      <c r="E39" s="70"/>
      <c r="F39" s="70"/>
      <c r="G39" s="70"/>
      <c r="H39" s="70"/>
      <c r="I39" s="70"/>
      <c r="J39" s="70"/>
      <c r="K39" s="70"/>
      <c r="L39" s="130"/>
      <c r="M39" s="70"/>
      <c r="N39" s="71"/>
      <c r="O39" s="70"/>
      <c r="P39" s="70"/>
      <c r="Q39" s="70"/>
      <c r="R39" s="71"/>
      <c r="AA39" s="70"/>
      <c r="AB39" s="70"/>
      <c r="AC39" s="70"/>
      <c r="AD39" s="70"/>
      <c r="AE39" s="70"/>
      <c r="AF39" s="70"/>
      <c r="AG39" s="70"/>
      <c r="AH39" s="70"/>
      <c r="AI39" s="70"/>
    </row>
    <row r="40" spans="1:35">
      <c r="G40" s="2925" t="str">
        <f>G3</f>
        <v>Current year</v>
      </c>
      <c r="H40" s="2926"/>
      <c r="I40" s="2926"/>
      <c r="J40" s="2927"/>
      <c r="K40" s="118"/>
      <c r="L40" s="130"/>
      <c r="M40" s="118"/>
      <c r="S40" s="483"/>
      <c r="T40" s="483"/>
      <c r="U40" s="483"/>
      <c r="V40" s="483"/>
      <c r="W40" s="483"/>
      <c r="X40" s="483"/>
      <c r="Y40" s="483"/>
      <c r="Z40" s="483"/>
      <c r="AF40" s="2925" t="str">
        <f>AF3</f>
        <v>Current year</v>
      </c>
      <c r="AG40" s="2926"/>
      <c r="AH40" s="2926"/>
      <c r="AI40" s="2927"/>
    </row>
    <row r="41" spans="1:35" ht="14.5" thickBot="1">
      <c r="G41" s="2832" t="s">
        <v>1626</v>
      </c>
      <c r="H41" s="78" t="s">
        <v>1627</v>
      </c>
      <c r="I41" s="78" t="s">
        <v>911</v>
      </c>
      <c r="J41" s="2833" t="s">
        <v>708</v>
      </c>
      <c r="K41" s="126"/>
      <c r="L41" s="130"/>
      <c r="M41" s="126"/>
      <c r="N41" s="124"/>
      <c r="O41" s="126"/>
      <c r="P41" s="126"/>
      <c r="Q41" s="126"/>
      <c r="R41" s="124"/>
      <c r="S41" s="483"/>
      <c r="T41" s="483"/>
      <c r="U41" s="483"/>
      <c r="V41" s="483"/>
      <c r="W41" s="483"/>
      <c r="X41" s="483"/>
      <c r="Y41" s="483"/>
      <c r="Z41" s="483"/>
      <c r="AF41" s="2832" t="s">
        <v>1626</v>
      </c>
      <c r="AG41" s="78" t="s">
        <v>1627</v>
      </c>
      <c r="AH41" s="78" t="s">
        <v>911</v>
      </c>
      <c r="AI41" s="2833" t="s">
        <v>708</v>
      </c>
    </row>
    <row r="42" spans="1:35" ht="14.5" thickBot="1">
      <c r="B42" s="113" t="s">
        <v>333</v>
      </c>
      <c r="C42" s="114" t="s">
        <v>1628</v>
      </c>
      <c r="D42" s="1473"/>
      <c r="K42" s="126"/>
      <c r="L42" s="130"/>
      <c r="M42" s="126"/>
      <c r="N42" s="119"/>
      <c r="O42" s="126"/>
      <c r="P42" s="126"/>
      <c r="Q42" s="126"/>
      <c r="R42" s="119"/>
      <c r="S42" s="483"/>
      <c r="T42" s="483"/>
      <c r="U42" s="483"/>
      <c r="V42" s="483"/>
      <c r="W42" s="483"/>
      <c r="X42" s="483"/>
      <c r="Y42" s="483"/>
      <c r="Z42" s="483"/>
      <c r="AA42" s="113" t="s">
        <v>333</v>
      </c>
      <c r="AB42" s="114" t="s">
        <v>1628</v>
      </c>
      <c r="AC42" s="1473"/>
    </row>
    <row r="43" spans="1:35">
      <c r="B43" s="86" t="s">
        <v>1629</v>
      </c>
      <c r="C43" s="117" t="s">
        <v>1630</v>
      </c>
      <c r="D43" s="117"/>
      <c r="E43" s="88" t="s">
        <v>49</v>
      </c>
      <c r="F43" s="89">
        <v>3</v>
      </c>
      <c r="G43" s="414">
        <v>78.004999999999995</v>
      </c>
      <c r="H43" s="425"/>
      <c r="I43" s="425"/>
      <c r="J43" s="190">
        <f>SUM(G43:I43)</f>
        <v>78.004999999999995</v>
      </c>
      <c r="K43" s="126"/>
      <c r="L43" s="24">
        <f t="shared" ref="L43" si="15" xml:space="preserve"> IF( SUM( N43:R43 ) = 0, 0, $O$5 )</f>
        <v>0</v>
      </c>
      <c r="M43" s="126"/>
      <c r="N43" s="119"/>
      <c r="O43" s="93">
        <f xml:space="preserve"> IF( ISNUMBER( G43 ), 0, 1 )</f>
        <v>0</v>
      </c>
      <c r="P43" s="93">
        <f>IF(Validation!$H$3=1,0,IF(ISNUMBER(H43),0,1))</f>
        <v>0</v>
      </c>
      <c r="Q43" s="93">
        <f>IF( Validation!$H$3=1, 0, IF(Validation!$B$3 &lt;&gt; "Thames Water", 0, (IF(ISNUMBER(I43), 0, 1))))</f>
        <v>0</v>
      </c>
      <c r="R43" s="119"/>
      <c r="S43" s="483"/>
      <c r="T43" s="483"/>
      <c r="U43" s="483"/>
      <c r="V43" s="483"/>
      <c r="W43" s="483"/>
      <c r="X43" s="483"/>
      <c r="Y43" s="483"/>
      <c r="Z43" s="483"/>
      <c r="AA43" s="86" t="s">
        <v>1629</v>
      </c>
      <c r="AB43" s="117" t="s">
        <v>1630</v>
      </c>
      <c r="AC43" s="117"/>
      <c r="AD43" s="88" t="s">
        <v>49</v>
      </c>
      <c r="AE43" s="89">
        <v>3</v>
      </c>
      <c r="AF43" s="2380" t="s">
        <v>1631</v>
      </c>
      <c r="AG43" s="2381" t="s">
        <v>1632</v>
      </c>
      <c r="AH43" s="2381" t="s">
        <v>1633</v>
      </c>
      <c r="AI43" s="190" t="s">
        <v>1634</v>
      </c>
    </row>
    <row r="44" spans="1:35">
      <c r="B44" s="94" t="s">
        <v>1635</v>
      </c>
      <c r="C44" s="87" t="s">
        <v>1636</v>
      </c>
      <c r="D44" s="87"/>
      <c r="E44" s="95" t="s">
        <v>49</v>
      </c>
      <c r="F44" s="96">
        <v>3</v>
      </c>
      <c r="G44" s="2037">
        <f>H13</f>
        <v>3.8249999999999997</v>
      </c>
      <c r="H44" s="2038">
        <f>H24</f>
        <v>0</v>
      </c>
      <c r="I44" s="2038">
        <f>H35</f>
        <v>0</v>
      </c>
      <c r="J44" s="191">
        <f t="shared" ref="J44:J45" si="16">SUM(G44:I44)</f>
        <v>3.8249999999999997</v>
      </c>
      <c r="K44" s="126"/>
      <c r="L44" s="130"/>
      <c r="M44" s="126"/>
      <c r="N44" s="119"/>
      <c r="O44" s="127"/>
      <c r="P44" s="127"/>
      <c r="Q44" s="127"/>
      <c r="R44" s="119"/>
      <c r="S44" s="483"/>
      <c r="T44" s="483"/>
      <c r="U44" s="483"/>
      <c r="V44" s="483"/>
      <c r="W44" s="483"/>
      <c r="X44" s="483"/>
      <c r="Y44" s="483"/>
      <c r="Z44" s="483"/>
      <c r="AA44" s="94" t="s">
        <v>1635</v>
      </c>
      <c r="AB44" s="87" t="s">
        <v>1636</v>
      </c>
      <c r="AC44" s="87"/>
      <c r="AD44" s="95" t="s">
        <v>49</v>
      </c>
      <c r="AE44" s="96">
        <v>3</v>
      </c>
      <c r="AF44" s="2037" t="str">
        <f>AG13</f>
        <v>BA1091CAP</v>
      </c>
      <c r="AG44" s="2038" t="str">
        <f>AG24</f>
        <v>BA2091CAP</v>
      </c>
      <c r="AH44" s="2038" t="str">
        <f>+AG35</f>
        <v>BA2091TTTCAP</v>
      </c>
      <c r="AI44" s="191" t="s">
        <v>1637</v>
      </c>
    </row>
    <row r="45" spans="1:35">
      <c r="B45" s="94" t="s">
        <v>1638</v>
      </c>
      <c r="C45" s="87" t="s">
        <v>1639</v>
      </c>
      <c r="D45" s="87"/>
      <c r="E45" s="95" t="s">
        <v>49</v>
      </c>
      <c r="F45" s="96">
        <v>3</v>
      </c>
      <c r="G45" s="412">
        <v>-1.7812726699999999</v>
      </c>
      <c r="H45" s="413"/>
      <c r="I45" s="413"/>
      <c r="J45" s="191">
        <f t="shared" si="16"/>
        <v>-1.7812726699999999</v>
      </c>
      <c r="K45" s="126"/>
      <c r="L45" s="24">
        <f t="shared" ref="L45" si="17" xml:space="preserve"> IF( SUM( N45:R45 ) = 0, 0, $O$5 )</f>
        <v>0</v>
      </c>
      <c r="M45" s="126"/>
      <c r="N45" s="119"/>
      <c r="O45" s="93">
        <f xml:space="preserve"> IF( ISNUMBER( G45 ), 0, 1 )</f>
        <v>0</v>
      </c>
      <c r="P45" s="93">
        <f>IF(Validation!$H$3=1,0,IF(ISNUMBER(H45),0,1))</f>
        <v>0</v>
      </c>
      <c r="Q45" s="93">
        <f>IF( Validation!$H$3=1, 0, IF(Validation!$B$3 &lt;&gt; "Thames Water", 0, (IF(ISNUMBER(I45), 0, 1))))</f>
        <v>0</v>
      </c>
      <c r="R45" s="119"/>
      <c r="S45" s="483"/>
      <c r="T45" s="483"/>
      <c r="U45" s="483"/>
      <c r="V45" s="483"/>
      <c r="W45" s="483"/>
      <c r="X45" s="483"/>
      <c r="Y45" s="483"/>
      <c r="Z45" s="483"/>
      <c r="AA45" s="94" t="s">
        <v>1638</v>
      </c>
      <c r="AB45" s="87" t="s">
        <v>1639</v>
      </c>
      <c r="AC45" s="87"/>
      <c r="AD45" s="95" t="s">
        <v>49</v>
      </c>
      <c r="AE45" s="96">
        <v>3</v>
      </c>
      <c r="AF45" s="2383" t="s">
        <v>1640</v>
      </c>
      <c r="AG45" s="2384" t="s">
        <v>1641</v>
      </c>
      <c r="AH45" s="2384" t="s">
        <v>1642</v>
      </c>
      <c r="AI45" s="191" t="s">
        <v>1643</v>
      </c>
    </row>
    <row r="46" spans="1:35" ht="14.5" thickBot="1">
      <c r="B46" s="101" t="s">
        <v>1644</v>
      </c>
      <c r="C46" s="102" t="s">
        <v>1645</v>
      </c>
      <c r="D46" s="102"/>
      <c r="E46" s="103" t="s">
        <v>49</v>
      </c>
      <c r="F46" s="100">
        <v>3</v>
      </c>
      <c r="G46" s="193">
        <f>SUM(G43:G45)</f>
        <v>80.048727329999991</v>
      </c>
      <c r="H46" s="194">
        <f>SUM(H43:H45)</f>
        <v>0</v>
      </c>
      <c r="I46" s="194">
        <f>SUM(I43:I45)</f>
        <v>0</v>
      </c>
      <c r="J46" s="195">
        <f>SUM(G46:I46)</f>
        <v>80.048727329999991</v>
      </c>
      <c r="K46" s="126"/>
      <c r="L46" s="130"/>
      <c r="M46" s="126"/>
      <c r="N46" s="119"/>
      <c r="O46" s="126"/>
      <c r="P46" s="126"/>
      <c r="Q46" s="126"/>
      <c r="R46" s="119"/>
      <c r="S46" s="483"/>
      <c r="T46" s="483"/>
      <c r="U46" s="483"/>
      <c r="V46" s="483"/>
      <c r="W46" s="483"/>
      <c r="X46" s="483"/>
      <c r="Y46" s="483"/>
      <c r="Z46" s="483"/>
      <c r="AA46" s="101" t="s">
        <v>1644</v>
      </c>
      <c r="AB46" s="102" t="s">
        <v>1645</v>
      </c>
      <c r="AC46" s="102"/>
      <c r="AD46" s="103" t="s">
        <v>49</v>
      </c>
      <c r="AE46" s="100">
        <v>3</v>
      </c>
      <c r="AF46" s="193" t="s">
        <v>1646</v>
      </c>
      <c r="AG46" s="194" t="s">
        <v>1647</v>
      </c>
      <c r="AH46" s="194" t="s">
        <v>1648</v>
      </c>
      <c r="AI46" s="195" t="s">
        <v>1649</v>
      </c>
    </row>
    <row r="47" spans="1:35" ht="14.5" thickBot="1">
      <c r="B47" s="110"/>
      <c r="C47" s="152"/>
      <c r="D47" s="152"/>
      <c r="E47" s="110"/>
      <c r="F47" s="110"/>
      <c r="G47" s="163"/>
      <c r="H47" s="163"/>
      <c r="I47" s="163"/>
      <c r="J47" s="118"/>
      <c r="K47" s="126"/>
      <c r="L47" s="130"/>
      <c r="M47" s="126"/>
      <c r="N47" s="119"/>
      <c r="O47" s="126"/>
      <c r="P47" s="126"/>
      <c r="Q47" s="126"/>
      <c r="R47" s="119"/>
      <c r="S47" s="483"/>
      <c r="T47" s="483"/>
      <c r="U47" s="483"/>
      <c r="V47" s="483"/>
      <c r="W47" s="483"/>
      <c r="X47" s="483"/>
      <c r="Y47" s="483"/>
      <c r="Z47" s="483"/>
      <c r="AA47" s="110"/>
      <c r="AB47" s="152"/>
      <c r="AC47" s="152"/>
      <c r="AD47" s="110"/>
      <c r="AE47" s="110"/>
      <c r="AF47" s="163"/>
      <c r="AG47" s="163"/>
      <c r="AH47" s="163"/>
      <c r="AI47" s="118"/>
    </row>
    <row r="48" spans="1:35" ht="14.5" thickBot="1">
      <c r="B48" s="2865" t="s">
        <v>390</v>
      </c>
      <c r="C48" s="83" t="s">
        <v>1650</v>
      </c>
      <c r="D48" s="1473"/>
      <c r="K48" s="130"/>
      <c r="L48" s="130"/>
      <c r="M48" s="126"/>
      <c r="N48" s="119"/>
      <c r="O48" s="126"/>
      <c r="P48" s="126"/>
      <c r="Q48" s="126"/>
      <c r="R48" s="119"/>
      <c r="S48" s="483"/>
      <c r="T48" s="483"/>
      <c r="U48" s="483"/>
      <c r="V48" s="483"/>
      <c r="W48" s="483"/>
      <c r="X48" s="483"/>
      <c r="Y48" s="483"/>
      <c r="Z48" s="483"/>
      <c r="AA48" s="2865" t="s">
        <v>390</v>
      </c>
      <c r="AB48" s="83" t="s">
        <v>1650</v>
      </c>
      <c r="AC48" s="1473"/>
    </row>
    <row r="49" spans="1:35" ht="14.5" thickBot="1">
      <c r="B49" s="131" t="s">
        <v>1651</v>
      </c>
      <c r="C49" s="132" t="s">
        <v>1652</v>
      </c>
      <c r="D49" s="132"/>
      <c r="E49" s="1496" t="s">
        <v>1653</v>
      </c>
      <c r="F49" s="134">
        <v>3</v>
      </c>
      <c r="G49" s="452">
        <v>655.84100000000001</v>
      </c>
      <c r="H49" s="453"/>
      <c r="I49" s="453"/>
      <c r="J49" s="247">
        <f>G49+H49+I49</f>
        <v>655.84100000000001</v>
      </c>
      <c r="K49" s="130"/>
      <c r="L49" s="24">
        <f t="shared" ref="L49" si="18" xml:space="preserve"> IF( SUM( N49:R49 ) = 0, 0, $O$5 )</f>
        <v>0</v>
      </c>
      <c r="M49" s="126"/>
      <c r="N49" s="119"/>
      <c r="O49" s="93">
        <f t="shared" ref="O49" si="19" xml:space="preserve"> IF( ISNUMBER( G49 ), 0, 1 )</f>
        <v>0</v>
      </c>
      <c r="P49" s="93">
        <f>IF(Validation!$H$3=1,0,IF(ISNUMBER(H49),0,1))</f>
        <v>0</v>
      </c>
      <c r="Q49" s="93">
        <f>IF( Validation!$H$3=1, 0, IF(Validation!$B$3 &lt;&gt; "Thames Water", 0, (IF(ISNUMBER(I49), 0, 1))))</f>
        <v>0</v>
      </c>
      <c r="R49" s="119"/>
      <c r="S49" s="483"/>
      <c r="T49" s="483"/>
      <c r="U49" s="483"/>
      <c r="V49" s="483"/>
      <c r="W49" s="483"/>
      <c r="X49" s="483"/>
      <c r="Y49" s="483"/>
      <c r="Z49" s="483"/>
      <c r="AA49" s="131" t="s">
        <v>1651</v>
      </c>
      <c r="AB49" s="132" t="s">
        <v>1652</v>
      </c>
      <c r="AC49" s="132"/>
      <c r="AD49" s="1496" t="s">
        <v>1653</v>
      </c>
      <c r="AE49" s="134">
        <v>3</v>
      </c>
      <c r="AF49" s="2388" t="s">
        <v>1654</v>
      </c>
      <c r="AG49" s="2457" t="s">
        <v>1655</v>
      </c>
      <c r="AH49" s="2389" t="s">
        <v>1656</v>
      </c>
      <c r="AI49" s="247" t="s">
        <v>1657</v>
      </c>
    </row>
    <row r="50" spans="1:35">
      <c r="B50" s="110"/>
      <c r="C50" s="152"/>
      <c r="D50" s="152"/>
      <c r="E50" s="110"/>
      <c r="F50" s="110"/>
      <c r="H50" s="163"/>
      <c r="I50" s="163"/>
      <c r="J50" s="118"/>
      <c r="K50" s="118"/>
      <c r="L50" s="120"/>
      <c r="M50" s="118"/>
      <c r="N50" s="119"/>
      <c r="O50" s="120"/>
      <c r="P50" s="118"/>
      <c r="Q50" s="118"/>
      <c r="R50" s="119"/>
      <c r="S50" s="483"/>
      <c r="T50" s="483"/>
      <c r="U50" s="483"/>
      <c r="V50" s="483"/>
      <c r="W50" s="483"/>
      <c r="X50" s="483"/>
      <c r="Y50" s="483"/>
      <c r="Z50" s="483"/>
      <c r="AA50" s="110"/>
      <c r="AB50" s="152"/>
      <c r="AC50" s="152"/>
      <c r="AD50" s="110"/>
      <c r="AE50" s="110"/>
      <c r="AG50" s="163"/>
      <c r="AH50" s="163"/>
      <c r="AI50" s="118"/>
    </row>
    <row r="51" spans="1:35">
      <c r="B51" s="2914" t="s">
        <v>241</v>
      </c>
      <c r="C51" s="2914"/>
      <c r="D51" s="2823"/>
      <c r="E51" s="163"/>
      <c r="F51" s="163"/>
      <c r="G51" s="163"/>
      <c r="H51" s="163"/>
      <c r="I51" s="163"/>
      <c r="J51" s="126"/>
      <c r="K51" s="118"/>
      <c r="L51" s="120"/>
      <c r="M51" s="118"/>
      <c r="N51" s="124"/>
      <c r="O51" s="120"/>
      <c r="P51" s="118"/>
      <c r="Q51" s="118"/>
      <c r="R51" s="124"/>
      <c r="S51" s="483"/>
      <c r="T51" s="483"/>
      <c r="U51" s="483"/>
      <c r="V51" s="483"/>
      <c r="W51" s="483"/>
      <c r="X51" s="483"/>
      <c r="Y51" s="483"/>
      <c r="Z51" s="483"/>
      <c r="AA51" s="483"/>
      <c r="AB51" s="483"/>
      <c r="AC51" s="483"/>
      <c r="AD51" s="483"/>
      <c r="AE51" s="483"/>
      <c r="AF51" s="483"/>
      <c r="AG51" s="483"/>
      <c r="AH51" s="483"/>
      <c r="AI51" s="483"/>
    </row>
    <row r="52" spans="1:35">
      <c r="B52" s="141"/>
      <c r="C52" s="142"/>
      <c r="D52" s="142"/>
      <c r="E52" s="163"/>
      <c r="F52" s="163"/>
      <c r="G52" s="163"/>
      <c r="H52" s="163"/>
      <c r="I52" s="163"/>
      <c r="J52" s="126"/>
      <c r="K52" s="346"/>
      <c r="L52" s="130"/>
      <c r="M52" s="118"/>
      <c r="N52" s="124"/>
      <c r="O52" s="130"/>
      <c r="P52" s="118"/>
      <c r="Q52" s="118"/>
      <c r="R52" s="124"/>
      <c r="S52" s="483"/>
      <c r="T52" s="483"/>
      <c r="U52" s="483"/>
      <c r="V52" s="483"/>
      <c r="W52" s="483"/>
      <c r="X52" s="483"/>
      <c r="Y52" s="483"/>
      <c r="Z52" s="483"/>
      <c r="AA52" s="483"/>
      <c r="AB52" s="483"/>
      <c r="AC52" s="483"/>
      <c r="AD52" s="483"/>
      <c r="AE52" s="483"/>
      <c r="AF52" s="483"/>
      <c r="AG52" s="483"/>
      <c r="AH52" s="483"/>
      <c r="AI52" s="483"/>
    </row>
    <row r="53" spans="1:35">
      <c r="B53" s="25"/>
      <c r="C53" s="143" t="s">
        <v>188</v>
      </c>
      <c r="D53" s="143"/>
      <c r="E53" s="163"/>
      <c r="F53" s="163"/>
      <c r="G53" s="163"/>
      <c r="H53" s="163"/>
      <c r="I53" s="163"/>
      <c r="J53" s="126"/>
      <c r="K53" s="348"/>
      <c r="L53" s="120"/>
      <c r="M53" s="118"/>
      <c r="N53" s="124"/>
      <c r="O53" s="120"/>
      <c r="P53" s="118"/>
      <c r="Q53" s="118"/>
      <c r="R53" s="124"/>
      <c r="S53" s="483"/>
      <c r="T53" s="483"/>
      <c r="U53" s="483"/>
      <c r="V53" s="483"/>
      <c r="W53" s="483"/>
      <c r="X53" s="483"/>
      <c r="Y53" s="483"/>
      <c r="Z53" s="483"/>
      <c r="AA53" s="483"/>
      <c r="AB53" s="483"/>
      <c r="AC53" s="483"/>
      <c r="AD53" s="483"/>
      <c r="AE53" s="483"/>
      <c r="AF53" s="483"/>
      <c r="AG53" s="483"/>
      <c r="AH53" s="483"/>
      <c r="AI53" s="483"/>
    </row>
    <row r="54" spans="1:35">
      <c r="B54" s="141"/>
      <c r="C54" s="142"/>
      <c r="D54" s="142"/>
      <c r="E54" s="163"/>
      <c r="F54" s="163"/>
      <c r="G54" s="163"/>
      <c r="H54" s="163"/>
      <c r="I54" s="163"/>
      <c r="J54" s="126"/>
      <c r="K54" s="348"/>
      <c r="L54" s="110"/>
      <c r="M54" s="110"/>
      <c r="N54" s="124"/>
      <c r="O54" s="110"/>
      <c r="P54" s="110"/>
      <c r="Q54" s="110"/>
      <c r="R54" s="124"/>
      <c r="S54" s="483"/>
      <c r="T54" s="483"/>
      <c r="U54" s="483"/>
      <c r="V54" s="483"/>
      <c r="W54" s="483"/>
      <c r="X54" s="483"/>
      <c r="Y54" s="483"/>
      <c r="Z54" s="483"/>
      <c r="AA54" s="483"/>
      <c r="AB54" s="483"/>
      <c r="AC54" s="483"/>
      <c r="AD54" s="483"/>
      <c r="AE54" s="483"/>
      <c r="AF54" s="483"/>
      <c r="AG54" s="483"/>
      <c r="AH54" s="483"/>
      <c r="AI54" s="483"/>
    </row>
    <row r="55" spans="1:35">
      <c r="B55" s="144"/>
      <c r="C55" s="143" t="s">
        <v>189</v>
      </c>
      <c r="D55" s="143"/>
      <c r="E55" s="163"/>
      <c r="F55" s="163"/>
      <c r="G55" s="163"/>
      <c r="H55" s="163"/>
      <c r="I55" s="163"/>
      <c r="J55" s="126"/>
      <c r="K55" s="348"/>
      <c r="L55" s="110"/>
      <c r="M55" s="110"/>
      <c r="N55" s="124"/>
      <c r="O55" s="110"/>
      <c r="P55" s="110"/>
      <c r="Q55" s="110"/>
      <c r="R55" s="124"/>
      <c r="S55" s="483"/>
      <c r="T55" s="483"/>
      <c r="U55" s="483"/>
      <c r="V55" s="483"/>
      <c r="W55" s="483"/>
      <c r="X55" s="483"/>
      <c r="Y55" s="483"/>
      <c r="Z55" s="483"/>
      <c r="AA55" s="483"/>
      <c r="AB55" s="483"/>
      <c r="AC55" s="483"/>
      <c r="AD55" s="483"/>
      <c r="AE55" s="483"/>
      <c r="AF55" s="483"/>
      <c r="AG55" s="483"/>
      <c r="AH55" s="483"/>
      <c r="AI55" s="483"/>
    </row>
    <row r="56" spans="1:35">
      <c r="B56" s="145"/>
      <c r="C56" s="143"/>
      <c r="D56" s="143"/>
      <c r="E56" s="163"/>
      <c r="F56" s="163"/>
      <c r="G56" s="163"/>
      <c r="H56" s="163"/>
      <c r="I56" s="163"/>
      <c r="J56" s="126"/>
      <c r="K56" s="348"/>
      <c r="L56" s="120"/>
      <c r="M56" s="120"/>
      <c r="N56" s="124"/>
      <c r="O56" s="120"/>
      <c r="P56" s="120"/>
      <c r="Q56" s="120"/>
      <c r="R56" s="124"/>
      <c r="S56" s="483"/>
      <c r="T56" s="483"/>
      <c r="U56" s="483"/>
      <c r="V56" s="483"/>
      <c r="W56" s="483"/>
      <c r="X56" s="483"/>
      <c r="Y56" s="483"/>
      <c r="Z56" s="483"/>
      <c r="AA56" s="483"/>
      <c r="AB56" s="483"/>
      <c r="AC56" s="483"/>
      <c r="AD56" s="483"/>
      <c r="AE56" s="483"/>
      <c r="AF56" s="483"/>
      <c r="AG56" s="483"/>
      <c r="AH56" s="483"/>
      <c r="AI56" s="483"/>
    </row>
    <row r="57" spans="1:35" s="483" customFormat="1">
      <c r="A57" s="70"/>
      <c r="B57" s="2188"/>
      <c r="C57" s="179" t="s">
        <v>242</v>
      </c>
      <c r="D57" s="143"/>
      <c r="E57" s="163"/>
      <c r="F57" s="163"/>
      <c r="G57" s="163"/>
      <c r="H57" s="163"/>
      <c r="I57" s="163"/>
      <c r="J57" s="126"/>
      <c r="K57" s="348"/>
      <c r="L57" s="120"/>
      <c r="M57" s="120"/>
      <c r="N57" s="124"/>
      <c r="O57" s="120"/>
      <c r="P57" s="120"/>
      <c r="Q57" s="120"/>
      <c r="R57" s="124"/>
    </row>
    <row r="58" spans="1:35" ht="14.5" thickBot="1">
      <c r="A58" s="163"/>
      <c r="B58" s="178"/>
      <c r="C58" s="179"/>
      <c r="D58" s="179"/>
      <c r="E58" s="178"/>
      <c r="F58" s="178"/>
      <c r="G58" s="178"/>
      <c r="H58" s="178"/>
      <c r="I58" s="178"/>
      <c r="J58" s="130"/>
      <c r="K58" s="348"/>
      <c r="N58" s="124"/>
      <c r="R58" s="124"/>
      <c r="S58" s="483"/>
      <c r="T58" s="483"/>
      <c r="U58" s="483"/>
      <c r="V58" s="483"/>
      <c r="W58" s="483"/>
      <c r="X58" s="483"/>
      <c r="Y58" s="483"/>
      <c r="Z58" s="483"/>
      <c r="AA58" s="483"/>
      <c r="AB58" s="483"/>
      <c r="AC58" s="483"/>
      <c r="AD58" s="483"/>
      <c r="AE58" s="483"/>
      <c r="AF58" s="483"/>
      <c r="AG58" s="483"/>
      <c r="AH58" s="483"/>
      <c r="AI58" s="483"/>
    </row>
    <row r="59" spans="1:35" s="483" customFormat="1" ht="15.5" thickBot="1">
      <c r="A59" s="163"/>
      <c r="B59" s="2886" t="str">
        <f>'2D'!B36</f>
        <v>Please refer to RAG 4.08 - Guideline for the table definitions in the annual performance report for the reporting year 2019-20</v>
      </c>
      <c r="C59" s="147"/>
      <c r="D59" s="147"/>
      <c r="E59" s="148"/>
      <c r="F59" s="148"/>
      <c r="G59" s="148"/>
      <c r="H59" s="148"/>
      <c r="I59" s="148"/>
      <c r="J59" s="251"/>
      <c r="K59" s="348"/>
      <c r="L59" s="70"/>
      <c r="M59" s="70"/>
      <c r="N59" s="124"/>
      <c r="O59" s="70"/>
      <c r="P59" s="70"/>
      <c r="Q59" s="70"/>
      <c r="R59" s="124"/>
    </row>
    <row r="60" spans="1:35" s="483" customFormat="1">
      <c r="A60" s="163"/>
      <c r="B60" s="178"/>
      <c r="C60" s="179"/>
      <c r="D60" s="179"/>
      <c r="E60" s="178"/>
      <c r="F60" s="178"/>
      <c r="G60" s="178"/>
      <c r="H60" s="178"/>
      <c r="I60" s="178"/>
      <c r="J60" s="130"/>
      <c r="K60" s="348"/>
      <c r="L60" s="70"/>
      <c r="M60" s="70"/>
      <c r="N60" s="124"/>
      <c r="O60" s="70"/>
      <c r="P60" s="70"/>
      <c r="Q60" s="70"/>
      <c r="R60" s="124"/>
    </row>
    <row r="61" spans="1:35" ht="21" hidden="1" customHeight="1" thickBot="1">
      <c r="A61" s="1537"/>
      <c r="B61" s="146" t="str">
        <f ca="1" xml:space="preserve"> RIGHT(CELL("filename", $A$1), LEN(CELL("filename", $A$1)) - SEARCH("]", CELL("filename", $A$1)))&amp;" - Line definitions"</f>
        <v>2E - Line definitions</v>
      </c>
      <c r="C61" s="147"/>
      <c r="D61" s="147"/>
      <c r="E61" s="148"/>
      <c r="F61" s="148"/>
      <c r="G61" s="148"/>
      <c r="H61" s="148"/>
      <c r="I61" s="148"/>
      <c r="J61" s="251"/>
      <c r="K61" s="348"/>
      <c r="S61" s="483"/>
      <c r="T61" s="483"/>
      <c r="U61" s="483"/>
      <c r="V61" s="483"/>
      <c r="W61" s="483"/>
      <c r="X61" s="483"/>
      <c r="Y61" s="483"/>
      <c r="Z61" s="483"/>
      <c r="AA61" s="483"/>
      <c r="AB61" s="483"/>
      <c r="AC61" s="483"/>
      <c r="AD61" s="483"/>
      <c r="AE61" s="483"/>
      <c r="AF61" s="483"/>
      <c r="AG61" s="483"/>
      <c r="AH61" s="483"/>
      <c r="AI61" s="483"/>
    </row>
    <row r="62" spans="1:35" ht="15" hidden="1" customHeight="1" thickBot="1">
      <c r="A62" s="1529"/>
      <c r="B62" s="74"/>
      <c r="C62" s="155"/>
      <c r="D62" s="155"/>
      <c r="E62" s="74"/>
      <c r="F62" s="74"/>
      <c r="G62" s="110"/>
      <c r="H62" s="110"/>
      <c r="I62" s="110"/>
      <c r="J62" s="118"/>
      <c r="K62" s="348"/>
      <c r="S62" s="483"/>
      <c r="T62" s="483"/>
      <c r="U62" s="483"/>
      <c r="V62" s="483"/>
      <c r="W62" s="483"/>
      <c r="X62" s="483"/>
      <c r="Y62" s="483"/>
      <c r="Z62" s="483"/>
      <c r="AA62" s="483"/>
      <c r="AB62" s="483"/>
      <c r="AC62" s="483"/>
      <c r="AD62" s="483"/>
      <c r="AE62" s="483"/>
      <c r="AF62" s="483"/>
      <c r="AG62" s="483"/>
      <c r="AH62" s="483"/>
      <c r="AI62" s="483"/>
    </row>
    <row r="63" spans="1:35" ht="14.5" hidden="1" thickBot="1">
      <c r="A63" s="1528"/>
      <c r="B63" s="367" t="s">
        <v>191</v>
      </c>
      <c r="C63" s="368" t="s">
        <v>192</v>
      </c>
      <c r="D63" s="369"/>
      <c r="E63" s="369"/>
      <c r="F63" s="369"/>
      <c r="G63" s="369"/>
      <c r="H63" s="369"/>
      <c r="I63" s="369"/>
      <c r="J63" s="387"/>
      <c r="K63" s="348"/>
      <c r="O63" s="85" t="s">
        <v>193</v>
      </c>
      <c r="S63" s="483"/>
      <c r="T63" s="483"/>
      <c r="U63" s="483"/>
      <c r="V63" s="483"/>
      <c r="W63" s="483"/>
      <c r="X63" s="483"/>
      <c r="Y63" s="483"/>
      <c r="Z63" s="483"/>
      <c r="AA63" s="483"/>
      <c r="AB63" s="483"/>
      <c r="AC63" s="483"/>
      <c r="AD63" s="483"/>
      <c r="AE63" s="483"/>
      <c r="AF63" s="483"/>
      <c r="AG63" s="483"/>
      <c r="AH63" s="483"/>
      <c r="AI63" s="483"/>
    </row>
    <row r="64" spans="1:35" ht="14.25" hidden="1" customHeight="1">
      <c r="A64" s="1528"/>
      <c r="B64" s="791" t="str">
        <f t="shared" ref="B64:B70" si="20">B7</f>
        <v>2E.1</v>
      </c>
      <c r="C64" s="2989" t="s">
        <v>1658</v>
      </c>
      <c r="D64" s="2929"/>
      <c r="E64" s="2929"/>
      <c r="F64" s="2929"/>
      <c r="G64" s="2929"/>
      <c r="H64" s="2929"/>
      <c r="I64" s="2929"/>
      <c r="J64" s="2930"/>
      <c r="K64" s="348"/>
      <c r="O64" s="202">
        <v>1</v>
      </c>
      <c r="S64" s="483"/>
      <c r="T64" s="483"/>
      <c r="U64" s="483"/>
      <c r="V64" s="483"/>
      <c r="W64" s="483"/>
      <c r="X64" s="483"/>
      <c r="Y64" s="483"/>
      <c r="Z64" s="483"/>
      <c r="AA64" s="483"/>
      <c r="AB64" s="483"/>
      <c r="AC64" s="483"/>
      <c r="AD64" s="483"/>
      <c r="AE64" s="483"/>
      <c r="AF64" s="483"/>
      <c r="AG64" s="483"/>
      <c r="AH64" s="483"/>
      <c r="AI64" s="483"/>
    </row>
    <row r="65" spans="1:35" ht="23.25" hidden="1" customHeight="1">
      <c r="A65" s="1528"/>
      <c r="B65" s="792" t="str">
        <f t="shared" si="20"/>
        <v>2E.2</v>
      </c>
      <c r="C65" s="2990" t="s">
        <v>1659</v>
      </c>
      <c r="D65" s="2920"/>
      <c r="E65" s="2920"/>
      <c r="F65" s="2920"/>
      <c r="G65" s="2920"/>
      <c r="H65" s="2920"/>
      <c r="I65" s="2920"/>
      <c r="J65" s="2921"/>
      <c r="K65" s="348"/>
      <c r="O65" s="161" t="s">
        <v>195</v>
      </c>
      <c r="S65" s="483"/>
      <c r="T65" s="483"/>
      <c r="U65" s="483"/>
      <c r="V65" s="483"/>
      <c r="W65" s="483"/>
      <c r="X65" s="483"/>
      <c r="Y65" s="483"/>
      <c r="Z65" s="483"/>
      <c r="AA65" s="483"/>
      <c r="AB65" s="483"/>
      <c r="AC65" s="483"/>
      <c r="AD65" s="483"/>
      <c r="AE65" s="483"/>
      <c r="AF65" s="483"/>
      <c r="AG65" s="483"/>
      <c r="AH65" s="483"/>
      <c r="AI65" s="483"/>
    </row>
    <row r="66" spans="1:35" ht="14.25" hidden="1" customHeight="1">
      <c r="A66" s="1528"/>
      <c r="B66" s="792" t="str">
        <f t="shared" si="20"/>
        <v>2E.3</v>
      </c>
      <c r="C66" s="2990" t="s">
        <v>1660</v>
      </c>
      <c r="D66" s="2920"/>
      <c r="E66" s="2920"/>
      <c r="F66" s="2920"/>
      <c r="G66" s="2920"/>
      <c r="H66" s="2920"/>
      <c r="I66" s="2920"/>
      <c r="J66" s="2921"/>
      <c r="O66" s="158">
        <v>1</v>
      </c>
      <c r="S66" s="483"/>
      <c r="T66" s="483"/>
      <c r="U66" s="483"/>
      <c r="V66" s="483"/>
      <c r="W66" s="483"/>
      <c r="X66" s="483"/>
      <c r="Y66" s="483"/>
      <c r="Z66" s="483"/>
      <c r="AA66" s="483"/>
      <c r="AB66" s="483"/>
      <c r="AC66" s="483"/>
      <c r="AD66" s="483"/>
      <c r="AE66" s="483"/>
      <c r="AF66" s="483"/>
      <c r="AG66" s="483"/>
      <c r="AH66" s="483"/>
      <c r="AI66" s="483"/>
    </row>
    <row r="67" spans="1:35" s="483" customFormat="1" ht="14.25" hidden="1" customHeight="1">
      <c r="A67" s="1528"/>
      <c r="B67" s="792" t="str">
        <f t="shared" si="20"/>
        <v>2E.4</v>
      </c>
      <c r="C67" s="2990" t="s">
        <v>1661</v>
      </c>
      <c r="D67" s="2920"/>
      <c r="E67" s="2920"/>
      <c r="F67" s="2920"/>
      <c r="G67" s="2920"/>
      <c r="H67" s="2920"/>
      <c r="I67" s="2920"/>
      <c r="J67" s="2921"/>
      <c r="K67" s="70"/>
      <c r="L67" s="70"/>
      <c r="M67" s="70"/>
      <c r="N67" s="71"/>
      <c r="O67" s="158">
        <v>1</v>
      </c>
      <c r="P67" s="70"/>
      <c r="Q67" s="70"/>
      <c r="R67" s="71"/>
    </row>
    <row r="68" spans="1:35" ht="14.25" hidden="1" customHeight="1">
      <c r="A68" s="1528"/>
      <c r="B68" s="792" t="str">
        <f t="shared" si="20"/>
        <v>2E.5</v>
      </c>
      <c r="C68" s="2990" t="s">
        <v>1662</v>
      </c>
      <c r="D68" s="2920"/>
      <c r="E68" s="2920"/>
      <c r="F68" s="2920"/>
      <c r="G68" s="2920"/>
      <c r="H68" s="2920"/>
      <c r="I68" s="2920"/>
      <c r="J68" s="2921"/>
      <c r="O68" s="158">
        <v>1</v>
      </c>
      <c r="S68" s="483"/>
      <c r="T68" s="483"/>
      <c r="U68" s="483"/>
      <c r="V68" s="483"/>
      <c r="W68" s="483"/>
      <c r="X68" s="483"/>
      <c r="Y68" s="483"/>
      <c r="Z68" s="483"/>
      <c r="AA68" s="483"/>
      <c r="AB68" s="483"/>
      <c r="AC68" s="483"/>
      <c r="AD68" s="483"/>
      <c r="AE68" s="483"/>
      <c r="AF68" s="483"/>
      <c r="AG68" s="483"/>
      <c r="AH68" s="483"/>
      <c r="AI68" s="483"/>
    </row>
    <row r="69" spans="1:35" ht="13.5" hidden="1" customHeight="1">
      <c r="A69" s="1528"/>
      <c r="B69" s="792" t="str">
        <f t="shared" si="20"/>
        <v>2E.6</v>
      </c>
      <c r="C69" s="2990" t="s">
        <v>1663</v>
      </c>
      <c r="D69" s="2920"/>
      <c r="E69" s="2920"/>
      <c r="F69" s="2920"/>
      <c r="G69" s="2920"/>
      <c r="H69" s="2920"/>
      <c r="I69" s="2920"/>
      <c r="J69" s="2921"/>
      <c r="O69" s="161">
        <v>1</v>
      </c>
      <c r="S69" s="483"/>
      <c r="T69" s="483"/>
      <c r="U69" s="483"/>
      <c r="V69" s="483"/>
      <c r="W69" s="483"/>
      <c r="X69" s="483"/>
      <c r="Y69" s="483"/>
      <c r="Z69" s="483"/>
      <c r="AA69" s="483"/>
      <c r="AB69" s="483"/>
      <c r="AC69" s="483"/>
      <c r="AD69" s="483"/>
      <c r="AE69" s="483"/>
      <c r="AF69" s="483"/>
      <c r="AG69" s="483"/>
      <c r="AH69" s="483"/>
      <c r="AI69" s="483"/>
    </row>
    <row r="70" spans="1:35" ht="14.25" hidden="1" customHeight="1">
      <c r="A70" s="1528"/>
      <c r="B70" s="792" t="str">
        <f t="shared" si="20"/>
        <v>2E.7</v>
      </c>
      <c r="C70" s="2990" t="s">
        <v>1664</v>
      </c>
      <c r="D70" s="2920"/>
      <c r="E70" s="2920"/>
      <c r="F70" s="2920"/>
      <c r="G70" s="2920"/>
      <c r="H70" s="2920"/>
      <c r="I70" s="2920"/>
      <c r="J70" s="2921"/>
      <c r="O70" s="158">
        <v>1</v>
      </c>
      <c r="S70" s="483"/>
      <c r="T70" s="483"/>
      <c r="U70" s="483"/>
      <c r="V70" s="483"/>
      <c r="W70" s="483"/>
      <c r="X70" s="483"/>
      <c r="Y70" s="483"/>
      <c r="Z70" s="483"/>
      <c r="AA70" s="483"/>
      <c r="AB70" s="483"/>
      <c r="AC70" s="483"/>
      <c r="AD70" s="483"/>
      <c r="AE70" s="483"/>
      <c r="AF70" s="483"/>
      <c r="AG70" s="483"/>
      <c r="AH70" s="483"/>
      <c r="AI70" s="483"/>
    </row>
    <row r="71" spans="1:35" s="483" customFormat="1" ht="14.25" hidden="1" customHeight="1">
      <c r="A71" s="1528"/>
      <c r="B71" s="792" t="str">
        <f t="shared" ref="B71" si="21">B15</f>
        <v>2E.8</v>
      </c>
      <c r="C71" s="2990" t="s">
        <v>1665</v>
      </c>
      <c r="D71" s="2920"/>
      <c r="E71" s="2920"/>
      <c r="F71" s="2920"/>
      <c r="G71" s="2920"/>
      <c r="H71" s="2920"/>
      <c r="I71" s="2920"/>
      <c r="J71" s="2921"/>
      <c r="K71" s="70"/>
      <c r="L71" s="70"/>
      <c r="M71" s="70"/>
      <c r="N71" s="71"/>
      <c r="O71" s="158">
        <v>1</v>
      </c>
      <c r="P71" s="70"/>
      <c r="Q71" s="70"/>
      <c r="R71" s="71"/>
    </row>
    <row r="72" spans="1:35" ht="23.25" hidden="1" customHeight="1">
      <c r="A72" s="1529"/>
      <c r="B72" s="792" t="str">
        <f t="shared" ref="B72:B77" si="22">B19</f>
        <v>2E.9</v>
      </c>
      <c r="C72" s="2990" t="s">
        <v>1666</v>
      </c>
      <c r="D72" s="2920"/>
      <c r="E72" s="2920"/>
      <c r="F72" s="2920"/>
      <c r="G72" s="2920"/>
      <c r="H72" s="2920"/>
      <c r="I72" s="2920"/>
      <c r="J72" s="2921"/>
      <c r="O72" s="161" t="s">
        <v>195</v>
      </c>
      <c r="S72" s="483"/>
      <c r="T72" s="483"/>
      <c r="U72" s="483"/>
      <c r="V72" s="483"/>
      <c r="W72" s="483"/>
      <c r="X72" s="483"/>
      <c r="Y72" s="483"/>
      <c r="Z72" s="483"/>
      <c r="AA72" s="483"/>
      <c r="AB72" s="483"/>
      <c r="AC72" s="483"/>
      <c r="AD72" s="483"/>
      <c r="AE72" s="483"/>
      <c r="AF72" s="483"/>
      <c r="AG72" s="483"/>
      <c r="AH72" s="483"/>
      <c r="AI72" s="483"/>
    </row>
    <row r="73" spans="1:35" ht="14.25" hidden="1" customHeight="1">
      <c r="A73" s="1528"/>
      <c r="B73" s="792" t="str">
        <f t="shared" si="22"/>
        <v>2E.10</v>
      </c>
      <c r="C73" s="2990" t="s">
        <v>1667</v>
      </c>
      <c r="D73" s="2920"/>
      <c r="E73" s="2920"/>
      <c r="F73" s="2920"/>
      <c r="G73" s="2920"/>
      <c r="H73" s="2920"/>
      <c r="I73" s="2920"/>
      <c r="J73" s="2921"/>
      <c r="O73" s="158">
        <v>1</v>
      </c>
      <c r="S73" s="483"/>
      <c r="T73" s="483"/>
      <c r="U73" s="483"/>
      <c r="V73" s="483"/>
      <c r="W73" s="483"/>
      <c r="X73" s="483"/>
      <c r="Y73" s="483"/>
      <c r="Z73" s="483"/>
      <c r="AA73" s="483"/>
      <c r="AB73" s="483"/>
      <c r="AC73" s="483"/>
      <c r="AD73" s="483"/>
      <c r="AE73" s="483"/>
      <c r="AF73" s="483"/>
      <c r="AG73" s="483"/>
      <c r="AH73" s="483"/>
      <c r="AI73" s="483"/>
    </row>
    <row r="74" spans="1:35" s="483" customFormat="1" ht="14.25" hidden="1" customHeight="1">
      <c r="A74" s="1528"/>
      <c r="B74" s="792" t="str">
        <f t="shared" si="22"/>
        <v>2E.11</v>
      </c>
      <c r="C74" s="2990" t="s">
        <v>1668</v>
      </c>
      <c r="D74" s="2920"/>
      <c r="E74" s="2920"/>
      <c r="F74" s="2920"/>
      <c r="G74" s="2920"/>
      <c r="H74" s="2920"/>
      <c r="I74" s="2920"/>
      <c r="J74" s="2921"/>
      <c r="K74" s="70"/>
      <c r="L74" s="70"/>
      <c r="M74" s="70"/>
      <c r="N74" s="71"/>
      <c r="O74" s="158">
        <v>1</v>
      </c>
      <c r="P74" s="70"/>
      <c r="Q74" s="70"/>
      <c r="R74" s="71"/>
    </row>
    <row r="75" spans="1:35" ht="13.5" hidden="1" customHeight="1">
      <c r="A75" s="1528"/>
      <c r="B75" s="792" t="str">
        <f t="shared" si="22"/>
        <v>2E.12</v>
      </c>
      <c r="C75" s="2990" t="s">
        <v>1669</v>
      </c>
      <c r="D75" s="2920"/>
      <c r="E75" s="2920"/>
      <c r="F75" s="2920"/>
      <c r="G75" s="2920"/>
      <c r="H75" s="2920"/>
      <c r="I75" s="2920"/>
      <c r="J75" s="2921"/>
      <c r="O75" s="158">
        <v>1</v>
      </c>
      <c r="S75" s="483"/>
      <c r="T75" s="483"/>
      <c r="U75" s="483"/>
      <c r="V75" s="483"/>
      <c r="W75" s="483"/>
      <c r="X75" s="483"/>
      <c r="Y75" s="483"/>
      <c r="Z75" s="483"/>
      <c r="AA75" s="483"/>
      <c r="AB75" s="483"/>
      <c r="AC75" s="483"/>
      <c r="AD75" s="483"/>
      <c r="AE75" s="483"/>
      <c r="AF75" s="483"/>
      <c r="AG75" s="483"/>
      <c r="AH75" s="483"/>
      <c r="AI75" s="483"/>
    </row>
    <row r="76" spans="1:35" ht="13.5" hidden="1" customHeight="1">
      <c r="A76" s="1528"/>
      <c r="B76" s="792" t="str">
        <f t="shared" si="22"/>
        <v>2E.13</v>
      </c>
      <c r="C76" s="2990" t="s">
        <v>1670</v>
      </c>
      <c r="D76" s="2920"/>
      <c r="E76" s="2920"/>
      <c r="F76" s="2920"/>
      <c r="G76" s="2920"/>
      <c r="H76" s="2920"/>
      <c r="I76" s="2920"/>
      <c r="J76" s="2921"/>
      <c r="O76" s="161">
        <v>1</v>
      </c>
      <c r="S76" s="483"/>
      <c r="T76" s="483"/>
      <c r="U76" s="483"/>
      <c r="V76" s="483"/>
      <c r="W76" s="483"/>
      <c r="X76" s="483"/>
      <c r="Y76" s="483"/>
      <c r="Z76" s="483"/>
      <c r="AA76" s="483"/>
      <c r="AB76" s="483"/>
      <c r="AC76" s="483"/>
      <c r="AD76" s="483"/>
      <c r="AE76" s="483"/>
      <c r="AF76" s="483"/>
      <c r="AG76" s="483"/>
      <c r="AH76" s="483"/>
      <c r="AI76" s="483"/>
    </row>
    <row r="77" spans="1:35" hidden="1">
      <c r="A77" s="1528"/>
      <c r="B77" s="792" t="str">
        <f t="shared" si="22"/>
        <v>2E.14</v>
      </c>
      <c r="C77" s="2990" t="s">
        <v>1671</v>
      </c>
      <c r="D77" s="2920"/>
      <c r="E77" s="2920"/>
      <c r="F77" s="2920"/>
      <c r="G77" s="2920"/>
      <c r="H77" s="2920"/>
      <c r="I77" s="2920"/>
      <c r="J77" s="2921"/>
      <c r="O77" s="158">
        <v>1</v>
      </c>
      <c r="S77" s="483"/>
      <c r="T77" s="483"/>
      <c r="U77" s="483"/>
      <c r="V77" s="483"/>
      <c r="W77" s="483"/>
      <c r="X77" s="483"/>
      <c r="Y77" s="483"/>
      <c r="Z77" s="483"/>
      <c r="AA77" s="483"/>
      <c r="AB77" s="483"/>
      <c r="AC77" s="483"/>
      <c r="AD77" s="483"/>
      <c r="AE77" s="483"/>
      <c r="AF77" s="483"/>
      <c r="AG77" s="483"/>
      <c r="AH77" s="483"/>
      <c r="AI77" s="483"/>
    </row>
    <row r="78" spans="1:35" s="483" customFormat="1" hidden="1">
      <c r="A78" s="1528"/>
      <c r="B78" s="792" t="str">
        <f t="shared" ref="B78" si="23">B26</f>
        <v>2E.15</v>
      </c>
      <c r="C78" s="2990" t="s">
        <v>1672</v>
      </c>
      <c r="D78" s="2920"/>
      <c r="E78" s="2920"/>
      <c r="F78" s="2920"/>
      <c r="G78" s="2920"/>
      <c r="H78" s="2920"/>
      <c r="I78" s="2920"/>
      <c r="J78" s="2921"/>
      <c r="K78" s="70"/>
      <c r="L78" s="70"/>
      <c r="M78" s="70"/>
      <c r="N78" s="71"/>
      <c r="O78" s="158">
        <v>1</v>
      </c>
      <c r="P78" s="70"/>
      <c r="Q78" s="70"/>
      <c r="R78" s="71"/>
    </row>
    <row r="79" spans="1:35" ht="13.5" hidden="1" customHeight="1">
      <c r="A79" s="1528"/>
      <c r="B79" s="792" t="str">
        <f>B43</f>
        <v>2E.16</v>
      </c>
      <c r="C79" s="2990" t="s">
        <v>1673</v>
      </c>
      <c r="D79" s="2920"/>
      <c r="E79" s="2920"/>
      <c r="F79" s="2920"/>
      <c r="G79" s="2920"/>
      <c r="H79" s="2920"/>
      <c r="I79" s="2920"/>
      <c r="J79" s="2921"/>
      <c r="O79" s="158">
        <v>1</v>
      </c>
      <c r="S79" s="483"/>
      <c r="T79" s="483"/>
      <c r="U79" s="483"/>
      <c r="V79" s="483"/>
      <c r="W79" s="483"/>
      <c r="X79" s="483"/>
      <c r="Y79" s="483"/>
      <c r="Z79" s="483"/>
      <c r="AA79" s="483"/>
      <c r="AB79" s="483"/>
      <c r="AC79" s="483"/>
      <c r="AD79" s="483"/>
      <c r="AE79" s="483"/>
      <c r="AF79" s="483"/>
      <c r="AG79" s="483"/>
      <c r="AH79" s="483"/>
      <c r="AI79" s="483"/>
    </row>
    <row r="80" spans="1:35" ht="13.5" hidden="1" customHeight="1">
      <c r="A80" s="1528"/>
      <c r="B80" s="792" t="str">
        <f>B44</f>
        <v>2E.17</v>
      </c>
      <c r="C80" s="2990" t="s">
        <v>1674</v>
      </c>
      <c r="D80" s="2920"/>
      <c r="E80" s="2920"/>
      <c r="F80" s="2920"/>
      <c r="G80" s="2920"/>
      <c r="H80" s="2920"/>
      <c r="I80" s="2920"/>
      <c r="J80" s="2921"/>
      <c r="O80" s="158">
        <v>1</v>
      </c>
      <c r="S80" s="483"/>
      <c r="T80" s="483"/>
      <c r="U80" s="483"/>
      <c r="V80" s="483"/>
      <c r="W80" s="483"/>
      <c r="X80" s="483"/>
      <c r="Y80" s="483"/>
      <c r="Z80" s="483"/>
      <c r="AA80" s="483"/>
      <c r="AB80" s="483"/>
      <c r="AC80" s="483"/>
      <c r="AD80" s="483"/>
      <c r="AE80" s="483"/>
      <c r="AF80" s="483"/>
      <c r="AG80" s="483"/>
      <c r="AH80" s="483"/>
      <c r="AI80" s="483"/>
    </row>
    <row r="81" spans="1:35" ht="13.5" hidden="1" customHeight="1">
      <c r="A81" s="1528"/>
      <c r="B81" s="792" t="str">
        <f>B45</f>
        <v>2E.18</v>
      </c>
      <c r="C81" s="2990" t="s">
        <v>1675</v>
      </c>
      <c r="D81" s="2920"/>
      <c r="E81" s="2920"/>
      <c r="F81" s="2920"/>
      <c r="G81" s="2920"/>
      <c r="H81" s="2920"/>
      <c r="I81" s="2920"/>
      <c r="J81" s="2921"/>
      <c r="O81" s="158">
        <v>1</v>
      </c>
      <c r="S81" s="483"/>
      <c r="T81" s="483"/>
      <c r="U81" s="483"/>
      <c r="V81" s="483"/>
      <c r="W81" s="483"/>
      <c r="X81" s="483"/>
      <c r="Y81" s="483"/>
      <c r="Z81" s="483"/>
      <c r="AA81" s="483"/>
      <c r="AB81" s="483"/>
      <c r="AC81" s="483"/>
      <c r="AD81" s="483"/>
      <c r="AE81" s="483"/>
      <c r="AF81" s="483"/>
      <c r="AG81" s="483"/>
      <c r="AH81" s="483"/>
      <c r="AI81" s="483"/>
    </row>
    <row r="82" spans="1:35" ht="23.25" hidden="1" customHeight="1">
      <c r="A82" s="1528"/>
      <c r="B82" s="792" t="str">
        <f>B46</f>
        <v>2E.19</v>
      </c>
      <c r="C82" s="2990" t="s">
        <v>1676</v>
      </c>
      <c r="D82" s="2920"/>
      <c r="E82" s="2920"/>
      <c r="F82" s="2920"/>
      <c r="G82" s="2920"/>
      <c r="H82" s="2920"/>
      <c r="I82" s="2920"/>
      <c r="J82" s="2921"/>
      <c r="O82" s="161" t="s">
        <v>195</v>
      </c>
      <c r="S82" s="483"/>
      <c r="T82" s="483"/>
      <c r="U82" s="483"/>
      <c r="V82" s="483"/>
      <c r="W82" s="483"/>
      <c r="X82" s="483"/>
      <c r="Y82" s="483"/>
      <c r="Z82" s="483"/>
      <c r="AA82" s="483"/>
      <c r="AB82" s="483"/>
      <c r="AC82" s="483"/>
      <c r="AD82" s="483"/>
      <c r="AE82" s="483"/>
      <c r="AF82" s="483"/>
      <c r="AG82" s="483"/>
      <c r="AH82" s="483"/>
      <c r="AI82" s="483"/>
    </row>
    <row r="83" spans="1:35" ht="24" hidden="1" customHeight="1" thickBot="1">
      <c r="A83" s="1528"/>
      <c r="B83" s="793" t="str">
        <f>B49</f>
        <v>2E.20</v>
      </c>
      <c r="C83" s="2991" t="s">
        <v>1677</v>
      </c>
      <c r="D83" s="2923"/>
      <c r="E83" s="2923"/>
      <c r="F83" s="2923"/>
      <c r="G83" s="2923"/>
      <c r="H83" s="2923"/>
      <c r="I83" s="2923"/>
      <c r="J83" s="2924"/>
      <c r="O83" s="161" t="s">
        <v>195</v>
      </c>
      <c r="S83" s="483"/>
      <c r="T83" s="483"/>
      <c r="U83" s="483"/>
      <c r="V83" s="483"/>
      <c r="W83" s="483"/>
      <c r="X83" s="483"/>
      <c r="Y83" s="483"/>
      <c r="Z83" s="483"/>
      <c r="AA83" s="483"/>
      <c r="AB83" s="483"/>
      <c r="AC83" s="483"/>
      <c r="AD83" s="483"/>
      <c r="AE83" s="483"/>
      <c r="AF83" s="483"/>
      <c r="AG83" s="483"/>
      <c r="AH83" s="483"/>
      <c r="AI83" s="483"/>
    </row>
    <row r="84" spans="1:35" hidden="1">
      <c r="A84" s="1530"/>
      <c r="S84" s="483"/>
      <c r="T84" s="483"/>
      <c r="U84" s="483"/>
      <c r="V84" s="483"/>
      <c r="W84" s="483"/>
      <c r="X84" s="483"/>
      <c r="Y84" s="483"/>
      <c r="Z84" s="483"/>
      <c r="AA84" s="483"/>
      <c r="AB84" s="483"/>
      <c r="AC84" s="483"/>
      <c r="AD84" s="483"/>
      <c r="AE84" s="483"/>
      <c r="AF84" s="483"/>
      <c r="AG84" s="483"/>
      <c r="AH84" s="483"/>
      <c r="AI84" s="483"/>
    </row>
    <row r="85" spans="1:35" hidden="1">
      <c r="A85" s="120"/>
      <c r="S85" s="483"/>
      <c r="T85" s="483"/>
      <c r="U85" s="483"/>
      <c r="V85" s="483"/>
      <c r="W85" s="483"/>
      <c r="X85" s="483"/>
      <c r="Y85" s="483"/>
      <c r="Z85" s="483"/>
    </row>
    <row r="86" spans="1:35" hidden="1">
      <c r="A86" s="120"/>
      <c r="S86" s="483"/>
      <c r="T86" s="483"/>
      <c r="U86" s="483"/>
      <c r="V86" s="483"/>
      <c r="W86" s="483"/>
      <c r="X86" s="483"/>
      <c r="Y86" s="483"/>
      <c r="Z86" s="483"/>
    </row>
  </sheetData>
  <sheetProtection algorithmName="SHA-512" hashValue="LOX5woMlWkKRhnxAqqvwf0cD7L1yIU/BuGkzRcapnVfUuwm4Yqy7mjgJmsU6DUAotB1Sk6nx2tvKJOO4kJylfA==" saltValue="WHvVv7YlPHrJQ7LcZc8jcA==" spinCount="100000" sheet="1" objects="1" scenarios="1"/>
  <mergeCells count="33">
    <mergeCell ref="C71:J71"/>
    <mergeCell ref="C78:J78"/>
    <mergeCell ref="C74:J74"/>
    <mergeCell ref="C72:J72"/>
    <mergeCell ref="C82:J82"/>
    <mergeCell ref="C73:J73"/>
    <mergeCell ref="C83:J83"/>
    <mergeCell ref="C75:J75"/>
    <mergeCell ref="C76:J76"/>
    <mergeCell ref="C77:J77"/>
    <mergeCell ref="C79:J79"/>
    <mergeCell ref="C80:J80"/>
    <mergeCell ref="C81:J81"/>
    <mergeCell ref="O3:Q4"/>
    <mergeCell ref="B51:C51"/>
    <mergeCell ref="C64:J64"/>
    <mergeCell ref="L3:L4"/>
    <mergeCell ref="C70:J70"/>
    <mergeCell ref="C66:J66"/>
    <mergeCell ref="C68:J68"/>
    <mergeCell ref="C69:J69"/>
    <mergeCell ref="C65:J65"/>
    <mergeCell ref="B3:C4"/>
    <mergeCell ref="E3:E4"/>
    <mergeCell ref="F3:F4"/>
    <mergeCell ref="G3:J3"/>
    <mergeCell ref="C67:J67"/>
    <mergeCell ref="G40:J40"/>
    <mergeCell ref="AA3:AB4"/>
    <mergeCell ref="AD3:AD4"/>
    <mergeCell ref="AE3:AE4"/>
    <mergeCell ref="AF3:AI3"/>
    <mergeCell ref="AF40:AI40"/>
  </mergeCells>
  <conditionalFormatting sqref="L7:L9 L19:L20 L45 L49 L11:L12 L22:L23">
    <cfRule type="cellIs" dxfId="451" priority="40" operator="equal">
      <formula>0</formula>
    </cfRule>
  </conditionalFormatting>
  <conditionalFormatting sqref="L19">
    <cfRule type="cellIs" dxfId="450" priority="39" operator="equal">
      <formula>0</formula>
    </cfRule>
  </conditionalFormatting>
  <conditionalFormatting sqref="L22">
    <cfRule type="cellIs" dxfId="449" priority="38" operator="equal">
      <formula>0</formula>
    </cfRule>
  </conditionalFormatting>
  <conditionalFormatting sqref="L20">
    <cfRule type="cellIs" dxfId="448" priority="37" operator="equal">
      <formula>0</formula>
    </cfRule>
  </conditionalFormatting>
  <conditionalFormatting sqref="L45">
    <cfRule type="cellIs" dxfId="447" priority="36" operator="equal">
      <formula>0</formula>
    </cfRule>
  </conditionalFormatting>
  <conditionalFormatting sqref="L49">
    <cfRule type="cellIs" dxfId="446" priority="35" operator="equal">
      <formula>0</formula>
    </cfRule>
  </conditionalFormatting>
  <conditionalFormatting sqref="L43">
    <cfRule type="cellIs" dxfId="445" priority="34" operator="equal">
      <formula>0</formula>
    </cfRule>
  </conditionalFormatting>
  <conditionalFormatting sqref="L43">
    <cfRule type="cellIs" dxfId="444" priority="33" operator="equal">
      <formula>0</formula>
    </cfRule>
  </conditionalFormatting>
  <conditionalFormatting sqref="L15">
    <cfRule type="cellIs" dxfId="443" priority="31" operator="equal">
      <formula>0</formula>
    </cfRule>
  </conditionalFormatting>
  <conditionalFormatting sqref="L26">
    <cfRule type="cellIs" dxfId="442" priority="30" operator="equal">
      <formula>0</formula>
    </cfRule>
  </conditionalFormatting>
  <conditionalFormatting sqref="L30:L31 L33:L34">
    <cfRule type="cellIs" dxfId="441" priority="21" operator="equal">
      <formula>0</formula>
    </cfRule>
  </conditionalFormatting>
  <conditionalFormatting sqref="L30">
    <cfRule type="cellIs" dxfId="440" priority="20" operator="equal">
      <formula>0</formula>
    </cfRule>
  </conditionalFormatting>
  <conditionalFormatting sqref="L33">
    <cfRule type="cellIs" dxfId="439" priority="19" operator="equal">
      <formula>0</formula>
    </cfRule>
  </conditionalFormatting>
  <conditionalFormatting sqref="L31">
    <cfRule type="cellIs" dxfId="438" priority="18" operator="equal">
      <formula>0</formula>
    </cfRule>
  </conditionalFormatting>
  <conditionalFormatting sqref="L37">
    <cfRule type="cellIs" dxfId="437" priority="17" operator="equal">
      <formula>0</formula>
    </cfRule>
  </conditionalFormatting>
  <conditionalFormatting sqref="L32">
    <cfRule type="cellIs" dxfId="436" priority="15" operator="equal">
      <formula>0</formula>
    </cfRule>
  </conditionalFormatting>
  <conditionalFormatting sqref="L32">
    <cfRule type="cellIs" dxfId="435" priority="14" operator="equal">
      <formula>0</formula>
    </cfRule>
  </conditionalFormatting>
  <conditionalFormatting sqref="L10">
    <cfRule type="cellIs" dxfId="434" priority="8" operator="equal">
      <formula>0</formula>
    </cfRule>
  </conditionalFormatting>
  <conditionalFormatting sqref="L21">
    <cfRule type="cellIs" dxfId="433" priority="6" operator="equal">
      <formula>0</formula>
    </cfRule>
  </conditionalFormatting>
  <conditionalFormatting sqref="L21">
    <cfRule type="cellIs" dxfId="432" priority="7" operator="equal">
      <formula>0</formula>
    </cfRule>
  </conditionalFormatting>
  <conditionalFormatting sqref="I43:I46 I49 G30:J35 H37 J37">
    <cfRule type="expression" dxfId="431" priority="5">
      <formula>$J$1 &lt;&gt; "Thames Water"</formula>
    </cfRule>
  </conditionalFormatting>
  <conditionalFormatting sqref="G37">
    <cfRule type="expression" dxfId="430" priority="3">
      <formula>$J$1 &lt;&gt; "Thames Water"</formula>
    </cfRule>
  </conditionalFormatting>
  <printOptions horizontalCentered="1"/>
  <pageMargins left="0.39370078740157483" right="0.39370078740157483" top="0.78740157480314965" bottom="0.78740157480314965" header="0.31496062992125984" footer="0.31496062992125984"/>
  <pageSetup paperSize="9" scale="65"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4" id="{8CBECD36-7E8D-491A-87AA-A7EE4D10527A}">
            <xm:f>Validation!$H$3=1</xm:f>
            <x14:dxf>
              <fill>
                <patternFill>
                  <bgColor rgb="FFE0DCD8"/>
                </patternFill>
              </fill>
            </x14:dxf>
          </x14:cfRule>
          <xm:sqref>I43:I46 I49</xm:sqref>
        </x14:conditionalFormatting>
        <x14:conditionalFormatting xmlns:xm="http://schemas.microsoft.com/office/excel/2006/main">
          <x14:cfRule type="expression" priority="29" id="{429FCC6C-ED21-40C3-AB35-125F0856F654}">
            <xm:f>Validation!$H$3=1</xm:f>
            <x14:dxf>
              <fill>
                <patternFill>
                  <bgColor theme="0" tint="-0.14996795556505021"/>
                </patternFill>
              </fill>
            </x14:dxf>
          </x14:cfRule>
          <xm:sqref>G19:J24 J26</xm:sqref>
        </x14:conditionalFormatting>
        <x14:conditionalFormatting xmlns:xm="http://schemas.microsoft.com/office/excel/2006/main">
          <x14:cfRule type="expression" priority="24" id="{2EE61E3C-F9C3-4230-9372-66C6D2AFFD63}">
            <xm:f>Validation!$H$3=1</xm:f>
            <x14:dxf>
              <fill>
                <patternFill>
                  <bgColor rgb="FFE0DCD8"/>
                </patternFill>
              </fill>
            </x14:dxf>
          </x14:cfRule>
          <xm:sqref>AH43 AH49 AH45:AH46</xm:sqref>
        </x14:conditionalFormatting>
        <x14:conditionalFormatting xmlns:xm="http://schemas.microsoft.com/office/excel/2006/main">
          <x14:cfRule type="expression" priority="23" id="{96E77EC5-F3C6-4812-8184-E5E68C84B260}">
            <xm:f>Validation!$H$3=1</xm:f>
            <x14:dxf>
              <fill>
                <patternFill>
                  <bgColor theme="0" tint="-0.14996795556505021"/>
                </patternFill>
              </fill>
            </x14:dxf>
          </x14:cfRule>
          <xm:sqref>AG26 AI26 AF19:AI24</xm:sqref>
        </x14:conditionalFormatting>
        <x14:conditionalFormatting xmlns:xm="http://schemas.microsoft.com/office/excel/2006/main">
          <x14:cfRule type="expression" priority="22" id="{C5D96E12-37E0-4860-908D-824B02910D07}">
            <xm:f>Validation!$H$3=1</xm:f>
            <x14:dxf>
              <fill>
                <patternFill>
                  <bgColor rgb="FFE0DCD8"/>
                </patternFill>
              </fill>
            </x14:dxf>
          </x14:cfRule>
          <xm:sqref>AH44</xm:sqref>
        </x14:conditionalFormatting>
        <x14:conditionalFormatting xmlns:xm="http://schemas.microsoft.com/office/excel/2006/main">
          <x14:cfRule type="expression" priority="16" id="{101019FF-8252-421C-8120-B293EE250903}">
            <xm:f>Validation!$H$3=1</xm:f>
            <x14:dxf>
              <fill>
                <patternFill>
                  <bgColor theme="0" tint="-0.14996795556505021"/>
                </patternFill>
              </fill>
            </x14:dxf>
          </x14:cfRule>
          <xm:sqref>G30:J35 H37 J37</xm:sqref>
        </x14:conditionalFormatting>
        <x14:conditionalFormatting xmlns:xm="http://schemas.microsoft.com/office/excel/2006/main">
          <x14:cfRule type="expression" priority="13" id="{3D4B16E0-EBFD-4AB8-91DC-4B560769999D}">
            <xm:f>Validation!$H$3=1</xm:f>
            <x14:dxf>
              <fill>
                <patternFill>
                  <bgColor theme="0" tint="-0.14996795556505021"/>
                </patternFill>
              </fill>
            </x14:dxf>
          </x14:cfRule>
          <xm:sqref>AG37 AI37 AF30:AI35</xm:sqref>
        </x14:conditionalFormatting>
        <x14:conditionalFormatting xmlns:xm="http://schemas.microsoft.com/office/excel/2006/main">
          <x14:cfRule type="expression" priority="12" id="{4B91D8AB-E003-45A5-9A86-0481460D3C3C}">
            <xm:f>Validation!$H$3=1</xm:f>
            <x14:dxf>
              <fill>
                <patternFill>
                  <bgColor rgb="FFE0DCD8"/>
                </patternFill>
              </fill>
            </x14:dxf>
          </x14:cfRule>
          <xm:sqref>H43:H46 H49</xm:sqref>
        </x14:conditionalFormatting>
        <x14:conditionalFormatting xmlns:xm="http://schemas.microsoft.com/office/excel/2006/main">
          <x14:cfRule type="expression" priority="11" id="{78AD12DA-5477-43FF-B9DD-F9FBD70B697B}">
            <xm:f>Validation!$H$3=1</xm:f>
            <x14:dxf>
              <fill>
                <patternFill>
                  <bgColor rgb="FFE0DCD8"/>
                </patternFill>
              </fill>
            </x14:dxf>
          </x14:cfRule>
          <xm:sqref>AG43 AG49 AG45:AG46</xm:sqref>
        </x14:conditionalFormatting>
        <x14:conditionalFormatting xmlns:xm="http://schemas.microsoft.com/office/excel/2006/main">
          <x14:cfRule type="expression" priority="10" id="{BBFD3519-EBE1-4916-8FC9-5F1D6AE9D885}">
            <xm:f>Validation!$H$3=1</xm:f>
            <x14:dxf>
              <fill>
                <patternFill>
                  <bgColor rgb="FFE0DCD8"/>
                </patternFill>
              </fill>
            </x14:dxf>
          </x14:cfRule>
          <xm:sqref>AG44</xm:sqref>
        </x14:conditionalFormatting>
        <x14:conditionalFormatting xmlns:xm="http://schemas.microsoft.com/office/excel/2006/main">
          <x14:cfRule type="expression" priority="4" id="{0A280049-C039-49CD-97D9-E515FF179D71}">
            <xm:f>Validation!$H$3=1</xm:f>
            <x14:dxf>
              <fill>
                <patternFill>
                  <bgColor theme="0" tint="-0.14996795556505021"/>
                </patternFill>
              </fill>
            </x14:dxf>
          </x14:cfRule>
          <xm:sqref>G37</xm:sqref>
        </x14:conditionalFormatting>
        <x14:conditionalFormatting xmlns:xm="http://schemas.microsoft.com/office/excel/2006/main">
          <x14:cfRule type="expression" priority="2" id="{EDB9F9DE-9D41-415E-8087-27B82D126F10}">
            <xm:f>Validation!$H$3=1</xm:f>
            <x14:dxf>
              <fill>
                <patternFill>
                  <bgColor theme="0" tint="-0.14996795556505021"/>
                </patternFill>
              </fill>
            </x14:dxf>
          </x14:cfRule>
          <xm:sqref>AF26</xm:sqref>
        </x14:conditionalFormatting>
        <x14:conditionalFormatting xmlns:xm="http://schemas.microsoft.com/office/excel/2006/main">
          <x14:cfRule type="expression" priority="1" id="{423718D9-2624-47E6-B58A-09D0B2543DA1}">
            <xm:f>Validation!$H$3=1</xm:f>
            <x14:dxf>
              <fill>
                <patternFill>
                  <bgColor theme="0" tint="-0.14996795556505021"/>
                </patternFill>
              </fill>
            </x14:dxf>
          </x14:cfRule>
          <xm:sqref>AF37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pageSetUpPr fitToPage="1"/>
  </sheetPr>
  <dimension ref="A1:AI32"/>
  <sheetViews>
    <sheetView workbookViewId="0">
      <selection activeCell="B1" sqref="B1:I11"/>
    </sheetView>
  </sheetViews>
  <sheetFormatPr defaultColWidth="0" defaultRowHeight="14" zeroHeight="1"/>
  <cols>
    <col min="1" max="1" width="0.58203125" style="8" customWidth="1"/>
    <col min="2" max="2" width="4.08203125" style="8" customWidth="1"/>
    <col min="3" max="3" width="38.08203125" style="8" customWidth="1"/>
    <col min="4" max="4" width="5.58203125" style="483" hidden="1" customWidth="1"/>
    <col min="5" max="9" width="14.58203125" style="8" customWidth="1"/>
    <col min="10" max="10" width="2.58203125" style="70" customWidth="1"/>
    <col min="11" max="11" width="18.58203125" style="70" bestFit="1" customWidth="1"/>
    <col min="12" max="12" width="1.58203125" style="70" customWidth="1"/>
    <col min="13" max="13" width="1.58203125" style="71" hidden="1" customWidth="1"/>
    <col min="14" max="17" width="5.58203125" style="70" hidden="1" customWidth="1"/>
    <col min="18" max="18" width="1.58203125" style="71" hidden="1" customWidth="1"/>
    <col min="19" max="19" width="8.58203125" style="70" hidden="1" customWidth="1"/>
    <col min="20" max="25" width="0" style="8" hidden="1" customWidth="1"/>
    <col min="26" max="26" width="8.58203125" style="8" customWidth="1"/>
    <col min="27" max="27" width="4.08203125" style="483" customWidth="1"/>
    <col min="28" max="28" width="38.08203125" style="483" customWidth="1"/>
    <col min="29" max="29" width="5.58203125" style="483" hidden="1" customWidth="1"/>
    <col min="30" max="34" width="14.58203125" style="483" customWidth="1"/>
    <col min="35" max="35" width="1.83203125" style="8" customWidth="1"/>
    <col min="36" max="16384" width="8.58203125" style="8" hidden="1"/>
  </cols>
  <sheetData>
    <row r="1" spans="2:34" ht="20">
      <c r="B1" s="66" t="s">
        <v>1678</v>
      </c>
      <c r="C1" s="66"/>
      <c r="D1" s="66"/>
      <c r="E1" s="66"/>
      <c r="F1" s="66"/>
      <c r="G1" s="68"/>
      <c r="H1" s="66"/>
      <c r="I1" s="68" t="str">
        <f>Validation!B3</f>
        <v>Bristol Water</v>
      </c>
      <c r="J1" s="66"/>
      <c r="K1" s="69" t="s">
        <v>32</v>
      </c>
      <c r="T1" s="483"/>
      <c r="U1" s="483"/>
      <c r="V1" s="483"/>
      <c r="W1" s="483"/>
      <c r="X1" s="483"/>
      <c r="Y1" s="483"/>
      <c r="Z1" s="483"/>
      <c r="AA1" s="66" t="s">
        <v>33</v>
      </c>
      <c r="AB1" s="66"/>
      <c r="AC1" s="66"/>
      <c r="AD1" s="66"/>
      <c r="AE1" s="66"/>
      <c r="AF1" s="68"/>
      <c r="AG1" s="66"/>
      <c r="AH1" s="68"/>
    </row>
    <row r="2" spans="2:34" ht="14.5" thickBot="1">
      <c r="B2" s="73" t="str">
        <f>'2E'!B2</f>
        <v>For the 12 months ended 31 March 2020</v>
      </c>
      <c r="C2" s="70"/>
      <c r="D2" s="70"/>
      <c r="E2" s="70"/>
      <c r="F2" s="70"/>
      <c r="G2" s="70"/>
      <c r="H2" s="70"/>
      <c r="I2" s="70"/>
      <c r="T2" s="483"/>
      <c r="U2" s="483"/>
      <c r="V2" s="483"/>
      <c r="W2" s="483"/>
      <c r="X2" s="483"/>
      <c r="Y2" s="483"/>
      <c r="Z2" s="483"/>
      <c r="AA2" s="73"/>
      <c r="AB2" s="70" t="str">
        <f>+B2</f>
        <v>For the 12 months ended 31 March 2020</v>
      </c>
      <c r="AC2" s="70"/>
      <c r="AD2" s="70"/>
      <c r="AE2" s="70"/>
      <c r="AF2" s="70"/>
      <c r="AG2" s="70"/>
      <c r="AH2" s="70"/>
    </row>
    <row r="3" spans="2:34" ht="68" thickBot="1">
      <c r="B3" s="2992" t="s">
        <v>34</v>
      </c>
      <c r="C3" s="2993"/>
      <c r="D3" s="1487" t="s">
        <v>35</v>
      </c>
      <c r="E3" s="186" t="s">
        <v>1679</v>
      </c>
      <c r="F3" s="361" t="s">
        <v>1680</v>
      </c>
      <c r="G3" s="187" t="s">
        <v>1681</v>
      </c>
      <c r="H3" s="2824" t="s">
        <v>1682</v>
      </c>
      <c r="I3" s="2826" t="s">
        <v>1683</v>
      </c>
      <c r="K3" s="2824" t="s">
        <v>41</v>
      </c>
      <c r="N3" s="2909" t="s">
        <v>45</v>
      </c>
      <c r="O3" s="2980"/>
      <c r="P3" s="2980"/>
      <c r="Q3" s="2980"/>
      <c r="T3" s="483"/>
      <c r="U3" s="483"/>
      <c r="V3" s="483"/>
      <c r="W3" s="483"/>
      <c r="X3" s="483"/>
      <c r="Y3" s="483"/>
      <c r="Z3" s="483"/>
      <c r="AA3" s="2992" t="s">
        <v>34</v>
      </c>
      <c r="AB3" s="2993"/>
      <c r="AC3" s="1487" t="s">
        <v>35</v>
      </c>
      <c r="AD3" s="186" t="s">
        <v>1679</v>
      </c>
      <c r="AE3" s="361" t="s">
        <v>1680</v>
      </c>
      <c r="AF3" s="187" t="s">
        <v>1681</v>
      </c>
      <c r="AG3" s="2824" t="s">
        <v>1682</v>
      </c>
      <c r="AH3" s="2826" t="s">
        <v>1683</v>
      </c>
    </row>
    <row r="4" spans="2:34" ht="15" customHeight="1" thickBot="1">
      <c r="B4" s="70"/>
      <c r="C4" s="70"/>
      <c r="D4" s="70"/>
      <c r="E4" s="70"/>
      <c r="F4" s="70"/>
      <c r="G4" s="70"/>
      <c r="H4" s="70"/>
      <c r="I4" s="70"/>
      <c r="N4" s="164" t="s">
        <v>46</v>
      </c>
      <c r="O4" s="127"/>
      <c r="P4" s="127"/>
      <c r="Q4" s="127"/>
      <c r="T4" s="483"/>
      <c r="U4" s="483"/>
      <c r="V4" s="483"/>
      <c r="W4" s="483"/>
      <c r="X4" s="483"/>
      <c r="Y4" s="483"/>
      <c r="Z4" s="483"/>
      <c r="AA4" s="70"/>
      <c r="AB4" s="70"/>
      <c r="AC4" s="70"/>
      <c r="AD4" s="70"/>
      <c r="AE4" s="70"/>
      <c r="AF4" s="70"/>
      <c r="AG4" s="70"/>
      <c r="AH4" s="70"/>
    </row>
    <row r="5" spans="2:34">
      <c r="B5" s="86" t="s">
        <v>1684</v>
      </c>
      <c r="C5" s="362" t="s">
        <v>1685</v>
      </c>
      <c r="D5" s="1488"/>
      <c r="E5" s="414">
        <v>40.798000000000002</v>
      </c>
      <c r="F5" s="425">
        <v>4.3609999999999998</v>
      </c>
      <c r="G5" s="190">
        <f>SUM(E5:F5)</f>
        <v>45.158999999999999</v>
      </c>
      <c r="H5" s="428">
        <v>210.76499999999999</v>
      </c>
      <c r="I5" s="1235">
        <f t="shared" ref="I5:I11" si="0">IF(H5=0,0,F5/H5 * 1000)</f>
        <v>20.69129124854696</v>
      </c>
      <c r="K5" s="24">
        <f t="shared" ref="K5:K10" si="1" xml:space="preserve"> IF( SUM( M5:R5 ) = 0, 0, $N$4 )</f>
        <v>0</v>
      </c>
      <c r="N5" s="93">
        <f xml:space="preserve"> IF( ISNUMBER( E5 ), 0, 1 )</f>
        <v>0</v>
      </c>
      <c r="O5" s="93">
        <f xml:space="preserve"> IF( ISNUMBER( F5 ), 0, 1 )</f>
        <v>0</v>
      </c>
      <c r="P5" s="127"/>
      <c r="Q5" s="93">
        <f xml:space="preserve"> IF( ISNUMBER( H5 ), 0, 1 )</f>
        <v>0</v>
      </c>
      <c r="T5" s="483"/>
      <c r="U5" s="483"/>
      <c r="V5" s="483"/>
      <c r="W5" s="483"/>
      <c r="X5" s="483"/>
      <c r="Y5" s="483"/>
      <c r="Z5" s="483"/>
      <c r="AA5" s="86" t="s">
        <v>1684</v>
      </c>
      <c r="AB5" s="362" t="s">
        <v>1685</v>
      </c>
      <c r="AC5" s="1488"/>
      <c r="AD5" s="2380" t="s">
        <v>1686</v>
      </c>
      <c r="AE5" s="2381" t="s">
        <v>1687</v>
      </c>
      <c r="AF5" s="190" t="s">
        <v>1688</v>
      </c>
      <c r="AG5" s="2400" t="s">
        <v>1689</v>
      </c>
      <c r="AH5" s="1235" t="s">
        <v>1690</v>
      </c>
    </row>
    <row r="6" spans="2:34">
      <c r="B6" s="94" t="s">
        <v>1691</v>
      </c>
      <c r="C6" s="363" t="s">
        <v>1692</v>
      </c>
      <c r="D6" s="1489"/>
      <c r="E6" s="412"/>
      <c r="F6" s="413"/>
      <c r="G6" s="191">
        <f t="shared" ref="G6:G10" si="2">SUM(E6:F6)</f>
        <v>0</v>
      </c>
      <c r="H6" s="411"/>
      <c r="I6" s="1238">
        <f t="shared" si="0"/>
        <v>0</v>
      </c>
      <c r="K6" s="24">
        <f t="shared" si="1"/>
        <v>0</v>
      </c>
      <c r="N6" s="93">
        <f>IF(Validation!$H$3=1,0,IF(ISNUMBER(E6),0,1))</f>
        <v>0</v>
      </c>
      <c r="O6" s="93">
        <f>IF(Validation!$H$3=1,0,IF(ISNUMBER(F6),0,1))</f>
        <v>0</v>
      </c>
      <c r="P6" s="127"/>
      <c r="Q6" s="93">
        <f>IF(Validation!$H$3=1,0,IF(ISNUMBER(H6),0,1))</f>
        <v>0</v>
      </c>
      <c r="T6" s="483"/>
      <c r="U6" s="483"/>
      <c r="V6" s="483"/>
      <c r="W6" s="483"/>
      <c r="X6" s="483"/>
      <c r="Y6" s="483"/>
      <c r="Z6" s="483"/>
      <c r="AA6" s="94" t="s">
        <v>1691</v>
      </c>
      <c r="AB6" s="363" t="s">
        <v>1692</v>
      </c>
      <c r="AC6" s="1489"/>
      <c r="AD6" s="2383" t="s">
        <v>1693</v>
      </c>
      <c r="AE6" s="2384" t="s">
        <v>1694</v>
      </c>
      <c r="AF6" s="191" t="s">
        <v>1695</v>
      </c>
      <c r="AG6" s="2395" t="s">
        <v>1696</v>
      </c>
      <c r="AH6" s="1238" t="s">
        <v>1697</v>
      </c>
    </row>
    <row r="7" spans="2:34">
      <c r="B7" s="94" t="s">
        <v>1698</v>
      </c>
      <c r="C7" s="363" t="s">
        <v>1699</v>
      </c>
      <c r="D7" s="1489"/>
      <c r="E7" s="412"/>
      <c r="F7" s="413"/>
      <c r="G7" s="191">
        <f t="shared" si="2"/>
        <v>0</v>
      </c>
      <c r="H7" s="411"/>
      <c r="I7" s="1238">
        <f t="shared" si="0"/>
        <v>0</v>
      </c>
      <c r="K7" s="24">
        <f t="shared" si="1"/>
        <v>0</v>
      </c>
      <c r="N7" s="93">
        <f>IF(Validation!$H$3=1,0,IF(ISNUMBER(E7),0,1))</f>
        <v>0</v>
      </c>
      <c r="O7" s="93">
        <f>IF(Validation!$H$3=1,0,IF(ISNUMBER(F7),0,1))</f>
        <v>0</v>
      </c>
      <c r="P7" s="127"/>
      <c r="Q7" s="93">
        <f>IF(Validation!$H$3=1,0,IF(ISNUMBER(H7),0,1))</f>
        <v>0</v>
      </c>
      <c r="T7" s="483"/>
      <c r="U7" s="483"/>
      <c r="V7" s="483"/>
      <c r="W7" s="483"/>
      <c r="X7" s="483"/>
      <c r="Y7" s="483"/>
      <c r="Z7" s="483"/>
      <c r="AA7" s="94" t="s">
        <v>1698</v>
      </c>
      <c r="AB7" s="363" t="s">
        <v>1699</v>
      </c>
      <c r="AC7" s="1489"/>
      <c r="AD7" s="2383" t="s">
        <v>1700</v>
      </c>
      <c r="AE7" s="2384" t="s">
        <v>1701</v>
      </c>
      <c r="AF7" s="191" t="s">
        <v>1702</v>
      </c>
      <c r="AG7" s="2395" t="s">
        <v>1703</v>
      </c>
      <c r="AH7" s="1238" t="s">
        <v>1704</v>
      </c>
    </row>
    <row r="8" spans="2:34">
      <c r="B8" s="94" t="s">
        <v>1705</v>
      </c>
      <c r="C8" s="363" t="s">
        <v>1706</v>
      </c>
      <c r="D8" s="1489"/>
      <c r="E8" s="412">
        <v>41.405000000000001</v>
      </c>
      <c r="F8" s="413">
        <v>7.6189999999999998</v>
      </c>
      <c r="G8" s="191">
        <f t="shared" si="2"/>
        <v>49.024000000000001</v>
      </c>
      <c r="H8" s="411">
        <v>286.47300000000001</v>
      </c>
      <c r="I8" s="1238">
        <f t="shared" si="0"/>
        <v>26.595874654854033</v>
      </c>
      <c r="K8" s="24">
        <f t="shared" si="1"/>
        <v>0</v>
      </c>
      <c r="N8" s="93">
        <f t="shared" ref="N8:Q8" si="3" xml:space="preserve"> IF( ISNUMBER( E8 ), 0, 1 )</f>
        <v>0</v>
      </c>
      <c r="O8" s="93">
        <f t="shared" si="3"/>
        <v>0</v>
      </c>
      <c r="P8" s="127"/>
      <c r="Q8" s="93">
        <f t="shared" si="3"/>
        <v>0</v>
      </c>
      <c r="T8" s="483"/>
      <c r="U8" s="483"/>
      <c r="V8" s="483"/>
      <c r="W8" s="483"/>
      <c r="X8" s="483"/>
      <c r="Y8" s="483"/>
      <c r="Z8" s="483"/>
      <c r="AA8" s="94" t="s">
        <v>1705</v>
      </c>
      <c r="AB8" s="363" t="s">
        <v>1706</v>
      </c>
      <c r="AC8" s="1489"/>
      <c r="AD8" s="2383" t="s">
        <v>1707</v>
      </c>
      <c r="AE8" s="2384" t="s">
        <v>1708</v>
      </c>
      <c r="AF8" s="191" t="s">
        <v>1709</v>
      </c>
      <c r="AG8" s="2395" t="s">
        <v>1710</v>
      </c>
      <c r="AH8" s="1238" t="s">
        <v>1711</v>
      </c>
    </row>
    <row r="9" spans="2:34">
      <c r="B9" s="94" t="s">
        <v>1712</v>
      </c>
      <c r="C9" s="363" t="s">
        <v>1713</v>
      </c>
      <c r="D9" s="1489"/>
      <c r="E9" s="412"/>
      <c r="F9" s="413"/>
      <c r="G9" s="191">
        <f t="shared" si="2"/>
        <v>0</v>
      </c>
      <c r="H9" s="411"/>
      <c r="I9" s="1238">
        <f t="shared" si="0"/>
        <v>0</v>
      </c>
      <c r="K9" s="24">
        <f t="shared" si="1"/>
        <v>0</v>
      </c>
      <c r="N9" s="93">
        <f>IF(Validation!$H$3=1,0,IF(ISNUMBER(E9),0,1))</f>
        <v>0</v>
      </c>
      <c r="O9" s="93">
        <f>IF(Validation!$H$3=1,0,IF(ISNUMBER(F9),0,1))</f>
        <v>0</v>
      </c>
      <c r="P9" s="127"/>
      <c r="Q9" s="93">
        <f>IF(Validation!$H$3=1,0,IF(ISNUMBER(H9),0,1))</f>
        <v>0</v>
      </c>
      <c r="T9" s="483"/>
      <c r="U9" s="483"/>
      <c r="V9" s="483"/>
      <c r="W9" s="483"/>
      <c r="X9" s="483"/>
      <c r="Y9" s="483"/>
      <c r="Z9" s="483"/>
      <c r="AA9" s="94" t="s">
        <v>1712</v>
      </c>
      <c r="AB9" s="363" t="s">
        <v>1713</v>
      </c>
      <c r="AC9" s="1489"/>
      <c r="AD9" s="2383" t="s">
        <v>1714</v>
      </c>
      <c r="AE9" s="2384" t="s">
        <v>1715</v>
      </c>
      <c r="AF9" s="191" t="s">
        <v>1716</v>
      </c>
      <c r="AG9" s="2395" t="s">
        <v>1717</v>
      </c>
      <c r="AH9" s="1238" t="s">
        <v>1718</v>
      </c>
    </row>
    <row r="10" spans="2:34">
      <c r="B10" s="94" t="s">
        <v>1719</v>
      </c>
      <c r="C10" s="363" t="s">
        <v>1720</v>
      </c>
      <c r="D10" s="1489"/>
      <c r="E10" s="412"/>
      <c r="F10" s="413"/>
      <c r="G10" s="191">
        <f t="shared" si="2"/>
        <v>0</v>
      </c>
      <c r="H10" s="411"/>
      <c r="I10" s="1238">
        <f t="shared" si="0"/>
        <v>0</v>
      </c>
      <c r="K10" s="24">
        <f t="shared" si="1"/>
        <v>0</v>
      </c>
      <c r="N10" s="93">
        <f>IF(Validation!$H$3=1,0,IF(ISNUMBER(E10),0,1))</f>
        <v>0</v>
      </c>
      <c r="O10" s="93">
        <f>IF(Validation!$H$3=1,0,IF(ISNUMBER(F10),0,1))</f>
        <v>0</v>
      </c>
      <c r="P10" s="127"/>
      <c r="Q10" s="93">
        <f>IF(Validation!$H$3=1,0,IF(ISNUMBER(H10),0,1))</f>
        <v>0</v>
      </c>
      <c r="T10" s="483"/>
      <c r="U10" s="483"/>
      <c r="V10" s="483"/>
      <c r="W10" s="483"/>
      <c r="X10" s="483"/>
      <c r="Y10" s="483"/>
      <c r="Z10" s="483"/>
      <c r="AA10" s="94" t="s">
        <v>1719</v>
      </c>
      <c r="AB10" s="363" t="s">
        <v>1720</v>
      </c>
      <c r="AC10" s="1489"/>
      <c r="AD10" s="2383" t="s">
        <v>1721</v>
      </c>
      <c r="AE10" s="2384" t="s">
        <v>1722</v>
      </c>
      <c r="AF10" s="191" t="s">
        <v>1723</v>
      </c>
      <c r="AG10" s="2395" t="s">
        <v>1724</v>
      </c>
      <c r="AH10" s="1238" t="s">
        <v>1725</v>
      </c>
    </row>
    <row r="11" spans="2:34" ht="14.5" thickBot="1">
      <c r="B11" s="101" t="s">
        <v>1726</v>
      </c>
      <c r="C11" s="364" t="s">
        <v>708</v>
      </c>
      <c r="D11" s="1490"/>
      <c r="E11" s="193">
        <f>SUM(E5:E10)</f>
        <v>82.203000000000003</v>
      </c>
      <c r="F11" s="194">
        <f>SUM(F5:F10)</f>
        <v>11.98</v>
      </c>
      <c r="G11" s="195">
        <f>SUM(G5:G10)</f>
        <v>94.182999999999993</v>
      </c>
      <c r="H11" s="200">
        <f>SUM(H5:H10)</f>
        <v>497.238</v>
      </c>
      <c r="I11" s="1246">
        <f t="shared" si="0"/>
        <v>24.093090230432914</v>
      </c>
      <c r="K11" s="126"/>
      <c r="N11" s="280"/>
      <c r="O11" s="110"/>
      <c r="P11" s="110"/>
      <c r="Q11" s="110"/>
      <c r="T11" s="483"/>
      <c r="U11" s="483"/>
      <c r="V11" s="483"/>
      <c r="W11" s="483"/>
      <c r="X11" s="483"/>
      <c r="Y11" s="483"/>
      <c r="Z11" s="483"/>
      <c r="AA11" s="101" t="s">
        <v>1726</v>
      </c>
      <c r="AB11" s="364" t="s">
        <v>708</v>
      </c>
      <c r="AC11" s="1490"/>
      <c r="AD11" s="193" t="s">
        <v>1727</v>
      </c>
      <c r="AE11" s="194" t="s">
        <v>1728</v>
      </c>
      <c r="AF11" s="195" t="s">
        <v>1729</v>
      </c>
      <c r="AG11" s="200" t="s">
        <v>1730</v>
      </c>
      <c r="AH11" s="1246" t="s">
        <v>1731</v>
      </c>
    </row>
    <row r="12" spans="2:34">
      <c r="B12" s="70"/>
      <c r="C12" s="70"/>
      <c r="D12" s="70"/>
      <c r="E12" s="70"/>
      <c r="F12" s="70"/>
      <c r="G12" s="70"/>
      <c r="H12" s="70"/>
      <c r="I12" s="70"/>
      <c r="K12" s="126"/>
      <c r="N12" s="280"/>
      <c r="O12" s="110"/>
      <c r="P12" s="110"/>
      <c r="Q12" s="110"/>
      <c r="T12" s="483"/>
      <c r="U12" s="483"/>
      <c r="V12" s="483"/>
      <c r="W12" s="483"/>
      <c r="X12" s="483"/>
      <c r="Y12" s="483"/>
      <c r="Z12" s="483"/>
      <c r="AA12" s="70"/>
      <c r="AB12" s="70"/>
      <c r="AC12" s="70"/>
      <c r="AD12" s="70"/>
      <c r="AE12" s="70"/>
      <c r="AF12" s="70"/>
      <c r="AG12" s="70"/>
      <c r="AH12" s="70"/>
    </row>
    <row r="13" spans="2:34">
      <c r="B13" s="2914" t="s">
        <v>241</v>
      </c>
      <c r="C13" s="2914"/>
      <c r="D13" s="2823"/>
      <c r="E13" s="163"/>
      <c r="F13" s="163"/>
      <c r="G13" s="163"/>
      <c r="H13" s="126"/>
      <c r="I13" s="70"/>
      <c r="K13" s="126"/>
      <c r="N13" s="280"/>
      <c r="O13" s="110"/>
      <c r="P13" s="110"/>
      <c r="Q13" s="110"/>
      <c r="T13" s="483"/>
      <c r="U13" s="483"/>
      <c r="V13" s="483"/>
      <c r="W13" s="483"/>
      <c r="X13" s="483"/>
      <c r="Y13" s="483"/>
      <c r="Z13" s="483"/>
    </row>
    <row r="14" spans="2:34">
      <c r="B14" s="141"/>
      <c r="C14" s="142"/>
      <c r="D14" s="142"/>
      <c r="E14" s="163"/>
      <c r="F14" s="163"/>
      <c r="G14" s="163"/>
      <c r="H14" s="126"/>
      <c r="I14" s="70"/>
      <c r="K14" s="126"/>
      <c r="N14" s="280"/>
      <c r="O14" s="110"/>
      <c r="P14" s="110"/>
      <c r="Q14" s="110"/>
      <c r="T14" s="483"/>
      <c r="U14" s="483"/>
      <c r="V14" s="483"/>
      <c r="W14" s="483"/>
      <c r="X14" s="483"/>
      <c r="Y14" s="483"/>
      <c r="Z14" s="483"/>
    </row>
    <row r="15" spans="2:34">
      <c r="B15" s="25"/>
      <c r="C15" s="143" t="s">
        <v>188</v>
      </c>
      <c r="D15" s="143"/>
      <c r="E15" s="163"/>
      <c r="F15" s="163"/>
      <c r="G15" s="163"/>
      <c r="H15" s="126"/>
      <c r="I15" s="70"/>
      <c r="K15" s="126"/>
      <c r="N15" s="280"/>
      <c r="O15" s="110"/>
      <c r="P15" s="110"/>
      <c r="Q15" s="110"/>
      <c r="T15" s="483"/>
      <c r="U15" s="483"/>
      <c r="V15" s="483"/>
      <c r="W15" s="483"/>
      <c r="X15" s="483"/>
      <c r="Y15" s="483"/>
      <c r="Z15" s="483"/>
    </row>
    <row r="16" spans="2:34">
      <c r="B16" s="141"/>
      <c r="C16" s="142"/>
      <c r="D16" s="142"/>
      <c r="E16" s="163"/>
      <c r="F16" s="163"/>
      <c r="G16" s="163"/>
      <c r="H16" s="126"/>
      <c r="I16" s="70"/>
      <c r="K16" s="126"/>
      <c r="N16" s="280"/>
      <c r="O16" s="110"/>
      <c r="P16" s="110"/>
      <c r="Q16" s="110"/>
      <c r="T16" s="483"/>
      <c r="U16" s="483"/>
      <c r="V16" s="483"/>
      <c r="W16" s="483"/>
      <c r="X16" s="483"/>
      <c r="Y16" s="483"/>
      <c r="Z16" s="483"/>
    </row>
    <row r="17" spans="1:26">
      <c r="A17" s="483"/>
      <c r="B17" s="144"/>
      <c r="C17" s="143" t="s">
        <v>189</v>
      </c>
      <c r="D17" s="143"/>
      <c r="E17" s="163"/>
      <c r="F17" s="163"/>
      <c r="G17" s="163"/>
      <c r="H17" s="126"/>
      <c r="I17" s="70"/>
      <c r="K17" s="126"/>
      <c r="N17" s="280"/>
      <c r="O17" s="110"/>
      <c r="P17" s="110"/>
      <c r="Q17" s="110"/>
      <c r="T17" s="483"/>
      <c r="U17" s="483"/>
      <c r="V17" s="483"/>
      <c r="W17" s="483"/>
      <c r="X17" s="483"/>
      <c r="Y17" s="483"/>
      <c r="Z17" s="483"/>
    </row>
    <row r="18" spans="1:26">
      <c r="A18" s="483"/>
      <c r="B18" s="145"/>
      <c r="C18" s="143"/>
      <c r="D18" s="143"/>
      <c r="E18" s="163"/>
      <c r="F18" s="163"/>
      <c r="G18" s="163"/>
      <c r="H18" s="126"/>
      <c r="I18" s="118"/>
      <c r="K18" s="126"/>
      <c r="N18" s="280"/>
      <c r="O18" s="110"/>
      <c r="P18" s="110"/>
      <c r="Q18" s="110"/>
      <c r="T18" s="483"/>
      <c r="U18" s="483"/>
      <c r="V18" s="483"/>
      <c r="W18" s="483"/>
      <c r="X18" s="483"/>
      <c r="Y18" s="483"/>
      <c r="Z18" s="483"/>
    </row>
    <row r="19" spans="1:26" ht="14.5" thickBot="1">
      <c r="A19" s="483"/>
      <c r="B19" s="178"/>
      <c r="C19" s="179"/>
      <c r="D19" s="179"/>
      <c r="E19" s="178"/>
      <c r="F19" s="178"/>
      <c r="G19" s="178"/>
      <c r="H19" s="130"/>
      <c r="I19" s="126"/>
      <c r="K19" s="126"/>
      <c r="N19" s="280"/>
      <c r="O19" s="110"/>
      <c r="P19" s="110"/>
      <c r="Q19" s="110"/>
      <c r="T19" s="483"/>
      <c r="U19" s="483"/>
      <c r="V19" s="483"/>
      <c r="W19" s="483"/>
      <c r="X19" s="483"/>
      <c r="Y19" s="483"/>
      <c r="Z19" s="483"/>
    </row>
    <row r="20" spans="1:26" s="483" customFormat="1" ht="15.5" thickBot="1">
      <c r="B20" s="2886" t="str">
        <f>'2E'!B59</f>
        <v>Please refer to RAG 4.08 - Guideline for the table definitions in the annual performance report for the reporting year 2019-20</v>
      </c>
      <c r="C20" s="147"/>
      <c r="D20" s="147"/>
      <c r="E20" s="148"/>
      <c r="F20" s="148"/>
      <c r="G20" s="148"/>
      <c r="H20" s="148"/>
      <c r="I20" s="251"/>
      <c r="J20" s="70"/>
      <c r="K20" s="126"/>
      <c r="L20" s="70"/>
      <c r="M20" s="71"/>
      <c r="N20" s="280"/>
      <c r="O20" s="110"/>
      <c r="P20" s="110"/>
      <c r="Q20" s="110"/>
      <c r="R20" s="71"/>
      <c r="S20" s="70"/>
    </row>
    <row r="21" spans="1:26" s="483" customFormat="1">
      <c r="B21" s="178"/>
      <c r="C21" s="179"/>
      <c r="D21" s="179"/>
      <c r="E21" s="178"/>
      <c r="F21" s="178"/>
      <c r="G21" s="178"/>
      <c r="H21" s="130"/>
      <c r="I21" s="126"/>
      <c r="J21" s="70"/>
      <c r="K21" s="126"/>
      <c r="L21" s="70"/>
      <c r="M21" s="71"/>
      <c r="N21" s="280"/>
      <c r="O21" s="110"/>
      <c r="P21" s="110"/>
      <c r="Q21" s="110"/>
      <c r="R21" s="71"/>
      <c r="S21" s="70"/>
    </row>
    <row r="22" spans="1:26" ht="15.5" hidden="1" thickBot="1">
      <c r="A22" s="1534"/>
      <c r="B22" s="146" t="str">
        <f ca="1" xml:space="preserve"> RIGHT(CELL("filename", $A$1), LEN(CELL("filename", $A$1)) - SEARCH("]", CELL("filename", $A$1)))&amp;" - Line definitions"</f>
        <v>2F - Line definitions</v>
      </c>
      <c r="C22" s="147"/>
      <c r="D22" s="147"/>
      <c r="E22" s="148"/>
      <c r="F22" s="148"/>
      <c r="G22" s="148"/>
      <c r="H22" s="148"/>
      <c r="I22" s="251"/>
      <c r="J22" s="118"/>
      <c r="K22" s="126"/>
      <c r="L22" s="118"/>
      <c r="M22" s="124"/>
      <c r="N22" s="280"/>
      <c r="O22" s="110"/>
      <c r="P22" s="110"/>
      <c r="Q22" s="110"/>
      <c r="R22" s="124"/>
      <c r="S22" s="110"/>
      <c r="T22" s="483"/>
      <c r="U22" s="483"/>
      <c r="V22" s="483"/>
      <c r="W22" s="483"/>
      <c r="X22" s="483"/>
      <c r="Y22" s="483"/>
      <c r="Z22" s="483"/>
    </row>
    <row r="23" spans="1:26" ht="14.5" hidden="1" thickBot="1">
      <c r="A23" s="1534"/>
      <c r="B23" s="74"/>
      <c r="C23" s="155"/>
      <c r="D23" s="155"/>
      <c r="E23" s="110"/>
      <c r="F23" s="110"/>
      <c r="G23" s="110"/>
      <c r="H23" s="118"/>
      <c r="I23" s="110"/>
      <c r="J23" s="126"/>
      <c r="K23" s="126"/>
      <c r="L23" s="126"/>
      <c r="M23" s="119"/>
      <c r="N23" s="203"/>
      <c r="O23" s="163"/>
      <c r="P23" s="163"/>
      <c r="Q23" s="163"/>
      <c r="R23" s="119"/>
      <c r="S23" s="163"/>
      <c r="T23" s="483"/>
      <c r="U23" s="483"/>
      <c r="V23" s="483"/>
      <c r="W23" s="483"/>
      <c r="X23" s="483"/>
      <c r="Y23" s="483"/>
      <c r="Z23" s="483"/>
    </row>
    <row r="24" spans="1:26" ht="14.5" hidden="1" thickBot="1">
      <c r="A24" s="1534"/>
      <c r="B24" s="156" t="s">
        <v>191</v>
      </c>
      <c r="C24" s="2858" t="s">
        <v>192</v>
      </c>
      <c r="D24" s="2848"/>
      <c r="E24" s="2848"/>
      <c r="F24" s="2848"/>
      <c r="G24" s="2848"/>
      <c r="H24" s="2848"/>
      <c r="I24" s="2849"/>
      <c r="J24" s="126"/>
      <c r="K24" s="126"/>
      <c r="L24" s="126"/>
      <c r="M24" s="119"/>
      <c r="N24" s="85" t="s">
        <v>193</v>
      </c>
      <c r="O24" s="163"/>
      <c r="P24" s="163"/>
      <c r="Q24" s="163"/>
      <c r="R24" s="119"/>
      <c r="S24" s="163"/>
      <c r="T24" s="483"/>
      <c r="U24" s="483"/>
      <c r="V24" s="483"/>
      <c r="W24" s="483"/>
      <c r="X24" s="483"/>
      <c r="Y24" s="483"/>
      <c r="Z24" s="483"/>
    </row>
    <row r="25" spans="1:26" s="10" customFormat="1" ht="14.25" hidden="1" customHeight="1">
      <c r="A25" s="1538"/>
      <c r="B25" s="819" t="str">
        <f>B5</f>
        <v>2F.1</v>
      </c>
      <c r="C25" s="2994" t="s">
        <v>1732</v>
      </c>
      <c r="D25" s="2994"/>
      <c r="E25" s="2994"/>
      <c r="F25" s="2994"/>
      <c r="G25" s="2994"/>
      <c r="H25" s="2994"/>
      <c r="I25" s="2995"/>
      <c r="J25" s="126"/>
      <c r="K25" s="126"/>
      <c r="L25" s="126"/>
      <c r="M25" s="119"/>
      <c r="N25" s="202">
        <v>1</v>
      </c>
      <c r="O25" s="163"/>
      <c r="P25" s="163"/>
      <c r="Q25" s="163"/>
      <c r="R25" s="119"/>
      <c r="S25" s="163"/>
    </row>
    <row r="26" spans="1:26" s="10" customFormat="1" ht="14.25" hidden="1" customHeight="1">
      <c r="A26" s="1538"/>
      <c r="B26" s="159" t="str">
        <f t="shared" ref="B26:B31" si="4">B6</f>
        <v>2F.2</v>
      </c>
      <c r="C26" s="2892" t="s">
        <v>1733</v>
      </c>
      <c r="D26" s="2892"/>
      <c r="E26" s="2892"/>
      <c r="F26" s="2892"/>
      <c r="G26" s="2892"/>
      <c r="H26" s="2892"/>
      <c r="I26" s="2893"/>
      <c r="J26" s="126"/>
      <c r="K26" s="126"/>
      <c r="L26" s="126"/>
      <c r="M26" s="119"/>
      <c r="N26" s="202">
        <v>1</v>
      </c>
      <c r="O26" s="163"/>
      <c r="P26" s="163"/>
      <c r="Q26" s="163"/>
      <c r="R26" s="119"/>
      <c r="S26" s="163"/>
    </row>
    <row r="27" spans="1:26" s="10" customFormat="1" ht="13.5" hidden="1" customHeight="1">
      <c r="A27" s="1538"/>
      <c r="B27" s="159" t="str">
        <f t="shared" si="4"/>
        <v>2F.3</v>
      </c>
      <c r="C27" s="2892" t="s">
        <v>1734</v>
      </c>
      <c r="D27" s="2892"/>
      <c r="E27" s="2892"/>
      <c r="F27" s="2892"/>
      <c r="G27" s="2892"/>
      <c r="H27" s="2892"/>
      <c r="I27" s="2893"/>
      <c r="J27" s="126"/>
      <c r="K27" s="126"/>
      <c r="L27" s="126"/>
      <c r="M27" s="119"/>
      <c r="N27" s="202">
        <v>1</v>
      </c>
      <c r="O27" s="163"/>
      <c r="P27" s="163"/>
      <c r="Q27" s="163"/>
      <c r="R27" s="119"/>
      <c r="S27" s="163"/>
    </row>
    <row r="28" spans="1:26" s="10" customFormat="1" ht="14.25" hidden="1" customHeight="1">
      <c r="A28" s="1538"/>
      <c r="B28" s="159" t="str">
        <f t="shared" si="4"/>
        <v>2F.4</v>
      </c>
      <c r="C28" s="2892" t="s">
        <v>1735</v>
      </c>
      <c r="D28" s="2892"/>
      <c r="E28" s="2892"/>
      <c r="F28" s="2892"/>
      <c r="G28" s="2892"/>
      <c r="H28" s="2892"/>
      <c r="I28" s="2893"/>
      <c r="J28" s="126"/>
      <c r="K28" s="126"/>
      <c r="L28" s="126"/>
      <c r="M28" s="119"/>
      <c r="N28" s="202">
        <v>1</v>
      </c>
      <c r="O28" s="163"/>
      <c r="P28" s="163"/>
      <c r="Q28" s="163"/>
      <c r="R28" s="119"/>
      <c r="S28" s="163"/>
    </row>
    <row r="29" spans="1:26" s="10" customFormat="1" ht="14.25" hidden="1" customHeight="1">
      <c r="A29" s="1538"/>
      <c r="B29" s="159" t="str">
        <f t="shared" si="4"/>
        <v>2F.5</v>
      </c>
      <c r="C29" s="2892" t="s">
        <v>1736</v>
      </c>
      <c r="D29" s="2892"/>
      <c r="E29" s="2892"/>
      <c r="F29" s="2892"/>
      <c r="G29" s="2892"/>
      <c r="H29" s="2892"/>
      <c r="I29" s="2893"/>
      <c r="J29" s="126"/>
      <c r="K29" s="126"/>
      <c r="L29" s="126"/>
      <c r="M29" s="119"/>
      <c r="N29" s="202">
        <v>1</v>
      </c>
      <c r="O29" s="163"/>
      <c r="P29" s="163"/>
      <c r="Q29" s="163"/>
      <c r="R29" s="119"/>
      <c r="S29" s="163"/>
    </row>
    <row r="30" spans="1:26" s="10" customFormat="1" ht="13.5" hidden="1" customHeight="1">
      <c r="A30" s="1538"/>
      <c r="B30" s="159" t="str">
        <f t="shared" si="4"/>
        <v>2F.6</v>
      </c>
      <c r="C30" s="2892" t="s">
        <v>1737</v>
      </c>
      <c r="D30" s="2892"/>
      <c r="E30" s="2892"/>
      <c r="F30" s="2892"/>
      <c r="G30" s="2892"/>
      <c r="H30" s="2892"/>
      <c r="I30" s="2893"/>
      <c r="J30" s="130"/>
      <c r="K30" s="126"/>
      <c r="L30" s="126"/>
      <c r="M30" s="119"/>
      <c r="N30" s="202">
        <v>1</v>
      </c>
      <c r="O30" s="178"/>
      <c r="P30" s="178"/>
      <c r="Q30" s="178"/>
      <c r="R30" s="119"/>
      <c r="S30" s="178"/>
    </row>
    <row r="31" spans="1:26" s="10" customFormat="1" ht="14.5" hidden="1" thickBot="1">
      <c r="A31" s="1538"/>
      <c r="B31" s="183" t="str">
        <f t="shared" si="4"/>
        <v>2F.7</v>
      </c>
      <c r="C31" s="2912" t="s">
        <v>1738</v>
      </c>
      <c r="D31" s="2912"/>
      <c r="E31" s="2912"/>
      <c r="F31" s="2912"/>
      <c r="G31" s="2912"/>
      <c r="H31" s="2912"/>
      <c r="I31" s="2913"/>
      <c r="J31" s="130"/>
      <c r="K31" s="126"/>
      <c r="L31" s="126"/>
      <c r="M31" s="119"/>
      <c r="N31" s="202">
        <v>1</v>
      </c>
      <c r="O31" s="178"/>
      <c r="P31" s="178"/>
      <c r="Q31" s="178"/>
      <c r="R31" s="119"/>
      <c r="S31" s="178"/>
    </row>
    <row r="32" spans="1:26" hidden="1">
      <c r="A32" s="1534"/>
      <c r="B32" s="483"/>
      <c r="C32" s="483"/>
      <c r="E32" s="483"/>
      <c r="F32" s="483"/>
      <c r="G32" s="483"/>
      <c r="H32" s="483"/>
      <c r="I32" s="483"/>
      <c r="J32" s="118"/>
      <c r="K32" s="120"/>
      <c r="L32" s="118"/>
      <c r="M32" s="124"/>
      <c r="N32" s="256"/>
      <c r="O32" s="110"/>
      <c r="P32" s="110"/>
      <c r="Q32" s="110"/>
      <c r="R32" s="124"/>
      <c r="S32" s="110"/>
      <c r="T32" s="483"/>
      <c r="U32" s="483"/>
      <c r="V32" s="483"/>
      <c r="W32" s="483"/>
      <c r="X32" s="483"/>
      <c r="Y32" s="483"/>
      <c r="Z32" s="483"/>
    </row>
  </sheetData>
  <sheetProtection algorithmName="SHA-512" hashValue="ya18/7jzpt21vf2gF/0PuznVdVIkyjN76MrPrms0vS3MRHX7O6x9c5PxarXL1/1ZtjRkbWdOgQiYXpO55JTPKg==" saltValue="fzpNAWrE4tOq4exnAuM+gg==" spinCount="100000" sheet="1" objects="1" scenarios="1"/>
  <mergeCells count="11">
    <mergeCell ref="C27:I27"/>
    <mergeCell ref="C28:I28"/>
    <mergeCell ref="C29:I29"/>
    <mergeCell ref="C30:I30"/>
    <mergeCell ref="C31:I31"/>
    <mergeCell ref="AA3:AB3"/>
    <mergeCell ref="N3:Q3"/>
    <mergeCell ref="B13:C13"/>
    <mergeCell ref="C25:I25"/>
    <mergeCell ref="C26:I26"/>
    <mergeCell ref="B3:C3"/>
  </mergeCells>
  <conditionalFormatting sqref="K5:K10">
    <cfRule type="cellIs" dxfId="416"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4"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41CB9379-10BB-4B14-9436-8755E14FAF6F}">
            <xm:f>Validation!$H$3=1</xm:f>
            <x14:dxf>
              <fill>
                <patternFill>
                  <bgColor theme="0" tint="-0.14996795556505021"/>
                </patternFill>
              </fill>
            </x14:dxf>
          </x14:cfRule>
          <xm:sqref>E6:I7</xm:sqref>
        </x14:conditionalFormatting>
        <x14:conditionalFormatting xmlns:xm="http://schemas.microsoft.com/office/excel/2006/main">
          <x14:cfRule type="expression" priority="3" id="{119F0494-3BDA-4747-A792-A487ADE5298D}">
            <xm:f>Validation!$H$3=1</xm:f>
            <x14:dxf>
              <fill>
                <patternFill>
                  <bgColor theme="0" tint="-0.14996795556505021"/>
                </patternFill>
              </fill>
            </x14:dxf>
          </x14:cfRule>
          <xm:sqref>E9:I10</xm:sqref>
        </x14:conditionalFormatting>
        <x14:conditionalFormatting xmlns:xm="http://schemas.microsoft.com/office/excel/2006/main">
          <x14:cfRule type="expression" priority="2" id="{5B442DCA-98D4-4347-8DE2-37D9176BA721}">
            <xm:f>Validation!$H$3=1</xm:f>
            <x14:dxf>
              <fill>
                <patternFill>
                  <bgColor theme="0" tint="-0.14996795556505021"/>
                </patternFill>
              </fill>
            </x14:dxf>
          </x14:cfRule>
          <xm:sqref>AD6:AH7</xm:sqref>
        </x14:conditionalFormatting>
        <x14:conditionalFormatting xmlns:xm="http://schemas.microsoft.com/office/excel/2006/main">
          <x14:cfRule type="expression" priority="1" id="{CB18F59B-BDB2-4989-8D10-AD4D751E22CD}">
            <xm:f>Validation!$H$3=1</xm:f>
            <x14:dxf>
              <fill>
                <patternFill>
                  <bgColor theme="0" tint="-0.14996795556505021"/>
                </patternFill>
              </fill>
            </x14:dxf>
          </x14:cfRule>
          <xm:sqref>AD9:AH10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0" tint="-0.499984740745262"/>
    <pageSetUpPr fitToPage="1"/>
  </sheetPr>
  <dimension ref="A1:AI53"/>
  <sheetViews>
    <sheetView workbookViewId="0">
      <selection activeCell="H30" sqref="H30"/>
    </sheetView>
  </sheetViews>
  <sheetFormatPr defaultColWidth="0" defaultRowHeight="14" zeroHeight="1"/>
  <cols>
    <col min="1" max="1" width="0.58203125" style="82" customWidth="1"/>
    <col min="2" max="2" width="5.08203125" style="8" customWidth="1"/>
    <col min="3" max="3" width="46.58203125" style="8" customWidth="1"/>
    <col min="4" max="4" width="2.08203125" style="483" hidden="1" customWidth="1"/>
    <col min="5" max="9" width="12.58203125" style="8" customWidth="1"/>
    <col min="10" max="10" width="2.58203125" style="70" customWidth="1"/>
    <col min="11" max="11" width="33.33203125" style="74" customWidth="1"/>
    <col min="12" max="12" width="25.83203125" style="70" customWidth="1"/>
    <col min="13" max="13" width="1.58203125" style="70" customWidth="1"/>
    <col min="14" max="14" width="1.58203125" style="71" hidden="1" customWidth="1"/>
    <col min="15" max="17" width="5.58203125" style="70" hidden="1" customWidth="1"/>
    <col min="18" max="18" width="1.58203125" style="71" hidden="1" customWidth="1"/>
    <col min="19" max="19" width="8.58203125" style="74" hidden="1" customWidth="1"/>
    <col min="20" max="20" width="1.58203125" style="71" hidden="1" customWidth="1"/>
    <col min="21" max="22" width="8.58203125" style="74" hidden="1" customWidth="1"/>
    <col min="23" max="23" width="56.08203125" style="74" hidden="1" customWidth="1"/>
    <col min="24" max="24" width="1.58203125" style="71" hidden="1" customWidth="1"/>
    <col min="25" max="25" width="8.58203125" style="70" hidden="1" customWidth="1"/>
    <col min="26" max="26" width="8.58203125" style="8" customWidth="1"/>
    <col min="27" max="27" width="5.08203125" style="483" customWidth="1"/>
    <col min="28" max="28" width="44" style="483" bestFit="1" customWidth="1"/>
    <col min="29" max="29" width="5.58203125" style="483" hidden="1" customWidth="1"/>
    <col min="30" max="34" width="12.58203125" style="483" customWidth="1"/>
    <col min="35" max="35" width="2.83203125" style="8" customWidth="1"/>
    <col min="36" max="16384" width="8.58203125" style="8" hidden="1"/>
  </cols>
  <sheetData>
    <row r="1" spans="1:34" s="75" customFormat="1" ht="20">
      <c r="A1" s="162"/>
      <c r="B1" s="66" t="s">
        <v>1739</v>
      </c>
      <c r="C1" s="66"/>
      <c r="D1" s="66"/>
      <c r="E1" s="66"/>
      <c r="F1" s="66"/>
      <c r="G1" s="66"/>
      <c r="H1" s="66"/>
      <c r="I1" s="68" t="str">
        <f>Validation!B3</f>
        <v>Bristol Water</v>
      </c>
      <c r="J1" s="66"/>
      <c r="K1" s="69"/>
      <c r="L1" s="69" t="s">
        <v>32</v>
      </c>
      <c r="M1" s="70"/>
      <c r="N1" s="71"/>
      <c r="O1" s="70"/>
      <c r="P1" s="70"/>
      <c r="Q1" s="70"/>
      <c r="R1" s="71"/>
      <c r="S1" s="70"/>
      <c r="T1" s="71"/>
      <c r="U1" s="483"/>
      <c r="V1" s="483"/>
      <c r="W1" s="483"/>
      <c r="X1" s="71"/>
      <c r="Y1" s="70"/>
      <c r="AA1" s="66" t="s">
        <v>33</v>
      </c>
      <c r="AB1" s="66"/>
      <c r="AC1" s="66"/>
      <c r="AD1" s="66"/>
      <c r="AE1" s="66"/>
      <c r="AF1" s="66"/>
      <c r="AG1" s="66"/>
      <c r="AH1" s="68"/>
    </row>
    <row r="2" spans="1:34" s="75" customFormat="1" ht="15" customHeight="1" thickBot="1">
      <c r="A2" s="162"/>
      <c r="B2" s="73" t="str">
        <f>'2F'!B2</f>
        <v>For the 12 months ended 31 March 2020</v>
      </c>
      <c r="C2" s="304"/>
      <c r="D2" s="304"/>
      <c r="E2" s="162"/>
      <c r="F2" s="162"/>
      <c r="G2" s="162"/>
      <c r="H2" s="162"/>
      <c r="I2" s="162"/>
      <c r="J2" s="70"/>
      <c r="K2" s="70"/>
      <c r="L2" s="70"/>
      <c r="M2" s="70"/>
      <c r="N2" s="71"/>
      <c r="O2" s="70"/>
      <c r="P2" s="70"/>
      <c r="Q2" s="70"/>
      <c r="R2" s="71"/>
      <c r="S2" s="70"/>
      <c r="T2" s="71"/>
      <c r="U2" s="74"/>
      <c r="V2" s="74"/>
      <c r="W2" s="74"/>
      <c r="X2" s="71"/>
      <c r="Y2" s="70"/>
      <c r="AA2" s="73" t="str">
        <f>+B2</f>
        <v>For the 12 months ended 31 March 2020</v>
      </c>
      <c r="AB2" s="304"/>
      <c r="AC2" s="304"/>
      <c r="AD2" s="162"/>
      <c r="AE2" s="162"/>
      <c r="AF2" s="162"/>
      <c r="AG2" s="162"/>
      <c r="AH2" s="162"/>
    </row>
    <row r="3" spans="1:34" s="308" customFormat="1" ht="54.5" thickBot="1">
      <c r="A3" s="74"/>
      <c r="B3" s="2971" t="s">
        <v>34</v>
      </c>
      <c r="C3" s="2972"/>
      <c r="D3" s="1482" t="s">
        <v>35</v>
      </c>
      <c r="E3" s="296" t="s">
        <v>1740</v>
      </c>
      <c r="F3" s="307" t="s">
        <v>1741</v>
      </c>
      <c r="G3" s="297" t="s">
        <v>1742</v>
      </c>
      <c r="H3" s="350" t="s">
        <v>1743</v>
      </c>
      <c r="I3" s="350" t="s">
        <v>1744</v>
      </c>
      <c r="J3" s="351"/>
      <c r="K3" s="186" t="s">
        <v>703</v>
      </c>
      <c r="L3" s="2824" t="s">
        <v>41</v>
      </c>
      <c r="M3" s="70"/>
      <c r="N3" s="71"/>
      <c r="O3" s="2909" t="s">
        <v>45</v>
      </c>
      <c r="P3" s="2980"/>
      <c r="Q3" s="2980"/>
      <c r="R3" s="71"/>
      <c r="S3" s="2822" t="s">
        <v>24</v>
      </c>
      <c r="T3" s="71"/>
      <c r="U3" s="2822" t="s">
        <v>902</v>
      </c>
      <c r="V3" s="2822"/>
      <c r="W3" s="2822"/>
      <c r="X3" s="71"/>
      <c r="Y3" s="70"/>
      <c r="AA3" s="2971" t="s">
        <v>34</v>
      </c>
      <c r="AB3" s="2972"/>
      <c r="AC3" s="1482" t="s">
        <v>35</v>
      </c>
      <c r="AD3" s="296" t="s">
        <v>1740</v>
      </c>
      <c r="AE3" s="307" t="s">
        <v>1741</v>
      </c>
      <c r="AF3" s="297" t="s">
        <v>1742</v>
      </c>
      <c r="AG3" s="350" t="s">
        <v>1743</v>
      </c>
      <c r="AH3" s="350" t="s">
        <v>1744</v>
      </c>
    </row>
    <row r="4" spans="1:34" s="308" customFormat="1" ht="15" customHeight="1" thickBot="1">
      <c r="A4" s="74"/>
      <c r="B4" s="74"/>
      <c r="C4" s="352"/>
      <c r="D4" s="352"/>
      <c r="E4" s="74"/>
      <c r="F4" s="74"/>
      <c r="G4" s="74"/>
      <c r="H4" s="74"/>
      <c r="I4" s="74"/>
      <c r="J4" s="70"/>
      <c r="K4" s="70"/>
      <c r="L4" s="70"/>
      <c r="M4" s="70"/>
      <c r="N4" s="71"/>
      <c r="R4" s="71"/>
      <c r="S4" s="2855"/>
      <c r="T4" s="71"/>
      <c r="U4" s="2855"/>
      <c r="V4" s="2855"/>
      <c r="W4" s="2855"/>
      <c r="X4" s="71"/>
      <c r="Y4" s="70"/>
      <c r="AA4" s="74"/>
      <c r="AB4" s="352"/>
      <c r="AC4" s="352"/>
      <c r="AD4" s="74"/>
      <c r="AE4" s="74"/>
      <c r="AF4" s="74"/>
      <c r="AG4" s="74"/>
      <c r="AH4" s="74"/>
    </row>
    <row r="5" spans="1:34" s="315" customFormat="1" ht="17.25" customHeight="1" thickBot="1">
      <c r="A5" s="262"/>
      <c r="B5" s="261" t="s">
        <v>153</v>
      </c>
      <c r="C5" s="27" t="s">
        <v>1745</v>
      </c>
      <c r="D5" s="1476"/>
      <c r="E5" s="74"/>
      <c r="F5" s="74"/>
      <c r="G5" s="74"/>
      <c r="H5" s="74"/>
      <c r="I5" s="74"/>
      <c r="J5" s="70"/>
      <c r="K5" s="126"/>
      <c r="L5" s="70"/>
      <c r="M5" s="70"/>
      <c r="N5" s="71"/>
      <c r="O5" s="164" t="s">
        <v>46</v>
      </c>
      <c r="P5" s="127"/>
      <c r="Q5" s="127"/>
      <c r="R5" s="71"/>
      <c r="S5" s="483"/>
      <c r="T5" s="71"/>
      <c r="U5" s="74"/>
      <c r="V5" s="74"/>
      <c r="W5" s="74"/>
      <c r="X5" s="71"/>
      <c r="Y5" s="70"/>
      <c r="AA5" s="261" t="s">
        <v>153</v>
      </c>
      <c r="AB5" s="27" t="s">
        <v>1745</v>
      </c>
      <c r="AC5" s="1476"/>
      <c r="AD5" s="74"/>
      <c r="AE5" s="74"/>
      <c r="AF5" s="74"/>
      <c r="AG5" s="74"/>
      <c r="AH5" s="74"/>
    </row>
    <row r="6" spans="1:34" s="315" customFormat="1" ht="17.25" customHeight="1" thickBot="1">
      <c r="A6" s="262"/>
      <c r="B6" s="353" t="s">
        <v>1746</v>
      </c>
      <c r="C6" s="28" t="s">
        <v>1747</v>
      </c>
      <c r="D6" s="1477"/>
      <c r="E6" s="444"/>
      <c r="F6" s="445"/>
      <c r="G6" s="342">
        <f xml:space="preserve"> F6 + E6</f>
        <v>0</v>
      </c>
      <c r="H6" s="616"/>
      <c r="I6" s="611">
        <f xml:space="preserve"> IF( H6 = 0, 0, F6 / H6 * 1000 )</f>
        <v>0</v>
      </c>
      <c r="J6" s="70"/>
      <c r="K6" s="126"/>
      <c r="L6" s="24" t="str">
        <f xml:space="preserve"> IF( SUM( N6:R6 ) = 0, 0, $O$5 )</f>
        <v>Please complete all cells in row</v>
      </c>
      <c r="M6" s="70"/>
      <c r="N6" s="71"/>
      <c r="O6" s="93">
        <f>IF($C6="",0,IF(ISNUMBER(E6),0,1))</f>
        <v>1</v>
      </c>
      <c r="P6" s="93">
        <f>IF($C6="",0,IF(ISNUMBER(F6),0,1))</f>
        <v>1</v>
      </c>
      <c r="Q6" s="93">
        <f>IF($C6="",0,IF(ISNUMBER(H6),0,1))</f>
        <v>1</v>
      </c>
      <c r="R6" s="71"/>
      <c r="S6" s="483"/>
      <c r="T6" s="71"/>
      <c r="U6" s="74"/>
      <c r="V6" s="74"/>
      <c r="W6" s="74"/>
      <c r="X6" s="71"/>
      <c r="Y6" s="70"/>
      <c r="AA6" s="353">
        <v>1</v>
      </c>
      <c r="AB6" s="28" t="s">
        <v>1747</v>
      </c>
      <c r="AC6" s="1477"/>
      <c r="AD6" s="2458" t="s">
        <v>1748</v>
      </c>
      <c r="AE6" s="2459" t="s">
        <v>1749</v>
      </c>
      <c r="AF6" s="342" t="s">
        <v>1750</v>
      </c>
      <c r="AG6" s="2460" t="s">
        <v>1751</v>
      </c>
      <c r="AH6" s="611" t="s">
        <v>1752</v>
      </c>
    </row>
    <row r="7" spans="1:34" s="308" customFormat="1" ht="15" customHeight="1" thickBot="1">
      <c r="A7" s="74"/>
      <c r="B7" s="74"/>
      <c r="C7" s="360"/>
      <c r="D7" s="360"/>
      <c r="E7" s="141"/>
      <c r="F7" s="141"/>
      <c r="G7" s="141"/>
      <c r="H7" s="617"/>
      <c r="I7" s="612"/>
      <c r="J7" s="141"/>
      <c r="K7" s="126"/>
      <c r="L7" s="141"/>
      <c r="M7" s="70"/>
      <c r="N7" s="71"/>
      <c r="R7" s="71"/>
      <c r="S7" s="483"/>
      <c r="T7" s="71"/>
      <c r="U7" s="74"/>
      <c r="V7" s="74"/>
      <c r="W7" s="74"/>
      <c r="X7" s="71"/>
      <c r="Y7" s="70"/>
      <c r="AA7" s="74"/>
      <c r="AB7" s="360"/>
      <c r="AC7" s="360"/>
      <c r="AD7" s="141"/>
      <c r="AE7" s="141"/>
      <c r="AF7" s="141"/>
      <c r="AG7" s="617"/>
      <c r="AH7" s="612"/>
    </row>
    <row r="8" spans="1:34" s="308" customFormat="1" ht="15" customHeight="1" thickBot="1">
      <c r="A8" s="74"/>
      <c r="B8" s="261" t="s">
        <v>175</v>
      </c>
      <c r="C8" s="27" t="s">
        <v>1753</v>
      </c>
      <c r="D8" s="1476"/>
      <c r="E8" s="141"/>
      <c r="F8" s="141"/>
      <c r="G8" s="141"/>
      <c r="H8" s="617"/>
      <c r="I8" s="612"/>
      <c r="J8" s="141"/>
      <c r="K8" s="126"/>
      <c r="L8" s="141"/>
      <c r="M8" s="70"/>
      <c r="N8" s="71"/>
      <c r="R8" s="71"/>
      <c r="S8" s="483"/>
      <c r="T8" s="71"/>
      <c r="U8" s="74"/>
      <c r="V8" s="74"/>
      <c r="W8" s="74"/>
      <c r="X8" s="71"/>
      <c r="Y8" s="70"/>
      <c r="AA8" s="261" t="s">
        <v>175</v>
      </c>
      <c r="AB8" s="27" t="s">
        <v>1753</v>
      </c>
      <c r="AC8" s="1476"/>
      <c r="AD8" s="141"/>
      <c r="AE8" s="141"/>
      <c r="AF8" s="141"/>
      <c r="AG8" s="617"/>
      <c r="AH8" s="612"/>
    </row>
    <row r="9" spans="1:34" s="308" customFormat="1" ht="15" customHeight="1">
      <c r="A9" s="1665">
        <v>2</v>
      </c>
      <c r="B9" s="354" t="s">
        <v>1754</v>
      </c>
      <c r="C9" s="32" t="str">
        <f>IF($I$1="Select company","",IF(HLOOKUP((VLOOKUP($I$1,Lists!$B$4:$C$23,2,FALSE)),'Water PR16'!$A$1:$S$21,'2G'!A9+1,FALSE)=0,"",HLOOKUP((VLOOKUP($I$1,Lists!$B$4:$C$23,2,FALSE)),'Water PR16'!$A$1:$S$21,'2G'!A9+1,FALSE)))</f>
        <v>n/a</v>
      </c>
      <c r="D9" s="1483"/>
      <c r="E9" s="446"/>
      <c r="F9" s="436"/>
      <c r="G9" s="331">
        <f xml:space="preserve"> F9 + E9</f>
        <v>0</v>
      </c>
      <c r="H9" s="618"/>
      <c r="I9" s="613">
        <f t="shared" ref="I9:I27" si="0" xml:space="preserve"> IF( H9 = 0, 0, F9 / H9 * 1000 )</f>
        <v>0</v>
      </c>
      <c r="J9" s="70"/>
      <c r="K9" s="126"/>
      <c r="L9" s="24" t="str">
        <f xml:space="preserve"> IF( SUM( N9:R9 ) = 0, 0, $O$5 )</f>
        <v>Please complete all cells in row</v>
      </c>
      <c r="M9" s="70"/>
      <c r="N9" s="71"/>
      <c r="O9" s="93">
        <f t="shared" ref="O9:P27" si="1">IF($C9="",0,IF(ISNUMBER(E9),0,1))</f>
        <v>1</v>
      </c>
      <c r="P9" s="93">
        <f t="shared" si="1"/>
        <v>1</v>
      </c>
      <c r="Q9" s="93">
        <f t="shared" ref="Q9:Q27" si="2">IF($C9="",0,IF(ISNUMBER(H9),0,1))</f>
        <v>1</v>
      </c>
      <c r="R9" s="71"/>
      <c r="S9" s="483"/>
      <c r="T9" s="71"/>
      <c r="U9" s="74"/>
      <c r="V9" s="74"/>
      <c r="W9" s="74"/>
      <c r="X9" s="71"/>
      <c r="Y9" s="70"/>
      <c r="AA9" s="354">
        <v>2</v>
      </c>
      <c r="AB9" s="32" t="str">
        <f>C9</f>
        <v>n/a</v>
      </c>
      <c r="AC9" s="1483"/>
      <c r="AD9" s="2461" t="s">
        <v>1755</v>
      </c>
      <c r="AE9" s="2462" t="s">
        <v>1756</v>
      </c>
      <c r="AF9" s="331" t="s">
        <v>1757</v>
      </c>
      <c r="AG9" s="2463" t="s">
        <v>1758</v>
      </c>
      <c r="AH9" s="613" t="s">
        <v>1759</v>
      </c>
    </row>
    <row r="10" spans="1:34" s="308" customFormat="1" ht="15" customHeight="1">
      <c r="A10" s="1665">
        <v>3</v>
      </c>
      <c r="B10" s="355" t="s">
        <v>1760</v>
      </c>
      <c r="C10" s="33" t="str">
        <f>IF($I$1="Select company","",IF(HLOOKUP((VLOOKUP($I$1,Lists!$B$4:$C$23,2,FALSE)),'Water PR16'!$A$1:$S$21,'2G'!A10+1,FALSE)=0,"",HLOOKUP((VLOOKUP($I$1,Lists!$B$4:$C$23,2,FALSE)),'Water PR16'!$A$1:$S$21,'2G'!A10+1,FALSE)))</f>
        <v>n/a</v>
      </c>
      <c r="D10" s="1484"/>
      <c r="E10" s="447"/>
      <c r="F10" s="437"/>
      <c r="G10" s="332">
        <f t="shared" ref="G10:G27" si="3" xml:space="preserve"> F10 + E10</f>
        <v>0</v>
      </c>
      <c r="H10" s="619"/>
      <c r="I10" s="614">
        <f t="shared" si="0"/>
        <v>0</v>
      </c>
      <c r="J10" s="70"/>
      <c r="K10" s="126"/>
      <c r="L10" s="24" t="str">
        <f xml:space="preserve"> IF( SUM( N10:R10 ) = 0, 0, $O$5 )</f>
        <v>Please complete all cells in row</v>
      </c>
      <c r="M10" s="70"/>
      <c r="N10" s="71"/>
      <c r="O10" s="93">
        <f t="shared" si="1"/>
        <v>1</v>
      </c>
      <c r="P10" s="93">
        <f t="shared" si="1"/>
        <v>1</v>
      </c>
      <c r="Q10" s="93">
        <f t="shared" si="2"/>
        <v>1</v>
      </c>
      <c r="R10" s="71"/>
      <c r="S10" s="483"/>
      <c r="T10" s="71"/>
      <c r="U10" s="74"/>
      <c r="V10" s="74"/>
      <c r="W10" s="74"/>
      <c r="X10" s="71"/>
      <c r="Y10" s="70"/>
      <c r="AA10" s="355">
        <v>3</v>
      </c>
      <c r="AB10" s="33" t="str">
        <f t="shared" ref="AB10:AB27" si="4">C10</f>
        <v>n/a</v>
      </c>
      <c r="AC10" s="1484"/>
      <c r="AD10" s="2464" t="s">
        <v>1761</v>
      </c>
      <c r="AE10" s="2465" t="s">
        <v>1762</v>
      </c>
      <c r="AF10" s="332" t="s">
        <v>1763</v>
      </c>
      <c r="AG10" s="2466" t="s">
        <v>1764</v>
      </c>
      <c r="AH10" s="614" t="s">
        <v>1765</v>
      </c>
    </row>
    <row r="11" spans="1:34" s="308" customFormat="1" ht="15" customHeight="1">
      <c r="A11" s="1665">
        <v>4</v>
      </c>
      <c r="B11" s="355" t="s">
        <v>1766</v>
      </c>
      <c r="C11" s="33" t="str">
        <f>IF($I$1="Select company","",IF(HLOOKUP((VLOOKUP($I$1,Lists!$B$4:$C$23,2,FALSE)),'Water PR16'!$A$1:$S$21,'2G'!A11+1,FALSE)=0,"",HLOOKUP((VLOOKUP($I$1,Lists!$B$4:$C$23,2,FALSE)),'Water PR16'!$A$1:$S$21,'2G'!A11+1,FALSE)))</f>
        <v>n/a</v>
      </c>
      <c r="D11" s="1485"/>
      <c r="E11" s="447"/>
      <c r="F11" s="437"/>
      <c r="G11" s="332">
        <f t="shared" si="3"/>
        <v>0</v>
      </c>
      <c r="H11" s="619"/>
      <c r="I11" s="614">
        <f t="shared" si="0"/>
        <v>0</v>
      </c>
      <c r="J11" s="70"/>
      <c r="K11" s="126"/>
      <c r="L11" s="24" t="str">
        <f t="shared" ref="L11:L23" si="5" xml:space="preserve"> IF( SUM( N11:R11 ) = 0, 0, $O$5 )</f>
        <v>Please complete all cells in row</v>
      </c>
      <c r="M11" s="70"/>
      <c r="N11" s="71"/>
      <c r="O11" s="93">
        <f t="shared" si="1"/>
        <v>1</v>
      </c>
      <c r="P11" s="93">
        <f t="shared" si="1"/>
        <v>1</v>
      </c>
      <c r="Q11" s="93">
        <f t="shared" si="2"/>
        <v>1</v>
      </c>
      <c r="R11" s="71"/>
      <c r="S11" s="483"/>
      <c r="T11" s="71"/>
      <c r="U11" s="74"/>
      <c r="V11" s="74"/>
      <c r="W11" s="74"/>
      <c r="X11" s="71"/>
      <c r="Y11" s="70"/>
      <c r="AA11" s="355">
        <v>4</v>
      </c>
      <c r="AB11" s="33" t="str">
        <f t="shared" si="4"/>
        <v>n/a</v>
      </c>
      <c r="AC11" s="1485"/>
      <c r="AD11" s="2464" t="s">
        <v>1767</v>
      </c>
      <c r="AE11" s="2465" t="s">
        <v>1768</v>
      </c>
      <c r="AF11" s="332" t="s">
        <v>1769</v>
      </c>
      <c r="AG11" s="2466" t="s">
        <v>1770</v>
      </c>
      <c r="AH11" s="614" t="s">
        <v>1771</v>
      </c>
    </row>
    <row r="12" spans="1:34" s="315" customFormat="1" ht="15" customHeight="1">
      <c r="A12" s="1666">
        <v>5</v>
      </c>
      <c r="B12" s="355" t="s">
        <v>1772</v>
      </c>
      <c r="C12" s="33" t="str">
        <f>IF($I$1="Select company","",IF(HLOOKUP((VLOOKUP($I$1,Lists!$B$4:$C$23,2,FALSE)),'Water PR16'!$A$1:$S$21,'2G'!A12+1,FALSE)=0,"",HLOOKUP((VLOOKUP($I$1,Lists!$B$4:$C$23,2,FALSE)),'Water PR16'!$A$1:$S$21,'2G'!A12+1,FALSE)))</f>
        <v>n/a</v>
      </c>
      <c r="D12" s="1485"/>
      <c r="E12" s="447"/>
      <c r="F12" s="437"/>
      <c r="G12" s="332">
        <f t="shared" si="3"/>
        <v>0</v>
      </c>
      <c r="H12" s="619"/>
      <c r="I12" s="614">
        <f t="shared" si="0"/>
        <v>0</v>
      </c>
      <c r="J12" s="70"/>
      <c r="K12" s="126"/>
      <c r="L12" s="24" t="str">
        <f t="shared" si="5"/>
        <v>Please complete all cells in row</v>
      </c>
      <c r="M12" s="70"/>
      <c r="N12" s="71"/>
      <c r="O12" s="93">
        <f t="shared" si="1"/>
        <v>1</v>
      </c>
      <c r="P12" s="93">
        <f t="shared" si="1"/>
        <v>1</v>
      </c>
      <c r="Q12" s="93">
        <f t="shared" si="2"/>
        <v>1</v>
      </c>
      <c r="R12" s="71"/>
      <c r="S12" s="483"/>
      <c r="T12" s="71"/>
      <c r="U12" s="74"/>
      <c r="V12" s="74"/>
      <c r="W12" s="74"/>
      <c r="X12" s="71"/>
      <c r="Y12" s="70"/>
      <c r="AA12" s="355">
        <v>5</v>
      </c>
      <c r="AB12" s="33" t="str">
        <f t="shared" si="4"/>
        <v>n/a</v>
      </c>
      <c r="AC12" s="1485"/>
      <c r="AD12" s="2464" t="s">
        <v>1773</v>
      </c>
      <c r="AE12" s="2465" t="s">
        <v>1774</v>
      </c>
      <c r="AF12" s="332" t="s">
        <v>1775</v>
      </c>
      <c r="AG12" s="2466" t="s">
        <v>1776</v>
      </c>
      <c r="AH12" s="614" t="s">
        <v>1777</v>
      </c>
    </row>
    <row r="13" spans="1:34" s="315" customFormat="1" ht="15" customHeight="1">
      <c r="A13" s="1666">
        <v>6</v>
      </c>
      <c r="B13" s="355" t="s">
        <v>1778</v>
      </c>
      <c r="C13" s="33" t="str">
        <f>IF($I$1="Select company","",IF(HLOOKUP((VLOOKUP($I$1,Lists!$B$4:$C$23,2,FALSE)),'Water PR16'!$A$1:$S$21,'2G'!A13+1,FALSE)=0,"",HLOOKUP((VLOOKUP($I$1,Lists!$B$4:$C$23,2,FALSE)),'Water PR16'!$A$1:$S$21,'2G'!A13+1,FALSE)))</f>
        <v>n/a</v>
      </c>
      <c r="D13" s="1485"/>
      <c r="E13" s="447"/>
      <c r="F13" s="437"/>
      <c r="G13" s="332">
        <f t="shared" si="3"/>
        <v>0</v>
      </c>
      <c r="H13" s="619"/>
      <c r="I13" s="614">
        <f t="shared" si="0"/>
        <v>0</v>
      </c>
      <c r="J13" s="70"/>
      <c r="K13" s="126"/>
      <c r="L13" s="24" t="str">
        <f t="shared" si="5"/>
        <v>Please complete all cells in row</v>
      </c>
      <c r="M13" s="70"/>
      <c r="N13" s="71"/>
      <c r="O13" s="93">
        <f t="shared" si="1"/>
        <v>1</v>
      </c>
      <c r="P13" s="93">
        <f t="shared" si="1"/>
        <v>1</v>
      </c>
      <c r="Q13" s="93">
        <f t="shared" si="2"/>
        <v>1</v>
      </c>
      <c r="R13" s="71"/>
      <c r="S13" s="483"/>
      <c r="T13" s="71"/>
      <c r="U13" s="74"/>
      <c r="V13" s="74"/>
      <c r="W13" s="74"/>
      <c r="X13" s="71"/>
      <c r="Y13" s="70"/>
      <c r="AA13" s="355">
        <v>6</v>
      </c>
      <c r="AB13" s="33" t="str">
        <f t="shared" si="4"/>
        <v>n/a</v>
      </c>
      <c r="AC13" s="1485"/>
      <c r="AD13" s="2464" t="s">
        <v>1779</v>
      </c>
      <c r="AE13" s="2465" t="s">
        <v>1780</v>
      </c>
      <c r="AF13" s="332" t="s">
        <v>1781</v>
      </c>
      <c r="AG13" s="2466" t="s">
        <v>1782</v>
      </c>
      <c r="AH13" s="614" t="s">
        <v>1783</v>
      </c>
    </row>
    <row r="14" spans="1:34" s="315" customFormat="1" ht="15" customHeight="1">
      <c r="A14" s="1666">
        <v>7</v>
      </c>
      <c r="B14" s="355" t="s">
        <v>1784</v>
      </c>
      <c r="C14" s="33" t="str">
        <f>IF($I$1="Select company","",IF(HLOOKUP((VLOOKUP($I$1,Lists!$B$4:$C$23,2,FALSE)),'Water PR16'!$A$1:$S$21,'2G'!A14+1,FALSE)=0,"",HLOOKUP((VLOOKUP($I$1,Lists!$B$4:$C$23,2,FALSE)),'Water PR16'!$A$1:$S$21,'2G'!A14+1,FALSE)))</f>
        <v>Band F - 1-5Ml</v>
      </c>
      <c r="D14" s="1485"/>
      <c r="E14" s="447"/>
      <c r="F14" s="437"/>
      <c r="G14" s="332">
        <f t="shared" si="3"/>
        <v>0</v>
      </c>
      <c r="H14" s="619"/>
      <c r="I14" s="614">
        <f t="shared" si="0"/>
        <v>0</v>
      </c>
      <c r="J14" s="70"/>
      <c r="K14" s="126"/>
      <c r="L14" s="24" t="str">
        <f t="shared" si="5"/>
        <v>Please complete all cells in row</v>
      </c>
      <c r="M14" s="70"/>
      <c r="N14" s="71"/>
      <c r="O14" s="93">
        <f t="shared" si="1"/>
        <v>1</v>
      </c>
      <c r="P14" s="93">
        <f t="shared" si="1"/>
        <v>1</v>
      </c>
      <c r="Q14" s="93">
        <f t="shared" si="2"/>
        <v>1</v>
      </c>
      <c r="R14" s="71"/>
      <c r="S14" s="483"/>
      <c r="T14" s="71"/>
      <c r="U14" s="74"/>
      <c r="V14" s="74"/>
      <c r="W14" s="74"/>
      <c r="X14" s="71"/>
      <c r="Y14" s="70"/>
      <c r="AA14" s="355">
        <v>7</v>
      </c>
      <c r="AB14" s="33" t="str">
        <f t="shared" si="4"/>
        <v>Band F - 1-5Ml</v>
      </c>
      <c r="AC14" s="1485"/>
      <c r="AD14" s="2464" t="s">
        <v>1785</v>
      </c>
      <c r="AE14" s="2465" t="s">
        <v>1786</v>
      </c>
      <c r="AF14" s="332" t="s">
        <v>1787</v>
      </c>
      <c r="AG14" s="2466" t="s">
        <v>1788</v>
      </c>
      <c r="AH14" s="614" t="s">
        <v>1789</v>
      </c>
    </row>
    <row r="15" spans="1:34" s="315" customFormat="1" ht="15" customHeight="1">
      <c r="A15" s="1666">
        <v>8</v>
      </c>
      <c r="B15" s="355" t="s">
        <v>1790</v>
      </c>
      <c r="C15" s="33" t="str">
        <f>IF($I$1="Select company","",IF(HLOOKUP((VLOOKUP($I$1,Lists!$B$4:$C$23,2,FALSE)),'Water PR16'!$A$1:$S$21,'2G'!A15+1,FALSE)=0,"",HLOOKUP((VLOOKUP($I$1,Lists!$B$4:$C$23,2,FALSE)),'Water PR16'!$A$1:$S$21,'2G'!A15+1,FALSE)))</f>
        <v>Band G - 0-1Ml</v>
      </c>
      <c r="D15" s="1485"/>
      <c r="E15" s="447"/>
      <c r="F15" s="437"/>
      <c r="G15" s="332">
        <f t="shared" si="3"/>
        <v>0</v>
      </c>
      <c r="H15" s="619"/>
      <c r="I15" s="614">
        <f t="shared" si="0"/>
        <v>0</v>
      </c>
      <c r="J15" s="70"/>
      <c r="K15" s="126"/>
      <c r="L15" s="24" t="str">
        <f t="shared" si="5"/>
        <v>Please complete all cells in row</v>
      </c>
      <c r="M15" s="70"/>
      <c r="N15" s="71"/>
      <c r="O15" s="93">
        <f t="shared" si="1"/>
        <v>1</v>
      </c>
      <c r="P15" s="93">
        <f t="shared" si="1"/>
        <v>1</v>
      </c>
      <c r="Q15" s="93">
        <f t="shared" si="2"/>
        <v>1</v>
      </c>
      <c r="R15" s="71"/>
      <c r="S15" s="483"/>
      <c r="T15" s="71"/>
      <c r="U15" s="74"/>
      <c r="V15" s="74"/>
      <c r="W15" s="74"/>
      <c r="X15" s="71"/>
      <c r="Y15" s="70"/>
      <c r="AA15" s="355">
        <v>8</v>
      </c>
      <c r="AB15" s="33" t="str">
        <f t="shared" si="4"/>
        <v>Band G - 0-1Ml</v>
      </c>
      <c r="AC15" s="1485"/>
      <c r="AD15" s="2464" t="s">
        <v>1791</v>
      </c>
      <c r="AE15" s="2465" t="s">
        <v>1792</v>
      </c>
      <c r="AF15" s="332" t="s">
        <v>1793</v>
      </c>
      <c r="AG15" s="2466" t="s">
        <v>1794</v>
      </c>
      <c r="AH15" s="614" t="s">
        <v>1795</v>
      </c>
    </row>
    <row r="16" spans="1:34" s="315" customFormat="1" ht="15" customHeight="1">
      <c r="A16" s="1666">
        <v>9</v>
      </c>
      <c r="B16" s="355" t="s">
        <v>1796</v>
      </c>
      <c r="C16" s="33" t="str">
        <f>IF($I$1="Select company","",IF(HLOOKUP((VLOOKUP($I$1,Lists!$B$4:$C$23,2,FALSE)),'Water PR16'!$A$1:$S$21,'2G'!A16+1,FALSE)=0,"",HLOOKUP((VLOOKUP($I$1,Lists!$B$4:$C$23,2,FALSE)),'Water PR16'!$A$1:$S$21,'2G'!A16+1,FALSE)))</f>
        <v>Band U</v>
      </c>
      <c r="D16" s="1485"/>
      <c r="E16" s="447"/>
      <c r="F16" s="437"/>
      <c r="G16" s="332">
        <f t="shared" si="3"/>
        <v>0</v>
      </c>
      <c r="H16" s="619"/>
      <c r="I16" s="614">
        <f t="shared" si="0"/>
        <v>0</v>
      </c>
      <c r="J16" s="70"/>
      <c r="K16" s="126"/>
      <c r="L16" s="24" t="str">
        <f t="shared" si="5"/>
        <v>Please complete all cells in row</v>
      </c>
      <c r="M16" s="70"/>
      <c r="N16" s="71"/>
      <c r="O16" s="93">
        <f t="shared" si="1"/>
        <v>1</v>
      </c>
      <c r="P16" s="93">
        <f t="shared" si="1"/>
        <v>1</v>
      </c>
      <c r="Q16" s="93">
        <f t="shared" si="2"/>
        <v>1</v>
      </c>
      <c r="R16" s="71"/>
      <c r="S16" s="483"/>
      <c r="T16" s="71"/>
      <c r="U16" s="74"/>
      <c r="V16" s="74"/>
      <c r="W16" s="74"/>
      <c r="X16" s="71"/>
      <c r="Y16" s="70"/>
      <c r="AA16" s="355">
        <v>9</v>
      </c>
      <c r="AB16" s="33" t="str">
        <f t="shared" si="4"/>
        <v>Band U</v>
      </c>
      <c r="AC16" s="1485"/>
      <c r="AD16" s="2464" t="s">
        <v>1797</v>
      </c>
      <c r="AE16" s="2465" t="s">
        <v>1798</v>
      </c>
      <c r="AF16" s="332" t="s">
        <v>1799</v>
      </c>
      <c r="AG16" s="2466" t="s">
        <v>1800</v>
      </c>
      <c r="AH16" s="614" t="s">
        <v>1801</v>
      </c>
    </row>
    <row r="17" spans="1:34" s="315" customFormat="1" ht="15" customHeight="1">
      <c r="A17" s="1666">
        <v>10</v>
      </c>
      <c r="B17" s="355" t="s">
        <v>1802</v>
      </c>
      <c r="C17" s="33" t="str">
        <f>IF($I$1="Select company","",IF(HLOOKUP((VLOOKUP($I$1,Lists!$B$4:$C$23,2,FALSE)),'Water PR16'!$A$1:$S$21,'2G'!A17+1,FALSE)=0,"",HLOOKUP((VLOOKUP($I$1,Lists!$B$4:$C$23,2,FALSE)),'Water PR16'!$A$1:$S$21,'2G'!A17+1,FALSE)))</f>
        <v>Water supplies 5 to 50 MI</v>
      </c>
      <c r="D17" s="1485"/>
      <c r="E17" s="447"/>
      <c r="F17" s="437"/>
      <c r="G17" s="332">
        <f t="shared" si="3"/>
        <v>0</v>
      </c>
      <c r="H17" s="619"/>
      <c r="I17" s="614">
        <f t="shared" si="0"/>
        <v>0</v>
      </c>
      <c r="J17" s="70"/>
      <c r="K17" s="126"/>
      <c r="L17" s="24" t="str">
        <f t="shared" si="5"/>
        <v>Please complete all cells in row</v>
      </c>
      <c r="M17" s="70"/>
      <c r="N17" s="71"/>
      <c r="O17" s="93">
        <f t="shared" si="1"/>
        <v>1</v>
      </c>
      <c r="P17" s="93">
        <f t="shared" si="1"/>
        <v>1</v>
      </c>
      <c r="Q17" s="93">
        <f t="shared" si="2"/>
        <v>1</v>
      </c>
      <c r="R17" s="71"/>
      <c r="S17" s="483"/>
      <c r="T17" s="71"/>
      <c r="U17" s="74"/>
      <c r="V17" s="74"/>
      <c r="W17" s="74"/>
      <c r="X17" s="71"/>
      <c r="Y17" s="70"/>
      <c r="AA17" s="355">
        <v>10</v>
      </c>
      <c r="AB17" s="33" t="str">
        <f t="shared" si="4"/>
        <v>Water supplies 5 to 50 MI</v>
      </c>
      <c r="AC17" s="1485"/>
      <c r="AD17" s="2464" t="s">
        <v>1803</v>
      </c>
      <c r="AE17" s="2465" t="s">
        <v>1804</v>
      </c>
      <c r="AF17" s="332" t="s">
        <v>1805</v>
      </c>
      <c r="AG17" s="2466" t="s">
        <v>1806</v>
      </c>
      <c r="AH17" s="614" t="s">
        <v>1807</v>
      </c>
    </row>
    <row r="18" spans="1:34" s="315" customFormat="1" ht="15" customHeight="1">
      <c r="A18" s="1666">
        <v>11</v>
      </c>
      <c r="B18" s="355" t="s">
        <v>1808</v>
      </c>
      <c r="C18" s="33" t="str">
        <f>IF($I$1="Select company","",IF(HLOOKUP((VLOOKUP($I$1,Lists!$B$4:$C$23,2,FALSE)),'Water PR16'!$A$1:$S$21,'2G'!A18+1,FALSE)=0,"",HLOOKUP((VLOOKUP($I$1,Lists!$B$4:$C$23,2,FALSE)),'Water PR16'!$A$1:$S$21,'2G'!A18+1,FALSE)))</f>
        <v>Water supplies 50 MI and over</v>
      </c>
      <c r="D18" s="1485"/>
      <c r="E18" s="447"/>
      <c r="F18" s="437"/>
      <c r="G18" s="332">
        <f t="shared" si="3"/>
        <v>0</v>
      </c>
      <c r="H18" s="619"/>
      <c r="I18" s="614">
        <f t="shared" si="0"/>
        <v>0</v>
      </c>
      <c r="J18" s="70"/>
      <c r="K18" s="126"/>
      <c r="L18" s="24" t="str">
        <f t="shared" si="5"/>
        <v>Please complete all cells in row</v>
      </c>
      <c r="M18" s="70"/>
      <c r="N18" s="71"/>
      <c r="O18" s="93">
        <f t="shared" si="1"/>
        <v>1</v>
      </c>
      <c r="P18" s="93">
        <f t="shared" si="1"/>
        <v>1</v>
      </c>
      <c r="Q18" s="93">
        <f t="shared" si="2"/>
        <v>1</v>
      </c>
      <c r="R18" s="71"/>
      <c r="S18" s="483"/>
      <c r="T18" s="71"/>
      <c r="U18" s="74"/>
      <c r="V18" s="74"/>
      <c r="W18" s="74"/>
      <c r="X18" s="71"/>
      <c r="Y18" s="70"/>
      <c r="AA18" s="355">
        <v>11</v>
      </c>
      <c r="AB18" s="33" t="str">
        <f t="shared" si="4"/>
        <v>Water supplies 50 MI and over</v>
      </c>
      <c r="AC18" s="1485"/>
      <c r="AD18" s="2464" t="s">
        <v>1809</v>
      </c>
      <c r="AE18" s="2465" t="s">
        <v>1810</v>
      </c>
      <c r="AF18" s="332" t="s">
        <v>1811</v>
      </c>
      <c r="AG18" s="2466" t="s">
        <v>1812</v>
      </c>
      <c r="AH18" s="614" t="s">
        <v>1813</v>
      </c>
    </row>
    <row r="19" spans="1:34" s="315" customFormat="1" ht="15" customHeight="1">
      <c r="A19" s="1666">
        <v>12</v>
      </c>
      <c r="B19" s="355" t="s">
        <v>1814</v>
      </c>
      <c r="C19" s="33" t="str">
        <f>IF($I$1="Select company","",IF(HLOOKUP((VLOOKUP($I$1,Lists!$B$4:$C$23,2,FALSE)),'Water PR16'!$A$1:$S$21,'2G'!A19+1,FALSE)=0,"",HLOOKUP((VLOOKUP($I$1,Lists!$B$4:$C$23,2,FALSE)),'Water PR16'!$A$1:$S$21,'2G'!A19+1,FALSE)))</f>
        <v/>
      </c>
      <c r="D19" s="1485"/>
      <c r="E19" s="447"/>
      <c r="F19" s="437"/>
      <c r="G19" s="332">
        <f t="shared" si="3"/>
        <v>0</v>
      </c>
      <c r="H19" s="619"/>
      <c r="I19" s="614">
        <f t="shared" si="0"/>
        <v>0</v>
      </c>
      <c r="J19" s="70"/>
      <c r="K19" s="126"/>
      <c r="L19" s="24">
        <f t="shared" si="5"/>
        <v>0</v>
      </c>
      <c r="M19" s="70"/>
      <c r="N19" s="71"/>
      <c r="O19" s="93">
        <f t="shared" si="1"/>
        <v>0</v>
      </c>
      <c r="P19" s="93">
        <f t="shared" si="1"/>
        <v>0</v>
      </c>
      <c r="Q19" s="93">
        <f t="shared" si="2"/>
        <v>0</v>
      </c>
      <c r="R19" s="71"/>
      <c r="S19" s="483"/>
      <c r="T19" s="71"/>
      <c r="U19" s="74"/>
      <c r="V19" s="74"/>
      <c r="W19" s="74"/>
      <c r="X19" s="71"/>
      <c r="Y19" s="70"/>
      <c r="AA19" s="355">
        <v>12</v>
      </c>
      <c r="AB19" s="33" t="str">
        <f t="shared" si="4"/>
        <v/>
      </c>
      <c r="AC19" s="1485"/>
      <c r="AD19" s="2464" t="s">
        <v>1815</v>
      </c>
      <c r="AE19" s="2465" t="s">
        <v>1816</v>
      </c>
      <c r="AF19" s="332" t="s">
        <v>1817</v>
      </c>
      <c r="AG19" s="2466" t="s">
        <v>1818</v>
      </c>
      <c r="AH19" s="614" t="s">
        <v>1819</v>
      </c>
    </row>
    <row r="20" spans="1:34" s="315" customFormat="1" ht="15" customHeight="1">
      <c r="A20" s="1666">
        <v>13</v>
      </c>
      <c r="B20" s="355" t="s">
        <v>1820</v>
      </c>
      <c r="C20" s="33" t="str">
        <f>IF($I$1="Select company","",IF(HLOOKUP((VLOOKUP($I$1,Lists!$B$4:$C$23,2,FALSE)),'Water PR16'!$A$1:$S$21,'2G'!A20+1,FALSE)=0,"",HLOOKUP((VLOOKUP($I$1,Lists!$B$4:$C$23,2,FALSE)),'Water PR16'!$A$1:$S$21,'2G'!A20+1,FALSE)))</f>
        <v/>
      </c>
      <c r="D20" s="1485"/>
      <c r="E20" s="447"/>
      <c r="F20" s="437"/>
      <c r="G20" s="332">
        <f t="shared" si="3"/>
        <v>0</v>
      </c>
      <c r="H20" s="619"/>
      <c r="I20" s="614">
        <f t="shared" si="0"/>
        <v>0</v>
      </c>
      <c r="J20" s="70"/>
      <c r="K20" s="126"/>
      <c r="L20" s="24">
        <f t="shared" si="5"/>
        <v>0</v>
      </c>
      <c r="M20" s="70"/>
      <c r="N20" s="71"/>
      <c r="O20" s="93">
        <f t="shared" si="1"/>
        <v>0</v>
      </c>
      <c r="P20" s="93">
        <f t="shared" si="1"/>
        <v>0</v>
      </c>
      <c r="Q20" s="93">
        <f t="shared" si="2"/>
        <v>0</v>
      </c>
      <c r="R20" s="71"/>
      <c r="S20" s="483"/>
      <c r="T20" s="71"/>
      <c r="U20" s="74"/>
      <c r="V20" s="74"/>
      <c r="W20" s="74"/>
      <c r="X20" s="71"/>
      <c r="Y20" s="70"/>
      <c r="AA20" s="355">
        <v>13</v>
      </c>
      <c r="AB20" s="33" t="str">
        <f t="shared" si="4"/>
        <v/>
      </c>
      <c r="AC20" s="1485"/>
      <c r="AD20" s="2464" t="s">
        <v>1821</v>
      </c>
      <c r="AE20" s="2465" t="s">
        <v>1822</v>
      </c>
      <c r="AF20" s="332" t="s">
        <v>1823</v>
      </c>
      <c r="AG20" s="2466" t="s">
        <v>1824</v>
      </c>
      <c r="AH20" s="614" t="s">
        <v>1825</v>
      </c>
    </row>
    <row r="21" spans="1:34" s="315" customFormat="1" ht="15" customHeight="1">
      <c r="A21" s="1666">
        <v>14</v>
      </c>
      <c r="B21" s="355" t="s">
        <v>1826</v>
      </c>
      <c r="C21" s="33" t="str">
        <f>IF($I$1="Select company","",IF(HLOOKUP((VLOOKUP($I$1,Lists!$B$4:$C$23,2,FALSE)),'Water PR16'!$A$1:$S$21,'2G'!A21+1,FALSE)=0,"",HLOOKUP((VLOOKUP($I$1,Lists!$B$4:$C$23,2,FALSE)),'Water PR16'!$A$1:$S$21,'2G'!A21+1,FALSE)))</f>
        <v/>
      </c>
      <c r="D21" s="1485"/>
      <c r="E21" s="447"/>
      <c r="F21" s="437"/>
      <c r="G21" s="332">
        <f t="shared" si="3"/>
        <v>0</v>
      </c>
      <c r="H21" s="619"/>
      <c r="I21" s="614">
        <f t="shared" si="0"/>
        <v>0</v>
      </c>
      <c r="J21" s="70"/>
      <c r="K21" s="126"/>
      <c r="L21" s="24">
        <f t="shared" si="5"/>
        <v>0</v>
      </c>
      <c r="M21" s="70"/>
      <c r="N21" s="71"/>
      <c r="O21" s="93">
        <f t="shared" si="1"/>
        <v>0</v>
      </c>
      <c r="P21" s="93">
        <f t="shared" si="1"/>
        <v>0</v>
      </c>
      <c r="Q21" s="93">
        <f t="shared" si="2"/>
        <v>0</v>
      </c>
      <c r="R21" s="71"/>
      <c r="S21" s="483"/>
      <c r="T21" s="71"/>
      <c r="U21" s="74"/>
      <c r="V21" s="74"/>
      <c r="W21" s="74"/>
      <c r="X21" s="71"/>
      <c r="Y21" s="70"/>
      <c r="AA21" s="355">
        <v>14</v>
      </c>
      <c r="AB21" s="33" t="str">
        <f t="shared" si="4"/>
        <v/>
      </c>
      <c r="AC21" s="1485"/>
      <c r="AD21" s="2464" t="s">
        <v>1827</v>
      </c>
      <c r="AE21" s="2465" t="s">
        <v>1828</v>
      </c>
      <c r="AF21" s="332" t="s">
        <v>1829</v>
      </c>
      <c r="AG21" s="2466" t="s">
        <v>1830</v>
      </c>
      <c r="AH21" s="614" t="s">
        <v>1831</v>
      </c>
    </row>
    <row r="22" spans="1:34" s="315" customFormat="1" ht="15" customHeight="1">
      <c r="A22" s="1666">
        <v>15</v>
      </c>
      <c r="B22" s="355" t="s">
        <v>1832</v>
      </c>
      <c r="C22" s="33" t="str">
        <f>IF($I$1="Select company","",IF(HLOOKUP((VLOOKUP($I$1,Lists!$B$4:$C$23,2,FALSE)),'Water PR16'!$A$1:$S$21,'2G'!A22+1,FALSE)=0,"",HLOOKUP((VLOOKUP($I$1,Lists!$B$4:$C$23,2,FALSE)),'Water PR16'!$A$1:$S$21,'2G'!A22+1,FALSE)))</f>
        <v/>
      </c>
      <c r="D22" s="1485"/>
      <c r="E22" s="447"/>
      <c r="F22" s="437"/>
      <c r="G22" s="332">
        <f t="shared" si="3"/>
        <v>0</v>
      </c>
      <c r="H22" s="619"/>
      <c r="I22" s="614">
        <f t="shared" si="0"/>
        <v>0</v>
      </c>
      <c r="J22" s="118"/>
      <c r="K22" s="126"/>
      <c r="L22" s="24">
        <f t="shared" si="5"/>
        <v>0</v>
      </c>
      <c r="M22" s="70"/>
      <c r="N22" s="71"/>
      <c r="O22" s="93">
        <f t="shared" si="1"/>
        <v>0</v>
      </c>
      <c r="P22" s="93">
        <f t="shared" si="1"/>
        <v>0</v>
      </c>
      <c r="Q22" s="93">
        <f t="shared" si="2"/>
        <v>0</v>
      </c>
      <c r="R22" s="71"/>
      <c r="S22" s="82"/>
      <c r="T22" s="71"/>
      <c r="U22" s="74"/>
      <c r="V22" s="74"/>
      <c r="W22" s="74"/>
      <c r="X22" s="71"/>
      <c r="Y22" s="110"/>
      <c r="AA22" s="355">
        <v>15</v>
      </c>
      <c r="AB22" s="33" t="str">
        <f t="shared" si="4"/>
        <v/>
      </c>
      <c r="AC22" s="1485"/>
      <c r="AD22" s="2464" t="s">
        <v>1833</v>
      </c>
      <c r="AE22" s="2465" t="s">
        <v>1834</v>
      </c>
      <c r="AF22" s="332" t="s">
        <v>1835</v>
      </c>
      <c r="AG22" s="2466" t="s">
        <v>1836</v>
      </c>
      <c r="AH22" s="614" t="s">
        <v>1837</v>
      </c>
    </row>
    <row r="23" spans="1:34" s="315" customFormat="1" ht="15" customHeight="1">
      <c r="A23" s="1666">
        <v>16</v>
      </c>
      <c r="B23" s="355" t="s">
        <v>1838</v>
      </c>
      <c r="C23" s="33" t="str">
        <f>IF($I$1="Select company","",IF(HLOOKUP((VLOOKUP($I$1,Lists!$B$4:$C$23,2,FALSE)),'Water PR16'!$A$1:$S$21,'2G'!A23+1,FALSE)=0,"",HLOOKUP((VLOOKUP($I$1,Lists!$B$4:$C$23,2,FALSE)),'Water PR16'!$A$1:$S$21,'2G'!A23+1,FALSE)))</f>
        <v/>
      </c>
      <c r="D23" s="1485"/>
      <c r="E23" s="447"/>
      <c r="F23" s="437"/>
      <c r="G23" s="332">
        <f t="shared" si="3"/>
        <v>0</v>
      </c>
      <c r="H23" s="619"/>
      <c r="I23" s="614">
        <f t="shared" si="0"/>
        <v>0</v>
      </c>
      <c r="J23" s="126"/>
      <c r="K23" s="126"/>
      <c r="L23" s="24">
        <f t="shared" si="5"/>
        <v>0</v>
      </c>
      <c r="M23" s="70"/>
      <c r="N23" s="71"/>
      <c r="O23" s="93">
        <f t="shared" si="1"/>
        <v>0</v>
      </c>
      <c r="P23" s="93">
        <f t="shared" si="1"/>
        <v>0</v>
      </c>
      <c r="Q23" s="93">
        <f t="shared" si="2"/>
        <v>0</v>
      </c>
      <c r="R23" s="71"/>
      <c r="S23" s="127"/>
      <c r="T23" s="124"/>
      <c r="U23" s="165"/>
      <c r="V23" s="165"/>
      <c r="W23" s="74"/>
      <c r="X23" s="124"/>
      <c r="Y23" s="163"/>
      <c r="AA23" s="355">
        <v>16</v>
      </c>
      <c r="AB23" s="33" t="str">
        <f t="shared" si="4"/>
        <v/>
      </c>
      <c r="AC23" s="1485"/>
      <c r="AD23" s="2464" t="s">
        <v>1839</v>
      </c>
      <c r="AE23" s="2465" t="s">
        <v>1840</v>
      </c>
      <c r="AF23" s="332" t="s">
        <v>1841</v>
      </c>
      <c r="AG23" s="2466" t="s">
        <v>1842</v>
      </c>
      <c r="AH23" s="614" t="s">
        <v>1843</v>
      </c>
    </row>
    <row r="24" spans="1:34" s="315" customFormat="1" ht="15" customHeight="1">
      <c r="A24" s="1666">
        <v>17</v>
      </c>
      <c r="B24" s="355" t="s">
        <v>1844</v>
      </c>
      <c r="C24" s="33" t="str">
        <f>IF($I$1="Select company","",IF(HLOOKUP((VLOOKUP($I$1,Lists!$B$4:$C$23,2,FALSE)),'Water PR16'!$A$1:$S$21,'2G'!A24+1,FALSE)=0,"",HLOOKUP((VLOOKUP($I$1,Lists!$B$4:$C$23,2,FALSE)),'Water PR16'!$A$1:$S$21,'2G'!A24+1,FALSE)))</f>
        <v/>
      </c>
      <c r="D24" s="1485"/>
      <c r="E24" s="447"/>
      <c r="F24" s="437"/>
      <c r="G24" s="332">
        <f t="shared" si="3"/>
        <v>0</v>
      </c>
      <c r="H24" s="619"/>
      <c r="I24" s="614">
        <f t="shared" si="0"/>
        <v>0</v>
      </c>
      <c r="J24" s="126"/>
      <c r="K24" s="126"/>
      <c r="L24" s="24">
        <f t="shared" ref="L24:L25" si="6" xml:space="preserve"> IF( SUM( N24:R24 ) = 0, 0, $O$5 )</f>
        <v>0</v>
      </c>
      <c r="M24" s="70"/>
      <c r="N24" s="71"/>
      <c r="O24" s="93">
        <f t="shared" si="1"/>
        <v>0</v>
      </c>
      <c r="P24" s="93">
        <f t="shared" si="1"/>
        <v>0</v>
      </c>
      <c r="Q24" s="93">
        <f t="shared" si="2"/>
        <v>0</v>
      </c>
      <c r="R24" s="71"/>
      <c r="S24" s="82"/>
      <c r="T24" s="119"/>
      <c r="U24" s="74"/>
      <c r="V24" s="74"/>
      <c r="W24" s="74"/>
      <c r="X24" s="119"/>
      <c r="Y24" s="163"/>
      <c r="AA24" s="355">
        <v>17</v>
      </c>
      <c r="AB24" s="33" t="str">
        <f t="shared" si="4"/>
        <v/>
      </c>
      <c r="AC24" s="1485"/>
      <c r="AD24" s="2464" t="s">
        <v>1845</v>
      </c>
      <c r="AE24" s="2465" t="s">
        <v>1846</v>
      </c>
      <c r="AF24" s="332" t="s">
        <v>1847</v>
      </c>
      <c r="AG24" s="2466" t="s">
        <v>1848</v>
      </c>
      <c r="AH24" s="614" t="s">
        <v>1849</v>
      </c>
    </row>
    <row r="25" spans="1:34" s="315" customFormat="1" ht="15" customHeight="1">
      <c r="A25" s="1666">
        <v>18</v>
      </c>
      <c r="B25" s="355" t="s">
        <v>1850</v>
      </c>
      <c r="C25" s="33" t="str">
        <f>IF($I$1="Select company","",IF(HLOOKUP((VLOOKUP($I$1,Lists!$B$4:$C$23,2,FALSE)),'Water PR16'!$A$1:$S$21,'2G'!A25+1,FALSE)=0,"",HLOOKUP((VLOOKUP($I$1,Lists!$B$4:$C$23,2,FALSE)),'Water PR16'!$A$1:$S$21,'2G'!A25+1,FALSE)))</f>
        <v/>
      </c>
      <c r="D25" s="1484"/>
      <c r="E25" s="447"/>
      <c r="F25" s="449"/>
      <c r="G25" s="332">
        <f t="shared" si="3"/>
        <v>0</v>
      </c>
      <c r="H25" s="619"/>
      <c r="I25" s="614">
        <f t="shared" si="0"/>
        <v>0</v>
      </c>
      <c r="J25" s="126"/>
      <c r="K25" s="126"/>
      <c r="L25" s="24">
        <f t="shared" si="6"/>
        <v>0</v>
      </c>
      <c r="M25" s="70"/>
      <c r="N25" s="71"/>
      <c r="O25" s="93">
        <f t="shared" si="1"/>
        <v>0</v>
      </c>
      <c r="P25" s="93">
        <f t="shared" si="1"/>
        <v>0</v>
      </c>
      <c r="Q25" s="93">
        <f t="shared" si="2"/>
        <v>0</v>
      </c>
      <c r="R25" s="71"/>
      <c r="S25" s="82"/>
      <c r="T25" s="119"/>
      <c r="U25" s="74"/>
      <c r="V25" s="74"/>
      <c r="W25" s="74"/>
      <c r="X25" s="119"/>
      <c r="Y25" s="163"/>
      <c r="AA25" s="355">
        <v>18</v>
      </c>
      <c r="AB25" s="33" t="str">
        <f t="shared" si="4"/>
        <v/>
      </c>
      <c r="AC25" s="1484"/>
      <c r="AD25" s="2464" t="s">
        <v>1851</v>
      </c>
      <c r="AE25" s="2465" t="s">
        <v>1852</v>
      </c>
      <c r="AF25" s="332" t="s">
        <v>1853</v>
      </c>
      <c r="AG25" s="2466" t="s">
        <v>1854</v>
      </c>
      <c r="AH25" s="614" t="s">
        <v>1855</v>
      </c>
    </row>
    <row r="26" spans="1:34" s="315" customFormat="1" ht="15" customHeight="1">
      <c r="A26" s="1666">
        <v>19</v>
      </c>
      <c r="B26" s="355" t="s">
        <v>1856</v>
      </c>
      <c r="C26" s="33" t="str">
        <f>IF($I$1="Select company","",IF(HLOOKUP((VLOOKUP($I$1,Lists!$B$4:$C$23,2,FALSE)),'Water PR16'!$A$1:$S$21,'2G'!A26+1,FALSE)=0,"",HLOOKUP((VLOOKUP($I$1,Lists!$B$4:$C$23,2,FALSE)),'Water PR16'!$A$1:$S$21,'2G'!A26+1,FALSE)))</f>
        <v/>
      </c>
      <c r="D26" s="1486"/>
      <c r="E26" s="448"/>
      <c r="F26" s="449"/>
      <c r="G26" s="332">
        <f t="shared" si="3"/>
        <v>0</v>
      </c>
      <c r="H26" s="619"/>
      <c r="I26" s="614">
        <f t="shared" si="0"/>
        <v>0</v>
      </c>
      <c r="J26" s="126"/>
      <c r="K26" s="126"/>
      <c r="L26" s="24">
        <f xml:space="preserve"> IF( SUM( N26:R26 ) = 0, 0, $O$5 )</f>
        <v>0</v>
      </c>
      <c r="M26" s="70"/>
      <c r="N26" s="71"/>
      <c r="O26" s="93">
        <f t="shared" si="1"/>
        <v>0</v>
      </c>
      <c r="P26" s="93">
        <f t="shared" si="1"/>
        <v>0</v>
      </c>
      <c r="Q26" s="93">
        <f t="shared" si="2"/>
        <v>0</v>
      </c>
      <c r="R26" s="71"/>
      <c r="S26" s="82"/>
      <c r="T26" s="119"/>
      <c r="U26" s="74"/>
      <c r="V26" s="74"/>
      <c r="W26" s="74"/>
      <c r="X26" s="119"/>
      <c r="Y26" s="163"/>
      <c r="AA26" s="355">
        <v>19</v>
      </c>
      <c r="AB26" s="33" t="str">
        <f t="shared" si="4"/>
        <v/>
      </c>
      <c r="AC26" s="1486"/>
      <c r="AD26" s="2467" t="s">
        <v>1857</v>
      </c>
      <c r="AE26" s="2468" t="s">
        <v>1858</v>
      </c>
      <c r="AF26" s="332" t="s">
        <v>1859</v>
      </c>
      <c r="AG26" s="2466" t="s">
        <v>1860</v>
      </c>
      <c r="AH26" s="614" t="s">
        <v>1861</v>
      </c>
    </row>
    <row r="27" spans="1:34" s="315" customFormat="1" ht="15" customHeight="1">
      <c r="A27" s="1666">
        <v>20</v>
      </c>
      <c r="B27" s="355" t="s">
        <v>1862</v>
      </c>
      <c r="C27" s="33" t="str">
        <f>IF($I$1="Select company","",IF(HLOOKUP((VLOOKUP($I$1,Lists!$B$4:$C$23,2,FALSE)),'Water PR16'!$A$1:$S$21,'2G'!A27+1,FALSE)=0,"",HLOOKUP((VLOOKUP($I$1,Lists!$B$4:$C$23,2,FALSE)),'Water PR16'!$A$1:$S$21,'2G'!A27+1,FALSE)))</f>
        <v/>
      </c>
      <c r="D27" s="1486"/>
      <c r="E27" s="448"/>
      <c r="F27" s="449"/>
      <c r="G27" s="1856">
        <f t="shared" si="3"/>
        <v>0</v>
      </c>
      <c r="H27" s="1857"/>
      <c r="I27" s="1858">
        <f t="shared" si="0"/>
        <v>0</v>
      </c>
      <c r="J27" s="126"/>
      <c r="K27" s="126"/>
      <c r="L27" s="1859">
        <f xml:space="preserve"> IF( SUM( N27:R27 ) = 0, 0, $O$5 )</f>
        <v>0</v>
      </c>
      <c r="M27" s="70"/>
      <c r="N27" s="71"/>
      <c r="O27" s="93">
        <f t="shared" si="1"/>
        <v>0</v>
      </c>
      <c r="P27" s="93">
        <f t="shared" si="1"/>
        <v>0</v>
      </c>
      <c r="Q27" s="93">
        <f t="shared" si="2"/>
        <v>0</v>
      </c>
      <c r="R27" s="71"/>
      <c r="S27" s="82"/>
      <c r="T27" s="119"/>
      <c r="U27" s="74"/>
      <c r="V27" s="74"/>
      <c r="W27" s="74"/>
      <c r="X27" s="119"/>
      <c r="Y27" s="163"/>
      <c r="AA27" s="355">
        <v>20</v>
      </c>
      <c r="AB27" s="33" t="str">
        <f t="shared" si="4"/>
        <v/>
      </c>
      <c r="AC27" s="1486"/>
      <c r="AD27" s="2467" t="s">
        <v>1863</v>
      </c>
      <c r="AE27" s="2468" t="s">
        <v>1864</v>
      </c>
      <c r="AF27" s="332" t="s">
        <v>1865</v>
      </c>
      <c r="AG27" s="2466" t="s">
        <v>1866</v>
      </c>
      <c r="AH27" s="614" t="s">
        <v>1867</v>
      </c>
    </row>
    <row r="28" spans="1:34" s="315" customFormat="1" ht="17.25" customHeight="1" thickBot="1">
      <c r="A28" s="1666">
        <v>20</v>
      </c>
      <c r="B28" s="356" t="s">
        <v>1868</v>
      </c>
      <c r="C28" s="1860" t="s">
        <v>1869</v>
      </c>
      <c r="D28" s="1481"/>
      <c r="E28" s="333">
        <f xml:space="preserve"> SUM( E9:E27 )</f>
        <v>0</v>
      </c>
      <c r="F28" s="334">
        <f xml:space="preserve"> SUM( F9:F27 )</f>
        <v>0</v>
      </c>
      <c r="G28" s="335">
        <f xml:space="preserve"> SUM( G9:G27 )</f>
        <v>0</v>
      </c>
      <c r="H28" s="344">
        <f xml:space="preserve"> SUM( H9:H27 )</f>
        <v>0</v>
      </c>
      <c r="I28" s="474">
        <f xml:space="preserve"> IF( H28 = 0, 0, F28 / H28 * 1000 )</f>
        <v>0</v>
      </c>
      <c r="J28" s="126"/>
      <c r="K28" s="126"/>
      <c r="L28" s="1859">
        <f xml:space="preserve"> IF( SUM( N28:R28 ) = 0, 0, $O$5 )</f>
        <v>0</v>
      </c>
      <c r="M28" s="70"/>
      <c r="N28" s="71"/>
      <c r="O28" s="93">
        <f t="shared" ref="O28" si="7">IF($C28="",0,IF(ISNUMBER(E28),0,1))</f>
        <v>0</v>
      </c>
      <c r="P28" s="93">
        <f t="shared" ref="P28" si="8">IF($C28="",0,IF(ISNUMBER(F28),0,1))</f>
        <v>0</v>
      </c>
      <c r="Q28" s="93">
        <f t="shared" ref="Q28" si="9">IF($C28="",0,IF(ISNUMBER(H28),0,1))</f>
        <v>0</v>
      </c>
      <c r="R28" s="71"/>
      <c r="S28" s="82"/>
      <c r="T28" s="119"/>
      <c r="U28" s="74"/>
      <c r="V28" s="74"/>
      <c r="W28" s="74"/>
      <c r="X28" s="119"/>
      <c r="Y28" s="163"/>
      <c r="AA28" s="356">
        <v>21</v>
      </c>
      <c r="AB28" s="1860" t="s">
        <v>1869</v>
      </c>
      <c r="AC28" s="1481"/>
      <c r="AD28" s="333" t="s">
        <v>1870</v>
      </c>
      <c r="AE28" s="334" t="s">
        <v>1871</v>
      </c>
      <c r="AF28" s="335" t="s">
        <v>1872</v>
      </c>
      <c r="AG28" s="344" t="s">
        <v>1873</v>
      </c>
      <c r="AH28" s="474" t="s">
        <v>1874</v>
      </c>
    </row>
    <row r="29" spans="1:34" s="70" customFormat="1" ht="14.5" thickBot="1">
      <c r="A29" s="192"/>
      <c r="E29" s="79"/>
      <c r="F29" s="163"/>
      <c r="G29" s="79"/>
      <c r="H29" s="620"/>
      <c r="I29" s="615"/>
      <c r="J29" s="126"/>
      <c r="K29" s="126"/>
      <c r="L29" s="126"/>
      <c r="M29" s="126"/>
      <c r="N29" s="119"/>
      <c r="O29" s="202"/>
      <c r="P29" s="163"/>
      <c r="Q29" s="163"/>
      <c r="R29" s="119"/>
      <c r="S29" s="127"/>
      <c r="T29" s="119"/>
      <c r="U29" s="165"/>
      <c r="V29" s="165"/>
      <c r="W29" s="74"/>
      <c r="X29" s="119"/>
      <c r="Y29" s="163"/>
      <c r="AD29" s="79"/>
      <c r="AE29" s="163"/>
      <c r="AF29" s="79"/>
      <c r="AG29" s="620"/>
      <c r="AH29" s="615"/>
    </row>
    <row r="30" spans="1:34" s="315" customFormat="1" ht="32.25" customHeight="1" thickBot="1">
      <c r="A30" s="262"/>
      <c r="B30" s="353" t="s">
        <v>1875</v>
      </c>
      <c r="C30" s="28" t="s">
        <v>708</v>
      </c>
      <c r="D30" s="1477"/>
      <c r="E30" s="340">
        <f xml:space="preserve"> E28 + E6</f>
        <v>0</v>
      </c>
      <c r="F30" s="341">
        <f xml:space="preserve"> F28 + F6</f>
        <v>0</v>
      </c>
      <c r="G30" s="342">
        <f xml:space="preserve"> G28 + G6</f>
        <v>0</v>
      </c>
      <c r="H30" s="621">
        <f xml:space="preserve"> H28 + H6</f>
        <v>0</v>
      </c>
      <c r="I30" s="611">
        <f xml:space="preserve"> IF( H30 = 0, 0, F30 / H30 * 1000 )</f>
        <v>0</v>
      </c>
      <c r="J30" s="126"/>
      <c r="K30" s="1339" t="str">
        <f xml:space="preserve"> IF( SUM( R30:T30 ) = 0, 0, W30 )</f>
        <v>The total of column 1 should be equal to the sum of lines 2I.1 and 2I.2.</v>
      </c>
      <c r="L30" s="126"/>
      <c r="M30" s="126"/>
      <c r="N30" s="119"/>
      <c r="O30" s="202"/>
      <c r="P30" s="163"/>
      <c r="Q30" s="163"/>
      <c r="R30" s="119"/>
      <c r="S30" s="93">
        <f xml:space="preserve"> IF( (U30 - V30) = 0, 0, 1 )</f>
        <v>1</v>
      </c>
      <c r="T30" s="119"/>
      <c r="U30" s="165">
        <f xml:space="preserve"> ROUND(E30, 3)</f>
        <v>0</v>
      </c>
      <c r="V30" s="165">
        <f xml:space="preserve"> ROUND( SUM( '2I'!H6:H7 ), 3)</f>
        <v>25.702999999999999</v>
      </c>
      <c r="W30" s="74" t="s">
        <v>1876</v>
      </c>
      <c r="X30" s="119"/>
      <c r="Y30" s="163"/>
      <c r="AA30" s="353">
        <v>22</v>
      </c>
      <c r="AB30" s="28" t="s">
        <v>708</v>
      </c>
      <c r="AC30" s="1477"/>
      <c r="AD30" s="340" t="s">
        <v>1877</v>
      </c>
      <c r="AE30" s="341" t="s">
        <v>1878</v>
      </c>
      <c r="AF30" s="342" t="s">
        <v>1879</v>
      </c>
      <c r="AG30" s="621" t="s">
        <v>1880</v>
      </c>
      <c r="AH30" s="611" t="s">
        <v>1881</v>
      </c>
    </row>
    <row r="31" spans="1:34" s="70" customFormat="1" ht="14.5" thickBot="1">
      <c r="A31" s="192"/>
      <c r="F31" s="163"/>
      <c r="H31" s="126"/>
      <c r="J31" s="130"/>
      <c r="K31" s="126"/>
      <c r="L31" s="126"/>
      <c r="M31" s="126"/>
      <c r="N31" s="119"/>
      <c r="O31" s="202"/>
      <c r="P31" s="178"/>
      <c r="Q31" s="178"/>
      <c r="R31" s="119"/>
      <c r="S31" s="483"/>
      <c r="T31" s="119"/>
      <c r="U31" s="74"/>
      <c r="V31" s="74"/>
      <c r="W31" s="74"/>
      <c r="X31" s="119"/>
      <c r="Y31" s="178"/>
      <c r="AE31" s="163"/>
      <c r="AG31" s="126"/>
    </row>
    <row r="32" spans="1:34" s="70" customFormat="1" ht="54.5" thickBot="1">
      <c r="A32" s="192"/>
      <c r="F32" s="163"/>
      <c r="H32" s="350" t="s">
        <v>1882</v>
      </c>
      <c r="I32" s="350" t="s">
        <v>1883</v>
      </c>
      <c r="J32" s="130"/>
      <c r="K32" s="126"/>
      <c r="L32" s="126"/>
      <c r="M32" s="126"/>
      <c r="N32" s="119"/>
      <c r="O32" s="202"/>
      <c r="P32" s="178"/>
      <c r="Q32" s="178"/>
      <c r="R32" s="119"/>
      <c r="S32" s="483"/>
      <c r="T32" s="119"/>
      <c r="U32" s="74"/>
      <c r="V32" s="74"/>
      <c r="W32" s="74"/>
      <c r="X32" s="119"/>
      <c r="Y32" s="178"/>
      <c r="AE32" s="163"/>
      <c r="AG32" s="350" t="s">
        <v>1882</v>
      </c>
      <c r="AH32" s="350" t="s">
        <v>1883</v>
      </c>
    </row>
    <row r="33" spans="1:34" s="308" customFormat="1" ht="15" customHeight="1" thickBot="1">
      <c r="A33" s="74"/>
      <c r="B33" s="261" t="s">
        <v>333</v>
      </c>
      <c r="C33" s="27" t="s">
        <v>1884</v>
      </c>
      <c r="D33" s="1476"/>
      <c r="E33" s="141"/>
      <c r="F33" s="141"/>
      <c r="G33" s="141"/>
      <c r="H33" s="617"/>
      <c r="I33" s="612"/>
      <c r="J33" s="141"/>
      <c r="K33" s="126"/>
      <c r="L33" s="141"/>
      <c r="M33" s="70"/>
      <c r="N33" s="71"/>
      <c r="O33" s="178"/>
      <c r="P33" s="178"/>
      <c r="Q33" s="178"/>
      <c r="R33" s="71"/>
      <c r="S33" s="483"/>
      <c r="T33" s="71"/>
      <c r="U33" s="74"/>
      <c r="V33" s="74"/>
      <c r="W33" s="74"/>
      <c r="X33" s="71"/>
      <c r="Y33" s="70"/>
      <c r="AA33" s="261" t="s">
        <v>333</v>
      </c>
      <c r="AB33" s="27" t="s">
        <v>1884</v>
      </c>
      <c r="AC33" s="1476"/>
      <c r="AD33" s="141"/>
      <c r="AE33" s="141"/>
      <c r="AF33" s="141"/>
      <c r="AG33" s="617"/>
      <c r="AH33" s="612"/>
    </row>
    <row r="34" spans="1:34" s="308" customFormat="1" ht="15" customHeight="1" thickBot="1">
      <c r="A34" s="74"/>
      <c r="B34" s="622" t="s">
        <v>1885</v>
      </c>
      <c r="C34" s="623" t="s">
        <v>708</v>
      </c>
      <c r="D34" s="262"/>
      <c r="E34" s="70"/>
      <c r="F34" s="70"/>
      <c r="G34" s="70"/>
      <c r="H34" s="616"/>
      <c r="I34" s="611">
        <f xml:space="preserve"> IF( H34 = 0, 0, F30 / H34 * 1000 )</f>
        <v>0</v>
      </c>
      <c r="J34" s="70"/>
      <c r="K34" s="126"/>
      <c r="L34" s="24" t="str">
        <f xml:space="preserve"> IF( SUM( N34:R34 ) = 0, 0, $O$5 )</f>
        <v>Please complete all cells in row</v>
      </c>
      <c r="M34" s="70"/>
      <c r="N34" s="71"/>
      <c r="O34" s="127"/>
      <c r="P34" s="127"/>
      <c r="Q34" s="93">
        <f>IF( ISNUMBER( H34 ), 0, 1 )</f>
        <v>1</v>
      </c>
      <c r="R34" s="71"/>
      <c r="S34" s="483"/>
      <c r="T34" s="71"/>
      <c r="U34" s="74"/>
      <c r="V34" s="74"/>
      <c r="W34" s="74"/>
      <c r="X34" s="71"/>
      <c r="Y34" s="70"/>
      <c r="AA34" s="622">
        <f xml:space="preserve"> AA30 + 1</f>
        <v>23</v>
      </c>
      <c r="AB34" s="623" t="s">
        <v>708</v>
      </c>
      <c r="AC34" s="262"/>
      <c r="AD34" s="70"/>
      <c r="AE34" s="70"/>
      <c r="AF34" s="70"/>
      <c r="AG34" s="2460" t="s">
        <v>1886</v>
      </c>
      <c r="AH34" s="611" t="s">
        <v>1887</v>
      </c>
    </row>
    <row r="35" spans="1:34" s="70" customFormat="1">
      <c r="A35" s="192"/>
      <c r="B35" s="74"/>
      <c r="C35" s="360"/>
      <c r="D35" s="360"/>
      <c r="F35" s="163"/>
      <c r="H35" s="126"/>
      <c r="J35" s="130"/>
      <c r="K35" s="126"/>
      <c r="L35" s="126"/>
      <c r="M35" s="126"/>
      <c r="N35" s="119"/>
      <c r="O35" s="202"/>
      <c r="P35" s="178"/>
      <c r="Q35" s="178"/>
      <c r="R35" s="119"/>
      <c r="S35" s="483"/>
      <c r="T35" s="119"/>
      <c r="U35" s="74"/>
      <c r="V35" s="74"/>
      <c r="W35" s="74"/>
      <c r="X35" s="119"/>
      <c r="Y35" s="178"/>
      <c r="AA35" s="74"/>
      <c r="AB35" s="360"/>
      <c r="AC35" s="360"/>
      <c r="AE35" s="163"/>
      <c r="AG35" s="126"/>
    </row>
    <row r="36" spans="1:34" s="163" customFormat="1">
      <c r="A36" s="318"/>
      <c r="B36" s="2914" t="s">
        <v>241</v>
      </c>
      <c r="C36" s="2914"/>
      <c r="D36" s="2823"/>
      <c r="H36" s="126"/>
      <c r="I36" s="70"/>
      <c r="J36" s="130"/>
      <c r="K36" s="126"/>
      <c r="L36" s="126"/>
      <c r="M36" s="126"/>
      <c r="N36" s="119"/>
      <c r="O36" s="202"/>
      <c r="P36" s="178"/>
      <c r="Q36" s="178"/>
      <c r="R36" s="119"/>
      <c r="S36" s="483"/>
      <c r="T36" s="119"/>
      <c r="U36" s="74"/>
      <c r="V36" s="74"/>
      <c r="W36" s="74"/>
      <c r="X36" s="119"/>
      <c r="Y36" s="178"/>
    </row>
    <row r="37" spans="1:34" s="163" customFormat="1">
      <c r="A37" s="318"/>
      <c r="B37" s="141"/>
      <c r="C37" s="142"/>
      <c r="D37" s="142"/>
      <c r="H37" s="126"/>
      <c r="I37" s="70"/>
      <c r="J37" s="118"/>
      <c r="K37" s="126"/>
      <c r="L37" s="120"/>
      <c r="M37" s="118"/>
      <c r="N37" s="124"/>
      <c r="O37" s="256"/>
      <c r="P37" s="110"/>
      <c r="Q37" s="110"/>
      <c r="R37" s="124"/>
      <c r="S37" s="483"/>
      <c r="T37" s="119"/>
      <c r="U37" s="74"/>
      <c r="V37" s="74"/>
      <c r="W37" s="74"/>
      <c r="X37" s="119"/>
      <c r="Y37" s="110"/>
    </row>
    <row r="38" spans="1:34" s="163" customFormat="1">
      <c r="A38" s="318"/>
      <c r="B38" s="25"/>
      <c r="C38" s="143" t="s">
        <v>188</v>
      </c>
      <c r="D38" s="143"/>
      <c r="H38" s="126"/>
      <c r="I38" s="70"/>
      <c r="J38" s="118"/>
      <c r="K38" s="126"/>
      <c r="L38" s="120"/>
      <c r="M38" s="118"/>
      <c r="N38" s="124"/>
      <c r="O38" s="256"/>
      <c r="P38" s="110"/>
      <c r="Q38" s="110"/>
      <c r="R38" s="124"/>
      <c r="S38" s="483"/>
      <c r="T38" s="124"/>
      <c r="U38" s="74"/>
      <c r="V38" s="74"/>
      <c r="W38" s="74"/>
      <c r="X38" s="124"/>
      <c r="Y38" s="110"/>
    </row>
    <row r="39" spans="1:34" s="163" customFormat="1">
      <c r="A39" s="318"/>
      <c r="B39" s="141"/>
      <c r="C39" s="142"/>
      <c r="D39" s="142"/>
      <c r="H39" s="126"/>
      <c r="I39" s="70"/>
      <c r="J39" s="346"/>
      <c r="K39" s="126"/>
      <c r="L39" s="130"/>
      <c r="M39" s="118"/>
      <c r="N39" s="124"/>
      <c r="O39" s="178"/>
      <c r="P39" s="178"/>
      <c r="Q39" s="178"/>
      <c r="R39" s="124"/>
      <c r="S39" s="483"/>
      <c r="T39" s="124"/>
      <c r="U39" s="74"/>
      <c r="V39" s="74"/>
      <c r="W39" s="74"/>
      <c r="X39" s="124"/>
      <c r="Y39" s="178"/>
    </row>
    <row r="40" spans="1:34" s="163" customFormat="1">
      <c r="A40" s="318"/>
      <c r="B40" s="144"/>
      <c r="C40" s="143" t="s">
        <v>189</v>
      </c>
      <c r="D40" s="143"/>
      <c r="H40" s="126"/>
      <c r="I40" s="70"/>
      <c r="J40" s="348"/>
      <c r="K40" s="126"/>
      <c r="L40" s="120"/>
      <c r="M40" s="118"/>
      <c r="N40" s="124"/>
      <c r="O40" s="280"/>
      <c r="P40" s="110"/>
      <c r="Q40" s="110"/>
      <c r="R40" s="124"/>
      <c r="S40" s="483"/>
      <c r="T40" s="124"/>
      <c r="U40" s="74"/>
      <c r="V40" s="74"/>
      <c r="W40" s="74"/>
      <c r="X40" s="124"/>
      <c r="Y40" s="110"/>
    </row>
    <row r="41" spans="1:34" s="163" customFormat="1">
      <c r="A41" s="318"/>
      <c r="B41" s="145"/>
      <c r="C41" s="143"/>
      <c r="D41" s="143"/>
      <c r="H41" s="126"/>
      <c r="I41" s="118"/>
      <c r="J41" s="349"/>
      <c r="K41" s="126"/>
      <c r="L41" s="120"/>
      <c r="M41" s="118"/>
      <c r="N41" s="124"/>
      <c r="O41" s="280"/>
      <c r="P41" s="110"/>
      <c r="Q41" s="110"/>
      <c r="R41" s="124"/>
      <c r="S41" s="110"/>
      <c r="T41" s="124"/>
      <c r="U41" s="74"/>
      <c r="V41" s="74"/>
      <c r="W41" s="74"/>
      <c r="X41" s="124"/>
      <c r="Y41" s="110"/>
    </row>
    <row r="42" spans="1:34" s="178" customFormat="1" ht="14.5" thickBot="1">
      <c r="A42" s="357"/>
      <c r="C42" s="179"/>
      <c r="D42" s="179"/>
      <c r="H42" s="130"/>
      <c r="I42" s="126"/>
      <c r="J42" s="349"/>
      <c r="K42" s="126"/>
      <c r="L42" s="120"/>
      <c r="M42" s="118"/>
      <c r="N42" s="124"/>
      <c r="O42" s="280"/>
      <c r="P42" s="120"/>
      <c r="Q42" s="120"/>
      <c r="R42" s="124"/>
      <c r="S42" s="74"/>
      <c r="T42" s="124"/>
      <c r="U42" s="70"/>
      <c r="V42" s="70"/>
      <c r="W42" s="70"/>
      <c r="X42" s="124"/>
      <c r="Y42" s="120"/>
    </row>
    <row r="43" spans="1:34" s="178" customFormat="1" ht="15.5" thickBot="1">
      <c r="A43" s="357"/>
      <c r="B43" s="2886" t="str">
        <f>'2F'!B20</f>
        <v>Please refer to RAG 4.08 - Guideline for the table definitions in the annual performance report for the reporting year 2019-20</v>
      </c>
      <c r="C43" s="147"/>
      <c r="D43" s="147"/>
      <c r="E43" s="148"/>
      <c r="F43" s="148"/>
      <c r="G43" s="148"/>
      <c r="H43" s="148"/>
      <c r="I43" s="251"/>
      <c r="J43" s="349"/>
      <c r="K43" s="126"/>
      <c r="L43" s="120"/>
      <c r="M43" s="118"/>
      <c r="N43" s="124"/>
      <c r="O43" s="280"/>
      <c r="P43" s="120"/>
      <c r="Q43" s="120"/>
      <c r="R43" s="124"/>
      <c r="S43" s="74"/>
      <c r="T43" s="124"/>
      <c r="U43" s="70"/>
      <c r="V43" s="70"/>
      <c r="W43" s="70"/>
      <c r="X43" s="124"/>
      <c r="Y43" s="120"/>
    </row>
    <row r="44" spans="1:34" s="178" customFormat="1">
      <c r="A44" s="357"/>
      <c r="C44" s="179"/>
      <c r="D44" s="179"/>
      <c r="H44" s="130"/>
      <c r="I44" s="126"/>
      <c r="J44" s="349"/>
      <c r="K44" s="126"/>
      <c r="L44" s="120"/>
      <c r="M44" s="118"/>
      <c r="N44" s="124"/>
      <c r="O44" s="280"/>
      <c r="P44" s="120"/>
      <c r="Q44" s="120"/>
      <c r="R44" s="124"/>
      <c r="S44" s="74"/>
      <c r="T44" s="124"/>
      <c r="U44" s="70"/>
      <c r="V44" s="70"/>
      <c r="W44" s="70"/>
      <c r="X44" s="124"/>
      <c r="Y44" s="120"/>
    </row>
    <row r="45" spans="1:34" s="110" customFormat="1" ht="15.5" hidden="1" thickBot="1">
      <c r="A45" s="1528"/>
      <c r="B45" s="146" t="str">
        <f ca="1" xml:space="preserve"> RIGHT(CELL("filename", $A$1), LEN(CELL("filename", $A$1)) - SEARCH("]", CELL("filename", $A$1)))&amp;" - Line definitions"</f>
        <v>2G - Line definitions</v>
      </c>
      <c r="C45" s="147"/>
      <c r="D45" s="147"/>
      <c r="E45" s="148"/>
      <c r="F45" s="148"/>
      <c r="G45" s="148"/>
      <c r="H45" s="148"/>
      <c r="I45" s="251"/>
      <c r="J45" s="349"/>
      <c r="K45" s="74"/>
      <c r="L45" s="120"/>
      <c r="M45" s="118"/>
      <c r="N45" s="124"/>
      <c r="O45" s="280"/>
      <c r="P45" s="120"/>
      <c r="Q45" s="120"/>
      <c r="R45" s="124"/>
      <c r="S45" s="74"/>
      <c r="T45" s="124"/>
      <c r="U45" s="163"/>
      <c r="V45" s="163"/>
      <c r="W45" s="163"/>
      <c r="X45" s="124"/>
      <c r="Y45" s="120"/>
    </row>
    <row r="46" spans="1:34" s="110" customFormat="1" ht="14.5" hidden="1" thickBot="1">
      <c r="A46" s="1528"/>
      <c r="B46" s="358"/>
      <c r="E46" s="74"/>
      <c r="H46" s="118"/>
      <c r="I46" s="126"/>
      <c r="J46" s="321"/>
      <c r="K46" s="74"/>
      <c r="L46" s="70"/>
      <c r="M46" s="70"/>
      <c r="N46" s="71"/>
      <c r="O46" s="85" t="s">
        <v>193</v>
      </c>
      <c r="P46" s="70"/>
      <c r="Q46" s="70"/>
      <c r="R46" s="71"/>
      <c r="S46" s="74"/>
      <c r="T46" s="124"/>
      <c r="U46" s="163"/>
      <c r="V46" s="163"/>
      <c r="W46" s="163"/>
      <c r="X46" s="124"/>
      <c r="Y46" s="70"/>
    </row>
    <row r="47" spans="1:34" s="178" customFormat="1" ht="14.5" hidden="1" thickBot="1">
      <c r="A47" s="1529"/>
      <c r="B47" s="156" t="s">
        <v>191</v>
      </c>
      <c r="C47" s="2998" t="s">
        <v>192</v>
      </c>
      <c r="D47" s="2998"/>
      <c r="E47" s="2998"/>
      <c r="F47" s="2998"/>
      <c r="G47" s="2998"/>
      <c r="H47" s="2998"/>
      <c r="I47" s="2999"/>
      <c r="J47" s="320"/>
      <c r="K47" s="74"/>
      <c r="L47" s="70"/>
      <c r="M47" s="70"/>
      <c r="N47" s="71"/>
      <c r="O47" s="70">
        <v>1</v>
      </c>
      <c r="P47" s="70"/>
      <c r="Q47" s="70"/>
      <c r="R47" s="71"/>
      <c r="S47" s="74"/>
      <c r="T47" s="71"/>
      <c r="U47" s="163"/>
      <c r="V47" s="163"/>
      <c r="W47" s="163"/>
      <c r="X47" s="71"/>
      <c r="Y47" s="70"/>
    </row>
    <row r="48" spans="1:34" s="110" customFormat="1" ht="14.25" hidden="1" customHeight="1">
      <c r="A48" s="1528"/>
      <c r="B48" s="819">
        <v>1</v>
      </c>
      <c r="C48" s="3000" t="s">
        <v>1888</v>
      </c>
      <c r="D48" s="3000"/>
      <c r="E48" s="3000"/>
      <c r="F48" s="3000"/>
      <c r="G48" s="3000"/>
      <c r="H48" s="3000"/>
      <c r="I48" s="3001"/>
      <c r="J48" s="321"/>
      <c r="K48" s="74"/>
      <c r="L48" s="70"/>
      <c r="M48" s="70"/>
      <c r="N48" s="71"/>
      <c r="O48" s="70">
        <v>1</v>
      </c>
      <c r="P48" s="70"/>
      <c r="Q48" s="70"/>
      <c r="R48" s="71"/>
      <c r="S48" s="74"/>
      <c r="T48" s="71"/>
      <c r="U48" s="163"/>
      <c r="V48" s="163"/>
      <c r="W48" s="163"/>
      <c r="X48" s="71"/>
      <c r="Y48" s="70"/>
    </row>
    <row r="49" spans="1:26" s="110" customFormat="1" ht="14.25" hidden="1" customHeight="1">
      <c r="A49" s="1528"/>
      <c r="B49" s="827" t="s">
        <v>1889</v>
      </c>
      <c r="C49" s="2976" t="s">
        <v>1890</v>
      </c>
      <c r="D49" s="2976"/>
      <c r="E49" s="2976"/>
      <c r="F49" s="2976"/>
      <c r="G49" s="2976"/>
      <c r="H49" s="2976"/>
      <c r="I49" s="2977"/>
      <c r="J49" s="321"/>
      <c r="K49" s="74"/>
      <c r="L49" s="70"/>
      <c r="M49" s="70"/>
      <c r="N49" s="71"/>
      <c r="O49" s="70">
        <v>1</v>
      </c>
      <c r="P49" s="70"/>
      <c r="Q49" s="70"/>
      <c r="R49" s="71"/>
      <c r="S49" s="74"/>
      <c r="T49" s="71"/>
      <c r="U49" s="163"/>
      <c r="V49" s="163"/>
      <c r="W49" s="163"/>
      <c r="X49" s="71"/>
      <c r="Y49" s="70"/>
    </row>
    <row r="50" spans="1:26" s="110" customFormat="1" ht="14.25" hidden="1" customHeight="1">
      <c r="A50" s="1528"/>
      <c r="B50" s="159">
        <v>21</v>
      </c>
      <c r="C50" s="2976" t="s">
        <v>1891</v>
      </c>
      <c r="D50" s="2976"/>
      <c r="E50" s="2976"/>
      <c r="F50" s="2976"/>
      <c r="G50" s="2976"/>
      <c r="H50" s="2976"/>
      <c r="I50" s="2977"/>
      <c r="J50" s="321"/>
      <c r="K50" s="74"/>
      <c r="L50" s="70"/>
      <c r="M50" s="70"/>
      <c r="N50" s="71"/>
      <c r="O50" s="70">
        <v>1</v>
      </c>
      <c r="P50" s="70"/>
      <c r="Q50" s="70"/>
      <c r="R50" s="71"/>
      <c r="S50" s="74"/>
      <c r="T50" s="71"/>
      <c r="U50" s="163"/>
      <c r="V50" s="163"/>
      <c r="W50" s="163"/>
      <c r="X50" s="71"/>
      <c r="Y50" s="70"/>
    </row>
    <row r="51" spans="1:26" s="110" customFormat="1" ht="14.25" hidden="1" customHeight="1">
      <c r="A51" s="1528"/>
      <c r="B51" s="159">
        <v>22</v>
      </c>
      <c r="C51" s="2976" t="s">
        <v>1892</v>
      </c>
      <c r="D51" s="2976"/>
      <c r="E51" s="2976"/>
      <c r="F51" s="2976"/>
      <c r="G51" s="2976"/>
      <c r="H51" s="2976"/>
      <c r="I51" s="2977"/>
      <c r="J51" s="320"/>
      <c r="K51" s="74"/>
      <c r="L51" s="70"/>
      <c r="M51" s="70"/>
      <c r="N51" s="71"/>
      <c r="O51" s="70">
        <v>1</v>
      </c>
      <c r="P51" s="70"/>
      <c r="Q51" s="70"/>
      <c r="R51" s="71"/>
      <c r="S51" s="74"/>
      <c r="T51" s="71"/>
      <c r="U51" s="163"/>
      <c r="V51" s="163"/>
      <c r="W51" s="163"/>
      <c r="X51" s="71"/>
      <c r="Y51" s="70"/>
    </row>
    <row r="52" spans="1:26" ht="14.5" hidden="1" thickBot="1">
      <c r="A52" s="1534"/>
      <c r="B52" s="183">
        <v>23</v>
      </c>
      <c r="C52" s="2996" t="s">
        <v>1893</v>
      </c>
      <c r="D52" s="2996"/>
      <c r="E52" s="2996"/>
      <c r="F52" s="2996"/>
      <c r="G52" s="2996"/>
      <c r="H52" s="2996"/>
      <c r="I52" s="2997"/>
      <c r="J52" s="321"/>
      <c r="U52" s="178"/>
      <c r="V52" s="178"/>
      <c r="W52" s="178"/>
      <c r="Z52" s="483"/>
    </row>
    <row r="53" spans="1:26" hidden="1">
      <c r="A53" s="1534"/>
      <c r="B53" s="483"/>
      <c r="C53" s="483"/>
      <c r="E53" s="483"/>
      <c r="F53" s="483"/>
      <c r="G53" s="483"/>
      <c r="H53" s="483"/>
      <c r="I53" s="483"/>
      <c r="U53" s="178"/>
      <c r="V53" s="178"/>
      <c r="W53" s="178"/>
      <c r="Z53" s="483"/>
    </row>
  </sheetData>
  <sheetProtection algorithmName="SHA-512" hashValue="bmTXKAZlCLt5myB+f9rAXj4UKvs4FifXnY37JTXJSAR/tv9Ot0oPceKXhrS7sYSsUCOhc+B1lWq1Q5MbCFEFsw==" saltValue="M2BJWpDBjCJJqvvxXvjj3A==" spinCount="100000" sheet="1" objects="1" scenarios="1"/>
  <mergeCells count="10">
    <mergeCell ref="AA3:AB3"/>
    <mergeCell ref="C52:I52"/>
    <mergeCell ref="C50:I50"/>
    <mergeCell ref="C51:I51"/>
    <mergeCell ref="B3:C3"/>
    <mergeCell ref="O3:Q3"/>
    <mergeCell ref="B36:C36"/>
    <mergeCell ref="C47:I47"/>
    <mergeCell ref="C48:I48"/>
    <mergeCell ref="C49:I49"/>
  </mergeCells>
  <conditionalFormatting sqref="L9:L27 L6">
    <cfRule type="cellIs" dxfId="411" priority="6" operator="equal">
      <formula>0</formula>
    </cfRule>
  </conditionalFormatting>
  <conditionalFormatting sqref="K30">
    <cfRule type="cellIs" dxfId="410" priority="4" operator="equal">
      <formula>0</formula>
    </cfRule>
  </conditionalFormatting>
  <conditionalFormatting sqref="L34">
    <cfRule type="cellIs" dxfId="409" priority="3" operator="equal">
      <formula>0</formula>
    </cfRule>
  </conditionalFormatting>
  <conditionalFormatting sqref="L28">
    <cfRule type="cellIs" dxfId="40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theme="0" tint="-0.499984740745262"/>
    <pageSetUpPr fitToPage="1"/>
  </sheetPr>
  <dimension ref="A1:AI56"/>
  <sheetViews>
    <sheetView workbookViewId="0"/>
  </sheetViews>
  <sheetFormatPr defaultColWidth="0" defaultRowHeight="14" zeroHeight="1"/>
  <cols>
    <col min="1" max="1" width="0.75" style="82" customWidth="1"/>
    <col min="2" max="2" width="5.08203125" style="8" customWidth="1"/>
    <col min="3" max="3" width="57" style="8" customWidth="1"/>
    <col min="4" max="4" width="12.58203125" style="483" hidden="1" customWidth="1"/>
    <col min="5" max="9" width="12.58203125" style="8" customWidth="1"/>
    <col min="10" max="10" width="2.58203125" style="70" customWidth="1"/>
    <col min="11" max="11" width="32" style="74" customWidth="1"/>
    <col min="12" max="12" width="22.08203125" style="70" customWidth="1"/>
    <col min="13" max="13" width="1.58203125" style="70" customWidth="1"/>
    <col min="14" max="14" width="1.58203125" style="71" hidden="1" customWidth="1"/>
    <col min="15" max="17" width="5.58203125" style="70" hidden="1" customWidth="1"/>
    <col min="18" max="18" width="1.58203125" style="71" hidden="1" customWidth="1"/>
    <col min="19" max="19" width="8.58203125" style="74" hidden="1" customWidth="1"/>
    <col min="20" max="20" width="1.58203125" style="71" hidden="1" customWidth="1"/>
    <col min="21" max="22" width="8.58203125" style="74" hidden="1" customWidth="1"/>
    <col min="23" max="23" width="56.08203125" style="74" hidden="1" customWidth="1"/>
    <col min="24" max="24" width="1.58203125" style="71" hidden="1" customWidth="1"/>
    <col min="25" max="25" width="8.58203125" style="8" hidden="1" customWidth="1"/>
    <col min="26" max="26" width="8.58203125" style="8" customWidth="1"/>
    <col min="27" max="27" width="5.08203125" style="483" customWidth="1"/>
    <col min="28" max="28" width="44" style="483" bestFit="1" customWidth="1"/>
    <col min="29" max="29" width="5.58203125" style="483" hidden="1" customWidth="1"/>
    <col min="30" max="34" width="12.58203125" style="483" customWidth="1"/>
    <col min="35" max="35" width="8.58203125" style="8" customWidth="1"/>
    <col min="36" max="16384" width="8.58203125" style="8" hidden="1"/>
  </cols>
  <sheetData>
    <row r="1" spans="1:34" s="75" customFormat="1" ht="20">
      <c r="A1" s="162"/>
      <c r="B1" s="66" t="s">
        <v>1894</v>
      </c>
      <c r="C1" s="66"/>
      <c r="D1" s="66"/>
      <c r="E1" s="66"/>
      <c r="F1" s="66"/>
      <c r="G1" s="66"/>
      <c r="H1" s="66"/>
      <c r="I1" s="68" t="str">
        <f>Validation!B3</f>
        <v>Bristol Water</v>
      </c>
      <c r="J1" s="66"/>
      <c r="K1" s="69"/>
      <c r="L1" s="69" t="s">
        <v>32</v>
      </c>
      <c r="M1" s="70"/>
      <c r="N1" s="71"/>
      <c r="O1" s="70"/>
      <c r="P1" s="70"/>
      <c r="Q1" s="70"/>
      <c r="R1" s="71"/>
      <c r="S1" s="70"/>
      <c r="T1" s="71"/>
      <c r="U1" s="483"/>
      <c r="V1" s="483"/>
      <c r="W1" s="483"/>
      <c r="X1" s="71"/>
      <c r="AA1" s="66" t="s">
        <v>33</v>
      </c>
      <c r="AB1" s="66"/>
      <c r="AC1" s="66"/>
      <c r="AD1" s="66"/>
      <c r="AE1" s="66"/>
      <c r="AF1" s="66"/>
      <c r="AG1" s="66"/>
      <c r="AH1" s="68"/>
    </row>
    <row r="2" spans="1:34" s="75" customFormat="1" ht="15" customHeight="1" thickBot="1">
      <c r="A2" s="162"/>
      <c r="B2" s="73" t="str">
        <f>'2G'!B2</f>
        <v>For the 12 months ended 31 March 2020</v>
      </c>
      <c r="C2" s="304"/>
      <c r="D2" s="304"/>
      <c r="E2" s="162"/>
      <c r="F2" s="162"/>
      <c r="G2" s="162"/>
      <c r="H2" s="162"/>
      <c r="I2" s="162"/>
      <c r="J2" s="70"/>
      <c r="K2" s="70"/>
      <c r="L2" s="70"/>
      <c r="M2" s="70"/>
      <c r="N2" s="71"/>
      <c r="O2" s="70"/>
      <c r="P2" s="70"/>
      <c r="Q2" s="70"/>
      <c r="R2" s="71"/>
      <c r="S2" s="70"/>
      <c r="T2" s="71"/>
      <c r="U2" s="74"/>
      <c r="V2" s="74"/>
      <c r="W2" s="74"/>
      <c r="X2" s="71"/>
      <c r="AA2" s="73" t="str">
        <f>+B2</f>
        <v>For the 12 months ended 31 March 2020</v>
      </c>
      <c r="AB2" s="304"/>
      <c r="AC2" s="304"/>
      <c r="AD2" s="162"/>
      <c r="AE2" s="162"/>
      <c r="AF2" s="162"/>
      <c r="AG2" s="162"/>
      <c r="AH2" s="162"/>
    </row>
    <row r="3" spans="1:34" s="308" customFormat="1" ht="54.5" thickBot="1">
      <c r="A3" s="74"/>
      <c r="B3" s="3002" t="s">
        <v>34</v>
      </c>
      <c r="C3" s="3003"/>
      <c r="D3" s="1475" t="s">
        <v>35</v>
      </c>
      <c r="E3" s="296" t="s">
        <v>1740</v>
      </c>
      <c r="F3" s="307" t="s">
        <v>1741</v>
      </c>
      <c r="G3" s="297" t="s">
        <v>1742</v>
      </c>
      <c r="H3" s="350" t="s">
        <v>1743</v>
      </c>
      <c r="I3" s="350" t="s">
        <v>1744</v>
      </c>
      <c r="J3" s="351"/>
      <c r="K3" s="186" t="s">
        <v>703</v>
      </c>
      <c r="L3" s="2824" t="s">
        <v>41</v>
      </c>
      <c r="M3" s="70"/>
      <c r="N3" s="71"/>
      <c r="O3" s="2909" t="s">
        <v>45</v>
      </c>
      <c r="P3" s="2980"/>
      <c r="Q3" s="2980"/>
      <c r="R3" s="71"/>
      <c r="S3" s="2822" t="s">
        <v>24</v>
      </c>
      <c r="T3" s="71"/>
      <c r="U3" s="2822" t="s">
        <v>902</v>
      </c>
      <c r="V3" s="2822"/>
      <c r="W3" s="2822"/>
      <c r="X3" s="71"/>
      <c r="AA3" s="3002" t="s">
        <v>34</v>
      </c>
      <c r="AB3" s="3003"/>
      <c r="AC3" s="1475" t="s">
        <v>35</v>
      </c>
      <c r="AD3" s="296" t="s">
        <v>1740</v>
      </c>
      <c r="AE3" s="307" t="s">
        <v>1741</v>
      </c>
      <c r="AF3" s="297" t="s">
        <v>1742</v>
      </c>
      <c r="AG3" s="350" t="s">
        <v>1743</v>
      </c>
      <c r="AH3" s="350" t="s">
        <v>1744</v>
      </c>
    </row>
    <row r="4" spans="1:34" s="308" customFormat="1" ht="15" customHeight="1" thickBot="1">
      <c r="A4" s="74"/>
      <c r="B4" s="74"/>
      <c r="C4" s="352"/>
      <c r="D4" s="352"/>
      <c r="E4" s="74"/>
      <c r="F4" s="74"/>
      <c r="G4" s="74"/>
      <c r="H4" s="74"/>
      <c r="I4" s="74"/>
      <c r="J4" s="70"/>
      <c r="K4" s="70"/>
      <c r="L4" s="70"/>
      <c r="M4" s="70"/>
      <c r="N4" s="71"/>
      <c r="R4" s="71"/>
      <c r="S4" s="2855"/>
      <c r="T4" s="71"/>
      <c r="U4" s="2855"/>
      <c r="V4" s="2855"/>
      <c r="W4" s="2855"/>
      <c r="X4" s="71"/>
      <c r="AA4" s="74"/>
      <c r="AB4" s="352"/>
      <c r="AC4" s="352"/>
      <c r="AD4" s="74"/>
      <c r="AE4" s="74"/>
      <c r="AF4" s="74"/>
      <c r="AG4" s="74"/>
      <c r="AH4" s="74"/>
    </row>
    <row r="5" spans="1:34" s="315" customFormat="1" ht="17.25" customHeight="1" thickBot="1">
      <c r="A5" s="262"/>
      <c r="B5" s="261" t="s">
        <v>153</v>
      </c>
      <c r="C5" s="27" t="s">
        <v>1745</v>
      </c>
      <c r="D5" s="1476"/>
      <c r="E5" s="74"/>
      <c r="F5" s="74"/>
      <c r="G5" s="74"/>
      <c r="H5" s="74"/>
      <c r="I5" s="74"/>
      <c r="J5" s="70"/>
      <c r="K5" s="74"/>
      <c r="L5" s="70"/>
      <c r="M5" s="70"/>
      <c r="N5" s="71"/>
      <c r="O5" s="164" t="s">
        <v>46</v>
      </c>
      <c r="P5" s="127"/>
      <c r="Q5" s="127"/>
      <c r="R5" s="71"/>
      <c r="S5" s="483"/>
      <c r="T5" s="71"/>
      <c r="U5" s="74"/>
      <c r="V5" s="74"/>
      <c r="W5" s="74"/>
      <c r="X5" s="71"/>
      <c r="AA5" s="261" t="s">
        <v>153</v>
      </c>
      <c r="AB5" s="27" t="s">
        <v>1745</v>
      </c>
      <c r="AC5" s="1476"/>
      <c r="AD5" s="74"/>
      <c r="AE5" s="74"/>
      <c r="AF5" s="74"/>
      <c r="AG5" s="74"/>
      <c r="AH5" s="74"/>
    </row>
    <row r="6" spans="1:34" s="315" customFormat="1" ht="17.25" customHeight="1" thickBot="1">
      <c r="A6" s="262"/>
      <c r="B6" s="353" t="s">
        <v>1895</v>
      </c>
      <c r="C6" s="28" t="s">
        <v>1747</v>
      </c>
      <c r="D6" s="1477"/>
      <c r="E6" s="444"/>
      <c r="F6" s="445"/>
      <c r="G6" s="342">
        <f xml:space="preserve"> F6 + E6</f>
        <v>0</v>
      </c>
      <c r="H6" s="616"/>
      <c r="I6" s="611">
        <f xml:space="preserve"> IF( H6 = 0, 0, F6 / H6 * 1000 )</f>
        <v>0</v>
      </c>
      <c r="J6" s="70"/>
      <c r="K6" s="74"/>
      <c r="L6" s="24">
        <f t="shared" ref="L6" si="0" xml:space="preserve"> IF( SUM( N6:R6 ) = 0, 0, $O$5 )</f>
        <v>0</v>
      </c>
      <c r="M6" s="70"/>
      <c r="N6" s="71"/>
      <c r="O6" s="93">
        <f>IF($C6&lt;&gt;"",0,IF(ISNUMBER(E6),0,1))</f>
        <v>0</v>
      </c>
      <c r="P6" s="93">
        <f t="shared" ref="P6:Q6" si="1">IF($C6&lt;&gt;"",0,IF(ISNUMBER(F6),0,1))</f>
        <v>0</v>
      </c>
      <c r="Q6" s="93">
        <f t="shared" si="1"/>
        <v>0</v>
      </c>
      <c r="R6" s="71"/>
      <c r="S6" s="483"/>
      <c r="T6" s="71"/>
      <c r="U6" s="74"/>
      <c r="V6" s="74"/>
      <c r="W6" s="74"/>
      <c r="X6" s="71"/>
      <c r="AA6" s="353">
        <v>1</v>
      </c>
      <c r="AB6" s="28" t="s">
        <v>1747</v>
      </c>
      <c r="AC6" s="1477"/>
      <c r="AD6" s="2458" t="s">
        <v>1896</v>
      </c>
      <c r="AE6" s="2459" t="s">
        <v>1897</v>
      </c>
      <c r="AF6" s="342" t="s">
        <v>1898</v>
      </c>
      <c r="AG6" s="2460" t="s">
        <v>1899</v>
      </c>
      <c r="AH6" s="611" t="s">
        <v>1900</v>
      </c>
    </row>
    <row r="7" spans="1:34" s="308" customFormat="1" ht="15" customHeight="1" thickBot="1">
      <c r="A7" s="74"/>
      <c r="B7" s="74"/>
      <c r="C7" s="352"/>
      <c r="D7" s="352"/>
      <c r="E7" s="141"/>
      <c r="F7" s="141"/>
      <c r="G7" s="141"/>
      <c r="H7" s="617"/>
      <c r="I7" s="612"/>
      <c r="J7" s="141"/>
      <c r="K7" s="74"/>
      <c r="L7" s="141"/>
      <c r="M7" s="70"/>
      <c r="N7" s="71"/>
      <c r="R7" s="71"/>
      <c r="S7" s="483"/>
      <c r="T7" s="71"/>
      <c r="U7" s="74"/>
      <c r="V7" s="74"/>
      <c r="W7" s="74"/>
      <c r="X7" s="71"/>
      <c r="AA7" s="74"/>
      <c r="AB7" s="352"/>
      <c r="AC7" s="352"/>
      <c r="AD7" s="141"/>
      <c r="AE7" s="141"/>
      <c r="AF7" s="141"/>
      <c r="AG7" s="617"/>
      <c r="AH7" s="612"/>
    </row>
    <row r="8" spans="1:34" s="308" customFormat="1" ht="15" customHeight="1" thickBot="1">
      <c r="A8" s="74"/>
      <c r="B8" s="261" t="s">
        <v>175</v>
      </c>
      <c r="C8" s="27" t="s">
        <v>1753</v>
      </c>
      <c r="D8" s="1476"/>
      <c r="E8" s="141"/>
      <c r="F8" s="141"/>
      <c r="G8" s="141"/>
      <c r="H8" s="617"/>
      <c r="I8" s="612"/>
      <c r="J8" s="70"/>
      <c r="K8" s="74"/>
      <c r="L8" s="141"/>
      <c r="M8" s="70"/>
      <c r="N8" s="71"/>
      <c r="R8" s="71"/>
      <c r="S8" s="483"/>
      <c r="T8" s="71"/>
      <c r="U8" s="74"/>
      <c r="V8" s="74"/>
      <c r="W8" s="74"/>
      <c r="X8" s="71"/>
      <c r="AA8" s="261" t="s">
        <v>175</v>
      </c>
      <c r="AB8" s="27" t="s">
        <v>1753</v>
      </c>
      <c r="AC8" s="1476"/>
      <c r="AD8" s="141"/>
      <c r="AE8" s="141"/>
      <c r="AF8" s="141"/>
      <c r="AG8" s="617"/>
      <c r="AH8" s="612"/>
    </row>
    <row r="9" spans="1:34" s="308" customFormat="1" ht="15" customHeight="1">
      <c r="A9" s="1665">
        <v>2</v>
      </c>
      <c r="B9" s="354" t="s">
        <v>1901</v>
      </c>
      <c r="C9" s="32" t="str">
        <f>IF($I$1="Select company","",IF(Validation!$H$3=1,"",(IF(HLOOKUP((VLOOKUP($I$1,Lists!$B$4:$C$23,2,FALSE)),'Sewerage PR16'!$A$1:$S$24,'2H'!A9+1,FALSE)=0,"",HLOOKUP((VLOOKUP($I$1,Lists!$B$4:$C$23,2,FALSE)),'Sewerage PR16'!$A$1:$S$25,'2H'!A9+1,FALSE)))))</f>
        <v/>
      </c>
      <c r="D9" s="1478"/>
      <c r="E9" s="446"/>
      <c r="F9" s="436"/>
      <c r="G9" s="331">
        <f xml:space="preserve"> F9 + E9</f>
        <v>0</v>
      </c>
      <c r="H9" s="618"/>
      <c r="I9" s="613">
        <f t="shared" ref="I9:I31" si="2" xml:space="preserve"> IF( H9 = 0, 0, F9 / H9 * 1000 )</f>
        <v>0</v>
      </c>
      <c r="J9" s="70"/>
      <c r="K9" s="74"/>
      <c r="L9" s="24">
        <f t="shared" ref="L9:L28" si="3" xml:space="preserve"> IF( SUM( N9:R9 ) = 0, 0, $O$5 )</f>
        <v>0</v>
      </c>
      <c r="M9" s="70"/>
      <c r="N9" s="71"/>
      <c r="O9" s="93">
        <f t="shared" ref="O9:P28" si="4">IF($C9="",0,IF(ISNUMBER(E9),0,1))</f>
        <v>0</v>
      </c>
      <c r="P9" s="93">
        <f t="shared" si="4"/>
        <v>0</v>
      </c>
      <c r="Q9" s="93">
        <f t="shared" ref="Q9:Q28" si="5">IF($C9="",0,IF(ISNUMBER(H9),0,1))</f>
        <v>0</v>
      </c>
      <c r="R9" s="71"/>
      <c r="S9" s="483"/>
      <c r="T9" s="71"/>
      <c r="U9" s="74"/>
      <c r="V9" s="74"/>
      <c r="W9" s="74"/>
      <c r="X9" s="71"/>
      <c r="AA9" s="354">
        <f xml:space="preserve"> AA6 + 1</f>
        <v>2</v>
      </c>
      <c r="AB9" s="32" t="str">
        <f>C9</f>
        <v/>
      </c>
      <c r="AC9" s="1478"/>
      <c r="AD9" s="2461" t="s">
        <v>1902</v>
      </c>
      <c r="AE9" s="2462" t="s">
        <v>1903</v>
      </c>
      <c r="AF9" s="331" t="s">
        <v>1904</v>
      </c>
      <c r="AG9" s="2463" t="s">
        <v>1905</v>
      </c>
      <c r="AH9" s="613" t="s">
        <v>1906</v>
      </c>
    </row>
    <row r="10" spans="1:34" s="308" customFormat="1" ht="15" customHeight="1">
      <c r="A10" s="1665">
        <v>3</v>
      </c>
      <c r="B10" s="355" t="s">
        <v>1907</v>
      </c>
      <c r="C10" s="33" t="str">
        <f>IF($I$1="Select company","",IF(Validation!$H$3=1,"",(IF(HLOOKUP((VLOOKUP($I$1,Lists!$B$4:$C$23,2,FALSE)),'Sewerage PR16'!$A$1:$S$24,'2H'!A10+1,FALSE)=0,"",HLOOKUP((VLOOKUP($I$1,Lists!$B$4:$C$23,2,FALSE)),'Sewerage PR16'!$A$1:$S$25,'2H'!A10+1,FALSE)))))</f>
        <v/>
      </c>
      <c r="D10" s="1479"/>
      <c r="E10" s="447"/>
      <c r="F10" s="437"/>
      <c r="G10" s="332">
        <f t="shared" ref="G10:G28" si="6" xml:space="preserve"> F10 + E10</f>
        <v>0</v>
      </c>
      <c r="H10" s="619"/>
      <c r="I10" s="614">
        <f t="shared" si="2"/>
        <v>0</v>
      </c>
      <c r="J10" s="70"/>
      <c r="K10" s="74"/>
      <c r="L10" s="24">
        <f t="shared" si="3"/>
        <v>0</v>
      </c>
      <c r="M10" s="70"/>
      <c r="N10" s="71"/>
      <c r="O10" s="93">
        <f t="shared" si="4"/>
        <v>0</v>
      </c>
      <c r="P10" s="93">
        <f t="shared" si="4"/>
        <v>0</v>
      </c>
      <c r="Q10" s="93">
        <f t="shared" si="5"/>
        <v>0</v>
      </c>
      <c r="R10" s="71"/>
      <c r="S10" s="483"/>
      <c r="T10" s="71"/>
      <c r="U10" s="74"/>
      <c r="V10" s="74"/>
      <c r="W10" s="74"/>
      <c r="X10" s="71"/>
      <c r="AA10" s="355">
        <f xml:space="preserve"> AA9 + 1</f>
        <v>3</v>
      </c>
      <c r="AB10" s="33" t="str">
        <f t="shared" ref="AB10:AB30" si="7">C10</f>
        <v/>
      </c>
      <c r="AC10" s="1479"/>
      <c r="AD10" s="2464" t="s">
        <v>1908</v>
      </c>
      <c r="AE10" s="2465" t="s">
        <v>1909</v>
      </c>
      <c r="AF10" s="332" t="s">
        <v>1910</v>
      </c>
      <c r="AG10" s="2466" t="s">
        <v>1911</v>
      </c>
      <c r="AH10" s="614" t="s">
        <v>1912</v>
      </c>
    </row>
    <row r="11" spans="1:34" s="308" customFormat="1" ht="15" customHeight="1">
      <c r="A11" s="1665">
        <v>4</v>
      </c>
      <c r="B11" s="355" t="s">
        <v>1913</v>
      </c>
      <c r="C11" s="33" t="str">
        <f>IF($I$1="Select company","",IF(Validation!$H$3=1,"",(IF(HLOOKUP((VLOOKUP($I$1,Lists!$B$4:$C$23,2,FALSE)),'Sewerage PR16'!$A$1:$S$24,'2H'!A11+1,FALSE)=0,"",HLOOKUP((VLOOKUP($I$1,Lists!$B$4:$C$23,2,FALSE)),'Sewerage PR16'!$A$1:$S$25,'2H'!A11+1,FALSE)))))</f>
        <v/>
      </c>
      <c r="D11" s="1479"/>
      <c r="E11" s="447"/>
      <c r="F11" s="437"/>
      <c r="G11" s="332">
        <f t="shared" si="6"/>
        <v>0</v>
      </c>
      <c r="H11" s="619"/>
      <c r="I11" s="614">
        <f t="shared" si="2"/>
        <v>0</v>
      </c>
      <c r="J11" s="70"/>
      <c r="K11" s="74"/>
      <c r="L11" s="24">
        <f t="shared" si="3"/>
        <v>0</v>
      </c>
      <c r="M11" s="70"/>
      <c r="N11" s="71"/>
      <c r="O11" s="93">
        <f t="shared" si="4"/>
        <v>0</v>
      </c>
      <c r="P11" s="93">
        <f t="shared" si="4"/>
        <v>0</v>
      </c>
      <c r="Q11" s="93">
        <f t="shared" si="5"/>
        <v>0</v>
      </c>
      <c r="R11" s="71"/>
      <c r="S11" s="483"/>
      <c r="T11" s="71"/>
      <c r="U11" s="74"/>
      <c r="V11" s="74"/>
      <c r="W11" s="74"/>
      <c r="X11" s="71"/>
      <c r="AA11" s="355">
        <f t="shared" ref="AA11:AA28" si="8" xml:space="preserve"> AA10 + 1</f>
        <v>4</v>
      </c>
      <c r="AB11" s="33" t="str">
        <f t="shared" si="7"/>
        <v/>
      </c>
      <c r="AC11" s="1479"/>
      <c r="AD11" s="2464" t="s">
        <v>1914</v>
      </c>
      <c r="AE11" s="2465" t="s">
        <v>1915</v>
      </c>
      <c r="AF11" s="332" t="s">
        <v>1916</v>
      </c>
      <c r="AG11" s="2466" t="s">
        <v>1917</v>
      </c>
      <c r="AH11" s="614" t="s">
        <v>1918</v>
      </c>
    </row>
    <row r="12" spans="1:34" s="315" customFormat="1" ht="15" customHeight="1">
      <c r="A12" s="1666">
        <v>5</v>
      </c>
      <c r="B12" s="355" t="s">
        <v>1919</v>
      </c>
      <c r="C12" s="33" t="str">
        <f>IF($I$1="Select company","",IF(Validation!$H$3=1,"",(IF(HLOOKUP((VLOOKUP($I$1,Lists!$B$4:$C$23,2,FALSE)),'Sewerage PR16'!$A$1:$S$24,'2H'!A12+1,FALSE)=0,"",HLOOKUP((VLOOKUP($I$1,Lists!$B$4:$C$23,2,FALSE)),'Sewerage PR16'!$A$1:$S$25,'2H'!A12+1,FALSE)))))</f>
        <v/>
      </c>
      <c r="D12" s="1479"/>
      <c r="E12" s="447"/>
      <c r="F12" s="437"/>
      <c r="G12" s="332">
        <f t="shared" si="6"/>
        <v>0</v>
      </c>
      <c r="H12" s="619"/>
      <c r="I12" s="614">
        <f t="shared" si="2"/>
        <v>0</v>
      </c>
      <c r="J12" s="70"/>
      <c r="K12" s="74"/>
      <c r="L12" s="24">
        <f t="shared" si="3"/>
        <v>0</v>
      </c>
      <c r="M12" s="70"/>
      <c r="N12" s="71"/>
      <c r="O12" s="93">
        <f t="shared" si="4"/>
        <v>0</v>
      </c>
      <c r="P12" s="93">
        <f t="shared" si="4"/>
        <v>0</v>
      </c>
      <c r="Q12" s="93">
        <f t="shared" si="5"/>
        <v>0</v>
      </c>
      <c r="R12" s="71"/>
      <c r="S12" s="483"/>
      <c r="T12" s="71"/>
      <c r="U12" s="74"/>
      <c r="V12" s="74"/>
      <c r="W12" s="74"/>
      <c r="X12" s="71"/>
      <c r="AA12" s="355">
        <f t="shared" si="8"/>
        <v>5</v>
      </c>
      <c r="AB12" s="33" t="str">
        <f t="shared" si="7"/>
        <v/>
      </c>
      <c r="AC12" s="1479"/>
      <c r="AD12" s="2464" t="s">
        <v>1920</v>
      </c>
      <c r="AE12" s="2465" t="s">
        <v>1921</v>
      </c>
      <c r="AF12" s="332" t="s">
        <v>1922</v>
      </c>
      <c r="AG12" s="2466" t="s">
        <v>1923</v>
      </c>
      <c r="AH12" s="614" t="s">
        <v>1924</v>
      </c>
    </row>
    <row r="13" spans="1:34" s="315" customFormat="1" ht="15" customHeight="1">
      <c r="A13" s="1666">
        <v>6</v>
      </c>
      <c r="B13" s="355" t="s">
        <v>1925</v>
      </c>
      <c r="C13" s="33" t="str">
        <f>IF($I$1="Select company","",IF(Validation!$H$3=1,"",(IF(HLOOKUP((VLOOKUP($I$1,Lists!$B$4:$C$23,2,FALSE)),'Sewerage PR16'!$A$1:$S$24,'2H'!A13+1,FALSE)=0,"",HLOOKUP((VLOOKUP($I$1,Lists!$B$4:$C$23,2,FALSE)),'Sewerage PR16'!$A$1:$S$25,'2H'!A13+1,FALSE)))))</f>
        <v/>
      </c>
      <c r="D13" s="1479"/>
      <c r="E13" s="447"/>
      <c r="F13" s="437"/>
      <c r="G13" s="332">
        <f t="shared" si="6"/>
        <v>0</v>
      </c>
      <c r="H13" s="619"/>
      <c r="I13" s="614">
        <f t="shared" si="2"/>
        <v>0</v>
      </c>
      <c r="J13" s="70"/>
      <c r="K13" s="74"/>
      <c r="L13" s="24">
        <f t="shared" si="3"/>
        <v>0</v>
      </c>
      <c r="M13" s="70"/>
      <c r="N13" s="71"/>
      <c r="O13" s="93">
        <f t="shared" si="4"/>
        <v>0</v>
      </c>
      <c r="P13" s="93">
        <f t="shared" si="4"/>
        <v>0</v>
      </c>
      <c r="Q13" s="93">
        <f t="shared" si="5"/>
        <v>0</v>
      </c>
      <c r="R13" s="71"/>
      <c r="S13" s="483"/>
      <c r="T13" s="71"/>
      <c r="U13" s="74"/>
      <c r="V13" s="74"/>
      <c r="W13" s="74"/>
      <c r="X13" s="71"/>
      <c r="AA13" s="355">
        <f t="shared" si="8"/>
        <v>6</v>
      </c>
      <c r="AB13" s="33" t="str">
        <f t="shared" si="7"/>
        <v/>
      </c>
      <c r="AC13" s="1479"/>
      <c r="AD13" s="2464" t="s">
        <v>1926</v>
      </c>
      <c r="AE13" s="2465" t="s">
        <v>1927</v>
      </c>
      <c r="AF13" s="332" t="s">
        <v>1928</v>
      </c>
      <c r="AG13" s="2466" t="s">
        <v>1929</v>
      </c>
      <c r="AH13" s="614" t="s">
        <v>1930</v>
      </c>
    </row>
    <row r="14" spans="1:34" s="315" customFormat="1" ht="15" customHeight="1">
      <c r="A14" s="1666">
        <v>7</v>
      </c>
      <c r="B14" s="355" t="s">
        <v>1931</v>
      </c>
      <c r="C14" s="33" t="str">
        <f>IF($I$1="Select company","",IF(Validation!$H$3=1,"",(IF(HLOOKUP((VLOOKUP($I$1,Lists!$B$4:$C$23,2,FALSE)),'Sewerage PR16'!$A$1:$S$24,'2H'!A14+1,FALSE)=0,"",HLOOKUP((VLOOKUP($I$1,Lists!$B$4:$C$23,2,FALSE)),'Sewerage PR16'!$A$1:$S$25,'2H'!A14+1,FALSE)))))</f>
        <v/>
      </c>
      <c r="D14" s="1479"/>
      <c r="E14" s="447"/>
      <c r="F14" s="437"/>
      <c r="G14" s="332">
        <f t="shared" si="6"/>
        <v>0</v>
      </c>
      <c r="H14" s="619"/>
      <c r="I14" s="614">
        <f t="shared" si="2"/>
        <v>0</v>
      </c>
      <c r="J14" s="70"/>
      <c r="K14" s="74"/>
      <c r="L14" s="24">
        <f t="shared" si="3"/>
        <v>0</v>
      </c>
      <c r="M14" s="70"/>
      <c r="N14" s="71"/>
      <c r="O14" s="93">
        <f t="shared" si="4"/>
        <v>0</v>
      </c>
      <c r="P14" s="93">
        <f t="shared" si="4"/>
        <v>0</v>
      </c>
      <c r="Q14" s="93">
        <f t="shared" si="5"/>
        <v>0</v>
      </c>
      <c r="R14" s="71"/>
      <c r="S14" s="483"/>
      <c r="T14" s="71"/>
      <c r="U14" s="74"/>
      <c r="V14" s="74"/>
      <c r="W14" s="74"/>
      <c r="X14" s="71"/>
      <c r="AA14" s="355">
        <f t="shared" si="8"/>
        <v>7</v>
      </c>
      <c r="AB14" s="33" t="str">
        <f t="shared" si="7"/>
        <v/>
      </c>
      <c r="AC14" s="1479"/>
      <c r="AD14" s="2464" t="s">
        <v>1932</v>
      </c>
      <c r="AE14" s="2465" t="s">
        <v>1933</v>
      </c>
      <c r="AF14" s="332" t="s">
        <v>1934</v>
      </c>
      <c r="AG14" s="2466" t="s">
        <v>1935</v>
      </c>
      <c r="AH14" s="614" t="s">
        <v>1936</v>
      </c>
    </row>
    <row r="15" spans="1:34" s="315" customFormat="1" ht="15" customHeight="1">
      <c r="A15" s="1666">
        <v>8</v>
      </c>
      <c r="B15" s="355" t="s">
        <v>1937</v>
      </c>
      <c r="C15" s="33" t="str">
        <f>IF($I$1="Select company","",IF(Validation!$H$3=1,"",(IF(HLOOKUP((VLOOKUP($I$1,Lists!$B$4:$C$23,2,FALSE)),'Sewerage PR16'!$A$1:$S$24,'2H'!A15+1,FALSE)=0,"",HLOOKUP((VLOOKUP($I$1,Lists!$B$4:$C$23,2,FALSE)),'Sewerage PR16'!$A$1:$S$25,'2H'!A15+1,FALSE)))))</f>
        <v/>
      </c>
      <c r="D15" s="1479"/>
      <c r="E15" s="447"/>
      <c r="F15" s="437"/>
      <c r="G15" s="332">
        <f t="shared" si="6"/>
        <v>0</v>
      </c>
      <c r="H15" s="619"/>
      <c r="I15" s="614">
        <f t="shared" si="2"/>
        <v>0</v>
      </c>
      <c r="J15" s="70"/>
      <c r="K15" s="74"/>
      <c r="L15" s="24">
        <f t="shared" si="3"/>
        <v>0</v>
      </c>
      <c r="M15" s="70"/>
      <c r="N15" s="71"/>
      <c r="O15" s="93">
        <f t="shared" si="4"/>
        <v>0</v>
      </c>
      <c r="P15" s="93">
        <f t="shared" si="4"/>
        <v>0</v>
      </c>
      <c r="Q15" s="93">
        <f t="shared" si="5"/>
        <v>0</v>
      </c>
      <c r="R15" s="71"/>
      <c r="S15" s="483"/>
      <c r="T15" s="71"/>
      <c r="U15" s="74"/>
      <c r="V15" s="74"/>
      <c r="W15" s="74"/>
      <c r="X15" s="71"/>
      <c r="AA15" s="355">
        <f t="shared" si="8"/>
        <v>8</v>
      </c>
      <c r="AB15" s="33" t="str">
        <f t="shared" si="7"/>
        <v/>
      </c>
      <c r="AC15" s="1479"/>
      <c r="AD15" s="2464" t="s">
        <v>1938</v>
      </c>
      <c r="AE15" s="2465" t="s">
        <v>1939</v>
      </c>
      <c r="AF15" s="332" t="s">
        <v>1940</v>
      </c>
      <c r="AG15" s="2466" t="s">
        <v>1941</v>
      </c>
      <c r="AH15" s="614" t="s">
        <v>1942</v>
      </c>
    </row>
    <row r="16" spans="1:34" s="315" customFormat="1" ht="15" customHeight="1">
      <c r="A16" s="1666">
        <v>9</v>
      </c>
      <c r="B16" s="355" t="s">
        <v>1943</v>
      </c>
      <c r="C16" s="33" t="str">
        <f>IF($I$1="Select company","",IF(Validation!$H$3=1,"",(IF(HLOOKUP((VLOOKUP($I$1,Lists!$B$4:$C$23,2,FALSE)),'Sewerage PR16'!$A$1:$S$24,'2H'!A16+1,FALSE)=0,"",HLOOKUP((VLOOKUP($I$1,Lists!$B$4:$C$23,2,FALSE)),'Sewerage PR16'!$A$1:$S$25,'2H'!A16+1,FALSE)))))</f>
        <v/>
      </c>
      <c r="D16" s="1479"/>
      <c r="E16" s="447"/>
      <c r="F16" s="437"/>
      <c r="G16" s="332">
        <f t="shared" si="6"/>
        <v>0</v>
      </c>
      <c r="H16" s="619"/>
      <c r="I16" s="614">
        <f t="shared" si="2"/>
        <v>0</v>
      </c>
      <c r="J16" s="70"/>
      <c r="K16" s="74"/>
      <c r="L16" s="24">
        <f t="shared" si="3"/>
        <v>0</v>
      </c>
      <c r="M16" s="70"/>
      <c r="N16" s="71"/>
      <c r="O16" s="93">
        <f t="shared" si="4"/>
        <v>0</v>
      </c>
      <c r="P16" s="93">
        <f t="shared" si="4"/>
        <v>0</v>
      </c>
      <c r="Q16" s="93">
        <f t="shared" si="5"/>
        <v>0</v>
      </c>
      <c r="R16" s="71"/>
      <c r="S16" s="483"/>
      <c r="T16" s="71"/>
      <c r="U16" s="74"/>
      <c r="V16" s="74"/>
      <c r="W16" s="74"/>
      <c r="X16" s="71"/>
      <c r="AA16" s="355">
        <f t="shared" si="8"/>
        <v>9</v>
      </c>
      <c r="AB16" s="33" t="str">
        <f t="shared" si="7"/>
        <v/>
      </c>
      <c r="AC16" s="1479"/>
      <c r="AD16" s="2464" t="s">
        <v>1944</v>
      </c>
      <c r="AE16" s="2465" t="s">
        <v>1945</v>
      </c>
      <c r="AF16" s="332" t="s">
        <v>1946</v>
      </c>
      <c r="AG16" s="2466" t="s">
        <v>1947</v>
      </c>
      <c r="AH16" s="614" t="s">
        <v>1948</v>
      </c>
    </row>
    <row r="17" spans="1:34" s="315" customFormat="1" ht="15" customHeight="1">
      <c r="A17" s="1666">
        <v>10</v>
      </c>
      <c r="B17" s="355" t="s">
        <v>1949</v>
      </c>
      <c r="C17" s="33" t="str">
        <f>IF($I$1="Select company","",IF(Validation!$H$3=1,"",(IF(HLOOKUP((VLOOKUP($I$1,Lists!$B$4:$C$23,2,FALSE)),'Sewerage PR16'!$A$1:$S$24,'2H'!A17+1,FALSE)=0,"",HLOOKUP((VLOOKUP($I$1,Lists!$B$4:$C$23,2,FALSE)),'Sewerage PR16'!$A$1:$S$25,'2H'!A17+1,FALSE)))))</f>
        <v/>
      </c>
      <c r="D17" s="1479"/>
      <c r="E17" s="447"/>
      <c r="F17" s="437"/>
      <c r="G17" s="332">
        <f t="shared" si="6"/>
        <v>0</v>
      </c>
      <c r="H17" s="619"/>
      <c r="I17" s="614">
        <f t="shared" si="2"/>
        <v>0</v>
      </c>
      <c r="J17" s="70"/>
      <c r="K17" s="74"/>
      <c r="L17" s="24">
        <f t="shared" si="3"/>
        <v>0</v>
      </c>
      <c r="M17" s="70"/>
      <c r="N17" s="71"/>
      <c r="O17" s="93">
        <f t="shared" si="4"/>
        <v>0</v>
      </c>
      <c r="P17" s="93">
        <f t="shared" si="4"/>
        <v>0</v>
      </c>
      <c r="Q17" s="93">
        <f t="shared" si="5"/>
        <v>0</v>
      </c>
      <c r="R17" s="71"/>
      <c r="S17" s="483"/>
      <c r="T17" s="71"/>
      <c r="U17" s="74"/>
      <c r="V17" s="74"/>
      <c r="W17" s="74"/>
      <c r="X17" s="71"/>
      <c r="AA17" s="355">
        <f t="shared" si="8"/>
        <v>10</v>
      </c>
      <c r="AB17" s="33" t="str">
        <f t="shared" si="7"/>
        <v/>
      </c>
      <c r="AC17" s="1479"/>
      <c r="AD17" s="2464" t="s">
        <v>1950</v>
      </c>
      <c r="AE17" s="2465" t="s">
        <v>1951</v>
      </c>
      <c r="AF17" s="332" t="s">
        <v>1952</v>
      </c>
      <c r="AG17" s="2466" t="s">
        <v>1953</v>
      </c>
      <c r="AH17" s="614" t="s">
        <v>1954</v>
      </c>
    </row>
    <row r="18" spans="1:34" s="315" customFormat="1" ht="15" customHeight="1">
      <c r="A18" s="1666">
        <v>11</v>
      </c>
      <c r="B18" s="355" t="s">
        <v>1955</v>
      </c>
      <c r="C18" s="33" t="str">
        <f>IF($I$1="Select company","",IF(Validation!$H$3=1,"",(IF(HLOOKUP((VLOOKUP($I$1,Lists!$B$4:$C$23,2,FALSE)),'Sewerage PR16'!$A$1:$S$24,'2H'!A18+1,FALSE)=0,"",HLOOKUP((VLOOKUP($I$1,Lists!$B$4:$C$23,2,FALSE)),'Sewerage PR16'!$A$1:$S$25,'2H'!A18+1,FALSE)))))</f>
        <v/>
      </c>
      <c r="D18" s="1479"/>
      <c r="E18" s="447"/>
      <c r="F18" s="437"/>
      <c r="G18" s="332">
        <f t="shared" si="6"/>
        <v>0</v>
      </c>
      <c r="H18" s="619"/>
      <c r="I18" s="614">
        <f t="shared" si="2"/>
        <v>0</v>
      </c>
      <c r="J18" s="70"/>
      <c r="K18" s="74"/>
      <c r="L18" s="24">
        <f t="shared" si="3"/>
        <v>0</v>
      </c>
      <c r="M18" s="70"/>
      <c r="N18" s="71"/>
      <c r="O18" s="93">
        <f t="shared" si="4"/>
        <v>0</v>
      </c>
      <c r="P18" s="93">
        <f t="shared" si="4"/>
        <v>0</v>
      </c>
      <c r="Q18" s="93">
        <f t="shared" si="5"/>
        <v>0</v>
      </c>
      <c r="R18" s="71"/>
      <c r="S18" s="483"/>
      <c r="T18" s="71"/>
      <c r="U18" s="74"/>
      <c r="V18" s="74"/>
      <c r="W18" s="74"/>
      <c r="X18" s="71"/>
      <c r="AA18" s="355">
        <f t="shared" si="8"/>
        <v>11</v>
      </c>
      <c r="AB18" s="33" t="str">
        <f t="shared" si="7"/>
        <v/>
      </c>
      <c r="AC18" s="1479"/>
      <c r="AD18" s="2464" t="s">
        <v>1956</v>
      </c>
      <c r="AE18" s="2465" t="s">
        <v>1957</v>
      </c>
      <c r="AF18" s="332" t="s">
        <v>1958</v>
      </c>
      <c r="AG18" s="2466" t="s">
        <v>1959</v>
      </c>
      <c r="AH18" s="614" t="s">
        <v>1960</v>
      </c>
    </row>
    <row r="19" spans="1:34" s="315" customFormat="1" ht="15" customHeight="1">
      <c r="A19" s="1666">
        <v>12</v>
      </c>
      <c r="B19" s="355" t="s">
        <v>1961</v>
      </c>
      <c r="C19" s="33" t="str">
        <f>IF($I$1="Select company","",IF(Validation!$H$3=1,"",(IF(HLOOKUP((VLOOKUP($I$1,Lists!$B$4:$C$23,2,FALSE)),'Sewerage PR16'!$A$1:$S$24,'2H'!A19+1,FALSE)=0,"",HLOOKUP((VLOOKUP($I$1,Lists!$B$4:$C$23,2,FALSE)),'Sewerage PR16'!$A$1:$S$25,'2H'!A19+1,FALSE)))))</f>
        <v/>
      </c>
      <c r="D19" s="1479"/>
      <c r="E19" s="447"/>
      <c r="F19" s="437"/>
      <c r="G19" s="332">
        <f t="shared" si="6"/>
        <v>0</v>
      </c>
      <c r="H19" s="619"/>
      <c r="I19" s="614">
        <f t="shared" si="2"/>
        <v>0</v>
      </c>
      <c r="J19" s="70"/>
      <c r="K19" s="74"/>
      <c r="L19" s="24">
        <f t="shared" si="3"/>
        <v>0</v>
      </c>
      <c r="M19" s="70"/>
      <c r="N19" s="71"/>
      <c r="O19" s="93">
        <f t="shared" si="4"/>
        <v>0</v>
      </c>
      <c r="P19" s="93">
        <f t="shared" si="4"/>
        <v>0</v>
      </c>
      <c r="Q19" s="93">
        <f t="shared" si="5"/>
        <v>0</v>
      </c>
      <c r="R19" s="71"/>
      <c r="S19" s="483"/>
      <c r="T19" s="71"/>
      <c r="U19" s="74"/>
      <c r="V19" s="74"/>
      <c r="W19" s="74"/>
      <c r="X19" s="71"/>
      <c r="AA19" s="355">
        <f t="shared" si="8"/>
        <v>12</v>
      </c>
      <c r="AB19" s="33" t="str">
        <f t="shared" si="7"/>
        <v/>
      </c>
      <c r="AC19" s="1479"/>
      <c r="AD19" s="2464" t="s">
        <v>1962</v>
      </c>
      <c r="AE19" s="2465" t="s">
        <v>1963</v>
      </c>
      <c r="AF19" s="332" t="s">
        <v>1964</v>
      </c>
      <c r="AG19" s="2466" t="s">
        <v>1965</v>
      </c>
      <c r="AH19" s="614" t="s">
        <v>1966</v>
      </c>
    </row>
    <row r="20" spans="1:34" s="315" customFormat="1" ht="15" customHeight="1">
      <c r="A20" s="1666">
        <v>13</v>
      </c>
      <c r="B20" s="355" t="s">
        <v>1967</v>
      </c>
      <c r="C20" s="33" t="str">
        <f>IF($I$1="Select company","",IF(Validation!$H$3=1,"",(IF(HLOOKUP((VLOOKUP($I$1,Lists!$B$4:$C$23,2,FALSE)),'Sewerage PR16'!$A$1:$S$24,'2H'!A20+1,FALSE)=0,"",HLOOKUP((VLOOKUP($I$1,Lists!$B$4:$C$23,2,FALSE)),'Sewerage PR16'!$A$1:$S$25,'2H'!A20+1,FALSE)))))</f>
        <v/>
      </c>
      <c r="D20" s="1479"/>
      <c r="E20" s="447"/>
      <c r="F20" s="437"/>
      <c r="G20" s="332">
        <f t="shared" si="6"/>
        <v>0</v>
      </c>
      <c r="H20" s="619"/>
      <c r="I20" s="614">
        <f t="shared" si="2"/>
        <v>0</v>
      </c>
      <c r="J20" s="70"/>
      <c r="K20" s="74"/>
      <c r="L20" s="24">
        <f t="shared" si="3"/>
        <v>0</v>
      </c>
      <c r="M20" s="70"/>
      <c r="N20" s="71"/>
      <c r="O20" s="93">
        <f t="shared" si="4"/>
        <v>0</v>
      </c>
      <c r="P20" s="93">
        <f t="shared" si="4"/>
        <v>0</v>
      </c>
      <c r="Q20" s="93">
        <f t="shared" si="5"/>
        <v>0</v>
      </c>
      <c r="R20" s="71"/>
      <c r="S20" s="483"/>
      <c r="T20" s="71"/>
      <c r="U20" s="74"/>
      <c r="V20" s="74"/>
      <c r="W20" s="74"/>
      <c r="X20" s="71"/>
      <c r="AA20" s="355">
        <f t="shared" si="8"/>
        <v>13</v>
      </c>
      <c r="AB20" s="33" t="str">
        <f t="shared" si="7"/>
        <v/>
      </c>
      <c r="AC20" s="1479"/>
      <c r="AD20" s="2464" t="s">
        <v>1968</v>
      </c>
      <c r="AE20" s="2465" t="s">
        <v>1969</v>
      </c>
      <c r="AF20" s="332" t="s">
        <v>1970</v>
      </c>
      <c r="AG20" s="2466" t="s">
        <v>1971</v>
      </c>
      <c r="AH20" s="614" t="s">
        <v>1972</v>
      </c>
    </row>
    <row r="21" spans="1:34" s="315" customFormat="1" ht="15" customHeight="1">
      <c r="A21" s="1666">
        <v>14</v>
      </c>
      <c r="B21" s="355" t="s">
        <v>1973</v>
      </c>
      <c r="C21" s="33" t="str">
        <f>IF($I$1="Select company","",IF(Validation!$H$3=1,"",(IF(HLOOKUP((VLOOKUP($I$1,Lists!$B$4:$C$23,2,FALSE)),'Sewerage PR16'!$A$1:$S$24,'2H'!A21+1,FALSE)=0,"",HLOOKUP((VLOOKUP($I$1,Lists!$B$4:$C$23,2,FALSE)),'Sewerage PR16'!$A$1:$S$25,'2H'!A21+1,FALSE)))))</f>
        <v/>
      </c>
      <c r="D21" s="1479"/>
      <c r="E21" s="447"/>
      <c r="F21" s="437"/>
      <c r="G21" s="332">
        <f t="shared" si="6"/>
        <v>0</v>
      </c>
      <c r="H21" s="619"/>
      <c r="I21" s="614">
        <f t="shared" si="2"/>
        <v>0</v>
      </c>
      <c r="J21" s="70"/>
      <c r="K21" s="74"/>
      <c r="L21" s="24">
        <f t="shared" si="3"/>
        <v>0</v>
      </c>
      <c r="M21" s="70"/>
      <c r="N21" s="71"/>
      <c r="O21" s="93">
        <f t="shared" si="4"/>
        <v>0</v>
      </c>
      <c r="P21" s="93">
        <f t="shared" si="4"/>
        <v>0</v>
      </c>
      <c r="Q21" s="93">
        <f t="shared" si="5"/>
        <v>0</v>
      </c>
      <c r="R21" s="71"/>
      <c r="S21" s="483"/>
      <c r="T21" s="71"/>
      <c r="U21" s="74"/>
      <c r="V21" s="74"/>
      <c r="W21" s="74"/>
      <c r="X21" s="71"/>
      <c r="AA21" s="355">
        <f t="shared" si="8"/>
        <v>14</v>
      </c>
      <c r="AB21" s="33" t="str">
        <f t="shared" si="7"/>
        <v/>
      </c>
      <c r="AC21" s="1479"/>
      <c r="AD21" s="2464" t="s">
        <v>1974</v>
      </c>
      <c r="AE21" s="2465" t="s">
        <v>1975</v>
      </c>
      <c r="AF21" s="332" t="s">
        <v>1976</v>
      </c>
      <c r="AG21" s="2466" t="s">
        <v>1977</v>
      </c>
      <c r="AH21" s="614" t="s">
        <v>1978</v>
      </c>
    </row>
    <row r="22" spans="1:34" s="315" customFormat="1" ht="15" customHeight="1">
      <c r="A22" s="1666">
        <v>15</v>
      </c>
      <c r="B22" s="355" t="s">
        <v>1979</v>
      </c>
      <c r="C22" s="33" t="str">
        <f>IF($I$1="Select company","",IF(Validation!$H$3=1,"",(IF(HLOOKUP((VLOOKUP($I$1,Lists!$B$4:$C$23,2,FALSE)),'Sewerage PR16'!$A$1:$S$24,'2H'!A22+1,FALSE)=0,"",HLOOKUP((VLOOKUP($I$1,Lists!$B$4:$C$23,2,FALSE)),'Sewerage PR16'!$A$1:$S$25,'2H'!A22+1,FALSE)))))</f>
        <v/>
      </c>
      <c r="D22" s="1479"/>
      <c r="E22" s="447"/>
      <c r="F22" s="437"/>
      <c r="G22" s="332">
        <f t="shared" si="6"/>
        <v>0</v>
      </c>
      <c r="H22" s="619"/>
      <c r="I22" s="614">
        <f t="shared" si="2"/>
        <v>0</v>
      </c>
      <c r="J22" s="118"/>
      <c r="K22" s="74"/>
      <c r="L22" s="24">
        <f t="shared" si="3"/>
        <v>0</v>
      </c>
      <c r="M22" s="70"/>
      <c r="N22" s="71"/>
      <c r="O22" s="93">
        <f t="shared" si="4"/>
        <v>0</v>
      </c>
      <c r="P22" s="93">
        <f t="shared" si="4"/>
        <v>0</v>
      </c>
      <c r="Q22" s="93">
        <f t="shared" si="5"/>
        <v>0</v>
      </c>
      <c r="R22" s="71"/>
      <c r="S22" s="82"/>
      <c r="T22" s="71"/>
      <c r="U22" s="74"/>
      <c r="V22" s="74"/>
      <c r="W22" s="74"/>
      <c r="X22" s="71"/>
      <c r="AA22" s="355">
        <f t="shared" si="8"/>
        <v>15</v>
      </c>
      <c r="AB22" s="33" t="str">
        <f t="shared" si="7"/>
        <v/>
      </c>
      <c r="AC22" s="1479"/>
      <c r="AD22" s="2464" t="s">
        <v>1980</v>
      </c>
      <c r="AE22" s="2465" t="s">
        <v>1981</v>
      </c>
      <c r="AF22" s="332" t="s">
        <v>1982</v>
      </c>
      <c r="AG22" s="2466" t="s">
        <v>1983</v>
      </c>
      <c r="AH22" s="614" t="s">
        <v>1984</v>
      </c>
    </row>
    <row r="23" spans="1:34" s="315" customFormat="1" ht="15" customHeight="1">
      <c r="A23" s="1666">
        <v>16</v>
      </c>
      <c r="B23" s="355" t="s">
        <v>1985</v>
      </c>
      <c r="C23" s="33" t="str">
        <f>IF($I$1="Select company","",IF(Validation!$H$3=1,"",(IF(HLOOKUP((VLOOKUP($I$1,Lists!$B$4:$C$23,2,FALSE)),'Sewerage PR16'!$A$1:$S$24,'2H'!A23+1,FALSE)=0,"",HLOOKUP((VLOOKUP($I$1,Lists!$B$4:$C$23,2,FALSE)),'Sewerage PR16'!$A$1:$S$25,'2H'!A23+1,FALSE)))))</f>
        <v/>
      </c>
      <c r="D23" s="1479"/>
      <c r="E23" s="447"/>
      <c r="F23" s="437"/>
      <c r="G23" s="332">
        <f t="shared" si="6"/>
        <v>0</v>
      </c>
      <c r="H23" s="619"/>
      <c r="I23" s="614">
        <f t="shared" si="2"/>
        <v>0</v>
      </c>
      <c r="J23" s="126"/>
      <c r="K23" s="74"/>
      <c r="L23" s="24">
        <f t="shared" si="3"/>
        <v>0</v>
      </c>
      <c r="M23" s="70"/>
      <c r="N23" s="71"/>
      <c r="O23" s="93">
        <f t="shared" si="4"/>
        <v>0</v>
      </c>
      <c r="P23" s="93">
        <f t="shared" si="4"/>
        <v>0</v>
      </c>
      <c r="Q23" s="93">
        <f t="shared" si="5"/>
        <v>0</v>
      </c>
      <c r="R23" s="71"/>
      <c r="S23" s="127"/>
      <c r="T23" s="124"/>
      <c r="U23" s="165"/>
      <c r="V23" s="165"/>
      <c r="W23" s="74"/>
      <c r="X23" s="124"/>
      <c r="AA23" s="355">
        <f t="shared" si="8"/>
        <v>16</v>
      </c>
      <c r="AB23" s="33" t="str">
        <f t="shared" si="7"/>
        <v/>
      </c>
      <c r="AC23" s="1479"/>
      <c r="AD23" s="2464" t="s">
        <v>1986</v>
      </c>
      <c r="AE23" s="2465" t="s">
        <v>1987</v>
      </c>
      <c r="AF23" s="332" t="s">
        <v>1988</v>
      </c>
      <c r="AG23" s="2466" t="s">
        <v>1989</v>
      </c>
      <c r="AH23" s="614" t="s">
        <v>1990</v>
      </c>
    </row>
    <row r="24" spans="1:34" s="315" customFormat="1" ht="15" customHeight="1">
      <c r="A24" s="1666">
        <v>17</v>
      </c>
      <c r="B24" s="355" t="s">
        <v>1991</v>
      </c>
      <c r="C24" s="33" t="str">
        <f>IF($I$1="Select company","",IF(Validation!$H$3=1,"",(IF(HLOOKUP((VLOOKUP($I$1,Lists!$B$4:$C$23,2,FALSE)),'Sewerage PR16'!$A$1:$S$24,'2H'!A24+1,FALSE)=0,"",HLOOKUP((VLOOKUP($I$1,Lists!$B$4:$C$23,2,FALSE)),'Sewerage PR16'!$A$1:$S$25,'2H'!A24+1,FALSE)))))</f>
        <v/>
      </c>
      <c r="D24" s="1479"/>
      <c r="E24" s="447"/>
      <c r="F24" s="449"/>
      <c r="G24" s="332">
        <f t="shared" si="6"/>
        <v>0</v>
      </c>
      <c r="H24" s="619"/>
      <c r="I24" s="614">
        <f t="shared" si="2"/>
        <v>0</v>
      </c>
      <c r="J24" s="126"/>
      <c r="K24" s="74"/>
      <c r="L24" s="24">
        <f t="shared" si="3"/>
        <v>0</v>
      </c>
      <c r="M24" s="70"/>
      <c r="N24" s="71"/>
      <c r="O24" s="93">
        <f t="shared" si="4"/>
        <v>0</v>
      </c>
      <c r="P24" s="93">
        <f t="shared" si="4"/>
        <v>0</v>
      </c>
      <c r="Q24" s="93">
        <f t="shared" si="5"/>
        <v>0</v>
      </c>
      <c r="R24" s="71"/>
      <c r="S24" s="82"/>
      <c r="T24" s="119"/>
      <c r="U24" s="74"/>
      <c r="V24" s="74"/>
      <c r="W24" s="74"/>
      <c r="X24" s="119"/>
      <c r="AA24" s="355">
        <f t="shared" si="8"/>
        <v>17</v>
      </c>
      <c r="AB24" s="33" t="str">
        <f t="shared" si="7"/>
        <v/>
      </c>
      <c r="AC24" s="1479"/>
      <c r="AD24" s="2464" t="s">
        <v>1992</v>
      </c>
      <c r="AE24" s="2465" t="s">
        <v>1993</v>
      </c>
      <c r="AF24" s="332" t="s">
        <v>1994</v>
      </c>
      <c r="AG24" s="2466" t="s">
        <v>1995</v>
      </c>
      <c r="AH24" s="614" t="s">
        <v>1996</v>
      </c>
    </row>
    <row r="25" spans="1:34" s="315" customFormat="1" ht="15" customHeight="1">
      <c r="A25" s="1666">
        <v>18</v>
      </c>
      <c r="B25" s="355" t="s">
        <v>1997</v>
      </c>
      <c r="C25" s="33" t="str">
        <f>IF($I$1="Select company","",IF(Validation!$H$3=1,"",(IF(HLOOKUP((VLOOKUP($I$1,Lists!$B$4:$C$23,2,FALSE)),'Sewerage PR16'!$A$1:$S$24,'2H'!A25+1,FALSE)=0,"",HLOOKUP((VLOOKUP($I$1,Lists!$B$4:$C$23,2,FALSE)),'Sewerage PR16'!$A$1:$S$25,'2H'!A25+1,FALSE)))))</f>
        <v/>
      </c>
      <c r="D25" s="1479"/>
      <c r="E25" s="447"/>
      <c r="F25" s="449"/>
      <c r="G25" s="332">
        <f t="shared" si="6"/>
        <v>0</v>
      </c>
      <c r="H25" s="619"/>
      <c r="I25" s="614">
        <f t="shared" si="2"/>
        <v>0</v>
      </c>
      <c r="J25" s="126"/>
      <c r="K25" s="74"/>
      <c r="L25" s="24">
        <f t="shared" si="3"/>
        <v>0</v>
      </c>
      <c r="M25" s="70"/>
      <c r="N25" s="71"/>
      <c r="O25" s="93">
        <f t="shared" si="4"/>
        <v>0</v>
      </c>
      <c r="P25" s="93">
        <f t="shared" si="4"/>
        <v>0</v>
      </c>
      <c r="Q25" s="93">
        <f t="shared" si="5"/>
        <v>0</v>
      </c>
      <c r="R25" s="71"/>
      <c r="S25" s="82"/>
      <c r="T25" s="119"/>
      <c r="U25" s="74"/>
      <c r="V25" s="74"/>
      <c r="W25" s="74"/>
      <c r="X25" s="119"/>
      <c r="AA25" s="355">
        <f t="shared" si="8"/>
        <v>18</v>
      </c>
      <c r="AB25" s="33" t="str">
        <f t="shared" si="7"/>
        <v/>
      </c>
      <c r="AC25" s="1479"/>
      <c r="AD25" s="2464" t="s">
        <v>1998</v>
      </c>
      <c r="AE25" s="2465" t="s">
        <v>1999</v>
      </c>
      <c r="AF25" s="332" t="s">
        <v>2000</v>
      </c>
      <c r="AG25" s="2466" t="s">
        <v>2001</v>
      </c>
      <c r="AH25" s="614" t="s">
        <v>2002</v>
      </c>
    </row>
    <row r="26" spans="1:34" s="315" customFormat="1" ht="15" customHeight="1">
      <c r="A26" s="1666">
        <v>19</v>
      </c>
      <c r="B26" s="355" t="s">
        <v>2003</v>
      </c>
      <c r="C26" s="33" t="str">
        <f>IF($I$1="Select company","",IF(Validation!$H$3=1,"",(IF(HLOOKUP((VLOOKUP($I$1,Lists!$B$4:$C$23,2,FALSE)),'Sewerage PR16'!$A$1:$S$24,'2H'!A26+1,FALSE)=0,"",HLOOKUP((VLOOKUP($I$1,Lists!$B$4:$C$23,2,FALSE)),'Sewerage PR16'!$A$1:$S$25,'2H'!A26+1,FALSE)))))</f>
        <v/>
      </c>
      <c r="D26" s="1480"/>
      <c r="E26" s="448"/>
      <c r="F26" s="449"/>
      <c r="G26" s="332">
        <f t="shared" si="6"/>
        <v>0</v>
      </c>
      <c r="H26" s="619"/>
      <c r="I26" s="614">
        <f t="shared" si="2"/>
        <v>0</v>
      </c>
      <c r="J26" s="126"/>
      <c r="K26" s="74"/>
      <c r="L26" s="24">
        <f t="shared" si="3"/>
        <v>0</v>
      </c>
      <c r="M26" s="70"/>
      <c r="N26" s="71"/>
      <c r="O26" s="93">
        <f t="shared" si="4"/>
        <v>0</v>
      </c>
      <c r="P26" s="93">
        <f t="shared" si="4"/>
        <v>0</v>
      </c>
      <c r="Q26" s="93">
        <f t="shared" si="5"/>
        <v>0</v>
      </c>
      <c r="R26" s="71"/>
      <c r="S26" s="82"/>
      <c r="T26" s="119"/>
      <c r="U26" s="74"/>
      <c r="V26" s="74"/>
      <c r="W26" s="74"/>
      <c r="X26" s="119"/>
      <c r="AA26" s="355">
        <f t="shared" si="8"/>
        <v>19</v>
      </c>
      <c r="AB26" s="33" t="str">
        <f t="shared" si="7"/>
        <v/>
      </c>
      <c r="AC26" s="1480"/>
      <c r="AD26" s="2467" t="s">
        <v>2004</v>
      </c>
      <c r="AE26" s="2468" t="s">
        <v>2005</v>
      </c>
      <c r="AF26" s="332" t="s">
        <v>2006</v>
      </c>
      <c r="AG26" s="2466" t="s">
        <v>2007</v>
      </c>
      <c r="AH26" s="614" t="s">
        <v>2008</v>
      </c>
    </row>
    <row r="27" spans="1:34" s="315" customFormat="1" ht="15" customHeight="1">
      <c r="A27" s="1666">
        <v>20</v>
      </c>
      <c r="B27" s="355" t="s">
        <v>2009</v>
      </c>
      <c r="C27" s="33" t="str">
        <f>IF($I$1="Select company","",IF(Validation!$H$3=1,"",(IF(HLOOKUP((VLOOKUP($I$1,Lists!$B$4:$C$23,2,FALSE)),'Sewerage PR16'!$A$1:$S$24,'2H'!A27+1,FALSE)=0,"",HLOOKUP((VLOOKUP($I$1,Lists!$B$4:$C$23,2,FALSE)),'Sewerage PR16'!$A$1:$S$25,'2H'!A27+1,FALSE)))))</f>
        <v/>
      </c>
      <c r="D27" s="1480"/>
      <c r="E27" s="448"/>
      <c r="F27" s="449"/>
      <c r="G27" s="332">
        <f t="shared" si="6"/>
        <v>0</v>
      </c>
      <c r="H27" s="619"/>
      <c r="I27" s="614">
        <f t="shared" si="2"/>
        <v>0</v>
      </c>
      <c r="J27" s="126"/>
      <c r="K27" s="74"/>
      <c r="L27" s="24">
        <f t="shared" si="3"/>
        <v>0</v>
      </c>
      <c r="M27" s="70"/>
      <c r="N27" s="71"/>
      <c r="O27" s="93">
        <f t="shared" si="4"/>
        <v>0</v>
      </c>
      <c r="P27" s="93">
        <f t="shared" si="4"/>
        <v>0</v>
      </c>
      <c r="Q27" s="93">
        <f t="shared" si="5"/>
        <v>0</v>
      </c>
      <c r="R27" s="71"/>
      <c r="S27" s="82"/>
      <c r="T27" s="119"/>
      <c r="U27" s="74"/>
      <c r="V27" s="74"/>
      <c r="W27" s="74"/>
      <c r="X27" s="119"/>
      <c r="AA27" s="355">
        <f t="shared" si="8"/>
        <v>20</v>
      </c>
      <c r="AB27" s="33" t="str">
        <f t="shared" si="7"/>
        <v/>
      </c>
      <c r="AC27" s="1480"/>
      <c r="AD27" s="2467" t="s">
        <v>2010</v>
      </c>
      <c r="AE27" s="2468" t="s">
        <v>2011</v>
      </c>
      <c r="AF27" s="332" t="s">
        <v>2012</v>
      </c>
      <c r="AG27" s="2466" t="s">
        <v>2013</v>
      </c>
      <c r="AH27" s="614" t="s">
        <v>2014</v>
      </c>
    </row>
    <row r="28" spans="1:34" s="315" customFormat="1" ht="15" customHeight="1">
      <c r="A28" s="1666">
        <v>21</v>
      </c>
      <c r="B28" s="355" t="s">
        <v>2015</v>
      </c>
      <c r="C28" s="33" t="str">
        <f>IF($I$1="Select company","",IF(Validation!$H$3=1,"",(IF(HLOOKUP((VLOOKUP($I$1,Lists!$B$4:$C$23,2,FALSE)),'Sewerage PR16'!$A$1:$S$24,'2H'!A28+1,FALSE)=0,"",HLOOKUP((VLOOKUP($I$1,Lists!$B$4:$C$23,2,FALSE)),'Sewerage PR16'!$A$1:$S$25,'2H'!A28+1,FALSE)))))</f>
        <v/>
      </c>
      <c r="D28" s="1480"/>
      <c r="E28" s="448"/>
      <c r="F28" s="449"/>
      <c r="G28" s="332">
        <f t="shared" si="6"/>
        <v>0</v>
      </c>
      <c r="H28" s="619"/>
      <c r="I28" s="614">
        <f t="shared" si="2"/>
        <v>0</v>
      </c>
      <c r="J28" s="126"/>
      <c r="K28" s="74"/>
      <c r="L28" s="24">
        <f t="shared" si="3"/>
        <v>0</v>
      </c>
      <c r="M28" s="70"/>
      <c r="N28" s="71"/>
      <c r="O28" s="93">
        <f t="shared" si="4"/>
        <v>0</v>
      </c>
      <c r="P28" s="93">
        <f t="shared" si="4"/>
        <v>0</v>
      </c>
      <c r="Q28" s="93">
        <f t="shared" si="5"/>
        <v>0</v>
      </c>
      <c r="R28" s="71"/>
      <c r="S28" s="127"/>
      <c r="T28" s="119"/>
      <c r="U28" s="165"/>
      <c r="V28" s="165"/>
      <c r="W28" s="74"/>
      <c r="X28" s="119"/>
      <c r="AA28" s="355">
        <f t="shared" si="8"/>
        <v>21</v>
      </c>
      <c r="AB28" s="33" t="str">
        <f t="shared" si="7"/>
        <v/>
      </c>
      <c r="AC28" s="1480"/>
      <c r="AD28" s="2467" t="s">
        <v>2016</v>
      </c>
      <c r="AE28" s="2468" t="s">
        <v>2017</v>
      </c>
      <c r="AF28" s="332" t="s">
        <v>2018</v>
      </c>
      <c r="AG28" s="2466" t="s">
        <v>2019</v>
      </c>
      <c r="AH28" s="614" t="s">
        <v>2020</v>
      </c>
    </row>
    <row r="29" spans="1:34" s="315" customFormat="1" ht="15" customHeight="1">
      <c r="A29" s="1666">
        <v>22</v>
      </c>
      <c r="B29" s="355" t="s">
        <v>2021</v>
      </c>
      <c r="C29" s="33" t="str">
        <f>IF($I$1="Select company","",IF(Validation!$H$3=1,"",(IF(HLOOKUP((VLOOKUP($I$1,Lists!$B$4:$C$23,2,FALSE)),'Sewerage PR16'!$A$1:$S$24,'2H'!A29+1,FALSE)=0,"",HLOOKUP((VLOOKUP($I$1,Lists!$B$4:$C$23,2,FALSE)),'Sewerage PR16'!$A$1:$S$25,'2H'!A29+1,FALSE)))))</f>
        <v/>
      </c>
      <c r="D29" s="1480"/>
      <c r="E29" s="448"/>
      <c r="F29" s="449"/>
      <c r="G29" s="332">
        <f t="shared" ref="G29:G30" si="9" xml:space="preserve"> F29 + E29</f>
        <v>0</v>
      </c>
      <c r="H29" s="619"/>
      <c r="I29" s="614">
        <f t="shared" ref="I29:I30" si="10" xml:space="preserve"> IF( H29 = 0, 0, F29 / H29 * 1000 )</f>
        <v>0</v>
      </c>
      <c r="J29" s="126"/>
      <c r="K29" s="74"/>
      <c r="L29" s="24">
        <f t="shared" ref="L29:L30" si="11" xml:space="preserve"> IF( SUM( N29:R29 ) = 0, 0, $O$5 )</f>
        <v>0</v>
      </c>
      <c r="M29" s="70"/>
      <c r="N29" s="71"/>
      <c r="O29" s="93">
        <f t="shared" ref="O29:O30" si="12">IF($C29="",0,IF(ISNUMBER(E29),0,1))</f>
        <v>0</v>
      </c>
      <c r="P29" s="93">
        <f t="shared" ref="P29:P30" si="13">IF($C29="",0,IF(ISNUMBER(F29),0,1))</f>
        <v>0</v>
      </c>
      <c r="Q29" s="93">
        <f t="shared" ref="Q29:Q30" si="14">IF($C29="",0,IF(ISNUMBER(H29),0,1))</f>
        <v>0</v>
      </c>
      <c r="R29" s="71"/>
      <c r="S29" s="127"/>
      <c r="T29" s="119"/>
      <c r="U29" s="165"/>
      <c r="V29" s="165"/>
      <c r="W29" s="74"/>
      <c r="X29" s="119"/>
      <c r="AA29" s="355">
        <v>22</v>
      </c>
      <c r="AB29" s="33" t="str">
        <f t="shared" si="7"/>
        <v/>
      </c>
      <c r="AC29" s="1480"/>
      <c r="AD29" s="2467" t="s">
        <v>2022</v>
      </c>
      <c r="AE29" s="2468" t="s">
        <v>2023</v>
      </c>
      <c r="AF29" s="332" t="s">
        <v>2024</v>
      </c>
      <c r="AG29" s="2466" t="s">
        <v>2025</v>
      </c>
      <c r="AH29" s="614" t="s">
        <v>2026</v>
      </c>
    </row>
    <row r="30" spans="1:34" s="315" customFormat="1" ht="15" customHeight="1">
      <c r="A30" s="1666">
        <v>23</v>
      </c>
      <c r="B30" s="355" t="s">
        <v>2027</v>
      </c>
      <c r="C30" s="33" t="str">
        <f>IF($I$1="Select company","",IF(Validation!$H$3=1,"",(IF(HLOOKUP((VLOOKUP($I$1,Lists!$B$4:$C$23,2,FALSE)),'Sewerage PR16'!$A$1:$S$24,'2H'!A30+1,FALSE)=0,"",HLOOKUP((VLOOKUP($I$1,Lists!$B$4:$C$23,2,FALSE)),'Sewerage PR16'!$A$1:$S$25,'2H'!A30+1,FALSE)))))</f>
        <v/>
      </c>
      <c r="D30" s="1480"/>
      <c r="E30" s="448"/>
      <c r="F30" s="449"/>
      <c r="G30" s="332">
        <f t="shared" si="9"/>
        <v>0</v>
      </c>
      <c r="H30" s="619"/>
      <c r="I30" s="614">
        <f t="shared" si="10"/>
        <v>0</v>
      </c>
      <c r="J30" s="126"/>
      <c r="K30" s="74"/>
      <c r="L30" s="24">
        <f t="shared" si="11"/>
        <v>0</v>
      </c>
      <c r="M30" s="70"/>
      <c r="N30" s="71"/>
      <c r="O30" s="93">
        <f t="shared" si="12"/>
        <v>0</v>
      </c>
      <c r="P30" s="93">
        <f t="shared" si="13"/>
        <v>0</v>
      </c>
      <c r="Q30" s="93">
        <f t="shared" si="14"/>
        <v>0</v>
      </c>
      <c r="R30" s="71"/>
      <c r="S30" s="127"/>
      <c r="T30" s="119"/>
      <c r="U30" s="165"/>
      <c r="V30" s="165"/>
      <c r="W30" s="74"/>
      <c r="X30" s="119"/>
      <c r="AA30" s="355">
        <v>23</v>
      </c>
      <c r="AB30" s="33" t="str">
        <f t="shared" si="7"/>
        <v/>
      </c>
      <c r="AC30" s="1480"/>
      <c r="AD30" s="2467" t="s">
        <v>2028</v>
      </c>
      <c r="AE30" s="2468" t="s">
        <v>2029</v>
      </c>
      <c r="AF30" s="332" t="s">
        <v>2030</v>
      </c>
      <c r="AG30" s="2466" t="s">
        <v>2031</v>
      </c>
      <c r="AH30" s="614" t="s">
        <v>2032</v>
      </c>
    </row>
    <row r="31" spans="1:34" s="315" customFormat="1" ht="17.25" customHeight="1" thickBot="1">
      <c r="A31" s="1666">
        <v>22</v>
      </c>
      <c r="B31" s="356" t="s">
        <v>2033</v>
      </c>
      <c r="C31" s="1860" t="s">
        <v>1869</v>
      </c>
      <c r="D31" s="1481"/>
      <c r="E31" s="333">
        <f xml:space="preserve"> SUM( E9:E28 )</f>
        <v>0</v>
      </c>
      <c r="F31" s="334">
        <f xml:space="preserve"> SUM( F9:F28 )</f>
        <v>0</v>
      </c>
      <c r="G31" s="335">
        <f xml:space="preserve"> SUM( G9:G28 )</f>
        <v>0</v>
      </c>
      <c r="H31" s="344">
        <f xml:space="preserve"> SUM( H9:H28 )</f>
        <v>0</v>
      </c>
      <c r="I31" s="474">
        <f t="shared" si="2"/>
        <v>0</v>
      </c>
      <c r="J31" s="126"/>
      <c r="K31" s="74"/>
      <c r="L31" s="126"/>
      <c r="M31" s="126"/>
      <c r="N31" s="119"/>
      <c r="O31" s="202"/>
      <c r="P31" s="163"/>
      <c r="Q31" s="163"/>
      <c r="R31" s="119"/>
      <c r="S31" s="127"/>
      <c r="T31" s="119"/>
      <c r="U31" s="165"/>
      <c r="V31" s="165"/>
      <c r="W31" s="74"/>
      <c r="X31" s="119"/>
      <c r="AA31" s="356">
        <v>24</v>
      </c>
      <c r="AB31" s="1860" t="s">
        <v>1869</v>
      </c>
      <c r="AC31" s="1481"/>
      <c r="AD31" s="333" t="s">
        <v>2034</v>
      </c>
      <c r="AE31" s="334" t="s">
        <v>2035</v>
      </c>
      <c r="AF31" s="335" t="s">
        <v>2036</v>
      </c>
      <c r="AG31" s="344" t="s">
        <v>2037</v>
      </c>
      <c r="AH31" s="474" t="s">
        <v>2038</v>
      </c>
    </row>
    <row r="32" spans="1:34" s="70" customFormat="1" ht="14.5" thickBot="1">
      <c r="A32" s="192"/>
      <c r="E32" s="79"/>
      <c r="F32" s="163"/>
      <c r="G32" s="79"/>
      <c r="H32" s="620"/>
      <c r="I32" s="615"/>
      <c r="J32" s="130"/>
      <c r="K32" s="74"/>
      <c r="L32" s="126"/>
      <c r="M32" s="126"/>
      <c r="N32" s="119"/>
      <c r="O32" s="202"/>
      <c r="P32" s="178"/>
      <c r="Q32" s="178"/>
      <c r="R32" s="119"/>
      <c r="S32" s="483"/>
      <c r="T32" s="119"/>
      <c r="U32" s="74"/>
      <c r="V32" s="74"/>
      <c r="W32" s="74"/>
      <c r="X32" s="119"/>
      <c r="AD32" s="79"/>
      <c r="AE32" s="163"/>
      <c r="AF32" s="79"/>
      <c r="AG32" s="620"/>
      <c r="AH32" s="615"/>
    </row>
    <row r="33" spans="1:34" s="315" customFormat="1" ht="26.25" customHeight="1" thickBot="1">
      <c r="A33" s="262"/>
      <c r="B33" s="353" t="s">
        <v>2039</v>
      </c>
      <c r="C33" s="28" t="s">
        <v>708</v>
      </c>
      <c r="D33" s="1477"/>
      <c r="E33" s="340">
        <f xml:space="preserve"> E31 + E6</f>
        <v>0</v>
      </c>
      <c r="F33" s="341">
        <f xml:space="preserve"> F31 + F6</f>
        <v>0</v>
      </c>
      <c r="G33" s="342">
        <f xml:space="preserve"> G31 + G6</f>
        <v>0</v>
      </c>
      <c r="H33" s="621">
        <f xml:space="preserve"> H31 + H6</f>
        <v>0</v>
      </c>
      <c r="I33" s="611">
        <f xml:space="preserve"> IF( H33 = 0, 0, F33 / H33 * 1000 )</f>
        <v>0</v>
      </c>
      <c r="J33" s="130"/>
      <c r="K33" s="1339">
        <f xml:space="preserve"> IF( SUM( R33:T33 ) = 0, 0, W33 )</f>
        <v>0</v>
      </c>
      <c r="L33" s="126"/>
      <c r="M33" s="126"/>
      <c r="N33" s="119"/>
      <c r="O33" s="202"/>
      <c r="P33" s="163"/>
      <c r="Q33" s="163"/>
      <c r="R33" s="119"/>
      <c r="S33" s="93">
        <f xml:space="preserve"> IF( (U33 - V33) = 0, 0, 1 )</f>
        <v>0</v>
      </c>
      <c r="T33" s="119"/>
      <c r="U33" s="165">
        <f xml:space="preserve"> ROUND(E33, 3)</f>
        <v>0</v>
      </c>
      <c r="V33" s="165">
        <f xml:space="preserve"> ROUND( SUM( '2I'!H12:H13 ), 3)</f>
        <v>0</v>
      </c>
      <c r="W33" s="74" t="s">
        <v>2040</v>
      </c>
      <c r="X33" s="119"/>
      <c r="AA33" s="353">
        <f xml:space="preserve"> AA31 + 1</f>
        <v>25</v>
      </c>
      <c r="AB33" s="28" t="s">
        <v>708</v>
      </c>
      <c r="AC33" s="1477"/>
      <c r="AD33" s="340" t="s">
        <v>2041</v>
      </c>
      <c r="AE33" s="341" t="s">
        <v>2042</v>
      </c>
      <c r="AF33" s="342" t="s">
        <v>2043</v>
      </c>
      <c r="AG33" s="621" t="s">
        <v>2044</v>
      </c>
      <c r="AH33" s="611" t="s">
        <v>2045</v>
      </c>
    </row>
    <row r="34" spans="1:34" s="262" customFormat="1" ht="17.25" customHeight="1" thickBot="1">
      <c r="B34" s="270"/>
      <c r="E34" s="74"/>
      <c r="F34" s="74"/>
      <c r="G34" s="74"/>
      <c r="H34" s="74"/>
      <c r="I34" s="74"/>
      <c r="J34" s="625"/>
      <c r="K34" s="74"/>
      <c r="L34" s="239"/>
      <c r="M34" s="239"/>
      <c r="N34" s="119"/>
      <c r="O34" s="626"/>
      <c r="P34" s="318"/>
      <c r="Q34" s="318"/>
      <c r="R34" s="119"/>
      <c r="S34" s="127"/>
      <c r="T34" s="119"/>
      <c r="U34" s="223"/>
      <c r="V34" s="223"/>
      <c r="W34" s="74"/>
      <c r="X34" s="119"/>
      <c r="AA34" s="270"/>
      <c r="AD34" s="74"/>
      <c r="AE34" s="74"/>
      <c r="AF34" s="74"/>
      <c r="AG34" s="74"/>
      <c r="AH34" s="74"/>
    </row>
    <row r="35" spans="1:34" s="70" customFormat="1" ht="54.5" thickBot="1">
      <c r="A35" s="192"/>
      <c r="F35" s="163"/>
      <c r="H35" s="350" t="s">
        <v>1882</v>
      </c>
      <c r="I35" s="350" t="s">
        <v>1883</v>
      </c>
      <c r="J35" s="130"/>
      <c r="K35" s="74"/>
      <c r="L35" s="126"/>
      <c r="M35" s="126"/>
      <c r="N35" s="119"/>
      <c r="O35" s="202"/>
      <c r="P35" s="178"/>
      <c r="Q35" s="178"/>
      <c r="R35" s="119"/>
      <c r="S35" s="483"/>
      <c r="T35" s="119"/>
      <c r="U35" s="74"/>
      <c r="V35" s="74"/>
      <c r="W35" s="74"/>
      <c r="X35" s="119"/>
      <c r="Y35" s="178"/>
      <c r="AE35" s="163"/>
      <c r="AG35" s="350" t="s">
        <v>1882</v>
      </c>
      <c r="AH35" s="350" t="s">
        <v>1883</v>
      </c>
    </row>
    <row r="36" spans="1:34" s="308" customFormat="1" ht="15" customHeight="1" thickBot="1">
      <c r="A36" s="74"/>
      <c r="B36" s="261" t="s">
        <v>333</v>
      </c>
      <c r="C36" s="27" t="s">
        <v>1884</v>
      </c>
      <c r="D36" s="1476"/>
      <c r="E36" s="141"/>
      <c r="F36" s="141"/>
      <c r="G36" s="141"/>
      <c r="H36" s="617"/>
      <c r="I36" s="612"/>
      <c r="J36" s="141"/>
      <c r="K36" s="74"/>
      <c r="L36" s="141"/>
      <c r="M36" s="70"/>
      <c r="N36" s="71"/>
      <c r="O36" s="202"/>
      <c r="P36" s="178"/>
      <c r="Q36" s="178"/>
      <c r="R36" s="71"/>
      <c r="S36" s="483"/>
      <c r="T36" s="71"/>
      <c r="U36" s="74"/>
      <c r="V36" s="74"/>
      <c r="W36" s="74"/>
      <c r="X36" s="71"/>
      <c r="Y36" s="70"/>
      <c r="AA36" s="261" t="s">
        <v>333</v>
      </c>
      <c r="AB36" s="27" t="s">
        <v>1884</v>
      </c>
      <c r="AC36" s="1476"/>
      <c r="AD36" s="141"/>
      <c r="AE36" s="141"/>
      <c r="AF36" s="141"/>
      <c r="AG36" s="617"/>
      <c r="AH36" s="612"/>
    </row>
    <row r="37" spans="1:34" s="308" customFormat="1" ht="15" customHeight="1" thickBot="1">
      <c r="A37" s="74"/>
      <c r="B37" s="622" t="s">
        <v>2046</v>
      </c>
      <c r="C37" s="623" t="s">
        <v>708</v>
      </c>
      <c r="D37" s="262"/>
      <c r="E37" s="70"/>
      <c r="F37" s="70"/>
      <c r="G37" s="70"/>
      <c r="H37" s="616"/>
      <c r="I37" s="611">
        <f xml:space="preserve"> IF( H37 = 0, 0, F33 / H37 * 1000 )</f>
        <v>0</v>
      </c>
      <c r="J37" s="70"/>
      <c r="K37" s="74"/>
      <c r="L37" s="24">
        <f xml:space="preserve"> IF( SUM( N37:R37 ) = 0, 0, $O$5 )</f>
        <v>0</v>
      </c>
      <c r="M37" s="70"/>
      <c r="N37" s="71"/>
      <c r="O37" s="127"/>
      <c r="P37" s="127"/>
      <c r="Q37" s="93">
        <f>IF(Validation!$H$3=1,0,IF(ISNUMBER(H37),0,1))</f>
        <v>0</v>
      </c>
      <c r="R37" s="71"/>
      <c r="S37" s="483"/>
      <c r="T37" s="71"/>
      <c r="U37" s="74"/>
      <c r="V37" s="74"/>
      <c r="W37" s="74"/>
      <c r="X37" s="71"/>
      <c r="Y37" s="70"/>
      <c r="AA37" s="622">
        <f xml:space="preserve"> AA33 + 1</f>
        <v>26</v>
      </c>
      <c r="AB37" s="623" t="s">
        <v>708</v>
      </c>
      <c r="AC37" s="262"/>
      <c r="AD37" s="70"/>
      <c r="AE37" s="70"/>
      <c r="AF37" s="70"/>
      <c r="AG37" s="2460" t="s">
        <v>2047</v>
      </c>
      <c r="AH37" s="611" t="s">
        <v>2048</v>
      </c>
    </row>
    <row r="38" spans="1:34" s="308" customFormat="1" ht="15" customHeight="1">
      <c r="A38" s="74"/>
      <c r="B38" s="624"/>
      <c r="C38" s="262"/>
      <c r="D38" s="262"/>
      <c r="E38" s="70"/>
      <c r="F38" s="70"/>
      <c r="G38" s="70"/>
      <c r="H38" s="1795"/>
      <c r="I38" s="627"/>
      <c r="J38" s="70"/>
      <c r="K38" s="74"/>
      <c r="L38" s="74"/>
      <c r="M38" s="70"/>
      <c r="N38" s="71"/>
      <c r="O38" s="127"/>
      <c r="P38" s="127"/>
      <c r="Q38" s="127"/>
      <c r="R38" s="71"/>
      <c r="S38" s="483"/>
      <c r="T38" s="71"/>
      <c r="U38" s="74"/>
      <c r="V38" s="74"/>
      <c r="W38" s="74"/>
      <c r="X38" s="71"/>
      <c r="Y38" s="70"/>
      <c r="AA38" s="624"/>
      <c r="AB38" s="262"/>
      <c r="AC38" s="262"/>
      <c r="AD38" s="70"/>
      <c r="AE38" s="70"/>
      <c r="AF38" s="70"/>
      <c r="AG38" s="1795"/>
      <c r="AH38" s="627"/>
    </row>
    <row r="39" spans="1:34" s="163" customFormat="1">
      <c r="A39" s="318"/>
      <c r="B39" s="2914" t="s">
        <v>241</v>
      </c>
      <c r="C39" s="2914"/>
      <c r="D39" s="2823"/>
      <c r="H39" s="126"/>
      <c r="I39" s="70"/>
      <c r="J39" s="118"/>
      <c r="K39" s="74"/>
      <c r="L39" s="74"/>
      <c r="M39" s="118"/>
      <c r="N39" s="124"/>
      <c r="O39" s="256"/>
      <c r="P39" s="110"/>
      <c r="Q39" s="110"/>
      <c r="R39" s="124"/>
      <c r="S39" s="483"/>
      <c r="T39" s="124"/>
      <c r="U39" s="74"/>
      <c r="V39" s="74"/>
      <c r="W39" s="74"/>
      <c r="X39" s="124"/>
    </row>
    <row r="40" spans="1:34" s="163" customFormat="1">
      <c r="A40" s="318"/>
      <c r="B40" s="141"/>
      <c r="C40" s="142"/>
      <c r="D40" s="142"/>
      <c r="H40" s="126"/>
      <c r="I40" s="70"/>
      <c r="J40" s="346"/>
      <c r="K40" s="74"/>
      <c r="L40" s="74"/>
      <c r="M40" s="118"/>
      <c r="N40" s="124"/>
      <c r="O40" s="178"/>
      <c r="P40" s="178"/>
      <c r="Q40" s="178"/>
      <c r="R40" s="124"/>
      <c r="S40" s="483"/>
      <c r="T40" s="124"/>
      <c r="U40" s="74"/>
      <c r="V40" s="74"/>
      <c r="W40" s="74"/>
      <c r="X40" s="124"/>
    </row>
    <row r="41" spans="1:34" s="163" customFormat="1">
      <c r="A41" s="318"/>
      <c r="B41" s="25"/>
      <c r="C41" s="143" t="s">
        <v>188</v>
      </c>
      <c r="D41" s="143"/>
      <c r="H41" s="126"/>
      <c r="I41" s="70"/>
      <c r="J41" s="348"/>
      <c r="K41" s="74"/>
      <c r="L41" s="74"/>
      <c r="M41" s="118"/>
      <c r="N41" s="124"/>
      <c r="O41" s="280"/>
      <c r="P41" s="110"/>
      <c r="Q41" s="110"/>
      <c r="R41" s="124"/>
      <c r="S41" s="483"/>
      <c r="T41" s="124"/>
      <c r="U41" s="74"/>
      <c r="V41" s="74"/>
      <c r="W41" s="74"/>
      <c r="X41" s="124"/>
    </row>
    <row r="42" spans="1:34" s="163" customFormat="1">
      <c r="A42" s="318"/>
      <c r="B42" s="141"/>
      <c r="C42" s="142"/>
      <c r="D42" s="142"/>
      <c r="H42" s="126"/>
      <c r="I42" s="70"/>
      <c r="J42" s="349"/>
      <c r="K42" s="74"/>
      <c r="L42" s="120"/>
      <c r="M42" s="118"/>
      <c r="N42" s="124"/>
      <c r="O42" s="280"/>
      <c r="P42" s="110"/>
      <c r="Q42" s="110"/>
      <c r="R42" s="124"/>
      <c r="S42" s="110"/>
      <c r="T42" s="124"/>
      <c r="U42" s="74"/>
      <c r="V42" s="74"/>
      <c r="W42" s="74"/>
      <c r="X42" s="124"/>
    </row>
    <row r="43" spans="1:34" s="163" customFormat="1">
      <c r="A43" s="318"/>
      <c r="B43" s="144"/>
      <c r="C43" s="143" t="s">
        <v>189</v>
      </c>
      <c r="D43" s="143"/>
      <c r="H43" s="126"/>
      <c r="I43" s="70"/>
      <c r="J43" s="348"/>
      <c r="K43" s="74"/>
      <c r="L43" s="120"/>
      <c r="M43" s="118"/>
      <c r="N43" s="124"/>
      <c r="O43" s="280"/>
      <c r="P43" s="110"/>
      <c r="Q43" s="110"/>
      <c r="R43" s="124"/>
      <c r="S43" s="74"/>
      <c r="T43" s="124"/>
      <c r="U43" s="74"/>
      <c r="V43" s="74"/>
      <c r="W43" s="74"/>
      <c r="X43" s="124"/>
    </row>
    <row r="44" spans="1:34" s="163" customFormat="1">
      <c r="A44" s="318"/>
      <c r="B44" s="145"/>
      <c r="C44" s="143"/>
      <c r="D44" s="143"/>
      <c r="H44" s="126"/>
      <c r="I44" s="118"/>
      <c r="J44" s="349"/>
      <c r="K44" s="74"/>
      <c r="L44" s="120"/>
      <c r="M44" s="118"/>
      <c r="N44" s="124"/>
      <c r="O44" s="280"/>
      <c r="P44" s="120"/>
      <c r="Q44" s="120"/>
      <c r="R44" s="124"/>
      <c r="S44" s="74"/>
      <c r="T44" s="124"/>
      <c r="U44" s="74"/>
      <c r="V44" s="74"/>
      <c r="W44" s="74"/>
      <c r="X44" s="124"/>
    </row>
    <row r="45" spans="1:34" s="178" customFormat="1" ht="14.5" thickBot="1">
      <c r="A45" s="357"/>
      <c r="C45" s="179"/>
      <c r="D45" s="179"/>
      <c r="H45" s="130"/>
      <c r="I45" s="126"/>
      <c r="J45" s="321"/>
      <c r="K45" s="74"/>
      <c r="L45" s="70"/>
      <c r="M45" s="70"/>
      <c r="N45" s="71"/>
      <c r="O45" s="70"/>
      <c r="P45" s="70"/>
      <c r="Q45" s="70"/>
      <c r="R45" s="71"/>
      <c r="S45" s="74"/>
      <c r="T45" s="124"/>
      <c r="U45" s="163"/>
      <c r="V45" s="163"/>
      <c r="W45" s="163"/>
      <c r="X45" s="124"/>
    </row>
    <row r="46" spans="1:34" s="178" customFormat="1" ht="15.5" thickBot="1">
      <c r="A46" s="357"/>
      <c r="B46" s="2886" t="str">
        <f>'2G'!B43</f>
        <v>Please refer to RAG 4.08 - Guideline for the table definitions in the annual performance report for the reporting year 2019-20</v>
      </c>
      <c r="C46" s="147"/>
      <c r="D46" s="147"/>
      <c r="E46" s="148"/>
      <c r="F46" s="148"/>
      <c r="G46" s="148"/>
      <c r="H46" s="148"/>
      <c r="I46" s="251"/>
      <c r="J46" s="321"/>
      <c r="K46" s="74"/>
      <c r="L46" s="70"/>
      <c r="M46" s="70"/>
      <c r="N46" s="71"/>
      <c r="O46" s="70"/>
      <c r="P46" s="70"/>
      <c r="Q46" s="70"/>
      <c r="R46" s="71"/>
      <c r="S46" s="74"/>
      <c r="T46" s="124"/>
      <c r="U46" s="163"/>
      <c r="V46" s="163"/>
      <c r="W46" s="163"/>
      <c r="X46" s="124"/>
    </row>
    <row r="47" spans="1:34" s="178" customFormat="1">
      <c r="A47" s="357"/>
      <c r="C47" s="179"/>
      <c r="D47" s="179"/>
      <c r="H47" s="130"/>
      <c r="I47" s="126"/>
      <c r="J47" s="321"/>
      <c r="K47" s="74"/>
      <c r="L47" s="70"/>
      <c r="M47" s="70"/>
      <c r="N47" s="71"/>
      <c r="O47" s="70"/>
      <c r="P47" s="70"/>
      <c r="Q47" s="70"/>
      <c r="R47" s="71"/>
      <c r="S47" s="74"/>
      <c r="T47" s="124"/>
      <c r="U47" s="163"/>
      <c r="V47" s="163"/>
      <c r="W47" s="163"/>
      <c r="X47" s="124"/>
    </row>
    <row r="48" spans="1:34" s="110" customFormat="1" ht="15.5" hidden="1" thickBot="1">
      <c r="A48" s="1528"/>
      <c r="B48" s="146" t="str">
        <f ca="1" xml:space="preserve"> RIGHT(CELL("filename", $A$1), LEN(CELL("filename", $A$1)) - SEARCH("]", CELL("filename", $A$1)))&amp;" - Line definitions"</f>
        <v>2H - Line definitions</v>
      </c>
      <c r="C48" s="147"/>
      <c r="D48" s="147"/>
      <c r="E48" s="148"/>
      <c r="F48" s="148"/>
      <c r="G48" s="148"/>
      <c r="H48" s="148"/>
      <c r="I48" s="251"/>
      <c r="J48" s="320"/>
      <c r="K48" s="74"/>
      <c r="L48" s="70"/>
      <c r="M48" s="70"/>
      <c r="N48" s="71"/>
      <c r="O48" s="70"/>
      <c r="P48" s="70"/>
      <c r="Q48" s="70"/>
      <c r="R48" s="71"/>
      <c r="S48" s="74"/>
      <c r="T48" s="71"/>
      <c r="U48" s="163"/>
      <c r="V48" s="163"/>
      <c r="W48" s="163"/>
      <c r="X48" s="71"/>
    </row>
    <row r="49" spans="1:26" s="110" customFormat="1" ht="14.5" hidden="1" thickBot="1">
      <c r="A49" s="1528"/>
      <c r="B49" s="358"/>
      <c r="E49" s="74"/>
      <c r="H49" s="118"/>
      <c r="I49" s="126"/>
      <c r="J49" s="321"/>
      <c r="K49" s="74"/>
      <c r="L49" s="70"/>
      <c r="M49" s="70"/>
      <c r="N49" s="71"/>
      <c r="O49" s="85" t="s">
        <v>193</v>
      </c>
      <c r="P49" s="70"/>
      <c r="Q49" s="70"/>
      <c r="R49" s="71"/>
      <c r="S49" s="74"/>
      <c r="T49" s="71"/>
      <c r="U49" s="163"/>
      <c r="V49" s="163"/>
      <c r="W49" s="163"/>
      <c r="X49" s="71"/>
    </row>
    <row r="50" spans="1:26" s="178" customFormat="1" hidden="1">
      <c r="A50" s="1529"/>
      <c r="B50" s="359" t="s">
        <v>191</v>
      </c>
      <c r="C50" s="3004" t="s">
        <v>192</v>
      </c>
      <c r="D50" s="3004"/>
      <c r="E50" s="3004"/>
      <c r="F50" s="3004"/>
      <c r="G50" s="3004"/>
      <c r="H50" s="3004"/>
      <c r="I50" s="3005"/>
      <c r="J50" s="321"/>
      <c r="K50" s="74"/>
      <c r="L50" s="70"/>
      <c r="M50" s="70"/>
      <c r="N50" s="71"/>
      <c r="O50" s="70">
        <v>1</v>
      </c>
      <c r="P50" s="70"/>
      <c r="Q50" s="70"/>
      <c r="R50" s="71"/>
      <c r="S50" s="74"/>
      <c r="T50" s="71"/>
      <c r="U50" s="163"/>
      <c r="V50" s="163"/>
      <c r="W50" s="163"/>
      <c r="X50" s="71"/>
    </row>
    <row r="51" spans="1:26" s="110" customFormat="1" ht="14.25" hidden="1" customHeight="1">
      <c r="A51" s="1528"/>
      <c r="B51" s="819">
        <v>1</v>
      </c>
      <c r="C51" s="3000" t="s">
        <v>1888</v>
      </c>
      <c r="D51" s="3000"/>
      <c r="E51" s="3000"/>
      <c r="F51" s="3000"/>
      <c r="G51" s="3000"/>
      <c r="H51" s="3000"/>
      <c r="I51" s="3001"/>
      <c r="J51" s="321"/>
      <c r="K51" s="74"/>
      <c r="L51" s="70"/>
      <c r="M51" s="70"/>
      <c r="N51" s="71"/>
      <c r="O51" s="70">
        <v>1</v>
      </c>
      <c r="P51" s="70"/>
      <c r="Q51" s="70"/>
      <c r="R51" s="71"/>
      <c r="S51" s="74"/>
      <c r="T51" s="71"/>
      <c r="U51" s="163"/>
      <c r="V51" s="163"/>
      <c r="W51" s="163"/>
      <c r="X51" s="71"/>
    </row>
    <row r="52" spans="1:26" s="110" customFormat="1" ht="14.25" hidden="1" customHeight="1">
      <c r="A52" s="1528"/>
      <c r="B52" s="827" t="s">
        <v>2049</v>
      </c>
      <c r="C52" s="2976" t="s">
        <v>1890</v>
      </c>
      <c r="D52" s="2976"/>
      <c r="E52" s="2976"/>
      <c r="F52" s="2976"/>
      <c r="G52" s="2976"/>
      <c r="H52" s="2976"/>
      <c r="I52" s="2977"/>
      <c r="J52" s="320"/>
      <c r="K52" s="74"/>
      <c r="L52" s="70"/>
      <c r="M52" s="70"/>
      <c r="N52" s="71"/>
      <c r="O52" s="70">
        <v>1</v>
      </c>
      <c r="P52" s="70"/>
      <c r="Q52" s="70"/>
      <c r="R52" s="71"/>
      <c r="S52" s="74"/>
      <c r="T52" s="71"/>
      <c r="U52" s="163"/>
      <c r="V52" s="163"/>
      <c r="W52" s="163"/>
      <c r="X52" s="71"/>
    </row>
    <row r="53" spans="1:26" s="110" customFormat="1" ht="14.25" hidden="1" customHeight="1">
      <c r="A53" s="1528"/>
      <c r="B53" s="159">
        <v>24</v>
      </c>
      <c r="C53" s="2976" t="s">
        <v>1891</v>
      </c>
      <c r="D53" s="2976"/>
      <c r="E53" s="2976"/>
      <c r="F53" s="2976"/>
      <c r="G53" s="2976"/>
      <c r="H53" s="2976"/>
      <c r="I53" s="2977"/>
      <c r="J53" s="321"/>
      <c r="K53" s="74"/>
      <c r="L53" s="70"/>
      <c r="M53" s="70"/>
      <c r="N53" s="71"/>
      <c r="O53" s="70">
        <v>1</v>
      </c>
      <c r="P53" s="70"/>
      <c r="Q53" s="70"/>
      <c r="R53" s="71"/>
      <c r="S53" s="74"/>
      <c r="T53" s="71"/>
      <c r="U53" s="178"/>
      <c r="V53" s="178"/>
      <c r="W53" s="178"/>
      <c r="X53" s="71"/>
    </row>
    <row r="54" spans="1:26" s="110" customFormat="1" hidden="1">
      <c r="A54" s="1528"/>
      <c r="B54" s="159">
        <v>25</v>
      </c>
      <c r="C54" s="2976" t="s">
        <v>1892</v>
      </c>
      <c r="D54" s="2976"/>
      <c r="E54" s="2976"/>
      <c r="F54" s="2976"/>
      <c r="G54" s="2976"/>
      <c r="H54" s="2976"/>
      <c r="I54" s="2977"/>
      <c r="J54" s="70"/>
      <c r="K54" s="74"/>
      <c r="L54" s="70"/>
      <c r="M54" s="70"/>
      <c r="N54" s="71"/>
      <c r="O54" s="70">
        <v>1</v>
      </c>
      <c r="P54" s="70"/>
      <c r="Q54" s="70"/>
      <c r="R54" s="71"/>
      <c r="S54" s="74"/>
      <c r="T54" s="71"/>
      <c r="U54" s="178"/>
      <c r="V54" s="178"/>
      <c r="W54" s="178"/>
      <c r="X54" s="71"/>
    </row>
    <row r="55" spans="1:26" ht="14.5" hidden="1" thickBot="1">
      <c r="A55" s="1534"/>
      <c r="B55" s="183">
        <v>26</v>
      </c>
      <c r="C55" s="2996" t="s">
        <v>1893</v>
      </c>
      <c r="D55" s="2996"/>
      <c r="E55" s="2996"/>
      <c r="F55" s="2996"/>
      <c r="G55" s="2996"/>
      <c r="H55" s="2996"/>
      <c r="I55" s="2997"/>
      <c r="U55" s="110"/>
      <c r="V55" s="110"/>
      <c r="W55" s="110"/>
      <c r="Y55" s="483"/>
      <c r="Z55" s="483"/>
    </row>
    <row r="56" spans="1:26" hidden="1">
      <c r="A56" s="1534"/>
      <c r="B56" s="483"/>
      <c r="C56" s="483"/>
      <c r="E56" s="483"/>
      <c r="F56" s="483"/>
      <c r="G56" s="483"/>
      <c r="H56" s="483"/>
      <c r="I56" s="483"/>
      <c r="U56" s="110"/>
      <c r="V56" s="110"/>
      <c r="W56" s="110"/>
      <c r="Y56" s="483"/>
      <c r="Z56" s="483"/>
    </row>
  </sheetData>
  <sheetProtection algorithmName="SHA-512" hashValue="yek+yKtaXefpz1LZsKNnrCdD1lLlv+4hFQZAK7V7Py8UADs0qD9y5VUb9zrWqK3re1JFmQ2jlItq9iK/F9uwWg==" saltValue="+sOIukYpQMfKk40mgSmZRA==" spinCount="100000" sheet="1" objects="1" scenarios="1"/>
  <mergeCells count="10">
    <mergeCell ref="AA3:AB3"/>
    <mergeCell ref="C55:I55"/>
    <mergeCell ref="C53:I53"/>
    <mergeCell ref="C54:I54"/>
    <mergeCell ref="B3:C3"/>
    <mergeCell ref="O3:Q3"/>
    <mergeCell ref="B39:C39"/>
    <mergeCell ref="C50:I50"/>
    <mergeCell ref="C51:I51"/>
    <mergeCell ref="C52:I52"/>
  </mergeCells>
  <conditionalFormatting sqref="L9:L30">
    <cfRule type="cellIs" dxfId="407" priority="14" operator="equal">
      <formula>0</formula>
    </cfRule>
  </conditionalFormatting>
  <conditionalFormatting sqref="K33">
    <cfRule type="cellIs" dxfId="406" priority="10" operator="equal">
      <formula>0</formula>
    </cfRule>
  </conditionalFormatting>
  <conditionalFormatting sqref="L37">
    <cfRule type="cellIs" dxfId="405" priority="8" operator="equal">
      <formula>0</formula>
    </cfRule>
  </conditionalFormatting>
  <conditionalFormatting sqref="L6">
    <cfRule type="cellIs" dxfId="404"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4" id="{5C635D32-5544-482B-B5AA-50CD07BD0F9C}">
            <xm:f>Validation!$H$3=1</xm:f>
            <x14:dxf>
              <fill>
                <patternFill>
                  <bgColor rgb="FFE0DCD8"/>
                </patternFill>
              </fill>
            </x14:dxf>
          </x14:cfRule>
          <xm:sqref>E6:I6 E33:I33 E9:I31</xm:sqref>
        </x14:conditionalFormatting>
        <x14:conditionalFormatting xmlns:xm="http://schemas.microsoft.com/office/excel/2006/main">
          <x14:cfRule type="expression" priority="6" id="{0B2B3098-F914-4F9A-9FAB-D971364EABA1}">
            <xm:f>Validation!$H$3=1</xm:f>
            <x14:dxf>
              <fill>
                <patternFill>
                  <bgColor rgb="FFE0DCD8"/>
                </patternFill>
              </fill>
            </x14:dxf>
          </x14:cfRule>
          <xm:sqref>I37</xm:sqref>
        </x14:conditionalFormatting>
        <x14:conditionalFormatting xmlns:xm="http://schemas.microsoft.com/office/excel/2006/main">
          <x14:cfRule type="expression" priority="5" id="{AD12DF6E-1677-433F-9A62-245DD51718FA}">
            <xm:f>Validation!$H$3=1</xm:f>
            <x14:dxf>
              <fill>
                <patternFill>
                  <bgColor rgb="FFE0DCD8"/>
                </patternFill>
              </fill>
            </x14:dxf>
          </x14:cfRule>
          <xm:sqref>H37</xm:sqref>
        </x14:conditionalFormatting>
        <x14:conditionalFormatting xmlns:xm="http://schemas.microsoft.com/office/excel/2006/main">
          <x14:cfRule type="expression" priority="3" id="{5184EC13-1827-4E26-B888-9C894D2F5594}">
            <xm:f>Validation!$H$3=1</xm:f>
            <x14:dxf>
              <fill>
                <patternFill>
                  <bgColor rgb="FFE0DCD8"/>
                </patternFill>
              </fill>
            </x14:dxf>
          </x14:cfRule>
          <xm:sqref>AD6:AH6 AD33:AH33 AD9:AH31</xm:sqref>
        </x14:conditionalFormatting>
        <x14:conditionalFormatting xmlns:xm="http://schemas.microsoft.com/office/excel/2006/main">
          <x14:cfRule type="expression" priority="2" id="{95E72055-172F-49D2-BDC0-633D0E11535A}">
            <xm:f>Validation!$H$3=1</xm:f>
            <x14:dxf>
              <fill>
                <patternFill>
                  <bgColor rgb="FFE0DCD8"/>
                </patternFill>
              </fill>
            </x14:dxf>
          </x14:cfRule>
          <xm:sqref>AH37</xm:sqref>
        </x14:conditionalFormatting>
        <x14:conditionalFormatting xmlns:xm="http://schemas.microsoft.com/office/excel/2006/main">
          <x14:cfRule type="expression" priority="1" id="{936138A7-1186-40EC-9CDF-DC7A5105525C}">
            <xm:f>Validation!$H$3=1</xm:f>
            <x14:dxf>
              <fill>
                <patternFill>
                  <bgColor rgb="FFE0DCD8"/>
                </patternFill>
              </fill>
            </x14:dxf>
          </x14:cfRule>
          <xm:sqref>AG37</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pageSetUpPr fitToPage="1"/>
  </sheetPr>
  <dimension ref="A1:BM95"/>
  <sheetViews>
    <sheetView topLeftCell="A28" workbookViewId="0">
      <selection activeCell="B1" sqref="B1:J53"/>
    </sheetView>
  </sheetViews>
  <sheetFormatPr defaultColWidth="0" defaultRowHeight="14" zeroHeight="1"/>
  <cols>
    <col min="1" max="1" width="0.58203125" style="74" customWidth="1"/>
    <col min="2" max="2" width="6.08203125" style="74" customWidth="1"/>
    <col min="3" max="3" width="41.58203125" style="74" customWidth="1"/>
    <col min="4" max="4" width="5.58203125" style="74" hidden="1" customWidth="1"/>
    <col min="5" max="6" width="5.08203125" style="74" customWidth="1"/>
    <col min="7" max="9" width="14.58203125" style="74" customWidth="1"/>
    <col min="10" max="10" width="14.58203125" style="70" customWidth="1"/>
    <col min="11" max="11" width="39.58203125" style="74" customWidth="1"/>
    <col min="12" max="12" width="25.58203125" style="70" customWidth="1"/>
    <col min="13" max="13" width="1.58203125" style="70" customWidth="1"/>
    <col min="14" max="14" width="1.58203125" style="71" hidden="1" customWidth="1"/>
    <col min="15" max="17" width="8.58203125" style="70" hidden="1" customWidth="1"/>
    <col min="18" max="18" width="1.58203125" style="71" hidden="1" customWidth="1"/>
    <col min="19" max="21" width="8" style="74" hidden="1" customWidth="1"/>
    <col min="22" max="22" width="1.58203125" style="71" hidden="1" customWidth="1"/>
    <col min="23" max="28" width="8" style="74" hidden="1" customWidth="1"/>
    <col min="29" max="29" width="100.58203125" style="74" hidden="1" customWidth="1"/>
    <col min="30" max="30" width="1.58203125" style="71" hidden="1" customWidth="1"/>
    <col min="31" max="54" width="8.58203125" style="74" hidden="1" customWidth="1"/>
    <col min="55" max="55" width="8" style="74" customWidth="1"/>
    <col min="56" max="56" width="6.08203125" style="74" customWidth="1"/>
    <col min="57" max="57" width="41.58203125" style="74" customWidth="1"/>
    <col min="58" max="58" width="5.58203125" style="74" hidden="1" customWidth="1"/>
    <col min="59" max="60" width="5.08203125" style="74" customWidth="1"/>
    <col min="61" max="63" width="14.58203125" style="74" customWidth="1"/>
    <col min="64" max="64" width="13.58203125" style="74" customWidth="1"/>
    <col min="65" max="65" width="8" style="74" customWidth="1"/>
    <col min="66" max="16384" width="8" style="74" hidden="1"/>
  </cols>
  <sheetData>
    <row r="1" spans="2:64" s="8" customFormat="1" ht="20">
      <c r="B1" s="66" t="s">
        <v>2050</v>
      </c>
      <c r="C1" s="66"/>
      <c r="D1" s="66"/>
      <c r="E1" s="66"/>
      <c r="F1" s="66"/>
      <c r="G1" s="66"/>
      <c r="H1" s="68"/>
      <c r="I1" s="68" t="str">
        <f>Validation!B3</f>
        <v>Bristol Water</v>
      </c>
      <c r="J1" s="66"/>
      <c r="K1" s="69"/>
      <c r="L1" s="69" t="s">
        <v>32</v>
      </c>
      <c r="M1" s="70"/>
      <c r="N1" s="71"/>
      <c r="O1" s="70"/>
      <c r="P1" s="70"/>
      <c r="Q1" s="70"/>
      <c r="R1" s="71"/>
      <c r="S1" s="70"/>
      <c r="T1" s="70"/>
      <c r="U1" s="70"/>
      <c r="V1" s="71"/>
      <c r="W1" s="483"/>
      <c r="X1" s="483"/>
      <c r="Y1" s="483"/>
      <c r="Z1" s="483"/>
      <c r="AA1" s="483"/>
      <c r="AB1" s="483"/>
      <c r="AC1" s="483"/>
      <c r="AD1" s="71"/>
      <c r="AE1" s="483"/>
      <c r="AF1" s="483"/>
      <c r="AG1" s="483"/>
      <c r="AH1" s="483"/>
      <c r="AI1" s="483"/>
      <c r="AJ1" s="483"/>
      <c r="AK1" s="483"/>
      <c r="AL1" s="483"/>
      <c r="AM1" s="483"/>
      <c r="AN1" s="483"/>
      <c r="AO1" s="483"/>
      <c r="AP1" s="483"/>
      <c r="AQ1" s="483"/>
      <c r="AR1" s="483"/>
      <c r="AS1" s="483"/>
      <c r="AT1" s="483"/>
      <c r="AU1" s="483"/>
      <c r="AV1" s="483"/>
      <c r="AW1" s="483"/>
      <c r="AX1" s="483"/>
      <c r="AY1" s="483"/>
      <c r="AZ1" s="483"/>
      <c r="BA1" s="483"/>
      <c r="BB1" s="483"/>
      <c r="BC1" s="483"/>
      <c r="BD1" s="66" t="s">
        <v>33</v>
      </c>
      <c r="BE1" s="66"/>
      <c r="BF1" s="66"/>
      <c r="BG1" s="66"/>
      <c r="BH1" s="66"/>
      <c r="BI1" s="66"/>
      <c r="BJ1" s="68"/>
      <c r="BK1" s="68"/>
      <c r="BL1" s="483"/>
    </row>
    <row r="2" spans="2:64" ht="14.5" thickBot="1">
      <c r="B2" s="73" t="str">
        <f>'2H'!B2</f>
        <v>For the 12 months ended 31 March 2020</v>
      </c>
      <c r="C2" s="257"/>
      <c r="D2" s="257"/>
      <c r="K2" s="70"/>
      <c r="S2" s="2909" t="s">
        <v>902</v>
      </c>
      <c r="T2" s="70"/>
      <c r="U2" s="70"/>
      <c r="W2" s="2909" t="s">
        <v>902</v>
      </c>
      <c r="BD2" s="73" t="str">
        <f>+B2</f>
        <v>For the 12 months ended 31 March 2020</v>
      </c>
      <c r="BE2" s="257"/>
      <c r="BF2" s="257"/>
    </row>
    <row r="3" spans="2:64" ht="15" customHeight="1" thickBot="1">
      <c r="B3" s="3006" t="s">
        <v>34</v>
      </c>
      <c r="C3" s="3007"/>
      <c r="D3" s="2846" t="s">
        <v>35</v>
      </c>
      <c r="E3" s="376" t="s">
        <v>36</v>
      </c>
      <c r="F3" s="377" t="s">
        <v>37</v>
      </c>
      <c r="G3" s="296" t="s">
        <v>903</v>
      </c>
      <c r="H3" s="307" t="s">
        <v>1258</v>
      </c>
      <c r="I3" s="377" t="s">
        <v>708</v>
      </c>
      <c r="K3" s="186" t="s">
        <v>703</v>
      </c>
      <c r="L3" s="2824" t="s">
        <v>41</v>
      </c>
      <c r="O3" s="2909" t="s">
        <v>45</v>
      </c>
      <c r="P3" s="2909"/>
      <c r="Q3" s="2822"/>
      <c r="S3" s="2909"/>
      <c r="T3" s="70"/>
      <c r="U3" s="70"/>
      <c r="W3" s="2909"/>
      <c r="BD3" s="3006" t="s">
        <v>34</v>
      </c>
      <c r="BE3" s="3007"/>
      <c r="BF3" s="2846" t="s">
        <v>35</v>
      </c>
      <c r="BG3" s="376" t="s">
        <v>36</v>
      </c>
      <c r="BH3" s="377" t="s">
        <v>37</v>
      </c>
      <c r="BI3" s="296" t="s">
        <v>903</v>
      </c>
      <c r="BJ3" s="307" t="s">
        <v>1258</v>
      </c>
      <c r="BK3" s="377" t="s">
        <v>708</v>
      </c>
    </row>
    <row r="4" spans="2:64" ht="14.5" thickBot="1">
      <c r="C4" s="330"/>
      <c r="D4" s="330"/>
      <c r="K4" s="70"/>
      <c r="S4" s="2909"/>
      <c r="T4" s="2822"/>
      <c r="U4" s="2822"/>
      <c r="W4" s="2909"/>
      <c r="X4" s="2822"/>
      <c r="Y4" s="2822"/>
      <c r="Z4" s="2822"/>
      <c r="AA4" s="2822"/>
      <c r="AB4" s="2822"/>
      <c r="AC4" s="2822"/>
      <c r="BE4" s="330"/>
      <c r="BF4" s="330"/>
    </row>
    <row r="5" spans="2:64" ht="14.5" thickBot="1">
      <c r="B5" s="2883" t="s">
        <v>153</v>
      </c>
      <c r="C5" s="83" t="s">
        <v>2051</v>
      </c>
      <c r="D5" s="1473"/>
      <c r="E5" s="262"/>
      <c r="F5" s="262"/>
      <c r="H5" s="262"/>
      <c r="I5" s="262"/>
      <c r="O5" s="164" t="s">
        <v>46</v>
      </c>
      <c r="P5" s="127"/>
      <c r="Q5" s="127"/>
      <c r="S5" s="483"/>
      <c r="T5" s="483"/>
      <c r="U5" s="483"/>
      <c r="BD5" s="2883" t="s">
        <v>153</v>
      </c>
      <c r="BE5" s="83" t="s">
        <v>2051</v>
      </c>
      <c r="BF5" s="1473"/>
      <c r="BG5" s="262"/>
      <c r="BH5" s="262"/>
      <c r="BJ5" s="262"/>
      <c r="BK5" s="262"/>
    </row>
    <row r="6" spans="2:64" ht="15" customHeight="1">
      <c r="B6" s="288" t="s">
        <v>2052</v>
      </c>
      <c r="C6" s="273" t="s">
        <v>2053</v>
      </c>
      <c r="D6" s="273"/>
      <c r="E6" s="300" t="s">
        <v>49</v>
      </c>
      <c r="F6" s="275">
        <v>3</v>
      </c>
      <c r="G6" s="438">
        <v>40.798000000000002</v>
      </c>
      <c r="H6" s="439">
        <v>0.314</v>
      </c>
      <c r="I6" s="331">
        <f>+G6+H6</f>
        <v>41.112000000000002</v>
      </c>
      <c r="L6" s="24">
        <f t="shared" ref="L6:L7" si="0" xml:space="preserve"> IF( SUM( N6:R6 ) = 0, 0, O$5 )</f>
        <v>0</v>
      </c>
      <c r="O6" s="93">
        <f xml:space="preserve"> IF( ISNUMBER( G6 ), 0, 1 )</f>
        <v>0</v>
      </c>
      <c r="P6" s="93">
        <f xml:space="preserve"> IF( ISNUMBER( H6 ), 0, 1 )</f>
        <v>0</v>
      </c>
      <c r="Q6" s="127"/>
      <c r="S6" s="483"/>
      <c r="T6" s="483"/>
      <c r="U6" s="483"/>
      <c r="BD6" s="288" t="s">
        <v>2052</v>
      </c>
      <c r="BE6" s="273" t="s">
        <v>2053</v>
      </c>
      <c r="BF6" s="273"/>
      <c r="BG6" s="300" t="s">
        <v>49</v>
      </c>
      <c r="BH6" s="275">
        <v>3</v>
      </c>
      <c r="BI6" s="2469" t="s">
        <v>2054</v>
      </c>
      <c r="BJ6" s="2470" t="s">
        <v>2055</v>
      </c>
      <c r="BK6" s="331" t="s">
        <v>2056</v>
      </c>
    </row>
    <row r="7" spans="2:64" ht="15" customHeight="1">
      <c r="B7" s="289" t="s">
        <v>2057</v>
      </c>
      <c r="C7" s="277" t="s">
        <v>2058</v>
      </c>
      <c r="D7" s="277"/>
      <c r="E7" s="301" t="s">
        <v>49</v>
      </c>
      <c r="F7" s="279">
        <v>3</v>
      </c>
      <c r="G7" s="440">
        <v>41.405000000000001</v>
      </c>
      <c r="H7" s="441">
        <v>25.388999999999999</v>
      </c>
      <c r="I7" s="332">
        <f>+G7+H7</f>
        <v>66.793999999999997</v>
      </c>
      <c r="L7" s="24">
        <f t="shared" si="0"/>
        <v>0</v>
      </c>
      <c r="O7" s="93">
        <f t="shared" ref="O7:P8" si="1" xml:space="preserve"> IF( ISNUMBER( G7 ), 0, 1 )</f>
        <v>0</v>
      </c>
      <c r="P7" s="93">
        <f t="shared" si="1"/>
        <v>0</v>
      </c>
      <c r="Q7" s="127"/>
      <c r="S7" s="483"/>
      <c r="T7" s="483"/>
      <c r="U7" s="483"/>
      <c r="BD7" s="289" t="s">
        <v>2057</v>
      </c>
      <c r="BE7" s="277" t="s">
        <v>2058</v>
      </c>
      <c r="BF7" s="277"/>
      <c r="BG7" s="301" t="s">
        <v>49</v>
      </c>
      <c r="BH7" s="279">
        <v>3</v>
      </c>
      <c r="BI7" s="2192" t="s">
        <v>2059</v>
      </c>
      <c r="BJ7" s="2471" t="s">
        <v>2060</v>
      </c>
      <c r="BK7" s="332" t="s">
        <v>2061</v>
      </c>
    </row>
    <row r="8" spans="2:64" ht="15" customHeight="1">
      <c r="B8" s="289" t="s">
        <v>2062</v>
      </c>
      <c r="C8" s="277" t="s">
        <v>2063</v>
      </c>
      <c r="D8" s="277"/>
      <c r="E8" s="301" t="s">
        <v>49</v>
      </c>
      <c r="F8" s="279">
        <v>3</v>
      </c>
      <c r="G8" s="440">
        <v>0</v>
      </c>
      <c r="H8" s="441">
        <v>8.7999999999999995E-2</v>
      </c>
      <c r="I8" s="332">
        <f>+G8+H8</f>
        <v>8.7999999999999995E-2</v>
      </c>
      <c r="L8" s="24">
        <f xml:space="preserve"> IF( SUM( N8:R8 ) = 0, 0, O$5 )</f>
        <v>0</v>
      </c>
      <c r="O8" s="93">
        <f t="shared" si="1"/>
        <v>0</v>
      </c>
      <c r="P8" s="93">
        <f t="shared" si="1"/>
        <v>0</v>
      </c>
      <c r="Q8" s="127"/>
      <c r="S8" s="483"/>
      <c r="T8" s="483"/>
      <c r="U8" s="483"/>
      <c r="BD8" s="289" t="s">
        <v>2062</v>
      </c>
      <c r="BE8" s="277" t="s">
        <v>2063</v>
      </c>
      <c r="BF8" s="277"/>
      <c r="BG8" s="301" t="s">
        <v>49</v>
      </c>
      <c r="BH8" s="279">
        <v>3</v>
      </c>
      <c r="BI8" s="2192" t="s">
        <v>2064</v>
      </c>
      <c r="BJ8" s="2471" t="s">
        <v>2065</v>
      </c>
      <c r="BK8" s="332" t="s">
        <v>2066</v>
      </c>
    </row>
    <row r="9" spans="2:64" ht="15" customHeight="1" thickBot="1">
      <c r="B9" s="290" t="s">
        <v>2067</v>
      </c>
      <c r="C9" s="282" t="s">
        <v>708</v>
      </c>
      <c r="D9" s="282"/>
      <c r="E9" s="283" t="s">
        <v>49</v>
      </c>
      <c r="F9" s="284">
        <v>3</v>
      </c>
      <c r="G9" s="333">
        <f>SUM(G6:G8)</f>
        <v>82.203000000000003</v>
      </c>
      <c r="H9" s="334">
        <f>SUM(H6:H8)</f>
        <v>25.791</v>
      </c>
      <c r="I9" s="335">
        <f t="shared" ref="I9" si="2">SUM(I6:I8)</f>
        <v>107.994</v>
      </c>
      <c r="L9" s="109"/>
      <c r="O9" s="280"/>
      <c r="P9" s="110"/>
      <c r="Q9" s="286"/>
      <c r="S9" s="483"/>
      <c r="T9" s="483"/>
      <c r="U9" s="483"/>
      <c r="BD9" s="290" t="s">
        <v>2067</v>
      </c>
      <c r="BE9" s="282" t="s">
        <v>708</v>
      </c>
      <c r="BF9" s="282"/>
      <c r="BG9" s="283" t="s">
        <v>49</v>
      </c>
      <c r="BH9" s="284">
        <v>3</v>
      </c>
      <c r="BI9" s="333" t="s">
        <v>2068</v>
      </c>
      <c r="BJ9" s="334" t="s">
        <v>2069</v>
      </c>
      <c r="BK9" s="335" t="s">
        <v>2070</v>
      </c>
    </row>
    <row r="10" spans="2:64" ht="14.5" thickBot="1">
      <c r="B10" s="336"/>
      <c r="C10" s="267"/>
      <c r="D10" s="267"/>
      <c r="E10" s="269"/>
      <c r="F10" s="269"/>
      <c r="G10" s="337"/>
      <c r="H10" s="337"/>
      <c r="I10" s="337"/>
      <c r="L10" s="109"/>
      <c r="O10" s="280"/>
      <c r="P10" s="110"/>
      <c r="Q10" s="286"/>
      <c r="S10" s="483"/>
      <c r="T10" s="483"/>
      <c r="U10" s="483"/>
      <c r="BD10" s="336"/>
      <c r="BE10" s="267"/>
      <c r="BF10" s="267"/>
      <c r="BG10" s="269"/>
      <c r="BH10" s="269"/>
      <c r="BI10" s="337"/>
      <c r="BJ10" s="337"/>
      <c r="BK10" s="337"/>
    </row>
    <row r="11" spans="2:64" ht="14.5" thickBot="1">
      <c r="B11" s="2883" t="s">
        <v>175</v>
      </c>
      <c r="C11" s="114" t="s">
        <v>2071</v>
      </c>
      <c r="D11" s="1473"/>
      <c r="E11" s="299"/>
      <c r="F11" s="299"/>
      <c r="G11" s="270"/>
      <c r="H11" s="270"/>
      <c r="I11" s="270"/>
      <c r="L11" s="109"/>
      <c r="O11" s="280"/>
      <c r="P11" s="110"/>
      <c r="Q11" s="286"/>
      <c r="S11" s="483"/>
      <c r="T11" s="483"/>
      <c r="U11" s="483"/>
      <c r="BD11" s="2883" t="s">
        <v>175</v>
      </c>
      <c r="BE11" s="114" t="s">
        <v>2071</v>
      </c>
      <c r="BF11" s="1473"/>
      <c r="BG11" s="299"/>
      <c r="BH11" s="299"/>
      <c r="BI11" s="270"/>
      <c r="BJ11" s="270"/>
      <c r="BK11" s="270"/>
    </row>
    <row r="12" spans="2:64" ht="15" customHeight="1">
      <c r="B12" s="288" t="s">
        <v>2072</v>
      </c>
      <c r="C12" s="273" t="s">
        <v>2053</v>
      </c>
      <c r="D12" s="273"/>
      <c r="E12" s="300" t="s">
        <v>49</v>
      </c>
      <c r="F12" s="275">
        <v>3</v>
      </c>
      <c r="G12" s="438"/>
      <c r="H12" s="439"/>
      <c r="I12" s="331">
        <f>+G12+H12</f>
        <v>0</v>
      </c>
      <c r="L12" s="24">
        <f t="shared" ref="L12:L14" si="3" xml:space="preserve"> IF( SUM( N12:R12 ) = 0, 0, O$5 )</f>
        <v>0</v>
      </c>
      <c r="O12" s="93">
        <f>IF(Validation!$H$3=1,0,IF(ISNUMBER(G12),0,1))</f>
        <v>0</v>
      </c>
      <c r="P12" s="93">
        <f>IF(Validation!$H$3=1,0,IF(ISNUMBER(H12),0,1))</f>
        <v>0</v>
      </c>
      <c r="Q12" s="127"/>
      <c r="S12" s="483"/>
      <c r="T12" s="483"/>
      <c r="U12" s="483"/>
      <c r="BD12" s="288" t="s">
        <v>2072</v>
      </c>
      <c r="BE12" s="273" t="s">
        <v>2053</v>
      </c>
      <c r="BF12" s="273"/>
      <c r="BG12" s="300" t="s">
        <v>49</v>
      </c>
      <c r="BH12" s="275">
        <v>3</v>
      </c>
      <c r="BI12" s="2469" t="s">
        <v>2073</v>
      </c>
      <c r="BJ12" s="2470" t="s">
        <v>2074</v>
      </c>
      <c r="BK12" s="331" t="s">
        <v>2075</v>
      </c>
    </row>
    <row r="13" spans="2:64" ht="15" customHeight="1">
      <c r="B13" s="289" t="s">
        <v>2076</v>
      </c>
      <c r="C13" s="277" t="s">
        <v>2058</v>
      </c>
      <c r="D13" s="277"/>
      <c r="E13" s="301" t="s">
        <v>49</v>
      </c>
      <c r="F13" s="279">
        <v>3</v>
      </c>
      <c r="G13" s="440"/>
      <c r="H13" s="441"/>
      <c r="I13" s="332">
        <f>+G13+H13</f>
        <v>0</v>
      </c>
      <c r="L13" s="24">
        <f t="shared" si="3"/>
        <v>0</v>
      </c>
      <c r="O13" s="93">
        <f>IF(Validation!$H$3=1,0,IF(ISNUMBER(G13),0,1))</f>
        <v>0</v>
      </c>
      <c r="P13" s="93">
        <f>IF(Validation!$H$3=1,0,IF(ISNUMBER(H13),0,1))</f>
        <v>0</v>
      </c>
      <c r="Q13" s="127"/>
      <c r="S13" s="483"/>
      <c r="T13" s="483"/>
      <c r="U13" s="483"/>
      <c r="BD13" s="289" t="s">
        <v>2076</v>
      </c>
      <c r="BE13" s="277" t="s">
        <v>2058</v>
      </c>
      <c r="BF13" s="277"/>
      <c r="BG13" s="301" t="s">
        <v>49</v>
      </c>
      <c r="BH13" s="279">
        <v>3</v>
      </c>
      <c r="BI13" s="2192" t="s">
        <v>2077</v>
      </c>
      <c r="BJ13" s="2471" t="s">
        <v>2078</v>
      </c>
      <c r="BK13" s="332" t="s">
        <v>2079</v>
      </c>
    </row>
    <row r="14" spans="2:64" ht="15" customHeight="1">
      <c r="B14" s="289" t="s">
        <v>2080</v>
      </c>
      <c r="C14" s="277" t="s">
        <v>2063</v>
      </c>
      <c r="D14" s="277"/>
      <c r="E14" s="301" t="s">
        <v>49</v>
      </c>
      <c r="F14" s="279">
        <v>3</v>
      </c>
      <c r="G14" s="440"/>
      <c r="H14" s="441"/>
      <c r="I14" s="332">
        <f>+G14+H14</f>
        <v>0</v>
      </c>
      <c r="L14" s="24">
        <f t="shared" si="3"/>
        <v>0</v>
      </c>
      <c r="O14" s="93">
        <f>IF(Validation!$H$3=1,0,IF(ISNUMBER(G14),0,1))</f>
        <v>0</v>
      </c>
      <c r="P14" s="93">
        <f>IF(Validation!$H$3=1,0,IF(ISNUMBER(H14),0,1))</f>
        <v>0</v>
      </c>
      <c r="Q14" s="127"/>
      <c r="S14" s="483"/>
      <c r="T14" s="483"/>
      <c r="U14" s="483"/>
      <c r="BD14" s="289" t="s">
        <v>2080</v>
      </c>
      <c r="BE14" s="277" t="s">
        <v>2063</v>
      </c>
      <c r="BF14" s="277"/>
      <c r="BG14" s="301" t="s">
        <v>49</v>
      </c>
      <c r="BH14" s="279">
        <v>3</v>
      </c>
      <c r="BI14" s="2192" t="s">
        <v>2081</v>
      </c>
      <c r="BJ14" s="2471" t="s">
        <v>2082</v>
      </c>
      <c r="BK14" s="332" t="s">
        <v>2083</v>
      </c>
    </row>
    <row r="15" spans="2:64" ht="15" customHeight="1" thickBot="1">
      <c r="B15" s="290" t="s">
        <v>2084</v>
      </c>
      <c r="C15" s="282" t="s">
        <v>708</v>
      </c>
      <c r="D15" s="282"/>
      <c r="E15" s="283" t="s">
        <v>49</v>
      </c>
      <c r="F15" s="284">
        <v>3</v>
      </c>
      <c r="G15" s="333">
        <f>SUM(G12:G14)</f>
        <v>0</v>
      </c>
      <c r="H15" s="334">
        <f>SUM(H12:H14)</f>
        <v>0</v>
      </c>
      <c r="I15" s="335">
        <f>SUM(I12:I14)</f>
        <v>0</v>
      </c>
      <c r="L15" s="109"/>
      <c r="O15" s="280"/>
      <c r="P15" s="110"/>
      <c r="Q15" s="286"/>
      <c r="S15" s="483"/>
      <c r="T15" s="483"/>
      <c r="U15" s="483"/>
      <c r="BD15" s="290" t="s">
        <v>2084</v>
      </c>
      <c r="BE15" s="282" t="s">
        <v>708</v>
      </c>
      <c r="BF15" s="282"/>
      <c r="BG15" s="283" t="s">
        <v>49</v>
      </c>
      <c r="BH15" s="284">
        <v>3</v>
      </c>
      <c r="BI15" s="333" t="s">
        <v>2085</v>
      </c>
      <c r="BJ15" s="334" t="s">
        <v>2086</v>
      </c>
      <c r="BK15" s="335" t="s">
        <v>2087</v>
      </c>
    </row>
    <row r="16" spans="2:64" ht="14.5" thickBot="1">
      <c r="B16" s="336"/>
      <c r="C16" s="267"/>
      <c r="D16" s="267"/>
      <c r="E16" s="269"/>
      <c r="F16" s="269"/>
      <c r="G16" s="337"/>
      <c r="H16" s="337"/>
      <c r="I16" s="337"/>
      <c r="L16" s="109"/>
      <c r="O16" s="280"/>
      <c r="P16" s="110"/>
      <c r="Q16" s="286"/>
      <c r="S16" s="483"/>
      <c r="T16" s="483"/>
      <c r="U16" s="483"/>
      <c r="BD16" s="336"/>
      <c r="BE16" s="267"/>
      <c r="BF16" s="267"/>
      <c r="BG16" s="269"/>
      <c r="BH16" s="269"/>
      <c r="BI16" s="337"/>
      <c r="BJ16" s="337"/>
      <c r="BK16" s="337"/>
    </row>
    <row r="17" spans="2:63" ht="14.5" thickBot="1">
      <c r="B17" s="2883" t="s">
        <v>175</v>
      </c>
      <c r="C17" s="114" t="s">
        <v>2088</v>
      </c>
      <c r="D17" s="1473"/>
      <c r="E17" s="299"/>
      <c r="F17" s="299"/>
      <c r="G17" s="270"/>
      <c r="H17" s="270"/>
      <c r="I17" s="270"/>
      <c r="L17" s="109"/>
      <c r="O17" s="280"/>
      <c r="P17" s="110"/>
      <c r="Q17" s="286"/>
      <c r="S17" s="483"/>
      <c r="T17" s="483"/>
      <c r="U17" s="483"/>
      <c r="BD17" s="2883" t="s">
        <v>175</v>
      </c>
      <c r="BE17" s="114" t="s">
        <v>2088</v>
      </c>
      <c r="BF17" s="1473"/>
      <c r="BG17" s="299"/>
      <c r="BH17" s="299"/>
      <c r="BI17" s="270"/>
      <c r="BJ17" s="270"/>
      <c r="BK17" s="270"/>
    </row>
    <row r="18" spans="2:63" ht="15" customHeight="1">
      <c r="B18" s="288" t="s">
        <v>2072</v>
      </c>
      <c r="C18" s="273" t="s">
        <v>2053</v>
      </c>
      <c r="D18" s="273"/>
      <c r="E18" s="300" t="s">
        <v>49</v>
      </c>
      <c r="F18" s="275">
        <v>3</v>
      </c>
      <c r="G18" s="438"/>
      <c r="H18" s="439"/>
      <c r="I18" s="331">
        <f>+G18+H18</f>
        <v>0</v>
      </c>
      <c r="L18" s="24">
        <f t="shared" ref="L18:L20" si="4" xml:space="preserve"> IF( SUM( N18:R18 ) = 0, 0, O$5 )</f>
        <v>0</v>
      </c>
      <c r="O18" s="93">
        <f>IF( Validation!$H$3=1, 0, IF(Validation!$B$3 &lt;&gt; "Thames Water", 0, (IF(ISNUMBER(G18), 0, 1))))</f>
        <v>0</v>
      </c>
      <c r="P18" s="93">
        <f>IF( Validation!$H$3=1, 0, IF(Validation!$B$3 &lt;&gt; "Thames Water", 0, (IF(ISNUMBER(H18), 0, 1))))</f>
        <v>0</v>
      </c>
      <c r="Q18" s="127"/>
      <c r="S18" s="483"/>
      <c r="T18" s="483"/>
      <c r="U18" s="483"/>
      <c r="BD18" s="288" t="s">
        <v>2072</v>
      </c>
      <c r="BE18" s="273" t="s">
        <v>2053</v>
      </c>
      <c r="BF18" s="273"/>
      <c r="BG18" s="300" t="s">
        <v>49</v>
      </c>
      <c r="BH18" s="275">
        <v>3</v>
      </c>
      <c r="BI18" s="2469" t="s">
        <v>2089</v>
      </c>
      <c r="BJ18" s="2470" t="s">
        <v>2090</v>
      </c>
      <c r="BK18" s="331" t="s">
        <v>2091</v>
      </c>
    </row>
    <row r="19" spans="2:63" ht="15" customHeight="1">
      <c r="B19" s="289" t="s">
        <v>2076</v>
      </c>
      <c r="C19" s="277" t="s">
        <v>2058</v>
      </c>
      <c r="D19" s="277"/>
      <c r="E19" s="301" t="s">
        <v>49</v>
      </c>
      <c r="F19" s="279">
        <v>3</v>
      </c>
      <c r="G19" s="440"/>
      <c r="H19" s="441"/>
      <c r="I19" s="332">
        <f>+G19+H19</f>
        <v>0</v>
      </c>
      <c r="L19" s="24">
        <f t="shared" si="4"/>
        <v>0</v>
      </c>
      <c r="O19" s="93">
        <f>IF( Validation!$H$3=1, 0, IF(Validation!$B$3 &lt;&gt; "Thames Water", 0, (IF(ISNUMBER(G19), 0, 1))))</f>
        <v>0</v>
      </c>
      <c r="P19" s="93">
        <f>IF( Validation!$H$3=1, 0, IF(Validation!$B$3 &lt;&gt; "Thames Water", 0, (IF(ISNUMBER(H19), 0, 1))))</f>
        <v>0</v>
      </c>
      <c r="Q19" s="127"/>
      <c r="S19" s="483"/>
      <c r="T19" s="483"/>
      <c r="U19" s="483"/>
      <c r="BD19" s="289" t="s">
        <v>2076</v>
      </c>
      <c r="BE19" s="277" t="s">
        <v>2058</v>
      </c>
      <c r="BF19" s="277"/>
      <c r="BG19" s="301" t="s">
        <v>49</v>
      </c>
      <c r="BH19" s="279">
        <v>3</v>
      </c>
      <c r="BI19" s="2192" t="s">
        <v>2092</v>
      </c>
      <c r="BJ19" s="2471" t="s">
        <v>2093</v>
      </c>
      <c r="BK19" s="332" t="s">
        <v>2094</v>
      </c>
    </row>
    <row r="20" spans="2:63" ht="15" customHeight="1">
      <c r="B20" s="289" t="s">
        <v>2080</v>
      </c>
      <c r="C20" s="277" t="s">
        <v>2063</v>
      </c>
      <c r="D20" s="277"/>
      <c r="E20" s="301" t="s">
        <v>49</v>
      </c>
      <c r="F20" s="279">
        <v>3</v>
      </c>
      <c r="G20" s="440"/>
      <c r="H20" s="441"/>
      <c r="I20" s="332">
        <f>+G20+H20</f>
        <v>0</v>
      </c>
      <c r="L20" s="24">
        <f t="shared" si="4"/>
        <v>0</v>
      </c>
      <c r="O20" s="93">
        <f>IF( Validation!$H$3=1, 0, IF(Validation!$B$3 &lt;&gt; "Thames Water", 0, (IF(ISNUMBER(G20), 0, 1))))</f>
        <v>0</v>
      </c>
      <c r="P20" s="93">
        <f>IF( Validation!$H$3=1, 0, IF(Validation!$B$3 &lt;&gt; "Thames Water", 0, (IF(ISNUMBER(H20), 0, 1))))</f>
        <v>0</v>
      </c>
      <c r="Q20" s="127"/>
      <c r="S20" s="483"/>
      <c r="T20" s="483"/>
      <c r="U20" s="483"/>
      <c r="BD20" s="289" t="s">
        <v>2080</v>
      </c>
      <c r="BE20" s="277" t="s">
        <v>2063</v>
      </c>
      <c r="BF20" s="277"/>
      <c r="BG20" s="301" t="s">
        <v>49</v>
      </c>
      <c r="BH20" s="279">
        <v>3</v>
      </c>
      <c r="BI20" s="2192" t="s">
        <v>2095</v>
      </c>
      <c r="BJ20" s="2471" t="s">
        <v>2096</v>
      </c>
      <c r="BK20" s="332" t="s">
        <v>2097</v>
      </c>
    </row>
    <row r="21" spans="2:63" ht="15" customHeight="1" thickBot="1">
      <c r="B21" s="290" t="s">
        <v>2084</v>
      </c>
      <c r="C21" s="282" t="s">
        <v>708</v>
      </c>
      <c r="D21" s="282"/>
      <c r="E21" s="283" t="s">
        <v>49</v>
      </c>
      <c r="F21" s="284">
        <v>3</v>
      </c>
      <c r="G21" s="333">
        <f>SUM(G18:G20)</f>
        <v>0</v>
      </c>
      <c r="H21" s="334">
        <f>SUM(H18:H20)</f>
        <v>0</v>
      </c>
      <c r="I21" s="335">
        <f>SUM(I18:I20)</f>
        <v>0</v>
      </c>
      <c r="L21" s="109"/>
      <c r="O21" s="280"/>
      <c r="P21" s="110"/>
      <c r="Q21" s="286"/>
      <c r="S21" s="483"/>
      <c r="T21" s="483"/>
      <c r="U21" s="483"/>
      <c r="BD21" s="290" t="s">
        <v>2084</v>
      </c>
      <c r="BE21" s="282" t="s">
        <v>708</v>
      </c>
      <c r="BF21" s="282"/>
      <c r="BG21" s="283" t="s">
        <v>49</v>
      </c>
      <c r="BH21" s="284">
        <v>3</v>
      </c>
      <c r="BI21" s="333" t="s">
        <v>2098</v>
      </c>
      <c r="BJ21" s="334" t="s">
        <v>2099</v>
      </c>
      <c r="BK21" s="335" t="s">
        <v>2100</v>
      </c>
    </row>
    <row r="22" spans="2:63" ht="14.5" thickBot="1">
      <c r="B22" s="336"/>
      <c r="C22" s="267"/>
      <c r="D22" s="267"/>
      <c r="E22" s="269"/>
      <c r="F22" s="269"/>
      <c r="G22" s="337"/>
      <c r="H22" s="337"/>
      <c r="I22" s="337"/>
      <c r="L22" s="109"/>
      <c r="O22" s="280"/>
      <c r="P22" s="110"/>
      <c r="Q22" s="286"/>
      <c r="S22" s="483"/>
      <c r="T22" s="483"/>
      <c r="U22" s="483"/>
      <c r="BD22" s="336"/>
      <c r="BE22" s="267"/>
      <c r="BF22" s="267"/>
      <c r="BG22" s="269"/>
      <c r="BH22" s="269"/>
      <c r="BI22" s="337"/>
      <c r="BJ22" s="337"/>
      <c r="BK22" s="337"/>
    </row>
    <row r="23" spans="2:63" ht="15" customHeight="1" thickBot="1">
      <c r="B23" s="338" t="s">
        <v>2101</v>
      </c>
      <c r="C23" s="264" t="s">
        <v>2102</v>
      </c>
      <c r="D23" s="264"/>
      <c r="E23" s="339" t="s">
        <v>49</v>
      </c>
      <c r="F23" s="266">
        <v>3</v>
      </c>
      <c r="G23" s="340">
        <f>+G15+G9+G21</f>
        <v>82.203000000000003</v>
      </c>
      <c r="H23" s="341">
        <f t="shared" ref="H23" si="5">+H15+H9+H21</f>
        <v>25.791</v>
      </c>
      <c r="I23" s="342">
        <f>+I15+I9+I21</f>
        <v>107.994</v>
      </c>
      <c r="L23" s="109"/>
      <c r="O23" s="280"/>
      <c r="P23" s="110"/>
      <c r="Q23" s="286"/>
      <c r="S23" s="483"/>
      <c r="T23" s="483"/>
      <c r="U23" s="483"/>
      <c r="BD23" s="338" t="s">
        <v>2101</v>
      </c>
      <c r="BE23" s="264" t="s">
        <v>2102</v>
      </c>
      <c r="BF23" s="264"/>
      <c r="BG23" s="339" t="s">
        <v>49</v>
      </c>
      <c r="BH23" s="266">
        <v>3</v>
      </c>
      <c r="BI23" s="340" t="s">
        <v>2103</v>
      </c>
      <c r="BJ23" s="341" t="s">
        <v>2104</v>
      </c>
      <c r="BK23" s="342" t="s">
        <v>2105</v>
      </c>
    </row>
    <row r="24" spans="2:63" ht="14.5" thickBot="1">
      <c r="B24" s="141"/>
      <c r="E24" s="271"/>
      <c r="F24" s="271"/>
      <c r="G24" s="270"/>
      <c r="H24" s="270"/>
      <c r="I24" s="270"/>
      <c r="L24" s="109"/>
      <c r="O24" s="280"/>
      <c r="P24" s="110"/>
      <c r="Q24" s="286"/>
      <c r="S24" s="483"/>
      <c r="T24" s="483"/>
      <c r="U24" s="483"/>
      <c r="BD24" s="141"/>
      <c r="BG24" s="271"/>
      <c r="BH24" s="271"/>
      <c r="BI24" s="270"/>
      <c r="BJ24" s="270"/>
      <c r="BK24" s="270"/>
    </row>
    <row r="25" spans="2:63" ht="14.5" thickBot="1">
      <c r="B25" s="2883" t="s">
        <v>333</v>
      </c>
      <c r="C25" s="114" t="s">
        <v>2106</v>
      </c>
      <c r="D25" s="1473"/>
      <c r="E25" s="299"/>
      <c r="F25" s="299"/>
      <c r="G25" s="270"/>
      <c r="H25" s="270"/>
      <c r="I25" s="270"/>
      <c r="L25" s="109"/>
      <c r="O25" s="280"/>
      <c r="P25" s="110"/>
      <c r="Q25" s="286"/>
      <c r="S25" s="483"/>
      <c r="T25" s="483"/>
      <c r="U25" s="483"/>
      <c r="BD25" s="2883" t="s">
        <v>333</v>
      </c>
      <c r="BE25" s="114" t="s">
        <v>2106</v>
      </c>
      <c r="BF25" s="1473"/>
      <c r="BG25" s="299"/>
      <c r="BH25" s="299"/>
      <c r="BI25" s="270"/>
      <c r="BJ25" s="270"/>
      <c r="BK25" s="270"/>
    </row>
    <row r="26" spans="2:63" ht="15" customHeight="1">
      <c r="B26" s="288" t="s">
        <v>2107</v>
      </c>
      <c r="C26" s="273" t="s">
        <v>2053</v>
      </c>
      <c r="D26" s="273"/>
      <c r="E26" s="300" t="s">
        <v>49</v>
      </c>
      <c r="F26" s="275">
        <v>3</v>
      </c>
      <c r="G26" s="438">
        <v>4.3609999999999998</v>
      </c>
      <c r="H26" s="439">
        <v>0</v>
      </c>
      <c r="I26" s="331">
        <f>+G26+H26</f>
        <v>4.3609999999999998</v>
      </c>
      <c r="L26" s="24">
        <f t="shared" ref="L26:L28" si="6" xml:space="preserve"> IF( SUM( N26:R26 ) = 0, 0, O$5 )</f>
        <v>0</v>
      </c>
      <c r="O26" s="93">
        <f t="shared" ref="O26:P28" si="7" xml:space="preserve"> IF( ISNUMBER( G26 ), 0, 1 )</f>
        <v>0</v>
      </c>
      <c r="P26" s="93">
        <f t="shared" si="7"/>
        <v>0</v>
      </c>
      <c r="Q26" s="127"/>
      <c r="S26" s="483"/>
      <c r="T26" s="483"/>
      <c r="U26" s="483"/>
      <c r="BD26" s="288" t="s">
        <v>2107</v>
      </c>
      <c r="BE26" s="273" t="s">
        <v>2053</v>
      </c>
      <c r="BF26" s="273"/>
      <c r="BG26" s="300" t="s">
        <v>49</v>
      </c>
      <c r="BH26" s="275">
        <v>3</v>
      </c>
      <c r="BI26" s="2469" t="s">
        <v>2108</v>
      </c>
      <c r="BJ26" s="2470" t="s">
        <v>2109</v>
      </c>
      <c r="BK26" s="331" t="s">
        <v>2110</v>
      </c>
    </row>
    <row r="27" spans="2:63" ht="15" customHeight="1">
      <c r="B27" s="289" t="s">
        <v>2111</v>
      </c>
      <c r="C27" s="277" t="s">
        <v>2058</v>
      </c>
      <c r="D27" s="277"/>
      <c r="E27" s="301" t="s">
        <v>49</v>
      </c>
      <c r="F27" s="279">
        <v>3</v>
      </c>
      <c r="G27" s="440">
        <v>7.6189999999999998</v>
      </c>
      <c r="H27" s="441">
        <v>0</v>
      </c>
      <c r="I27" s="332">
        <f>+G27+H27</f>
        <v>7.6189999999999998</v>
      </c>
      <c r="L27" s="24">
        <f t="shared" si="6"/>
        <v>0</v>
      </c>
      <c r="O27" s="93">
        <f t="shared" si="7"/>
        <v>0</v>
      </c>
      <c r="P27" s="93">
        <f t="shared" si="7"/>
        <v>0</v>
      </c>
      <c r="Q27" s="127"/>
      <c r="S27" s="483"/>
      <c r="T27" s="483"/>
      <c r="U27" s="483"/>
      <c r="BD27" s="289" t="s">
        <v>2111</v>
      </c>
      <c r="BE27" s="277" t="s">
        <v>2058</v>
      </c>
      <c r="BF27" s="277"/>
      <c r="BG27" s="301" t="s">
        <v>49</v>
      </c>
      <c r="BH27" s="279">
        <v>3</v>
      </c>
      <c r="BI27" s="2192" t="s">
        <v>2112</v>
      </c>
      <c r="BJ27" s="2471" t="s">
        <v>2113</v>
      </c>
      <c r="BK27" s="332" t="s">
        <v>2114</v>
      </c>
    </row>
    <row r="28" spans="2:63" ht="15" customHeight="1">
      <c r="B28" s="289" t="s">
        <v>2115</v>
      </c>
      <c r="C28" s="277" t="s">
        <v>2116</v>
      </c>
      <c r="D28" s="277"/>
      <c r="E28" s="301" t="s">
        <v>49</v>
      </c>
      <c r="F28" s="279">
        <v>3</v>
      </c>
      <c r="G28" s="440">
        <v>0</v>
      </c>
      <c r="H28" s="441">
        <v>0</v>
      </c>
      <c r="I28" s="332">
        <f>+G28+H28</f>
        <v>0</v>
      </c>
      <c r="L28" s="24">
        <f t="shared" si="6"/>
        <v>0</v>
      </c>
      <c r="O28" s="93">
        <f t="shared" si="7"/>
        <v>0</v>
      </c>
      <c r="P28" s="93">
        <f t="shared" si="7"/>
        <v>0</v>
      </c>
      <c r="Q28" s="127"/>
      <c r="S28" s="483"/>
      <c r="T28" s="483"/>
      <c r="U28" s="483"/>
      <c r="BD28" s="289" t="s">
        <v>2115</v>
      </c>
      <c r="BE28" s="277" t="s">
        <v>2116</v>
      </c>
      <c r="BF28" s="277"/>
      <c r="BG28" s="301" t="s">
        <v>49</v>
      </c>
      <c r="BH28" s="279">
        <v>3</v>
      </c>
      <c r="BI28" s="2192" t="s">
        <v>2117</v>
      </c>
      <c r="BJ28" s="2471" t="s">
        <v>2118</v>
      </c>
      <c r="BK28" s="332" t="s">
        <v>2119</v>
      </c>
    </row>
    <row r="29" spans="2:63" ht="21.75" customHeight="1" thickBot="1">
      <c r="B29" s="290" t="s">
        <v>2120</v>
      </c>
      <c r="C29" s="282" t="s">
        <v>2121</v>
      </c>
      <c r="D29" s="282"/>
      <c r="E29" s="283" t="s">
        <v>49</v>
      </c>
      <c r="F29" s="284">
        <v>3</v>
      </c>
      <c r="G29" s="333">
        <f>SUM(G26:G28)</f>
        <v>11.98</v>
      </c>
      <c r="H29" s="334">
        <f>SUM(H26:H28)</f>
        <v>0</v>
      </c>
      <c r="I29" s="335">
        <f>SUM(I26:I28)</f>
        <v>11.98</v>
      </c>
      <c r="J29" s="118"/>
      <c r="K29" s="1339">
        <f xml:space="preserve"> IF( SUM( R29:V29 ) = 0, 0, AC29 )</f>
        <v>0</v>
      </c>
      <c r="L29" s="109"/>
      <c r="M29" s="118"/>
      <c r="N29" s="124"/>
      <c r="O29" s="280"/>
      <c r="P29" s="110"/>
      <c r="Q29" s="286"/>
      <c r="R29" s="124"/>
      <c r="S29" s="93">
        <f xml:space="preserve"> IF( (W29 - X29) = 0, 0, 1 )</f>
        <v>0</v>
      </c>
      <c r="T29" s="483"/>
      <c r="U29" s="483"/>
      <c r="V29" s="124"/>
      <c r="W29" s="165">
        <f xml:space="preserve"> ROUND( I23 + I29, 3)</f>
        <v>119.974</v>
      </c>
      <c r="X29" s="165">
        <f xml:space="preserve"> ROUND( '2A'!P6, 3)</f>
        <v>119.974</v>
      </c>
      <c r="Y29" s="165"/>
      <c r="Z29" s="165"/>
      <c r="AA29" s="165"/>
      <c r="AB29" s="165"/>
      <c r="AC29" s="74" t="s">
        <v>2122</v>
      </c>
      <c r="AD29" s="124"/>
      <c r="BD29" s="290" t="s">
        <v>2120</v>
      </c>
      <c r="BE29" s="282" t="s">
        <v>2121</v>
      </c>
      <c r="BF29" s="282"/>
      <c r="BG29" s="283" t="s">
        <v>49</v>
      </c>
      <c r="BH29" s="284">
        <v>3</v>
      </c>
      <c r="BI29" s="333" t="s">
        <v>2123</v>
      </c>
      <c r="BJ29" s="334" t="s">
        <v>2124</v>
      </c>
      <c r="BK29" s="335" t="s">
        <v>2125</v>
      </c>
    </row>
    <row r="30" spans="2:63" ht="14.5" thickBot="1">
      <c r="B30" s="336"/>
      <c r="C30" s="267"/>
      <c r="D30" s="267"/>
      <c r="E30" s="269"/>
      <c r="F30" s="269"/>
      <c r="G30" s="343"/>
      <c r="H30" s="343"/>
      <c r="I30" s="343"/>
      <c r="J30" s="126"/>
      <c r="L30" s="201"/>
      <c r="M30" s="126"/>
      <c r="N30" s="119"/>
      <c r="O30" s="203"/>
      <c r="P30" s="163"/>
      <c r="Q30" s="318"/>
      <c r="R30" s="119"/>
      <c r="S30" s="483"/>
      <c r="T30" s="483"/>
      <c r="U30" s="483"/>
      <c r="V30" s="119"/>
      <c r="AD30" s="119"/>
      <c r="BD30" s="336"/>
      <c r="BE30" s="267"/>
      <c r="BF30" s="267"/>
      <c r="BG30" s="269"/>
      <c r="BH30" s="269"/>
      <c r="BI30" s="343"/>
      <c r="BJ30" s="343"/>
      <c r="BK30" s="343"/>
    </row>
    <row r="31" spans="2:63" ht="14.5" thickBot="1">
      <c r="B31" s="2883" t="s">
        <v>390</v>
      </c>
      <c r="C31" s="114" t="s">
        <v>2126</v>
      </c>
      <c r="D31" s="1473"/>
      <c r="E31" s="299"/>
      <c r="F31" s="299"/>
      <c r="G31" s="343"/>
      <c r="H31" s="343"/>
      <c r="I31" s="343"/>
      <c r="J31" s="126"/>
      <c r="L31" s="201"/>
      <c r="M31" s="126"/>
      <c r="N31" s="119"/>
      <c r="O31" s="203"/>
      <c r="P31" s="163"/>
      <c r="Q31" s="163"/>
      <c r="R31" s="119"/>
      <c r="S31" s="483"/>
      <c r="T31" s="483"/>
      <c r="U31" s="483"/>
      <c r="V31" s="119"/>
      <c r="AD31" s="119"/>
      <c r="BD31" s="2883" t="s">
        <v>390</v>
      </c>
      <c r="BE31" s="114" t="s">
        <v>2126</v>
      </c>
      <c r="BF31" s="1473"/>
      <c r="BG31" s="299"/>
      <c r="BH31" s="299"/>
      <c r="BI31" s="343"/>
      <c r="BJ31" s="343"/>
      <c r="BK31" s="343"/>
    </row>
    <row r="32" spans="2:63" ht="15" customHeight="1">
      <c r="B32" s="288" t="s">
        <v>2127</v>
      </c>
      <c r="C32" s="273" t="s">
        <v>2128</v>
      </c>
      <c r="D32" s="273"/>
      <c r="E32" s="300" t="s">
        <v>49</v>
      </c>
      <c r="F32" s="275">
        <v>3</v>
      </c>
      <c r="G32" s="343"/>
      <c r="H32" s="343"/>
      <c r="I32" s="442">
        <v>1.2589999999999999</v>
      </c>
      <c r="J32" s="126"/>
      <c r="L32" s="24">
        <f t="shared" ref="L32:L34" si="8" xml:space="preserve"> IF( SUM( N32:R32 ) = 0, 0, O$5 )</f>
        <v>0</v>
      </c>
      <c r="M32" s="126"/>
      <c r="N32" s="119"/>
      <c r="O32" s="203"/>
      <c r="P32" s="127"/>
      <c r="Q32" s="93">
        <f t="shared" ref="Q32:Q34" si="9" xml:space="preserve"> IF( ISNUMBER( I32 ), 0, 1 )</f>
        <v>0</v>
      </c>
      <c r="R32" s="119"/>
      <c r="S32" s="483"/>
      <c r="T32" s="483"/>
      <c r="U32" s="483"/>
      <c r="V32" s="119"/>
      <c r="AD32" s="119"/>
      <c r="BD32" s="288" t="s">
        <v>2127</v>
      </c>
      <c r="BE32" s="273" t="s">
        <v>2128</v>
      </c>
      <c r="BF32" s="273"/>
      <c r="BG32" s="300" t="s">
        <v>49</v>
      </c>
      <c r="BH32" s="275">
        <v>3</v>
      </c>
      <c r="BI32" s="343"/>
      <c r="BJ32" s="343"/>
      <c r="BK32" s="2254" t="s">
        <v>2129</v>
      </c>
    </row>
    <row r="33" spans="2:64" ht="15" customHeight="1">
      <c r="B33" s="289" t="s">
        <v>2130</v>
      </c>
      <c r="C33" s="277" t="s">
        <v>2131</v>
      </c>
      <c r="D33" s="277"/>
      <c r="E33" s="301" t="s">
        <v>49</v>
      </c>
      <c r="F33" s="279">
        <v>3</v>
      </c>
      <c r="G33" s="343"/>
      <c r="H33" s="343"/>
      <c r="I33" s="443"/>
      <c r="J33" s="126"/>
      <c r="L33" s="24">
        <f t="shared" si="8"/>
        <v>0</v>
      </c>
      <c r="M33" s="126"/>
      <c r="N33" s="119"/>
      <c r="O33" s="203"/>
      <c r="P33" s="127"/>
      <c r="Q33" s="93">
        <f>IF(Validation!$H$3=1,0,IF(ISNUMBER(I33),0,1))</f>
        <v>0</v>
      </c>
      <c r="R33" s="119"/>
      <c r="S33" s="483"/>
      <c r="T33" s="483"/>
      <c r="U33" s="483"/>
      <c r="V33" s="119"/>
      <c r="AD33" s="119"/>
      <c r="BD33" s="289" t="s">
        <v>2130</v>
      </c>
      <c r="BE33" s="277" t="s">
        <v>2131</v>
      </c>
      <c r="BF33" s="277"/>
      <c r="BG33" s="301" t="s">
        <v>49</v>
      </c>
      <c r="BH33" s="279">
        <v>3</v>
      </c>
      <c r="BI33" s="343"/>
      <c r="BJ33" s="343"/>
      <c r="BK33" s="2472" t="s">
        <v>2132</v>
      </c>
    </row>
    <row r="34" spans="2:64" ht="15" customHeight="1" thickBot="1">
      <c r="B34" s="290" t="s">
        <v>2133</v>
      </c>
      <c r="C34" s="282" t="s">
        <v>2116</v>
      </c>
      <c r="D34" s="282"/>
      <c r="E34" s="283" t="s">
        <v>49</v>
      </c>
      <c r="F34" s="284">
        <v>3</v>
      </c>
      <c r="G34" s="343"/>
      <c r="H34" s="343"/>
      <c r="I34" s="631">
        <v>1.0209999999999999</v>
      </c>
      <c r="J34" s="126"/>
      <c r="L34" s="24">
        <f t="shared" si="8"/>
        <v>0</v>
      </c>
      <c r="M34" s="126"/>
      <c r="N34" s="119"/>
      <c r="O34" s="203"/>
      <c r="P34" s="127"/>
      <c r="Q34" s="93">
        <f t="shared" si="9"/>
        <v>0</v>
      </c>
      <c r="R34" s="119"/>
      <c r="S34" s="127"/>
      <c r="T34" s="127"/>
      <c r="U34" s="127"/>
      <c r="V34" s="119"/>
      <c r="AD34" s="119"/>
      <c r="BD34" s="290" t="s">
        <v>2133</v>
      </c>
      <c r="BE34" s="282" t="s">
        <v>2116</v>
      </c>
      <c r="BF34" s="282"/>
      <c r="BG34" s="283" t="s">
        <v>49</v>
      </c>
      <c r="BH34" s="284">
        <v>3</v>
      </c>
      <c r="BI34" s="343"/>
      <c r="BJ34" s="343"/>
      <c r="BK34" s="2473" t="s">
        <v>2134</v>
      </c>
    </row>
    <row r="35" spans="2:64" ht="14.5" thickBot="1">
      <c r="B35" s="336"/>
      <c r="C35" s="267"/>
      <c r="D35" s="267"/>
      <c r="E35" s="269"/>
      <c r="F35" s="269"/>
      <c r="G35" s="343"/>
      <c r="H35" s="343"/>
      <c r="I35" s="343"/>
      <c r="J35" s="126"/>
      <c r="L35" s="201"/>
      <c r="M35" s="126"/>
      <c r="N35" s="119"/>
      <c r="O35" s="203"/>
      <c r="P35" s="163"/>
      <c r="Q35" s="318"/>
      <c r="R35" s="119"/>
      <c r="S35" s="483"/>
      <c r="T35" s="483"/>
      <c r="U35" s="483"/>
      <c r="V35" s="119"/>
      <c r="AD35" s="119"/>
      <c r="BD35" s="336"/>
      <c r="BE35" s="267"/>
      <c r="BF35" s="267"/>
      <c r="BG35" s="269"/>
      <c r="BH35" s="269"/>
      <c r="BI35" s="343"/>
      <c r="BJ35" s="343"/>
      <c r="BK35" s="343"/>
    </row>
    <row r="36" spans="2:64" ht="15" customHeight="1" thickBot="1">
      <c r="B36" s="2883" t="s">
        <v>464</v>
      </c>
      <c r="C36" s="114" t="s">
        <v>2135</v>
      </c>
      <c r="D36" s="1473"/>
      <c r="E36" s="299"/>
      <c r="F36" s="299"/>
      <c r="G36" s="343"/>
      <c r="H36" s="343"/>
      <c r="I36" s="343"/>
      <c r="J36" s="126"/>
      <c r="L36" s="24"/>
      <c r="M36" s="126"/>
      <c r="N36" s="119"/>
      <c r="O36" s="203"/>
      <c r="P36" s="127"/>
      <c r="Q36" s="127"/>
      <c r="R36" s="119"/>
      <c r="S36" s="483"/>
      <c r="T36" s="483"/>
      <c r="U36" s="483"/>
      <c r="V36" s="119"/>
      <c r="AD36" s="119"/>
      <c r="BD36" s="2883" t="s">
        <v>464</v>
      </c>
      <c r="BE36" s="114" t="s">
        <v>2135</v>
      </c>
      <c r="BF36" s="1473"/>
      <c r="BG36" s="299"/>
      <c r="BH36" s="299"/>
      <c r="BI36" s="343"/>
      <c r="BJ36" s="343"/>
      <c r="BK36" s="343"/>
    </row>
    <row r="37" spans="2:64" ht="15" customHeight="1" thickBot="1">
      <c r="B37" s="290" t="s">
        <v>2136</v>
      </c>
      <c r="C37" s="282" t="s">
        <v>2137</v>
      </c>
      <c r="D37" s="1474"/>
      <c r="E37" s="339" t="s">
        <v>49</v>
      </c>
      <c r="F37" s="266">
        <v>3</v>
      </c>
      <c r="G37" s="343"/>
      <c r="H37" s="343"/>
      <c r="I37" s="794">
        <v>0</v>
      </c>
      <c r="J37" s="126"/>
      <c r="L37" s="24">
        <f t="shared" ref="L37" si="10" xml:space="preserve"> IF( SUM( N37:R37 ) = 0, 0, O$5 )</f>
        <v>0</v>
      </c>
      <c r="M37" s="126"/>
      <c r="N37" s="119"/>
      <c r="O37" s="203"/>
      <c r="P37" s="127"/>
      <c r="Q37" s="93">
        <f t="shared" ref="Q37" si="11" xml:space="preserve"> IF( ISNUMBER( I37 ), 0, 1 )</f>
        <v>0</v>
      </c>
      <c r="R37" s="119"/>
      <c r="S37" s="483"/>
      <c r="T37" s="483"/>
      <c r="U37" s="483"/>
      <c r="V37" s="119"/>
      <c r="AD37" s="119"/>
      <c r="BD37" s="290" t="s">
        <v>2136</v>
      </c>
      <c r="BE37" s="282" t="s">
        <v>2137</v>
      </c>
      <c r="BF37" s="1474"/>
      <c r="BG37" s="339" t="s">
        <v>49</v>
      </c>
      <c r="BH37" s="266">
        <v>3</v>
      </c>
      <c r="BI37" s="343"/>
      <c r="BJ37" s="343"/>
      <c r="BK37" s="2474" t="s">
        <v>2138</v>
      </c>
    </row>
    <row r="38" spans="2:64" ht="14.5" thickBot="1">
      <c r="B38" s="336"/>
      <c r="C38" s="267"/>
      <c r="D38" s="267"/>
      <c r="E38" s="269"/>
      <c r="F38" s="269"/>
      <c r="G38" s="343"/>
      <c r="H38" s="343"/>
      <c r="I38" s="343"/>
      <c r="J38" s="126"/>
      <c r="L38" s="201"/>
      <c r="M38" s="126"/>
      <c r="N38" s="119"/>
      <c r="O38" s="203"/>
      <c r="P38" s="163"/>
      <c r="Q38" s="318"/>
      <c r="R38" s="119"/>
      <c r="S38" s="483"/>
      <c r="T38" s="483"/>
      <c r="U38" s="483"/>
      <c r="V38" s="119"/>
      <c r="AD38" s="119"/>
      <c r="BD38" s="336"/>
      <c r="BE38" s="267"/>
      <c r="BF38" s="267"/>
      <c r="BG38" s="269"/>
      <c r="BH38" s="269"/>
      <c r="BI38" s="343"/>
      <c r="BJ38" s="343"/>
      <c r="BK38" s="343"/>
    </row>
    <row r="39" spans="2:64" ht="20.25" customHeight="1" thickBot="1">
      <c r="B39" s="338" t="s">
        <v>2139</v>
      </c>
      <c r="C39" s="264" t="s">
        <v>2140</v>
      </c>
      <c r="D39" s="264"/>
      <c r="E39" s="339" t="s">
        <v>49</v>
      </c>
      <c r="F39" s="266">
        <v>3</v>
      </c>
      <c r="G39" s="343"/>
      <c r="H39" s="343"/>
      <c r="I39" s="621">
        <f>+I23+I29+I32+I33+I34+I37</f>
        <v>122.254</v>
      </c>
      <c r="J39" s="126"/>
      <c r="K39" s="1339">
        <f xml:space="preserve"> IF( SUM( R39:V39 ) = 0, 0, AC39 )</f>
        <v>0</v>
      </c>
      <c r="L39" s="74"/>
      <c r="M39" s="126"/>
      <c r="N39" s="119"/>
      <c r="O39" s="203"/>
      <c r="P39" s="163"/>
      <c r="Q39" s="163"/>
      <c r="R39" s="119"/>
      <c r="S39" s="93">
        <f xml:space="preserve"> IF( (W39 - X39) = 0, 0, 1 )</f>
        <v>0</v>
      </c>
      <c r="T39" s="483"/>
      <c r="U39" s="483"/>
      <c r="V39" s="119"/>
      <c r="W39" s="165">
        <f xml:space="preserve"> ROUND(I39, 3)</f>
        <v>122.254</v>
      </c>
      <c r="X39" s="165">
        <f xml:space="preserve"> ROUND( '1A'!K6, 3)</f>
        <v>122.254</v>
      </c>
      <c r="Y39" s="165"/>
      <c r="Z39" s="165"/>
      <c r="AA39" s="165"/>
      <c r="AB39" s="165"/>
      <c r="AC39" s="74" t="s">
        <v>2141</v>
      </c>
      <c r="AD39" s="119"/>
      <c r="BD39" s="338" t="s">
        <v>2139</v>
      </c>
      <c r="BE39" s="264" t="s">
        <v>2140</v>
      </c>
      <c r="BF39" s="264"/>
      <c r="BG39" s="339" t="s">
        <v>49</v>
      </c>
      <c r="BH39" s="266">
        <v>3</v>
      </c>
      <c r="BI39" s="343"/>
      <c r="BJ39" s="343"/>
      <c r="BK39" s="621" t="s">
        <v>2142</v>
      </c>
    </row>
    <row r="40" spans="2:64">
      <c r="B40" s="336"/>
      <c r="C40" s="267"/>
      <c r="D40" s="267"/>
      <c r="E40" s="269"/>
      <c r="F40" s="269"/>
      <c r="G40" s="262"/>
      <c r="H40" s="262"/>
      <c r="I40" s="262"/>
      <c r="J40" s="126"/>
      <c r="L40" s="74"/>
      <c r="M40" s="126"/>
      <c r="N40" s="119"/>
      <c r="O40" s="203"/>
      <c r="P40" s="163"/>
      <c r="Q40" s="163"/>
      <c r="R40" s="119"/>
      <c r="S40" s="483"/>
      <c r="T40" s="483"/>
      <c r="U40" s="483"/>
      <c r="V40" s="119"/>
      <c r="AD40" s="119"/>
      <c r="BD40" s="336"/>
      <c r="BE40" s="267"/>
      <c r="BF40" s="267"/>
      <c r="BG40" s="269"/>
      <c r="BH40" s="269"/>
      <c r="BI40" s="262"/>
      <c r="BJ40" s="262"/>
      <c r="BK40" s="262"/>
    </row>
    <row r="41" spans="2:64" ht="14.5" thickBot="1">
      <c r="B41" s="336"/>
      <c r="C41" s="267"/>
      <c r="D41" s="267"/>
      <c r="E41" s="269"/>
      <c r="F41" s="269"/>
      <c r="G41" s="262"/>
      <c r="H41" s="262"/>
      <c r="I41" s="262"/>
      <c r="J41" s="130"/>
      <c r="L41" s="74"/>
      <c r="M41" s="126"/>
      <c r="N41" s="119"/>
      <c r="O41" s="302"/>
      <c r="P41" s="178"/>
      <c r="Q41" s="178"/>
      <c r="R41" s="119"/>
      <c r="S41" s="483"/>
      <c r="T41" s="483"/>
      <c r="U41" s="483"/>
      <c r="V41" s="119"/>
      <c r="AD41" s="119"/>
      <c r="BD41" s="336"/>
      <c r="BE41" s="267"/>
      <c r="BF41" s="267"/>
      <c r="BG41" s="269"/>
      <c r="BH41" s="269"/>
      <c r="BI41" s="262"/>
      <c r="BJ41" s="262"/>
      <c r="BK41" s="262"/>
    </row>
    <row r="42" spans="2:64" ht="14.5" thickBot="1">
      <c r="B42" s="270"/>
      <c r="C42" s="267"/>
      <c r="D42" s="267"/>
      <c r="E42" s="269"/>
      <c r="F42" s="269"/>
      <c r="G42" s="328" t="s">
        <v>1626</v>
      </c>
      <c r="H42" s="329" t="s">
        <v>1627</v>
      </c>
      <c r="I42" s="329" t="s">
        <v>911</v>
      </c>
      <c r="J42" s="345" t="s">
        <v>708</v>
      </c>
      <c r="L42" s="74"/>
      <c r="M42" s="126"/>
      <c r="N42" s="119"/>
      <c r="O42" s="302"/>
      <c r="P42" s="178"/>
      <c r="Q42" s="178"/>
      <c r="R42" s="119"/>
      <c r="S42" s="483"/>
      <c r="T42" s="483"/>
      <c r="U42" s="483"/>
      <c r="V42" s="119"/>
      <c r="AD42" s="119"/>
      <c r="BD42" s="270"/>
      <c r="BE42" s="267"/>
      <c r="BF42" s="267"/>
      <c r="BG42" s="269"/>
      <c r="BH42" s="269"/>
      <c r="BI42" s="328" t="s">
        <v>1626</v>
      </c>
      <c r="BJ42" s="329" t="s">
        <v>1627</v>
      </c>
      <c r="BK42" s="329" t="s">
        <v>911</v>
      </c>
      <c r="BL42" s="345" t="s">
        <v>708</v>
      </c>
    </row>
    <row r="43" spans="2:64" ht="14.5" thickBot="1">
      <c r="B43" s="270"/>
      <c r="C43" s="267"/>
      <c r="D43" s="267"/>
      <c r="E43" s="267"/>
      <c r="F43" s="267"/>
      <c r="G43" s="267"/>
      <c r="H43" s="267"/>
      <c r="I43" s="267"/>
      <c r="J43" s="267"/>
      <c r="L43" s="74"/>
      <c r="M43" s="118"/>
      <c r="N43" s="124"/>
      <c r="O43" s="280"/>
      <c r="P43" s="110"/>
      <c r="Q43" s="110"/>
      <c r="R43" s="124"/>
      <c r="S43" s="483"/>
      <c r="T43" s="483"/>
      <c r="U43" s="483"/>
      <c r="V43" s="124"/>
      <c r="AD43" s="124"/>
      <c r="BD43" s="270"/>
      <c r="BE43" s="267"/>
      <c r="BF43" s="267"/>
      <c r="BG43" s="267"/>
      <c r="BH43" s="267"/>
      <c r="BI43" s="267"/>
      <c r="BJ43" s="267"/>
      <c r="BK43" s="267"/>
      <c r="BL43" s="267"/>
    </row>
    <row r="44" spans="2:64" ht="15" customHeight="1">
      <c r="B44" s="288" t="s">
        <v>2143</v>
      </c>
      <c r="C44" s="273" t="s">
        <v>2144</v>
      </c>
      <c r="D44" s="273"/>
      <c r="E44" s="300" t="s">
        <v>49</v>
      </c>
      <c r="F44" s="275">
        <v>3</v>
      </c>
      <c r="G44" s="747">
        <f>+I9</f>
        <v>107.994</v>
      </c>
      <c r="H44" s="679">
        <f>+I15</f>
        <v>0</v>
      </c>
      <c r="I44" s="679">
        <f>+I21</f>
        <v>0</v>
      </c>
      <c r="J44" s="331">
        <f>+I23</f>
        <v>107.994</v>
      </c>
      <c r="L44" s="74"/>
      <c r="M44" s="118"/>
      <c r="N44" s="124"/>
      <c r="O44" s="280"/>
      <c r="P44" s="110"/>
      <c r="Q44" s="110"/>
      <c r="R44" s="124"/>
      <c r="S44" s="483"/>
      <c r="T44" s="483"/>
      <c r="U44" s="483"/>
      <c r="V44" s="124"/>
      <c r="AD44" s="124"/>
      <c r="BD44" s="288" t="s">
        <v>2143</v>
      </c>
      <c r="BE44" s="273" t="s">
        <v>2144</v>
      </c>
      <c r="BF44" s="273"/>
      <c r="BG44" s="300" t="s">
        <v>49</v>
      </c>
      <c r="BH44" s="275">
        <v>3</v>
      </c>
      <c r="BI44" s="747" t="s">
        <v>2145</v>
      </c>
      <c r="BJ44" s="679" t="s">
        <v>2146</v>
      </c>
      <c r="BK44" s="679" t="s">
        <v>2147</v>
      </c>
      <c r="BL44" s="331" t="s">
        <v>2148</v>
      </c>
    </row>
    <row r="45" spans="2:64" ht="57" customHeight="1">
      <c r="B45" s="289" t="s">
        <v>2149</v>
      </c>
      <c r="C45" s="277" t="s">
        <v>2150</v>
      </c>
      <c r="D45" s="277"/>
      <c r="E45" s="301" t="s">
        <v>49</v>
      </c>
      <c r="F45" s="279">
        <v>3</v>
      </c>
      <c r="G45" s="440">
        <v>3.8250000000000002</v>
      </c>
      <c r="H45" s="677"/>
      <c r="I45" s="677"/>
      <c r="J45" s="332">
        <f>G45+H45+I45</f>
        <v>3.8250000000000002</v>
      </c>
      <c r="K45" s="1339" t="str">
        <f xml:space="preserve"> IF( SUM( R45:V45 ) = 0, 0, AC45 )</f>
        <v xml:space="preserve">Line 2I.20 should equal the sum of lines 2E.1, 2E.2, 2E.3 and 2E.4 (column 4) for water and lines 2E.9, 2E.10 and 2E.11 (column 4) for wastewater and lines 2E.9, 2E.10 and 2E.11 (column 4) for TTT. </v>
      </c>
      <c r="L45" s="24">
        <f t="shared" ref="L45" si="12" xml:space="preserve"> IF( SUM( N45:R45 ) = 0, 0, O$5 )</f>
        <v>0</v>
      </c>
      <c r="O45" s="93">
        <f xml:space="preserve"> IF( ISNUMBER( G45 ), 0, 1 )</f>
        <v>0</v>
      </c>
      <c r="P45" s="93">
        <f>IF(Validation!$H$3=1,0,IF(ISNUMBER(H45),0,1))</f>
        <v>0</v>
      </c>
      <c r="Q45" s="93">
        <f>IF( Validation!$H$3=1, 0, IF(Validation!$B$3 &lt;&gt; "Thames Water", 0, (IF(ISNUMBER(I45), 0, 1))))</f>
        <v>0</v>
      </c>
      <c r="S45" s="93">
        <f xml:space="preserve"> IF( (W45 - X45) = 0, 0, 1 )</f>
        <v>1</v>
      </c>
      <c r="T45" s="93">
        <f xml:space="preserve"> IF( (Y45 - Z45) = 0, 0, 1 )</f>
        <v>0</v>
      </c>
      <c r="U45" s="93">
        <f xml:space="preserve"> IF( (AA45 - AB45) = 0, 0, 1 )</f>
        <v>0</v>
      </c>
      <c r="V45" s="119"/>
      <c r="W45" s="165">
        <f xml:space="preserve"> ROUND(G45, 3)</f>
        <v>3.8250000000000002</v>
      </c>
      <c r="X45" s="165">
        <f>SUM('2E'!J7:J10)</f>
        <v>3.8249999999999997</v>
      </c>
      <c r="Y45" s="165">
        <f xml:space="preserve"> ROUND(H45, 3)</f>
        <v>0</v>
      </c>
      <c r="Z45" s="165">
        <f>SUM('2E'!J19:J21)</f>
        <v>0</v>
      </c>
      <c r="AA45" s="165">
        <f xml:space="preserve"> ROUND(I45, 3)</f>
        <v>0</v>
      </c>
      <c r="AB45" s="165">
        <f>SUM('2E'!J30:J32)</f>
        <v>0</v>
      </c>
      <c r="AC45" s="74" t="s">
        <v>2151</v>
      </c>
      <c r="AD45" s="124"/>
      <c r="BD45" s="289" t="s">
        <v>2149</v>
      </c>
      <c r="BE45" s="277" t="s">
        <v>2150</v>
      </c>
      <c r="BF45" s="277"/>
      <c r="BG45" s="301" t="s">
        <v>49</v>
      </c>
      <c r="BH45" s="279">
        <v>3</v>
      </c>
      <c r="BI45" s="2192" t="s">
        <v>2152</v>
      </c>
      <c r="BJ45" s="2475" t="s">
        <v>2153</v>
      </c>
      <c r="BK45" s="2475" t="s">
        <v>2154</v>
      </c>
      <c r="BL45" s="332" t="s">
        <v>2155</v>
      </c>
    </row>
    <row r="46" spans="2:64" ht="15" customHeight="1" thickBot="1">
      <c r="B46" s="290" t="s">
        <v>2156</v>
      </c>
      <c r="C46" s="282" t="s">
        <v>2157</v>
      </c>
      <c r="D46" s="282"/>
      <c r="E46" s="283" t="s">
        <v>49</v>
      </c>
      <c r="F46" s="284">
        <v>3</v>
      </c>
      <c r="G46" s="333">
        <f>+G44+G45</f>
        <v>111.819</v>
      </c>
      <c r="H46" s="678">
        <f>+H44+H45</f>
        <v>0</v>
      </c>
      <c r="I46" s="678">
        <f>+I44+I45</f>
        <v>0</v>
      </c>
      <c r="J46" s="335">
        <f>+J44+J45</f>
        <v>111.819</v>
      </c>
      <c r="L46" s="74"/>
      <c r="M46" s="118"/>
      <c r="N46" s="124"/>
      <c r="O46" s="280"/>
      <c r="P46" s="280"/>
      <c r="Q46" s="178"/>
      <c r="R46" s="124"/>
      <c r="S46" s="110"/>
      <c r="T46" s="110"/>
      <c r="U46" s="110"/>
      <c r="V46" s="124"/>
      <c r="AD46" s="124"/>
      <c r="BD46" s="290" t="s">
        <v>2156</v>
      </c>
      <c r="BE46" s="282" t="s">
        <v>2157</v>
      </c>
      <c r="BF46" s="282"/>
      <c r="BG46" s="283" t="s">
        <v>49</v>
      </c>
      <c r="BH46" s="284">
        <v>3</v>
      </c>
      <c r="BI46" s="333" t="s">
        <v>2158</v>
      </c>
      <c r="BJ46" s="678" t="s">
        <v>2159</v>
      </c>
      <c r="BK46" s="678" t="s">
        <v>2160</v>
      </c>
      <c r="BL46" s="335" t="s">
        <v>2161</v>
      </c>
    </row>
    <row r="47" spans="2:64" ht="14.5" thickBot="1">
      <c r="B47" s="270"/>
      <c r="C47" s="267"/>
      <c r="D47" s="267"/>
      <c r="E47" s="267"/>
      <c r="F47" s="267"/>
      <c r="G47" s="267"/>
      <c r="H47" s="267"/>
      <c r="I47" s="267"/>
      <c r="J47" s="267"/>
      <c r="L47" s="74"/>
      <c r="M47" s="118"/>
      <c r="N47" s="124"/>
      <c r="O47" s="280"/>
      <c r="P47" s="280"/>
      <c r="Q47" s="110"/>
      <c r="R47" s="124"/>
      <c r="S47" s="483"/>
      <c r="T47" s="483"/>
      <c r="U47" s="483"/>
      <c r="V47" s="124"/>
      <c r="AD47" s="124"/>
      <c r="BD47" s="270"/>
      <c r="BE47" s="267"/>
      <c r="BF47" s="267"/>
      <c r="BG47" s="267"/>
      <c r="BH47" s="267"/>
      <c r="BI47" s="1623"/>
      <c r="BJ47" s="1623"/>
      <c r="BK47" s="267"/>
      <c r="BL47" s="267"/>
    </row>
    <row r="48" spans="2:64" ht="15" customHeight="1">
      <c r="B48" s="288" t="s">
        <v>2162</v>
      </c>
      <c r="C48" s="273" t="s">
        <v>2163</v>
      </c>
      <c r="D48" s="273"/>
      <c r="E48" s="300" t="s">
        <v>49</v>
      </c>
      <c r="F48" s="275">
        <v>3</v>
      </c>
      <c r="G48" s="438">
        <v>112.16200000000001</v>
      </c>
      <c r="H48" s="439"/>
      <c r="I48" s="439"/>
      <c r="J48" s="331">
        <f>G48+H48+I48</f>
        <v>112.16200000000001</v>
      </c>
      <c r="L48" s="24">
        <f t="shared" ref="L48:L50" si="13" xml:space="preserve"> IF( SUM( N48:R48 ) = 0, 0, O$5 )</f>
        <v>0</v>
      </c>
      <c r="O48" s="93">
        <f t="shared" ref="O48" si="14" xml:space="preserve"> IF( ISNUMBER( G48 ), 0, 1 )</f>
        <v>0</v>
      </c>
      <c r="P48" s="93">
        <f>IF(Validation!$H$3=1,0,IF(ISNUMBER(H48),0,1))</f>
        <v>0</v>
      </c>
      <c r="Q48" s="93">
        <f>IF( Validation!$H$3=1, 0, IF(Validation!$B$3 &lt;&gt; "Thames Water", 0, (IF(ISNUMBER(I48), 0, 1))))</f>
        <v>0</v>
      </c>
      <c r="V48" s="124"/>
      <c r="AD48" s="124"/>
      <c r="BD48" s="288" t="s">
        <v>2162</v>
      </c>
      <c r="BE48" s="273" t="s">
        <v>2163</v>
      </c>
      <c r="BF48" s="273"/>
      <c r="BG48" s="300" t="s">
        <v>49</v>
      </c>
      <c r="BH48" s="275">
        <v>3</v>
      </c>
      <c r="BI48" s="2469" t="s">
        <v>2164</v>
      </c>
      <c r="BJ48" s="2470" t="s">
        <v>2165</v>
      </c>
      <c r="BK48" s="2470" t="s">
        <v>2166</v>
      </c>
      <c r="BL48" s="331" t="s">
        <v>2167</v>
      </c>
    </row>
    <row r="49" spans="1:64" ht="15" customHeight="1">
      <c r="B49" s="629" t="s">
        <v>2168</v>
      </c>
      <c r="C49" s="630" t="s">
        <v>2169</v>
      </c>
      <c r="D49" s="630"/>
      <c r="E49" s="301" t="s">
        <v>49</v>
      </c>
      <c r="F49" s="279">
        <v>3</v>
      </c>
      <c r="G49" s="824">
        <v>0</v>
      </c>
      <c r="H49" s="441"/>
      <c r="I49" s="441"/>
      <c r="J49" s="332">
        <f t="shared" ref="J49:J51" si="15">G49+H49+I49</f>
        <v>0</v>
      </c>
      <c r="L49" s="24">
        <f t="shared" si="13"/>
        <v>0</v>
      </c>
      <c r="O49" s="93">
        <f t="shared" ref="O49:O50" si="16" xml:space="preserve"> IF( ISNUMBER( G49 ), 0, 1 )</f>
        <v>0</v>
      </c>
      <c r="P49" s="93">
        <f>IF(Validation!$H$3=1,0,IF(ISNUMBER(H49),0,1))</f>
        <v>0</v>
      </c>
      <c r="Q49" s="93">
        <f>IF( Validation!$H$3=1, 0, IF(Validation!$B$3 &lt;&gt; "Thames Water", 0, (IF(ISNUMBER(I49), 0, 1))))</f>
        <v>0</v>
      </c>
      <c r="V49" s="124"/>
      <c r="AD49" s="124"/>
      <c r="BD49" s="629" t="s">
        <v>2168</v>
      </c>
      <c r="BE49" s="630" t="s">
        <v>2169</v>
      </c>
      <c r="BF49" s="630"/>
      <c r="BG49" s="301" t="s">
        <v>49</v>
      </c>
      <c r="BH49" s="279">
        <v>3</v>
      </c>
      <c r="BI49" s="2476" t="s">
        <v>2170</v>
      </c>
      <c r="BJ49" s="2471" t="s">
        <v>2171</v>
      </c>
      <c r="BK49" s="2471" t="s">
        <v>2172</v>
      </c>
      <c r="BL49" s="332" t="s">
        <v>2173</v>
      </c>
    </row>
    <row r="50" spans="1:64" ht="15" customHeight="1">
      <c r="B50" s="629" t="s">
        <v>2174</v>
      </c>
      <c r="C50" s="630" t="s">
        <v>2175</v>
      </c>
      <c r="D50" s="630"/>
      <c r="E50" s="301" t="s">
        <v>49</v>
      </c>
      <c r="F50" s="279">
        <v>3</v>
      </c>
      <c r="G50" s="824">
        <v>1.2</v>
      </c>
      <c r="H50" s="441"/>
      <c r="I50" s="441"/>
      <c r="J50" s="332">
        <f t="shared" si="15"/>
        <v>1.2</v>
      </c>
      <c r="L50" s="24">
        <f t="shared" si="13"/>
        <v>0</v>
      </c>
      <c r="O50" s="93">
        <f t="shared" si="16"/>
        <v>0</v>
      </c>
      <c r="P50" s="93">
        <f>IF(Validation!$H$3=1,0,IF(ISNUMBER(H50),0,1))</f>
        <v>0</v>
      </c>
      <c r="Q50" s="93">
        <f>IF( Validation!$H$3=1, 0, IF(Validation!$B$3 &lt;&gt; "Thames Water", 0, (IF(ISNUMBER(I50), 0, 1))))</f>
        <v>0</v>
      </c>
      <c r="V50" s="124"/>
      <c r="AD50" s="124"/>
      <c r="BD50" s="629" t="s">
        <v>2174</v>
      </c>
      <c r="BE50" s="630" t="s">
        <v>2175</v>
      </c>
      <c r="BF50" s="630"/>
      <c r="BG50" s="301" t="s">
        <v>49</v>
      </c>
      <c r="BH50" s="279">
        <v>3</v>
      </c>
      <c r="BI50" s="2476" t="s">
        <v>2176</v>
      </c>
      <c r="BJ50" s="2471" t="s">
        <v>2177</v>
      </c>
      <c r="BK50" s="2471" t="s">
        <v>2178</v>
      </c>
      <c r="BL50" s="332" t="s">
        <v>2179</v>
      </c>
    </row>
    <row r="51" spans="1:64" ht="15" customHeight="1" thickBot="1">
      <c r="B51" s="290" t="s">
        <v>2180</v>
      </c>
      <c r="C51" s="282" t="s">
        <v>2181</v>
      </c>
      <c r="D51" s="282"/>
      <c r="E51" s="283" t="s">
        <v>49</v>
      </c>
      <c r="F51" s="284">
        <v>3</v>
      </c>
      <c r="G51" s="333">
        <f>SUM(G48:G50)</f>
        <v>113.36200000000001</v>
      </c>
      <c r="H51" s="334">
        <f>SUM(H48:H50)</f>
        <v>0</v>
      </c>
      <c r="I51" s="334">
        <f>SUM(I48:I50)</f>
        <v>0</v>
      </c>
      <c r="J51" s="335">
        <f t="shared" si="15"/>
        <v>113.36200000000001</v>
      </c>
      <c r="L51" s="120"/>
      <c r="O51" s="127"/>
      <c r="P51" s="127"/>
      <c r="Q51" s="178"/>
      <c r="V51" s="124"/>
      <c r="AD51" s="124"/>
      <c r="BD51" s="290" t="s">
        <v>2180</v>
      </c>
      <c r="BE51" s="282" t="s">
        <v>2181</v>
      </c>
      <c r="BF51" s="282"/>
      <c r="BG51" s="283" t="s">
        <v>49</v>
      </c>
      <c r="BH51" s="284">
        <v>3</v>
      </c>
      <c r="BI51" s="333" t="s">
        <v>2182</v>
      </c>
      <c r="BJ51" s="334" t="s">
        <v>2183</v>
      </c>
      <c r="BK51" s="334" t="s">
        <v>2184</v>
      </c>
      <c r="BL51" s="335" t="s">
        <v>2185</v>
      </c>
    </row>
    <row r="52" spans="1:64" ht="14.5" thickBot="1">
      <c r="B52" s="270"/>
      <c r="C52" s="267"/>
      <c r="D52" s="267"/>
      <c r="E52" s="267"/>
      <c r="F52" s="267"/>
      <c r="G52" s="267"/>
      <c r="H52" s="267"/>
      <c r="I52" s="267"/>
      <c r="J52" s="267"/>
      <c r="L52" s="74"/>
      <c r="M52" s="118"/>
      <c r="N52" s="124"/>
      <c r="O52" s="280"/>
      <c r="P52" s="110"/>
      <c r="Q52" s="110"/>
      <c r="R52" s="124"/>
      <c r="S52" s="483"/>
      <c r="T52" s="483"/>
      <c r="U52" s="483"/>
      <c r="V52" s="124"/>
      <c r="AD52" s="124"/>
      <c r="BD52" s="270"/>
      <c r="BE52" s="267"/>
      <c r="BF52" s="267"/>
      <c r="BG52" s="267"/>
      <c r="BH52" s="267"/>
      <c r="BI52" s="1623"/>
      <c r="BJ52" s="1623"/>
      <c r="BK52" s="267"/>
      <c r="BL52" s="267"/>
    </row>
    <row r="53" spans="1:64" ht="15" customHeight="1" thickBot="1">
      <c r="B53" s="338" t="s">
        <v>2186</v>
      </c>
      <c r="C53" s="264" t="s">
        <v>2187</v>
      </c>
      <c r="D53" s="264"/>
      <c r="E53" s="339" t="s">
        <v>49</v>
      </c>
      <c r="F53" s="266">
        <v>3</v>
      </c>
      <c r="G53" s="340">
        <f>+G46-G51</f>
        <v>-1.5430000000000064</v>
      </c>
      <c r="H53" s="341">
        <f>+H46-H51</f>
        <v>0</v>
      </c>
      <c r="I53" s="341">
        <f>+I46-I51</f>
        <v>0</v>
      </c>
      <c r="J53" s="342">
        <f>+J46-J51</f>
        <v>-1.5430000000000064</v>
      </c>
      <c r="L53" s="120"/>
      <c r="M53" s="118"/>
      <c r="N53" s="124"/>
      <c r="O53" s="285"/>
      <c r="P53" s="632"/>
      <c r="Q53" s="178"/>
      <c r="R53" s="124"/>
      <c r="V53" s="124"/>
      <c r="AD53" s="124"/>
      <c r="BD53" s="338" t="s">
        <v>2186</v>
      </c>
      <c r="BE53" s="264" t="s">
        <v>2187</v>
      </c>
      <c r="BF53" s="264"/>
      <c r="BG53" s="339" t="s">
        <v>49</v>
      </c>
      <c r="BH53" s="266">
        <v>3</v>
      </c>
      <c r="BI53" s="340" t="s">
        <v>2188</v>
      </c>
      <c r="BJ53" s="341" t="s">
        <v>2189</v>
      </c>
      <c r="BK53" s="341" t="s">
        <v>2190</v>
      </c>
      <c r="BL53" s="342" t="s">
        <v>2191</v>
      </c>
    </row>
    <row r="54" spans="1:64" s="70" customFormat="1">
      <c r="J54" s="349"/>
      <c r="K54" s="74"/>
      <c r="L54" s="120"/>
      <c r="M54" s="118"/>
      <c r="N54" s="124"/>
      <c r="O54" s="280"/>
      <c r="P54" s="120"/>
      <c r="Q54" s="178"/>
      <c r="R54" s="124"/>
      <c r="S54" s="74"/>
      <c r="T54" s="74"/>
      <c r="U54" s="74"/>
      <c r="V54" s="124"/>
      <c r="AD54" s="124"/>
    </row>
    <row r="55" spans="1:64" s="163" customFormat="1">
      <c r="B55" s="2914" t="s">
        <v>241</v>
      </c>
      <c r="C55" s="2914"/>
      <c r="D55" s="2823"/>
      <c r="J55" s="349"/>
      <c r="K55" s="74"/>
      <c r="L55" s="120"/>
      <c r="M55" s="118"/>
      <c r="N55" s="124"/>
      <c r="O55" s="280"/>
      <c r="P55" s="120"/>
      <c r="Q55" s="178"/>
      <c r="R55" s="124"/>
      <c r="S55" s="74"/>
      <c r="T55" s="74"/>
      <c r="U55" s="74"/>
      <c r="V55" s="124"/>
      <c r="AD55" s="124"/>
    </row>
    <row r="56" spans="1:64" s="163" customFormat="1">
      <c r="B56" s="141"/>
      <c r="C56" s="142"/>
      <c r="D56" s="142"/>
      <c r="J56" s="349"/>
      <c r="K56" s="74"/>
      <c r="L56" s="120"/>
      <c r="M56" s="118"/>
      <c r="N56" s="124"/>
      <c r="O56" s="280"/>
      <c r="P56" s="120"/>
      <c r="Q56" s="120"/>
      <c r="R56" s="124"/>
      <c r="S56" s="74"/>
      <c r="T56" s="74"/>
      <c r="U56" s="74"/>
      <c r="V56" s="124"/>
      <c r="AD56" s="124"/>
    </row>
    <row r="57" spans="1:64" s="163" customFormat="1">
      <c r="B57" s="25"/>
      <c r="C57" s="143" t="s">
        <v>188</v>
      </c>
      <c r="D57" s="143"/>
      <c r="J57" s="321"/>
      <c r="K57" s="74"/>
      <c r="L57" s="70"/>
      <c r="M57" s="70"/>
      <c r="N57" s="71"/>
      <c r="O57" s="70"/>
      <c r="P57" s="70"/>
      <c r="Q57" s="70"/>
      <c r="R57" s="71"/>
      <c r="S57" s="74"/>
      <c r="T57" s="74"/>
      <c r="U57" s="74"/>
      <c r="V57" s="71"/>
      <c r="AD57" s="71"/>
    </row>
    <row r="58" spans="1:64" s="163" customFormat="1">
      <c r="B58" s="141"/>
      <c r="C58" s="142"/>
      <c r="D58" s="142"/>
      <c r="J58" s="320"/>
      <c r="K58" s="74"/>
      <c r="L58" s="70"/>
      <c r="M58" s="70"/>
      <c r="N58" s="71"/>
      <c r="O58" s="70"/>
      <c r="P58" s="70"/>
      <c r="Q58" s="70"/>
      <c r="R58" s="71"/>
      <c r="S58" s="74"/>
      <c r="T58" s="74"/>
      <c r="U58" s="74"/>
      <c r="V58" s="71"/>
      <c r="AD58" s="71"/>
    </row>
    <row r="59" spans="1:64" s="163" customFormat="1">
      <c r="B59" s="144"/>
      <c r="C59" s="143" t="s">
        <v>189</v>
      </c>
      <c r="D59" s="143"/>
      <c r="J59" s="321"/>
      <c r="K59" s="74"/>
      <c r="L59" s="70"/>
      <c r="M59" s="70"/>
      <c r="N59" s="71"/>
      <c r="O59" s="70"/>
      <c r="P59" s="70"/>
      <c r="Q59" s="70"/>
      <c r="R59" s="71"/>
      <c r="S59" s="74"/>
      <c r="T59" s="74"/>
      <c r="U59" s="74"/>
      <c r="V59" s="71"/>
      <c r="AD59" s="71"/>
    </row>
    <row r="60" spans="1:64" s="163" customFormat="1">
      <c r="B60" s="145"/>
      <c r="C60" s="143"/>
      <c r="D60" s="143"/>
      <c r="J60" s="321"/>
      <c r="K60" s="74"/>
      <c r="L60" s="70"/>
      <c r="M60" s="70"/>
      <c r="N60" s="71"/>
      <c r="O60" s="70"/>
      <c r="P60" s="70"/>
      <c r="Q60" s="70"/>
      <c r="R60" s="71"/>
      <c r="S60" s="74"/>
      <c r="T60" s="74"/>
      <c r="U60" s="74"/>
      <c r="V60" s="71"/>
      <c r="AD60" s="71"/>
    </row>
    <row r="61" spans="1:64" s="178" customFormat="1" ht="14.5" thickBot="1">
      <c r="C61" s="179"/>
      <c r="D61" s="179"/>
      <c r="J61" s="321"/>
      <c r="K61" s="74"/>
      <c r="L61" s="70"/>
      <c r="M61" s="70"/>
      <c r="N61" s="71"/>
      <c r="O61" s="70"/>
      <c r="P61" s="70"/>
      <c r="Q61" s="70"/>
      <c r="R61" s="71"/>
      <c r="S61" s="74"/>
      <c r="T61" s="74"/>
      <c r="U61" s="74"/>
      <c r="V61" s="71"/>
      <c r="AD61" s="71"/>
    </row>
    <row r="62" spans="1:64" s="178" customFormat="1" ht="15.5" thickBot="1">
      <c r="B62" s="2886" t="str">
        <f>'2H'!B46</f>
        <v>Please refer to RAG 4.08 - Guideline for the table definitions in the annual performance report for the reporting year 2019-20</v>
      </c>
      <c r="C62" s="147"/>
      <c r="D62" s="147"/>
      <c r="E62" s="148"/>
      <c r="F62" s="148"/>
      <c r="G62" s="148"/>
      <c r="H62" s="148"/>
      <c r="I62" s="251"/>
      <c r="J62" s="321"/>
      <c r="K62" s="74"/>
      <c r="L62" s="70"/>
      <c r="M62" s="70"/>
      <c r="N62" s="71"/>
      <c r="O62" s="70"/>
      <c r="P62" s="70"/>
      <c r="Q62" s="70"/>
      <c r="R62" s="71"/>
      <c r="S62" s="74"/>
      <c r="T62" s="74"/>
      <c r="U62" s="74"/>
      <c r="V62" s="71"/>
      <c r="AD62" s="71"/>
    </row>
    <row r="63" spans="1:64" s="178" customFormat="1">
      <c r="C63" s="179"/>
      <c r="D63" s="179"/>
      <c r="J63" s="321"/>
      <c r="K63" s="74"/>
      <c r="L63" s="70"/>
      <c r="M63" s="70"/>
      <c r="N63" s="71"/>
      <c r="O63" s="70"/>
      <c r="P63" s="70"/>
      <c r="Q63" s="70"/>
      <c r="R63" s="71"/>
      <c r="S63" s="74"/>
      <c r="T63" s="74"/>
      <c r="U63" s="74"/>
      <c r="V63" s="71"/>
      <c r="AD63" s="71"/>
    </row>
    <row r="64" spans="1:64" s="110" customFormat="1" ht="15.5" hidden="1" thickBot="1">
      <c r="A64" s="1528"/>
      <c r="B64" s="146" t="str">
        <f ca="1" xml:space="preserve"> RIGHT(CELL("filename", $A$1), LEN(CELL("filename", $A$1)) - SEARCH("]", CELL("filename", $A$1)))&amp;" - Line definitions"</f>
        <v>2I - Line definitions</v>
      </c>
      <c r="C64" s="147"/>
      <c r="D64" s="147"/>
      <c r="E64" s="148"/>
      <c r="F64" s="148"/>
      <c r="G64" s="148"/>
      <c r="H64" s="148"/>
      <c r="I64" s="251"/>
      <c r="K64" s="74"/>
      <c r="M64" s="70"/>
      <c r="N64" s="71"/>
      <c r="O64" s="70"/>
      <c r="P64" s="70"/>
      <c r="Q64" s="70"/>
      <c r="R64" s="71"/>
      <c r="S64" s="74"/>
      <c r="T64" s="74"/>
      <c r="U64" s="74"/>
      <c r="V64" s="71"/>
      <c r="AD64" s="71"/>
    </row>
    <row r="65" spans="1:30" s="110" customFormat="1" ht="14.5" hidden="1" thickBot="1">
      <c r="A65" s="1528"/>
      <c r="B65" s="74"/>
      <c r="C65" s="155"/>
      <c r="D65" s="155"/>
      <c r="E65" s="74"/>
      <c r="F65" s="74"/>
      <c r="G65" s="74"/>
      <c r="K65" s="74"/>
      <c r="M65" s="70"/>
      <c r="N65" s="71"/>
      <c r="O65" s="70"/>
      <c r="P65" s="70"/>
      <c r="Q65" s="70"/>
      <c r="R65" s="71"/>
      <c r="S65" s="74"/>
      <c r="T65" s="74"/>
      <c r="U65" s="74"/>
      <c r="V65" s="71"/>
      <c r="AD65" s="71"/>
    </row>
    <row r="66" spans="1:30" s="178" customFormat="1" ht="14.5" hidden="1" thickBot="1">
      <c r="A66" s="1529"/>
      <c r="B66" s="287" t="s">
        <v>191</v>
      </c>
      <c r="C66" s="3008" t="s">
        <v>192</v>
      </c>
      <c r="D66" s="3009"/>
      <c r="E66" s="3009"/>
      <c r="F66" s="3009"/>
      <c r="G66" s="3009"/>
      <c r="H66" s="3009"/>
      <c r="I66" s="3010"/>
      <c r="J66" s="110"/>
      <c r="K66" s="74"/>
      <c r="L66" s="110"/>
      <c r="M66" s="70"/>
      <c r="N66" s="71"/>
      <c r="O66" s="85" t="s">
        <v>193</v>
      </c>
      <c r="P66" s="70"/>
      <c r="Q66" s="70"/>
      <c r="R66" s="71"/>
      <c r="S66" s="74"/>
      <c r="T66" s="74"/>
      <c r="U66" s="74"/>
      <c r="V66" s="71"/>
      <c r="AD66" s="71"/>
    </row>
    <row r="67" spans="1:30" s="110" customFormat="1" ht="24" hidden="1" customHeight="1">
      <c r="A67" s="1528"/>
      <c r="B67" s="181" t="s">
        <v>2052</v>
      </c>
      <c r="C67" s="2965" t="s">
        <v>2192</v>
      </c>
      <c r="D67" s="2966"/>
      <c r="E67" s="2966"/>
      <c r="F67" s="2966"/>
      <c r="G67" s="2966"/>
      <c r="H67" s="2966"/>
      <c r="I67" s="2967"/>
      <c r="K67" s="74"/>
      <c r="M67" s="70"/>
      <c r="N67" s="71"/>
      <c r="O67" s="202" t="s">
        <v>195</v>
      </c>
      <c r="P67" s="70"/>
      <c r="Q67" s="70"/>
      <c r="R67" s="71"/>
      <c r="S67" s="74"/>
      <c r="T67" s="74"/>
      <c r="U67" s="74"/>
      <c r="V67" s="71"/>
      <c r="AD67" s="71"/>
    </row>
    <row r="68" spans="1:30" s="110" customFormat="1" ht="35.25" hidden="1" customHeight="1">
      <c r="A68" s="1528"/>
      <c r="B68" s="159" t="s">
        <v>2057</v>
      </c>
      <c r="C68" s="2962" t="s">
        <v>2193</v>
      </c>
      <c r="D68" s="2963"/>
      <c r="E68" s="2963"/>
      <c r="F68" s="2963"/>
      <c r="G68" s="2963"/>
      <c r="H68" s="2963"/>
      <c r="I68" s="2964"/>
      <c r="K68" s="74"/>
      <c r="M68" s="70"/>
      <c r="N68" s="71"/>
      <c r="O68" s="202" t="s">
        <v>778</v>
      </c>
      <c r="P68" s="70"/>
      <c r="Q68" s="70"/>
      <c r="R68" s="71"/>
      <c r="S68" s="74"/>
      <c r="T68" s="74"/>
      <c r="U68" s="74"/>
      <c r="V68" s="71"/>
      <c r="AD68" s="71"/>
    </row>
    <row r="69" spans="1:30" s="110" customFormat="1" ht="14.25" hidden="1" customHeight="1">
      <c r="A69" s="1528"/>
      <c r="B69" s="159" t="s">
        <v>2062</v>
      </c>
      <c r="C69" s="2962" t="s">
        <v>2194</v>
      </c>
      <c r="D69" s="2963"/>
      <c r="E69" s="2963"/>
      <c r="F69" s="2963"/>
      <c r="G69" s="2963"/>
      <c r="H69" s="2963"/>
      <c r="I69" s="2964"/>
      <c r="K69" s="74"/>
      <c r="M69" s="70"/>
      <c r="N69" s="71"/>
      <c r="O69" s="202">
        <v>1</v>
      </c>
      <c r="P69" s="70"/>
      <c r="Q69" s="70"/>
      <c r="R69" s="71"/>
      <c r="S69" s="74"/>
      <c r="T69" s="74"/>
      <c r="U69" s="74"/>
      <c r="V69" s="71"/>
      <c r="AD69" s="71"/>
    </row>
    <row r="70" spans="1:30" s="110" customFormat="1" ht="14.25" hidden="1" customHeight="1">
      <c r="A70" s="1528"/>
      <c r="B70" s="159" t="s">
        <v>2067</v>
      </c>
      <c r="C70" s="2962" t="s">
        <v>2195</v>
      </c>
      <c r="D70" s="2963"/>
      <c r="E70" s="2963"/>
      <c r="F70" s="2963"/>
      <c r="G70" s="2963"/>
      <c r="H70" s="2963"/>
      <c r="I70" s="2964"/>
      <c r="K70" s="74"/>
      <c r="M70" s="70"/>
      <c r="N70" s="71"/>
      <c r="O70" s="202">
        <v>1</v>
      </c>
      <c r="P70" s="70"/>
      <c r="Q70" s="70"/>
      <c r="R70" s="71"/>
      <c r="S70" s="74"/>
      <c r="T70" s="74"/>
      <c r="U70" s="74"/>
      <c r="V70" s="71"/>
      <c r="AD70" s="71"/>
    </row>
    <row r="71" spans="1:30" s="110" customFormat="1" ht="24" hidden="1" customHeight="1">
      <c r="A71" s="1528"/>
      <c r="B71" s="159" t="s">
        <v>2072</v>
      </c>
      <c r="C71" s="2962" t="s">
        <v>2196</v>
      </c>
      <c r="D71" s="2963"/>
      <c r="E71" s="2963"/>
      <c r="F71" s="2963"/>
      <c r="G71" s="2963"/>
      <c r="H71" s="2963"/>
      <c r="I71" s="2964"/>
      <c r="K71" s="74"/>
      <c r="M71" s="70"/>
      <c r="N71" s="71"/>
      <c r="O71" s="202" t="s">
        <v>195</v>
      </c>
      <c r="P71" s="70"/>
      <c r="Q71" s="70"/>
      <c r="R71" s="71"/>
      <c r="S71" s="74"/>
      <c r="T71" s="74"/>
      <c r="U71" s="74"/>
      <c r="V71" s="71"/>
      <c r="AD71" s="71"/>
    </row>
    <row r="72" spans="1:30" s="110" customFormat="1" ht="35.25" hidden="1" customHeight="1">
      <c r="A72" s="1528"/>
      <c r="B72" s="159" t="s">
        <v>2076</v>
      </c>
      <c r="C72" s="2962" t="s">
        <v>2197</v>
      </c>
      <c r="D72" s="2963"/>
      <c r="E72" s="2963"/>
      <c r="F72" s="2963"/>
      <c r="G72" s="2963"/>
      <c r="H72" s="2963"/>
      <c r="I72" s="2964"/>
      <c r="K72" s="74"/>
      <c r="M72" s="70"/>
      <c r="N72" s="71"/>
      <c r="O72" s="202" t="s">
        <v>778</v>
      </c>
      <c r="P72" s="70"/>
      <c r="Q72" s="70"/>
      <c r="R72" s="71"/>
      <c r="S72" s="74"/>
      <c r="T72" s="74"/>
      <c r="U72" s="74"/>
      <c r="V72" s="71"/>
      <c r="AD72" s="71"/>
    </row>
    <row r="73" spans="1:30" s="110" customFormat="1" ht="14.25" hidden="1" customHeight="1">
      <c r="A73" s="1528"/>
      <c r="B73" s="159" t="s">
        <v>2080</v>
      </c>
      <c r="C73" s="2962" t="s">
        <v>2198</v>
      </c>
      <c r="D73" s="2963"/>
      <c r="E73" s="2963"/>
      <c r="F73" s="2963"/>
      <c r="G73" s="2963"/>
      <c r="H73" s="2963"/>
      <c r="I73" s="2964"/>
      <c r="K73" s="74"/>
      <c r="M73" s="70"/>
      <c r="N73" s="71"/>
      <c r="O73" s="202">
        <v>1</v>
      </c>
      <c r="P73" s="70"/>
      <c r="Q73" s="70"/>
      <c r="R73" s="71"/>
      <c r="S73" s="74"/>
      <c r="T73" s="74"/>
      <c r="U73" s="74"/>
      <c r="V73" s="71"/>
      <c r="AD73" s="71"/>
    </row>
    <row r="74" spans="1:30" s="110" customFormat="1" ht="14.25" hidden="1" customHeight="1">
      <c r="A74" s="1528"/>
      <c r="B74" s="159" t="s">
        <v>2084</v>
      </c>
      <c r="C74" s="2962" t="s">
        <v>2199</v>
      </c>
      <c r="D74" s="2963"/>
      <c r="E74" s="2963"/>
      <c r="F74" s="2963"/>
      <c r="G74" s="2963"/>
      <c r="H74" s="2963"/>
      <c r="I74" s="2964"/>
      <c r="K74" s="74"/>
      <c r="M74" s="70"/>
      <c r="N74" s="71"/>
      <c r="O74" s="202">
        <v>1</v>
      </c>
      <c r="P74" s="70"/>
      <c r="Q74" s="70"/>
      <c r="R74" s="71"/>
      <c r="S74" s="74"/>
      <c r="T74" s="74"/>
      <c r="U74" s="74"/>
      <c r="V74" s="71"/>
      <c r="AD74" s="71"/>
    </row>
    <row r="75" spans="1:30" s="110" customFormat="1" hidden="1">
      <c r="A75" s="1528"/>
      <c r="B75" s="159" t="s">
        <v>2101</v>
      </c>
      <c r="C75" s="2962" t="s">
        <v>2200</v>
      </c>
      <c r="D75" s="2963"/>
      <c r="E75" s="2963"/>
      <c r="F75" s="2963"/>
      <c r="G75" s="2963"/>
      <c r="H75" s="2963"/>
      <c r="I75" s="2964"/>
      <c r="K75" s="74"/>
      <c r="M75" s="70"/>
      <c r="N75" s="71"/>
      <c r="O75" s="202">
        <v>1</v>
      </c>
      <c r="P75" s="70"/>
      <c r="Q75" s="70"/>
      <c r="R75" s="71"/>
      <c r="S75" s="74"/>
      <c r="T75" s="74"/>
      <c r="U75" s="74"/>
      <c r="V75" s="71"/>
      <c r="AD75" s="71"/>
    </row>
    <row r="76" spans="1:30" s="110" customFormat="1" ht="23.25" hidden="1" customHeight="1">
      <c r="A76" s="1528"/>
      <c r="B76" s="159" t="s">
        <v>2107</v>
      </c>
      <c r="C76" s="2962" t="s">
        <v>2201</v>
      </c>
      <c r="D76" s="2963"/>
      <c r="E76" s="2963"/>
      <c r="F76" s="2963"/>
      <c r="G76" s="2963"/>
      <c r="H76" s="2963"/>
      <c r="I76" s="2964"/>
      <c r="K76" s="74"/>
      <c r="M76" s="70"/>
      <c r="N76" s="71"/>
      <c r="O76" s="202" t="s">
        <v>195</v>
      </c>
      <c r="P76" s="70"/>
      <c r="Q76" s="70"/>
      <c r="R76" s="71"/>
      <c r="S76" s="74"/>
      <c r="T76" s="74"/>
      <c r="U76" s="74"/>
      <c r="V76" s="71"/>
      <c r="AD76" s="71"/>
    </row>
    <row r="77" spans="1:30" s="110" customFormat="1" ht="23.25" hidden="1" customHeight="1">
      <c r="A77" s="1528"/>
      <c r="B77" s="159" t="s">
        <v>2111</v>
      </c>
      <c r="C77" s="2962" t="s">
        <v>2202</v>
      </c>
      <c r="D77" s="2963"/>
      <c r="E77" s="2963"/>
      <c r="F77" s="2963"/>
      <c r="G77" s="2963"/>
      <c r="H77" s="2963"/>
      <c r="I77" s="2964"/>
      <c r="K77" s="74"/>
      <c r="M77" s="70"/>
      <c r="N77" s="71"/>
      <c r="O77" s="202" t="s">
        <v>195</v>
      </c>
      <c r="P77" s="70"/>
      <c r="Q77" s="70"/>
      <c r="R77" s="71"/>
      <c r="S77" s="74"/>
      <c r="T77" s="74"/>
      <c r="U77" s="74"/>
      <c r="V77" s="71"/>
      <c r="AD77" s="71"/>
    </row>
    <row r="78" spans="1:30" s="110" customFormat="1" hidden="1">
      <c r="A78" s="1528"/>
      <c r="B78" s="159" t="s">
        <v>2115</v>
      </c>
      <c r="C78" s="2962" t="s">
        <v>2203</v>
      </c>
      <c r="D78" s="2963"/>
      <c r="E78" s="2963"/>
      <c r="F78" s="2963"/>
      <c r="G78" s="2963"/>
      <c r="H78" s="2963"/>
      <c r="I78" s="2964"/>
      <c r="K78" s="74"/>
      <c r="M78" s="70"/>
      <c r="N78" s="71"/>
      <c r="O78" s="202">
        <v>1</v>
      </c>
      <c r="P78" s="70"/>
      <c r="Q78" s="70"/>
      <c r="R78" s="71"/>
      <c r="S78" s="74"/>
      <c r="T78" s="74"/>
      <c r="U78" s="74"/>
      <c r="V78" s="71"/>
      <c r="AD78" s="71"/>
    </row>
    <row r="79" spans="1:30" s="110" customFormat="1" ht="14.25" hidden="1" customHeight="1">
      <c r="A79" s="1528"/>
      <c r="B79" s="159" t="s">
        <v>2120</v>
      </c>
      <c r="C79" s="2962" t="s">
        <v>2204</v>
      </c>
      <c r="D79" s="2963"/>
      <c r="E79" s="2963"/>
      <c r="F79" s="2963"/>
      <c r="G79" s="2963"/>
      <c r="H79" s="2963"/>
      <c r="I79" s="2964"/>
      <c r="K79" s="74"/>
      <c r="M79" s="70"/>
      <c r="N79" s="71"/>
      <c r="O79" s="202">
        <v>1</v>
      </c>
      <c r="P79" s="70"/>
      <c r="Q79" s="70"/>
      <c r="R79" s="71"/>
      <c r="S79" s="74"/>
      <c r="T79" s="74"/>
      <c r="U79" s="74"/>
      <c r="V79" s="71"/>
      <c r="AD79" s="71"/>
    </row>
    <row r="80" spans="1:30" s="110" customFormat="1" ht="13.5" hidden="1" customHeight="1">
      <c r="A80" s="1528"/>
      <c r="B80" s="159" t="s">
        <v>2127</v>
      </c>
      <c r="C80" s="2962" t="s">
        <v>2205</v>
      </c>
      <c r="D80" s="2963"/>
      <c r="E80" s="2963"/>
      <c r="F80" s="2963"/>
      <c r="G80" s="2963"/>
      <c r="H80" s="2963"/>
      <c r="I80" s="2964"/>
      <c r="K80" s="74"/>
      <c r="M80" s="70"/>
      <c r="N80" s="71"/>
      <c r="O80" s="202">
        <v>1</v>
      </c>
      <c r="P80" s="70"/>
      <c r="Q80" s="70"/>
      <c r="R80" s="71"/>
      <c r="S80" s="74"/>
      <c r="T80" s="74"/>
      <c r="U80" s="74"/>
      <c r="V80" s="71"/>
      <c r="AD80" s="71"/>
    </row>
    <row r="81" spans="1:30" s="110" customFormat="1" ht="13.5" hidden="1" customHeight="1">
      <c r="A81" s="1528"/>
      <c r="B81" s="159" t="s">
        <v>2130</v>
      </c>
      <c r="C81" s="2962" t="s">
        <v>2206</v>
      </c>
      <c r="D81" s="2963"/>
      <c r="E81" s="2963"/>
      <c r="F81" s="2963"/>
      <c r="G81" s="2963"/>
      <c r="H81" s="2963"/>
      <c r="I81" s="2964"/>
      <c r="K81" s="74"/>
      <c r="M81" s="70"/>
      <c r="N81" s="71"/>
      <c r="O81" s="202">
        <v>1</v>
      </c>
      <c r="P81" s="70"/>
      <c r="Q81" s="70"/>
      <c r="R81" s="71"/>
      <c r="S81" s="74"/>
      <c r="T81" s="74"/>
      <c r="U81" s="74"/>
      <c r="V81" s="71"/>
      <c r="AD81" s="71"/>
    </row>
    <row r="82" spans="1:30" s="110" customFormat="1" ht="24" hidden="1" customHeight="1">
      <c r="A82" s="1528"/>
      <c r="B82" s="159" t="s">
        <v>2133</v>
      </c>
      <c r="C82" s="2962" t="s">
        <v>2207</v>
      </c>
      <c r="D82" s="2963"/>
      <c r="E82" s="2963"/>
      <c r="F82" s="2963"/>
      <c r="G82" s="2963"/>
      <c r="H82" s="2963"/>
      <c r="I82" s="2964"/>
      <c r="K82" s="74"/>
      <c r="M82" s="70"/>
      <c r="N82" s="71"/>
      <c r="O82" s="202" t="s">
        <v>195</v>
      </c>
      <c r="P82" s="70"/>
      <c r="Q82" s="70"/>
      <c r="R82" s="71"/>
      <c r="S82" s="74"/>
      <c r="T82" s="74"/>
      <c r="U82" s="74"/>
      <c r="V82" s="71"/>
      <c r="AD82" s="71"/>
    </row>
    <row r="83" spans="1:30" s="110" customFormat="1" ht="23.25" hidden="1" customHeight="1">
      <c r="A83" s="1528"/>
      <c r="B83" s="159" t="s">
        <v>2136</v>
      </c>
      <c r="C83" s="2962" t="s">
        <v>2208</v>
      </c>
      <c r="D83" s="2963"/>
      <c r="E83" s="2963"/>
      <c r="F83" s="2963"/>
      <c r="G83" s="2963"/>
      <c r="H83" s="2963"/>
      <c r="I83" s="2964"/>
      <c r="K83" s="74"/>
      <c r="M83" s="70"/>
      <c r="N83" s="71"/>
      <c r="O83" s="202" t="s">
        <v>195</v>
      </c>
      <c r="P83" s="70"/>
      <c r="Q83" s="70"/>
      <c r="R83" s="71"/>
      <c r="S83" s="74"/>
      <c r="T83" s="74"/>
      <c r="U83" s="74"/>
      <c r="V83" s="71"/>
      <c r="AD83" s="71"/>
    </row>
    <row r="84" spans="1:30" s="110" customFormat="1" ht="14.25" hidden="1" customHeight="1">
      <c r="A84" s="1528"/>
      <c r="B84" s="159" t="s">
        <v>2139</v>
      </c>
      <c r="C84" s="2962" t="s">
        <v>2209</v>
      </c>
      <c r="D84" s="2963"/>
      <c r="E84" s="2963"/>
      <c r="F84" s="2963"/>
      <c r="G84" s="2963"/>
      <c r="H84" s="2963"/>
      <c r="I84" s="2964"/>
      <c r="K84" s="74"/>
      <c r="M84" s="70"/>
      <c r="N84" s="71"/>
      <c r="O84" s="202">
        <v>1</v>
      </c>
      <c r="P84" s="70"/>
      <c r="Q84" s="70"/>
      <c r="R84" s="71"/>
      <c r="S84" s="74"/>
      <c r="T84" s="74"/>
      <c r="U84" s="74"/>
      <c r="V84" s="71"/>
      <c r="AD84" s="71"/>
    </row>
    <row r="85" spans="1:30" s="110" customFormat="1" ht="14.25" hidden="1" customHeight="1">
      <c r="A85" s="1528"/>
      <c r="B85" s="159" t="s">
        <v>2143</v>
      </c>
      <c r="C85" s="2962" t="s">
        <v>2210</v>
      </c>
      <c r="D85" s="2963"/>
      <c r="E85" s="2963"/>
      <c r="F85" s="2963"/>
      <c r="G85" s="2963"/>
      <c r="H85" s="2963"/>
      <c r="I85" s="2964"/>
      <c r="K85" s="74"/>
      <c r="M85" s="70"/>
      <c r="N85" s="71"/>
      <c r="O85" s="202">
        <v>1</v>
      </c>
      <c r="P85" s="70"/>
      <c r="Q85" s="70"/>
      <c r="R85" s="71"/>
      <c r="S85" s="74"/>
      <c r="T85" s="74"/>
      <c r="U85" s="74"/>
      <c r="V85" s="71"/>
      <c r="AD85" s="71"/>
    </row>
    <row r="86" spans="1:30" s="110" customFormat="1" ht="46.5" hidden="1" customHeight="1">
      <c r="A86" s="1528"/>
      <c r="B86" s="159" t="s">
        <v>2149</v>
      </c>
      <c r="C86" s="2962" t="s">
        <v>2211</v>
      </c>
      <c r="D86" s="2963"/>
      <c r="E86" s="2963"/>
      <c r="F86" s="2963"/>
      <c r="G86" s="2963"/>
      <c r="H86" s="2963"/>
      <c r="I86" s="2964"/>
      <c r="K86" s="74"/>
      <c r="M86" s="70"/>
      <c r="N86" s="71"/>
      <c r="O86" s="202" t="s">
        <v>2212</v>
      </c>
      <c r="P86" s="70"/>
      <c r="Q86" s="70"/>
      <c r="R86" s="71"/>
      <c r="S86" s="74"/>
      <c r="T86" s="74"/>
      <c r="U86" s="74"/>
      <c r="V86" s="71"/>
      <c r="AD86" s="71"/>
    </row>
    <row r="87" spans="1:30" s="110" customFormat="1" ht="14.25" hidden="1" customHeight="1">
      <c r="A87" s="1528"/>
      <c r="B87" s="159" t="s">
        <v>2156</v>
      </c>
      <c r="C87" s="2962" t="s">
        <v>2213</v>
      </c>
      <c r="D87" s="2963"/>
      <c r="E87" s="2963"/>
      <c r="F87" s="2963"/>
      <c r="G87" s="2963"/>
      <c r="H87" s="2963"/>
      <c r="I87" s="2964"/>
      <c r="K87" s="74"/>
      <c r="M87" s="70"/>
      <c r="N87" s="71"/>
      <c r="O87" s="202">
        <v>1</v>
      </c>
      <c r="P87" s="70"/>
      <c r="Q87" s="70"/>
      <c r="R87" s="71"/>
      <c r="S87" s="74"/>
      <c r="T87" s="74"/>
      <c r="U87" s="74"/>
      <c r="V87" s="71"/>
      <c r="AD87" s="71"/>
    </row>
    <row r="88" spans="1:30" s="110" customFormat="1" ht="14.25" hidden="1" customHeight="1">
      <c r="A88" s="1528"/>
      <c r="B88" s="159" t="s">
        <v>2162</v>
      </c>
      <c r="C88" s="2962" t="s">
        <v>2214</v>
      </c>
      <c r="D88" s="2963"/>
      <c r="E88" s="2963"/>
      <c r="F88" s="2963"/>
      <c r="G88" s="2963"/>
      <c r="H88" s="2963"/>
      <c r="I88" s="2964"/>
      <c r="K88" s="74"/>
      <c r="M88" s="70"/>
      <c r="N88" s="71"/>
      <c r="O88" s="202">
        <v>1</v>
      </c>
      <c r="P88" s="70"/>
      <c r="Q88" s="70"/>
      <c r="R88" s="71"/>
      <c r="S88" s="74"/>
      <c r="T88" s="74"/>
      <c r="U88" s="74"/>
      <c r="V88" s="71"/>
      <c r="AD88" s="71"/>
    </row>
    <row r="89" spans="1:30" s="110" customFormat="1" ht="15" hidden="1" customHeight="1">
      <c r="A89" s="1528"/>
      <c r="B89" s="159" t="s">
        <v>2168</v>
      </c>
      <c r="C89" s="2962" t="s">
        <v>2215</v>
      </c>
      <c r="D89" s="2963"/>
      <c r="E89" s="2963"/>
      <c r="F89" s="2963"/>
      <c r="G89" s="2963"/>
      <c r="H89" s="2963"/>
      <c r="I89" s="2964"/>
      <c r="K89" s="74"/>
      <c r="M89" s="70"/>
      <c r="N89" s="71"/>
      <c r="O89" s="202">
        <v>1</v>
      </c>
      <c r="P89" s="70"/>
      <c r="Q89" s="70"/>
      <c r="R89" s="71"/>
      <c r="S89" s="74"/>
      <c r="T89" s="74"/>
      <c r="U89" s="74"/>
      <c r="V89" s="71"/>
      <c r="AD89" s="71"/>
    </row>
    <row r="90" spans="1:30" hidden="1">
      <c r="A90" s="1532"/>
      <c r="B90" s="159" t="s">
        <v>2174</v>
      </c>
      <c r="C90" s="2962" t="s">
        <v>2216</v>
      </c>
      <c r="D90" s="2963"/>
      <c r="E90" s="2963"/>
      <c r="F90" s="2963"/>
      <c r="G90" s="2963"/>
      <c r="H90" s="2963"/>
      <c r="I90" s="2964"/>
      <c r="O90" s="202">
        <v>1</v>
      </c>
    </row>
    <row r="91" spans="1:30" ht="23.25" hidden="1" customHeight="1">
      <c r="A91" s="1532"/>
      <c r="B91" s="159" t="s">
        <v>2180</v>
      </c>
      <c r="C91" s="2962" t="s">
        <v>2217</v>
      </c>
      <c r="D91" s="2963"/>
      <c r="E91" s="2963"/>
      <c r="F91" s="2963"/>
      <c r="G91" s="2963"/>
      <c r="H91" s="2963"/>
      <c r="I91" s="2964"/>
      <c r="O91" s="202" t="s">
        <v>195</v>
      </c>
    </row>
    <row r="92" spans="1:30" ht="15" hidden="1" customHeight="1" thickBot="1">
      <c r="A92" s="1532"/>
      <c r="B92" s="183" t="s">
        <v>2186</v>
      </c>
      <c r="C92" s="2968" t="s">
        <v>2218</v>
      </c>
      <c r="D92" s="2969"/>
      <c r="E92" s="2969"/>
      <c r="F92" s="2969"/>
      <c r="G92" s="2969"/>
      <c r="H92" s="2969"/>
      <c r="I92" s="2970"/>
      <c r="O92" s="202">
        <v>1</v>
      </c>
    </row>
    <row r="93" spans="1:30" hidden="1">
      <c r="A93" s="1532"/>
    </row>
    <row r="94" spans="1:30" hidden="1">
      <c r="A94" s="1532"/>
    </row>
    <row r="95" spans="1:30" hidden="1">
      <c r="A95" s="1532"/>
    </row>
  </sheetData>
  <sheetProtection algorithmName="SHA-512" hashValue="Oy829OL3ZWLOBXAfFm03jb71ypZpHG1YFTkIJdpZJ+7ab3xy25T37U0eiLlZ/S+KG2j5jPCOorzGVuh1/s2DlQ==" saltValue="DPQr9JMJ2tzjnRFwf1u0VA==" spinCount="100000" sheet="1" objects="1" scenarios="1"/>
  <mergeCells count="33">
    <mergeCell ref="C92:I92"/>
    <mergeCell ref="C82:I82"/>
    <mergeCell ref="C83:I83"/>
    <mergeCell ref="C84:I84"/>
    <mergeCell ref="C85:I85"/>
    <mergeCell ref="C86:I86"/>
    <mergeCell ref="C87:I87"/>
    <mergeCell ref="C90:I90"/>
    <mergeCell ref="C91:I91"/>
    <mergeCell ref="C89:I89"/>
    <mergeCell ref="C66:I66"/>
    <mergeCell ref="C67:I67"/>
    <mergeCell ref="S2:S4"/>
    <mergeCell ref="C79:I79"/>
    <mergeCell ref="C88:I88"/>
    <mergeCell ref="C81:I81"/>
    <mergeCell ref="C80:I80"/>
    <mergeCell ref="BD3:BE3"/>
    <mergeCell ref="C78:I78"/>
    <mergeCell ref="C69:I69"/>
    <mergeCell ref="C70:I70"/>
    <mergeCell ref="C71:I71"/>
    <mergeCell ref="C72:I72"/>
    <mergeCell ref="C73:I73"/>
    <mergeCell ref="C74:I74"/>
    <mergeCell ref="C75:I75"/>
    <mergeCell ref="C76:I76"/>
    <mergeCell ref="C77:I77"/>
    <mergeCell ref="W2:W4"/>
    <mergeCell ref="C68:I68"/>
    <mergeCell ref="B3:C3"/>
    <mergeCell ref="O3:P3"/>
    <mergeCell ref="B55:C55"/>
  </mergeCells>
  <conditionalFormatting sqref="L10:L16 L6:L8 L22:L28">
    <cfRule type="cellIs" dxfId="397" priority="26" operator="equal">
      <formula>0</formula>
    </cfRule>
  </conditionalFormatting>
  <conditionalFormatting sqref="L9:L11">
    <cfRule type="cellIs" dxfId="396" priority="25" operator="equal">
      <formula>0</formula>
    </cfRule>
  </conditionalFormatting>
  <conditionalFormatting sqref="L32:L33">
    <cfRule type="cellIs" dxfId="395" priority="24" operator="equal">
      <formula>0</formula>
    </cfRule>
  </conditionalFormatting>
  <conditionalFormatting sqref="L48:L50">
    <cfRule type="cellIs" dxfId="394" priority="23" operator="equal">
      <formula>0</formula>
    </cfRule>
  </conditionalFormatting>
  <conditionalFormatting sqref="K29 K39">
    <cfRule type="cellIs" dxfId="393" priority="22" operator="equal">
      <formula>0</formula>
    </cfRule>
  </conditionalFormatting>
  <conditionalFormatting sqref="L34 L36:L37">
    <cfRule type="cellIs" dxfId="392" priority="20" operator="equal">
      <formula>0</formula>
    </cfRule>
  </conditionalFormatting>
  <conditionalFormatting sqref="L45">
    <cfRule type="cellIs" dxfId="391" priority="13" operator="equal">
      <formula>0</formula>
    </cfRule>
  </conditionalFormatting>
  <conditionalFormatting sqref="K45">
    <cfRule type="cellIs" dxfId="390" priority="12" operator="equal">
      <formula>0</formula>
    </cfRule>
  </conditionalFormatting>
  <conditionalFormatting sqref="L17:L21">
    <cfRule type="cellIs" dxfId="389" priority="8" operator="equal">
      <formula>0</formula>
    </cfRule>
  </conditionalFormatting>
  <conditionalFormatting sqref="L17">
    <cfRule type="cellIs" dxfId="388" priority="7" operator="equal">
      <formula>0</formula>
    </cfRule>
  </conditionalFormatting>
  <conditionalFormatting sqref="I44:I46 I48:I51 I53">
    <cfRule type="expression" dxfId="387" priority="2">
      <formula>$I$1 &lt;&gt; "Thames Water"</formula>
    </cfRule>
  </conditionalFormatting>
  <conditionalFormatting sqref="G18:I21">
    <cfRule type="expression" dxfId="386" priority="1">
      <formula>$I$1 &lt;&gt; "Thames Water"</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8" id="{2C0BA5D0-F997-4456-9A58-A278275B3967}">
            <xm:f>Validation!$H$3=1</xm:f>
            <x14:dxf>
              <fill>
                <patternFill>
                  <bgColor rgb="FFE0DCD8"/>
                </patternFill>
              </fill>
            </x14:dxf>
          </x14:cfRule>
          <xm:sqref>G12:I15 I33</xm:sqref>
        </x14:conditionalFormatting>
        <x14:conditionalFormatting xmlns:xm="http://schemas.microsoft.com/office/excel/2006/main">
          <x14:cfRule type="expression" priority="15" id="{E6CA8013-7666-41BA-9D88-9D4E54CBFB28}">
            <xm:f>Validation!$H$3=1</xm:f>
            <x14:dxf>
              <fill>
                <patternFill>
                  <bgColor rgb="FFE0DCD8"/>
                </patternFill>
              </fill>
            </x14:dxf>
          </x14:cfRule>
          <xm:sqref>H44:H46 H48:H51 H53</xm:sqref>
        </x14:conditionalFormatting>
        <x14:conditionalFormatting xmlns:xm="http://schemas.microsoft.com/office/excel/2006/main">
          <x14:cfRule type="expression" priority="11" id="{6E50088D-1B66-4031-B25B-A0C480EA160D}">
            <xm:f>Validation!$H$3=1</xm:f>
            <x14:dxf>
              <fill>
                <patternFill>
                  <bgColor rgb="FFE0DCD8"/>
                </patternFill>
              </fill>
            </x14:dxf>
          </x14:cfRule>
          <xm:sqref>BI12:BK15 BK33</xm:sqref>
        </x14:conditionalFormatting>
        <x14:conditionalFormatting xmlns:xm="http://schemas.microsoft.com/office/excel/2006/main">
          <x14:cfRule type="expression" priority="10" id="{713AF02F-E7C2-451F-9FDB-A29429C42F94}">
            <xm:f>Validation!$H$3=1</xm:f>
            <x14:dxf>
              <fill>
                <patternFill>
                  <bgColor rgb="FFE0DCD8"/>
                </patternFill>
              </fill>
            </x14:dxf>
          </x14:cfRule>
          <xm:sqref>BJ44:BJ46 BJ48:BJ51 BJ53</xm:sqref>
        </x14:conditionalFormatting>
        <x14:conditionalFormatting xmlns:xm="http://schemas.microsoft.com/office/excel/2006/main">
          <x14:cfRule type="expression" priority="9" id="{4D6B8079-D2AE-4814-8E37-2E6AA1223D8A}">
            <xm:f>Validation!$H$3=1</xm:f>
            <x14:dxf>
              <fill>
                <patternFill>
                  <bgColor rgb="FFE0DCD8"/>
                </patternFill>
              </fill>
            </x14:dxf>
          </x14:cfRule>
          <xm:sqref>G18:I21</xm:sqref>
        </x14:conditionalFormatting>
        <x14:conditionalFormatting xmlns:xm="http://schemas.microsoft.com/office/excel/2006/main">
          <x14:cfRule type="expression" priority="6" id="{EC399FF1-5CE6-45B3-93F8-E2B79347CCA4}">
            <xm:f>Validation!$H$3=1</xm:f>
            <x14:dxf>
              <fill>
                <patternFill>
                  <bgColor rgb="FFE0DCD8"/>
                </patternFill>
              </fill>
            </x14:dxf>
          </x14:cfRule>
          <xm:sqref>BI18:BK21</xm:sqref>
        </x14:conditionalFormatting>
        <x14:conditionalFormatting xmlns:xm="http://schemas.microsoft.com/office/excel/2006/main">
          <x14:cfRule type="expression" priority="5" id="{F47F57AB-7E1E-4FB2-B1E5-8C75BD9B9C86}">
            <xm:f>Validation!$H$3=1</xm:f>
            <x14:dxf>
              <fill>
                <patternFill>
                  <bgColor rgb="FFE0DCD8"/>
                </patternFill>
              </fill>
            </x14:dxf>
          </x14:cfRule>
          <xm:sqref>I44:I46 I48:I51 I53</xm:sqref>
        </x14:conditionalFormatting>
        <x14:conditionalFormatting xmlns:xm="http://schemas.microsoft.com/office/excel/2006/main">
          <x14:cfRule type="expression" priority="4" id="{2C3781D7-4DE7-4D9A-9C33-2A2402373B71}">
            <xm:f>Validation!$H$3=1</xm:f>
            <x14:dxf>
              <fill>
                <patternFill>
                  <bgColor rgb="FFE0DCD8"/>
                </patternFill>
              </fill>
            </x14:dxf>
          </x14:cfRule>
          <xm:sqref>BK44:BK46 BK48:BK51 BK53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61"/>
  <sheetViews>
    <sheetView tabSelected="1" zoomScale="80" zoomScaleNormal="80" workbookViewId="0">
      <selection activeCell="B16" sqref="B16"/>
    </sheetView>
  </sheetViews>
  <sheetFormatPr defaultColWidth="12.08203125" defaultRowHeight="14"/>
  <cols>
    <col min="1" max="1" width="1.58203125" style="8" customWidth="1"/>
    <col min="2" max="2" width="71.08203125" style="8" customWidth="1"/>
    <col min="3" max="4" width="22.5" style="8" customWidth="1"/>
    <col min="5" max="5" width="106" style="8" customWidth="1"/>
    <col min="6" max="6" width="1.58203125" style="8" customWidth="1"/>
    <col min="7" max="16383" width="12.08203125" style="8"/>
    <col min="16384" max="16384" width="12.08203125" style="8" customWidth="1"/>
  </cols>
  <sheetData>
    <row r="1" spans="1:8" ht="20">
      <c r="A1" s="483"/>
      <c r="B1" s="6" t="s">
        <v>17</v>
      </c>
      <c r="C1" s="6"/>
      <c r="D1" s="6"/>
      <c r="E1" s="7"/>
      <c r="F1" s="483"/>
      <c r="G1" s="483"/>
      <c r="H1" s="483"/>
    </row>
    <row r="2" spans="1:8" ht="14.5" thickBot="1">
      <c r="A2" s="483"/>
      <c r="B2" s="73" t="s">
        <v>18</v>
      </c>
      <c r="C2" s="483"/>
      <c r="D2" s="483"/>
      <c r="E2" s="483"/>
      <c r="F2" s="483"/>
      <c r="G2" s="483"/>
      <c r="H2" s="483"/>
    </row>
    <row r="3" spans="1:8" ht="15.5" thickBot="1">
      <c r="A3" s="10"/>
      <c r="B3" s="473" t="s">
        <v>8396</v>
      </c>
      <c r="C3" s="9" t="s">
        <v>20</v>
      </c>
      <c r="D3" s="10"/>
      <c r="E3" s="10"/>
      <c r="F3" s="483"/>
      <c r="G3" s="13" t="str">
        <f>VLOOKUP(Validation!B3,Lists!B4:D26,3,FALSE)</f>
        <v>WoC</v>
      </c>
      <c r="H3" s="13">
        <f>IF(G3="Woc",1,0)</f>
        <v>1</v>
      </c>
    </row>
    <row r="5" spans="1:8">
      <c r="A5" s="483"/>
      <c r="B5" s="2891" t="s">
        <v>21</v>
      </c>
      <c r="C5" s="2891"/>
      <c r="D5" s="2891"/>
      <c r="E5" s="2891"/>
      <c r="F5" s="483"/>
      <c r="G5" s="483"/>
      <c r="H5" s="483"/>
    </row>
    <row r="6" spans="1:8" ht="14.5" thickBot="1">
      <c r="A6" s="483"/>
      <c r="B6" s="483"/>
      <c r="C6" s="483"/>
      <c r="D6" s="483"/>
      <c r="E6" s="483"/>
      <c r="F6" s="483"/>
      <c r="G6" s="483"/>
      <c r="H6" s="483"/>
    </row>
    <row r="7" spans="1:8" ht="27.5" thickBot="1">
      <c r="A7" s="483"/>
      <c r="B7" s="11" t="s">
        <v>22</v>
      </c>
      <c r="C7" s="12" t="s">
        <v>23</v>
      </c>
      <c r="D7" s="13" t="s">
        <v>24</v>
      </c>
      <c r="E7" s="14" t="s">
        <v>25</v>
      </c>
      <c r="F7" s="483"/>
      <c r="G7" s="483"/>
      <c r="H7" s="483"/>
    </row>
    <row r="8" spans="1:8" ht="20.25" customHeight="1">
      <c r="A8" s="16"/>
      <c r="B8" s="405" t="str">
        <f>+'1A'!B1</f>
        <v>1A - Income statement</v>
      </c>
      <c r="C8" s="15" t="str">
        <f>IF($B$3="Select company","",IF((SUM('1A'!O6:S36))&gt;0,"Review validation checks on sheet","No issues identified"))</f>
        <v>No issues identified</v>
      </c>
      <c r="D8" s="1501"/>
      <c r="E8" s="1503" t="str">
        <f>+'1A'!B43</f>
        <v>Please refer to RAG 4.08 - Guideline for the table definitions in the annual performance report for the reporting year 2019-20</v>
      </c>
      <c r="F8" s="483"/>
      <c r="G8" s="483"/>
      <c r="H8" s="483"/>
    </row>
    <row r="9" spans="1:8" ht="20.25" customHeight="1">
      <c r="A9" s="16"/>
      <c r="B9" s="406" t="str">
        <f>+'1B'!B1</f>
        <v>1B - Statement of comprehensive income</v>
      </c>
      <c r="C9" s="17" t="str">
        <f>IF($B$3="Select company","",IF((SUM('1B'!O7:S8))&gt;0,"Review validation checks on sheet","No issues identified"))</f>
        <v>No issues identified</v>
      </c>
      <c r="D9" s="1502"/>
      <c r="E9" s="1504" t="str">
        <f>+'1B'!B19</f>
        <v>Please refer to RAG 4.08 - Guideline for the table definitions in the annual performance report for the reporting year 2019-20</v>
      </c>
      <c r="F9" s="483"/>
      <c r="G9" s="483"/>
      <c r="H9" s="483"/>
    </row>
    <row r="10" spans="1:8" ht="20.25" customHeight="1">
      <c r="A10" s="16"/>
      <c r="B10" s="406" t="str">
        <f>+'1C'!B1</f>
        <v>1C - Statement of financial position</v>
      </c>
      <c r="C10" s="17" t="str">
        <f>IF($B$3="Select company","",IF((SUM('1C'!O7:S49))&gt;0,"Review validation checks on sheet","No issues identified"))</f>
        <v>No issues identified</v>
      </c>
      <c r="D10" s="1502"/>
      <c r="E10" s="1504" t="str">
        <f>+'1C'!B59</f>
        <v>Please refer to RAG 4.08 - Guideline for the table definitions in the annual performance report for the reporting year 2019-20</v>
      </c>
      <c r="F10" s="483"/>
      <c r="G10" s="483"/>
      <c r="H10" s="483"/>
    </row>
    <row r="11" spans="1:8" ht="20.25" customHeight="1">
      <c r="A11" s="16"/>
      <c r="B11" s="406" t="str">
        <f>+'1D'!B1</f>
        <v>1D - Statement of cash flows</v>
      </c>
      <c r="C11" s="17" t="str">
        <f>IF($B$3="Select company","",IF((SUM('1D'!O8:S33))&gt;0,"Review validation checks on sheet","No issues identified"))</f>
        <v>No issues identified</v>
      </c>
      <c r="D11" s="1502"/>
      <c r="E11" s="1504" t="str">
        <f>+'1D'!B45</f>
        <v>Please refer to RAG 4.08 - Guideline for the table definitions in the annual performance report for the reporting year 2019-20</v>
      </c>
      <c r="F11" s="483"/>
      <c r="G11" s="483"/>
      <c r="H11" s="483"/>
    </row>
    <row r="12" spans="1:8" ht="20.25" customHeight="1">
      <c r="A12" s="16"/>
      <c r="B12" s="406" t="str">
        <f>+'1E'!B1</f>
        <v>1E - Net debt analysis at 31 March 2020</v>
      </c>
      <c r="C12" s="17" t="str">
        <f>IF($B$3="Select company","",IF((SUM('1E'!O6:T23))&gt;0,"Review validation checks on sheet","No issues identified"))</f>
        <v>No issues identified</v>
      </c>
      <c r="D12" s="17" t="str">
        <f>IF($B$3="Select company","",IF((SUM('1E'!T6:Y23))&gt;0,"Review validation checks on sheet","No issues identified"))</f>
        <v>No issues identified</v>
      </c>
      <c r="E12" s="1508" t="str">
        <f>+'1E'!B32</f>
        <v>Please refer to RAG 4.08 - Guideline for the table definitions in the annual performance report for the reporting year 2019-20</v>
      </c>
      <c r="F12" s="483"/>
      <c r="G12" s="483"/>
      <c r="H12" s="483"/>
    </row>
    <row r="13" spans="1:8" s="483" customFormat="1" ht="20.25" customHeight="1" thickBot="1">
      <c r="A13" s="16"/>
      <c r="B13" s="2046" t="str">
        <f>+'1F'!B1</f>
        <v>1F - Financial flows (Price Base - 2012-13 RPI Average)</v>
      </c>
      <c r="C13" s="829" t="str">
        <f>IF($B$3="Select company","",IF((SUM('1F'!V8:AI41))&gt;0,"Review validation checks on sheet","No issues identified"))</f>
        <v>No issues identified</v>
      </c>
      <c r="D13" s="2048"/>
      <c r="E13" s="2047" t="str">
        <f>+'1F'!B52</f>
        <v>Please refer to RAG 4.08 - Guideline for the table definitions in the annual performance report for the reporting year 2019-20</v>
      </c>
    </row>
    <row r="14" spans="1:8" ht="14.5" thickBot="1">
      <c r="A14" s="16"/>
      <c r="B14" s="19"/>
      <c r="C14" s="20"/>
      <c r="D14" s="20"/>
      <c r="E14" s="16"/>
      <c r="F14" s="483"/>
      <c r="G14" s="483"/>
      <c r="H14" s="483"/>
    </row>
    <row r="15" spans="1:8" ht="37.5" customHeight="1" thickBot="1">
      <c r="A15" s="16"/>
      <c r="B15" s="11" t="s">
        <v>26</v>
      </c>
      <c r="C15" s="13" t="str">
        <f>C7</f>
        <v>All expected cells completed?</v>
      </c>
      <c r="D15" s="13" t="str">
        <f>D7</f>
        <v>Other validations</v>
      </c>
      <c r="E15" s="14" t="s">
        <v>25</v>
      </c>
      <c r="F15" s="483"/>
      <c r="G15" s="483"/>
      <c r="H15" s="483"/>
    </row>
    <row r="16" spans="1:8" ht="20.25" customHeight="1">
      <c r="A16" s="16"/>
      <c r="B16" s="405" t="str">
        <f>+'2A'!B1</f>
        <v>2A - Segmental income statement</v>
      </c>
      <c r="C16" s="15" t="str">
        <f>IF($B$3="Select company","",IF((SUM('2A'!U6:AF20))&gt;0,"Review validation checks on sheet","No issues identified"))</f>
        <v>No issues identified</v>
      </c>
      <c r="D16" s="1505" t="str">
        <f>IF($B$3="Select company","",IF((SUM('2A'!AF6:AL20))&gt;0,"Review validation checks on sheet","No issues identified"))</f>
        <v>No issues identified</v>
      </c>
      <c r="E16" s="1503" t="str">
        <f>+'2A'!B30</f>
        <v>Please refer to RAG 4.08 - Guideline for the table definitions in the annual performance report for the reporting year 2019-20</v>
      </c>
      <c r="F16" s="483"/>
      <c r="G16" s="483"/>
      <c r="H16" s="483"/>
    </row>
    <row r="17" spans="1:5" ht="20.25" customHeight="1">
      <c r="A17" s="16"/>
      <c r="B17" s="406" t="str">
        <f>+'2B'!B1</f>
        <v>2B - Totex analysis - wholesale water and wastewater</v>
      </c>
      <c r="C17" s="1866" t="str">
        <f>IF($B$3="Select company","",IF((SUM('2B'!Q6:V39))&gt;0,"Review validation checks on sheet","No issues identified"))</f>
        <v>No issues identified</v>
      </c>
      <c r="D17" s="1506" t="str">
        <f>IF($B$3="Select company","",IF((SUM('2B'!V6:X39))&gt;0,"Review validation checks on sheet","No issues identified"))</f>
        <v>No issues identified</v>
      </c>
      <c r="E17" s="1508" t="str">
        <f>+'2B'!B48</f>
        <v>Please refer to RAG 4.08 - Guideline for the table definitions in the annual performance report for the reporting year 2019-20</v>
      </c>
    </row>
    <row r="18" spans="1:5" ht="20.25" customHeight="1">
      <c r="A18" s="16"/>
      <c r="B18" s="406" t="str">
        <f>+'2C'!B1</f>
        <v>2C - Operating cost analysis - retail</v>
      </c>
      <c r="C18" s="17" t="str">
        <f>IF($B$3="Select company","",IF((SUM('2C'!M6:P21))&gt;0,"Review validation checks on sheet","No issues identified"))</f>
        <v>No issues identified</v>
      </c>
      <c r="D18" s="1502"/>
      <c r="E18" s="1508" t="str">
        <f>+'2C'!B30</f>
        <v>Please refer to RAG 4.08 - Guideline for the table definitions in the annual performance report for the reporting year 2019-20</v>
      </c>
    </row>
    <row r="19" spans="1:5" ht="20.25" customHeight="1">
      <c r="A19" s="16"/>
      <c r="B19" s="406" t="str">
        <f>+'2D'!B1</f>
        <v>2D - Historic cost analysis of fixed assets - wholesale &amp; retail</v>
      </c>
      <c r="C19" s="17" t="str">
        <f>IF($B$3="Select company","",IF((SUM('2D'!S7:AA26))&gt;0,"Review validation checks on sheet","No issues identified"))</f>
        <v>No issues identified</v>
      </c>
      <c r="D19" s="1506" t="str">
        <f>IF($B$3="Select company","",IF((SUM('2D'!AA7:AJ27))&gt;0,"Review validation checks on sheet","No issues identified"))</f>
        <v>No issues identified</v>
      </c>
      <c r="E19" s="1508" t="str">
        <f>+'2D'!B36</f>
        <v>Please refer to RAG 4.08 - Guideline for the table definitions in the annual performance report for the reporting year 2019-20</v>
      </c>
    </row>
    <row r="20" spans="1:5" ht="20.25" customHeight="1">
      <c r="A20" s="16"/>
      <c r="B20" s="406" t="str">
        <f>+'2E'!B1</f>
        <v>2E - Analysis of 'grants and contributions' and land sales - wholesale</v>
      </c>
      <c r="C20" s="17" t="str">
        <f>IF($B$3="Select company","",IF((SUM('2E'!N7:R49))&gt;0,"Review validation checks on sheet","No issues identified"))</f>
        <v>No issues identified</v>
      </c>
      <c r="D20" s="1502"/>
      <c r="E20" s="1508" t="str">
        <f>+'2E'!B59</f>
        <v>Please refer to RAG 4.08 - Guideline for the table definitions in the annual performance report for the reporting year 2019-20</v>
      </c>
    </row>
    <row r="21" spans="1:5" ht="20.25" customHeight="1">
      <c r="A21" s="16"/>
      <c r="B21" s="406" t="str">
        <f>+'2F'!B1</f>
        <v>2F - Household - revenues by customer type</v>
      </c>
      <c r="C21" s="17" t="str">
        <f>IF($B$3="Select company","",IF((SUM('2F'!M5:R10))&gt;0,"Review validation checks on sheet","No issues identified"))</f>
        <v>No issues identified</v>
      </c>
      <c r="D21" s="1502"/>
      <c r="E21" s="1508" t="str">
        <f>+'2F'!B20</f>
        <v>Please refer to RAG 4.08 - Guideline for the table definitions in the annual performance report for the reporting year 2019-20</v>
      </c>
    </row>
    <row r="22" spans="1:5" ht="20.25" customHeight="1">
      <c r="A22" s="16"/>
      <c r="B22" s="406" t="str">
        <f>+'2G'!B1</f>
        <v>2G - Non-household water - revenues by tariff type</v>
      </c>
      <c r="C22" s="17" t="str">
        <f>IF($B$3="Select company","",IF((SUM('2G'!N6:R34))&gt;0,"Review validation checks on sheet","No issues identified"))</f>
        <v>Review validation checks on sheet</v>
      </c>
      <c r="D22" s="1506" t="str">
        <f>IF($B$3="Select company","",IF((SUM('2G'!R6:T30))&gt;0,"Review validation checks on sheet","No issues identified"))</f>
        <v>Review validation checks on sheet</v>
      </c>
      <c r="E22" s="1508" t="str">
        <f>+'2G'!B43</f>
        <v>Please refer to RAG 4.08 - Guideline for the table definitions in the annual performance report for the reporting year 2019-20</v>
      </c>
    </row>
    <row r="23" spans="1:5" ht="20.25" customHeight="1">
      <c r="A23" s="16"/>
      <c r="B23" s="406" t="str">
        <f>+'2H'!B1</f>
        <v>2H - Non-household wastewater - revenues by tariff type</v>
      </c>
      <c r="C23" s="17" t="str">
        <f>IF($B$3="Select company","",IF(G3="WoC","",IF((SUM('2H'!N6:R37))&gt;0,"Review validation checks on sheet","No issues identified")))</f>
        <v/>
      </c>
      <c r="D23" s="1506" t="str">
        <f>IF($B$3="Select company","",IF(G3="WoC","",IF((SUM('2H'!R6:T33))&gt;0,"Review validation checks on sheet","No issues identified")))</f>
        <v/>
      </c>
      <c r="E23" s="1508" t="str">
        <f>+'2H'!B46</f>
        <v>Please refer to RAG 4.08 - Guideline for the table definitions in the annual performance report for the reporting year 2019-20</v>
      </c>
    </row>
    <row r="24" spans="1:5" ht="20.25" customHeight="1">
      <c r="A24" s="16"/>
      <c r="B24" s="406" t="str">
        <f>+'2I'!B1</f>
        <v>2I - Revenue analysis</v>
      </c>
      <c r="C24" s="17" t="str">
        <f>IF($B$3="Select company","",IF((SUM('2I'!N6:R50))&gt;0,"Review validation checks on sheet","No issues identified"))</f>
        <v>No issues identified</v>
      </c>
      <c r="D24" s="1506" t="str">
        <f>IF($B$3="Select company","",IF((SUM('2I'!R6:V50))&gt;0,"Review validation checks on sheet","No issues identified"))</f>
        <v>Review validation checks on sheet</v>
      </c>
      <c r="E24" s="1508" t="str">
        <f>+'2I'!B62</f>
        <v>Please refer to RAG 4.08 - Guideline for the table definitions in the annual performance report for the reporting year 2019-20</v>
      </c>
    </row>
    <row r="25" spans="1:5" s="483" customFormat="1" ht="20.25" customHeight="1">
      <c r="A25" s="16"/>
      <c r="B25" s="2051" t="str">
        <f>+'2J'!B1</f>
        <v>2J - Infrastructure network reinforcement costs</v>
      </c>
      <c r="C25" s="17" t="str">
        <f>IF($B$3="Select company","",IF((SUM('2J'!M6:P15))&gt;0,"Review validation checks on sheet","No issues identified"))</f>
        <v>No issues identified</v>
      </c>
      <c r="D25" s="2052" t="str">
        <f>IF($B$3="Select company","",IF((SUM('2J'!P6:R16))&gt;0,"Review validation checks on sheet","No issues identified"))</f>
        <v>No issues identified</v>
      </c>
      <c r="E25" s="1508" t="str">
        <f>+'2J'!B25</f>
        <v>Please refer to RAG 4.08 - Guideline for the table definitions in the annual performance report for the reporting year 2019-20</v>
      </c>
    </row>
    <row r="26" spans="1:5" s="483" customFormat="1" ht="20.25" customHeight="1" thickBot="1">
      <c r="A26" s="16"/>
      <c r="B26" s="2049" t="str">
        <f>+'2K'!B1</f>
        <v>2K - Infrastructure charges reconciliation</v>
      </c>
      <c r="C26" s="829" t="str">
        <f>IF($B$3="Select company","",IF((SUM('2K'!M7:P11))&gt;0,"Review validation checks on sheet","No issues identified"))</f>
        <v>No issues identified</v>
      </c>
      <c r="D26" s="2050"/>
      <c r="E26" s="2047" t="str">
        <f>+'2K'!B24</f>
        <v>Please refer to RAG 4.08 - Guideline for the table definitions in the annual performance report for the reporting year 2019-20</v>
      </c>
    </row>
    <row r="27" spans="1:5" ht="14.5" thickBot="1">
      <c r="A27" s="10"/>
      <c r="B27" s="21"/>
      <c r="C27" s="21"/>
      <c r="D27" s="21"/>
      <c r="E27" s="16"/>
    </row>
    <row r="28" spans="1:5" ht="27.5" thickBot="1">
      <c r="A28" s="10"/>
      <c r="B28" s="22" t="s">
        <v>27</v>
      </c>
      <c r="C28" s="12" t="s">
        <v>23</v>
      </c>
      <c r="D28" s="13" t="s">
        <v>24</v>
      </c>
      <c r="E28" s="14" t="s">
        <v>25</v>
      </c>
    </row>
    <row r="29" spans="1:5" ht="20.25" customHeight="1">
      <c r="A29" s="23"/>
      <c r="B29" s="405" t="str">
        <f>+'3A'!B1</f>
        <v>3A - Outcome performance table</v>
      </c>
      <c r="C29" s="15" t="str">
        <f>IF($B$3="Select company","",IF((SUM('3A'!U5:AE60))&gt;0,"Review validation checks on sheet","No issues identified"))</f>
        <v>No issues identified</v>
      </c>
      <c r="D29" s="1505" t="str">
        <f>IF($B$3="Select company","",IF((SUM('3A'!AE5:AH60))&gt;0,"Review validation checks on sheet","No issues identified"))</f>
        <v>No issues identified</v>
      </c>
      <c r="E29" s="1509" t="str">
        <f>+'3A'!B69</f>
        <v>Please refer to RAG 4.08 - Guideline for the table definitions in the annual performance report for the reporting year 2019-20</v>
      </c>
    </row>
    <row r="30" spans="1:5" s="483" customFormat="1" ht="20.25" customHeight="1">
      <c r="A30" s="23"/>
      <c r="B30" s="406" t="str">
        <f>+'3B'!B1</f>
        <v>3B - Sub-measure performance table</v>
      </c>
      <c r="C30" s="17" t="str">
        <f>IF($B$3="Select company","",IF((SUM('3B'!O5:R44))&gt;0,"Review validation checks on sheet","No issues identified"))</f>
        <v>No issues identified</v>
      </c>
      <c r="D30" s="1506" t="str">
        <f>IF($B$3="Select company","",IF((SUM('3B'!R5:U44))&gt;0,"Review validation checks on sheet","No issues identified"))</f>
        <v>No issues identified</v>
      </c>
      <c r="E30" s="1508" t="str">
        <f>+'3B'!B53</f>
        <v>Please refer to RAG 4.08 - Guideline for the table definitions in the annual performance report for the reporting year 2019-20</v>
      </c>
    </row>
    <row r="31" spans="1:5" s="483" customFormat="1" ht="20.25" customHeight="1">
      <c r="A31" s="23"/>
      <c r="B31" s="406" t="str">
        <f>+'3C'!B1</f>
        <v>3C - AIM table</v>
      </c>
      <c r="C31" s="17" t="str">
        <f>IF($B$3="Select company","",IF((SUM('3C'!N5:T29))&gt;0,"Review validation checks on sheet","No issues identified"))</f>
        <v>No issues identified</v>
      </c>
      <c r="D31" s="1506" t="str">
        <f>IF($B$3="Select company","",IF((SUM('3C'!T5:Z29))&gt;0,"Review validation checks on sheet","No issues identified"))</f>
        <v>No issues identified</v>
      </c>
      <c r="E31" s="1504" t="str">
        <f>+'3C'!B39</f>
        <v>Please refer to RAG 4.08 - Guideline for the table definitions in the annual performance report for the reporting year 2019-20</v>
      </c>
    </row>
    <row r="32" spans="1:5" s="483" customFormat="1" ht="20.25" customHeight="1" thickBot="1">
      <c r="A32" s="23"/>
      <c r="B32" s="406" t="str">
        <f>+'3D'!B1</f>
        <v>3D - SIM table</v>
      </c>
      <c r="C32" s="17" t="str">
        <f>IF($B$3="Select company","",IF((SUM('3D'!K7:M12))&gt;0,"Review validation checks on sheet","No issues identified"))</f>
        <v>No issues identified</v>
      </c>
      <c r="D32" s="1506" t="str">
        <f>IF($B$3="Select company","",IF((SUM('3D'!M7:Q12))&gt;0,"Review validation checks on sheet","No issues identified"))</f>
        <v>No issues identified</v>
      </c>
      <c r="E32" s="1504" t="str">
        <f>+'3D'!B23</f>
        <v>Please refer to 'RAG 4.08 - Guideline for the table definitions in the annual performance report for the reporting year 2019-20 and the information notice 'Expectations for monopoly company annual performance reporting 2019-20'</v>
      </c>
    </row>
    <row r="33" spans="1:5" s="483" customFormat="1" ht="20.25" customHeight="1" thickBot="1">
      <c r="A33" s="23"/>
      <c r="B33" s="828" t="e">
        <f>+#REF!</f>
        <v>#REF!</v>
      </c>
      <c r="C33" s="829" t="e">
        <f>IF($B$3="Select company","",IF(SUM(#REF!)&gt;0,"Review validation checks on sheet","No issues identified"))</f>
        <v>#REF!</v>
      </c>
      <c r="D33" s="1507"/>
      <c r="E33" s="2149" t="e">
        <f>+#REF!</f>
        <v>#REF!</v>
      </c>
    </row>
    <row r="34" spans="1:5" ht="14.5" thickBot="1">
      <c r="A34" s="10"/>
      <c r="B34" s="21"/>
      <c r="C34" s="21"/>
      <c r="D34" s="21"/>
      <c r="E34" s="16"/>
    </row>
    <row r="35" spans="1:5" ht="27.5" thickBot="1">
      <c r="A35" s="10"/>
      <c r="B35" s="22" t="s">
        <v>28</v>
      </c>
      <c r="C35" s="12" t="s">
        <v>23</v>
      </c>
      <c r="D35" s="13" t="s">
        <v>24</v>
      </c>
      <c r="E35" s="14" t="s">
        <v>25</v>
      </c>
    </row>
    <row r="36" spans="1:5" ht="20.25" customHeight="1">
      <c r="A36" s="16"/>
      <c r="B36" s="405" t="str">
        <f>+'4A'!B1</f>
        <v>4A - Non-financial information</v>
      </c>
      <c r="C36" s="15" t="str">
        <f>IF($B$3="Select company","",IF((SUM('4A'!L8:O17))&gt;0,"Review validation checks on sheet","No issues identified"))</f>
        <v>No issues identified</v>
      </c>
      <c r="D36" s="1501"/>
      <c r="E36" s="1503" t="str">
        <f>+'4A'!B26</f>
        <v>Please refer to RAG 4.08 - Guideline for the table definitions in the annual performance report for the reporting year 2019-20</v>
      </c>
    </row>
    <row r="37" spans="1:5" ht="20.25" customHeight="1">
      <c r="A37" s="16"/>
      <c r="B37" s="406" t="str">
        <f>+'4B'!B1</f>
        <v xml:space="preserve">4B - Wholesale totex analysis </v>
      </c>
      <c r="C37" s="17" t="str">
        <f>IF($B$3="Select company","",IF((SUM('4B'!P7:W23))&gt;0,"Review validation checks on sheet","No issues identified"))</f>
        <v>No issues identified</v>
      </c>
      <c r="D37" s="1502"/>
      <c r="E37" s="1504" t="str">
        <f>+'4B'!B33</f>
        <v>Please refer to RAG 4.08 - Guideline for the table definitions in the annual performance report for the reporting year 2019-20</v>
      </c>
    </row>
    <row r="38" spans="1:5" ht="20.25" customHeight="1">
      <c r="A38" s="16"/>
      <c r="B38" s="406" t="str">
        <f>+'4C'!B1</f>
        <v>4C - Impact of AMP performance to date on RCV</v>
      </c>
      <c r="C38" s="17" t="str">
        <f>IF($B$3="Select company","",IF((SUM('4C'!M6:Q10))&gt;0,"Review validation checks on sheet","No issues identified"))</f>
        <v>No issues identified</v>
      </c>
      <c r="D38" s="1502"/>
      <c r="E38" s="1508" t="str">
        <f>+'4C'!B20</f>
        <v>Please refer to RAG 4.08 - Guideline for the table definitions in the annual performance report for the reporting year 2019-20</v>
      </c>
    </row>
    <row r="39" spans="1:5" ht="20.25" customHeight="1">
      <c r="A39" s="16"/>
      <c r="B39" s="406" t="str">
        <f>+'4D'!B1</f>
        <v>4D - Wholesale totex analysis - water</v>
      </c>
      <c r="C39" s="17" t="str">
        <f>IF($B$3="Select company","",IF((SUM('4D'!R7:Y49))&gt;0,"Review validation checks on sheet","No issues identified"))</f>
        <v>No issues identified</v>
      </c>
      <c r="D39" s="1506" t="str">
        <f>IF($B$3="Select company","",IF((SUM('4D'!Y7:AA50))&gt;0,"Review validation checks on sheet","No issues identified"))</f>
        <v>No issues identified</v>
      </c>
      <c r="E39" s="1508" t="str">
        <f>+'4D'!B59</f>
        <v>Please refer to RAG 4.08 - Guideline for the table definitions in the annual performance report for the reporting year 2019-20</v>
      </c>
    </row>
    <row r="40" spans="1:5" ht="20.25" customHeight="1">
      <c r="A40" s="16"/>
      <c r="B40" s="406" t="str">
        <f>+'4E'!B1</f>
        <v>4E - Wholesale totex analysis - wastewater</v>
      </c>
      <c r="C40" s="17" t="str">
        <f>IF($B$3="Select company","",IF(G3="WoC","",IF((SUM('4E'!T7:AC51))&gt;0,"Review validation checks on sheet","No issues identified")))</f>
        <v/>
      </c>
      <c r="D40" s="1506" t="str">
        <f>IF($B$3="Select company","",IF(G3="WoC","",IF((SUM('4E'!AC7:AE52))&gt;0,"Review validation checks on sheet","No issues identified")))</f>
        <v/>
      </c>
      <c r="E40" s="1508" t="str">
        <f>+'4E'!B61</f>
        <v>Please refer to RAG 4.08 - Guideline for the table definitions in the annual performance report for the reporting year 2019-20</v>
      </c>
    </row>
    <row r="41" spans="1:5" ht="20.25" customHeight="1">
      <c r="A41" s="16"/>
      <c r="B41" s="406" t="str">
        <f>+'4F'!B1</f>
        <v>4F - Cost analysis - household retail</v>
      </c>
      <c r="C41" s="17" t="str">
        <f>IF($B$3="Select company","",IF((SUM('4F'!T7:AB30))&gt;0,"Review validation checks on sheet","No issues identified"))</f>
        <v>No issues identified</v>
      </c>
      <c r="D41" s="1506" t="str">
        <f>IF($B$3="Select company","",IF((SUM('4F'!AB7:AD31))&gt;0,"Review validation checks on sheet","No issues identified"))</f>
        <v>No issues identified</v>
      </c>
      <c r="E41" s="1508" t="str">
        <f>+'4F'!B40</f>
        <v>Please refer to RAG 4.08 - Guideline for the table definitions in the annual performance report for the reporting year 2019-20</v>
      </c>
    </row>
    <row r="42" spans="1:5" ht="20.25" customHeight="1">
      <c r="A42" s="16"/>
      <c r="B42" s="406" t="str">
        <f>+'4G'!B1</f>
        <v>4G - Wholesale current cost financial performance</v>
      </c>
      <c r="C42" s="17" t="str">
        <f>IF($B$3="Select company","",IF((SUM('4G'!O5:S17))&gt;0,"Review validation checks on sheet","No issues identified"))</f>
        <v>No issues identified</v>
      </c>
      <c r="D42" s="1506" t="str">
        <f>IF($B$3="Select company","",IF((SUM('4G'!S5:U17))&gt;0,"Review validation checks on sheet","No issues identified"))</f>
        <v>No issues identified</v>
      </c>
      <c r="E42" s="1508" t="str">
        <f>+'4G'!B28</f>
        <v>Please refer to RAG 4.08 - Guideline for the table definitions in the annual performance report for the reporting year 2019-20</v>
      </c>
    </row>
    <row r="43" spans="1:5" ht="20.25" customHeight="1">
      <c r="A43" s="16"/>
      <c r="B43" s="406" t="str">
        <f>+'4H'!B1</f>
        <v>4H - Financial metrics</v>
      </c>
      <c r="C43" s="17" t="str">
        <f>IF($B$3="Select company","",IF((SUM('4H'!M10:P47))&gt;0,"Review validation checks on sheet","No issues identified"))</f>
        <v>No issues identified</v>
      </c>
      <c r="D43" s="1506" t="str">
        <f>IF($B$3="Select company","",IF((SUM('4H'!P7:R47))&gt;0,"Review validation checks on sheet","No issues identified"))</f>
        <v>Review validation checks on sheet</v>
      </c>
      <c r="E43" s="1504" t="str">
        <f>+'4H'!B56</f>
        <v>Please refer to RAG 4.08 - Guideline for the table definitions in the annual performance report for the reporting year 2019-20</v>
      </c>
    </row>
    <row r="44" spans="1:5" ht="20.25" customHeight="1">
      <c r="A44" s="16"/>
      <c r="B44" s="406" t="str">
        <f>+'4I'!B1</f>
        <v>4I - Financial derivatives</v>
      </c>
      <c r="C44" s="17" t="str">
        <f>IF($B$3="Select company","",IF((SUM('4I'!T8:AB41))&gt;0,"Review validation checks on sheet","No issues identified"))</f>
        <v>No issues identified</v>
      </c>
      <c r="D44" s="1506" t="str">
        <f>IF($B$3="Select company","",IF((SUM('4I'!AB8:AD44))&gt;0,"Review validation checks on sheet","No issues identified"))</f>
        <v>No issues identified</v>
      </c>
      <c r="E44" s="1504" t="str">
        <f>+'4I'!B53</f>
        <v>Please refer to RAG 4.08 - Guideline for the table definitions in the annual performance report for the reporting year 2019-20</v>
      </c>
    </row>
    <row r="45" spans="1:5" ht="19.5" customHeight="1">
      <c r="A45" s="483"/>
      <c r="B45" s="406" t="str">
        <f>+'4J'!B1</f>
        <v>4J - Atypical expenditure by business unit - Wholesale water</v>
      </c>
      <c r="C45" s="17" t="str">
        <f>IF($B$3="Select company","",IF((SUM('4J'!R7:Z48))&gt;0,"Review validation checks on sheet","No issues identified"))</f>
        <v>No issues identified</v>
      </c>
      <c r="D45" s="1506" t="str">
        <f>IF($B$3="Select company","",IF((SUM('4J'!Z30:AB52))&gt;0,"Review validation checks on sheet","No issues identified"))</f>
        <v>No issues identified</v>
      </c>
      <c r="E45" s="1504" t="str">
        <f>+'4J'!B61</f>
        <v>Please refer to RAG 4.08 - Guideline for the table definitions in the annual performance report for the reporting year 2019-20</v>
      </c>
    </row>
    <row r="46" spans="1:5" ht="19.5" customHeight="1">
      <c r="A46" s="483"/>
      <c r="B46" s="406" t="str">
        <f>+'4K'!B1</f>
        <v>4K - Atypical expenditure by business unit - Wholesale wastewater</v>
      </c>
      <c r="C46" s="17" t="str">
        <f>IF($B$3="Select company","",IF(G3="WoC","",IF((SUM('4K'!T7:AD48))&gt;0,"Review validation checks on sheet","No issues identified")))</f>
        <v/>
      </c>
      <c r="D46" s="1506" t="str">
        <f>IF($B$3="Select company","",IF(G3="WoC","",IF((SUM('4K'!AD30:AF52))&gt;0,"Review validation checks on sheet","No issues identified")))</f>
        <v/>
      </c>
      <c r="E46" s="1504" t="str">
        <f>+'4K'!B61</f>
        <v>Please refer to RAG 4.08 - Guideline for the table definitions in the annual performance report for the reporting year 2019-20</v>
      </c>
    </row>
    <row r="47" spans="1:5" ht="19.5" customHeight="1">
      <c r="A47" s="483"/>
      <c r="B47" s="406" t="str">
        <f>+'4L'!B1</f>
        <v>4L - Enhancement expenditure by purpose - Wholesale water</v>
      </c>
      <c r="C47" s="17" t="str">
        <f>IF($B$3="Select company","",IF((SUM('4L'!Y8:AN44))&gt;0,"Review validation checks on sheet","No issues identified"))</f>
        <v>No issues identified</v>
      </c>
      <c r="D47" s="1506" t="str">
        <f>IF($B$3="Select company","",IF((SUM('4L'!AN45:AP47))&gt;0,"Review validation checks on sheet","No issues identified"))</f>
        <v>No issues identified</v>
      </c>
      <c r="E47" s="1504" t="str">
        <f>+'4L'!B54</f>
        <v>Please refer to RAG 4.08 - Guideline for the table definitions in the annual performance report for the reporting year 2019-20</v>
      </c>
    </row>
    <row r="48" spans="1:5" ht="19.5" customHeight="1">
      <c r="A48" s="483"/>
      <c r="B48" s="406" t="str">
        <f>+'4M'!B1</f>
        <v>4M - Enhancement expenditure by purpose - Wholesale wastewater</v>
      </c>
      <c r="C48" s="17" t="str">
        <f>IF($B$3="Select company","",IF(G3="WoC","",IF((SUM('4M'!AC8:AV51))&gt;0,"Review validation checks on sheet","No issues identified")))</f>
        <v/>
      </c>
      <c r="D48" s="1506" t="str">
        <f>IF($B$3="Select company","",IF(G3="WoC","",IF((SUM('4M'!AV52:AX53))&gt;0,"Review validation checks on sheet","No issues identified")))</f>
        <v/>
      </c>
      <c r="E48" s="1504" t="str">
        <f>+'4M'!B61</f>
        <v>Please refer to RAG 4.08 - Guideline for the table definitions in the annual performance report for the reporting year 2019-20</v>
      </c>
    </row>
    <row r="49" spans="1:5" ht="19.5" customHeight="1">
      <c r="A49" s="483"/>
      <c r="B49" s="406" t="str">
        <f>+'4N'!B1</f>
        <v>4N - Sewage treatment - Functional expenditure</v>
      </c>
      <c r="C49" s="17" t="str">
        <f>IF($B$3="Select company","",IF(G3="WoC","",IF((SUM('4N'!L6:N21))&gt;0,"Review validation checks on sheet","No issues identified")))</f>
        <v/>
      </c>
      <c r="D49" s="1510"/>
      <c r="E49" s="1504" t="str">
        <f>+'4N'!B30</f>
        <v>Please refer to RAG 4.08 - Guideline for the table definitions in the annual performance report for the reporting year 2019-20</v>
      </c>
    </row>
    <row r="50" spans="1:5" ht="19.5" customHeight="1">
      <c r="A50" s="483"/>
      <c r="B50" s="406" t="str">
        <f>+'4O'!B1</f>
        <v>4O - Large sewage treatment works - Wholesale wastewater</v>
      </c>
      <c r="C50" s="1510"/>
      <c r="D50" s="1510"/>
      <c r="E50" s="1504" t="str">
        <f>+'4O'!B32</f>
        <v>Please refer to RAG 4.08 - Guideline for the table definitions in the annual performance report for the reporting year 2019-20</v>
      </c>
    </row>
    <row r="51" spans="1:5" ht="19.5" customHeight="1">
      <c r="A51" s="483"/>
      <c r="B51" s="406" t="str">
        <f>+'4P'!B1</f>
        <v>4P - Non-financial data for WR, WT and WD - Wholesale water</v>
      </c>
      <c r="C51" s="17" t="str">
        <f>IF($B$3="Select company","",IF((SUM('4P'!L6:N123))&gt;0,"Review validation checks on sheet","No issues identified"))</f>
        <v>No issues identified</v>
      </c>
      <c r="D51" s="1506" t="str">
        <f>IF($B$3="Select company","",IF((SUM('4P'!N13:P13))&gt;0,"Review validation checks on sheet","No issues identified"))</f>
        <v>No issues identified</v>
      </c>
      <c r="E51" s="1504" t="str">
        <f>+'4P'!B132</f>
        <v>Please refer to RAG 4.08 - Guideline for the table definitions in the annual performance report for the reporting year 2019-20</v>
      </c>
    </row>
    <row r="52" spans="1:5" ht="19.5" customHeight="1">
      <c r="A52" s="483"/>
      <c r="B52" s="406" t="str">
        <f>+'4Q'!B1</f>
        <v>4Q - Non-financial data - Properties, population and other - Wholesale water</v>
      </c>
      <c r="C52" s="17" t="str">
        <f>IF($B$3="Select company","",IF((SUM('4Q'!L6:N37))&gt;0,"Review validation checks on sheet","No issues identified"))</f>
        <v>No issues identified</v>
      </c>
      <c r="D52" s="1510"/>
      <c r="E52" s="1504" t="str">
        <f>+'4Q'!B46</f>
        <v>Please refer to RAG 4.08 - Guideline for the table definitions in the annual performance report for the reporting year 2019-20</v>
      </c>
    </row>
    <row r="53" spans="1:5" ht="19.5" customHeight="1">
      <c r="A53" s="483"/>
      <c r="B53" s="406" t="str">
        <f>+'4R'!B1</f>
        <v>4R - Non-financial data - Wastewater network and sludge - Wholesale wastewater</v>
      </c>
      <c r="C53" s="17" t="str">
        <f>IF($B$3="Select company","",IF(G3="WoC","",IF((SUM('4R'!L6:N55))&gt;0,"Review validation checks on sheet","No issues identified")))</f>
        <v/>
      </c>
      <c r="D53" s="1510"/>
      <c r="E53" s="1504" t="str">
        <f>+'4R'!B64</f>
        <v>Please refer to RAG 4.08 - Guideline for the table definitions in the annual performance report for the reporting year 2019-20</v>
      </c>
    </row>
    <row r="54" spans="1:5" ht="19.5" customHeight="1">
      <c r="A54" s="483"/>
      <c r="B54" s="406" t="str">
        <f>+'4S'!B1</f>
        <v>4S - Non-financial data - sewage treatment - Wholesale wastewater</v>
      </c>
      <c r="C54" s="17" t="str">
        <f>IF($B$3="Select company","",IF(G3="WoC","",IF((SUM('4S'!AK8:BL38))&gt;0,"Review validation checks on sheet","No issues identified")))</f>
        <v/>
      </c>
      <c r="D54" s="1510"/>
      <c r="E54" s="1504" t="str">
        <f>+'4S'!B47</f>
        <v>Please refer to RAG 4.08 - Guideline for the table definitions in the annual performance report for the reporting year 2019-20</v>
      </c>
    </row>
    <row r="55" spans="1:5" ht="19.5" customHeight="1">
      <c r="A55" s="483"/>
      <c r="B55" s="406" t="str">
        <f>+'4T'!B1</f>
        <v>4T - Non-financial data - sludge treatment - Wholesale wastewater</v>
      </c>
      <c r="C55" s="17" t="str">
        <f>IF($B$3="Select company","",IF(G3="WoC","",IF((SUM('4T'!M6:P21))&gt;0,"Review validation checks on sheet","No issues identified")))</f>
        <v/>
      </c>
      <c r="D55" s="1506" t="str">
        <f>IF($B$3="Select company","",IF(G3="WoC","",IF((SUM('4T'!P14:R22))&gt;0,"Review validation checks on sheet","No issues identified")))</f>
        <v/>
      </c>
      <c r="E55" s="1504" t="str">
        <f>+'4T'!B31</f>
        <v>Please refer to RAG 4.08 - Guideline for the table definitions in the annual performance report for the reporting year 2019-20</v>
      </c>
    </row>
    <row r="56" spans="1:5" ht="19.5" customHeight="1">
      <c r="A56" s="483"/>
      <c r="B56" s="406" t="str">
        <f>+'4U'!B1</f>
        <v>4U - Non-financial data - Properties, population and other - Wholesale wastewater</v>
      </c>
      <c r="C56" s="17" t="str">
        <f>IF($B$3="Select company","",IF((SUM('4U'!L6:N31))&gt;0,"Review validation checks on sheet","No issues identified"))</f>
        <v>No issues identified</v>
      </c>
      <c r="D56" s="1510"/>
      <c r="E56" s="1504" t="str">
        <f>+'4U'!B40</f>
        <v>Please refer to RAG 4.08 - Guideline for the table definitions in the annual performance report for the reporting year 2019-20</v>
      </c>
    </row>
    <row r="57" spans="1:5" ht="19.5" customHeight="1">
      <c r="A57" s="483"/>
      <c r="B57" s="406" t="str">
        <f>+'4V'!B1</f>
        <v xml:space="preserve">4V - Operating cost analysis - water resources </v>
      </c>
      <c r="C57" s="17" t="str">
        <f>IF($B$3="Select company","",IF((SUM('4V'!S7:AA36))&gt;0,"Review validation checks on sheet","No issues identified"))</f>
        <v>No issues identified</v>
      </c>
      <c r="D57" s="1506" t="str">
        <f>IF($B$3="Select company","",IF((SUM('4V'!AA18:AC34))&gt;0,"Review validation checks on sheet","No issues identified"))</f>
        <v>No issues identified</v>
      </c>
      <c r="E57" s="1504" t="str">
        <f>+'4V'!B45</f>
        <v>Please refer to RAG 4.08 - Guideline for the table definitions in the annual performance report for the reporting year 2019-20</v>
      </c>
    </row>
    <row r="58" spans="1:5" ht="19.5" customHeight="1" thickBot="1">
      <c r="A58" s="483"/>
      <c r="B58" s="407" t="str">
        <f>+'4W'!B1</f>
        <v>4W - Operating cost analysis - sludge transport, treatment and disposal</v>
      </c>
      <c r="C58" s="18" t="str">
        <f>IF($B$3="Select company","",IF(G3="WoC","",IF((SUM('4W'!T6:AC68))&gt;0,"Review validation checks on sheet","No issues identified")))</f>
        <v/>
      </c>
      <c r="D58" s="1557" t="str">
        <f>IF($B$3="Select company","",IF(G3="WoC","",IF((SUM('4W'!AC17:AE49))&gt;0,"Review validation checks on sheet","No issues identified")))</f>
        <v/>
      </c>
      <c r="E58" s="1511" t="str">
        <f>+'4W'!B77</f>
        <v>Please refer to RAG 4.08 - Guideline for the table definitions in the annual performance report for the reporting year 2019-20</v>
      </c>
    </row>
    <row r="59" spans="1:5" ht="14.5" thickBot="1">
      <c r="A59" s="483"/>
      <c r="B59" s="483"/>
      <c r="C59" s="483"/>
      <c r="D59" s="483"/>
      <c r="E59" s="483"/>
    </row>
    <row r="60" spans="1:5" s="483" customFormat="1" ht="27.5" thickBot="1">
      <c r="A60" s="10"/>
      <c r="B60" s="22" t="s">
        <v>29</v>
      </c>
      <c r="C60" s="12" t="s">
        <v>23</v>
      </c>
      <c r="D60" s="13" t="s">
        <v>24</v>
      </c>
      <c r="E60" s="14" t="s">
        <v>25</v>
      </c>
    </row>
    <row r="61" spans="1:5" s="483" customFormat="1" ht="20.25" customHeight="1" thickBot="1">
      <c r="A61" s="16"/>
      <c r="B61" s="1498" t="str">
        <f>+Bioresources!B1</f>
        <v>Bidding activity: bioresources market</v>
      </c>
      <c r="C61" s="1499" t="str">
        <f>IF($B$3="Select company","",IF(G3="WoC","",IF((SUM(Bioresources!K6:M41))&gt;0,"Review validation checks on sheet","No issues identified")))</f>
        <v/>
      </c>
      <c r="D61" s="1500"/>
      <c r="E61" s="2149" t="str">
        <f ca="1">+Bioresources!B49</f>
        <v>Bioresources - Line definitions</v>
      </c>
    </row>
  </sheetData>
  <sheetProtection algorithmName="SHA-512" hashValue="DVjvbc+W9XXl8DVsJ/vIIat8iewEaAL3f5wjjZG/1e9h2l/1iMt+2+c6XPzEfuD2hcDMCuJkOIlnS/0aPFQF5g==" saltValue="cWCZWEBL744SXMph9xkpxw==" spinCount="100000" sheet="1" objects="1" scenarios="1"/>
  <mergeCells count="1">
    <mergeCell ref="B5:E5"/>
  </mergeCells>
  <conditionalFormatting sqref="C36:C43 C8:C12 D43 D16 C24:D25 D39:D41 C16:C24">
    <cfRule type="cellIs" dxfId="640" priority="137" operator="equal">
      <formula>"Review validation checks on sheet"</formula>
    </cfRule>
  </conditionalFormatting>
  <conditionalFormatting sqref="C23:D23 C40:D40 C61:D61">
    <cfRule type="expression" dxfId="639" priority="136">
      <formula>$H$3=1</formula>
    </cfRule>
  </conditionalFormatting>
  <conditionalFormatting sqref="D30:D31">
    <cfRule type="cellIs" dxfId="638" priority="127" operator="equal">
      <formula>"Review validation checks on sheet"</formula>
    </cfRule>
  </conditionalFormatting>
  <conditionalFormatting sqref="D22">
    <cfRule type="cellIs" dxfId="637" priority="134" operator="equal">
      <formula>"Review validation checks on sheet"</formula>
    </cfRule>
  </conditionalFormatting>
  <conditionalFormatting sqref="D23">
    <cfRule type="cellIs" dxfId="636" priority="133" operator="equal">
      <formula>"Review validation checks on sheet"</formula>
    </cfRule>
  </conditionalFormatting>
  <conditionalFormatting sqref="D23">
    <cfRule type="expression" dxfId="635" priority="132">
      <formula>$H$3=1</formula>
    </cfRule>
  </conditionalFormatting>
  <conditionalFormatting sqref="C8:D12 C36:D43 C16:D25">
    <cfRule type="containsBlanks" dxfId="634" priority="131">
      <formula>LEN(TRIM(C8))=0</formula>
    </cfRule>
  </conditionalFormatting>
  <conditionalFormatting sqref="D29:D31 C30:D31">
    <cfRule type="cellIs" dxfId="633" priority="128" operator="equal">
      <formula>"Review validation checks on sheet"</formula>
    </cfRule>
  </conditionalFormatting>
  <conditionalFormatting sqref="C29:D31">
    <cfRule type="containsBlanks" dxfId="632" priority="125">
      <formula>LEN(TRIM(C29))=0</formula>
    </cfRule>
    <cfRule type="cellIs" dxfId="631" priority="130" operator="equal">
      <formula>"Review validation checks on sheet"</formula>
    </cfRule>
  </conditionalFormatting>
  <conditionalFormatting sqref="D42">
    <cfRule type="cellIs" dxfId="630" priority="124" operator="equal">
      <formula>"Review validation checks on sheet"</formula>
    </cfRule>
  </conditionalFormatting>
  <conditionalFormatting sqref="D17">
    <cfRule type="cellIs" dxfId="629" priority="123" operator="equal">
      <formula>"Review validation checks on sheet"</formula>
    </cfRule>
  </conditionalFormatting>
  <conditionalFormatting sqref="D17">
    <cfRule type="cellIs" dxfId="628" priority="122" operator="equal">
      <formula>"Review validation checks on sheet"</formula>
    </cfRule>
  </conditionalFormatting>
  <conditionalFormatting sqref="D19">
    <cfRule type="cellIs" dxfId="627" priority="121" operator="equal">
      <formula>"Review validation checks on sheet"</formula>
    </cfRule>
  </conditionalFormatting>
  <conditionalFormatting sqref="D19">
    <cfRule type="cellIs" dxfId="626" priority="120" operator="equal">
      <formula>"Review validation checks on sheet"</formula>
    </cfRule>
  </conditionalFormatting>
  <conditionalFormatting sqref="C25:D25">
    <cfRule type="cellIs" dxfId="625" priority="119" operator="equal">
      <formula>"Review validation checks on sheet"</formula>
    </cfRule>
  </conditionalFormatting>
  <conditionalFormatting sqref="C25:D25">
    <cfRule type="containsBlanks" dxfId="624" priority="118">
      <formula>LEN(TRIM(C25))=0</formula>
    </cfRule>
  </conditionalFormatting>
  <conditionalFormatting sqref="D24">
    <cfRule type="cellIs" dxfId="623" priority="116" operator="equal">
      <formula>"Review validation checks on sheet"</formula>
    </cfRule>
  </conditionalFormatting>
  <conditionalFormatting sqref="D33">
    <cfRule type="cellIs" dxfId="622" priority="114" operator="equal">
      <formula>"Review validation checks on sheet"</formula>
    </cfRule>
  </conditionalFormatting>
  <conditionalFormatting sqref="D33">
    <cfRule type="containsBlanks" dxfId="621" priority="113">
      <formula>LEN(TRIM(D33))=0</formula>
    </cfRule>
  </conditionalFormatting>
  <conditionalFormatting sqref="D33">
    <cfRule type="cellIs" dxfId="620" priority="112" operator="equal">
      <formula>"Review validation checks on sheet"</formula>
    </cfRule>
  </conditionalFormatting>
  <conditionalFormatting sqref="D33">
    <cfRule type="containsBlanks" dxfId="619" priority="111">
      <formula>LEN(TRIM(D33))=0</formula>
    </cfRule>
  </conditionalFormatting>
  <conditionalFormatting sqref="C32:D32">
    <cfRule type="cellIs" dxfId="618" priority="109" operator="equal">
      <formula>"Review validation checks on sheet"</formula>
    </cfRule>
  </conditionalFormatting>
  <conditionalFormatting sqref="D32">
    <cfRule type="cellIs" dxfId="617" priority="108" operator="equal">
      <formula>"Review validation checks on sheet"</formula>
    </cfRule>
  </conditionalFormatting>
  <conditionalFormatting sqref="C32:D32">
    <cfRule type="containsBlanks" dxfId="616" priority="107">
      <formula>LEN(TRIM(C32))=0</formula>
    </cfRule>
    <cfRule type="cellIs" dxfId="615" priority="110" operator="equal">
      <formula>"Review validation checks on sheet"</formula>
    </cfRule>
  </conditionalFormatting>
  <conditionalFormatting sqref="D49:D50 D52:D54 D56">
    <cfRule type="cellIs" dxfId="614" priority="106" operator="equal">
      <formula>"Review validation checks on sheet"</formula>
    </cfRule>
  </conditionalFormatting>
  <conditionalFormatting sqref="D49:D50 D52:D54 D56">
    <cfRule type="containsBlanks" dxfId="613" priority="105">
      <formula>LEN(TRIM(D49))=0</formula>
    </cfRule>
  </conditionalFormatting>
  <conditionalFormatting sqref="D49:D50 D52:D54 D56">
    <cfRule type="cellIs" dxfId="612" priority="104" operator="equal">
      <formula>"Review validation checks on sheet"</formula>
    </cfRule>
  </conditionalFormatting>
  <conditionalFormatting sqref="D49:D50 D52:D54 D56">
    <cfRule type="containsBlanks" dxfId="611" priority="103">
      <formula>LEN(TRIM(D49))=0</formula>
    </cfRule>
  </conditionalFormatting>
  <conditionalFormatting sqref="C44:D44">
    <cfRule type="cellIs" dxfId="610" priority="102" operator="equal">
      <formula>"Review validation checks on sheet"</formula>
    </cfRule>
  </conditionalFormatting>
  <conditionalFormatting sqref="C44:D44">
    <cfRule type="containsBlanks" dxfId="609" priority="101">
      <formula>LEN(TRIM(C44))=0</formula>
    </cfRule>
  </conditionalFormatting>
  <conditionalFormatting sqref="D49:D50 D52:D54 D56">
    <cfRule type="cellIs" dxfId="608" priority="100" operator="equal">
      <formula>"Review validation checks on sheet"</formula>
    </cfRule>
  </conditionalFormatting>
  <conditionalFormatting sqref="D49:D50 D52:D54 D56">
    <cfRule type="containsBlanks" dxfId="607" priority="99">
      <formula>LEN(TRIM(D49))=0</formula>
    </cfRule>
  </conditionalFormatting>
  <conditionalFormatting sqref="C33">
    <cfRule type="cellIs" dxfId="606" priority="92" operator="equal">
      <formula>"Review validation checks on sheet"</formula>
    </cfRule>
  </conditionalFormatting>
  <conditionalFormatting sqref="C33">
    <cfRule type="containsBlanks" dxfId="605" priority="91">
      <formula>LEN(TRIM(C33))=0</formula>
    </cfRule>
  </conditionalFormatting>
  <conditionalFormatting sqref="C33">
    <cfRule type="cellIs" dxfId="604" priority="90" operator="equal">
      <formula>"Review validation checks on sheet"</formula>
    </cfRule>
  </conditionalFormatting>
  <conditionalFormatting sqref="C33">
    <cfRule type="containsBlanks" dxfId="603" priority="89">
      <formula>LEN(TRIM(C33))=0</formula>
    </cfRule>
  </conditionalFormatting>
  <conditionalFormatting sqref="C24">
    <cfRule type="cellIs" dxfId="602" priority="94" operator="equal">
      <formula>"Review validation checks on sheet"</formula>
    </cfRule>
  </conditionalFormatting>
  <conditionalFormatting sqref="C24">
    <cfRule type="containsBlanks" dxfId="601" priority="93">
      <formula>LEN(TRIM(C24))=0</formula>
    </cfRule>
  </conditionalFormatting>
  <conditionalFormatting sqref="C45">
    <cfRule type="cellIs" dxfId="600" priority="82" operator="equal">
      <formula>"Review validation checks on sheet"</formula>
    </cfRule>
  </conditionalFormatting>
  <conditionalFormatting sqref="C45">
    <cfRule type="containsBlanks" dxfId="599" priority="81">
      <formula>LEN(TRIM(C45))=0</formula>
    </cfRule>
  </conditionalFormatting>
  <conditionalFormatting sqref="C46">
    <cfRule type="cellIs" dxfId="598" priority="80" operator="equal">
      <formula>"Review validation checks on sheet"</formula>
    </cfRule>
  </conditionalFormatting>
  <conditionalFormatting sqref="C46">
    <cfRule type="containsBlanks" dxfId="597" priority="79">
      <formula>LEN(TRIM(C46))=0</formula>
    </cfRule>
  </conditionalFormatting>
  <conditionalFormatting sqref="C47">
    <cfRule type="cellIs" dxfId="596" priority="78" operator="equal">
      <formula>"Review validation checks on sheet"</formula>
    </cfRule>
  </conditionalFormatting>
  <conditionalFormatting sqref="C47">
    <cfRule type="containsBlanks" dxfId="595" priority="77">
      <formula>LEN(TRIM(C47))=0</formula>
    </cfRule>
  </conditionalFormatting>
  <conditionalFormatting sqref="C48">
    <cfRule type="cellIs" dxfId="594" priority="76" operator="equal">
      <formula>"Review validation checks on sheet"</formula>
    </cfRule>
  </conditionalFormatting>
  <conditionalFormatting sqref="C48">
    <cfRule type="containsBlanks" dxfId="593" priority="75">
      <formula>LEN(TRIM(C48))=0</formula>
    </cfRule>
  </conditionalFormatting>
  <conditionalFormatting sqref="C49">
    <cfRule type="cellIs" dxfId="592" priority="74" operator="equal">
      <formula>"Review validation checks on sheet"</formula>
    </cfRule>
  </conditionalFormatting>
  <conditionalFormatting sqref="C49">
    <cfRule type="containsBlanks" dxfId="591" priority="73">
      <formula>LEN(TRIM(C49))=0</formula>
    </cfRule>
  </conditionalFormatting>
  <conditionalFormatting sqref="C51">
    <cfRule type="cellIs" dxfId="590" priority="70" operator="equal">
      <formula>"Review validation checks on sheet"</formula>
    </cfRule>
  </conditionalFormatting>
  <conditionalFormatting sqref="C51">
    <cfRule type="containsBlanks" dxfId="589" priority="69">
      <formula>LEN(TRIM(C51))=0</formula>
    </cfRule>
  </conditionalFormatting>
  <conditionalFormatting sqref="C52">
    <cfRule type="cellIs" dxfId="588" priority="68" operator="equal">
      <formula>"Review validation checks on sheet"</formula>
    </cfRule>
  </conditionalFormatting>
  <conditionalFormatting sqref="C52">
    <cfRule type="containsBlanks" dxfId="587" priority="67">
      <formula>LEN(TRIM(C52))=0</formula>
    </cfRule>
  </conditionalFormatting>
  <conditionalFormatting sqref="C53">
    <cfRule type="cellIs" dxfId="586" priority="64" operator="equal">
      <formula>"Review validation checks on sheet"</formula>
    </cfRule>
  </conditionalFormatting>
  <conditionalFormatting sqref="C53">
    <cfRule type="containsBlanks" dxfId="585" priority="63">
      <formula>LEN(TRIM(C53))=0</formula>
    </cfRule>
  </conditionalFormatting>
  <conditionalFormatting sqref="C54">
    <cfRule type="cellIs" dxfId="584" priority="62" operator="equal">
      <formula>"Review validation checks on sheet"</formula>
    </cfRule>
  </conditionalFormatting>
  <conditionalFormatting sqref="C54">
    <cfRule type="containsBlanks" dxfId="583" priority="61">
      <formula>LEN(TRIM(C54))=0</formula>
    </cfRule>
  </conditionalFormatting>
  <conditionalFormatting sqref="C55">
    <cfRule type="cellIs" dxfId="582" priority="60" operator="equal">
      <formula>"Review validation checks on sheet"</formula>
    </cfRule>
  </conditionalFormatting>
  <conditionalFormatting sqref="C55">
    <cfRule type="containsBlanks" dxfId="581" priority="59">
      <formula>LEN(TRIM(C55))=0</formula>
    </cfRule>
  </conditionalFormatting>
  <conditionalFormatting sqref="C56">
    <cfRule type="cellIs" dxfId="580" priority="58" operator="equal">
      <formula>"Review validation checks on sheet"</formula>
    </cfRule>
  </conditionalFormatting>
  <conditionalFormatting sqref="C56">
    <cfRule type="containsBlanks" dxfId="579" priority="57">
      <formula>LEN(TRIM(C56))=0</formula>
    </cfRule>
  </conditionalFormatting>
  <conditionalFormatting sqref="C57">
    <cfRule type="cellIs" dxfId="578" priority="56" operator="equal">
      <formula>"Review validation checks on sheet"</formula>
    </cfRule>
  </conditionalFormatting>
  <conditionalFormatting sqref="C57">
    <cfRule type="containsBlanks" dxfId="577" priority="55">
      <formula>LEN(TRIM(C57))=0</formula>
    </cfRule>
  </conditionalFormatting>
  <conditionalFormatting sqref="C58">
    <cfRule type="cellIs" dxfId="576" priority="54" operator="equal">
      <formula>"Review validation checks on sheet"</formula>
    </cfRule>
  </conditionalFormatting>
  <conditionalFormatting sqref="C58">
    <cfRule type="containsBlanks" dxfId="575" priority="53">
      <formula>LEN(TRIM(C58))=0</formula>
    </cfRule>
  </conditionalFormatting>
  <conditionalFormatting sqref="C61">
    <cfRule type="cellIs" dxfId="574" priority="52" operator="equal">
      <formula>"Review validation checks on sheet"</formula>
    </cfRule>
  </conditionalFormatting>
  <conditionalFormatting sqref="C61:D61">
    <cfRule type="containsBlanks" dxfId="573" priority="51">
      <formula>LEN(TRIM(C61))=0</formula>
    </cfRule>
  </conditionalFormatting>
  <conditionalFormatting sqref="D25">
    <cfRule type="cellIs" dxfId="572" priority="49" operator="equal">
      <formula>"Review validation checks on sheet"</formula>
    </cfRule>
  </conditionalFormatting>
  <conditionalFormatting sqref="D12">
    <cfRule type="cellIs" dxfId="571" priority="47" operator="equal">
      <formula>"Review validation checks on sheet"</formula>
    </cfRule>
  </conditionalFormatting>
  <conditionalFormatting sqref="D12">
    <cfRule type="cellIs" dxfId="570" priority="46" operator="equal">
      <formula>"Review validation checks on sheet"</formula>
    </cfRule>
  </conditionalFormatting>
  <conditionalFormatting sqref="D12">
    <cfRule type="cellIs" dxfId="569" priority="45" operator="equal">
      <formula>"Review validation checks on sheet"</formula>
    </cfRule>
  </conditionalFormatting>
  <conditionalFormatting sqref="D12">
    <cfRule type="cellIs" dxfId="568" priority="44" operator="equal">
      <formula>"Review validation checks on sheet"</formula>
    </cfRule>
  </conditionalFormatting>
  <conditionalFormatting sqref="D12">
    <cfRule type="containsBlanks" dxfId="567" priority="43">
      <formula>LEN(TRIM(D12))=0</formula>
    </cfRule>
  </conditionalFormatting>
  <conditionalFormatting sqref="D12">
    <cfRule type="cellIs" dxfId="566" priority="41" operator="equal">
      <formula>"Review validation checks on sheet"</formula>
    </cfRule>
  </conditionalFormatting>
  <conditionalFormatting sqref="D12">
    <cfRule type="cellIs" dxfId="565" priority="39" operator="equal">
      <formula>"Review validation checks on sheet"</formula>
    </cfRule>
  </conditionalFormatting>
  <conditionalFormatting sqref="D45">
    <cfRule type="cellIs" dxfId="564" priority="38" operator="equal">
      <formula>"Review validation checks on sheet"</formula>
    </cfRule>
  </conditionalFormatting>
  <conditionalFormatting sqref="D45">
    <cfRule type="containsBlanks" dxfId="563" priority="37">
      <formula>LEN(TRIM(D45))=0</formula>
    </cfRule>
  </conditionalFormatting>
  <conditionalFormatting sqref="D46">
    <cfRule type="cellIs" dxfId="562" priority="36" operator="equal">
      <formula>"Review validation checks on sheet"</formula>
    </cfRule>
  </conditionalFormatting>
  <conditionalFormatting sqref="D46">
    <cfRule type="containsBlanks" dxfId="561" priority="35">
      <formula>LEN(TRIM(D46))=0</formula>
    </cfRule>
  </conditionalFormatting>
  <conditionalFormatting sqref="D47">
    <cfRule type="cellIs" dxfId="560" priority="34" operator="equal">
      <formula>"Review validation checks on sheet"</formula>
    </cfRule>
  </conditionalFormatting>
  <conditionalFormatting sqref="D47">
    <cfRule type="containsBlanks" dxfId="559" priority="33">
      <formula>LEN(TRIM(D47))=0</formula>
    </cfRule>
  </conditionalFormatting>
  <conditionalFormatting sqref="D48">
    <cfRule type="cellIs" dxfId="558" priority="32" operator="equal">
      <formula>"Review validation checks on sheet"</formula>
    </cfRule>
  </conditionalFormatting>
  <conditionalFormatting sqref="D48">
    <cfRule type="containsBlanks" dxfId="557" priority="31">
      <formula>LEN(TRIM(D48))=0</formula>
    </cfRule>
  </conditionalFormatting>
  <conditionalFormatting sqref="D51">
    <cfRule type="cellIs" dxfId="556" priority="30" operator="equal">
      <formula>"Review validation checks on sheet"</formula>
    </cfRule>
  </conditionalFormatting>
  <conditionalFormatting sqref="D51">
    <cfRule type="containsBlanks" dxfId="555" priority="29">
      <formula>LEN(TRIM(D51))=0</formula>
    </cfRule>
  </conditionalFormatting>
  <conditionalFormatting sqref="D55">
    <cfRule type="cellIs" dxfId="554" priority="28" operator="equal">
      <formula>"Review validation checks on sheet"</formula>
    </cfRule>
  </conditionalFormatting>
  <conditionalFormatting sqref="D55">
    <cfRule type="containsBlanks" dxfId="553" priority="27">
      <formula>LEN(TRIM(D55))=0</formula>
    </cfRule>
  </conditionalFormatting>
  <conditionalFormatting sqref="D57">
    <cfRule type="cellIs" dxfId="552" priority="26" operator="equal">
      <formula>"Review validation checks on sheet"</formula>
    </cfRule>
  </conditionalFormatting>
  <conditionalFormatting sqref="D57">
    <cfRule type="containsBlanks" dxfId="551" priority="25">
      <formula>LEN(TRIM(D57))=0</formula>
    </cfRule>
  </conditionalFormatting>
  <conditionalFormatting sqref="D58">
    <cfRule type="cellIs" dxfId="550" priority="24" operator="equal">
      <formula>"Review validation checks on sheet"</formula>
    </cfRule>
  </conditionalFormatting>
  <conditionalFormatting sqref="D58">
    <cfRule type="containsBlanks" dxfId="549" priority="23">
      <formula>LEN(TRIM(D58))=0</formula>
    </cfRule>
  </conditionalFormatting>
  <conditionalFormatting sqref="C50">
    <cfRule type="cellIs" dxfId="548" priority="22" operator="equal">
      <formula>"Review validation checks on sheet"</formula>
    </cfRule>
  </conditionalFormatting>
  <conditionalFormatting sqref="C50">
    <cfRule type="containsBlanks" dxfId="547" priority="21">
      <formula>LEN(TRIM(C50))=0</formula>
    </cfRule>
  </conditionalFormatting>
  <conditionalFormatting sqref="C50">
    <cfRule type="cellIs" dxfId="546" priority="20" operator="equal">
      <formula>"Review validation checks on sheet"</formula>
    </cfRule>
  </conditionalFormatting>
  <conditionalFormatting sqref="C50">
    <cfRule type="containsBlanks" dxfId="545" priority="19">
      <formula>LEN(TRIM(C50))=0</formula>
    </cfRule>
  </conditionalFormatting>
  <conditionalFormatting sqref="C50">
    <cfRule type="cellIs" dxfId="544" priority="18" operator="equal">
      <formula>"Review validation checks on sheet"</formula>
    </cfRule>
  </conditionalFormatting>
  <conditionalFormatting sqref="C50">
    <cfRule type="containsBlanks" dxfId="543" priority="17">
      <formula>LEN(TRIM(C50))=0</formula>
    </cfRule>
  </conditionalFormatting>
  <conditionalFormatting sqref="C13">
    <cfRule type="cellIs" dxfId="542" priority="16" operator="equal">
      <formula>"Review validation checks on sheet"</formula>
    </cfRule>
  </conditionalFormatting>
  <conditionalFormatting sqref="C13">
    <cfRule type="containsBlanks" dxfId="541" priority="15">
      <formula>LEN(TRIM(C13))=0</formula>
    </cfRule>
  </conditionalFormatting>
  <conditionalFormatting sqref="C26">
    <cfRule type="cellIs" dxfId="540" priority="6" operator="equal">
      <formula>"Review validation checks on sheet"</formula>
    </cfRule>
  </conditionalFormatting>
  <conditionalFormatting sqref="C26">
    <cfRule type="cellIs" dxfId="539" priority="4" operator="equal">
      <formula>"Review validation checks on sheet"</formula>
    </cfRule>
  </conditionalFormatting>
  <conditionalFormatting sqref="C26">
    <cfRule type="containsBlanks" dxfId="538" priority="3">
      <formula>LEN(TRIM(C26))=0</formula>
    </cfRule>
  </conditionalFormatting>
  <conditionalFormatting sqref="D13">
    <cfRule type="containsBlanks" dxfId="537" priority="7">
      <formula>LEN(TRIM(D13))=0</formula>
    </cfRule>
  </conditionalFormatting>
  <conditionalFormatting sqref="C26">
    <cfRule type="containsBlanks" dxfId="536" priority="5">
      <formula>LEN(TRIM(C26))=0</formula>
    </cfRule>
  </conditionalFormatting>
  <conditionalFormatting sqref="D26">
    <cfRule type="containsBlanks" dxfId="535" priority="1">
      <formula>LEN(TRIM(D26))=0</formula>
    </cfRule>
  </conditionalFormatting>
  <hyperlinks>
    <hyperlink ref="B8" location="'1A'!B1" display="A1 - table name" xr:uid="{00000000-0004-0000-0100-000000000000}"/>
    <hyperlink ref="B9" location="'1B'!B1" display="'1B'!B1" xr:uid="{00000000-0004-0000-0100-000001000000}"/>
    <hyperlink ref="B10" location="'1C'!B1" display="'1C'!B1" xr:uid="{00000000-0004-0000-0100-000002000000}"/>
    <hyperlink ref="B11" location="'1D'!B1" display="'1D'!B1" xr:uid="{00000000-0004-0000-0100-000003000000}"/>
    <hyperlink ref="B12" location="'1E'!B1" display="'1E'!B1" xr:uid="{00000000-0004-0000-0100-000004000000}"/>
    <hyperlink ref="B16" location="'2A'!B1" display="'2A'!B1" xr:uid="{00000000-0004-0000-0100-000005000000}"/>
    <hyperlink ref="B17" location="'2B'!B1" display="'2B'!B1" xr:uid="{00000000-0004-0000-0100-000006000000}"/>
    <hyperlink ref="B18" location="'2C'!B1" display="'2C'!B1" xr:uid="{00000000-0004-0000-0100-000007000000}"/>
    <hyperlink ref="B19" location="'2D'!B1" display="'2D'!B1" xr:uid="{00000000-0004-0000-0100-000008000000}"/>
    <hyperlink ref="B20" location="'2E'!B1" display="'2E'!B1" xr:uid="{00000000-0004-0000-0100-000009000000}"/>
    <hyperlink ref="B21" location="'2F'!B1" display="'2F'!B1" xr:uid="{00000000-0004-0000-0100-00000A000000}"/>
    <hyperlink ref="B22" location="'2G'!B1" display="'2G'!B1" xr:uid="{00000000-0004-0000-0100-00000B000000}"/>
    <hyperlink ref="B23" location="'2H'!B1" display="'2H'!B1" xr:uid="{00000000-0004-0000-0100-00000C000000}"/>
    <hyperlink ref="B24" location="'2I'!B1" display="'2I'!B1" xr:uid="{00000000-0004-0000-0100-00000D000000}"/>
    <hyperlink ref="B29" location="'3A'!B1" display="'3A'!B1" xr:uid="{00000000-0004-0000-0100-00000E000000}"/>
    <hyperlink ref="B36" location="'4A'!B1" display="'4A'!B1" xr:uid="{00000000-0004-0000-0100-00000F000000}"/>
    <hyperlink ref="B37" location="'4B'!B1" display="'4B'!B1" xr:uid="{00000000-0004-0000-0100-000010000000}"/>
    <hyperlink ref="B38" location="'4C'!B1" display="'4C'!B1" xr:uid="{00000000-0004-0000-0100-000011000000}"/>
    <hyperlink ref="B39" location="'4D'!B1" display="'4D'!B1" xr:uid="{00000000-0004-0000-0100-000012000000}"/>
    <hyperlink ref="B40" location="'4E'!B1" display="'4E'!B1" xr:uid="{00000000-0004-0000-0100-000013000000}"/>
    <hyperlink ref="B41" location="'4F'!B1" display="'4F'!B1" xr:uid="{00000000-0004-0000-0100-000014000000}"/>
    <hyperlink ref="B42" location="'4G'!B1" display="'4G'!B1" xr:uid="{00000000-0004-0000-0100-000015000000}"/>
    <hyperlink ref="B43" location="'4H'!B1" display="'4H'!B1" xr:uid="{00000000-0004-0000-0100-000016000000}"/>
    <hyperlink ref="B44" location="'4I'!B1" display="'4I'!B1" xr:uid="{00000000-0004-0000-0100-000017000000}"/>
    <hyperlink ref="B30" location="'3B'!B1" display="'3B'!B1" xr:uid="{00000000-0004-0000-0100-000018000000}"/>
    <hyperlink ref="B31" location="'3C'!B1" display="'3C'!B1" xr:uid="{00000000-0004-0000-0100-000019000000}"/>
    <hyperlink ref="B32" location="'3D'!B1" display="'3D'!B1" xr:uid="{00000000-0004-0000-0100-00001A000000}"/>
    <hyperlink ref="B25" location="'2J'!B1" display="'2J'!B1" xr:uid="{00000000-0004-0000-0100-00001B000000}"/>
    <hyperlink ref="B45" location="'4J'!Print_Area" display="'4J'!Print_Area" xr:uid="{00000000-0004-0000-0100-00001C000000}"/>
    <hyperlink ref="B46" location="'4K'!B1" display="'4K'!B1" xr:uid="{00000000-0004-0000-0100-00001D000000}"/>
    <hyperlink ref="B47" location="'4L'!B1" display="'4L'!B1" xr:uid="{00000000-0004-0000-0100-00001E000000}"/>
    <hyperlink ref="B48" location="'4M'!B1" display="'4M'!B1" xr:uid="{00000000-0004-0000-0100-00001F000000}"/>
    <hyperlink ref="B49" location="'4N'!B1" display="'4N'!B1" xr:uid="{00000000-0004-0000-0100-000020000000}"/>
    <hyperlink ref="B50" location="'4O'!B1" display="'4O'!B1" xr:uid="{00000000-0004-0000-0100-000021000000}"/>
    <hyperlink ref="B51" location="'4P'!B1" display="'4P'!B1" xr:uid="{00000000-0004-0000-0100-000022000000}"/>
    <hyperlink ref="B52" location="'4Q'!B1" display="'4Q'!B1" xr:uid="{00000000-0004-0000-0100-000023000000}"/>
    <hyperlink ref="B53" location="'4R'!B1" display="'4R'!B1" xr:uid="{00000000-0004-0000-0100-000024000000}"/>
    <hyperlink ref="B54" location="'4S'!B1" display="'4S'!B1" xr:uid="{00000000-0004-0000-0100-000025000000}"/>
    <hyperlink ref="B55" location="'4T'!B1" display="'4T'!B1" xr:uid="{00000000-0004-0000-0100-000026000000}"/>
    <hyperlink ref="B56" location="'4U'!B1" display="'4U'!B1" xr:uid="{00000000-0004-0000-0100-000027000000}"/>
    <hyperlink ref="B57" location="'4V'!B1" display="'4V'!B1" xr:uid="{00000000-0004-0000-0100-000028000000}"/>
    <hyperlink ref="B58" location="'4W'!B1" display="'4W'!B1" xr:uid="{00000000-0004-0000-0100-000029000000}"/>
    <hyperlink ref="B61" location="'4A'!B1" display="'4A'!B1" xr:uid="{00000000-0004-0000-0100-00002A000000}"/>
    <hyperlink ref="E33" location="'3S'!B79" display="'3S'!B79" xr:uid="{00000000-0004-0000-0100-00002B000000}"/>
    <hyperlink ref="B13" location="'1E'!B1" display="'1E'!B1" xr:uid="{00000000-0004-0000-0100-00002C000000}"/>
    <hyperlink ref="B26" location="'2J'!B1" display="'2J'!B1" xr:uid="{00000000-0004-0000-0100-00002D000000}"/>
    <hyperlink ref="E61" location="Bioresources!B49" display="Bioresources!B49" xr:uid="{00000000-0004-0000-0100-00002E000000}"/>
  </hyperlinks>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Lists!$B$4:$B$26</xm:f>
          </x14:formula1>
          <xm:sqref>B3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92D050"/>
    <pageSetUpPr fitToPage="1"/>
  </sheetPr>
  <dimension ref="A1:AH39"/>
  <sheetViews>
    <sheetView workbookViewId="0">
      <selection activeCell="B1" sqref="B1:H16"/>
    </sheetView>
  </sheetViews>
  <sheetFormatPr defaultColWidth="0" defaultRowHeight="14" zeroHeight="1"/>
  <cols>
    <col min="1" max="1" width="0.58203125" style="74" customWidth="1"/>
    <col min="2" max="2" width="4.08203125" style="74" customWidth="1"/>
    <col min="3" max="3" width="55.08203125" style="74" customWidth="1"/>
    <col min="4" max="4" width="5.58203125" style="74" hidden="1" customWidth="1"/>
    <col min="5" max="6" width="5.08203125" style="74" customWidth="1"/>
    <col min="7" max="8" width="16.58203125" style="74" customWidth="1"/>
    <col min="9" max="9" width="2.58203125" style="70" customWidth="1"/>
    <col min="10" max="10" width="32.58203125" style="70" customWidth="1"/>
    <col min="11" max="11" width="27.25" style="70" customWidth="1"/>
    <col min="12" max="12" width="1.58203125" style="70" customWidth="1"/>
    <col min="13" max="13" width="1.58203125" style="71" hidden="1" customWidth="1"/>
    <col min="14" max="15" width="11.58203125" style="70" hidden="1" customWidth="1"/>
    <col min="16" max="16" width="1.58203125" style="71" hidden="1" customWidth="1"/>
    <col min="17" max="17" width="8.58203125" style="74" hidden="1" customWidth="1"/>
    <col min="18" max="18" width="1.58203125" style="71" hidden="1" customWidth="1"/>
    <col min="19" max="20" width="8.58203125" style="74" hidden="1" customWidth="1"/>
    <col min="21" max="21" width="81.58203125" style="74" hidden="1" customWidth="1"/>
    <col min="22" max="22" width="1.58203125" style="71" hidden="1" customWidth="1"/>
    <col min="23" max="25" width="0" style="74" hidden="1" customWidth="1"/>
    <col min="26" max="26" width="8" style="74" customWidth="1"/>
    <col min="27" max="27" width="4.08203125" style="74" customWidth="1"/>
    <col min="28" max="28" width="55.08203125" style="74" customWidth="1"/>
    <col min="29" max="29" width="5.58203125" style="74" hidden="1" customWidth="1"/>
    <col min="30" max="31" width="5.08203125" style="74" customWidth="1"/>
    <col min="32" max="33" width="16.58203125" style="74" customWidth="1"/>
    <col min="34" max="34" width="2.33203125" style="74" customWidth="1"/>
    <col min="35" max="16384" width="8" style="74" hidden="1"/>
  </cols>
  <sheetData>
    <row r="1" spans="2:33" s="483" customFormat="1" ht="20">
      <c r="B1" s="66" t="s">
        <v>2219</v>
      </c>
      <c r="C1" s="66"/>
      <c r="D1" s="66"/>
      <c r="E1" s="66"/>
      <c r="F1" s="66"/>
      <c r="G1" s="66"/>
      <c r="H1" s="68" t="str">
        <f>Validation!B3</f>
        <v>Bristol Water</v>
      </c>
      <c r="I1" s="66"/>
      <c r="J1" s="66"/>
      <c r="K1" s="69" t="s">
        <v>32</v>
      </c>
      <c r="L1" s="70"/>
      <c r="M1" s="71"/>
      <c r="N1" s="70"/>
      <c r="O1" s="70"/>
      <c r="P1" s="71"/>
      <c r="Q1" s="70"/>
      <c r="R1" s="71"/>
      <c r="V1" s="71"/>
      <c r="AA1" s="66" t="s">
        <v>33</v>
      </c>
      <c r="AB1" s="66"/>
      <c r="AC1" s="66"/>
      <c r="AD1" s="66"/>
      <c r="AE1" s="66"/>
      <c r="AF1" s="66"/>
      <c r="AG1" s="68"/>
    </row>
    <row r="2" spans="2:33" ht="15" customHeight="1" thickBot="1">
      <c r="B2" s="73" t="str">
        <f>'2I'!B2</f>
        <v>For the 12 months ended 31 March 2020</v>
      </c>
      <c r="C2" s="257"/>
      <c r="D2" s="257"/>
      <c r="Q2" s="70"/>
      <c r="AA2" s="73" t="str">
        <f>+B2</f>
        <v>For the 12 months ended 31 March 2020</v>
      </c>
      <c r="AB2" s="257"/>
      <c r="AC2" s="257"/>
    </row>
    <row r="3" spans="2:33" ht="35" thickBot="1">
      <c r="B3" s="3006" t="s">
        <v>34</v>
      </c>
      <c r="C3" s="3007"/>
      <c r="D3" s="2846" t="s">
        <v>35</v>
      </c>
      <c r="E3" s="376" t="s">
        <v>36</v>
      </c>
      <c r="F3" s="377" t="s">
        <v>37</v>
      </c>
      <c r="G3" s="296" t="s">
        <v>2220</v>
      </c>
      <c r="H3" s="307" t="s">
        <v>2221</v>
      </c>
      <c r="J3" s="186" t="s">
        <v>703</v>
      </c>
      <c r="K3" s="2824" t="s">
        <v>41</v>
      </c>
      <c r="N3" s="2909" t="s">
        <v>45</v>
      </c>
      <c r="O3" s="2909"/>
      <c r="Q3" s="2822" t="s">
        <v>24</v>
      </c>
      <c r="S3" s="2822" t="s">
        <v>902</v>
      </c>
      <c r="T3" s="2822"/>
      <c r="U3" s="2822"/>
      <c r="AA3" s="3006" t="s">
        <v>34</v>
      </c>
      <c r="AB3" s="3007"/>
      <c r="AC3" s="2846" t="s">
        <v>35</v>
      </c>
      <c r="AD3" s="376" t="s">
        <v>36</v>
      </c>
      <c r="AE3" s="377" t="s">
        <v>37</v>
      </c>
      <c r="AF3" s="296" t="s">
        <v>2220</v>
      </c>
      <c r="AG3" s="307" t="s">
        <v>2221</v>
      </c>
    </row>
    <row r="4" spans="2:33" ht="14.5" thickBot="1">
      <c r="C4" s="330"/>
      <c r="D4" s="330"/>
      <c r="Q4" s="2855"/>
      <c r="S4" s="2855"/>
      <c r="T4" s="2855"/>
      <c r="U4" s="2855"/>
      <c r="AB4" s="330"/>
      <c r="AC4" s="330"/>
    </row>
    <row r="5" spans="2:33" ht="14.5" thickBot="1">
      <c r="B5" s="2883" t="s">
        <v>153</v>
      </c>
      <c r="C5" s="83" t="s">
        <v>2222</v>
      </c>
      <c r="D5" s="1473"/>
      <c r="E5" s="262"/>
      <c r="F5" s="262"/>
      <c r="H5" s="262"/>
      <c r="N5" s="164" t="s">
        <v>46</v>
      </c>
      <c r="O5" s="127"/>
      <c r="Q5" s="483"/>
      <c r="AA5" s="2883" t="s">
        <v>153</v>
      </c>
      <c r="AB5" s="83" t="s">
        <v>2222</v>
      </c>
      <c r="AC5" s="1473"/>
      <c r="AD5" s="262"/>
      <c r="AE5" s="262"/>
      <c r="AG5" s="262"/>
    </row>
    <row r="6" spans="2:33" ht="15" customHeight="1">
      <c r="B6" s="288" t="s">
        <v>2223</v>
      </c>
      <c r="C6" s="273" t="s">
        <v>2224</v>
      </c>
      <c r="D6" s="273"/>
      <c r="E6" s="300" t="s">
        <v>49</v>
      </c>
      <c r="F6" s="275">
        <v>3</v>
      </c>
      <c r="G6" s="438">
        <v>0.79700000000000004</v>
      </c>
      <c r="H6" s="822">
        <v>0</v>
      </c>
      <c r="K6" s="24">
        <f xml:space="preserve"> IF( SUM( M6:P6 ) = 0, 0, N$5 )</f>
        <v>0</v>
      </c>
      <c r="N6" s="93">
        <f t="shared" ref="N6:O8" si="0" xml:space="preserve"> IF( ISNUMBER( G6 ), 0, 1 )</f>
        <v>0</v>
      </c>
      <c r="O6" s="93">
        <f t="shared" si="0"/>
        <v>0</v>
      </c>
      <c r="Q6" s="483"/>
      <c r="AA6" s="288" t="s">
        <v>2223</v>
      </c>
      <c r="AB6" s="273" t="s">
        <v>2224</v>
      </c>
      <c r="AC6" s="273"/>
      <c r="AD6" s="300" t="s">
        <v>49</v>
      </c>
      <c r="AE6" s="275">
        <v>3</v>
      </c>
      <c r="AF6" s="2469" t="s">
        <v>2225</v>
      </c>
      <c r="AG6" s="2477" t="s">
        <v>2226</v>
      </c>
    </row>
    <row r="7" spans="2:33" ht="15" customHeight="1">
      <c r="B7" s="289" t="s">
        <v>2227</v>
      </c>
      <c r="C7" s="277" t="s">
        <v>2228</v>
      </c>
      <c r="D7" s="277"/>
      <c r="E7" s="301" t="s">
        <v>49</v>
      </c>
      <c r="F7" s="279">
        <v>3</v>
      </c>
      <c r="G7" s="440">
        <v>0.32900000000000001</v>
      </c>
      <c r="H7" s="823">
        <v>0</v>
      </c>
      <c r="K7" s="24">
        <f xml:space="preserve"> IF( SUM( M7:P7 ) = 0, 0, N$5 )</f>
        <v>0</v>
      </c>
      <c r="N7" s="93">
        <f t="shared" si="0"/>
        <v>0</v>
      </c>
      <c r="O7" s="93">
        <f t="shared" si="0"/>
        <v>0</v>
      </c>
      <c r="Q7" s="483"/>
      <c r="AA7" s="289" t="s">
        <v>2227</v>
      </c>
      <c r="AB7" s="277" t="s">
        <v>2228</v>
      </c>
      <c r="AC7" s="277"/>
      <c r="AD7" s="301" t="s">
        <v>49</v>
      </c>
      <c r="AE7" s="279">
        <v>3</v>
      </c>
      <c r="AF7" s="2192" t="s">
        <v>2229</v>
      </c>
      <c r="AG7" s="2253" t="s">
        <v>2230</v>
      </c>
    </row>
    <row r="8" spans="2:33" ht="15" customHeight="1">
      <c r="B8" s="289" t="s">
        <v>2231</v>
      </c>
      <c r="C8" s="277" t="s">
        <v>29</v>
      </c>
      <c r="D8" s="277"/>
      <c r="E8" s="301" t="s">
        <v>49</v>
      </c>
      <c r="F8" s="279">
        <v>3</v>
      </c>
      <c r="G8" s="440">
        <v>0</v>
      </c>
      <c r="H8" s="823">
        <v>0</v>
      </c>
      <c r="K8" s="24">
        <f xml:space="preserve"> IF( SUM( M8:P8 ) = 0, 0, N$5 )</f>
        <v>0</v>
      </c>
      <c r="N8" s="93">
        <f t="shared" si="0"/>
        <v>0</v>
      </c>
      <c r="O8" s="93">
        <f t="shared" si="0"/>
        <v>0</v>
      </c>
      <c r="Q8" s="483"/>
      <c r="AA8" s="289" t="s">
        <v>2231</v>
      </c>
      <c r="AB8" s="277" t="s">
        <v>29</v>
      </c>
      <c r="AC8" s="277"/>
      <c r="AD8" s="301" t="s">
        <v>49</v>
      </c>
      <c r="AE8" s="279">
        <v>3</v>
      </c>
      <c r="AF8" s="2192" t="s">
        <v>2232</v>
      </c>
      <c r="AG8" s="2253" t="s">
        <v>2233</v>
      </c>
    </row>
    <row r="9" spans="2:33" ht="29.25" customHeight="1" thickBot="1">
      <c r="B9" s="290" t="s">
        <v>2234</v>
      </c>
      <c r="C9" s="282" t="s">
        <v>708</v>
      </c>
      <c r="D9" s="282"/>
      <c r="E9" s="283" t="s">
        <v>49</v>
      </c>
      <c r="F9" s="284">
        <v>3</v>
      </c>
      <c r="G9" s="333">
        <f>SUM(G6:G8)</f>
        <v>1.1260000000000001</v>
      </c>
      <c r="H9" s="335">
        <f t="shared" ref="H9" si="1">SUM(H6:H8)</f>
        <v>0</v>
      </c>
      <c r="J9" s="1339">
        <f xml:space="preserve"> IF( SUM( P9:R9 ) = 0, 0, U9 )</f>
        <v>0</v>
      </c>
      <c r="K9" s="109"/>
      <c r="N9" s="280"/>
      <c r="O9" s="110"/>
      <c r="Q9" s="93">
        <f xml:space="preserve"> IF( (S9 - T9) = 0, 0, 1 )</f>
        <v>0</v>
      </c>
      <c r="R9" s="119"/>
      <c r="S9" s="165">
        <f xml:space="preserve"> G9</f>
        <v>1.1260000000000001</v>
      </c>
      <c r="T9" s="165">
        <f>'4D'!L25</f>
        <v>1.1260000000000001</v>
      </c>
      <c r="U9" s="1522" t="s">
        <v>2235</v>
      </c>
      <c r="AA9" s="290" t="s">
        <v>2234</v>
      </c>
      <c r="AB9" s="282" t="s">
        <v>708</v>
      </c>
      <c r="AC9" s="282"/>
      <c r="AD9" s="283" t="s">
        <v>49</v>
      </c>
      <c r="AE9" s="284">
        <v>3</v>
      </c>
      <c r="AF9" s="333" t="s">
        <v>2236</v>
      </c>
      <c r="AG9" s="335" t="s">
        <v>2237</v>
      </c>
    </row>
    <row r="10" spans="2:33" ht="14.5" thickBot="1">
      <c r="B10" s="336"/>
      <c r="C10" s="267"/>
      <c r="D10" s="267"/>
      <c r="E10" s="269"/>
      <c r="F10" s="269"/>
      <c r="G10" s="337"/>
      <c r="H10" s="337"/>
      <c r="K10" s="109"/>
      <c r="N10" s="280"/>
      <c r="O10" s="110"/>
      <c r="Q10" s="483"/>
      <c r="AA10" s="336"/>
      <c r="AB10" s="267"/>
      <c r="AC10" s="267"/>
      <c r="AD10" s="269"/>
      <c r="AE10" s="269"/>
      <c r="AF10" s="337"/>
      <c r="AG10" s="337"/>
    </row>
    <row r="11" spans="2:33" ht="14.5" thickBot="1">
      <c r="B11" s="2883" t="s">
        <v>175</v>
      </c>
      <c r="C11" s="114" t="s">
        <v>2238</v>
      </c>
      <c r="D11" s="1473"/>
      <c r="E11" s="299"/>
      <c r="F11" s="299"/>
      <c r="G11" s="270"/>
      <c r="H11" s="270"/>
      <c r="K11" s="109"/>
      <c r="N11" s="280"/>
      <c r="O11" s="110"/>
      <c r="Q11" s="483"/>
      <c r="AA11" s="2883" t="s">
        <v>175</v>
      </c>
      <c r="AB11" s="114" t="s">
        <v>2238</v>
      </c>
      <c r="AC11" s="1473"/>
      <c r="AD11" s="299"/>
      <c r="AE11" s="299"/>
      <c r="AF11" s="270"/>
      <c r="AG11" s="270"/>
    </row>
    <row r="12" spans="2:33" ht="15" customHeight="1">
      <c r="B12" s="288" t="s">
        <v>2239</v>
      </c>
      <c r="C12" s="273" t="s">
        <v>2240</v>
      </c>
      <c r="D12" s="273"/>
      <c r="E12" s="300" t="s">
        <v>49</v>
      </c>
      <c r="F12" s="275">
        <v>3</v>
      </c>
      <c r="G12" s="438"/>
      <c r="H12" s="822"/>
      <c r="K12" s="24">
        <f xml:space="preserve"> IF( SUM( M12:P12 ) = 0, 0, N$5 )</f>
        <v>0</v>
      </c>
      <c r="N12" s="93">
        <f>IF(Validation!$H$3=1,0,IF(ISNUMBER(G12),0,1))</f>
        <v>0</v>
      </c>
      <c r="O12" s="93">
        <f>IF(Validation!$H$3=1,0,IF(ISNUMBER(H12),0,1))</f>
        <v>0</v>
      </c>
      <c r="Q12" s="483"/>
      <c r="AA12" s="288" t="s">
        <v>2239</v>
      </c>
      <c r="AB12" s="273" t="s">
        <v>2240</v>
      </c>
      <c r="AC12" s="273"/>
      <c r="AD12" s="300" t="s">
        <v>49</v>
      </c>
      <c r="AE12" s="275">
        <v>3</v>
      </c>
      <c r="AF12" s="2469" t="s">
        <v>2241</v>
      </c>
      <c r="AG12" s="2477" t="s">
        <v>2242</v>
      </c>
    </row>
    <row r="13" spans="2:33" ht="15" customHeight="1">
      <c r="B13" s="289" t="s">
        <v>2243</v>
      </c>
      <c r="C13" s="277" t="s">
        <v>2244</v>
      </c>
      <c r="D13" s="277"/>
      <c r="E13" s="301" t="s">
        <v>49</v>
      </c>
      <c r="F13" s="279">
        <v>3</v>
      </c>
      <c r="G13" s="440"/>
      <c r="H13" s="823"/>
      <c r="K13" s="24">
        <f xml:space="preserve"> IF( SUM( M13:P13 ) = 0, 0, N$5 )</f>
        <v>0</v>
      </c>
      <c r="N13" s="93">
        <f>IF(Validation!$H$3=1,0,IF(ISNUMBER(G13),0,1))</f>
        <v>0</v>
      </c>
      <c r="O13" s="93">
        <f>IF(Validation!$H$3=1,0,IF(ISNUMBER(H13),0,1))</f>
        <v>0</v>
      </c>
      <c r="Q13" s="483"/>
      <c r="AA13" s="289" t="s">
        <v>2243</v>
      </c>
      <c r="AB13" s="277" t="s">
        <v>2244</v>
      </c>
      <c r="AC13" s="277"/>
      <c r="AD13" s="301" t="s">
        <v>49</v>
      </c>
      <c r="AE13" s="279">
        <v>3</v>
      </c>
      <c r="AF13" s="2192" t="s">
        <v>2245</v>
      </c>
      <c r="AG13" s="2253" t="s">
        <v>2246</v>
      </c>
    </row>
    <row r="14" spans="2:33" ht="15" customHeight="1">
      <c r="B14" s="289" t="s">
        <v>2247</v>
      </c>
      <c r="C14" s="277" t="s">
        <v>2228</v>
      </c>
      <c r="D14" s="277"/>
      <c r="E14" s="301" t="s">
        <v>49</v>
      </c>
      <c r="F14" s="279">
        <v>3</v>
      </c>
      <c r="G14" s="440"/>
      <c r="H14" s="823"/>
      <c r="K14" s="24">
        <f xml:space="preserve"> IF( SUM( M14:P14 ) = 0, 0, N$5 )</f>
        <v>0</v>
      </c>
      <c r="N14" s="93">
        <f>IF(Validation!$H$3=1,0,IF(ISNUMBER(G14),0,1))</f>
        <v>0</v>
      </c>
      <c r="O14" s="93">
        <f>IF(Validation!$H$3=1,0,IF(ISNUMBER(H14),0,1))</f>
        <v>0</v>
      </c>
      <c r="Q14" s="483"/>
      <c r="AA14" s="289" t="s">
        <v>2247</v>
      </c>
      <c r="AB14" s="277" t="s">
        <v>2228</v>
      </c>
      <c r="AC14" s="277"/>
      <c r="AD14" s="301" t="s">
        <v>49</v>
      </c>
      <c r="AE14" s="279">
        <v>3</v>
      </c>
      <c r="AF14" s="2192" t="s">
        <v>2248</v>
      </c>
      <c r="AG14" s="2253" t="s">
        <v>2249</v>
      </c>
    </row>
    <row r="15" spans="2:33" ht="15" customHeight="1">
      <c r="B15" s="629" t="s">
        <v>2250</v>
      </c>
      <c r="C15" s="277" t="s">
        <v>29</v>
      </c>
      <c r="D15" s="277"/>
      <c r="E15" s="301" t="s">
        <v>49</v>
      </c>
      <c r="F15" s="279">
        <v>3</v>
      </c>
      <c r="G15" s="824"/>
      <c r="H15" s="825"/>
      <c r="K15" s="24">
        <f xml:space="preserve"> IF( SUM( M15:P15 ) = 0, 0, N$5 )</f>
        <v>0</v>
      </c>
      <c r="N15" s="93">
        <f>IF(Validation!$H$3=1,0,IF(ISNUMBER(G15),0,1))</f>
        <v>0</v>
      </c>
      <c r="O15" s="93">
        <f>IF(Validation!$H$3=1,0,IF(ISNUMBER(H15),0,1))</f>
        <v>0</v>
      </c>
      <c r="AA15" s="629" t="s">
        <v>2250</v>
      </c>
      <c r="AB15" s="277" t="s">
        <v>29</v>
      </c>
      <c r="AC15" s="277"/>
      <c r="AD15" s="301" t="s">
        <v>49</v>
      </c>
      <c r="AE15" s="279">
        <v>3</v>
      </c>
      <c r="AF15" s="2476" t="s">
        <v>2251</v>
      </c>
      <c r="AG15" s="2478" t="s">
        <v>2252</v>
      </c>
    </row>
    <row r="16" spans="2:33" ht="29.25" customHeight="1" thickBot="1">
      <c r="B16" s="290" t="s">
        <v>2253</v>
      </c>
      <c r="C16" s="282" t="s">
        <v>708</v>
      </c>
      <c r="D16" s="282"/>
      <c r="E16" s="283" t="s">
        <v>49</v>
      </c>
      <c r="F16" s="284">
        <v>3</v>
      </c>
      <c r="G16" s="333">
        <f xml:space="preserve"> SUM(G12:G15)</f>
        <v>0</v>
      </c>
      <c r="H16" s="335">
        <f xml:space="preserve"> SUM(H12:H15)</f>
        <v>0</v>
      </c>
      <c r="J16" s="1339">
        <f xml:space="preserve"> IF( SUM( P16:R16 ) = 0, 0, U16 )</f>
        <v>0</v>
      </c>
      <c r="K16" s="120"/>
      <c r="N16" s="280"/>
      <c r="O16" s="110"/>
      <c r="Q16" s="93">
        <f xml:space="preserve"> IF( (S16 - T16) = 0, 0, 1 )</f>
        <v>0</v>
      </c>
      <c r="R16" s="119"/>
      <c r="S16" s="165">
        <f xml:space="preserve"> G16</f>
        <v>0</v>
      </c>
      <c r="T16" s="165">
        <f>SUM('4E'!G25:I25)</f>
        <v>0</v>
      </c>
      <c r="U16" s="1522" t="s">
        <v>2254</v>
      </c>
      <c r="AA16" s="290" t="s">
        <v>2253</v>
      </c>
      <c r="AB16" s="282" t="s">
        <v>708</v>
      </c>
      <c r="AC16" s="282"/>
      <c r="AD16" s="283" t="s">
        <v>49</v>
      </c>
      <c r="AE16" s="284">
        <v>3</v>
      </c>
      <c r="AF16" s="333" t="s">
        <v>2255</v>
      </c>
      <c r="AG16" s="335" t="s">
        <v>2256</v>
      </c>
    </row>
    <row r="17" spans="1:33">
      <c r="B17" s="336"/>
      <c r="C17" s="267"/>
      <c r="D17" s="267"/>
      <c r="E17" s="269"/>
      <c r="F17" s="269"/>
      <c r="G17" s="337"/>
      <c r="H17" s="337"/>
      <c r="K17" s="120"/>
      <c r="N17" s="280"/>
      <c r="O17" s="110"/>
      <c r="Q17" s="483"/>
      <c r="AA17" s="336"/>
      <c r="AB17" s="267"/>
      <c r="AC17" s="267"/>
      <c r="AD17" s="269"/>
      <c r="AE17" s="269"/>
      <c r="AF17" s="337"/>
      <c r="AG17" s="337"/>
    </row>
    <row r="18" spans="1:33" s="163" customFormat="1">
      <c r="B18" s="2914" t="s">
        <v>241</v>
      </c>
      <c r="C18" s="2914"/>
      <c r="D18" s="2823"/>
      <c r="I18" s="349"/>
      <c r="J18" s="349"/>
      <c r="K18" s="120"/>
      <c r="L18" s="118"/>
      <c r="M18" s="124"/>
      <c r="N18" s="280"/>
      <c r="O18" s="120"/>
      <c r="P18" s="124"/>
      <c r="Q18" s="483"/>
      <c r="R18" s="71"/>
      <c r="S18" s="74"/>
      <c r="T18" s="74"/>
      <c r="U18" s="74"/>
      <c r="V18" s="71"/>
    </row>
    <row r="19" spans="1:33" s="163" customFormat="1">
      <c r="B19" s="141"/>
      <c r="C19" s="142"/>
      <c r="D19" s="142"/>
      <c r="I19" s="349"/>
      <c r="J19" s="349"/>
      <c r="K19" s="120"/>
      <c r="L19" s="118"/>
      <c r="M19" s="124"/>
      <c r="N19" s="280"/>
      <c r="O19" s="120"/>
      <c r="P19" s="124"/>
      <c r="Q19" s="483"/>
      <c r="R19" s="71"/>
      <c r="S19" s="74"/>
      <c r="T19" s="74"/>
      <c r="U19" s="74"/>
      <c r="V19" s="71"/>
    </row>
    <row r="20" spans="1:33" s="163" customFormat="1">
      <c r="B20" s="25"/>
      <c r="C20" s="143" t="s">
        <v>188</v>
      </c>
      <c r="D20" s="143"/>
      <c r="I20" s="321"/>
      <c r="J20" s="321"/>
      <c r="K20" s="70"/>
      <c r="L20" s="70"/>
      <c r="M20" s="71"/>
      <c r="N20" s="70"/>
      <c r="O20" s="70"/>
      <c r="P20" s="71"/>
      <c r="Q20" s="483"/>
      <c r="R20" s="71"/>
      <c r="S20" s="74"/>
      <c r="T20" s="74"/>
      <c r="U20" s="74"/>
      <c r="V20" s="71"/>
    </row>
    <row r="21" spans="1:33" s="163" customFormat="1">
      <c r="B21" s="141"/>
      <c r="C21" s="142"/>
      <c r="D21" s="142"/>
      <c r="I21" s="320"/>
      <c r="J21" s="320"/>
      <c r="K21" s="70"/>
      <c r="L21" s="70"/>
      <c r="M21" s="71"/>
      <c r="N21" s="70"/>
      <c r="O21" s="70"/>
      <c r="P21" s="71"/>
      <c r="Q21" s="82"/>
      <c r="R21" s="71"/>
      <c r="S21" s="74"/>
      <c r="T21" s="74"/>
      <c r="U21" s="74"/>
      <c r="V21" s="71"/>
    </row>
    <row r="22" spans="1:33" s="163" customFormat="1">
      <c r="B22" s="144"/>
      <c r="C22" s="143" t="s">
        <v>189</v>
      </c>
      <c r="D22" s="143"/>
      <c r="I22" s="321"/>
      <c r="J22" s="321"/>
      <c r="K22" s="70"/>
      <c r="L22" s="70"/>
      <c r="M22" s="71"/>
      <c r="N22" s="70"/>
      <c r="O22" s="70"/>
      <c r="P22" s="71"/>
      <c r="Q22" s="127"/>
      <c r="R22" s="124"/>
      <c r="S22" s="165"/>
      <c r="T22" s="165"/>
      <c r="U22" s="74"/>
      <c r="V22" s="124"/>
    </row>
    <row r="23" spans="1:33" s="163" customFormat="1">
      <c r="B23" s="145"/>
      <c r="C23" s="143"/>
      <c r="D23" s="143"/>
      <c r="I23" s="321"/>
      <c r="J23" s="321"/>
      <c r="K23" s="70"/>
      <c r="L23" s="70"/>
      <c r="M23" s="71"/>
      <c r="N23" s="70"/>
      <c r="O23" s="70"/>
      <c r="P23" s="71"/>
      <c r="Q23" s="82"/>
      <c r="R23" s="119"/>
      <c r="S23" s="74"/>
      <c r="T23" s="74"/>
      <c r="U23" s="74"/>
      <c r="V23" s="119"/>
    </row>
    <row r="24" spans="1:33" s="178" customFormat="1" ht="14.5" thickBot="1">
      <c r="C24" s="179"/>
      <c r="D24" s="179"/>
      <c r="I24" s="321"/>
      <c r="J24" s="321"/>
      <c r="K24" s="70"/>
      <c r="L24" s="70"/>
      <c r="M24" s="71"/>
      <c r="N24" s="70"/>
      <c r="O24" s="70"/>
      <c r="P24" s="71"/>
      <c r="Q24" s="82"/>
      <c r="R24" s="119"/>
      <c r="S24" s="74"/>
      <c r="T24" s="74"/>
      <c r="U24" s="74"/>
      <c r="V24" s="119"/>
    </row>
    <row r="25" spans="1:33" s="178" customFormat="1" ht="15.5" thickBot="1">
      <c r="B25" s="2886" t="str">
        <f>'2I'!B62</f>
        <v>Please refer to RAG 4.08 - Guideline for the table definitions in the annual performance report for the reporting year 2019-20</v>
      </c>
      <c r="C25" s="147"/>
      <c r="D25" s="147"/>
      <c r="E25" s="148"/>
      <c r="F25" s="148"/>
      <c r="G25" s="148"/>
      <c r="H25" s="251"/>
      <c r="I25" s="321"/>
      <c r="J25" s="321"/>
      <c r="K25" s="70"/>
      <c r="L25" s="70"/>
      <c r="M25" s="71"/>
      <c r="N25" s="70"/>
      <c r="O25" s="70"/>
      <c r="P25" s="71"/>
      <c r="Q25" s="82"/>
      <c r="R25" s="119"/>
      <c r="S25" s="74"/>
      <c r="T25" s="74"/>
      <c r="U25" s="74"/>
      <c r="V25" s="119"/>
    </row>
    <row r="26" spans="1:33" s="178" customFormat="1">
      <c r="C26" s="179"/>
      <c r="D26" s="179"/>
      <c r="I26" s="321"/>
      <c r="J26" s="321"/>
      <c r="K26" s="70"/>
      <c r="L26" s="70"/>
      <c r="M26" s="71"/>
      <c r="N26" s="70"/>
      <c r="O26" s="70"/>
      <c r="P26" s="71"/>
      <c r="Q26" s="82"/>
      <c r="R26" s="119"/>
      <c r="S26" s="74"/>
      <c r="T26" s="74"/>
      <c r="U26" s="74"/>
      <c r="V26" s="119"/>
    </row>
    <row r="27" spans="1:33" s="110" customFormat="1" ht="15.5" hidden="1" thickBot="1">
      <c r="A27" s="1528"/>
      <c r="B27" s="146" t="str">
        <f ca="1" xml:space="preserve"> RIGHT(CELL("filename", $A$1), LEN(CELL("filename", $A$1)) - SEARCH("]", CELL("filename", $A$1)))&amp;" - Line definitions"</f>
        <v>2J - Line definitions</v>
      </c>
      <c r="C27" s="147"/>
      <c r="D27" s="147"/>
      <c r="E27" s="148"/>
      <c r="F27" s="148"/>
      <c r="G27" s="148"/>
      <c r="H27" s="251"/>
      <c r="L27" s="70"/>
      <c r="M27" s="71"/>
      <c r="N27" s="70"/>
      <c r="O27" s="70"/>
      <c r="P27" s="71"/>
      <c r="Q27" s="127"/>
      <c r="R27" s="119"/>
      <c r="S27" s="165"/>
      <c r="T27" s="165"/>
      <c r="U27" s="74"/>
      <c r="V27" s="119"/>
    </row>
    <row r="28" spans="1:33" s="110" customFormat="1" ht="14.5" hidden="1" thickBot="1">
      <c r="A28" s="1528"/>
      <c r="B28" s="74"/>
      <c r="C28" s="155"/>
      <c r="D28" s="155"/>
      <c r="E28" s="74"/>
      <c r="F28" s="74"/>
      <c r="G28" s="74"/>
      <c r="L28" s="70"/>
      <c r="M28" s="71"/>
      <c r="N28" s="70"/>
      <c r="O28" s="70"/>
      <c r="P28" s="71"/>
      <c r="Q28" s="127"/>
      <c r="R28" s="119"/>
      <c r="S28" s="165"/>
      <c r="T28" s="165"/>
      <c r="U28" s="74"/>
      <c r="V28" s="119"/>
    </row>
    <row r="29" spans="1:33" s="178" customFormat="1" ht="14.5" hidden="1" thickBot="1">
      <c r="A29" s="1529"/>
      <c r="B29" s="287" t="s">
        <v>191</v>
      </c>
      <c r="C29" s="3008" t="s">
        <v>192</v>
      </c>
      <c r="D29" s="3009"/>
      <c r="E29" s="3009"/>
      <c r="F29" s="3009"/>
      <c r="G29" s="3009"/>
      <c r="H29" s="3010"/>
      <c r="I29" s="110"/>
      <c r="J29" s="110"/>
      <c r="K29" s="110"/>
      <c r="L29" s="70"/>
      <c r="M29" s="71"/>
      <c r="N29" s="85" t="s">
        <v>193</v>
      </c>
      <c r="O29" s="70"/>
      <c r="P29" s="71"/>
      <c r="Q29" s="483"/>
      <c r="R29" s="119"/>
      <c r="S29" s="74"/>
      <c r="T29" s="74"/>
      <c r="U29" s="74"/>
      <c r="V29" s="119"/>
    </row>
    <row r="30" spans="1:33" s="110" customFormat="1" ht="13.5" hidden="1" customHeight="1">
      <c r="A30" s="1528"/>
      <c r="B30" s="181" t="s">
        <v>2223</v>
      </c>
      <c r="C30" s="2965" t="s">
        <v>2257</v>
      </c>
      <c r="D30" s="2966"/>
      <c r="E30" s="2966"/>
      <c r="F30" s="2966"/>
      <c r="G30" s="2966"/>
      <c r="H30" s="2967"/>
      <c r="L30" s="70"/>
      <c r="M30" s="71"/>
      <c r="N30" s="202">
        <v>1</v>
      </c>
      <c r="O30" s="70"/>
      <c r="P30" s="71"/>
      <c r="R30" s="71"/>
      <c r="V30" s="119"/>
    </row>
    <row r="31" spans="1:33" s="110" customFormat="1" ht="23.25" hidden="1" customHeight="1">
      <c r="A31" s="1528"/>
      <c r="B31" s="159" t="s">
        <v>2227</v>
      </c>
      <c r="C31" s="2962" t="s">
        <v>2258</v>
      </c>
      <c r="D31" s="2963"/>
      <c r="E31" s="2963"/>
      <c r="F31" s="2963"/>
      <c r="G31" s="2963"/>
      <c r="H31" s="2964"/>
      <c r="L31" s="70"/>
      <c r="M31" s="71"/>
      <c r="N31" s="202" t="s">
        <v>195</v>
      </c>
      <c r="O31" s="70"/>
      <c r="P31" s="71"/>
      <c r="Q31" s="127"/>
      <c r="R31" s="119"/>
      <c r="S31" s="223"/>
      <c r="T31" s="223"/>
      <c r="U31" s="74"/>
      <c r="V31" s="119"/>
    </row>
    <row r="32" spans="1:33" s="110" customFormat="1" ht="14.25" hidden="1" customHeight="1">
      <c r="A32" s="1528"/>
      <c r="B32" s="159" t="s">
        <v>2231</v>
      </c>
      <c r="C32" s="2962" t="s">
        <v>2259</v>
      </c>
      <c r="D32" s="2963"/>
      <c r="E32" s="2963"/>
      <c r="F32" s="2963"/>
      <c r="G32" s="2963"/>
      <c r="H32" s="2964"/>
      <c r="L32" s="70"/>
      <c r="M32" s="71"/>
      <c r="N32" s="202">
        <v>1</v>
      </c>
      <c r="O32" s="70"/>
      <c r="P32" s="71"/>
      <c r="Q32" s="483"/>
      <c r="R32" s="119"/>
      <c r="S32" s="74"/>
      <c r="T32" s="74"/>
      <c r="U32" s="74"/>
      <c r="V32" s="119"/>
    </row>
    <row r="33" spans="1:22" s="110" customFormat="1" ht="14.25" hidden="1" customHeight="1">
      <c r="A33" s="1528"/>
      <c r="B33" s="159" t="s">
        <v>2234</v>
      </c>
      <c r="C33" s="2962" t="s">
        <v>2260</v>
      </c>
      <c r="D33" s="2963"/>
      <c r="E33" s="2963"/>
      <c r="F33" s="2963"/>
      <c r="G33" s="2963"/>
      <c r="H33" s="2964"/>
      <c r="L33" s="70"/>
      <c r="M33" s="71"/>
      <c r="N33" s="202">
        <v>1</v>
      </c>
      <c r="O33" s="70"/>
      <c r="P33" s="71"/>
      <c r="Q33" s="483"/>
      <c r="R33" s="71"/>
      <c r="S33" s="74"/>
      <c r="T33" s="74"/>
      <c r="U33" s="74"/>
      <c r="V33" s="71"/>
    </row>
    <row r="34" spans="1:22" s="110" customFormat="1" ht="13.5" hidden="1" customHeight="1">
      <c r="A34" s="1528"/>
      <c r="B34" s="159" t="s">
        <v>2239</v>
      </c>
      <c r="C34" s="2962" t="s">
        <v>2261</v>
      </c>
      <c r="D34" s="2963"/>
      <c r="E34" s="2963"/>
      <c r="F34" s="2963"/>
      <c r="G34" s="2963"/>
      <c r="H34" s="2964"/>
      <c r="L34" s="70"/>
      <c r="M34" s="71"/>
      <c r="N34" s="202">
        <v>1</v>
      </c>
      <c r="O34" s="70"/>
      <c r="P34" s="71"/>
      <c r="Q34" s="483"/>
      <c r="R34" s="71"/>
      <c r="S34" s="74"/>
      <c r="T34" s="74"/>
      <c r="U34" s="74"/>
      <c r="V34" s="71"/>
    </row>
    <row r="35" spans="1:22" s="110" customFormat="1" ht="13.5" hidden="1" customHeight="1">
      <c r="A35" s="1528"/>
      <c r="B35" s="159" t="s">
        <v>2243</v>
      </c>
      <c r="C35" s="2962" t="s">
        <v>2262</v>
      </c>
      <c r="D35" s="2963"/>
      <c r="E35" s="2963"/>
      <c r="F35" s="2963"/>
      <c r="G35" s="2963"/>
      <c r="H35" s="2964"/>
      <c r="L35" s="70"/>
      <c r="M35" s="71"/>
      <c r="N35" s="202">
        <v>1</v>
      </c>
      <c r="O35" s="70"/>
      <c r="P35" s="71"/>
      <c r="Q35" s="483"/>
      <c r="R35" s="71"/>
      <c r="S35" s="74"/>
      <c r="T35" s="74"/>
      <c r="U35" s="74"/>
      <c r="V35" s="71"/>
    </row>
    <row r="36" spans="1:22" s="110" customFormat="1" ht="23.25" hidden="1" customHeight="1">
      <c r="A36" s="1528"/>
      <c r="B36" s="159" t="s">
        <v>2247</v>
      </c>
      <c r="C36" s="2962" t="s">
        <v>2263</v>
      </c>
      <c r="D36" s="2963"/>
      <c r="E36" s="2963"/>
      <c r="F36" s="2963"/>
      <c r="G36" s="2963"/>
      <c r="H36" s="2964"/>
      <c r="L36" s="70"/>
      <c r="M36" s="71"/>
      <c r="N36" s="202" t="s">
        <v>195</v>
      </c>
      <c r="O36" s="70"/>
      <c r="P36" s="71"/>
      <c r="Q36" s="483"/>
      <c r="R36" s="124"/>
      <c r="S36" s="74"/>
      <c r="T36" s="74"/>
      <c r="U36" s="74"/>
      <c r="V36" s="124"/>
    </row>
    <row r="37" spans="1:22" s="110" customFormat="1" ht="14.25" hidden="1" customHeight="1">
      <c r="A37" s="1528"/>
      <c r="B37" s="159" t="s">
        <v>2250</v>
      </c>
      <c r="C37" s="2962" t="s">
        <v>2264</v>
      </c>
      <c r="D37" s="2963"/>
      <c r="E37" s="2963"/>
      <c r="F37" s="2963"/>
      <c r="G37" s="2963"/>
      <c r="H37" s="2964"/>
      <c r="L37" s="70"/>
      <c r="M37" s="71"/>
      <c r="N37" s="202">
        <v>1</v>
      </c>
      <c r="O37" s="70"/>
      <c r="P37" s="71"/>
      <c r="Q37" s="483"/>
      <c r="R37" s="124"/>
      <c r="S37" s="74"/>
      <c r="T37" s="74"/>
      <c r="U37" s="74"/>
      <c r="V37" s="124"/>
    </row>
    <row r="38" spans="1:22" ht="15" hidden="1" customHeight="1" thickBot="1">
      <c r="A38" s="1532"/>
      <c r="B38" s="183" t="s">
        <v>2253</v>
      </c>
      <c r="C38" s="2968" t="s">
        <v>2265</v>
      </c>
      <c r="D38" s="2969"/>
      <c r="E38" s="2969"/>
      <c r="F38" s="2969"/>
      <c r="G38" s="2969"/>
      <c r="H38" s="2970"/>
      <c r="N38" s="202">
        <v>1</v>
      </c>
      <c r="Q38" s="483"/>
      <c r="R38" s="124"/>
      <c r="V38" s="124"/>
    </row>
    <row r="39" spans="1:22" hidden="1">
      <c r="A39" s="1532"/>
      <c r="Q39" s="110"/>
      <c r="R39" s="124"/>
      <c r="V39" s="124"/>
    </row>
  </sheetData>
  <sheetProtection algorithmName="SHA-512" hashValue="bDE1gGNQRkB71MimrWND7zOxBlRTKb2Tfq8o6nh7f7y7uRUiT+EP+JmO+Donovtxs76Vkktc4kwm50qf2jZY7g==" saltValue="ZVPCgeYXEna6MPBUNRcjgA==" spinCount="100000" sheet="1" objects="1" scenarios="1"/>
  <mergeCells count="14">
    <mergeCell ref="C38:H38"/>
    <mergeCell ref="C36:H36"/>
    <mergeCell ref="C37:H37"/>
    <mergeCell ref="C30:H30"/>
    <mergeCell ref="C31:H31"/>
    <mergeCell ref="C32:H32"/>
    <mergeCell ref="C33:H33"/>
    <mergeCell ref="C34:H34"/>
    <mergeCell ref="C35:H35"/>
    <mergeCell ref="AA3:AB3"/>
    <mergeCell ref="B3:C3"/>
    <mergeCell ref="N3:O3"/>
    <mergeCell ref="B18:C18"/>
    <mergeCell ref="C29:H29"/>
  </mergeCells>
  <conditionalFormatting sqref="K6:K8 K10:K14 K16:K17">
    <cfRule type="cellIs" dxfId="377" priority="15" operator="equal">
      <formula>0</formula>
    </cfRule>
  </conditionalFormatting>
  <conditionalFormatting sqref="K9:K11">
    <cfRule type="cellIs" dxfId="376" priority="14" operator="equal">
      <formula>0</formula>
    </cfRule>
  </conditionalFormatting>
  <conditionalFormatting sqref="K15">
    <cfRule type="cellIs" dxfId="375" priority="5" operator="equal">
      <formula>0</formula>
    </cfRule>
  </conditionalFormatting>
  <conditionalFormatting sqref="J9">
    <cfRule type="cellIs" dxfId="374" priority="4" operator="equal">
      <formula>0</formula>
    </cfRule>
  </conditionalFormatting>
  <conditionalFormatting sqref="J16">
    <cfRule type="cellIs" dxfId="373"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F58564C-6403-4CB3-8FA5-B7D3993C99B4}">
            <xm:f>Validation!$H$3=1</xm:f>
            <x14:dxf>
              <fill>
                <patternFill>
                  <bgColor rgb="FFE0DCD8"/>
                </patternFill>
              </fill>
            </x14:dxf>
          </x14:cfRule>
          <xm:sqref>G12:H16</xm:sqref>
        </x14:conditionalFormatting>
        <x14:conditionalFormatting xmlns:xm="http://schemas.microsoft.com/office/excel/2006/main">
          <x14:cfRule type="expression" priority="1" id="{E2478265-6F60-4A3F-8A64-527E52121FCE}">
            <xm:f>Validation!$H$3=1</xm:f>
            <x14:dxf>
              <fill>
                <patternFill>
                  <bgColor rgb="FFE0DCD8"/>
                </patternFill>
              </fill>
            </x14:dxf>
          </x14:cfRule>
          <xm:sqref>AF12:AG16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1">
    <tabColor rgb="FF92D050"/>
    <pageSetUpPr fitToPage="1"/>
  </sheetPr>
  <dimension ref="A1:AC36"/>
  <sheetViews>
    <sheetView workbookViewId="0">
      <selection activeCell="I14" sqref="I14"/>
    </sheetView>
  </sheetViews>
  <sheetFormatPr defaultColWidth="0" defaultRowHeight="14" zeroHeight="1"/>
  <cols>
    <col min="1" max="1" width="0.58203125" style="74" customWidth="1"/>
    <col min="2" max="2" width="4.08203125" style="74" customWidth="1"/>
    <col min="3" max="3" width="55.08203125" style="74" customWidth="1"/>
    <col min="4" max="4" width="5.58203125" style="74" hidden="1" customWidth="1"/>
    <col min="5" max="6" width="5.08203125" style="74" customWidth="1"/>
    <col min="7" max="9" width="16.58203125" style="74" customWidth="1"/>
    <col min="10" max="10" width="1.5" style="70" customWidth="1"/>
    <col min="11" max="11" width="20.58203125" style="70" customWidth="1"/>
    <col min="12" max="12" width="1.58203125" style="70" customWidth="1"/>
    <col min="13" max="13" width="1.58203125" style="71" hidden="1" customWidth="1"/>
    <col min="14" max="15" width="11.58203125" style="70" hidden="1" customWidth="1"/>
    <col min="16" max="16" width="1.58203125" style="71" hidden="1" customWidth="1"/>
    <col min="17" max="19" width="0" style="74" hidden="1" customWidth="1"/>
    <col min="20" max="20" width="8" style="74" customWidth="1"/>
    <col min="21" max="21" width="4.08203125" style="74" customWidth="1"/>
    <col min="22" max="22" width="55.08203125" style="74" customWidth="1"/>
    <col min="23" max="23" width="5.58203125" style="74" hidden="1" customWidth="1"/>
    <col min="24" max="25" width="5.08203125" style="74" customWidth="1"/>
    <col min="26" max="27" width="16.58203125" style="74" customWidth="1"/>
    <col min="28" max="28" width="17.08203125" style="74" customWidth="1"/>
    <col min="29" max="29" width="2.25" style="74" customWidth="1"/>
    <col min="30" max="16384" width="8" style="74" hidden="1"/>
  </cols>
  <sheetData>
    <row r="1" spans="2:28" s="483" customFormat="1" ht="20">
      <c r="B1" s="66" t="s">
        <v>2266</v>
      </c>
      <c r="C1" s="66"/>
      <c r="D1" s="66"/>
      <c r="E1" s="66"/>
      <c r="F1" s="66"/>
      <c r="G1" s="66"/>
      <c r="H1" s="66"/>
      <c r="I1" s="68" t="str">
        <f>Validation!B3</f>
        <v>Bristol Water</v>
      </c>
      <c r="J1" s="66"/>
      <c r="K1" s="69" t="s">
        <v>32</v>
      </c>
      <c r="L1" s="70"/>
      <c r="M1" s="71"/>
      <c r="N1" s="70"/>
      <c r="O1" s="70"/>
      <c r="P1" s="71"/>
      <c r="U1" s="66" t="s">
        <v>33</v>
      </c>
      <c r="V1" s="66"/>
      <c r="W1" s="66"/>
      <c r="X1" s="66"/>
      <c r="Y1" s="66"/>
      <c r="Z1" s="66"/>
      <c r="AA1" s="68"/>
      <c r="AB1" s="68"/>
    </row>
    <row r="2" spans="2:28" ht="15" customHeight="1" thickBot="1">
      <c r="B2" s="73" t="str">
        <f>'2J'!B2</f>
        <v>For the 12 months ended 31 March 2020</v>
      </c>
      <c r="C2" s="257"/>
      <c r="D2" s="257"/>
      <c r="U2" s="73" t="str">
        <f>+B2</f>
        <v>For the 12 months ended 31 March 2020</v>
      </c>
      <c r="V2" s="257"/>
      <c r="W2" s="257"/>
    </row>
    <row r="3" spans="2:28" ht="14.5" thickBot="1">
      <c r="B3" s="3006" t="s">
        <v>34</v>
      </c>
      <c r="C3" s="3007"/>
      <c r="D3" s="2846" t="s">
        <v>35</v>
      </c>
      <c r="E3" s="376" t="s">
        <v>36</v>
      </c>
      <c r="F3" s="377" t="s">
        <v>37</v>
      </c>
      <c r="G3" s="296" t="s">
        <v>1626</v>
      </c>
      <c r="H3" s="306" t="s">
        <v>1627</v>
      </c>
      <c r="I3" s="307" t="s">
        <v>708</v>
      </c>
      <c r="K3" s="2824" t="s">
        <v>41</v>
      </c>
      <c r="N3" s="2909" t="s">
        <v>45</v>
      </c>
      <c r="O3" s="2909"/>
      <c r="U3" s="3006" t="s">
        <v>34</v>
      </c>
      <c r="V3" s="3007"/>
      <c r="W3" s="2846" t="s">
        <v>35</v>
      </c>
      <c r="X3" s="376" t="s">
        <v>36</v>
      </c>
      <c r="Y3" s="377" t="s">
        <v>37</v>
      </c>
      <c r="Z3" s="296" t="s">
        <v>1626</v>
      </c>
      <c r="AA3" s="306" t="s">
        <v>1627</v>
      </c>
      <c r="AB3" s="306" t="s">
        <v>708</v>
      </c>
    </row>
    <row r="4" spans="2:28" ht="14.5" thickBot="1">
      <c r="C4" s="330"/>
      <c r="D4" s="330"/>
      <c r="V4" s="330"/>
      <c r="W4" s="330"/>
    </row>
    <row r="5" spans="2:28" ht="14.5" thickBot="1">
      <c r="B5" s="2883" t="s">
        <v>153</v>
      </c>
      <c r="C5" s="83" t="s">
        <v>2267</v>
      </c>
      <c r="D5" s="1473"/>
      <c r="E5" s="262"/>
      <c r="F5" s="262"/>
      <c r="I5" s="262"/>
      <c r="N5" s="164" t="s">
        <v>46</v>
      </c>
      <c r="O5" s="127"/>
      <c r="U5" s="2883" t="s">
        <v>153</v>
      </c>
      <c r="V5" s="83" t="s">
        <v>2267</v>
      </c>
      <c r="W5" s="1473"/>
      <c r="X5" s="262"/>
      <c r="Y5" s="262"/>
      <c r="AA5" s="262"/>
    </row>
    <row r="6" spans="2:28" ht="15" customHeight="1">
      <c r="B6" s="288" t="s">
        <v>2268</v>
      </c>
      <c r="C6" s="273" t="s">
        <v>2269</v>
      </c>
      <c r="D6" s="273"/>
      <c r="E6" s="300" t="s">
        <v>49</v>
      </c>
      <c r="F6" s="275">
        <v>3</v>
      </c>
      <c r="G6" s="2185">
        <f>'2E'!J8</f>
        <v>1.4279999999999999</v>
      </c>
      <c r="H6" s="2186">
        <f>'2E'!J19</f>
        <v>0</v>
      </c>
      <c r="I6" s="331">
        <f>H6+G6</f>
        <v>1.4279999999999999</v>
      </c>
      <c r="K6" s="24"/>
      <c r="N6" s="280"/>
      <c r="O6" s="110"/>
      <c r="U6" s="288" t="s">
        <v>2268</v>
      </c>
      <c r="V6" s="273" t="s">
        <v>2269</v>
      </c>
      <c r="W6" s="273"/>
      <c r="X6" s="300" t="s">
        <v>49</v>
      </c>
      <c r="Y6" s="275">
        <v>3</v>
      </c>
      <c r="Z6" s="2185" t="str">
        <f>'2E'!AI8</f>
        <v>BC11270</v>
      </c>
      <c r="AA6" s="2187" t="str">
        <f>'2E'!$AI$19</f>
        <v>BC11370</v>
      </c>
      <c r="AB6" s="331" t="s">
        <v>2270</v>
      </c>
    </row>
    <row r="7" spans="2:28" ht="15" customHeight="1">
      <c r="B7" s="289" t="s">
        <v>2271</v>
      </c>
      <c r="C7" s="277" t="s">
        <v>2272</v>
      </c>
      <c r="D7" s="277"/>
      <c r="E7" s="301" t="s">
        <v>49</v>
      </c>
      <c r="F7" s="279">
        <v>3</v>
      </c>
      <c r="G7" s="440">
        <v>0</v>
      </c>
      <c r="H7" s="1832">
        <v>0</v>
      </c>
      <c r="I7" s="332">
        <f t="shared" ref="I7:I8" si="0">H7+G7</f>
        <v>0</v>
      </c>
      <c r="K7" s="24">
        <f xml:space="preserve"> IF( SUM( M7:P7 ) = 0, 0, N$5 )</f>
        <v>0</v>
      </c>
      <c r="N7" s="93">
        <f xml:space="preserve"> IF( ISNUMBER( G7 ), 0, 1 )</f>
        <v>0</v>
      </c>
      <c r="O7" s="93">
        <f xml:space="preserve"> IF( ISNUMBER( H7 ), 0, 1 )</f>
        <v>0</v>
      </c>
      <c r="U7" s="289" t="s">
        <v>2271</v>
      </c>
      <c r="V7" s="277" t="s">
        <v>2272</v>
      </c>
      <c r="W7" s="277"/>
      <c r="X7" s="301" t="s">
        <v>49</v>
      </c>
      <c r="Y7" s="279">
        <v>3</v>
      </c>
      <c r="Z7" s="2192" t="s">
        <v>2273</v>
      </c>
      <c r="AA7" s="2253" t="s">
        <v>2274</v>
      </c>
      <c r="AB7" s="332" t="s">
        <v>2275</v>
      </c>
    </row>
    <row r="8" spans="2:28" ht="14.5" thickBot="1">
      <c r="B8" s="290" t="s">
        <v>2276</v>
      </c>
      <c r="C8" s="282" t="s">
        <v>2277</v>
      </c>
      <c r="D8" s="282"/>
      <c r="E8" s="283" t="s">
        <v>49</v>
      </c>
      <c r="F8" s="284">
        <v>3</v>
      </c>
      <c r="G8" s="1904">
        <f>SUM(G6:G7)</f>
        <v>1.4279999999999999</v>
      </c>
      <c r="H8" s="334">
        <f>SUM(H6:H7)</f>
        <v>0</v>
      </c>
      <c r="I8" s="335">
        <f t="shared" si="0"/>
        <v>1.4279999999999999</v>
      </c>
      <c r="K8" s="109"/>
      <c r="N8" s="280"/>
      <c r="O8" s="110"/>
      <c r="U8" s="290" t="s">
        <v>2276</v>
      </c>
      <c r="V8" s="282" t="s">
        <v>2277</v>
      </c>
      <c r="W8" s="282"/>
      <c r="X8" s="283" t="s">
        <v>49</v>
      </c>
      <c r="Y8" s="284">
        <v>3</v>
      </c>
      <c r="Z8" s="333" t="s">
        <v>2278</v>
      </c>
      <c r="AA8" s="335" t="s">
        <v>2279</v>
      </c>
      <c r="AB8" s="335" t="s">
        <v>2280</v>
      </c>
    </row>
    <row r="9" spans="2:28" ht="14.5" thickBot="1">
      <c r="B9" s="336"/>
      <c r="C9" s="267"/>
      <c r="D9" s="267"/>
      <c r="E9" s="269"/>
      <c r="F9" s="269"/>
      <c r="G9" s="337"/>
      <c r="H9" s="337"/>
      <c r="I9" s="337"/>
      <c r="K9" s="109"/>
      <c r="N9" s="280"/>
      <c r="O9" s="110"/>
      <c r="U9" s="336"/>
      <c r="V9" s="267"/>
      <c r="W9" s="267"/>
      <c r="X9" s="269"/>
      <c r="Y9" s="269"/>
      <c r="Z9" s="337"/>
      <c r="AA9" s="337"/>
      <c r="AB9" s="337"/>
    </row>
    <row r="10" spans="2:28" ht="14.5" thickBot="1">
      <c r="B10" s="2883" t="s">
        <v>175</v>
      </c>
      <c r="C10" s="114" t="s">
        <v>2281</v>
      </c>
      <c r="D10" s="1473"/>
      <c r="E10" s="299"/>
      <c r="F10" s="299"/>
      <c r="G10" s="270"/>
      <c r="H10" s="270"/>
      <c r="I10" s="270"/>
      <c r="K10" s="109"/>
      <c r="N10" s="280"/>
      <c r="O10" s="110"/>
      <c r="U10" s="2883" t="s">
        <v>175</v>
      </c>
      <c r="V10" s="114" t="s">
        <v>2281</v>
      </c>
      <c r="W10" s="1473"/>
      <c r="X10" s="299"/>
      <c r="Y10" s="299"/>
      <c r="Z10" s="270"/>
      <c r="AA10" s="270"/>
      <c r="AB10" s="270"/>
    </row>
    <row r="11" spans="2:28" ht="15" customHeight="1" thickBot="1">
      <c r="B11" s="288" t="s">
        <v>2282</v>
      </c>
      <c r="C11" s="273" t="s">
        <v>2283</v>
      </c>
      <c r="D11" s="273"/>
      <c r="E11" s="300" t="s">
        <v>49</v>
      </c>
      <c r="F11" s="275">
        <v>3</v>
      </c>
      <c r="G11" s="270"/>
      <c r="H11" s="270"/>
      <c r="I11" s="442">
        <v>0.44500000000000001</v>
      </c>
      <c r="K11" s="24">
        <f xml:space="preserve"> IF( SUM( M11:P11 ) = 0, 0, N$5 )</f>
        <v>0</v>
      </c>
      <c r="N11" s="280"/>
      <c r="O11" s="93">
        <f xml:space="preserve"> IF( ISNUMBER( I11 ), 0, 1 )</f>
        <v>0</v>
      </c>
      <c r="U11" s="288" t="s">
        <v>2282</v>
      </c>
      <c r="V11" s="273" t="s">
        <v>2283</v>
      </c>
      <c r="W11" s="273"/>
      <c r="X11" s="300" t="s">
        <v>49</v>
      </c>
      <c r="Y11" s="275">
        <v>3</v>
      </c>
      <c r="Z11" s="270"/>
      <c r="AA11" s="270"/>
      <c r="AB11" s="2254" t="s">
        <v>2284</v>
      </c>
    </row>
    <row r="12" spans="2:28">
      <c r="B12" s="289" t="s">
        <v>2285</v>
      </c>
      <c r="C12" s="277" t="s">
        <v>48</v>
      </c>
      <c r="D12" s="277"/>
      <c r="E12" s="301" t="s">
        <v>49</v>
      </c>
      <c r="F12" s="279">
        <v>3</v>
      </c>
      <c r="G12" s="2185">
        <f>G8</f>
        <v>1.4279999999999999</v>
      </c>
      <c r="H12" s="2186">
        <f>H8</f>
        <v>0</v>
      </c>
      <c r="I12" s="332">
        <f t="shared" ref="I12:I13" si="1">H12+G12</f>
        <v>1.4279999999999999</v>
      </c>
      <c r="K12" s="24"/>
      <c r="N12" s="280"/>
      <c r="O12" s="110"/>
      <c r="U12" s="289" t="s">
        <v>2285</v>
      </c>
      <c r="V12" s="277" t="s">
        <v>48</v>
      </c>
      <c r="W12" s="277"/>
      <c r="X12" s="301" t="s">
        <v>49</v>
      </c>
      <c r="Y12" s="279">
        <v>3</v>
      </c>
      <c r="Z12" s="2185" t="str">
        <f>Z8</f>
        <v>BC11270GROSS</v>
      </c>
      <c r="AA12" s="2187" t="str">
        <f>AA8</f>
        <v>BC11370GROSS</v>
      </c>
      <c r="AB12" s="332" t="str">
        <f>+AB8</f>
        <v>BC11470GROSS</v>
      </c>
    </row>
    <row r="13" spans="2:28">
      <c r="B13" s="289" t="s">
        <v>2286</v>
      </c>
      <c r="C13" s="277" t="s">
        <v>2287</v>
      </c>
      <c r="D13" s="277"/>
      <c r="E13" s="301" t="s">
        <v>49</v>
      </c>
      <c r="F13" s="279">
        <v>3</v>
      </c>
      <c r="G13" s="347">
        <f>-'2J'!G9</f>
        <v>-1.1260000000000001</v>
      </c>
      <c r="H13" s="2193">
        <f>-'2J'!G16</f>
        <v>0</v>
      </c>
      <c r="I13" s="332">
        <f t="shared" si="1"/>
        <v>-1.1260000000000001</v>
      </c>
      <c r="K13" s="24"/>
      <c r="N13" s="280"/>
      <c r="O13" s="110"/>
      <c r="U13" s="289" t="s">
        <v>2286</v>
      </c>
      <c r="V13" s="277" t="s">
        <v>2287</v>
      </c>
      <c r="W13" s="277"/>
      <c r="X13" s="301" t="s">
        <v>49</v>
      </c>
      <c r="Y13" s="279">
        <v>3</v>
      </c>
      <c r="Z13" s="347" t="s">
        <v>2288</v>
      </c>
      <c r="AA13" s="332" t="s">
        <v>2289</v>
      </c>
      <c r="AB13" s="332" t="s">
        <v>2290</v>
      </c>
    </row>
    <row r="14" spans="2:28" ht="14.5" thickBot="1">
      <c r="B14" s="290" t="s">
        <v>2291</v>
      </c>
      <c r="C14" s="282" t="s">
        <v>2292</v>
      </c>
      <c r="D14" s="282"/>
      <c r="E14" s="283" t="s">
        <v>49</v>
      </c>
      <c r="F14" s="284">
        <v>3</v>
      </c>
      <c r="G14" s="1904">
        <f xml:space="preserve"> SUM(G11:G13)</f>
        <v>0.30199999999999982</v>
      </c>
      <c r="H14" s="334">
        <f xml:space="preserve"> SUM(H11:H13)</f>
        <v>0</v>
      </c>
      <c r="I14" s="335">
        <f>SUM(I11:I13)</f>
        <v>0.74699999999999989</v>
      </c>
      <c r="K14" s="120"/>
      <c r="N14" s="280"/>
      <c r="O14" s="110"/>
      <c r="U14" s="290" t="s">
        <v>2291</v>
      </c>
      <c r="V14" s="282" t="s">
        <v>2292</v>
      </c>
      <c r="W14" s="282"/>
      <c r="X14" s="283" t="s">
        <v>49</v>
      </c>
      <c r="Y14" s="284">
        <v>3</v>
      </c>
      <c r="Z14" s="333" t="s">
        <v>2293</v>
      </c>
      <c r="AA14" s="335" t="s">
        <v>2294</v>
      </c>
      <c r="AB14" s="335" t="s">
        <v>2295</v>
      </c>
    </row>
    <row r="15" spans="2:28">
      <c r="B15" s="336"/>
      <c r="C15" s="336"/>
      <c r="D15" s="267"/>
      <c r="E15" s="269"/>
      <c r="F15" s="269"/>
      <c r="G15" s="337"/>
      <c r="H15" s="337"/>
      <c r="I15" s="337"/>
      <c r="K15" s="120"/>
      <c r="N15" s="280"/>
      <c r="O15" s="110"/>
      <c r="U15" s="336"/>
      <c r="V15" s="267"/>
      <c r="W15" s="267"/>
      <c r="X15" s="269"/>
      <c r="Y15" s="269"/>
      <c r="Z15" s="337"/>
      <c r="AA15" s="337"/>
    </row>
    <row r="16" spans="2:28" s="163" customFormat="1">
      <c r="B16" s="2914" t="s">
        <v>241</v>
      </c>
      <c r="C16" s="2914"/>
      <c r="D16" s="2823"/>
      <c r="J16" s="349"/>
      <c r="K16" s="120"/>
      <c r="L16" s="118"/>
      <c r="M16" s="124"/>
      <c r="N16" s="280"/>
      <c r="O16" s="120"/>
      <c r="P16" s="124"/>
    </row>
    <row r="17" spans="1:16" s="163" customFormat="1">
      <c r="B17" s="141"/>
      <c r="C17" s="142"/>
      <c r="D17" s="142"/>
      <c r="J17" s="349"/>
      <c r="K17" s="120"/>
      <c r="L17" s="118"/>
      <c r="M17" s="124"/>
      <c r="N17" s="280"/>
      <c r="O17" s="120"/>
      <c r="P17" s="124"/>
    </row>
    <row r="18" spans="1:16" s="163" customFormat="1">
      <c r="B18" s="1765"/>
      <c r="C18" s="143" t="s">
        <v>188</v>
      </c>
      <c r="D18" s="143"/>
      <c r="J18" s="321"/>
      <c r="K18" s="70"/>
      <c r="L18" s="70"/>
      <c r="M18" s="71"/>
      <c r="N18" s="70"/>
      <c r="O18" s="70"/>
      <c r="P18" s="71"/>
    </row>
    <row r="19" spans="1:16" s="163" customFormat="1">
      <c r="B19" s="141"/>
      <c r="C19" s="142"/>
      <c r="D19" s="142"/>
      <c r="J19" s="320"/>
      <c r="K19" s="70"/>
      <c r="L19" s="70"/>
      <c r="M19" s="71"/>
      <c r="N19" s="70"/>
      <c r="O19" s="70"/>
      <c r="P19" s="71"/>
    </row>
    <row r="20" spans="1:16" s="163" customFormat="1">
      <c r="B20" s="144"/>
      <c r="C20" s="143" t="s">
        <v>189</v>
      </c>
      <c r="D20" s="143"/>
      <c r="J20" s="321"/>
      <c r="K20" s="70"/>
      <c r="L20" s="70"/>
      <c r="M20" s="71"/>
      <c r="N20" s="70"/>
      <c r="O20" s="70"/>
      <c r="P20" s="71"/>
    </row>
    <row r="21" spans="1:16" s="163" customFormat="1">
      <c r="B21" s="145"/>
      <c r="C21" s="143"/>
      <c r="D21" s="143"/>
      <c r="J21" s="321"/>
      <c r="K21" s="70"/>
      <c r="L21" s="70"/>
      <c r="M21" s="71"/>
      <c r="N21" s="70"/>
      <c r="O21" s="70"/>
      <c r="P21" s="71"/>
    </row>
    <row r="22" spans="1:16" s="163" customFormat="1">
      <c r="B22" s="2188"/>
      <c r="C22" s="179" t="s">
        <v>242</v>
      </c>
      <c r="D22" s="143"/>
      <c r="J22" s="321"/>
      <c r="K22" s="70"/>
      <c r="L22" s="70"/>
      <c r="M22" s="71"/>
      <c r="N22" s="70"/>
      <c r="O22" s="70"/>
      <c r="P22" s="71"/>
    </row>
    <row r="23" spans="1:16" s="178" customFormat="1" ht="14.5" thickBot="1">
      <c r="C23" s="179"/>
      <c r="D23" s="179"/>
      <c r="J23" s="321"/>
      <c r="K23" s="70"/>
      <c r="L23" s="70"/>
      <c r="M23" s="71"/>
      <c r="N23" s="70"/>
      <c r="O23" s="70"/>
      <c r="P23" s="71"/>
    </row>
    <row r="24" spans="1:16" s="178" customFormat="1" ht="15.5" thickBot="1">
      <c r="B24" s="2886" t="str">
        <f>'2J'!B25</f>
        <v>Please refer to RAG 4.08 - Guideline for the table definitions in the annual performance report for the reporting year 2019-20</v>
      </c>
      <c r="C24" s="147"/>
      <c r="D24" s="147"/>
      <c r="E24" s="148"/>
      <c r="F24" s="148"/>
      <c r="G24" s="148"/>
      <c r="H24" s="148"/>
      <c r="I24" s="251"/>
      <c r="J24" s="321"/>
      <c r="K24" s="70"/>
      <c r="L24" s="70"/>
      <c r="M24" s="71"/>
      <c r="N24" s="70"/>
      <c r="O24" s="70"/>
      <c r="P24" s="71"/>
    </row>
    <row r="25" spans="1:16" s="178" customFormat="1">
      <c r="C25" s="179"/>
      <c r="D25" s="179"/>
      <c r="J25" s="321"/>
      <c r="K25" s="70"/>
      <c r="L25" s="70"/>
      <c r="M25" s="71"/>
      <c r="N25" s="70"/>
      <c r="O25" s="70"/>
      <c r="P25" s="71"/>
    </row>
    <row r="26" spans="1:16" s="110" customFormat="1" ht="15.5" hidden="1" thickBot="1">
      <c r="A26" s="1528"/>
      <c r="B26" s="146" t="str">
        <f ca="1" xml:space="preserve"> RIGHT(CELL("filename", $A$1), LEN(CELL("filename", $A$1)) - SEARCH("]", CELL("filename", $A$1)))&amp;" - Line definitions"</f>
        <v>2K - Line definitions</v>
      </c>
      <c r="C26" s="147"/>
      <c r="D26" s="147"/>
      <c r="E26" s="148"/>
      <c r="F26" s="148"/>
      <c r="G26" s="148"/>
      <c r="H26" s="148"/>
      <c r="I26" s="251"/>
      <c r="L26" s="70"/>
      <c r="M26" s="71"/>
      <c r="N26" s="70"/>
      <c r="O26" s="70"/>
      <c r="P26" s="71"/>
    </row>
    <row r="27" spans="1:16" s="110" customFormat="1" ht="14.5" hidden="1" thickBot="1">
      <c r="A27" s="1528"/>
      <c r="B27" s="74"/>
      <c r="C27" s="155"/>
      <c r="D27" s="155"/>
      <c r="E27" s="74"/>
      <c r="F27" s="74"/>
      <c r="G27" s="74"/>
      <c r="H27" s="74"/>
      <c r="L27" s="70"/>
      <c r="M27" s="71"/>
      <c r="N27" s="70"/>
      <c r="O27" s="70"/>
      <c r="P27" s="71"/>
    </row>
    <row r="28" spans="1:16" s="178" customFormat="1" ht="14.5" hidden="1" thickBot="1">
      <c r="A28" s="1529"/>
      <c r="B28" s="287" t="s">
        <v>191</v>
      </c>
      <c r="C28" s="3008" t="s">
        <v>192</v>
      </c>
      <c r="D28" s="3009"/>
      <c r="E28" s="3009"/>
      <c r="F28" s="3009"/>
      <c r="G28" s="3009"/>
      <c r="H28" s="3009"/>
      <c r="I28" s="3010"/>
      <c r="J28" s="110"/>
      <c r="K28" s="110"/>
      <c r="L28" s="70"/>
      <c r="M28" s="71"/>
      <c r="N28" s="85" t="s">
        <v>193</v>
      </c>
      <c r="O28" s="70"/>
      <c r="P28" s="71"/>
    </row>
    <row r="29" spans="1:16" s="110" customFormat="1" ht="13.5" hidden="1" customHeight="1">
      <c r="A29" s="1528"/>
      <c r="B29" s="181" t="s">
        <v>2268</v>
      </c>
      <c r="C29" s="2965" t="s">
        <v>2296</v>
      </c>
      <c r="D29" s="2966"/>
      <c r="E29" s="2966"/>
      <c r="F29" s="2966"/>
      <c r="G29" s="2966"/>
      <c r="H29" s="2966"/>
      <c r="I29" s="2967"/>
      <c r="L29" s="70"/>
      <c r="M29" s="71"/>
      <c r="N29" s="202">
        <v>1</v>
      </c>
      <c r="O29" s="70"/>
      <c r="P29" s="71"/>
    </row>
    <row r="30" spans="1:16" s="110" customFormat="1" ht="15" hidden="1" customHeight="1">
      <c r="A30" s="1528"/>
      <c r="B30" s="159" t="s">
        <v>2271</v>
      </c>
      <c r="C30" s="2962" t="s">
        <v>2297</v>
      </c>
      <c r="D30" s="2963"/>
      <c r="E30" s="2963"/>
      <c r="F30" s="2963"/>
      <c r="G30" s="2963"/>
      <c r="H30" s="2963"/>
      <c r="I30" s="2964"/>
      <c r="L30" s="70"/>
      <c r="M30" s="71"/>
      <c r="N30" s="202" t="s">
        <v>195</v>
      </c>
      <c r="O30" s="70"/>
      <c r="P30" s="71"/>
    </row>
    <row r="31" spans="1:16" s="110" customFormat="1" ht="14.25" hidden="1" customHeight="1">
      <c r="A31" s="1528"/>
      <c r="B31" s="159" t="s">
        <v>2276</v>
      </c>
      <c r="C31" s="2962" t="s">
        <v>2298</v>
      </c>
      <c r="D31" s="2963"/>
      <c r="E31" s="2963"/>
      <c r="F31" s="2963"/>
      <c r="G31" s="2963"/>
      <c r="H31" s="2963"/>
      <c r="I31" s="2964"/>
      <c r="L31" s="70"/>
      <c r="M31" s="71"/>
      <c r="N31" s="202">
        <v>1</v>
      </c>
      <c r="O31" s="70"/>
      <c r="P31" s="71"/>
    </row>
    <row r="32" spans="1:16" s="110" customFormat="1" ht="14.25" hidden="1" customHeight="1">
      <c r="A32" s="1528"/>
      <c r="B32" s="159" t="s">
        <v>2282</v>
      </c>
      <c r="C32" s="2962" t="s">
        <v>2299</v>
      </c>
      <c r="D32" s="2963"/>
      <c r="E32" s="2963"/>
      <c r="F32" s="2963"/>
      <c r="G32" s="2963"/>
      <c r="H32" s="2963"/>
      <c r="I32" s="2964"/>
      <c r="L32" s="70"/>
      <c r="M32" s="71"/>
      <c r="N32" s="202">
        <v>1</v>
      </c>
      <c r="O32" s="70"/>
      <c r="P32" s="71"/>
    </row>
    <row r="33" spans="1:16" s="110" customFormat="1" ht="27" hidden="1" customHeight="1">
      <c r="A33" s="1528"/>
      <c r="B33" s="159" t="s">
        <v>2285</v>
      </c>
      <c r="C33" s="2962" t="s">
        <v>2300</v>
      </c>
      <c r="D33" s="2963"/>
      <c r="E33" s="2963"/>
      <c r="F33" s="2963"/>
      <c r="G33" s="2963"/>
      <c r="H33" s="2963"/>
      <c r="I33" s="2964"/>
      <c r="L33" s="70"/>
      <c r="M33" s="71"/>
      <c r="N33" s="202">
        <v>1</v>
      </c>
      <c r="O33" s="70"/>
      <c r="P33" s="71"/>
    </row>
    <row r="34" spans="1:16" s="110" customFormat="1" ht="25.5" hidden="1" customHeight="1">
      <c r="A34" s="1528"/>
      <c r="B34" s="159" t="s">
        <v>2286</v>
      </c>
      <c r="C34" s="2962" t="s">
        <v>2301</v>
      </c>
      <c r="D34" s="2963"/>
      <c r="E34" s="2963"/>
      <c r="F34" s="2963"/>
      <c r="G34" s="2963"/>
      <c r="H34" s="2963"/>
      <c r="I34" s="2964"/>
      <c r="L34" s="70"/>
      <c r="M34" s="71"/>
      <c r="N34" s="202">
        <v>1</v>
      </c>
      <c r="O34" s="70"/>
      <c r="P34" s="71"/>
    </row>
    <row r="35" spans="1:16" ht="15" hidden="1" customHeight="1" thickBot="1">
      <c r="A35" s="1532"/>
      <c r="B35" s="183" t="s">
        <v>2291</v>
      </c>
      <c r="C35" s="2968" t="s">
        <v>2302</v>
      </c>
      <c r="D35" s="2969"/>
      <c r="E35" s="2969"/>
      <c r="F35" s="2969"/>
      <c r="G35" s="2969"/>
      <c r="H35" s="2969"/>
      <c r="I35" s="2970"/>
      <c r="N35" s="202">
        <v>1</v>
      </c>
    </row>
    <row r="36" spans="1:16" hidden="1">
      <c r="A36" s="1532"/>
    </row>
  </sheetData>
  <mergeCells count="12">
    <mergeCell ref="C29:I29"/>
    <mergeCell ref="B3:C3"/>
    <mergeCell ref="N3:O3"/>
    <mergeCell ref="U3:V3"/>
    <mergeCell ref="B16:C16"/>
    <mergeCell ref="C28:I28"/>
    <mergeCell ref="C35:I35"/>
    <mergeCell ref="C30:I30"/>
    <mergeCell ref="C31:I31"/>
    <mergeCell ref="C32:I32"/>
    <mergeCell ref="C33:I33"/>
    <mergeCell ref="C34:I34"/>
  </mergeCells>
  <conditionalFormatting sqref="K6:K7 K9:K15">
    <cfRule type="cellIs" dxfId="370" priority="6" operator="equal">
      <formula>0</formula>
    </cfRule>
  </conditionalFormatting>
  <conditionalFormatting sqref="K8:K10">
    <cfRule type="cellIs" dxfId="369"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rgb="FF003479"/>
    <pageSetUpPr fitToPage="1"/>
  </sheetPr>
  <dimension ref="A1:L35"/>
  <sheetViews>
    <sheetView topLeftCell="A1048576" workbookViewId="0"/>
  </sheetViews>
  <sheetFormatPr defaultColWidth="0" defaultRowHeight="14.25" customHeight="1" zeroHeight="1"/>
  <cols>
    <col min="1" max="1" width="0.58203125" style="8" customWidth="1"/>
    <col min="2" max="8" width="8.58203125" style="8" hidden="1" customWidth="1"/>
    <col min="9" max="16384" width="8.58203125" style="8" hidden="1"/>
  </cols>
  <sheetData>
    <row r="1" spans="12:12" ht="14" hidden="1">
      <c r="L1" s="483"/>
    </row>
    <row r="2" spans="12:12" ht="14.25" hidden="1" customHeight="1">
      <c r="L2" s="483"/>
    </row>
    <row r="3" spans="12:12" ht="14.25" hidden="1" customHeight="1">
      <c r="L3" s="483"/>
    </row>
    <row r="4" spans="12:12" ht="14.25" hidden="1" customHeight="1">
      <c r="L4" s="483"/>
    </row>
    <row r="5" spans="12:12" ht="14.25" hidden="1" customHeight="1">
      <c r="L5" s="483"/>
    </row>
    <row r="6" spans="12:12" ht="14.25" hidden="1" customHeight="1">
      <c r="L6" s="483">
        <f>IF(Validation!$H$3=1,0,IF(ISNUMBER(#REF!),0,1))</f>
        <v>0</v>
      </c>
    </row>
    <row r="7" spans="12:12" ht="14.25" hidden="1" customHeight="1">
      <c r="L7" s="483"/>
    </row>
    <row r="8" spans="12:12" ht="14.25" hidden="1" customHeight="1">
      <c r="L8" s="483"/>
    </row>
    <row r="9" spans="12:12" ht="14.25" hidden="1" customHeight="1">
      <c r="L9" s="483"/>
    </row>
    <row r="10" spans="12:12" ht="14.25" hidden="1" customHeight="1">
      <c r="L10" s="483"/>
    </row>
    <row r="11" spans="12:12" ht="14.25" hidden="1" customHeight="1">
      <c r="L11" s="483"/>
    </row>
    <row r="12" spans="12:12" ht="14.25" hidden="1" customHeight="1">
      <c r="L12" s="483"/>
    </row>
    <row r="13" spans="12:12" ht="14.25" hidden="1" customHeight="1">
      <c r="L13" s="483"/>
    </row>
    <row r="14" spans="12:12" ht="14.25" hidden="1" customHeight="1">
      <c r="L14" s="483"/>
    </row>
    <row r="15" spans="12:12" ht="14.25" hidden="1" customHeight="1">
      <c r="L15" s="483"/>
    </row>
    <row r="16" spans="12:12" ht="14.25" hidden="1" customHeight="1">
      <c r="L16" s="483"/>
    </row>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ht="14.25" hidden="1" customHeight="1"/>
    <row r="34" ht="14.25" hidden="1" customHeight="1"/>
    <row r="35" ht="14.25" hidden="1" customHeight="1"/>
  </sheetData>
  <sheetProtection algorithmName="SHA-512" hashValue="AM2hBQruweZdbD+EEwaG25dD4ugN9gyvdaBnjFTuY2nSulHK01qsIf3g2CJ8hulg2x7fcYrB3VtesSWOF69p+g==" saltValue="0S6xJaumTuGon/zPy9NNhg=="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tabColor rgb="FF92D050"/>
    <pageSetUpPr fitToPage="1"/>
  </sheetPr>
  <dimension ref="A1:AJ98"/>
  <sheetViews>
    <sheetView showGridLines="0" topLeftCell="E1" zoomScale="80" zoomScaleNormal="80" workbookViewId="0">
      <selection activeCell="C25" sqref="C1:N25"/>
    </sheetView>
  </sheetViews>
  <sheetFormatPr defaultColWidth="0" defaultRowHeight="14" zeroHeight="1"/>
  <cols>
    <col min="1" max="1" width="1.25" style="82" customWidth="1"/>
    <col min="2" max="2" width="12.83203125" style="8" customWidth="1"/>
    <col min="3" max="3" width="19.5" style="8" customWidth="1"/>
    <col min="4" max="4" width="71.5" style="8" customWidth="1"/>
    <col min="5" max="5" width="8.58203125" style="8" customWidth="1"/>
    <col min="6" max="6" width="36.58203125" style="483" customWidth="1"/>
    <col min="7" max="7" width="8.58203125" style="483" customWidth="1"/>
    <col min="8" max="8" width="15.58203125" style="483" customWidth="1"/>
    <col min="9" max="9" width="15.58203125" style="719" customWidth="1"/>
    <col min="10" max="10" width="15.58203125" style="8" customWidth="1"/>
    <col min="11" max="11" width="27.5" style="8" customWidth="1"/>
    <col min="12" max="12" width="17.5" style="8" customWidth="1"/>
    <col min="13" max="13" width="27.5" style="8" customWidth="1"/>
    <col min="14" max="14" width="17.5" style="8" customWidth="1"/>
    <col min="15" max="15" width="28.08203125" style="8" customWidth="1"/>
    <col min="16" max="16" width="23.08203125" style="8" customWidth="1"/>
    <col min="17" max="17" width="2.58203125" style="70" customWidth="1"/>
    <col min="18" max="18" width="21.58203125" style="70" customWidth="1"/>
    <col min="19" max="19" width="19.58203125" style="70" customWidth="1"/>
    <col min="20" max="20" width="1.58203125" style="70" customWidth="1"/>
    <col min="21" max="21" width="1.58203125" style="71" hidden="1" customWidth="1"/>
    <col min="22" max="30" width="3.58203125" style="70" hidden="1" customWidth="1"/>
    <col min="31" max="31" width="1.58203125" style="71" hidden="1" customWidth="1"/>
    <col min="32" max="33" width="12.5" style="8" hidden="1" customWidth="1"/>
    <col min="34" max="34" width="1.58203125" style="515" hidden="1" customWidth="1"/>
    <col min="35" max="35" width="12.58203125" style="8" hidden="1" customWidth="1"/>
    <col min="36" max="36" width="25.75" style="2107" hidden="1" customWidth="1"/>
    <col min="37" max="16384" width="8.58203125" style="8" hidden="1"/>
  </cols>
  <sheetData>
    <row r="1" spans="1:36" s="75" customFormat="1" ht="22.5" customHeight="1">
      <c r="A1" s="162"/>
      <c r="B1" s="66" t="s">
        <v>2303</v>
      </c>
      <c r="C1" s="66"/>
      <c r="D1" s="66"/>
      <c r="E1" s="66"/>
      <c r="F1" s="68" t="str">
        <f>Validation!B3</f>
        <v>Bristol Water</v>
      </c>
      <c r="G1" s="66"/>
      <c r="H1" s="66"/>
      <c r="I1" s="715"/>
      <c r="J1" s="66"/>
      <c r="K1" s="66"/>
      <c r="L1" s="66"/>
      <c r="M1" s="66"/>
      <c r="N1" s="66"/>
      <c r="O1" s="68"/>
      <c r="P1" s="68" t="str">
        <f>Validation!B3</f>
        <v>Bristol Water</v>
      </c>
      <c r="Q1" s="66"/>
      <c r="R1" s="69"/>
      <c r="S1" s="69" t="s">
        <v>32</v>
      </c>
      <c r="T1" s="70"/>
      <c r="U1" s="71"/>
      <c r="V1" s="303"/>
      <c r="W1" s="70"/>
      <c r="X1" s="70"/>
      <c r="Y1" s="70"/>
      <c r="Z1" s="70"/>
      <c r="AA1" s="70"/>
      <c r="AB1" s="70"/>
      <c r="AC1" s="70"/>
      <c r="AD1" s="70"/>
      <c r="AE1" s="71"/>
      <c r="AH1" s="510"/>
      <c r="AJ1" s="2102"/>
    </row>
    <row r="2" spans="1:36" s="75" customFormat="1" ht="16.5" customHeight="1" thickBot="1">
      <c r="A2" s="162"/>
      <c r="B2" s="73" t="s">
        <v>18</v>
      </c>
      <c r="C2" s="304"/>
      <c r="D2" s="162"/>
      <c r="E2" s="162"/>
      <c r="F2" s="162"/>
      <c r="G2" s="162"/>
      <c r="H2" s="162"/>
      <c r="I2" s="716"/>
      <c r="J2" s="162"/>
      <c r="K2" s="162"/>
      <c r="L2" s="162"/>
      <c r="M2" s="162"/>
      <c r="N2" s="162"/>
      <c r="O2" s="162"/>
      <c r="P2" s="162"/>
      <c r="Q2" s="162"/>
      <c r="R2" s="162"/>
      <c r="S2" s="70"/>
      <c r="T2" s="70"/>
      <c r="U2" s="71"/>
      <c r="V2" s="76" t="s">
        <v>45</v>
      </c>
      <c r="W2" s="2822"/>
      <c r="X2" s="2822"/>
      <c r="Y2" s="2822"/>
      <c r="Z2" s="2822"/>
      <c r="AA2" s="2822"/>
      <c r="AB2" s="2822"/>
      <c r="AC2" s="2822"/>
      <c r="AD2" s="2822"/>
      <c r="AE2" s="71"/>
      <c r="AF2" s="508" t="s">
        <v>2304</v>
      </c>
      <c r="AG2" s="508"/>
      <c r="AH2" s="510"/>
      <c r="AJ2" s="2102"/>
    </row>
    <row r="3" spans="1:36" s="308" customFormat="1" ht="108.75" customHeight="1" thickBot="1">
      <c r="A3" s="74"/>
      <c r="B3" s="296" t="s">
        <v>2305</v>
      </c>
      <c r="C3" s="2834" t="s">
        <v>2306</v>
      </c>
      <c r="D3" s="305" t="s">
        <v>2307</v>
      </c>
      <c r="E3" s="306" t="s">
        <v>2308</v>
      </c>
      <c r="F3" s="306" t="s">
        <v>2309</v>
      </c>
      <c r="G3" s="306" t="s">
        <v>2310</v>
      </c>
      <c r="H3" s="306" t="s">
        <v>2311</v>
      </c>
      <c r="I3" s="306" t="s">
        <v>2312</v>
      </c>
      <c r="J3" s="306" t="s">
        <v>2313</v>
      </c>
      <c r="K3" s="307" t="s">
        <v>2314</v>
      </c>
      <c r="L3" s="307" t="s">
        <v>2315</v>
      </c>
      <c r="M3" s="307" t="s">
        <v>2316</v>
      </c>
      <c r="N3" s="307" t="s">
        <v>2317</v>
      </c>
      <c r="O3" s="2806" t="s">
        <v>2318</v>
      </c>
      <c r="P3" s="2807" t="s">
        <v>2319</v>
      </c>
      <c r="Q3" s="70"/>
      <c r="R3" s="186" t="s">
        <v>2320</v>
      </c>
      <c r="S3" s="187" t="s">
        <v>41</v>
      </c>
      <c r="T3" s="70"/>
      <c r="U3" s="71"/>
      <c r="V3" s="1347" t="s">
        <v>46</v>
      </c>
      <c r="W3" s="1348"/>
      <c r="X3" s="1348"/>
      <c r="Y3" s="1348"/>
      <c r="Z3" s="1348"/>
      <c r="AA3" s="1348"/>
      <c r="AB3" s="1348"/>
      <c r="AC3" s="1348"/>
      <c r="AD3" s="1348"/>
      <c r="AE3" s="71"/>
      <c r="AF3" s="517" t="s">
        <v>2321</v>
      </c>
      <c r="AG3" s="517" t="s">
        <v>2322</v>
      </c>
      <c r="AH3" s="511"/>
      <c r="AJ3" s="2103"/>
    </row>
    <row r="4" spans="1:36" s="308" customFormat="1" ht="15" customHeight="1" thickBot="1">
      <c r="A4" s="74"/>
      <c r="B4" s="74"/>
      <c r="C4" s="74"/>
      <c r="D4" s="74"/>
      <c r="E4" s="74"/>
      <c r="F4" s="74"/>
      <c r="G4" s="74"/>
      <c r="H4" s="74"/>
      <c r="I4" s="166"/>
      <c r="J4" s="74"/>
      <c r="K4" s="74"/>
      <c r="L4" s="74"/>
      <c r="M4" s="74"/>
      <c r="N4" s="74"/>
      <c r="O4" s="74"/>
      <c r="P4" s="74"/>
      <c r="Q4" s="74"/>
      <c r="R4" s="74"/>
      <c r="S4" s="74"/>
      <c r="T4" s="70"/>
      <c r="U4" s="71"/>
      <c r="V4" s="309" t="s">
        <v>2323</v>
      </c>
      <c r="W4" s="310" t="s">
        <v>2324</v>
      </c>
      <c r="X4" s="310" t="s">
        <v>2325</v>
      </c>
      <c r="Y4" s="310" t="s">
        <v>2326</v>
      </c>
      <c r="Z4" s="310" t="s">
        <v>2327</v>
      </c>
      <c r="AA4" s="310" t="s">
        <v>2328</v>
      </c>
      <c r="AB4" s="310" t="s">
        <v>2329</v>
      </c>
      <c r="AC4" s="310" t="s">
        <v>2330</v>
      </c>
      <c r="AD4" s="310" t="s">
        <v>2331</v>
      </c>
      <c r="AE4" s="71"/>
      <c r="AH4" s="511"/>
      <c r="AJ4" s="2103"/>
    </row>
    <row r="5" spans="1:36" s="308" customFormat="1" ht="30" customHeight="1">
      <c r="A5" s="74"/>
      <c r="B5" s="288">
        <v>1</v>
      </c>
      <c r="C5" s="311" t="str">
        <f>IF($P$1="Select company","",IF((HLOOKUP((VLOOKUP($P$1,Lists!$B$4:$C$26,2,FALSE)),'PC list edited'!$A$2:$EJ$65,(B5+1),FALSE))=0,"",HLOOKUP((VLOOKUP($P$1,Lists!$B$4:$C$26,2,FALSE)),'PC list edited'!$A$2:$EJ$65,(B5+1),FALSE)))</f>
        <v>PR14BRLWSW_A1</v>
      </c>
      <c r="D5" s="312" t="str">
        <f>IF($P$1="Select company","",IF(C5 ="","",HLOOKUP(((VLOOKUP($P$1,Lists!$B$4:$C$26,2,FALSE))&amp;"PC"),'PC list edited'!$A$2:$EJ$65,(B5+1),FALSE)))</f>
        <v>A1: Unplanned customer minutes lost</v>
      </c>
      <c r="E5" s="313" t="str">
        <f>IF($P$1="Select company","",IF(C5 ="","",HLOOKUP(((VLOOKUP($P$1,Lists!$B$4:$C$26,2,FALSE))&amp;"unit"),'PC list edited'!$A$2:$EJ$65,(B5+1),FALSE)))</f>
        <v>time</v>
      </c>
      <c r="F5" s="313" t="str">
        <f>IF($P$1="Select company","",IF(C5 ="","",HLOOKUP(((VLOOKUP($P$1,Lists!$B$4:$C$26,2,FALSE))&amp;"UnitDes"),'PC list edited'!$A$2:$EJ$65,(B5+1),FALSE)))</f>
        <v>Minutes / property / year</v>
      </c>
      <c r="G5" s="518">
        <f>IF($P$1="Select company","",IF(C5="","",HLOOKUP(((VLOOKUP($P$1,Lists!$B$4:$C$26,2,FALSE))&amp;"DP"),'PC list edited'!$A$2:$EJ$65,(B5+1),FALSE)))</f>
        <v>1</v>
      </c>
      <c r="H5" s="518">
        <f>IF($P$1="Select company","",IF(C5 = "","",HLOOKUP(((VLOOKUP($P$1,Lists!$B$4:$C$26,2,FALSE))&amp;"201819Actual"),'PC list edited'!$A$2:$EJ$65,(B5+1),FALSE)))</f>
        <v>14.67</v>
      </c>
      <c r="I5" s="552">
        <v>11.1</v>
      </c>
      <c r="J5" s="667" t="s">
        <v>2459</v>
      </c>
      <c r="K5" s="501" t="s">
        <v>2451</v>
      </c>
      <c r="L5" s="502"/>
      <c r="M5" s="501" t="s">
        <v>8380</v>
      </c>
      <c r="N5" s="502"/>
      <c r="O5" s="2808"/>
      <c r="P5" s="2809"/>
      <c r="Q5" s="70"/>
      <c r="R5" s="507">
        <f>IF(AF5=1, $AF$3, IF(AG5=1, $AG$3, 0))</f>
        <v>0</v>
      </c>
      <c r="S5" s="24">
        <f xml:space="preserve"> IF( SUM( U5:AE5 ) = 0, 0, $V$3 )</f>
        <v>0</v>
      </c>
      <c r="T5" s="70"/>
      <c r="U5" s="71"/>
      <c r="V5" s="93">
        <f>IF($C5="",0,IF(ISBLANK(I5)=FALSE,0,1))</f>
        <v>0</v>
      </c>
      <c r="W5" s="93">
        <f>IF($C5="",0,IF(ISBLANK(#REF!)=FALSE,0,1))</f>
        <v>0</v>
      </c>
      <c r="X5" s="93">
        <f t="shared" ref="X5:X49" si="0">IF($C5="",0,IF(ISBLANK(J5)=FALSE,0,1))</f>
        <v>0</v>
      </c>
      <c r="Y5" s="93">
        <f>IF(OR(ISBLANK(L5), L5=0), 0, IF(OR(K5=Lists!$F$11, K5=Lists!$F$13), 0, 1))</f>
        <v>0</v>
      </c>
      <c r="Z5" s="93">
        <f>IF(OR($C5="", AND(NOT(K5=Lists!$F$11), NOT(K5=Lists!$F$13))),0,IF(ISBLANK(L5)=FALSE,0,1))</f>
        <v>0</v>
      </c>
      <c r="AA5" s="93">
        <f>IF(OR(ISBLANK(N5), N5=0), 0, IF(OR(M5=Lists!$F$11, M5=Lists!$F$13), 0, 1))</f>
        <v>0</v>
      </c>
      <c r="AB5" s="93">
        <f>IF(OR($C5="", AND(NOT(M5=Lists!$F$11), NOT(M5=Lists!$F$13))),0,IF(ISBLANK(N5)=FALSE,0,1))</f>
        <v>0</v>
      </c>
      <c r="AC5" s="93">
        <f>IF(OR(ISBLANK(P5), P5=0), 0, IF(OR(O5=Lists!$F$11, O5=Lists!$F$13), 0, 1))</f>
        <v>0</v>
      </c>
      <c r="AD5" s="93">
        <f>IF(OR($C5="", AND(NOT(O5=Lists!$F$11), NOT(O5=Lists!$F$13))),0,IF(ISBLANK(P5)=FALSE,0,1))</f>
        <v>0</v>
      </c>
      <c r="AE5" s="71"/>
      <c r="AF5" s="509">
        <f xml:space="preserve"> IF(OR( AND( K5 = Lists!$F$11, '3A'!L5 &lt; 0), AND( '3A'!M5 = Lists!$F$11, '3A'!N5 &lt; 0), AND( '3A'!O5 = Lists!$F$11, '3A'!P5 &lt; 0)), 1, 0)</f>
        <v>0</v>
      </c>
      <c r="AG5" s="509">
        <f xml:space="preserve"> IF( OR( AND( K5 = Lists!$F$13, '3A'!L5 &gt; 0), AND( M5 = Lists!$F$13, '3A'!N5 &gt; 0), AND( O5 = Lists!$F$13, '3A'!P5 &gt; 0 )), 1, 0)</f>
        <v>0</v>
      </c>
      <c r="AH5" s="511"/>
      <c r="AI5" s="670" t="str">
        <f>IF($P$1="Select company","",IF((HLOOKUP(((VLOOKUP($P$1,Lists!$B$4:$C$26,2,FALSE))&amp;'PC LIST'!$J$2),'PC list edited'!$A$2:$EJ$65,(B5+1),FALSE))=0,"",HLOOKUP(((VLOOKUP($P$1,Lists!$B$4:$C$26,2,FALSE))&amp; 'PC LIST'!$J$2),'PC list edited'!$A$2:$EJ$65,(B5+1),FALSE)))</f>
        <v>Out &amp; under</v>
      </c>
      <c r="AJ5" s="2104" t="str">
        <f>IFERROR(INDEX('PC LIST'!N$3:N$631, MATCH($C5, 'PC LIST'!$B$3:$B$631, 0)),"")</f>
        <v>Supply interruptions</v>
      </c>
    </row>
    <row r="6" spans="1:36" s="308" customFormat="1" ht="30" customHeight="1">
      <c r="A6" s="74"/>
      <c r="B6" s="289">
        <f xml:space="preserve"> B5 + 1</f>
        <v>2</v>
      </c>
      <c r="C6" s="500" t="str">
        <f>IF($P$1="Select company","",IF((HLOOKUP((VLOOKUP($P$1,Lists!$B$4:$C$26,2,FALSE)),'PC list edited'!$A$2:$EJ$65,(B6+1),FALSE))=0,"",HLOOKUP((VLOOKUP($P$1,Lists!$B$4:$C$26,2,FALSE)),'PC list edited'!$A$2:$EJ$65,(B6+1),FALSE)))</f>
        <v>PR14BRLWSW_A2</v>
      </c>
      <c r="D6" s="499" t="str">
        <f>IF($P$1="Select company","",IF(C6 ="","",HLOOKUP(((VLOOKUP($P$1,Lists!$B$4:$C$26,2,FALSE))&amp;"PC"),'PC list edited'!$A$2:$EJ$65,(B6+1),FALSE)))</f>
        <v>A2: Asset reliability - infrastructure</v>
      </c>
      <c r="E6" s="314" t="str">
        <f>IF($P$1="Select company","",IF(C6 ="","",HLOOKUP(((VLOOKUP($P$1,Lists!$B$4:$C$26,2,FALSE))&amp;"unit"),'PC list edited'!$A$2:$EJ$65,(B6+1),FALSE)))</f>
        <v>category</v>
      </c>
      <c r="F6" s="314" t="str">
        <f>IF($P$1="Select company","",IF(C6 ="","",HLOOKUP(((VLOOKUP($P$1,Lists!$B$4:$C$26,2,FALSE))&amp;"UnitDes"),'PC list edited'!$A$2:$EJ$65,(B6+1),FALSE)))</f>
        <v>Asset health indicator</v>
      </c>
      <c r="G6" s="519" t="str">
        <f>IF($P$1="Select company","",IF(C6="","",HLOOKUP(((VLOOKUP($P$1,Lists!$B$4:$C$26,2,FALSE))&amp;"DP"),'PC list edited'!$A$2:$EJ$65,(B6+1),FALSE)))</f>
        <v>na</v>
      </c>
      <c r="H6" s="519" t="str">
        <f>IF($P$1="Select company","",IF(C6 = "","",HLOOKUP(((VLOOKUP($P$1,Lists!$B$4:$C$26,2,FALSE))&amp;"201819Actual"),'PC list edited'!$A$2:$EJ$65,(B6+1),FALSE)))</f>
        <v>Marginal</v>
      </c>
      <c r="I6" s="554" t="s">
        <v>8706</v>
      </c>
      <c r="J6" s="668" t="s">
        <v>2459</v>
      </c>
      <c r="K6" s="503" t="s">
        <v>2451</v>
      </c>
      <c r="L6" s="504"/>
      <c r="M6" s="503" t="s">
        <v>2451</v>
      </c>
      <c r="N6" s="504"/>
      <c r="O6" s="2810"/>
      <c r="P6" s="2811"/>
      <c r="Q6" s="70"/>
      <c r="R6" s="507">
        <f>IF(AF6=1, $AF$3, IF(AG6=1, $AG$3, 0))</f>
        <v>0</v>
      </c>
      <c r="S6" s="24">
        <f t="shared" ref="S6:S36" si="1" xml:space="preserve"> IF( SUM( U6:AE6 ) = 0, 0, $V$3 )</f>
        <v>0</v>
      </c>
      <c r="T6" s="70"/>
      <c r="U6" s="71"/>
      <c r="V6" s="93">
        <f t="shared" ref="V6:V36" si="2">IF($C6="",0,IF(ISBLANK(I6)=FALSE,0,1))</f>
        <v>0</v>
      </c>
      <c r="W6" s="93">
        <f>IF($C6="",0,IF(ISBLANK(#REF!)=FALSE,0,1))</f>
        <v>0</v>
      </c>
      <c r="X6" s="93">
        <f t="shared" si="0"/>
        <v>0</v>
      </c>
      <c r="Y6" s="93">
        <f>IF(OR(ISBLANK(L6), L6=0), 0, IF(OR(K6=Lists!$F$11, K6=Lists!$F$13), 0, 1))</f>
        <v>0</v>
      </c>
      <c r="Z6" s="93">
        <f>IF(OR($C6="", AND(NOT(K6=Lists!$F$11), NOT(K6=Lists!$F$13))),0,IF(ISBLANK(L6)=FALSE,0,1))</f>
        <v>0</v>
      </c>
      <c r="AA6" s="93">
        <f>IF(OR(ISBLANK(N6), N6=0), 0, IF(OR(M6=Lists!$F$11, M6=Lists!$F$13), 0, 1))</f>
        <v>0</v>
      </c>
      <c r="AB6" s="93">
        <f>IF(OR($C6="", AND(NOT(M6=Lists!$F$11), NOT(M6=Lists!$F$13))),0,IF(ISBLANK(N6)=FALSE,0,1))</f>
        <v>0</v>
      </c>
      <c r="AC6" s="93">
        <f>IF(OR(ISBLANK(P6), P6=0), 0, IF(OR(O6=Lists!$F$11, O6=Lists!$F$13), 0, 1))</f>
        <v>0</v>
      </c>
      <c r="AD6" s="93">
        <f>IF(OR($C6="", AND(NOT(O6=Lists!$F$11), NOT(O6=Lists!$F$13))),0,IF(ISBLANK(P6)=FALSE,0,1))</f>
        <v>0</v>
      </c>
      <c r="AE6" s="71"/>
      <c r="AF6" s="509">
        <f xml:space="preserve"> IF(OR( AND( K6 = Lists!$F$11, '3A'!L6 &lt; 0), AND( '3A'!M6 = Lists!$F$11, '3A'!N6 &lt; 0), AND( '3A'!O6 = Lists!$F$11, '3A'!P6 &lt; 0)), 1, 0)</f>
        <v>0</v>
      </c>
      <c r="AG6" s="509">
        <f xml:space="preserve"> IF( OR( AND( K6 = Lists!$F$13, '3A'!L6 &gt; 0), AND( M6 = Lists!$F$13, '3A'!N6 &gt; 0), AND( O6 = Lists!$F$13, '3A'!P6 &gt; 0 )), 1, 0)</f>
        <v>0</v>
      </c>
      <c r="AH6" s="511"/>
      <c r="AI6" s="670" t="str">
        <f>IF($P$1="Select company","",IF((HLOOKUP(((VLOOKUP($P$1,Lists!$B$4:$C$26,2,FALSE))&amp;'PC LIST'!$J$2),'PC list edited'!$A$2:$EJ$65,(B6+1),FALSE))=0,"",HLOOKUP(((VLOOKUP($P$1,Lists!$B$4:$C$26,2,FALSE))&amp; 'PC LIST'!$J$2),'PC list edited'!$A$2:$EJ$65,(B6+1),FALSE)))</f>
        <v>Under</v>
      </c>
      <c r="AJ6" s="2104" t="str">
        <f>IFERROR(INDEX('PC LIST'!N$3:N$631, MATCH($C6, 'PC LIST'!$B$3:$B$631, 0)),"")</f>
        <v>Asset health - water</v>
      </c>
    </row>
    <row r="7" spans="1:36" s="308" customFormat="1" ht="30" customHeight="1">
      <c r="A7" s="74"/>
      <c r="B7" s="289">
        <f t="shared" ref="B7:B60" si="3" xml:space="preserve"> B6 + 1</f>
        <v>3</v>
      </c>
      <c r="C7" s="500" t="str">
        <f>IF($P$1="Select company","",IF((HLOOKUP((VLOOKUP($P$1,Lists!$B$4:$C$26,2,FALSE)),'PC list edited'!$A$2:$EJ$65,(B7+1),FALSE))=0,"",HLOOKUP((VLOOKUP($P$1,Lists!$B$4:$C$26,2,FALSE)),'PC list edited'!$A$2:$EJ$65,(B7+1),FALSE)))</f>
        <v>PR14BRLWSW_A3</v>
      </c>
      <c r="D7" s="499" t="str">
        <f>IF($P$1="Select company","",IF(C7 ="","",HLOOKUP(((VLOOKUP($P$1,Lists!$B$4:$C$26,2,FALSE))&amp;"PC"),'PC list edited'!$A$2:$EJ$65,(B7+1),FALSE)))</f>
        <v>A3: Asset reliability - non-infrastructure</v>
      </c>
      <c r="E7" s="314" t="str">
        <f>IF($P$1="Select company","",IF(C7 ="","",HLOOKUP(((VLOOKUP($P$1,Lists!$B$4:$C$26,2,FALSE))&amp;"unit"),'PC list edited'!$A$2:$EJ$65,(B7+1),FALSE)))</f>
        <v>category</v>
      </c>
      <c r="F7" s="314" t="str">
        <f>IF($P$1="Select company","",IF(C7 ="","",HLOOKUP(((VLOOKUP($P$1,Lists!$B$4:$C$26,2,FALSE))&amp;"UnitDes"),'PC list edited'!$A$2:$EJ$65,(B7+1),FALSE)))</f>
        <v>Asset health indicator</v>
      </c>
      <c r="G7" s="519" t="str">
        <f>IF($P$1="Select company","",IF(C7="","",HLOOKUP(((VLOOKUP($P$1,Lists!$B$4:$C$26,2,FALSE))&amp;"DP"),'PC list edited'!$A$2:$EJ$65,(B7+1),FALSE)))</f>
        <v>na</v>
      </c>
      <c r="H7" s="519" t="str">
        <f>IF($P$1="Select company","",IF(C7 = "","",HLOOKUP(((VLOOKUP($P$1,Lists!$B$4:$C$26,2,FALSE))&amp;"201819Actual"),'PC list edited'!$A$2:$EJ$65,(B7+1),FALSE)))</f>
        <v>Stable</v>
      </c>
      <c r="I7" s="554" t="s">
        <v>8706</v>
      </c>
      <c r="J7" s="668" t="s">
        <v>2459</v>
      </c>
      <c r="K7" s="503" t="s">
        <v>2451</v>
      </c>
      <c r="L7" s="504"/>
      <c r="M7" s="503" t="s">
        <v>2451</v>
      </c>
      <c r="N7" s="504"/>
      <c r="O7" s="2810"/>
      <c r="P7" s="2811"/>
      <c r="Q7" s="70"/>
      <c r="R7" s="507">
        <f t="shared" ref="R7:R60" si="4">IF(AF7=1, $AF$3, IF(AG7=1, $AG$3, 0))</f>
        <v>0</v>
      </c>
      <c r="S7" s="24">
        <f t="shared" si="1"/>
        <v>0</v>
      </c>
      <c r="T7" s="70"/>
      <c r="U7" s="71"/>
      <c r="V7" s="93">
        <f t="shared" si="2"/>
        <v>0</v>
      </c>
      <c r="W7" s="93">
        <f>IF($C7="",0,IF(ISBLANK(#REF!)=FALSE,0,1))</f>
        <v>0</v>
      </c>
      <c r="X7" s="93">
        <f t="shared" si="0"/>
        <v>0</v>
      </c>
      <c r="Y7" s="93">
        <f>IF(OR(ISBLANK(L7), L7=0), 0, IF(OR(K7=Lists!$F$11, K7=Lists!$F$13), 0, 1))</f>
        <v>0</v>
      </c>
      <c r="Z7" s="93">
        <f>IF(OR($C7="", AND(NOT(K7=Lists!$F$11), NOT(K7=Lists!$F$13))),0,IF(ISBLANK(L7)=FALSE,0,1))</f>
        <v>0</v>
      </c>
      <c r="AA7" s="93">
        <f>IF(OR(ISBLANK(N7), N7=0), 0, IF(OR(M7=Lists!$F$11, M7=Lists!$F$13), 0, 1))</f>
        <v>0</v>
      </c>
      <c r="AB7" s="93">
        <f>IF(OR($C7="", AND(NOT(M7=Lists!$F$11), NOT(M7=Lists!$F$13))),0,IF(ISBLANK(N7)=FALSE,0,1))</f>
        <v>0</v>
      </c>
      <c r="AC7" s="93">
        <f>IF(OR(ISBLANK(P7), P7=0), 0, IF(OR(O7=Lists!$F$11, O7=Lists!$F$13), 0, 1))</f>
        <v>0</v>
      </c>
      <c r="AD7" s="93">
        <f>IF(OR($C7="", AND(NOT(O7=Lists!$F$11), NOT(O7=Lists!$F$13))),0,IF(ISBLANK(P7)=FALSE,0,1))</f>
        <v>0</v>
      </c>
      <c r="AE7" s="71"/>
      <c r="AF7" s="509">
        <f xml:space="preserve"> IF(OR( AND( K7 = Lists!$F$11, '3A'!L7 &lt; 0), AND( '3A'!M7 = Lists!$F$11, '3A'!N7 &lt; 0), AND( '3A'!O7 = Lists!$F$11, '3A'!P7 &lt; 0)), 1, 0)</f>
        <v>0</v>
      </c>
      <c r="AG7" s="509">
        <f xml:space="preserve"> IF( OR( AND( K7 = Lists!$F$13, '3A'!L7 &gt; 0), AND( M7 = Lists!$F$13, '3A'!N7 &gt; 0), AND( O7 = Lists!$F$13, '3A'!P7 &gt; 0 )), 1, 0)</f>
        <v>0</v>
      </c>
      <c r="AH7" s="511"/>
      <c r="AI7" s="670" t="str">
        <f>IF($P$1="Select company","",IF((HLOOKUP(((VLOOKUP($P$1,Lists!$B$4:$C$26,2,FALSE))&amp;'PC LIST'!$J$2),'PC list edited'!$A$2:$EJ$65,(B7+1),FALSE))=0,"",HLOOKUP(((VLOOKUP($P$1,Lists!$B$4:$C$26,2,FALSE))&amp; 'PC LIST'!$J$2),'PC list edited'!$A$2:$EJ$65,(B7+1),FALSE)))</f>
        <v>Under</v>
      </c>
      <c r="AJ7" s="2104" t="str">
        <f>IFERROR(INDEX('PC LIST'!N$3:N$631, MATCH($C7, 'PC LIST'!$B$3:$B$631, 0)),"")</f>
        <v>Asset health - water</v>
      </c>
    </row>
    <row r="8" spans="1:36" s="308" customFormat="1" ht="30" customHeight="1">
      <c r="A8" s="74"/>
      <c r="B8" s="289">
        <f t="shared" si="3"/>
        <v>4</v>
      </c>
      <c r="C8" s="500" t="str">
        <f>IF($P$1="Select company","",IF((HLOOKUP((VLOOKUP($P$1,Lists!$B$4:$C$26,2,FALSE)),'PC list edited'!$A$2:$EJ$65,(B8+1),FALSE))=0,"",HLOOKUP((VLOOKUP($P$1,Lists!$B$4:$C$26,2,FALSE)),'PC list edited'!$A$2:$EJ$65,(B8+1),FALSE)))</f>
        <v>PR14BRLWSW_B1</v>
      </c>
      <c r="D8" s="499" t="str">
        <f>IF($P$1="Select company","",IF(C8 ="","",HLOOKUP(((VLOOKUP($P$1,Lists!$B$4:$C$26,2,FALSE))&amp;"PC"),'PC list edited'!$A$2:$EJ$65,(B8+1),FALSE)))</f>
        <v>B1: Population in centres &gt;25,000 at risk from asset failure</v>
      </c>
      <c r="E8" s="314" t="str">
        <f>IF($P$1="Select company","",IF(C8 ="","",HLOOKUP(((VLOOKUP($P$1,Lists!$B$4:$C$26,2,FALSE))&amp;"unit"),'PC list edited'!$A$2:$EJ$65,(B8+1),FALSE)))</f>
        <v>nr</v>
      </c>
      <c r="F8" s="314" t="str">
        <f>IF($P$1="Select company","",IF(C8 ="","",HLOOKUP(((VLOOKUP($P$1,Lists!$B$4:$C$26,2,FALSE))&amp;"UnitDes"),'PC list edited'!$A$2:$EJ$65,(B8+1),FALSE)))</f>
        <v>No. of people (population)</v>
      </c>
      <c r="G8" s="519">
        <f>IF($P$1="Select company","",IF(C8="","",HLOOKUP(((VLOOKUP($P$1,Lists!$B$4:$C$26,2,FALSE))&amp;"DP"),'PC list edited'!$A$2:$EJ$65,(B8+1),FALSE)))</f>
        <v>0</v>
      </c>
      <c r="H8" s="519">
        <f>IF($P$1="Select company","",IF(C8 = "","",HLOOKUP(((VLOOKUP($P$1,Lists!$B$4:$C$26,2,FALSE))&amp;"201819Actual"),'PC list edited'!$A$2:$EJ$65,(B8+1),FALSE)))</f>
        <v>9063</v>
      </c>
      <c r="I8" s="554">
        <v>9063</v>
      </c>
      <c r="J8" s="668" t="s">
        <v>2459</v>
      </c>
      <c r="K8" s="503" t="s">
        <v>2451</v>
      </c>
      <c r="L8" s="504"/>
      <c r="M8" s="503" t="s">
        <v>2451</v>
      </c>
      <c r="N8" s="504"/>
      <c r="O8" s="2810"/>
      <c r="P8" s="2811"/>
      <c r="Q8" s="70"/>
      <c r="R8" s="507">
        <f t="shared" si="4"/>
        <v>0</v>
      </c>
      <c r="S8" s="24">
        <f t="shared" si="1"/>
        <v>0</v>
      </c>
      <c r="T8" s="70"/>
      <c r="U8" s="71"/>
      <c r="V8" s="93">
        <f t="shared" si="2"/>
        <v>0</v>
      </c>
      <c r="W8" s="93">
        <f>IF($C8="",0,IF(ISBLANK(#REF!)=FALSE,0,1))</f>
        <v>0</v>
      </c>
      <c r="X8" s="93">
        <f t="shared" si="0"/>
        <v>0</v>
      </c>
      <c r="Y8" s="93">
        <f>IF(OR(ISBLANK(L8), L8=0), 0, IF(OR(K8=Lists!$F$11, K8=Lists!$F$13), 0, 1))</f>
        <v>0</v>
      </c>
      <c r="Z8" s="93">
        <f>IF(OR($C8="", AND(NOT(K8=Lists!$F$11), NOT(K8=Lists!$F$13))),0,IF(ISBLANK(L8)=FALSE,0,1))</f>
        <v>0</v>
      </c>
      <c r="AA8" s="93">
        <f>IF(OR(ISBLANK(N8), N8=0), 0, IF(OR(M8=Lists!$F$11, M8=Lists!$F$13), 0, 1))</f>
        <v>0</v>
      </c>
      <c r="AB8" s="93">
        <f>IF(OR($C8="", AND(NOT(M8=Lists!$F$11), NOT(M8=Lists!$F$13))),0,IF(ISBLANK(N8)=FALSE,0,1))</f>
        <v>0</v>
      </c>
      <c r="AC8" s="93">
        <f>IF(OR(ISBLANK(P8), P8=0), 0, IF(OR(O8=Lists!$F$11, O8=Lists!$F$13), 0, 1))</f>
        <v>0</v>
      </c>
      <c r="AD8" s="93">
        <f>IF(OR($C8="", AND(NOT(O8=Lists!$F$11), NOT(O8=Lists!$F$13))),0,IF(ISBLANK(P8)=FALSE,0,1))</f>
        <v>0</v>
      </c>
      <c r="AE8" s="71"/>
      <c r="AF8" s="509">
        <f xml:space="preserve"> IF(OR( AND( K8 = Lists!$F$11, '3A'!L8 &lt; 0), AND( '3A'!M8 = Lists!$F$11, '3A'!N8 &lt; 0), AND( '3A'!O8 = Lists!$F$11, '3A'!P8 &lt; 0)), 1, 0)</f>
        <v>0</v>
      </c>
      <c r="AG8" s="509">
        <f xml:space="preserve"> IF( OR( AND( K8 = Lists!$F$13, '3A'!L8 &gt; 0), AND( M8 = Lists!$F$13, '3A'!N8 &gt; 0), AND( O8 = Lists!$F$13, '3A'!P8 &gt; 0 )), 1, 0)</f>
        <v>0</v>
      </c>
      <c r="AH8" s="511"/>
      <c r="AI8" s="670" t="str">
        <f>IF($P$1="Select company","",IF((HLOOKUP(((VLOOKUP($P$1,Lists!$B$4:$C$26,2,FALSE))&amp;'PC LIST'!$J$2),'PC list edited'!$A$2:$EJ$65,(B8+1),FALSE))=0,"",HLOOKUP(((VLOOKUP($P$1,Lists!$B$4:$C$26,2,FALSE))&amp; 'PC LIST'!$J$2),'PC list edited'!$A$2:$EJ$65,(B8+1),FALSE)))</f>
        <v>Out &amp; under</v>
      </c>
      <c r="AJ8" s="2104" t="str">
        <f>IFERROR(INDEX('PC LIST'!N$3:N$631, MATCH($C8, 'PC LIST'!$B$3:$B$631, 0)),"")</f>
        <v>Resilience</v>
      </c>
    </row>
    <row r="9" spans="1:36" s="308" customFormat="1" ht="30" customHeight="1">
      <c r="A9" s="74"/>
      <c r="B9" s="289">
        <f t="shared" si="3"/>
        <v>5</v>
      </c>
      <c r="C9" s="500" t="str">
        <f>IF($P$1="Select company","",IF((HLOOKUP((VLOOKUP($P$1,Lists!$B$4:$C$26,2,FALSE)),'PC list edited'!$A$2:$EJ$65,(B9+1),FALSE))=0,"",HLOOKUP((VLOOKUP($P$1,Lists!$B$4:$C$26,2,FALSE)),'PC list edited'!$A$2:$EJ$65,(B9+1),FALSE)))</f>
        <v>PR14BRLWSW_C1</v>
      </c>
      <c r="D9" s="499" t="str">
        <f>IF($P$1="Select company","",IF(C9 ="","",HLOOKUP(((VLOOKUP($P$1,Lists!$B$4:$C$26,2,FALSE))&amp;"PC"),'PC list edited'!$A$2:$EJ$65,(B9+1),FALSE)))</f>
        <v>C1: Security of supply index (SOSI)</v>
      </c>
      <c r="E9" s="314" t="str">
        <f>IF($P$1="Select company","",IF(C9 ="","",HLOOKUP(((VLOOKUP($P$1,Lists!$B$4:$C$26,2,FALSE))&amp;"unit"),'PC list edited'!$A$2:$EJ$65,(B9+1),FALSE)))</f>
        <v>score</v>
      </c>
      <c r="F9" s="314" t="str">
        <f>IF($P$1="Select company","",IF(C9 ="","",HLOOKUP(((VLOOKUP($P$1,Lists!$B$4:$C$26,2,FALSE))&amp;"UnitDes"),'PC list edited'!$A$2:$EJ$65,(B9+1),FALSE)))</f>
        <v>Security of Supply Index (SOSI)</v>
      </c>
      <c r="G9" s="519">
        <f>IF($P$1="Select company","",IF(C9="","",HLOOKUP(((VLOOKUP($P$1,Lists!$B$4:$C$26,2,FALSE))&amp;"DP"),'PC list edited'!$A$2:$EJ$65,(B9+1),FALSE)))</f>
        <v>0</v>
      </c>
      <c r="H9" s="519">
        <f>IF($P$1="Select company","",IF(C9 = "","",HLOOKUP(((VLOOKUP($P$1,Lists!$B$4:$C$26,2,FALSE))&amp;"201819Actual"),'PC list edited'!$A$2:$EJ$65,(B9+1),FALSE)))</f>
        <v>100</v>
      </c>
      <c r="I9" s="554">
        <v>100</v>
      </c>
      <c r="J9" s="668" t="s">
        <v>2459</v>
      </c>
      <c r="K9" s="503"/>
      <c r="L9" s="504"/>
      <c r="M9" s="503"/>
      <c r="N9" s="504"/>
      <c r="O9" s="2810"/>
      <c r="P9" s="2811"/>
      <c r="Q9" s="70"/>
      <c r="R9" s="507">
        <f t="shared" si="4"/>
        <v>0</v>
      </c>
      <c r="S9" s="24">
        <f t="shared" si="1"/>
        <v>0</v>
      </c>
      <c r="T9" s="70"/>
      <c r="U9" s="71"/>
      <c r="V9" s="93">
        <f t="shared" si="2"/>
        <v>0</v>
      </c>
      <c r="W9" s="93">
        <f>IF($C9="",0,IF(ISBLANK(#REF!)=FALSE,0,1))</f>
        <v>0</v>
      </c>
      <c r="X9" s="93">
        <f t="shared" si="0"/>
        <v>0</v>
      </c>
      <c r="Y9" s="93">
        <f>IF(OR(ISBLANK(L9), L9=0), 0, IF(OR(K9=Lists!$F$11, K9=Lists!$F$13), 0, 1))</f>
        <v>0</v>
      </c>
      <c r="Z9" s="93">
        <f>IF(OR($C9="", AND(NOT(K9=Lists!$F$11), NOT(K9=Lists!$F$13))),0,IF(ISBLANK(L9)=FALSE,0,1))</f>
        <v>0</v>
      </c>
      <c r="AA9" s="93">
        <f>IF(OR(ISBLANK(N9), N9=0), 0, IF(OR(M9=Lists!$F$11, M9=Lists!$F$13), 0, 1))</f>
        <v>0</v>
      </c>
      <c r="AB9" s="93">
        <f>IF(OR($C9="", AND(NOT(M9=Lists!$F$11), NOT(M9=Lists!$F$13))),0,IF(ISBLANK(N9)=FALSE,0,1))</f>
        <v>0</v>
      </c>
      <c r="AC9" s="93">
        <f>IF(OR(ISBLANK(P9), P9=0), 0, IF(OR(O9=Lists!$F$11, O9=Lists!$F$13), 0, 1))</f>
        <v>0</v>
      </c>
      <c r="AD9" s="93">
        <f>IF(OR($C9="", AND(NOT(O9=Lists!$F$11), NOT(O9=Lists!$F$13))),0,IF(ISBLANK(P9)=FALSE,0,1))</f>
        <v>0</v>
      </c>
      <c r="AE9" s="71"/>
      <c r="AF9" s="509">
        <f xml:space="preserve"> IF(OR( AND( K9 = Lists!$F$11, '3A'!L9 &lt; 0), AND( '3A'!M9 = Lists!$F$11, '3A'!N9 &lt; 0), AND( '3A'!O9 = Lists!$F$11, '3A'!P9 &lt; 0)), 1, 0)</f>
        <v>0</v>
      </c>
      <c r="AG9" s="509">
        <f xml:space="preserve"> IF( OR( AND( K9 = Lists!$F$13, '3A'!L9 &gt; 0), AND( M9 = Lists!$F$13, '3A'!N9 &gt; 0), AND( O9 = Lists!$F$13, '3A'!P9 &gt; 0 )), 1, 0)</f>
        <v>0</v>
      </c>
      <c r="AH9" s="511"/>
      <c r="AI9" s="670" t="str">
        <f>IF($P$1="Select company","",IF((HLOOKUP(((VLOOKUP($P$1,Lists!$B$4:$C$26,2,FALSE))&amp;'PC LIST'!$J$2),'PC list edited'!$A$2:$EJ$65,(B9+1),FALSE))=0,"",HLOOKUP(((VLOOKUP($P$1,Lists!$B$4:$C$26,2,FALSE))&amp; 'PC LIST'!$J$2),'PC list edited'!$A$2:$EJ$65,(B9+1),FALSE)))</f>
        <v>NFI</v>
      </c>
      <c r="AJ9" s="2104" t="str">
        <f>IFERROR(INDEX('PC LIST'!N$3:N$631, MATCH($C9, 'PC LIST'!$B$3:$B$631, 0)),"")</f>
        <v>Security of supply</v>
      </c>
    </row>
    <row r="10" spans="1:36" s="308" customFormat="1" ht="30" customHeight="1">
      <c r="A10" s="74"/>
      <c r="B10" s="289">
        <f t="shared" si="3"/>
        <v>6</v>
      </c>
      <c r="C10" s="500" t="str">
        <f>IF($P$1="Select company","",IF((HLOOKUP((VLOOKUP($P$1,Lists!$B$4:$C$26,2,FALSE)),'PC list edited'!$A$2:$EJ$65,(B10+1),FALSE))=0,"",HLOOKUP((VLOOKUP($P$1,Lists!$B$4:$C$26,2,FALSE)),'PC list edited'!$A$2:$EJ$65,(B10+1),FALSE)))</f>
        <v>PR14BRLWSW_C2</v>
      </c>
      <c r="D10" s="499" t="str">
        <f>IF($P$1="Select company","",IF(C10 ="","",HLOOKUP(((VLOOKUP($P$1,Lists!$B$4:$C$26,2,FALSE))&amp;"PC"),'PC list edited'!$A$2:$EJ$65,(B10+1),FALSE)))</f>
        <v>C2: Hosepipe ban frequency</v>
      </c>
      <c r="E10" s="314" t="str">
        <f>IF($P$1="Select company","",IF(C10 ="","",HLOOKUP(((VLOOKUP($P$1,Lists!$B$4:$C$26,2,FALSE))&amp;"unit"),'PC list edited'!$A$2:$EJ$65,(B10+1),FALSE)))</f>
        <v>nr</v>
      </c>
      <c r="F10" s="314" t="str">
        <f>IF($P$1="Select company","",IF(C10 ="","",HLOOKUP(((VLOOKUP($P$1,Lists!$B$4:$C$26,2,FALSE))&amp;"UnitDes"),'PC list edited'!$A$2:$EJ$65,(B10+1),FALSE)))</f>
        <v>No. of expected days that water restrictions are placed</v>
      </c>
      <c r="G10" s="519">
        <f>IF($P$1="Select company","",IF(C10="","",HLOOKUP(((VLOOKUP($P$1,Lists!$B$4:$C$26,2,FALSE))&amp;"DP"),'PC list edited'!$A$2:$EJ$65,(B10+1),FALSE)))</f>
        <v>1</v>
      </c>
      <c r="H10" s="519">
        <f>IF($P$1="Select company","",IF(C10 = "","",HLOOKUP(((VLOOKUP($P$1,Lists!$B$4:$C$26,2,FALSE))&amp;"201819Actual"),'PC list edited'!$A$2:$EJ$65,(B10+1),FALSE)))</f>
        <v>3.09</v>
      </c>
      <c r="I10" s="554">
        <v>3.1</v>
      </c>
      <c r="J10" s="668" t="s">
        <v>2459</v>
      </c>
      <c r="K10" s="503" t="s">
        <v>2451</v>
      </c>
      <c r="L10" s="504"/>
      <c r="M10" s="503" t="s">
        <v>2451</v>
      </c>
      <c r="N10" s="504"/>
      <c r="O10" s="2810"/>
      <c r="P10" s="2811"/>
      <c r="Q10" s="70"/>
      <c r="R10" s="507">
        <f t="shared" si="4"/>
        <v>0</v>
      </c>
      <c r="S10" s="24">
        <f t="shared" si="1"/>
        <v>0</v>
      </c>
      <c r="T10" s="70"/>
      <c r="U10" s="71"/>
      <c r="V10" s="93">
        <f t="shared" si="2"/>
        <v>0</v>
      </c>
      <c r="W10" s="93">
        <f>IF($C10="",0,IF(ISBLANK(#REF!)=FALSE,0,1))</f>
        <v>0</v>
      </c>
      <c r="X10" s="93">
        <f t="shared" si="0"/>
        <v>0</v>
      </c>
      <c r="Y10" s="93">
        <f>IF(OR(ISBLANK(L10), L10=0), 0, IF(OR(K10=Lists!$F$11, K10=Lists!$F$13), 0, 1))</f>
        <v>0</v>
      </c>
      <c r="Z10" s="93">
        <f>IF(OR($C10="", AND(NOT(K10=Lists!$F$11), NOT(K10=Lists!$F$13))),0,IF(ISBLANK(L10)=FALSE,0,1))</f>
        <v>0</v>
      </c>
      <c r="AA10" s="93">
        <f>IF(OR(ISBLANK(N10), N10=0), 0, IF(OR(M10=Lists!$F$11, M10=Lists!$F$13), 0, 1))</f>
        <v>0</v>
      </c>
      <c r="AB10" s="93">
        <f>IF(OR($C10="", AND(NOT(M10=Lists!$F$11), NOT(M10=Lists!$F$13))),0,IF(ISBLANK(N10)=FALSE,0,1))</f>
        <v>0</v>
      </c>
      <c r="AC10" s="93">
        <f>IF(OR(ISBLANK(P10), P10=0), 0, IF(OR(O10=Lists!$F$11, O10=Lists!$F$13), 0, 1))</f>
        <v>0</v>
      </c>
      <c r="AD10" s="93">
        <f>IF(OR($C10="", AND(NOT(O10=Lists!$F$11), NOT(O10=Lists!$F$13))),0,IF(ISBLANK(P10)=FALSE,0,1))</f>
        <v>0</v>
      </c>
      <c r="AE10" s="71"/>
      <c r="AF10" s="509">
        <f xml:space="preserve"> IF(OR( AND( K10 = Lists!$F$11, '3A'!L10 &lt; 0), AND( '3A'!M10 = Lists!$F$11, '3A'!N10 &lt; 0), AND( '3A'!O10 = Lists!$F$11, '3A'!P10 &lt; 0)), 1, 0)</f>
        <v>0</v>
      </c>
      <c r="AG10" s="509">
        <f xml:space="preserve"> IF( OR( AND( K10 = Lists!$F$13, '3A'!L10 &gt; 0), AND( M10 = Lists!$F$13, '3A'!N10 &gt; 0), AND( O10 = Lists!$F$13, '3A'!P10 &gt; 0 )), 1, 0)</f>
        <v>0</v>
      </c>
      <c r="AH10" s="511"/>
      <c r="AI10" s="670" t="str">
        <f>IF($P$1="Select company","",IF((HLOOKUP(((VLOOKUP($P$1,Lists!$B$4:$C$26,2,FALSE))&amp;'PC LIST'!$J$2),'PC list edited'!$A$2:$EJ$65,(B10+1),FALSE))=0,"",HLOOKUP(((VLOOKUP($P$1,Lists!$B$4:$C$26,2,FALSE))&amp; 'PC LIST'!$J$2),'PC list edited'!$A$2:$EJ$65,(B10+1),FALSE)))</f>
        <v>Under</v>
      </c>
      <c r="AJ10" s="2104" t="str">
        <f>IFERROR(INDEX('PC LIST'!N$3:N$631, MATCH($C10, 'PC LIST'!$B$3:$B$631, 0)),"")</f>
        <v>Supply restrictions</v>
      </c>
    </row>
    <row r="11" spans="1:36" s="308" customFormat="1" ht="30" customHeight="1">
      <c r="A11" s="74"/>
      <c r="B11" s="289">
        <f t="shared" si="3"/>
        <v>7</v>
      </c>
      <c r="C11" s="500" t="str">
        <f>IF($P$1="Select company","",IF((HLOOKUP((VLOOKUP($P$1,Lists!$B$4:$C$26,2,FALSE)),'PC list edited'!$A$2:$EJ$65,(B11+1),FALSE))=0,"",HLOOKUP((VLOOKUP($P$1,Lists!$B$4:$C$26,2,FALSE)),'PC list edited'!$A$2:$EJ$65,(B11+1),FALSE)))</f>
        <v>PR14BRLWSW_D1</v>
      </c>
      <c r="D11" s="499" t="str">
        <f>IF($P$1="Select company","",IF(C11 ="","",HLOOKUP(((VLOOKUP($P$1,Lists!$B$4:$C$26,2,FALSE))&amp;"PC"),'PC list edited'!$A$2:$EJ$65,(B11+1),FALSE)))</f>
        <v>D1: Mean zonal compliance (MZC)</v>
      </c>
      <c r="E11" s="314" t="str">
        <f>IF($P$1="Select company","",IF(C11 ="","",HLOOKUP(((VLOOKUP($P$1,Lists!$B$4:$C$26,2,FALSE))&amp;"unit"),'PC list edited'!$A$2:$EJ$65,(B11+1),FALSE)))</f>
        <v>%</v>
      </c>
      <c r="F11" s="314" t="str">
        <f>IF($P$1="Select company","",IF(C11 ="","",HLOOKUP(((VLOOKUP($P$1,Lists!$B$4:$C$26,2,FALSE))&amp;"UnitDes"),'PC list edited'!$A$2:$EJ$65,(B11+1),FALSE)))</f>
        <v>Mean zonal compliance (%)</v>
      </c>
      <c r="G11" s="519">
        <f>IF($P$1="Select company","",IF(C11="","",HLOOKUP(((VLOOKUP($P$1,Lists!$B$4:$C$26,2,FALSE))&amp;"DP"),'PC list edited'!$A$2:$EJ$65,(B11+1),FALSE)))</f>
        <v>2</v>
      </c>
      <c r="H11" s="519">
        <f>IF($P$1="Select company","",IF(C11 = "","",HLOOKUP(((VLOOKUP($P$1,Lists!$B$4:$C$26,2,FALSE))&amp;"201819Actual"),'PC list edited'!$A$2:$EJ$65,(B11+1),FALSE)))</f>
        <v>99.99</v>
      </c>
      <c r="I11" s="554">
        <v>99.97</v>
      </c>
      <c r="J11" s="668" t="s">
        <v>2460</v>
      </c>
      <c r="K11" s="503" t="s">
        <v>2451</v>
      </c>
      <c r="L11" s="504"/>
      <c r="M11" s="503" t="s">
        <v>8388</v>
      </c>
      <c r="N11" s="504"/>
      <c r="O11" s="2810"/>
      <c r="P11" s="2811"/>
      <c r="Q11" s="70"/>
      <c r="R11" s="507">
        <f t="shared" si="4"/>
        <v>0</v>
      </c>
      <c r="S11" s="24">
        <f t="shared" si="1"/>
        <v>0</v>
      </c>
      <c r="T11" s="70"/>
      <c r="U11" s="71"/>
      <c r="V11" s="93">
        <f t="shared" si="2"/>
        <v>0</v>
      </c>
      <c r="W11" s="93">
        <f>IF($C11="",0,IF(ISBLANK(#REF!)=FALSE,0,1))</f>
        <v>0</v>
      </c>
      <c r="X11" s="93">
        <f t="shared" si="0"/>
        <v>0</v>
      </c>
      <c r="Y11" s="93">
        <f>IF(OR(ISBLANK(L11), L11=0), 0, IF(OR(K11=Lists!$F$11, K11=Lists!$F$13), 0, 1))</f>
        <v>0</v>
      </c>
      <c r="Z11" s="93">
        <f>IF(OR($C11="", AND(NOT(K11=Lists!$F$11), NOT(K11=Lists!$F$13))),0,IF(ISBLANK(L11)=FALSE,0,1))</f>
        <v>0</v>
      </c>
      <c r="AA11" s="93">
        <f>IF(OR(ISBLANK(N11), N11=0), 0, IF(OR(M11=Lists!$F$11, M11=Lists!$F$13), 0, 1))</f>
        <v>0</v>
      </c>
      <c r="AB11" s="93">
        <f>IF(OR($C11="", AND(NOT(M11=Lists!$F$11), NOT(M11=Lists!$F$13))),0,IF(ISBLANK(N11)=FALSE,0,1))</f>
        <v>0</v>
      </c>
      <c r="AC11" s="93">
        <f>IF(OR(ISBLANK(P11), P11=0), 0, IF(OR(O11=Lists!$F$11, O11=Lists!$F$13), 0, 1))</f>
        <v>0</v>
      </c>
      <c r="AD11" s="93">
        <f>IF(OR($C11="", AND(NOT(O11=Lists!$F$11), NOT(O11=Lists!$F$13))),0,IF(ISBLANK(P11)=FALSE,0,1))</f>
        <v>0</v>
      </c>
      <c r="AE11" s="71"/>
      <c r="AF11" s="509">
        <f xml:space="preserve"> IF(OR( AND( K11 = Lists!$F$11, '3A'!L11 &lt; 0), AND( '3A'!M11 = Lists!$F$11, '3A'!N11 &lt; 0), AND( '3A'!O11 = Lists!$F$11, '3A'!P11 &lt; 0)), 1, 0)</f>
        <v>0</v>
      </c>
      <c r="AG11" s="509">
        <f xml:space="preserve"> IF( OR( AND( K11 = Lists!$F$13, '3A'!L11 &gt; 0), AND( M11 = Lists!$F$13, '3A'!N11 &gt; 0), AND( O11 = Lists!$F$13, '3A'!P11 &gt; 0 )), 1, 0)</f>
        <v>0</v>
      </c>
      <c r="AH11" s="511"/>
      <c r="AI11" s="670" t="str">
        <f>IF($P$1="Select company","",IF((HLOOKUP(((VLOOKUP($P$1,Lists!$B$4:$C$26,2,FALSE))&amp;'PC LIST'!$J$2),'PC list edited'!$A$2:$EJ$65,(B11+1),FALSE))=0,"",HLOOKUP(((VLOOKUP($P$1,Lists!$B$4:$C$26,2,FALSE))&amp; 'PC LIST'!$J$2),'PC list edited'!$A$2:$EJ$65,(B11+1),FALSE)))</f>
        <v>Under</v>
      </c>
      <c r="AJ11" s="2104" t="str">
        <f>IFERROR(INDEX('PC LIST'!N$3:N$631, MATCH($C11, 'PC LIST'!$B$3:$B$631, 0)),"")</f>
        <v>Water quality compliance</v>
      </c>
    </row>
    <row r="12" spans="1:36" s="308" customFormat="1" ht="30" customHeight="1">
      <c r="A12" s="74"/>
      <c r="B12" s="289">
        <f t="shared" si="3"/>
        <v>8</v>
      </c>
      <c r="C12" s="500" t="str">
        <f>IF($P$1="Select company","",IF((HLOOKUP((VLOOKUP($P$1,Lists!$B$4:$C$26,2,FALSE)),'PC list edited'!$A$2:$EJ$65,(B12+1),FALSE))=0,"",HLOOKUP((VLOOKUP($P$1,Lists!$B$4:$C$26,2,FALSE)),'PC list edited'!$A$2:$EJ$65,(B12+1),FALSE)))</f>
        <v>PR14BRLWSW_E1</v>
      </c>
      <c r="D12" s="499" t="str">
        <f>IF($P$1="Select company","",IF(C12 ="","",HLOOKUP(((VLOOKUP($P$1,Lists!$B$4:$C$26,2,FALSE))&amp;"PC"),'PC list edited'!$A$2:$EJ$65,(B12+1),FALSE)))</f>
        <v>E1: Negative water quality contacts</v>
      </c>
      <c r="E12" s="314" t="str">
        <f>IF($P$1="Select company","",IF(C12 ="","",HLOOKUP(((VLOOKUP($P$1,Lists!$B$4:$C$26,2,FALSE))&amp;"unit"),'PC list edited'!$A$2:$EJ$65,(B12+1),FALSE)))</f>
        <v>nr</v>
      </c>
      <c r="F12" s="314" t="str">
        <f>IF($P$1="Select company","",IF(C12 ="","",HLOOKUP(((VLOOKUP($P$1,Lists!$B$4:$C$26,2,FALSE))&amp;"UnitDes"),'PC list edited'!$A$2:$EJ$65,(B12+1),FALSE)))</f>
        <v>No. of contacts per year</v>
      </c>
      <c r="G12" s="519">
        <f>IF($P$1="Select company","",IF(C12="","",HLOOKUP(((VLOOKUP($P$1,Lists!$B$4:$C$26,2,FALSE))&amp;"DP"),'PC list edited'!$A$2:$EJ$65,(B12+1),FALSE)))</f>
        <v>0</v>
      </c>
      <c r="H12" s="519">
        <f>IF($P$1="Select company","",IF(C12 = "","",HLOOKUP(((VLOOKUP($P$1,Lists!$B$4:$C$26,2,FALSE))&amp;"201819Actual"),'PC list edited'!$A$2:$EJ$65,(B12+1),FALSE)))</f>
        <v>1934</v>
      </c>
      <c r="I12" s="554">
        <v>1712</v>
      </c>
      <c r="J12" s="668" t="s">
        <v>2459</v>
      </c>
      <c r="K12" s="503" t="s">
        <v>2451</v>
      </c>
      <c r="L12" s="504"/>
      <c r="M12" s="503" t="s">
        <v>8380</v>
      </c>
      <c r="N12" s="504"/>
      <c r="O12" s="2810"/>
      <c r="P12" s="2811"/>
      <c r="Q12" s="70"/>
      <c r="R12" s="507">
        <f t="shared" si="4"/>
        <v>0</v>
      </c>
      <c r="S12" s="24">
        <f t="shared" si="1"/>
        <v>0</v>
      </c>
      <c r="T12" s="70"/>
      <c r="U12" s="71"/>
      <c r="V12" s="93">
        <f t="shared" si="2"/>
        <v>0</v>
      </c>
      <c r="W12" s="93">
        <f>IF($C12="",0,IF(ISBLANK(#REF!)=FALSE,0,1))</f>
        <v>0</v>
      </c>
      <c r="X12" s="93">
        <f t="shared" si="0"/>
        <v>0</v>
      </c>
      <c r="Y12" s="93">
        <f>IF(OR(ISBLANK(L12), L12=0), 0, IF(OR(K12=Lists!$F$11, K12=Lists!$F$13), 0, 1))</f>
        <v>0</v>
      </c>
      <c r="Z12" s="93">
        <f>IF(OR($C12="", AND(NOT(K12=Lists!$F$11), NOT(K12=Lists!$F$13))),0,IF(ISBLANK(L12)=FALSE,0,1))</f>
        <v>0</v>
      </c>
      <c r="AA12" s="93">
        <f>IF(OR(ISBLANK(N12), N12=0), 0, IF(OR(M12=Lists!$F$11, M12=Lists!$F$13), 0, 1))</f>
        <v>0</v>
      </c>
      <c r="AB12" s="93">
        <f>IF(OR($C12="", AND(NOT(M12=Lists!$F$11), NOT(M12=Lists!$F$13))),0,IF(ISBLANK(N12)=FALSE,0,1))</f>
        <v>0</v>
      </c>
      <c r="AC12" s="93">
        <f>IF(OR(ISBLANK(P12), P12=0), 0, IF(OR(O12=Lists!$F$11, O12=Lists!$F$13), 0, 1))</f>
        <v>0</v>
      </c>
      <c r="AD12" s="93">
        <f>IF(OR($C12="", AND(NOT(O12=Lists!$F$11), NOT(O12=Lists!$F$13))),0,IF(ISBLANK(P12)=FALSE,0,1))</f>
        <v>0</v>
      </c>
      <c r="AE12" s="71"/>
      <c r="AF12" s="509">
        <f xml:space="preserve"> IF(OR( AND( K12 = Lists!$F$11, '3A'!L12 &lt; 0), AND( '3A'!M12 = Lists!$F$11, '3A'!N12 &lt; 0), AND( '3A'!O12 = Lists!$F$11, '3A'!P12 &lt; 0)), 1, 0)</f>
        <v>0</v>
      </c>
      <c r="AG12" s="509">
        <f xml:space="preserve"> IF( OR( AND( K12 = Lists!$F$13, '3A'!L12 &gt; 0), AND( M12 = Lists!$F$13, '3A'!N12 &gt; 0), AND( O12 = Lists!$F$13, '3A'!P12 &gt; 0 )), 1, 0)</f>
        <v>0</v>
      </c>
      <c r="AH12" s="511"/>
      <c r="AI12" s="670" t="str">
        <f>IF($P$1="Select company","",IF((HLOOKUP(((VLOOKUP($P$1,Lists!$B$4:$C$26,2,FALSE))&amp;'PC LIST'!$J$2),'PC list edited'!$A$2:$EJ$65,(B12+1),FALSE))=0,"",HLOOKUP(((VLOOKUP($P$1,Lists!$B$4:$C$26,2,FALSE))&amp; 'PC LIST'!$J$2),'PC list edited'!$A$2:$EJ$65,(B12+1),FALSE)))</f>
        <v>Out &amp; under</v>
      </c>
      <c r="AJ12" s="2104" t="str">
        <f>IFERROR(INDEX('PC LIST'!N$3:N$631, MATCH($C12, 'PC LIST'!$B$3:$B$631, 0)),"")</f>
        <v>Water quality contacts</v>
      </c>
    </row>
    <row r="13" spans="1:36" s="308" customFormat="1" ht="30" customHeight="1">
      <c r="A13" s="74"/>
      <c r="B13" s="289">
        <f t="shared" si="3"/>
        <v>9</v>
      </c>
      <c r="C13" s="500" t="str">
        <f>IF($P$1="Select company","",IF((HLOOKUP((VLOOKUP($P$1,Lists!$B$4:$C$26,2,FALSE)),'PC list edited'!$A$2:$EJ$65,(B13+1),FALSE))=0,"",HLOOKUP((VLOOKUP($P$1,Lists!$B$4:$C$26,2,FALSE)),'PC list edited'!$A$2:$EJ$65,(B13+1),FALSE)))</f>
        <v>PR14BRLWSW_F1</v>
      </c>
      <c r="D13" s="499" t="str">
        <f>IF($P$1="Select company","",IF(C13 ="","",HLOOKUP(((VLOOKUP($P$1,Lists!$B$4:$C$26,2,FALSE))&amp;"PC"),'PC list edited'!$A$2:$EJ$65,(B13+1),FALSE)))</f>
        <v>F1: Leakage</v>
      </c>
      <c r="E13" s="314" t="str">
        <f>IF($P$1="Select company","",IF(C13 ="","",HLOOKUP(((VLOOKUP($P$1,Lists!$B$4:$C$26,2,FALSE))&amp;"unit"),'PC list edited'!$A$2:$EJ$65,(B13+1),FALSE)))</f>
        <v>nr</v>
      </c>
      <c r="F13" s="314" t="str">
        <f>IF($P$1="Select company","",IF(C13 ="","",HLOOKUP(((VLOOKUP($P$1,Lists!$B$4:$C$26,2,FALSE))&amp;"UnitDes"),'PC list edited'!$A$2:$EJ$65,(B13+1),FALSE)))</f>
        <v>Megalitres per day (Ml/d)</v>
      </c>
      <c r="G13" s="519">
        <f>IF($P$1="Select company","",IF(C13="","",HLOOKUP(((VLOOKUP($P$1,Lists!$B$4:$C$26,2,FALSE))&amp;"DP"),'PC list edited'!$A$2:$EJ$65,(B13+1),FALSE)))</f>
        <v>1</v>
      </c>
      <c r="H13" s="519">
        <f>IF($P$1="Select company","",IF(C13 = "","",HLOOKUP(((VLOOKUP($P$1,Lists!$B$4:$C$26,2,FALSE))&amp;"201819Actual"),'PC list edited'!$A$2:$EJ$65,(B13+1),FALSE)))</f>
        <v>45.83</v>
      </c>
      <c r="I13" s="554">
        <v>40.9</v>
      </c>
      <c r="J13" s="668" t="s">
        <v>2459</v>
      </c>
      <c r="K13" s="503" t="s">
        <v>2451</v>
      </c>
      <c r="L13" s="504"/>
      <c r="M13" s="503" t="s">
        <v>8376</v>
      </c>
      <c r="N13" s="504">
        <v>1.9843999999999999</v>
      </c>
      <c r="O13" s="2810"/>
      <c r="P13" s="2811"/>
      <c r="Q13" s="70"/>
      <c r="R13" s="507">
        <f t="shared" si="4"/>
        <v>0</v>
      </c>
      <c r="S13" s="24">
        <f t="shared" si="1"/>
        <v>0</v>
      </c>
      <c r="T13" s="70"/>
      <c r="U13" s="71"/>
      <c r="V13" s="93">
        <f t="shared" si="2"/>
        <v>0</v>
      </c>
      <c r="W13" s="93">
        <f>IF($C13="",0,IF(ISBLANK(#REF!)=FALSE,0,1))</f>
        <v>0</v>
      </c>
      <c r="X13" s="93">
        <f t="shared" si="0"/>
        <v>0</v>
      </c>
      <c r="Y13" s="93">
        <f>IF(OR(ISBLANK(L13), L13=0), 0, IF(OR(K13=Lists!$F$11, K13=Lists!$F$13), 0, 1))</f>
        <v>0</v>
      </c>
      <c r="Z13" s="93">
        <f>IF(OR($C13="", AND(NOT(K13=Lists!$F$11), NOT(K13=Lists!$F$13))),0,IF(ISBLANK(L13)=FALSE,0,1))</f>
        <v>0</v>
      </c>
      <c r="AA13" s="93">
        <f>IF(OR(ISBLANK(N13), N13=0), 0, IF(OR(M13=Lists!$F$11, M13=Lists!$F$13), 0, 1))</f>
        <v>0</v>
      </c>
      <c r="AB13" s="93">
        <f>IF(OR($C13="", AND(NOT(M13=Lists!$F$11), NOT(M13=Lists!$F$13))),0,IF(ISBLANK(N13)=FALSE,0,1))</f>
        <v>0</v>
      </c>
      <c r="AC13" s="93">
        <f>IF(OR(ISBLANK(P13), P13=0), 0, IF(OR(O13=Lists!$F$11, O13=Lists!$F$13), 0, 1))</f>
        <v>0</v>
      </c>
      <c r="AD13" s="93">
        <f>IF(OR($C13="", AND(NOT(O13=Lists!$F$11), NOT(O13=Lists!$F$13))),0,IF(ISBLANK(P13)=FALSE,0,1))</f>
        <v>0</v>
      </c>
      <c r="AE13" s="71"/>
      <c r="AF13" s="509">
        <f xml:space="preserve"> IF(OR( AND( K13 = Lists!$F$11, '3A'!L13 &lt; 0), AND( '3A'!M13 = Lists!$F$11, '3A'!N13 &lt; 0), AND( '3A'!O13 = Lists!$F$11, '3A'!P13 &lt; 0)), 1, 0)</f>
        <v>0</v>
      </c>
      <c r="AG13" s="509">
        <f xml:space="preserve"> IF( OR( AND( K13 = Lists!$F$13, '3A'!L13 &gt; 0), AND( M13 = Lists!$F$13, '3A'!N13 &gt; 0), AND( O13 = Lists!$F$13, '3A'!P13 &gt; 0 )), 1, 0)</f>
        <v>0</v>
      </c>
      <c r="AH13" s="511"/>
      <c r="AI13" s="670" t="str">
        <f>IF($P$1="Select company","",IF((HLOOKUP(((VLOOKUP($P$1,Lists!$B$4:$C$26,2,FALSE))&amp;'PC LIST'!$J$2),'PC list edited'!$A$2:$EJ$65,(B13+1),FALSE))=0,"",HLOOKUP(((VLOOKUP($P$1,Lists!$B$4:$C$26,2,FALSE))&amp; 'PC LIST'!$J$2),'PC list edited'!$A$2:$EJ$65,(B13+1),FALSE)))</f>
        <v>Out &amp; under</v>
      </c>
      <c r="AJ13" s="2104" t="str">
        <f>IFERROR(INDEX('PC LIST'!N$3:N$631, MATCH($C13, 'PC LIST'!$B$3:$B$631, 0)),"")</f>
        <v>Leakage</v>
      </c>
    </row>
    <row r="14" spans="1:36" s="308" customFormat="1" ht="30" customHeight="1">
      <c r="A14" s="74"/>
      <c r="B14" s="289">
        <f t="shared" si="3"/>
        <v>10</v>
      </c>
      <c r="C14" s="500" t="str">
        <f>IF($P$1="Select company","",IF((HLOOKUP((VLOOKUP($P$1,Lists!$B$4:$C$26,2,FALSE)),'PC list edited'!$A$2:$EJ$65,(B14+1),FALSE))=0,"",HLOOKUP((VLOOKUP($P$1,Lists!$B$4:$C$26,2,FALSE)),'PC list edited'!$A$2:$EJ$65,(B14+1),FALSE)))</f>
        <v>PR14BRLWSW_G1</v>
      </c>
      <c r="D14" s="499" t="str">
        <f>IF($P$1="Select company","",IF(C14 ="","",HLOOKUP(((VLOOKUP($P$1,Lists!$B$4:$C$26,2,FALSE))&amp;"PC"),'PC list edited'!$A$2:$EJ$65,(B14+1),FALSE)))</f>
        <v>G1: Meter penetration</v>
      </c>
      <c r="E14" s="314" t="str">
        <f>IF($P$1="Select company","",IF(C14 ="","",HLOOKUP(((VLOOKUP($P$1,Lists!$B$4:$C$26,2,FALSE))&amp;"unit"),'PC list edited'!$A$2:$EJ$65,(B14+1),FALSE)))</f>
        <v>%</v>
      </c>
      <c r="F14" s="314" t="str">
        <f>IF($P$1="Select company","",IF(C14 ="","",HLOOKUP(((VLOOKUP($P$1,Lists!$B$4:$C$26,2,FALSE))&amp;"UnitDes"),'PC list edited'!$A$2:$EJ$65,(B14+1),FALSE)))</f>
        <v xml:space="preserve">% metered supplies </v>
      </c>
      <c r="G14" s="519">
        <f>IF($P$1="Select company","",IF(C14="","",HLOOKUP(((VLOOKUP($P$1,Lists!$B$4:$C$26,2,FALSE))&amp;"DP"),'PC list edited'!$A$2:$EJ$65,(B14+1),FALSE)))</f>
        <v>1</v>
      </c>
      <c r="H14" s="519">
        <f>IF($P$1="Select company","",IF(C14 = "","",HLOOKUP(((VLOOKUP($P$1,Lists!$B$4:$C$26,2,FALSE))&amp;"201819Actual"),'PC list edited'!$A$2:$EJ$65,(B14+1),FALSE)))</f>
        <v>56</v>
      </c>
      <c r="I14" s="554">
        <v>59</v>
      </c>
      <c r="J14" s="668" t="s">
        <v>2460</v>
      </c>
      <c r="K14" s="503" t="s">
        <v>2451</v>
      </c>
      <c r="L14" s="504"/>
      <c r="M14" s="503" t="s">
        <v>8384</v>
      </c>
      <c r="N14" s="504">
        <v>-0.152</v>
      </c>
      <c r="O14" s="2810"/>
      <c r="P14" s="2811"/>
      <c r="Q14" s="70"/>
      <c r="R14" s="507">
        <f t="shared" si="4"/>
        <v>0</v>
      </c>
      <c r="S14" s="24">
        <f t="shared" si="1"/>
        <v>0</v>
      </c>
      <c r="T14" s="70"/>
      <c r="U14" s="71"/>
      <c r="V14" s="93">
        <f t="shared" si="2"/>
        <v>0</v>
      </c>
      <c r="W14" s="93">
        <f>IF($C14="",0,IF(ISBLANK(#REF!)=FALSE,0,1))</f>
        <v>0</v>
      </c>
      <c r="X14" s="93">
        <f t="shared" si="0"/>
        <v>0</v>
      </c>
      <c r="Y14" s="93">
        <f>IF(OR(ISBLANK(L14), L14=0), 0, IF(OR(K14=Lists!$F$11, K14=Lists!$F$13), 0, 1))</f>
        <v>0</v>
      </c>
      <c r="Z14" s="93">
        <f>IF(OR($C14="", AND(NOT(K14=Lists!$F$11), NOT(K14=Lists!$F$13))),0,IF(ISBLANK(L14)=FALSE,0,1))</f>
        <v>0</v>
      </c>
      <c r="AA14" s="93">
        <f>IF(OR(ISBLANK(N14), N14=0), 0, IF(OR(M14=Lists!$F$11, M14=Lists!$F$13), 0, 1))</f>
        <v>0</v>
      </c>
      <c r="AB14" s="93">
        <f>IF(OR($C14="", AND(NOT(M14=Lists!$F$11), NOT(M14=Lists!$F$13))),0,IF(ISBLANK(N14)=FALSE,0,1))</f>
        <v>0</v>
      </c>
      <c r="AC14" s="93">
        <f>IF(OR(ISBLANK(P14), P14=0), 0, IF(OR(O14=Lists!$F$11, O14=Lists!$F$13), 0, 1))</f>
        <v>0</v>
      </c>
      <c r="AD14" s="93">
        <f>IF(OR($C14="", AND(NOT(O14=Lists!$F$11), NOT(O14=Lists!$F$13))),0,IF(ISBLANK(P14)=FALSE,0,1))</f>
        <v>0</v>
      </c>
      <c r="AE14" s="71"/>
      <c r="AF14" s="509">
        <f xml:space="preserve"> IF(OR( AND( K14 = Lists!$F$11, '3A'!L14 &lt; 0), AND( '3A'!M14 = Lists!$F$11, '3A'!N14 &lt; 0), AND( '3A'!O14 = Lists!$F$11, '3A'!P14 &lt; 0)), 1, 0)</f>
        <v>0</v>
      </c>
      <c r="AG14" s="509">
        <f xml:space="preserve"> IF( OR( AND( K14 = Lists!$F$13, '3A'!L14 &gt; 0), AND( M14 = Lists!$F$13, '3A'!N14 &gt; 0), AND( O14 = Lists!$F$13, '3A'!P14 &gt; 0 )), 1, 0)</f>
        <v>0</v>
      </c>
      <c r="AH14" s="511"/>
      <c r="AI14" s="670" t="str">
        <f>IF($P$1="Select company","",IF((HLOOKUP(((VLOOKUP($P$1,Lists!$B$4:$C$26,2,FALSE))&amp;'PC LIST'!$J$2),'PC list edited'!$A$2:$EJ$65,(B14+1),FALSE))=0,"",HLOOKUP(((VLOOKUP($P$1,Lists!$B$4:$C$26,2,FALSE))&amp; 'PC LIST'!$J$2),'PC list edited'!$A$2:$EJ$65,(B14+1),FALSE)))</f>
        <v>Out &amp; under</v>
      </c>
      <c r="AJ14" s="2104" t="str">
        <f>IFERROR(INDEX('PC LIST'!N$3:N$631, MATCH($C14, 'PC LIST'!$B$3:$B$631, 0)),"")</f>
        <v>Metering</v>
      </c>
    </row>
    <row r="15" spans="1:36" s="308" customFormat="1" ht="30" customHeight="1">
      <c r="A15" s="74"/>
      <c r="B15" s="289">
        <f t="shared" si="3"/>
        <v>11</v>
      </c>
      <c r="C15" s="500" t="str">
        <f>IF($P$1="Select company","",IF((HLOOKUP((VLOOKUP($P$1,Lists!$B$4:$C$26,2,FALSE)),'PC list edited'!$A$2:$EJ$65,(B15+1),FALSE))=0,"",HLOOKUP((VLOOKUP($P$1,Lists!$B$4:$C$26,2,FALSE)),'PC list edited'!$A$2:$EJ$65,(B15+1),FALSE)))</f>
        <v>PR14BRLWSW_H1</v>
      </c>
      <c r="D15" s="499" t="str">
        <f>IF($P$1="Select company","",IF(C15 ="","",HLOOKUP(((VLOOKUP($P$1,Lists!$B$4:$C$26,2,FALSE))&amp;"PC"),'PC list edited'!$A$2:$EJ$65,(B15+1),FALSE)))</f>
        <v>H1: Total carbon emissions</v>
      </c>
      <c r="E15" s="314" t="str">
        <f>IF($P$1="Select company","",IF(C15 ="","",HLOOKUP(((VLOOKUP($P$1,Lists!$B$4:$C$26,2,FALSE))&amp;"unit"),'PC list edited'!$A$2:$EJ$65,(B15+1),FALSE)))</f>
        <v>nr</v>
      </c>
      <c r="F15" s="314" t="str">
        <f>IF($P$1="Select company","",IF(C15 ="","",HLOOKUP(((VLOOKUP($P$1,Lists!$B$4:$C$26,2,FALSE))&amp;"UnitDes"),'PC list edited'!$A$2:$EJ$65,(B15+1),FALSE)))</f>
        <v>kgCO2e per person</v>
      </c>
      <c r="G15" s="519">
        <f>IF($P$1="Select company","",IF(C15="","",HLOOKUP(((VLOOKUP($P$1,Lists!$B$4:$C$26,2,FALSE))&amp;"DP"),'PC list edited'!$A$2:$EJ$65,(B15+1),FALSE)))</f>
        <v>0</v>
      </c>
      <c r="H15" s="519">
        <f>IF($P$1="Select company","",IF(C15 = "","",HLOOKUP(((VLOOKUP($P$1,Lists!$B$4:$C$26,2,FALSE))&amp;"201819Actual"),'PC list edited'!$A$2:$EJ$65,(B15+1),FALSE)))</f>
        <v>22.81</v>
      </c>
      <c r="I15" s="554">
        <v>19</v>
      </c>
      <c r="J15" s="668" t="s">
        <v>2459</v>
      </c>
      <c r="K15" s="503"/>
      <c r="L15" s="504"/>
      <c r="M15" s="503"/>
      <c r="N15" s="504"/>
      <c r="O15" s="2810"/>
      <c r="P15" s="2811"/>
      <c r="Q15" s="70"/>
      <c r="R15" s="507">
        <f t="shared" si="4"/>
        <v>0</v>
      </c>
      <c r="S15" s="24">
        <f t="shared" si="1"/>
        <v>0</v>
      </c>
      <c r="T15" s="70"/>
      <c r="U15" s="71"/>
      <c r="V15" s="93">
        <f t="shared" si="2"/>
        <v>0</v>
      </c>
      <c r="W15" s="93">
        <f>IF($C15="",0,IF(ISBLANK(#REF!)=FALSE,0,1))</f>
        <v>0</v>
      </c>
      <c r="X15" s="93">
        <f t="shared" si="0"/>
        <v>0</v>
      </c>
      <c r="Y15" s="93">
        <f>IF(OR(ISBLANK(L15), L15=0), 0, IF(OR(K15=Lists!$F$11, K15=Lists!$F$13), 0, 1))</f>
        <v>0</v>
      </c>
      <c r="Z15" s="93">
        <f>IF(OR($C15="", AND(NOT(K15=Lists!$F$11), NOT(K15=Lists!$F$13))),0,IF(ISBLANK(L15)=FALSE,0,1))</f>
        <v>0</v>
      </c>
      <c r="AA15" s="93">
        <f>IF(OR(ISBLANK(N15), N15=0), 0, IF(OR(M15=Lists!$F$11, M15=Lists!$F$13), 0, 1))</f>
        <v>0</v>
      </c>
      <c r="AB15" s="93">
        <f>IF(OR($C15="", AND(NOT(M15=Lists!$F$11), NOT(M15=Lists!$F$13))),0,IF(ISBLANK(N15)=FALSE,0,1))</f>
        <v>0</v>
      </c>
      <c r="AC15" s="93">
        <f>IF(OR(ISBLANK(P15), P15=0), 0, IF(OR(O15=Lists!$F$11, O15=Lists!$F$13), 0, 1))</f>
        <v>0</v>
      </c>
      <c r="AD15" s="93">
        <f>IF(OR($C15="", AND(NOT(O15=Lists!$F$11), NOT(O15=Lists!$F$13))),0,IF(ISBLANK(P15)=FALSE,0,1))</f>
        <v>0</v>
      </c>
      <c r="AE15" s="71"/>
      <c r="AF15" s="509">
        <f xml:space="preserve"> IF(OR( AND( K15 = Lists!$F$11, '3A'!L15 &lt; 0), AND( '3A'!M15 = Lists!$F$11, '3A'!N15 &lt; 0), AND( '3A'!O15 = Lists!$F$11, '3A'!P15 &lt; 0)), 1, 0)</f>
        <v>0</v>
      </c>
      <c r="AG15" s="509">
        <f xml:space="preserve"> IF( OR( AND( K15 = Lists!$F$13, '3A'!L15 &gt; 0), AND( M15 = Lists!$F$13, '3A'!N15 &gt; 0), AND( O15 = Lists!$F$13, '3A'!P15 &gt; 0 )), 1, 0)</f>
        <v>0</v>
      </c>
      <c r="AH15" s="511"/>
      <c r="AI15" s="670" t="str">
        <f>IF($P$1="Select company","",IF((HLOOKUP(((VLOOKUP($P$1,Lists!$B$4:$C$26,2,FALSE))&amp;'PC LIST'!$J$2),'PC list edited'!$A$2:$EJ$65,(B15+1),FALSE))=0,"",HLOOKUP(((VLOOKUP($P$1,Lists!$B$4:$C$26,2,FALSE))&amp; 'PC LIST'!$J$2),'PC list edited'!$A$2:$EJ$65,(B15+1),FALSE)))</f>
        <v>NFI</v>
      </c>
      <c r="AJ15" s="2104" t="str">
        <f>IFERROR(INDEX('PC LIST'!N$3:N$631, MATCH($C15, 'PC LIST'!$B$3:$B$631, 0)),"")</f>
        <v>Energy/emissions</v>
      </c>
    </row>
    <row r="16" spans="1:36" s="308" customFormat="1" ht="30" customHeight="1">
      <c r="A16" s="74"/>
      <c r="B16" s="289">
        <f t="shared" si="3"/>
        <v>12</v>
      </c>
      <c r="C16" s="500" t="str">
        <f>IF($P$1="Select company","",IF((HLOOKUP((VLOOKUP($P$1,Lists!$B$4:$C$26,2,FALSE)),'PC list edited'!$A$2:$EJ$65,(B16+1),FALSE))=0,"",HLOOKUP((VLOOKUP($P$1,Lists!$B$4:$C$26,2,FALSE)),'PC list edited'!$A$2:$EJ$65,(B16+1),FALSE)))</f>
        <v>PR14BRLWSW_H2</v>
      </c>
      <c r="D16" s="499" t="str">
        <f>IF($P$1="Select company","",IF(C16 ="","",HLOOKUP(((VLOOKUP($P$1,Lists!$B$4:$C$26,2,FALSE))&amp;"PC"),'PC list edited'!$A$2:$EJ$65,(B16+1),FALSE)))</f>
        <v>H2: Raw water quality of sources</v>
      </c>
      <c r="E16" s="314" t="str">
        <f>IF($P$1="Select company","",IF(C16 ="","",HLOOKUP(((VLOOKUP($P$1,Lists!$B$4:$C$26,2,FALSE))&amp;"unit"),'PC list edited'!$A$2:$EJ$65,(B16+1),FALSE)))</f>
        <v>category</v>
      </c>
      <c r="F16" s="314" t="str">
        <f>IF($P$1="Select company","",IF(C16 ="","",HLOOKUP(((VLOOKUP($P$1,Lists!$B$4:$C$26,2,FALSE))&amp;"UnitDes"),'PC list edited'!$A$2:$EJ$65,(B16+1),FALSE)))</f>
        <v>Raw water quality indicator
(reported as deteriorating, marginal, stable or improving)</v>
      </c>
      <c r="G16" s="519">
        <f>IF($P$1="Select company","",IF(C16="","",HLOOKUP(((VLOOKUP($P$1,Lists!$B$4:$C$26,2,FALSE))&amp;"DP"),'PC list edited'!$A$2:$EJ$65,(B16+1),FALSE)))</f>
        <v>0</v>
      </c>
      <c r="H16" s="519">
        <f>IF($P$1="Select company","",IF(C16 = "","",HLOOKUP(((VLOOKUP($P$1,Lists!$B$4:$C$26,2,FALSE))&amp;"201819Actual"),'PC list edited'!$A$2:$EJ$65,(B16+1),FALSE)))</f>
        <v>-14</v>
      </c>
      <c r="I16" s="554">
        <v>-25</v>
      </c>
      <c r="J16" s="668" t="s">
        <v>2459</v>
      </c>
      <c r="K16" s="503"/>
      <c r="L16" s="504"/>
      <c r="M16" s="503"/>
      <c r="N16" s="504"/>
      <c r="O16" s="2810"/>
      <c r="P16" s="2811"/>
      <c r="Q16" s="70"/>
      <c r="R16" s="507">
        <f t="shared" si="4"/>
        <v>0</v>
      </c>
      <c r="S16" s="24">
        <f t="shared" si="1"/>
        <v>0</v>
      </c>
      <c r="T16" s="70"/>
      <c r="U16" s="71"/>
      <c r="V16" s="93">
        <f t="shared" si="2"/>
        <v>0</v>
      </c>
      <c r="W16" s="93">
        <f>IF($C16="",0,IF(ISBLANK(#REF!)=FALSE,0,1))</f>
        <v>0</v>
      </c>
      <c r="X16" s="93">
        <f t="shared" si="0"/>
        <v>0</v>
      </c>
      <c r="Y16" s="93">
        <f>IF(OR(ISBLANK(L16), L16=0), 0, IF(OR(K16=Lists!$F$11, K16=Lists!$F$13), 0, 1))</f>
        <v>0</v>
      </c>
      <c r="Z16" s="93">
        <f>IF(OR($C16="", AND(NOT(K16=Lists!$F$11), NOT(K16=Lists!$F$13))),0,IF(ISBLANK(L16)=FALSE,0,1))</f>
        <v>0</v>
      </c>
      <c r="AA16" s="93">
        <f>IF(OR(ISBLANK(N16), N16=0), 0, IF(OR(M16=Lists!$F$11, M16=Lists!$F$13), 0, 1))</f>
        <v>0</v>
      </c>
      <c r="AB16" s="93">
        <f>IF(OR($C16="", AND(NOT(M16=Lists!$F$11), NOT(M16=Lists!$F$13))),0,IF(ISBLANK(N16)=FALSE,0,1))</f>
        <v>0</v>
      </c>
      <c r="AC16" s="93">
        <f>IF(OR(ISBLANK(P16), P16=0), 0, IF(OR(O16=Lists!$F$11, O16=Lists!$F$13), 0, 1))</f>
        <v>0</v>
      </c>
      <c r="AD16" s="93">
        <f>IF(OR($C16="", AND(NOT(O16=Lists!$F$11), NOT(O16=Lists!$F$13))),0,IF(ISBLANK(P16)=FALSE,0,1))</f>
        <v>0</v>
      </c>
      <c r="AE16" s="71"/>
      <c r="AF16" s="509">
        <f xml:space="preserve"> IF(OR( AND( K16 = Lists!$F$11, '3A'!L16 &lt; 0), AND( '3A'!M16 = Lists!$F$11, '3A'!N16 &lt; 0), AND( '3A'!O16 = Lists!$F$11, '3A'!P16 &lt; 0)), 1, 0)</f>
        <v>0</v>
      </c>
      <c r="AG16" s="509">
        <f xml:space="preserve"> IF( OR( AND( K16 = Lists!$F$13, '3A'!L16 &gt; 0), AND( M16 = Lists!$F$13, '3A'!N16 &gt; 0), AND( O16 = Lists!$F$13, '3A'!P16 &gt; 0 )), 1, 0)</f>
        <v>0</v>
      </c>
      <c r="AH16" s="511"/>
      <c r="AI16" s="670" t="str">
        <f>IF($P$1="Select company","",IF((HLOOKUP(((VLOOKUP($P$1,Lists!$B$4:$C$26,2,FALSE))&amp;'PC LIST'!$J$2),'PC list edited'!$A$2:$EJ$65,(B16+1),FALSE))=0,"",HLOOKUP(((VLOOKUP($P$1,Lists!$B$4:$C$26,2,FALSE))&amp; 'PC LIST'!$J$2),'PC list edited'!$A$2:$EJ$65,(B16+1),FALSE)))</f>
        <v>NFI</v>
      </c>
      <c r="AJ16" s="2104" t="str">
        <f>IFERROR(INDEX('PC LIST'!N$3:N$631, MATCH($C16, 'PC LIST'!$B$3:$B$631, 0)),"")</f>
        <v>Water resources/ abstraction</v>
      </c>
    </row>
    <row r="17" spans="1:36" s="308" customFormat="1" ht="30" customHeight="1">
      <c r="A17" s="74"/>
      <c r="B17" s="289">
        <f t="shared" si="3"/>
        <v>13</v>
      </c>
      <c r="C17" s="500" t="str">
        <f>IF($P$1="Select company","",IF((HLOOKUP((VLOOKUP($P$1,Lists!$B$4:$C$26,2,FALSE)),'PC list edited'!$A$2:$EJ$65,(B17+1),FALSE))=0,"",HLOOKUP((VLOOKUP($P$1,Lists!$B$4:$C$26,2,FALSE)),'PC list edited'!$A$2:$EJ$65,(B17+1),FALSE)))</f>
        <v>PR14BRLWSW_H3</v>
      </c>
      <c r="D17" s="499" t="str">
        <f>IF($P$1="Select company","",IF(C17 ="","",HLOOKUP(((VLOOKUP($P$1,Lists!$B$4:$C$26,2,FALSE))&amp;"PC"),'PC list edited'!$A$2:$EJ$65,(B17+1),FALSE)))</f>
        <v>H3: Biodiversity index</v>
      </c>
      <c r="E17" s="314" t="str">
        <f>IF($P$1="Select company","",IF(C17 ="","",HLOOKUP(((VLOOKUP($P$1,Lists!$B$4:$C$26,2,FALSE))&amp;"unit"),'PC list edited'!$A$2:$EJ$65,(B17+1),FALSE)))</f>
        <v>score</v>
      </c>
      <c r="F17" s="314" t="str">
        <f>IF($P$1="Select company","",IF(C17 ="","",HLOOKUP(((VLOOKUP($P$1,Lists!$B$4:$C$26,2,FALSE))&amp;"UnitDes"),'PC list edited'!$A$2:$EJ$65,(B17+1),FALSE)))</f>
        <v>Biodiversity index</v>
      </c>
      <c r="G17" s="519">
        <f>IF($P$1="Select company","",IF(C17="","",HLOOKUP(((VLOOKUP($P$1,Lists!$B$4:$C$26,2,FALSE))&amp;"DP"),'PC list edited'!$A$2:$EJ$65,(B17+1),FALSE)))</f>
        <v>0</v>
      </c>
      <c r="H17" s="519">
        <f>IF($P$1="Select company","",IF(C17 = "","",HLOOKUP(((VLOOKUP($P$1,Lists!$B$4:$C$26,2,FALSE))&amp;"201819Actual"),'PC list edited'!$A$2:$EJ$65,(B17+1),FALSE)))</f>
        <v>17668</v>
      </c>
      <c r="I17" s="554">
        <v>17670</v>
      </c>
      <c r="J17" s="668" t="s">
        <v>2459</v>
      </c>
      <c r="K17" s="503"/>
      <c r="L17" s="504"/>
      <c r="M17" s="503"/>
      <c r="N17" s="504"/>
      <c r="O17" s="2810"/>
      <c r="P17" s="2811"/>
      <c r="Q17" s="70"/>
      <c r="R17" s="507">
        <f t="shared" si="4"/>
        <v>0</v>
      </c>
      <c r="S17" s="24">
        <f t="shared" si="1"/>
        <v>0</v>
      </c>
      <c r="T17" s="70"/>
      <c r="U17" s="71"/>
      <c r="V17" s="93">
        <f t="shared" si="2"/>
        <v>0</v>
      </c>
      <c r="W17" s="93">
        <f>IF($C17="",0,IF(ISBLANK(#REF!)=FALSE,0,1))</f>
        <v>0</v>
      </c>
      <c r="X17" s="93">
        <f t="shared" si="0"/>
        <v>0</v>
      </c>
      <c r="Y17" s="93">
        <f>IF(OR(ISBLANK(L17), L17=0), 0, IF(OR(K17=Lists!$F$11, K17=Lists!$F$13), 0, 1))</f>
        <v>0</v>
      </c>
      <c r="Z17" s="93">
        <f>IF(OR($C17="", AND(NOT(K17=Lists!$F$11), NOT(K17=Lists!$F$13))),0,IF(ISBLANK(L17)=FALSE,0,1))</f>
        <v>0</v>
      </c>
      <c r="AA17" s="93">
        <f>IF(OR(ISBLANK(N17), N17=0), 0, IF(OR(M17=Lists!$F$11, M17=Lists!$F$13), 0, 1))</f>
        <v>0</v>
      </c>
      <c r="AB17" s="93">
        <f>IF(OR($C17="", AND(NOT(M17=Lists!$F$11), NOT(M17=Lists!$F$13))),0,IF(ISBLANK(N17)=FALSE,0,1))</f>
        <v>0</v>
      </c>
      <c r="AC17" s="93">
        <f>IF(OR(ISBLANK(P17), P17=0), 0, IF(OR(O17=Lists!$F$11, O17=Lists!$F$13), 0, 1))</f>
        <v>0</v>
      </c>
      <c r="AD17" s="93">
        <f>IF(OR($C17="", AND(NOT(O17=Lists!$F$11), NOT(O17=Lists!$F$13))),0,IF(ISBLANK(P17)=FALSE,0,1))</f>
        <v>0</v>
      </c>
      <c r="AE17" s="71"/>
      <c r="AF17" s="509">
        <f xml:space="preserve"> IF(OR( AND( K17 = Lists!$F$11, '3A'!L17 &lt; 0), AND( '3A'!M17 = Lists!$F$11, '3A'!N17 &lt; 0), AND( '3A'!O17 = Lists!$F$11, '3A'!P17 &lt; 0)), 1, 0)</f>
        <v>0</v>
      </c>
      <c r="AG17" s="509">
        <f xml:space="preserve"> IF( OR( AND( K17 = Lists!$F$13, '3A'!L17 &gt; 0), AND( M17 = Lists!$F$13, '3A'!N17 &gt; 0), AND( O17 = Lists!$F$13, '3A'!P17 &gt; 0 )), 1, 0)</f>
        <v>0</v>
      </c>
      <c r="AH17" s="511"/>
      <c r="AI17" s="670" t="str">
        <f>IF($P$1="Select company","",IF((HLOOKUP(((VLOOKUP($P$1,Lists!$B$4:$C$26,2,FALSE))&amp;'PC LIST'!$J$2),'PC list edited'!$A$2:$EJ$65,(B17+1),FALSE))=0,"",HLOOKUP(((VLOOKUP($P$1,Lists!$B$4:$C$26,2,FALSE))&amp; 'PC LIST'!$J$2),'PC list edited'!$A$2:$EJ$65,(B17+1),FALSE)))</f>
        <v>NFI</v>
      </c>
      <c r="AJ17" s="2104" t="str">
        <f>IFERROR(INDEX('PC LIST'!N$3:N$631, MATCH($C17, 'PC LIST'!$B$3:$B$631, 0)),"")</f>
        <v>Biodiversity/SSSIs</v>
      </c>
    </row>
    <row r="18" spans="1:36" s="308" customFormat="1" ht="30" customHeight="1">
      <c r="A18" s="74"/>
      <c r="B18" s="289">
        <f t="shared" si="3"/>
        <v>14</v>
      </c>
      <c r="C18" s="500" t="str">
        <f>IF($P$1="Select company","",IF((HLOOKUP((VLOOKUP($P$1,Lists!$B$4:$C$26,2,FALSE)),'PC list edited'!$A$2:$EJ$65,(B18+1),FALSE))=0,"",HLOOKUP((VLOOKUP($P$1,Lists!$B$4:$C$26,2,FALSE)),'PC list edited'!$A$2:$EJ$65,(B18+1),FALSE)))</f>
        <v>PR14BRLWSW_H4</v>
      </c>
      <c r="D18" s="499" t="str">
        <f>IF($P$1="Select company","",IF(C18 ="","",HLOOKUP(((VLOOKUP($P$1,Lists!$B$4:$C$26,2,FALSE))&amp;"PC"),'PC list edited'!$A$2:$EJ$65,(B18+1),FALSE)))</f>
        <v>H4: Waste disposal compliance</v>
      </c>
      <c r="E18" s="314" t="str">
        <f>IF($P$1="Select company","",IF(C18 ="","",HLOOKUP(((VLOOKUP($P$1,Lists!$B$4:$C$26,2,FALSE))&amp;"unit"),'PC list edited'!$A$2:$EJ$65,(B18+1),FALSE)))</f>
        <v>%</v>
      </c>
      <c r="F18" s="314" t="str">
        <f>IF($P$1="Select company","",IF(C18 ="","",HLOOKUP(((VLOOKUP($P$1,Lists!$B$4:$C$26,2,FALSE))&amp;"UnitDes"),'PC list edited'!$A$2:$EJ$65,(B18+1),FALSE)))</f>
        <v>% waste disposal compliance</v>
      </c>
      <c r="G18" s="519">
        <f>IF($P$1="Select company","",IF(C18="","",HLOOKUP(((VLOOKUP($P$1,Lists!$B$4:$C$26,2,FALSE))&amp;"DP"),'PC list edited'!$A$2:$EJ$65,(B18+1),FALSE)))</f>
        <v>0</v>
      </c>
      <c r="H18" s="519">
        <f>IF($P$1="Select company","",IF(C18 = "","",HLOOKUP(((VLOOKUP($P$1,Lists!$B$4:$C$26,2,FALSE))&amp;"201819Actual"),'PC list edited'!$A$2:$EJ$65,(B18+1),FALSE)))</f>
        <v>97.93</v>
      </c>
      <c r="I18" s="554">
        <v>98</v>
      </c>
      <c r="J18" s="668" t="s">
        <v>2460</v>
      </c>
      <c r="K18" s="503"/>
      <c r="L18" s="504"/>
      <c r="M18" s="503"/>
      <c r="N18" s="504"/>
      <c r="O18" s="2810"/>
      <c r="P18" s="2811"/>
      <c r="Q18" s="70"/>
      <c r="R18" s="507">
        <f t="shared" si="4"/>
        <v>0</v>
      </c>
      <c r="S18" s="24">
        <f t="shared" si="1"/>
        <v>0</v>
      </c>
      <c r="T18" s="70"/>
      <c r="U18" s="71"/>
      <c r="V18" s="93">
        <f t="shared" si="2"/>
        <v>0</v>
      </c>
      <c r="W18" s="93">
        <f>IF($C18="",0,IF(ISBLANK(#REF!)=FALSE,0,1))</f>
        <v>0</v>
      </c>
      <c r="X18" s="93">
        <f t="shared" si="0"/>
        <v>0</v>
      </c>
      <c r="Y18" s="93">
        <f>IF(OR(ISBLANK(L18), L18=0), 0, IF(OR(K18=Lists!$F$11, K18=Lists!$F$13), 0, 1))</f>
        <v>0</v>
      </c>
      <c r="Z18" s="93">
        <f>IF(OR($C18="", AND(NOT(K18=Lists!$F$11), NOT(K18=Lists!$F$13))),0,IF(ISBLANK(L18)=FALSE,0,1))</f>
        <v>0</v>
      </c>
      <c r="AA18" s="93">
        <f>IF(OR(ISBLANK(N18), N18=0), 0, IF(OR(M18=Lists!$F$11, M18=Lists!$F$13), 0, 1))</f>
        <v>0</v>
      </c>
      <c r="AB18" s="93">
        <f>IF(OR($C18="", AND(NOT(M18=Lists!$F$11), NOT(M18=Lists!$F$13))),0,IF(ISBLANK(N18)=FALSE,0,1))</f>
        <v>0</v>
      </c>
      <c r="AC18" s="93">
        <f>IF(OR(ISBLANK(P18), P18=0), 0, IF(OR(O18=Lists!$F$11, O18=Lists!$F$13), 0, 1))</f>
        <v>0</v>
      </c>
      <c r="AD18" s="93">
        <f>IF(OR($C18="", AND(NOT(O18=Lists!$F$11), NOT(O18=Lists!$F$13))),0,IF(ISBLANK(P18)=FALSE,0,1))</f>
        <v>0</v>
      </c>
      <c r="AE18" s="71"/>
      <c r="AF18" s="509">
        <f xml:space="preserve"> IF(OR( AND( K18 = Lists!$F$11, '3A'!L18 &lt; 0), AND( '3A'!M18 = Lists!$F$11, '3A'!N18 &lt; 0), AND( '3A'!O18 = Lists!$F$11, '3A'!P18 &lt; 0)), 1, 0)</f>
        <v>0</v>
      </c>
      <c r="AG18" s="509">
        <f xml:space="preserve"> IF( OR( AND( K18 = Lists!$F$13, '3A'!L18 &gt; 0), AND( M18 = Lists!$F$13, '3A'!N18 &gt; 0), AND( O18 = Lists!$F$13, '3A'!P18 &gt; 0 )), 1, 0)</f>
        <v>0</v>
      </c>
      <c r="AH18" s="511"/>
      <c r="AI18" s="670" t="str">
        <f>IF($P$1="Select company","",IF((HLOOKUP(((VLOOKUP($P$1,Lists!$B$4:$C$26,2,FALSE))&amp;'PC LIST'!$J$2),'PC list edited'!$A$2:$EJ$65,(B18+1),FALSE))=0,"",HLOOKUP(((VLOOKUP($P$1,Lists!$B$4:$C$26,2,FALSE))&amp; 'PC LIST'!$J$2),'PC list edited'!$A$2:$EJ$65,(B18+1),FALSE)))</f>
        <v>NFI</v>
      </c>
      <c r="AJ18" s="2104" t="str">
        <f>IFERROR(INDEX('PC LIST'!N$3:N$631, MATCH($C18, 'PC LIST'!$B$3:$B$631, 0)),"")</f>
        <v>Waste disposal</v>
      </c>
    </row>
    <row r="19" spans="1:36" s="308" customFormat="1" ht="30" customHeight="1">
      <c r="A19" s="74"/>
      <c r="B19" s="289">
        <f t="shared" si="3"/>
        <v>15</v>
      </c>
      <c r="C19" s="500" t="str">
        <f>IF($P$1="Select company","",IF((HLOOKUP((VLOOKUP($P$1,Lists!$B$4:$C$26,2,FALSE)),'PC list edited'!$A$2:$EJ$65,(B19+1),FALSE))=0,"",HLOOKUP((VLOOKUP($P$1,Lists!$B$4:$C$26,2,FALSE)),'PC list edited'!$A$2:$EJ$65,(B19+1),FALSE)))</f>
        <v>PR14BRLHHR_G2</v>
      </c>
      <c r="D19" s="499" t="str">
        <f>IF($P$1="Select company","",IF(C19 ="","",HLOOKUP(((VLOOKUP($P$1,Lists!$B$4:$C$26,2,FALSE))&amp;"PC"),'PC list edited'!$A$2:$EJ$65,(B19+1),FALSE)))</f>
        <v>G2: Per capita consumption (PCC), measured as litres per head per day (l/h/d)</v>
      </c>
      <c r="E19" s="314" t="str">
        <f>IF($P$1="Select company","",IF(C19 ="","",HLOOKUP(((VLOOKUP($P$1,Lists!$B$4:$C$26,2,FALSE))&amp;"unit"),'PC list edited'!$A$2:$EJ$65,(B19+1),FALSE)))</f>
        <v>nr</v>
      </c>
      <c r="F19" s="314" t="str">
        <f>IF($P$1="Select company","",IF(C19 ="","",HLOOKUP(((VLOOKUP($P$1,Lists!$B$4:$C$26,2,FALSE))&amp;"UnitDes"),'PC list edited'!$A$2:$EJ$65,(B19+1),FALSE)))</f>
        <v>Litres per head per day (l/h/d)</v>
      </c>
      <c r="G19" s="519">
        <f>IF($P$1="Select company","",IF(C19="","",HLOOKUP(((VLOOKUP($P$1,Lists!$B$4:$C$26,2,FALSE))&amp;"DP"),'PC list edited'!$A$2:$EJ$65,(B19+1),FALSE)))</f>
        <v>1</v>
      </c>
      <c r="H19" s="519">
        <f>IF($P$1="Select company","",IF(C19 = "","",HLOOKUP(((VLOOKUP($P$1,Lists!$B$4:$C$26,2,FALSE))&amp;"201819Actual"),'PC list edited'!$A$2:$EJ$65,(B19+1),FALSE)))</f>
        <v>148.30000000000001</v>
      </c>
      <c r="I19" s="554">
        <v>144.6</v>
      </c>
      <c r="J19" s="668" t="s">
        <v>2460</v>
      </c>
      <c r="K19" s="503"/>
      <c r="L19" s="504"/>
      <c r="M19" s="503"/>
      <c r="N19" s="504"/>
      <c r="O19" s="2810"/>
      <c r="P19" s="2811"/>
      <c r="Q19" s="70"/>
      <c r="R19" s="507">
        <f t="shared" si="4"/>
        <v>0</v>
      </c>
      <c r="S19" s="24">
        <f t="shared" si="1"/>
        <v>0</v>
      </c>
      <c r="T19" s="70"/>
      <c r="U19" s="71"/>
      <c r="V19" s="93">
        <f t="shared" si="2"/>
        <v>0</v>
      </c>
      <c r="W19" s="93">
        <f>IF($C19="",0,IF(ISBLANK(#REF!)=FALSE,0,1))</f>
        <v>0</v>
      </c>
      <c r="X19" s="93">
        <f t="shared" si="0"/>
        <v>0</v>
      </c>
      <c r="Y19" s="93">
        <f>IF(OR(ISBLANK(L19), L19=0), 0, IF(OR(K19=Lists!$F$11, K19=Lists!$F$13), 0, 1))</f>
        <v>0</v>
      </c>
      <c r="Z19" s="93">
        <f>IF(OR($C19="", AND(NOT(K19=Lists!$F$11), NOT(K19=Lists!$F$13))),0,IF(ISBLANK(L19)=FALSE,0,1))</f>
        <v>0</v>
      </c>
      <c r="AA19" s="93">
        <f>IF(OR(ISBLANK(N19), N19=0), 0, IF(OR(M19=Lists!$F$11, M19=Lists!$F$13), 0, 1))</f>
        <v>0</v>
      </c>
      <c r="AB19" s="93">
        <f>IF(OR($C19="", AND(NOT(M19=Lists!$F$11), NOT(M19=Lists!$F$13))),0,IF(ISBLANK(N19)=FALSE,0,1))</f>
        <v>0</v>
      </c>
      <c r="AC19" s="93">
        <f>IF(OR(ISBLANK(P19), P19=0), 0, IF(OR(O19=Lists!$F$11, O19=Lists!$F$13), 0, 1))</f>
        <v>0</v>
      </c>
      <c r="AD19" s="93">
        <f>IF(OR($C19="", AND(NOT(O19=Lists!$F$11), NOT(O19=Lists!$F$13))),0,IF(ISBLANK(P19)=FALSE,0,1))</f>
        <v>0</v>
      </c>
      <c r="AE19" s="71"/>
      <c r="AF19" s="509">
        <f xml:space="preserve"> IF(OR( AND( K19 = Lists!$F$11, '3A'!L19 &lt; 0), AND( '3A'!M19 = Lists!$F$11, '3A'!N19 &lt; 0), AND( '3A'!O19 = Lists!$F$11, '3A'!P19 &lt; 0)), 1, 0)</f>
        <v>0</v>
      </c>
      <c r="AG19" s="509">
        <f xml:space="preserve"> IF( OR( AND( K19 = Lists!$F$13, '3A'!L19 &gt; 0), AND( M19 = Lists!$F$13, '3A'!N19 &gt; 0), AND( O19 = Lists!$F$13, '3A'!P19 &gt; 0 )), 1, 0)</f>
        <v>0</v>
      </c>
      <c r="AH19" s="511"/>
      <c r="AI19" s="670" t="str">
        <f>IF($P$1="Select company","",IF((HLOOKUP(((VLOOKUP($P$1,Lists!$B$4:$C$26,2,FALSE))&amp;'PC LIST'!$J$2),'PC list edited'!$A$2:$EJ$65,(B19+1),FALSE))=0,"",HLOOKUP(((VLOOKUP($P$1,Lists!$B$4:$C$26,2,FALSE))&amp; 'PC LIST'!$J$2),'PC list edited'!$A$2:$EJ$65,(B19+1),FALSE)))</f>
        <v>NFI</v>
      </c>
      <c r="AJ19" s="2104" t="str">
        <f>IFERROR(INDEX('PC LIST'!N$3:N$631, MATCH($C19, 'PC LIST'!$B$3:$B$631, 0)),"")</f>
        <v>Water consumption</v>
      </c>
    </row>
    <row r="20" spans="1:36" s="308" customFormat="1" ht="30" customHeight="1">
      <c r="A20" s="74"/>
      <c r="B20" s="289">
        <f t="shared" si="3"/>
        <v>16</v>
      </c>
      <c r="C20" s="500" t="str">
        <f>IF($P$1="Select company","",IF((HLOOKUP((VLOOKUP($P$1,Lists!$B$4:$C$26,2,FALSE)),'PC list edited'!$A$2:$EJ$65,(B20+1),FALSE))=0,"",HLOOKUP((VLOOKUP($P$1,Lists!$B$4:$C$26,2,FALSE)),'PC list edited'!$A$2:$EJ$65,(B20+1),FALSE)))</f>
        <v>PR14BRLHHR_I1</v>
      </c>
      <c r="D20" s="499" t="str">
        <f>IF($P$1="Select company","",IF(C20 ="","",HLOOKUP(((VLOOKUP($P$1,Lists!$B$4:$C$26,2,FALSE))&amp;"PC"),'PC list edited'!$A$2:$EJ$65,(B20+1),FALSE)))</f>
        <v>I1: Percentage of customers in water poverty</v>
      </c>
      <c r="E20" s="314" t="str">
        <f>IF($P$1="Select company","",IF(C20 ="","",HLOOKUP(((VLOOKUP($P$1,Lists!$B$4:$C$26,2,FALSE))&amp;"unit"),'PC list edited'!$A$2:$EJ$65,(B20+1),FALSE)))</f>
        <v>%</v>
      </c>
      <c r="F20" s="314" t="str">
        <f>IF($P$1="Select company","",IF(C20 ="","",HLOOKUP(((VLOOKUP($P$1,Lists!$B$4:$C$26,2,FALSE))&amp;"UnitDes"),'PC list edited'!$A$2:$EJ$65,(B20+1),FALSE)))</f>
        <v>% customers in water poverty</v>
      </c>
      <c r="G20" s="519">
        <f>IF($P$1="Select company","",IF(C20="","",HLOOKUP(((VLOOKUP($P$1,Lists!$B$4:$C$26,2,FALSE))&amp;"DP"),'PC list edited'!$A$2:$EJ$65,(B20+1),FALSE)))</f>
        <v>1</v>
      </c>
      <c r="H20" s="519">
        <f>IF($P$1="Select company","",IF(C20 = "","",HLOOKUP(((VLOOKUP($P$1,Lists!$B$4:$C$26,2,FALSE))&amp;"201819Actual"),'PC list edited'!$A$2:$EJ$65,(B20+1),FALSE)))</f>
        <v>0</v>
      </c>
      <c r="I20" s="554">
        <v>0</v>
      </c>
      <c r="J20" s="668" t="s">
        <v>2459</v>
      </c>
      <c r="K20" s="503"/>
      <c r="L20" s="504"/>
      <c r="M20" s="503"/>
      <c r="N20" s="504"/>
      <c r="O20" s="2810"/>
      <c r="P20" s="2811"/>
      <c r="Q20" s="70"/>
      <c r="R20" s="507">
        <f t="shared" si="4"/>
        <v>0</v>
      </c>
      <c r="S20" s="24">
        <f t="shared" si="1"/>
        <v>0</v>
      </c>
      <c r="T20" s="70"/>
      <c r="U20" s="71"/>
      <c r="V20" s="93">
        <f t="shared" si="2"/>
        <v>0</v>
      </c>
      <c r="W20" s="93">
        <f>IF($C20="",0,IF(ISBLANK(#REF!)=FALSE,0,1))</f>
        <v>0</v>
      </c>
      <c r="X20" s="93">
        <f t="shared" si="0"/>
        <v>0</v>
      </c>
      <c r="Y20" s="93">
        <f>IF(OR(ISBLANK(L20), L20=0), 0, IF(OR(K20=Lists!$F$11, K20=Lists!$F$13), 0, 1))</f>
        <v>0</v>
      </c>
      <c r="Z20" s="93">
        <f>IF(OR($C20="", AND(NOT(K20=Lists!$F$11), NOT(K20=Lists!$F$13))),0,IF(ISBLANK(L20)=FALSE,0,1))</f>
        <v>0</v>
      </c>
      <c r="AA20" s="93">
        <f>IF(OR(ISBLANK(N20), N20=0), 0, IF(OR(M20=Lists!$F$11, M20=Lists!$F$13), 0, 1))</f>
        <v>0</v>
      </c>
      <c r="AB20" s="93">
        <f>IF(OR($C20="", AND(NOT(M20=Lists!$F$11), NOT(M20=Lists!$F$13))),0,IF(ISBLANK(N20)=FALSE,0,1))</f>
        <v>0</v>
      </c>
      <c r="AC20" s="93">
        <f>IF(OR(ISBLANK(P20), P20=0), 0, IF(OR(O20=Lists!$F$11, O20=Lists!$F$13), 0, 1))</f>
        <v>0</v>
      </c>
      <c r="AD20" s="93">
        <f>IF(OR($C20="", AND(NOT(O20=Lists!$F$11), NOT(O20=Lists!$F$13))),0,IF(ISBLANK(P20)=FALSE,0,1))</f>
        <v>0</v>
      </c>
      <c r="AE20" s="71"/>
      <c r="AF20" s="509">
        <f xml:space="preserve"> IF(OR( AND( K20 = Lists!$F$11, '3A'!L20 &lt; 0), AND( '3A'!M20 = Lists!$F$11, '3A'!N20 &lt; 0), AND( '3A'!O20 = Lists!$F$11, '3A'!P20 &lt; 0)), 1, 0)</f>
        <v>0</v>
      </c>
      <c r="AG20" s="509">
        <f xml:space="preserve"> IF( OR( AND( K20 = Lists!$F$13, '3A'!L20 &gt; 0), AND( M20 = Lists!$F$13, '3A'!N20 &gt; 0), AND( O20 = Lists!$F$13, '3A'!P20 &gt; 0 )), 1, 0)</f>
        <v>0</v>
      </c>
      <c r="AH20" s="511"/>
      <c r="AI20" s="670" t="str">
        <f>IF($P$1="Select company","",IF((HLOOKUP(((VLOOKUP($P$1,Lists!$B$4:$C$26,2,FALSE))&amp;'PC LIST'!$J$2),'PC list edited'!$A$2:$EJ$65,(B20+1),FALSE))=0,"",HLOOKUP(((VLOOKUP($P$1,Lists!$B$4:$C$26,2,FALSE))&amp; 'PC LIST'!$J$2),'PC list edited'!$A$2:$EJ$65,(B20+1),FALSE)))</f>
        <v>NFI</v>
      </c>
      <c r="AJ20" s="2104" t="str">
        <f>IFERROR(INDEX('PC LIST'!N$3:N$631, MATCH($C20, 'PC LIST'!$B$3:$B$631, 0)),"")</f>
        <v>Billing, debt, vfm, affordability</v>
      </c>
    </row>
    <row r="21" spans="1:36" s="308" customFormat="1" ht="30" customHeight="1">
      <c r="A21" s="74"/>
      <c r="B21" s="289">
        <f t="shared" si="3"/>
        <v>17</v>
      </c>
      <c r="C21" s="500" t="str">
        <f>IF($P$1="Select company","",IF((HLOOKUP((VLOOKUP($P$1,Lists!$B$4:$C$26,2,FALSE)),'PC list edited'!$A$2:$EJ$65,(B21+1),FALSE))=0,"",HLOOKUP((VLOOKUP($P$1,Lists!$B$4:$C$26,2,FALSE)),'PC list edited'!$A$2:$EJ$65,(B21+1),FALSE)))</f>
        <v>PR14BRLHHR_J1</v>
      </c>
      <c r="D21" s="499" t="str">
        <f>IF($P$1="Select company","",IF(C21 ="","",HLOOKUP(((VLOOKUP($P$1,Lists!$B$4:$C$26,2,FALSE))&amp;"PC"),'PC list edited'!$A$2:$EJ$65,(B21+1),FALSE)))</f>
        <v>J1: Service incentive mechanism (SIM)</v>
      </c>
      <c r="E21" s="314" t="str">
        <f>IF($P$1="Select company","",IF(C21 ="","",HLOOKUP(((VLOOKUP($P$1,Lists!$B$4:$C$26,2,FALSE))&amp;"unit"),'PC list edited'!$A$2:$EJ$65,(B21+1),FALSE)))</f>
        <v>rank</v>
      </c>
      <c r="F21" s="314" t="str">
        <f>IF($P$1="Select company","",IF(C21 ="","",HLOOKUP(((VLOOKUP($P$1,Lists!$B$4:$C$26,2,FALSE))&amp;"UnitDes"),'PC list edited'!$A$2:$EJ$65,(B21+1),FALSE)))</f>
        <v>Service incentive mechanism (SIM) score ranking</v>
      </c>
      <c r="G21" s="519" t="str">
        <f>IF($P$1="Select company","",IF(C21="","",HLOOKUP(((VLOOKUP($P$1,Lists!$B$4:$C$26,2,FALSE))&amp;"DP"),'PC list edited'!$A$2:$EJ$65,(B21+1),FALSE)))</f>
        <v>na</v>
      </c>
      <c r="H21" s="519">
        <f>IF($P$1="Select company","",IF(C21 = "","",HLOOKUP(((VLOOKUP($P$1,Lists!$B$4:$C$26,2,FALSE))&amp;"201819Actual"),'PC list edited'!$A$2:$EJ$65,(B21+1),FALSE)))</f>
        <v>84.71</v>
      </c>
      <c r="I21" s="554">
        <v>82.54</v>
      </c>
      <c r="J21" s="668" t="s">
        <v>2460</v>
      </c>
      <c r="K21" s="503"/>
      <c r="L21" s="504"/>
      <c r="M21" s="503"/>
      <c r="N21" s="504"/>
      <c r="O21" s="2810"/>
      <c r="P21" s="2811"/>
      <c r="Q21" s="70"/>
      <c r="R21" s="507">
        <f t="shared" si="4"/>
        <v>0</v>
      </c>
      <c r="S21" s="24">
        <f t="shared" si="1"/>
        <v>0</v>
      </c>
      <c r="T21" s="70"/>
      <c r="U21" s="71"/>
      <c r="V21" s="93">
        <f t="shared" si="2"/>
        <v>0</v>
      </c>
      <c r="W21" s="93">
        <f>IF($C21="",0,IF(ISBLANK(#REF!)=FALSE,0,1))</f>
        <v>0</v>
      </c>
      <c r="X21" s="93">
        <f t="shared" si="0"/>
        <v>0</v>
      </c>
      <c r="Y21" s="93">
        <f>IF(OR(ISBLANK(L21), L21=0), 0, IF(OR(K21=Lists!$F$11, K21=Lists!$F$13), 0, 1))</f>
        <v>0</v>
      </c>
      <c r="Z21" s="93">
        <f>IF(OR($C21="", AND(NOT(K21=Lists!$F$11), NOT(K21=Lists!$F$13))),0,IF(ISBLANK(L21)=FALSE,0,1))</f>
        <v>0</v>
      </c>
      <c r="AA21" s="93">
        <f>IF(OR(ISBLANK(N21), N21=0), 0, IF(OR(M21=Lists!$F$11, M21=Lists!$F$13), 0, 1))</f>
        <v>0</v>
      </c>
      <c r="AB21" s="93">
        <f>IF(OR($C21="", AND(NOT(M21=Lists!$F$11), NOT(M21=Lists!$F$13))),0,IF(ISBLANK(N21)=FALSE,0,1))</f>
        <v>0</v>
      </c>
      <c r="AC21" s="93">
        <f>IF(OR(ISBLANK(P21), P21=0), 0, IF(OR(O21=Lists!$F$11, O21=Lists!$F$13), 0, 1))</f>
        <v>0</v>
      </c>
      <c r="AD21" s="93">
        <f>IF(OR($C21="", AND(NOT(O21=Lists!$F$11), NOT(O21=Lists!$F$13))),0,IF(ISBLANK(P21)=FALSE,0,1))</f>
        <v>0</v>
      </c>
      <c r="AE21" s="71"/>
      <c r="AF21" s="509">
        <f xml:space="preserve"> IF(OR( AND( K21 = Lists!$F$11, '3A'!L21 &lt; 0), AND( '3A'!M21 = Lists!$F$11, '3A'!N21 &lt; 0), AND( '3A'!O21 = Lists!$F$11, '3A'!P21 &lt; 0)), 1, 0)</f>
        <v>0</v>
      </c>
      <c r="AG21" s="509">
        <f xml:space="preserve"> IF( OR( AND( K21 = Lists!$F$13, '3A'!L21 &gt; 0), AND( M21 = Lists!$F$13, '3A'!N21 &gt; 0), AND( O21 = Lists!$F$13, '3A'!P21 &gt; 0 )), 1, 0)</f>
        <v>0</v>
      </c>
      <c r="AH21" s="511"/>
      <c r="AI21" s="670" t="str">
        <f>IF($P$1="Select company","",IF((HLOOKUP(((VLOOKUP($P$1,Lists!$B$4:$C$26,2,FALSE))&amp;'PC LIST'!$J$2),'PC list edited'!$A$2:$EJ$65,(B21+1),FALSE))=0,"",HLOOKUP(((VLOOKUP($P$1,Lists!$B$4:$C$26,2,FALSE))&amp; 'PC LIST'!$J$2),'PC list edited'!$A$2:$EJ$65,(B21+1),FALSE)))</f>
        <v>Out &amp; under</v>
      </c>
      <c r="AJ21" s="2104" t="str">
        <f>IFERROR(INDEX('PC LIST'!N$3:N$631, MATCH($C21, 'PC LIST'!$B$3:$B$631, 0)),"")</f>
        <v>SIM</v>
      </c>
    </row>
    <row r="22" spans="1:36" s="308" customFormat="1" ht="30" customHeight="1">
      <c r="A22" s="74"/>
      <c r="B22" s="289">
        <f t="shared" si="3"/>
        <v>18</v>
      </c>
      <c r="C22" s="500" t="str">
        <f>IF($P$1="Select company","",IF((HLOOKUP((VLOOKUP($P$1,Lists!$B$4:$C$26,2,FALSE)),'PC list edited'!$A$2:$EJ$65,(B22+1),FALSE))=0,"",HLOOKUP((VLOOKUP($P$1,Lists!$B$4:$C$26,2,FALSE)),'PC list edited'!$A$2:$EJ$65,(B22+1),FALSE)))</f>
        <v>PR14BRLHHR_J2</v>
      </c>
      <c r="D22" s="499" t="str">
        <f>IF($P$1="Select company","",IF(C22 ="","",HLOOKUP(((VLOOKUP($P$1,Lists!$B$4:$C$26,2,FALSE))&amp;"PC"),'PC list edited'!$A$2:$EJ$65,(B22+1),FALSE)))</f>
        <v>J2: General satisfaction from surveys</v>
      </c>
      <c r="E22" s="314" t="str">
        <f>IF($P$1="Select company","",IF(C22 ="","",HLOOKUP(((VLOOKUP($P$1,Lists!$B$4:$C$26,2,FALSE))&amp;"unit"),'PC list edited'!$A$2:$EJ$65,(B22+1),FALSE)))</f>
        <v>%</v>
      </c>
      <c r="F22" s="314" t="str">
        <f>IF($P$1="Select company","",IF(C22 ="","",HLOOKUP(((VLOOKUP($P$1,Lists!$B$4:$C$26,2,FALSE))&amp;"UnitDes"),'PC list edited'!$A$2:$EJ$65,(B22+1),FALSE)))</f>
        <v>% customer satisfaction</v>
      </c>
      <c r="G22" s="519">
        <f>IF($P$1="Select company","",IF(C22="","",HLOOKUP(((VLOOKUP($P$1,Lists!$B$4:$C$26,2,FALSE))&amp;"DP"),'PC list edited'!$A$2:$EJ$65,(B22+1),FALSE)))</f>
        <v>0</v>
      </c>
      <c r="H22" s="519">
        <f>IF($P$1="Select company","",IF(C22 = "","",HLOOKUP(((VLOOKUP($P$1,Lists!$B$4:$C$26,2,FALSE))&amp;"201819Actual"),'PC list edited'!$A$2:$EJ$65,(B22+1),FALSE)))</f>
        <v>89</v>
      </c>
      <c r="I22" s="554">
        <v>87</v>
      </c>
      <c r="J22" s="668" t="s">
        <v>2460</v>
      </c>
      <c r="K22" s="503"/>
      <c r="L22" s="504"/>
      <c r="M22" s="503"/>
      <c r="N22" s="504"/>
      <c r="O22" s="2810"/>
      <c r="P22" s="2811"/>
      <c r="Q22" s="70"/>
      <c r="R22" s="507">
        <f t="shared" si="4"/>
        <v>0</v>
      </c>
      <c r="S22" s="24">
        <f t="shared" si="1"/>
        <v>0</v>
      </c>
      <c r="T22" s="70"/>
      <c r="U22" s="71"/>
      <c r="V22" s="93">
        <f t="shared" si="2"/>
        <v>0</v>
      </c>
      <c r="W22" s="93">
        <f>IF($C22="",0,IF(ISBLANK(#REF!)=FALSE,0,1))</f>
        <v>0</v>
      </c>
      <c r="X22" s="93">
        <f t="shared" si="0"/>
        <v>0</v>
      </c>
      <c r="Y22" s="93">
        <f>IF(OR(ISBLANK(L22), L22=0), 0, IF(OR(K22=Lists!$F$11, K22=Lists!$F$13), 0, 1))</f>
        <v>0</v>
      </c>
      <c r="Z22" s="93">
        <f>IF(OR($C22="", AND(NOT(K22=Lists!$F$11), NOT(K22=Lists!$F$13))),0,IF(ISBLANK(L22)=FALSE,0,1))</f>
        <v>0</v>
      </c>
      <c r="AA22" s="93">
        <f>IF(OR(ISBLANK(N22), N22=0), 0, IF(OR(M22=Lists!$F$11, M22=Lists!$F$13), 0, 1))</f>
        <v>0</v>
      </c>
      <c r="AB22" s="93">
        <f>IF(OR($C22="", AND(NOT(M22=Lists!$F$11), NOT(M22=Lists!$F$13))),0,IF(ISBLANK(N22)=FALSE,0,1))</f>
        <v>0</v>
      </c>
      <c r="AC22" s="93">
        <f>IF(OR(ISBLANK(P22), P22=0), 0, IF(OR(O22=Lists!$F$11, O22=Lists!$F$13), 0, 1))</f>
        <v>0</v>
      </c>
      <c r="AD22" s="93">
        <f>IF(OR($C22="", AND(NOT(O22=Lists!$F$11), NOT(O22=Lists!$F$13))),0,IF(ISBLANK(P22)=FALSE,0,1))</f>
        <v>0</v>
      </c>
      <c r="AE22" s="71"/>
      <c r="AF22" s="509">
        <f xml:space="preserve"> IF(OR( AND( K22 = Lists!$F$11, '3A'!L22 &lt; 0), AND( '3A'!M22 = Lists!$F$11, '3A'!N22 &lt; 0), AND( '3A'!O22 = Lists!$F$11, '3A'!P22 &lt; 0)), 1, 0)</f>
        <v>0</v>
      </c>
      <c r="AG22" s="509">
        <f xml:space="preserve"> IF( OR( AND( K22 = Lists!$F$13, '3A'!L22 &gt; 0), AND( M22 = Lists!$F$13, '3A'!N22 &gt; 0), AND( O22 = Lists!$F$13, '3A'!P22 &gt; 0 )), 1, 0)</f>
        <v>0</v>
      </c>
      <c r="AH22" s="511"/>
      <c r="AI22" s="670" t="str">
        <f>IF($P$1="Select company","",IF((HLOOKUP(((VLOOKUP($P$1,Lists!$B$4:$C$26,2,FALSE))&amp;'PC LIST'!$J$2),'PC list edited'!$A$2:$EJ$65,(B22+1),FALSE))=0,"",HLOOKUP(((VLOOKUP($P$1,Lists!$B$4:$C$26,2,FALSE))&amp; 'PC LIST'!$J$2),'PC list edited'!$A$2:$EJ$65,(B22+1),FALSE)))</f>
        <v>NFI</v>
      </c>
      <c r="AJ22" s="2104" t="str">
        <f>IFERROR(INDEX('PC LIST'!N$3:N$631, MATCH($C22, 'PC LIST'!$B$3:$B$631, 0)),"")</f>
        <v>Customer satisfaction (exc. bills)</v>
      </c>
    </row>
    <row r="23" spans="1:36" s="308" customFormat="1" ht="30" customHeight="1">
      <c r="A23" s="74"/>
      <c r="B23" s="289">
        <f t="shared" si="3"/>
        <v>19</v>
      </c>
      <c r="C23" s="500" t="str">
        <f>IF($P$1="Select company","",IF((HLOOKUP((VLOOKUP($P$1,Lists!$B$4:$C$26,2,FALSE)),'PC list edited'!$A$2:$EJ$65,(B23+1),FALSE))=0,"",HLOOKUP((VLOOKUP($P$1,Lists!$B$4:$C$26,2,FALSE)),'PC list edited'!$A$2:$EJ$65,(B23+1),FALSE)))</f>
        <v>PR14BRLHHR_J3</v>
      </c>
      <c r="D23" s="499" t="str">
        <f>IF($P$1="Select company","",IF(C23 ="","",HLOOKUP(((VLOOKUP($P$1,Lists!$B$4:$C$26,2,FALSE))&amp;"PC"),'PC list edited'!$A$2:$EJ$65,(B23+1),FALSE)))</f>
        <v>J3: Value for money</v>
      </c>
      <c r="E23" s="314" t="str">
        <f>IF($P$1="Select company","",IF(C23 ="","",HLOOKUP(((VLOOKUP($P$1,Lists!$B$4:$C$26,2,FALSE))&amp;"unit"),'PC list edited'!$A$2:$EJ$65,(B23+1),FALSE)))</f>
        <v>%</v>
      </c>
      <c r="F23" s="314" t="str">
        <f>IF($P$1="Select company","",IF(C23 ="","",HLOOKUP(((VLOOKUP($P$1,Lists!$B$4:$C$26,2,FALSE))&amp;"UnitDes"),'PC list edited'!$A$2:$EJ$65,(B23+1),FALSE)))</f>
        <v>% customer satisfaction</v>
      </c>
      <c r="G23" s="519">
        <f>IF($P$1="Select company","",IF(C23="","",HLOOKUP(((VLOOKUP($P$1,Lists!$B$4:$C$26,2,FALSE))&amp;"DP"),'PC list edited'!$A$2:$EJ$65,(B23+1),FALSE)))</f>
        <v>0</v>
      </c>
      <c r="H23" s="519">
        <f>IF($P$1="Select company","",IF(C23 = "","",HLOOKUP(((VLOOKUP($P$1,Lists!$B$4:$C$26,2,FALSE))&amp;"201819Actual"),'PC list edited'!$A$2:$EJ$65,(B23+1),FALSE)))</f>
        <v>67.599999999999994</v>
      </c>
      <c r="I23" s="554">
        <v>75</v>
      </c>
      <c r="J23" s="668" t="s">
        <v>2459</v>
      </c>
      <c r="K23" s="503"/>
      <c r="L23" s="504"/>
      <c r="M23" s="503"/>
      <c r="N23" s="504"/>
      <c r="O23" s="2810"/>
      <c r="P23" s="2811"/>
      <c r="Q23" s="118"/>
      <c r="R23" s="507">
        <f t="shared" si="4"/>
        <v>0</v>
      </c>
      <c r="S23" s="24">
        <f t="shared" si="1"/>
        <v>0</v>
      </c>
      <c r="T23" s="118"/>
      <c r="U23" s="124"/>
      <c r="V23" s="93">
        <f t="shared" si="2"/>
        <v>0</v>
      </c>
      <c r="W23" s="93">
        <f>IF($C23="",0,IF(ISBLANK(#REF!)=FALSE,0,1))</f>
        <v>0</v>
      </c>
      <c r="X23" s="93">
        <f t="shared" si="0"/>
        <v>0</v>
      </c>
      <c r="Y23" s="93">
        <f>IF(OR(ISBLANK(L23), L23=0), 0, IF(OR(K23=Lists!$F$11, K23=Lists!$F$13), 0, 1))</f>
        <v>0</v>
      </c>
      <c r="Z23" s="93">
        <f>IF(OR($C23="", AND(NOT(K23=Lists!$F$11), NOT(K23=Lists!$F$13))),0,IF(ISBLANK(L23)=FALSE,0,1))</f>
        <v>0</v>
      </c>
      <c r="AA23" s="93">
        <f>IF(OR(ISBLANK(N23), N23=0), 0, IF(OR(M23=Lists!$F$11, M23=Lists!$F$13), 0, 1))</f>
        <v>0</v>
      </c>
      <c r="AB23" s="93">
        <f>IF(OR($C23="", AND(NOT(M23=Lists!$F$11), NOT(M23=Lists!$F$13))),0,IF(ISBLANK(N23)=FALSE,0,1))</f>
        <v>0</v>
      </c>
      <c r="AC23" s="93">
        <f>IF(OR(ISBLANK(P23), P23=0), 0, IF(OR(O23=Lists!$F$11, O23=Lists!$F$13), 0, 1))</f>
        <v>0</v>
      </c>
      <c r="AD23" s="93">
        <f>IF(OR($C23="", AND(NOT(O23=Lists!$F$11), NOT(O23=Lists!$F$13))),0,IF(ISBLANK(P23)=FALSE,0,1))</f>
        <v>0</v>
      </c>
      <c r="AE23" s="124"/>
      <c r="AF23" s="509">
        <f xml:space="preserve"> IF(OR( AND( K23 = Lists!$F$11, '3A'!L23 &lt; 0), AND( '3A'!M23 = Lists!$F$11, '3A'!N23 &lt; 0), AND( '3A'!O23 = Lists!$F$11, '3A'!P23 &lt; 0)), 1, 0)</f>
        <v>0</v>
      </c>
      <c r="AG23" s="509">
        <f xml:space="preserve"> IF( OR( AND( K23 = Lists!$F$13, '3A'!L23 &gt; 0), AND( M23 = Lists!$F$13, '3A'!N23 &gt; 0), AND( O23 = Lists!$F$13, '3A'!P23 &gt; 0 )), 1, 0)</f>
        <v>0</v>
      </c>
      <c r="AH23" s="511"/>
      <c r="AI23" s="670" t="str">
        <f>IF($P$1="Select company","",IF((HLOOKUP(((VLOOKUP($P$1,Lists!$B$4:$C$26,2,FALSE))&amp;'PC LIST'!$J$2),'PC list edited'!$A$2:$EJ$65,(B23+1),FALSE))=0,"",HLOOKUP(((VLOOKUP($P$1,Lists!$B$4:$C$26,2,FALSE))&amp; 'PC LIST'!$J$2),'PC list edited'!$A$2:$EJ$65,(B23+1),FALSE)))</f>
        <v>NFI</v>
      </c>
      <c r="AJ23" s="2104" t="str">
        <f>IFERROR(INDEX('PC LIST'!N$3:N$631, MATCH($C23, 'PC LIST'!$B$3:$B$631, 0)),"")</f>
        <v>Billing, debt, vfm, affordability</v>
      </c>
    </row>
    <row r="24" spans="1:36" s="308" customFormat="1" ht="30" customHeight="1">
      <c r="A24" s="74"/>
      <c r="B24" s="289">
        <f t="shared" si="3"/>
        <v>20</v>
      </c>
      <c r="C24" s="500" t="str">
        <f>IF($P$1="Select company","",IF((HLOOKUP((VLOOKUP($P$1,Lists!$B$4:$C$26,2,FALSE)),'PC list edited'!$A$2:$EJ$65,(B24+1),FALSE))=0,"",HLOOKUP((VLOOKUP($P$1,Lists!$B$4:$C$26,2,FALSE)),'PC list edited'!$A$2:$EJ$65,(B24+1),FALSE)))</f>
        <v>PR14BRLHHR_K1</v>
      </c>
      <c r="D24" s="499" t="str">
        <f>IF($P$1="Select company","",IF(C24 ="","",HLOOKUP(((VLOOKUP($P$1,Lists!$B$4:$C$26,2,FALSE))&amp;"PC"),'PC list edited'!$A$2:$EJ$65,(B24+1),FALSE)))</f>
        <v>K1: Ease of contact from surveys</v>
      </c>
      <c r="E24" s="314" t="str">
        <f>IF($P$1="Select company","",IF(C24 ="","",HLOOKUP(((VLOOKUP($P$1,Lists!$B$4:$C$26,2,FALSE))&amp;"unit"),'PC list edited'!$A$2:$EJ$65,(B24+1),FALSE)))</f>
        <v>%</v>
      </c>
      <c r="F24" s="314" t="str">
        <f>IF($P$1="Select company","",IF(C24 ="","",HLOOKUP(((VLOOKUP($P$1,Lists!$B$4:$C$26,2,FALSE))&amp;"UnitDes"),'PC list edited'!$A$2:$EJ$65,(B24+1),FALSE)))</f>
        <v>% customer satisfaction</v>
      </c>
      <c r="G24" s="519">
        <f>IF($P$1="Select company","",IF(C24="","",HLOOKUP(((VLOOKUP($P$1,Lists!$B$4:$C$26,2,FALSE))&amp;"DP"),'PC list edited'!$A$2:$EJ$65,(B24+1),FALSE)))</f>
        <v>1</v>
      </c>
      <c r="H24" s="519">
        <f>IF($P$1="Select company","",IF(C24 = "","",HLOOKUP(((VLOOKUP($P$1,Lists!$B$4:$C$26,2,FALSE))&amp;"201819Actual"),'PC list edited'!$A$2:$EJ$65,(B24+1),FALSE)))</f>
        <v>91.4</v>
      </c>
      <c r="I24" s="554">
        <v>91.8</v>
      </c>
      <c r="J24" s="668" t="s">
        <v>2460</v>
      </c>
      <c r="K24" s="503"/>
      <c r="L24" s="504"/>
      <c r="M24" s="503"/>
      <c r="N24" s="504"/>
      <c r="O24" s="2810"/>
      <c r="P24" s="2811"/>
      <c r="Q24" s="126"/>
      <c r="R24" s="507">
        <f t="shared" si="4"/>
        <v>0</v>
      </c>
      <c r="S24" s="24">
        <f t="shared" si="1"/>
        <v>0</v>
      </c>
      <c r="T24" s="126"/>
      <c r="U24" s="119"/>
      <c r="V24" s="93">
        <f t="shared" si="2"/>
        <v>0</v>
      </c>
      <c r="W24" s="93">
        <f>IF($C24="",0,IF(ISBLANK(#REF!)=FALSE,0,1))</f>
        <v>0</v>
      </c>
      <c r="X24" s="93">
        <f t="shared" si="0"/>
        <v>0</v>
      </c>
      <c r="Y24" s="93">
        <f>IF(OR(ISBLANK(L24), L24=0), 0, IF(OR(K24=Lists!$F$11, K24=Lists!$F$13), 0, 1))</f>
        <v>0</v>
      </c>
      <c r="Z24" s="93">
        <f>IF(OR($C24="", AND(NOT(K24=Lists!$F$11), NOT(K24=Lists!$F$13))),0,IF(ISBLANK(L24)=FALSE,0,1))</f>
        <v>0</v>
      </c>
      <c r="AA24" s="93">
        <f>IF(OR(ISBLANK(N24), N24=0), 0, IF(OR(M24=Lists!$F$11, M24=Lists!$F$13), 0, 1))</f>
        <v>0</v>
      </c>
      <c r="AB24" s="93">
        <f>IF(OR($C24="", AND(NOT(M24=Lists!$F$11), NOT(M24=Lists!$F$13))),0,IF(ISBLANK(N24)=FALSE,0,1))</f>
        <v>0</v>
      </c>
      <c r="AC24" s="93">
        <f>IF(OR(ISBLANK(P24), P24=0), 0, IF(OR(O24=Lists!$F$11, O24=Lists!$F$13), 0, 1))</f>
        <v>0</v>
      </c>
      <c r="AD24" s="93">
        <f>IF(OR($C24="", AND(NOT(O24=Lists!$F$11), NOT(O24=Lists!$F$13))),0,IF(ISBLANK(P24)=FALSE,0,1))</f>
        <v>0</v>
      </c>
      <c r="AE24" s="119"/>
      <c r="AF24" s="509">
        <f xml:space="preserve"> IF(OR( AND( K24 = Lists!$F$11, '3A'!L24 &lt; 0), AND( '3A'!M24 = Lists!$F$11, '3A'!N24 &lt; 0), AND( '3A'!O24 = Lists!$F$11, '3A'!P24 &lt; 0)), 1, 0)</f>
        <v>0</v>
      </c>
      <c r="AG24" s="509">
        <f xml:space="preserve"> IF( OR( AND( K24 = Lists!$F$13, '3A'!L24 &gt; 0), AND( M24 = Lists!$F$13, '3A'!N24 &gt; 0), AND( O24 = Lists!$F$13, '3A'!P24 &gt; 0 )), 1, 0)</f>
        <v>0</v>
      </c>
      <c r="AH24" s="511"/>
      <c r="AI24" s="670" t="str">
        <f>IF($P$1="Select company","",IF((HLOOKUP(((VLOOKUP($P$1,Lists!$B$4:$C$26,2,FALSE))&amp;'PC LIST'!$J$2),'PC list edited'!$A$2:$EJ$65,(B24+1),FALSE))=0,"",HLOOKUP(((VLOOKUP($P$1,Lists!$B$4:$C$26,2,FALSE))&amp; 'PC LIST'!$J$2),'PC list edited'!$A$2:$EJ$65,(B24+1),FALSE)))</f>
        <v>NFI</v>
      </c>
      <c r="AJ24" s="2104" t="str">
        <f>IFERROR(INDEX('PC LIST'!N$3:N$631, MATCH($C24, 'PC LIST'!$B$3:$B$631, 0)),"")</f>
        <v>Customer satisfaction (exc. bills)</v>
      </c>
    </row>
    <row r="25" spans="1:36" s="308" customFormat="1" ht="30" customHeight="1">
      <c r="A25" s="74"/>
      <c r="B25" s="289">
        <f t="shared" si="3"/>
        <v>21</v>
      </c>
      <c r="C25" s="500" t="str">
        <f>IF($P$1="Select company","",IF((HLOOKUP((VLOOKUP($P$1,Lists!$B$4:$C$26,2,FALSE)),'PC list edited'!$A$2:$EJ$65,(B25+1),FALSE))=0,"",HLOOKUP((VLOOKUP($P$1,Lists!$B$4:$C$26,2,FALSE)),'PC list edited'!$A$2:$EJ$65,(B25+1),FALSE)))</f>
        <v>PR14BRLHHR_L1</v>
      </c>
      <c r="D25" s="499" t="str">
        <f>IF($P$1="Select company","",IF(C25 ="","",HLOOKUP(((VLOOKUP($P$1,Lists!$B$4:$C$26,2,FALSE))&amp;"PC"),'PC list edited'!$A$2:$EJ$65,(B25+1),FALSE)))</f>
        <v>L1: Negative billing contacts</v>
      </c>
      <c r="E25" s="314" t="str">
        <f>IF($P$1="Select company","",IF(C25 ="","",HLOOKUP(((VLOOKUP($P$1,Lists!$B$4:$C$26,2,FALSE))&amp;"unit"),'PC list edited'!$A$2:$EJ$65,(B25+1),FALSE)))</f>
        <v>nr</v>
      </c>
      <c r="F25" s="314" t="str">
        <f>IF($P$1="Select company","",IF(C25 ="","",HLOOKUP(((VLOOKUP($P$1,Lists!$B$4:$C$26,2,FALSE))&amp;"UnitDes"),'PC list edited'!$A$2:$EJ$65,(B25+1),FALSE)))</f>
        <v>No. of contacts per year</v>
      </c>
      <c r="G25" s="519">
        <f>IF($P$1="Select company","",IF(C25="","",HLOOKUP(((VLOOKUP($P$1,Lists!$B$4:$C$26,2,FALSE))&amp;"DP"),'PC list edited'!$A$2:$EJ$65,(B25+1),FALSE)))</f>
        <v>0</v>
      </c>
      <c r="H25" s="519">
        <f>IF($P$1="Select company","",IF(C25 = "","",HLOOKUP(((VLOOKUP($P$1,Lists!$B$4:$C$26,2,FALSE))&amp;"201819Actual"),'PC list edited'!$A$2:$EJ$65,(B25+1),FALSE)))</f>
        <v>1595</v>
      </c>
      <c r="I25" s="554">
        <v>1274</v>
      </c>
      <c r="J25" s="668" t="s">
        <v>2459</v>
      </c>
      <c r="K25" s="503"/>
      <c r="L25" s="504"/>
      <c r="M25" s="503"/>
      <c r="N25" s="504"/>
      <c r="O25" s="2810"/>
      <c r="P25" s="2811"/>
      <c r="Q25" s="126"/>
      <c r="R25" s="507">
        <f t="shared" si="4"/>
        <v>0</v>
      </c>
      <c r="S25" s="24">
        <f t="shared" si="1"/>
        <v>0</v>
      </c>
      <c r="T25" s="126"/>
      <c r="U25" s="119"/>
      <c r="V25" s="93">
        <f t="shared" si="2"/>
        <v>0</v>
      </c>
      <c r="W25" s="93">
        <f>IF($C25="",0,IF(ISBLANK(#REF!)=FALSE,0,1))</f>
        <v>0</v>
      </c>
      <c r="X25" s="93">
        <f t="shared" si="0"/>
        <v>0</v>
      </c>
      <c r="Y25" s="93">
        <f>IF(OR(ISBLANK(L25), L25=0), 0, IF(OR(K25=Lists!$F$11, K25=Lists!$F$13), 0, 1))</f>
        <v>0</v>
      </c>
      <c r="Z25" s="93">
        <f>IF(OR($C25="", AND(NOT(K25=Lists!$F$11), NOT(K25=Lists!$F$13))),0,IF(ISBLANK(L25)=FALSE,0,1))</f>
        <v>0</v>
      </c>
      <c r="AA25" s="93">
        <f>IF(OR(ISBLANK(N25), N25=0), 0, IF(OR(M25=Lists!$F$11, M25=Lists!$F$13), 0, 1))</f>
        <v>0</v>
      </c>
      <c r="AB25" s="93">
        <f>IF(OR($C25="", AND(NOT(M25=Lists!$F$11), NOT(M25=Lists!$F$13))),0,IF(ISBLANK(N25)=FALSE,0,1))</f>
        <v>0</v>
      </c>
      <c r="AC25" s="93">
        <f>IF(OR(ISBLANK(P25), P25=0), 0, IF(OR(O25=Lists!$F$11, O25=Lists!$F$13), 0, 1))</f>
        <v>0</v>
      </c>
      <c r="AD25" s="93">
        <f>IF(OR($C25="", AND(NOT(O25=Lists!$F$11), NOT(O25=Lists!$F$13))),0,IF(ISBLANK(P25)=FALSE,0,1))</f>
        <v>0</v>
      </c>
      <c r="AE25" s="119"/>
      <c r="AF25" s="509">
        <f xml:space="preserve"> IF(OR( AND( K25 = Lists!$F$11, '3A'!L25 &lt; 0), AND( '3A'!M25 = Lists!$F$11, '3A'!N25 &lt; 0), AND( '3A'!O25 = Lists!$F$11, '3A'!P25 &lt; 0)), 1, 0)</f>
        <v>0</v>
      </c>
      <c r="AG25" s="509">
        <f xml:space="preserve"> IF( OR( AND( K25 = Lists!$F$13, '3A'!L25 &gt; 0), AND( M25 = Lists!$F$13, '3A'!N25 &gt; 0), AND( O25 = Lists!$F$13, '3A'!P25 &gt; 0 )), 1, 0)</f>
        <v>0</v>
      </c>
      <c r="AH25" s="511"/>
      <c r="AI25" s="670" t="str">
        <f>IF($P$1="Select company","",IF((HLOOKUP(((VLOOKUP($P$1,Lists!$B$4:$C$26,2,FALSE))&amp;'PC LIST'!$J$2),'PC list edited'!$A$2:$EJ$65,(B25+1),FALSE))=0,"",HLOOKUP(((VLOOKUP($P$1,Lists!$B$4:$C$26,2,FALSE))&amp; 'PC LIST'!$J$2),'PC list edited'!$A$2:$EJ$65,(B25+1),FALSE)))</f>
        <v>NFI</v>
      </c>
      <c r="AJ25" s="2104" t="str">
        <f>IFERROR(INDEX('PC LIST'!N$3:N$631, MATCH($C25, 'PC LIST'!$B$3:$B$631, 0)),"")</f>
        <v>Billing, debt, vfm, affordability</v>
      </c>
    </row>
    <row r="26" spans="1:36" s="308" customFormat="1" ht="30" customHeight="1">
      <c r="A26" s="74"/>
      <c r="B26" s="289">
        <f t="shared" si="3"/>
        <v>22</v>
      </c>
      <c r="C26" s="500" t="str">
        <f>IF($P$1="Select company","",IF((HLOOKUP((VLOOKUP($P$1,Lists!$B$4:$C$26,2,FALSE)),'PC list edited'!$A$2:$EJ$65,(B26+1),FALSE))=0,"",HLOOKUP((VLOOKUP($P$1,Lists!$B$4:$C$26,2,FALSE)),'PC list edited'!$A$2:$EJ$65,(B26+1),FALSE)))</f>
        <v/>
      </c>
      <c r="D26" s="499" t="str">
        <f>IF($P$1="Select company","",IF(C26 ="","",HLOOKUP(((VLOOKUP($P$1,Lists!$B$4:$C$26,2,FALSE))&amp;"PC"),'PC list edited'!$A$2:$EJ$65,(B26+1),FALSE)))</f>
        <v/>
      </c>
      <c r="E26" s="314" t="str">
        <f>IF($P$1="Select company","",IF(C26 ="","",HLOOKUP(((VLOOKUP($P$1,Lists!$B$4:$C$26,2,FALSE))&amp;"unit"),'PC list edited'!$A$2:$EJ$65,(B26+1),FALSE)))</f>
        <v/>
      </c>
      <c r="F26" s="314" t="str">
        <f>IF($P$1="Select company","",IF(C26 ="","",HLOOKUP(((VLOOKUP($P$1,Lists!$B$4:$C$26,2,FALSE))&amp;"UnitDes"),'PC list edited'!$A$2:$EJ$65,(B26+1),FALSE)))</f>
        <v/>
      </c>
      <c r="G26" s="519" t="str">
        <f>IF($P$1="Select company","",IF(C26="","",HLOOKUP(((VLOOKUP($P$1,Lists!$B$4:$C$26,2,FALSE))&amp;"DP"),'PC list edited'!$A$2:$EJ$65,(B26+1),FALSE)))</f>
        <v/>
      </c>
      <c r="H26" s="519" t="str">
        <f>IF($P$1="Select company","",IF(C26 = "","",HLOOKUP(((VLOOKUP($P$1,Lists!$B$4:$C$26,2,FALSE))&amp;"201819Actual"),'PC list edited'!$A$2:$EJ$65,(B26+1),FALSE)))</f>
        <v/>
      </c>
      <c r="I26" s="554"/>
      <c r="J26" s="668"/>
      <c r="K26" s="503"/>
      <c r="L26" s="504"/>
      <c r="M26" s="503"/>
      <c r="N26" s="504"/>
      <c r="O26" s="2810"/>
      <c r="P26" s="2811"/>
      <c r="Q26" s="126"/>
      <c r="R26" s="507">
        <f t="shared" si="4"/>
        <v>0</v>
      </c>
      <c r="S26" s="24">
        <f t="shared" si="1"/>
        <v>0</v>
      </c>
      <c r="T26" s="126"/>
      <c r="U26" s="119"/>
      <c r="V26" s="93">
        <f t="shared" si="2"/>
        <v>0</v>
      </c>
      <c r="W26" s="93">
        <f>IF($C26="",0,IF(ISBLANK(#REF!)=FALSE,0,1))</f>
        <v>0</v>
      </c>
      <c r="X26" s="93">
        <f t="shared" si="0"/>
        <v>0</v>
      </c>
      <c r="Y26" s="93">
        <f>IF(OR(ISBLANK(L26), L26=0), 0, IF(OR(K26=Lists!$F$11, K26=Lists!$F$13), 0, 1))</f>
        <v>0</v>
      </c>
      <c r="Z26" s="93">
        <f>IF(OR($C26="", AND(NOT(K26=Lists!$F$11), NOT(K26=Lists!$F$13))),0,IF(ISBLANK(L26)=FALSE,0,1))</f>
        <v>0</v>
      </c>
      <c r="AA26" s="93">
        <f>IF(OR(ISBLANK(N26), N26=0), 0, IF(OR(M26=Lists!$F$11, M26=Lists!$F$13), 0, 1))</f>
        <v>0</v>
      </c>
      <c r="AB26" s="93">
        <f>IF(OR($C26="", AND(NOT(M26=Lists!$F$11), NOT(M26=Lists!$F$13))),0,IF(ISBLANK(N26)=FALSE,0,1))</f>
        <v>0</v>
      </c>
      <c r="AC26" s="93">
        <f>IF(OR(ISBLANK(P26), P26=0), 0, IF(OR(O26=Lists!$F$11, O26=Lists!$F$13), 0, 1))</f>
        <v>0</v>
      </c>
      <c r="AD26" s="93">
        <f>IF(OR($C26="", AND(NOT(O26=Lists!$F$11), NOT(O26=Lists!$F$13))),0,IF(ISBLANK(P26)=FALSE,0,1))</f>
        <v>0</v>
      </c>
      <c r="AE26" s="119"/>
      <c r="AF26" s="509">
        <f xml:space="preserve"> IF(OR( AND( K26 = Lists!$F$11, '3A'!L26 &lt; 0), AND( '3A'!M26 = Lists!$F$11, '3A'!N26 &lt; 0), AND( '3A'!O26 = Lists!$F$11, '3A'!P26 &lt; 0)), 1, 0)</f>
        <v>0</v>
      </c>
      <c r="AG26" s="509">
        <f xml:space="preserve"> IF( OR( AND( K26 = Lists!$F$13, '3A'!L26 &gt; 0), AND( M26 = Lists!$F$13, '3A'!N26 &gt; 0), AND( O26 = Lists!$F$13, '3A'!P26 &gt; 0 )), 1, 0)</f>
        <v>0</v>
      </c>
      <c r="AH26" s="511"/>
      <c r="AI26" s="670" t="str">
        <f>IF($P$1="Select company","",IF((HLOOKUP(((VLOOKUP($P$1,Lists!$B$4:$C$26,2,FALSE))&amp;'PC LIST'!$J$2),'PC list edited'!$A$2:$EJ$65,(B26+1),FALSE))=0,"",HLOOKUP(((VLOOKUP($P$1,Lists!$B$4:$C$26,2,FALSE))&amp; 'PC LIST'!$J$2),'PC list edited'!$A$2:$EJ$65,(B26+1),FALSE)))</f>
        <v/>
      </c>
      <c r="AJ26" s="2104" t="str">
        <f>IFERROR(INDEX('PC LIST'!N$3:N$631, MATCH($C26, 'PC LIST'!$B$3:$B$631, 0)),"")</f>
        <v/>
      </c>
    </row>
    <row r="27" spans="1:36" s="308" customFormat="1" ht="30" customHeight="1">
      <c r="A27" s="74"/>
      <c r="B27" s="289">
        <f t="shared" si="3"/>
        <v>23</v>
      </c>
      <c r="C27" s="500" t="str">
        <f>IF($P$1="Select company","",IF((HLOOKUP((VLOOKUP($P$1,Lists!$B$4:$C$26,2,FALSE)),'PC list edited'!$A$2:$EJ$65,(B27+1),FALSE))=0,"",HLOOKUP((VLOOKUP($P$1,Lists!$B$4:$C$26,2,FALSE)),'PC list edited'!$A$2:$EJ$65,(B27+1),FALSE)))</f>
        <v/>
      </c>
      <c r="D27" s="499" t="str">
        <f>IF($P$1="Select company","",IF(C27 ="","",HLOOKUP(((VLOOKUP($P$1,Lists!$B$4:$C$26,2,FALSE))&amp;"PC"),'PC list edited'!$A$2:$EJ$65,(B27+1),FALSE)))</f>
        <v/>
      </c>
      <c r="E27" s="314" t="str">
        <f>IF($P$1="Select company","",IF(C27 ="","",HLOOKUP(((VLOOKUP($P$1,Lists!$B$4:$C$26,2,FALSE))&amp;"unit"),'PC list edited'!$A$2:$EJ$65,(B27+1),FALSE)))</f>
        <v/>
      </c>
      <c r="F27" s="314" t="str">
        <f>IF($P$1="Select company","",IF(C27 ="","",HLOOKUP(((VLOOKUP($P$1,Lists!$B$4:$C$26,2,FALSE))&amp;"UnitDes"),'PC list edited'!$A$2:$EJ$65,(B27+1),FALSE)))</f>
        <v/>
      </c>
      <c r="G27" s="519" t="str">
        <f>IF($P$1="Select company","",IF(C27="","",HLOOKUP(((VLOOKUP($P$1,Lists!$B$4:$C$26,2,FALSE))&amp;"DP"),'PC list edited'!$A$2:$EJ$65,(B27+1),FALSE)))</f>
        <v/>
      </c>
      <c r="H27" s="519" t="str">
        <f>IF($P$1="Select company","",IF(C27 = "","",HLOOKUP(((VLOOKUP($P$1,Lists!$B$4:$C$26,2,FALSE))&amp;"201819Actual"),'PC list edited'!$A$2:$EJ$65,(B27+1),FALSE)))</f>
        <v/>
      </c>
      <c r="I27" s="554"/>
      <c r="J27" s="668"/>
      <c r="K27" s="503"/>
      <c r="L27" s="504"/>
      <c r="M27" s="503"/>
      <c r="N27" s="504"/>
      <c r="O27" s="2810"/>
      <c r="P27" s="2811"/>
      <c r="Q27" s="126"/>
      <c r="R27" s="507">
        <f t="shared" si="4"/>
        <v>0</v>
      </c>
      <c r="S27" s="24">
        <f t="shared" si="1"/>
        <v>0</v>
      </c>
      <c r="T27" s="126"/>
      <c r="U27" s="119"/>
      <c r="V27" s="93">
        <f t="shared" si="2"/>
        <v>0</v>
      </c>
      <c r="W27" s="93">
        <f>IF($C27="",0,IF(ISBLANK(#REF!)=FALSE,0,1))</f>
        <v>0</v>
      </c>
      <c r="X27" s="93">
        <f t="shared" si="0"/>
        <v>0</v>
      </c>
      <c r="Y27" s="93">
        <f>IF(OR(ISBLANK(L27), L27=0), 0, IF(OR(K27=Lists!$F$11, K27=Lists!$F$13), 0, 1))</f>
        <v>0</v>
      </c>
      <c r="Z27" s="93">
        <f>IF(OR($C27="", AND(NOT(K27=Lists!$F$11), NOT(K27=Lists!$F$13))),0,IF(ISBLANK(L27)=FALSE,0,1))</f>
        <v>0</v>
      </c>
      <c r="AA27" s="93">
        <f>IF(OR(ISBLANK(N27), N27=0), 0, IF(OR(M27=Lists!$F$11, M27=Lists!$F$13), 0, 1))</f>
        <v>0</v>
      </c>
      <c r="AB27" s="93">
        <f>IF(OR($C27="", AND(NOT(M27=Lists!$F$11), NOT(M27=Lists!$F$13))),0,IF(ISBLANK(N27)=FALSE,0,1))</f>
        <v>0</v>
      </c>
      <c r="AC27" s="93">
        <f>IF(OR(ISBLANK(P27), P27=0), 0, IF(OR(O27=Lists!$F$11, O27=Lists!$F$13), 0, 1))</f>
        <v>0</v>
      </c>
      <c r="AD27" s="93">
        <f>IF(OR($C27="", AND(NOT(O27=Lists!$F$11), NOT(O27=Lists!$F$13))),0,IF(ISBLANK(P27)=FALSE,0,1))</f>
        <v>0</v>
      </c>
      <c r="AE27" s="119"/>
      <c r="AF27" s="509">
        <f xml:space="preserve"> IF(OR( AND( K27 = Lists!$F$11, '3A'!L27 &lt; 0), AND( '3A'!M27 = Lists!$F$11, '3A'!N27 &lt; 0), AND( '3A'!O27 = Lists!$F$11, '3A'!P27 &lt; 0)), 1, 0)</f>
        <v>0</v>
      </c>
      <c r="AG27" s="509">
        <f xml:space="preserve"> IF( OR( AND( K27 = Lists!$F$13, '3A'!L27 &gt; 0), AND( M27 = Lists!$F$13, '3A'!N27 &gt; 0), AND( O27 = Lists!$F$13, '3A'!P27 &gt; 0 )), 1, 0)</f>
        <v>0</v>
      </c>
      <c r="AH27" s="511"/>
      <c r="AI27" s="670" t="str">
        <f>IF($P$1="Select company","",IF((HLOOKUP(((VLOOKUP($P$1,Lists!$B$4:$C$26,2,FALSE))&amp;'PC LIST'!$J$2),'PC list edited'!$A$2:$EJ$65,(B27+1),FALSE))=0,"",HLOOKUP(((VLOOKUP($P$1,Lists!$B$4:$C$26,2,FALSE))&amp; 'PC LIST'!$J$2),'PC list edited'!$A$2:$EJ$65,(B27+1),FALSE)))</f>
        <v/>
      </c>
      <c r="AJ27" s="2104" t="str">
        <f>IFERROR(INDEX('PC LIST'!N$3:N$631, MATCH($C27, 'PC LIST'!$B$3:$B$631, 0)),"")</f>
        <v/>
      </c>
    </row>
    <row r="28" spans="1:36" s="308" customFormat="1" ht="30" customHeight="1">
      <c r="A28" s="74"/>
      <c r="B28" s="289">
        <f t="shared" si="3"/>
        <v>24</v>
      </c>
      <c r="C28" s="500" t="str">
        <f>IF($P$1="Select company","",IF((HLOOKUP((VLOOKUP($P$1,Lists!$B$4:$C$26,2,FALSE)),'PC list edited'!$A$2:$EJ$65,(B28+1),FALSE))=0,"",HLOOKUP((VLOOKUP($P$1,Lists!$B$4:$C$26,2,FALSE)),'PC list edited'!$A$2:$EJ$65,(B28+1),FALSE)))</f>
        <v/>
      </c>
      <c r="D28" s="499" t="str">
        <f>IF($P$1="Select company","",IF(C28 ="","",HLOOKUP(((VLOOKUP($P$1,Lists!$B$4:$C$26,2,FALSE))&amp;"PC"),'PC list edited'!$A$2:$EJ$65,(B28+1),FALSE)))</f>
        <v/>
      </c>
      <c r="E28" s="314" t="str">
        <f>IF($P$1="Select company","",IF(C28 ="","",HLOOKUP(((VLOOKUP($P$1,Lists!$B$4:$C$26,2,FALSE))&amp;"unit"),'PC list edited'!$A$2:$EJ$65,(B28+1),FALSE)))</f>
        <v/>
      </c>
      <c r="F28" s="314" t="str">
        <f>IF($P$1="Select company","",IF(C28 ="","",HLOOKUP(((VLOOKUP($P$1,Lists!$B$4:$C$26,2,FALSE))&amp;"UnitDes"),'PC list edited'!$A$2:$EJ$65,(B28+1),FALSE)))</f>
        <v/>
      </c>
      <c r="G28" s="519" t="str">
        <f>IF($P$1="Select company","",IF(C28="","",HLOOKUP(((VLOOKUP($P$1,Lists!$B$4:$C$26,2,FALSE))&amp;"DP"),'PC list edited'!$A$2:$EJ$65,(B28+1),FALSE)))</f>
        <v/>
      </c>
      <c r="H28" s="519" t="str">
        <f>IF($P$1="Select company","",IF(C28 = "","",HLOOKUP(((VLOOKUP($P$1,Lists!$B$4:$C$26,2,FALSE))&amp;"201819Actual"),'PC list edited'!$A$2:$EJ$65,(B28+1),FALSE)))</f>
        <v/>
      </c>
      <c r="I28" s="554"/>
      <c r="J28" s="668"/>
      <c r="K28" s="503"/>
      <c r="L28" s="504"/>
      <c r="M28" s="503"/>
      <c r="N28" s="504"/>
      <c r="O28" s="2810"/>
      <c r="P28" s="2811"/>
      <c r="Q28" s="126"/>
      <c r="R28" s="507">
        <f t="shared" si="4"/>
        <v>0</v>
      </c>
      <c r="S28" s="24">
        <f t="shared" si="1"/>
        <v>0</v>
      </c>
      <c r="T28" s="126"/>
      <c r="U28" s="119"/>
      <c r="V28" s="93">
        <f t="shared" si="2"/>
        <v>0</v>
      </c>
      <c r="W28" s="93">
        <f>IF($C28="",0,IF(ISBLANK(#REF!)=FALSE,0,1))</f>
        <v>0</v>
      </c>
      <c r="X28" s="93">
        <f t="shared" si="0"/>
        <v>0</v>
      </c>
      <c r="Y28" s="93">
        <f>IF(OR(ISBLANK(L28), L28=0), 0, IF(OR(K28=Lists!$F$11, K28=Lists!$F$13), 0, 1))</f>
        <v>0</v>
      </c>
      <c r="Z28" s="93">
        <f>IF(OR($C28="", AND(NOT(K28=Lists!$F$11), NOT(K28=Lists!$F$13))),0,IF(ISBLANK(L28)=FALSE,0,1))</f>
        <v>0</v>
      </c>
      <c r="AA28" s="93">
        <f>IF(OR(ISBLANK(N28), N28=0), 0, IF(OR(M28=Lists!$F$11, M28=Lists!$F$13), 0, 1))</f>
        <v>0</v>
      </c>
      <c r="AB28" s="93">
        <f>IF(OR($C28="", AND(NOT(M28=Lists!$F$11), NOT(M28=Lists!$F$13))),0,IF(ISBLANK(N28)=FALSE,0,1))</f>
        <v>0</v>
      </c>
      <c r="AC28" s="93">
        <f>IF(OR(ISBLANK(P28), P28=0), 0, IF(OR(O28=Lists!$F$11, O28=Lists!$F$13), 0, 1))</f>
        <v>0</v>
      </c>
      <c r="AD28" s="93">
        <f>IF(OR($C28="", AND(NOT(O28=Lists!$F$11), NOT(O28=Lists!$F$13))),0,IF(ISBLANK(P28)=FALSE,0,1))</f>
        <v>0</v>
      </c>
      <c r="AE28" s="119"/>
      <c r="AF28" s="509">
        <f xml:space="preserve"> IF(OR( AND( K28 = Lists!$F$11, '3A'!L28 &lt; 0), AND( '3A'!M28 = Lists!$F$11, '3A'!N28 &lt; 0), AND( '3A'!O28 = Lists!$F$11, '3A'!P28 &lt; 0)), 1, 0)</f>
        <v>0</v>
      </c>
      <c r="AG28" s="509">
        <f xml:space="preserve"> IF( OR( AND( K28 = Lists!$F$13, '3A'!L28 &gt; 0), AND( M28 = Lists!$F$13, '3A'!N28 &gt; 0), AND( O28 = Lists!$F$13, '3A'!P28 &gt; 0 )), 1, 0)</f>
        <v>0</v>
      </c>
      <c r="AH28" s="511"/>
      <c r="AI28" s="670" t="str">
        <f>IF($P$1="Select company","",IF((HLOOKUP(((VLOOKUP($P$1,Lists!$B$4:$C$26,2,FALSE))&amp;'PC LIST'!$J$2),'PC list edited'!$A$2:$EJ$65,(B28+1),FALSE))=0,"",HLOOKUP(((VLOOKUP($P$1,Lists!$B$4:$C$26,2,FALSE))&amp; 'PC LIST'!$J$2),'PC list edited'!$A$2:$EJ$65,(B28+1),FALSE)))</f>
        <v/>
      </c>
      <c r="AJ28" s="2104" t="str">
        <f>IFERROR(INDEX('PC LIST'!N$3:N$631, MATCH($C28, 'PC LIST'!$B$3:$B$631, 0)),"")</f>
        <v/>
      </c>
    </row>
    <row r="29" spans="1:36" s="308" customFormat="1" ht="30" customHeight="1">
      <c r="A29" s="74"/>
      <c r="B29" s="289">
        <f t="shared" si="3"/>
        <v>25</v>
      </c>
      <c r="C29" s="500" t="str">
        <f>IF($P$1="Select company","",IF((HLOOKUP((VLOOKUP($P$1,Lists!$B$4:$C$26,2,FALSE)),'PC list edited'!$A$2:$EJ$65,(B29+1),FALSE))=0,"",HLOOKUP((VLOOKUP($P$1,Lists!$B$4:$C$26,2,FALSE)),'PC list edited'!$A$2:$EJ$65,(B29+1),FALSE)))</f>
        <v/>
      </c>
      <c r="D29" s="499" t="str">
        <f>IF($P$1="Select company","",IF(C29 ="","",HLOOKUP(((VLOOKUP($P$1,Lists!$B$4:$C$26,2,FALSE))&amp;"PC"),'PC list edited'!$A$2:$EJ$65,(B29+1),FALSE)))</f>
        <v/>
      </c>
      <c r="E29" s="314" t="str">
        <f>IF($P$1="Select company","",IF(C29 ="","",HLOOKUP(((VLOOKUP($P$1,Lists!$B$4:$C$26,2,FALSE))&amp;"unit"),'PC list edited'!$A$2:$EJ$65,(B29+1),FALSE)))</f>
        <v/>
      </c>
      <c r="F29" s="314" t="str">
        <f>IF($P$1="Select company","",IF(C29 ="","",HLOOKUP(((VLOOKUP($P$1,Lists!$B$4:$C$26,2,FALSE))&amp;"UnitDes"),'PC list edited'!$A$2:$EJ$65,(B29+1),FALSE)))</f>
        <v/>
      </c>
      <c r="G29" s="519" t="str">
        <f>IF($P$1="Select company","",IF(C29="","",HLOOKUP(((VLOOKUP($P$1,Lists!$B$4:$C$26,2,FALSE))&amp;"DP"),'PC list edited'!$A$2:$EJ$65,(B29+1),FALSE)))</f>
        <v/>
      </c>
      <c r="H29" s="519" t="str">
        <f>IF($P$1="Select company","",IF(C29 = "","",HLOOKUP(((VLOOKUP($P$1,Lists!$B$4:$C$26,2,FALSE))&amp;"201819Actual"),'PC list edited'!$A$2:$EJ$65,(B29+1),FALSE)))</f>
        <v/>
      </c>
      <c r="I29" s="554"/>
      <c r="J29" s="668"/>
      <c r="K29" s="503"/>
      <c r="L29" s="504"/>
      <c r="M29" s="503"/>
      <c r="N29" s="504"/>
      <c r="O29" s="2810"/>
      <c r="P29" s="2811"/>
      <c r="Q29" s="126"/>
      <c r="R29" s="507">
        <f t="shared" si="4"/>
        <v>0</v>
      </c>
      <c r="S29" s="24">
        <f t="shared" si="1"/>
        <v>0</v>
      </c>
      <c r="T29" s="126"/>
      <c r="U29" s="119"/>
      <c r="V29" s="93">
        <f t="shared" si="2"/>
        <v>0</v>
      </c>
      <c r="W29" s="93">
        <f>IF($C29="",0,IF(ISBLANK(#REF!)=FALSE,0,1))</f>
        <v>0</v>
      </c>
      <c r="X29" s="93">
        <f t="shared" si="0"/>
        <v>0</v>
      </c>
      <c r="Y29" s="93">
        <f>IF(OR(ISBLANK(L29), L29=0), 0, IF(OR(K29=Lists!$F$11, K29=Lists!$F$13), 0, 1))</f>
        <v>0</v>
      </c>
      <c r="Z29" s="93">
        <f>IF(OR($C29="", AND(NOT(K29=Lists!$F$11), NOT(K29=Lists!$F$13))),0,IF(ISBLANK(L29)=FALSE,0,1))</f>
        <v>0</v>
      </c>
      <c r="AA29" s="93">
        <f>IF(OR(ISBLANK(N29), N29=0), 0, IF(OR(M29=Lists!$F$11, M29=Lists!$F$13), 0, 1))</f>
        <v>0</v>
      </c>
      <c r="AB29" s="93">
        <f>IF(OR($C29="", AND(NOT(M29=Lists!$F$11), NOT(M29=Lists!$F$13))),0,IF(ISBLANK(N29)=FALSE,0,1))</f>
        <v>0</v>
      </c>
      <c r="AC29" s="93">
        <f>IF(OR(ISBLANK(P29), P29=0), 0, IF(OR(O29=Lists!$F$11, O29=Lists!$F$13), 0, 1))</f>
        <v>0</v>
      </c>
      <c r="AD29" s="93">
        <f>IF(OR($C29="", AND(NOT(O29=Lists!$F$11), NOT(O29=Lists!$F$13))),0,IF(ISBLANK(P29)=FALSE,0,1))</f>
        <v>0</v>
      </c>
      <c r="AE29" s="119"/>
      <c r="AF29" s="509">
        <f xml:space="preserve"> IF(OR( AND( K29 = Lists!$F$11, '3A'!L29 &lt; 0), AND( '3A'!M29 = Lists!$F$11, '3A'!N29 &lt; 0), AND( '3A'!O29 = Lists!$F$11, '3A'!P29 &lt; 0)), 1, 0)</f>
        <v>0</v>
      </c>
      <c r="AG29" s="509">
        <f xml:space="preserve"> IF( OR( AND( K29 = Lists!$F$13, '3A'!L29 &gt; 0), AND( M29 = Lists!$F$13, '3A'!N29 &gt; 0), AND( O29 = Lists!$F$13, '3A'!P29 &gt; 0 )), 1, 0)</f>
        <v>0</v>
      </c>
      <c r="AH29" s="511"/>
      <c r="AI29" s="670" t="str">
        <f>IF($P$1="Select company","",IF((HLOOKUP(((VLOOKUP($P$1,Lists!$B$4:$C$26,2,FALSE))&amp;'PC LIST'!$J$2),'PC list edited'!$A$2:$EJ$65,(B29+1),FALSE))=0,"",HLOOKUP(((VLOOKUP($P$1,Lists!$B$4:$C$26,2,FALSE))&amp; 'PC LIST'!$J$2),'PC list edited'!$A$2:$EJ$65,(B29+1),FALSE)))</f>
        <v/>
      </c>
      <c r="AJ29" s="2104" t="str">
        <f>IFERROR(INDEX('PC LIST'!N$3:N$631, MATCH($C29, 'PC LIST'!$B$3:$B$631, 0)),"")</f>
        <v/>
      </c>
    </row>
    <row r="30" spans="1:36" s="308" customFormat="1" ht="30" customHeight="1">
      <c r="A30" s="74"/>
      <c r="B30" s="289">
        <f t="shared" si="3"/>
        <v>26</v>
      </c>
      <c r="C30" s="500" t="str">
        <f>IF($P$1="Select company","",IF((HLOOKUP((VLOOKUP($P$1,Lists!$B$4:$C$26,2,FALSE)),'PC list edited'!$A$2:$EJ$65,(B30+1),FALSE))=0,"",HLOOKUP((VLOOKUP($P$1,Lists!$B$4:$C$26,2,FALSE)),'PC list edited'!$A$2:$EJ$65,(B30+1),FALSE)))</f>
        <v/>
      </c>
      <c r="D30" s="499" t="str">
        <f>IF($P$1="Select company","",IF(C30 ="","",HLOOKUP(((VLOOKUP($P$1,Lists!$B$4:$C$26,2,FALSE))&amp;"PC"),'PC list edited'!$A$2:$EJ$65,(B30+1),FALSE)))</f>
        <v/>
      </c>
      <c r="E30" s="314" t="str">
        <f>IF($P$1="Select company","",IF(C30 ="","",HLOOKUP(((VLOOKUP($P$1,Lists!$B$4:$C$26,2,FALSE))&amp;"unit"),'PC list edited'!$A$2:$EJ$65,(B30+1),FALSE)))</f>
        <v/>
      </c>
      <c r="F30" s="314" t="str">
        <f>IF($P$1="Select company","",IF(C30 ="","",HLOOKUP(((VLOOKUP($P$1,Lists!$B$4:$C$26,2,FALSE))&amp;"UnitDes"),'PC list edited'!$A$2:$EJ$65,(B30+1),FALSE)))</f>
        <v/>
      </c>
      <c r="G30" s="519" t="str">
        <f>IF($P$1="Select company","",IF(C30="","",HLOOKUP(((VLOOKUP($P$1,Lists!$B$4:$C$26,2,FALSE))&amp;"DP"),'PC list edited'!$A$2:$EJ$65,(B30+1),FALSE)))</f>
        <v/>
      </c>
      <c r="H30" s="519" t="str">
        <f>IF($P$1="Select company","",IF(C30 = "","",HLOOKUP(((VLOOKUP($P$1,Lists!$B$4:$C$26,2,FALSE))&amp;"201819Actual"),'PC list edited'!$A$2:$EJ$65,(B30+1),FALSE)))</f>
        <v/>
      </c>
      <c r="I30" s="554"/>
      <c r="J30" s="668"/>
      <c r="K30" s="503"/>
      <c r="L30" s="504"/>
      <c r="M30" s="503"/>
      <c r="N30" s="504"/>
      <c r="O30" s="2810"/>
      <c r="P30" s="2811"/>
      <c r="Q30" s="126"/>
      <c r="R30" s="507">
        <f t="shared" si="4"/>
        <v>0</v>
      </c>
      <c r="S30" s="24">
        <f t="shared" si="1"/>
        <v>0</v>
      </c>
      <c r="T30" s="126"/>
      <c r="U30" s="119"/>
      <c r="V30" s="93">
        <f t="shared" si="2"/>
        <v>0</v>
      </c>
      <c r="W30" s="93">
        <f>IF($C30="",0,IF(ISBLANK(#REF!)=FALSE,0,1))</f>
        <v>0</v>
      </c>
      <c r="X30" s="93">
        <f t="shared" si="0"/>
        <v>0</v>
      </c>
      <c r="Y30" s="93">
        <f>IF(OR(ISBLANK(L30), L30=0), 0, IF(OR(K30=Lists!$F$11, K30=Lists!$F$13), 0, 1))</f>
        <v>0</v>
      </c>
      <c r="Z30" s="93">
        <f>IF(OR($C30="", AND(NOT(K30=Lists!$F$11), NOT(K30=Lists!$F$13))),0,IF(ISBLANK(L30)=FALSE,0,1))</f>
        <v>0</v>
      </c>
      <c r="AA30" s="93">
        <f>IF(OR(ISBLANK(N30), N30=0), 0, IF(OR(M30=Lists!$F$11, M30=Lists!$F$13), 0, 1))</f>
        <v>0</v>
      </c>
      <c r="AB30" s="93">
        <f>IF(OR($C30="", AND(NOT(M30=Lists!$F$11), NOT(M30=Lists!$F$13))),0,IF(ISBLANK(N30)=FALSE,0,1))</f>
        <v>0</v>
      </c>
      <c r="AC30" s="93">
        <f>IF(OR(ISBLANK(P30), P30=0), 0, IF(OR(O30=Lists!$F$11, O30=Lists!$F$13), 0, 1))</f>
        <v>0</v>
      </c>
      <c r="AD30" s="93">
        <f>IF(OR($C30="", AND(NOT(O30=Lists!$F$11), NOT(O30=Lists!$F$13))),0,IF(ISBLANK(P30)=FALSE,0,1))</f>
        <v>0</v>
      </c>
      <c r="AE30" s="119"/>
      <c r="AF30" s="509">
        <f xml:space="preserve"> IF(OR( AND( K30 = Lists!$F$11, '3A'!L30 &lt; 0), AND( '3A'!M30 = Lists!$F$11, '3A'!N30 &lt; 0), AND( '3A'!O30 = Lists!$F$11, '3A'!P30 &lt; 0)), 1, 0)</f>
        <v>0</v>
      </c>
      <c r="AG30" s="509">
        <f xml:space="preserve"> IF( OR( AND( K30 = Lists!$F$13, '3A'!L30 &gt; 0), AND( M30 = Lists!$F$13, '3A'!N30 &gt; 0), AND( O30 = Lists!$F$13, '3A'!P30 &gt; 0 )), 1, 0)</f>
        <v>0</v>
      </c>
      <c r="AH30" s="511"/>
      <c r="AI30" s="670" t="str">
        <f>IF($P$1="Select company","",IF((HLOOKUP(((VLOOKUP($P$1,Lists!$B$4:$C$26,2,FALSE))&amp;'PC LIST'!$J$2),'PC list edited'!$A$2:$EJ$65,(B30+1),FALSE))=0,"",HLOOKUP(((VLOOKUP($P$1,Lists!$B$4:$C$26,2,FALSE))&amp; 'PC LIST'!$J$2),'PC list edited'!$A$2:$EJ$65,(B30+1),FALSE)))</f>
        <v/>
      </c>
      <c r="AJ30" s="2104" t="str">
        <f>IFERROR(INDEX('PC LIST'!N$3:N$631, MATCH($C30, 'PC LIST'!$B$3:$B$631, 0)),"")</f>
        <v/>
      </c>
    </row>
    <row r="31" spans="1:36" s="308" customFormat="1" ht="30" customHeight="1">
      <c r="A31" s="74"/>
      <c r="B31" s="289">
        <f t="shared" si="3"/>
        <v>27</v>
      </c>
      <c r="C31" s="500" t="str">
        <f>IF($P$1="Select company","",IF((HLOOKUP((VLOOKUP($P$1,Lists!$B$4:$C$26,2,FALSE)),'PC list edited'!$A$2:$EJ$65,(B31+1),FALSE))=0,"",HLOOKUP((VLOOKUP($P$1,Lists!$B$4:$C$26,2,FALSE)),'PC list edited'!$A$2:$EJ$65,(B31+1),FALSE)))</f>
        <v/>
      </c>
      <c r="D31" s="499" t="str">
        <f>IF($P$1="Select company","",IF(C31 ="","",HLOOKUP(((VLOOKUP($P$1,Lists!$B$4:$C$26,2,FALSE))&amp;"PC"),'PC list edited'!$A$2:$EJ$65,(B31+1),FALSE)))</f>
        <v/>
      </c>
      <c r="E31" s="314" t="str">
        <f>IF($P$1="Select company","",IF(C31 ="","",HLOOKUP(((VLOOKUP($P$1,Lists!$B$4:$C$26,2,FALSE))&amp;"unit"),'PC list edited'!$A$2:$EJ$65,(B31+1),FALSE)))</f>
        <v/>
      </c>
      <c r="F31" s="314" t="str">
        <f>IF($P$1="Select company","",IF(C31 ="","",HLOOKUP(((VLOOKUP($P$1,Lists!$B$4:$C$26,2,FALSE))&amp;"UnitDes"),'PC list edited'!$A$2:$EJ$65,(B31+1),FALSE)))</f>
        <v/>
      </c>
      <c r="G31" s="519" t="str">
        <f>IF($P$1="Select company","",IF(C31="","",HLOOKUP(((VLOOKUP($P$1,Lists!$B$4:$C$26,2,FALSE))&amp;"DP"),'PC list edited'!$A$2:$EJ$65,(B31+1),FALSE)))</f>
        <v/>
      </c>
      <c r="H31" s="519" t="str">
        <f>IF($P$1="Select company","",IF(C31 = "","",HLOOKUP(((VLOOKUP($P$1,Lists!$B$4:$C$26,2,FALSE))&amp;"201819Actual"),'PC list edited'!$A$2:$EJ$65,(B31+1),FALSE)))</f>
        <v/>
      </c>
      <c r="I31" s="554"/>
      <c r="J31" s="668"/>
      <c r="K31" s="503"/>
      <c r="L31" s="504"/>
      <c r="M31" s="503"/>
      <c r="N31" s="504"/>
      <c r="O31" s="2810"/>
      <c r="P31" s="2811"/>
      <c r="Q31" s="130"/>
      <c r="R31" s="507">
        <f t="shared" si="4"/>
        <v>0</v>
      </c>
      <c r="S31" s="24">
        <f t="shared" si="1"/>
        <v>0</v>
      </c>
      <c r="T31" s="126"/>
      <c r="U31" s="119"/>
      <c r="V31" s="93">
        <f t="shared" si="2"/>
        <v>0</v>
      </c>
      <c r="W31" s="93">
        <f>IF($C31="",0,IF(ISBLANK(#REF!)=FALSE,0,1))</f>
        <v>0</v>
      </c>
      <c r="X31" s="93">
        <f t="shared" si="0"/>
        <v>0</v>
      </c>
      <c r="Y31" s="93">
        <f>IF(OR(ISBLANK(L31), L31=0), 0, IF(OR(K31=Lists!$F$11, K31=Lists!$F$13), 0, 1))</f>
        <v>0</v>
      </c>
      <c r="Z31" s="93">
        <f>IF(OR($C31="", AND(NOT(K31=Lists!$F$11), NOT(K31=Lists!$F$13))),0,IF(ISBLANK(L31)=FALSE,0,1))</f>
        <v>0</v>
      </c>
      <c r="AA31" s="93">
        <f>IF(OR(ISBLANK(N31), N31=0), 0, IF(OR(M31=Lists!$F$11, M31=Lists!$F$13), 0, 1))</f>
        <v>0</v>
      </c>
      <c r="AB31" s="93">
        <f>IF(OR($C31="", AND(NOT(M31=Lists!$F$11), NOT(M31=Lists!$F$13))),0,IF(ISBLANK(N31)=FALSE,0,1))</f>
        <v>0</v>
      </c>
      <c r="AC31" s="93">
        <f>IF(OR(ISBLANK(P31), P31=0), 0, IF(OR(O31=Lists!$F$11, O31=Lists!$F$13), 0, 1))</f>
        <v>0</v>
      </c>
      <c r="AD31" s="93">
        <f>IF(OR($C31="", AND(NOT(O31=Lists!$F$11), NOT(O31=Lists!$F$13))),0,IF(ISBLANK(P31)=FALSE,0,1))</f>
        <v>0</v>
      </c>
      <c r="AE31" s="119"/>
      <c r="AF31" s="509">
        <f xml:space="preserve"> IF(OR( AND( K31 = Lists!$F$11, '3A'!L31 &lt; 0), AND( '3A'!M31 = Lists!$F$11, '3A'!N31 &lt; 0), AND( '3A'!O31 = Lists!$F$11, '3A'!P31 &lt; 0)), 1, 0)</f>
        <v>0</v>
      </c>
      <c r="AG31" s="509">
        <f xml:space="preserve"> IF( OR( AND( K31 = Lists!$F$13, '3A'!L31 &gt; 0), AND( M31 = Lists!$F$13, '3A'!N31 &gt; 0), AND( O31 = Lists!$F$13, '3A'!P31 &gt; 0 )), 1, 0)</f>
        <v>0</v>
      </c>
      <c r="AH31" s="511"/>
      <c r="AI31" s="670" t="str">
        <f>IF($P$1="Select company","",IF((HLOOKUP(((VLOOKUP($P$1,Lists!$B$4:$C$26,2,FALSE))&amp;'PC LIST'!$J$2),'PC list edited'!$A$2:$EJ$65,(B31+1),FALSE))=0,"",HLOOKUP(((VLOOKUP($P$1,Lists!$B$4:$C$26,2,FALSE))&amp; 'PC LIST'!$J$2),'PC list edited'!$A$2:$EJ$65,(B31+1),FALSE)))</f>
        <v/>
      </c>
      <c r="AJ31" s="2104" t="str">
        <f>IFERROR(INDEX('PC LIST'!N$3:N$631, MATCH($C31, 'PC LIST'!$B$3:$B$631, 0)),"")</f>
        <v/>
      </c>
    </row>
    <row r="32" spans="1:36" s="308" customFormat="1" ht="30" customHeight="1">
      <c r="A32" s="74"/>
      <c r="B32" s="289">
        <f t="shared" si="3"/>
        <v>28</v>
      </c>
      <c r="C32" s="500" t="str">
        <f>IF($P$1="Select company","",IF((HLOOKUP((VLOOKUP($P$1,Lists!$B$4:$C$26,2,FALSE)),'PC list edited'!$A$2:$EJ$65,(B32+1),FALSE))=0,"",HLOOKUP((VLOOKUP($P$1,Lists!$B$4:$C$26,2,FALSE)),'PC list edited'!$A$2:$EJ$65,(B32+1),FALSE)))</f>
        <v/>
      </c>
      <c r="D32" s="499" t="str">
        <f>IF($P$1="Select company","",IF(C32 ="","",HLOOKUP(((VLOOKUP($P$1,Lists!$B$4:$C$26,2,FALSE))&amp;"PC"),'PC list edited'!$A$2:$EJ$65,(B32+1),FALSE)))</f>
        <v/>
      </c>
      <c r="E32" s="314" t="str">
        <f>IF($P$1="Select company","",IF(C32 ="","",HLOOKUP(((VLOOKUP($P$1,Lists!$B$4:$C$26,2,FALSE))&amp;"unit"),'PC list edited'!$A$2:$EJ$65,(B32+1),FALSE)))</f>
        <v/>
      </c>
      <c r="F32" s="314" t="str">
        <f>IF($P$1="Select company","",IF(C32 ="","",HLOOKUP(((VLOOKUP($P$1,Lists!$B$4:$C$26,2,FALSE))&amp;"UnitDes"),'PC list edited'!$A$2:$EJ$65,(B32+1),FALSE)))</f>
        <v/>
      </c>
      <c r="G32" s="519" t="str">
        <f>IF($P$1="Select company","",IF(C32="","",HLOOKUP(((VLOOKUP($P$1,Lists!$B$4:$C$26,2,FALSE))&amp;"DP"),'PC list edited'!$A$2:$EJ$65,(B32+1),FALSE)))</f>
        <v/>
      </c>
      <c r="H32" s="519" t="str">
        <f>IF($P$1="Select company","",IF(C32 = "","",HLOOKUP(((VLOOKUP($P$1,Lists!$B$4:$C$26,2,FALSE))&amp;"201819Actual"),'PC list edited'!$A$2:$EJ$65,(B32+1),FALSE)))</f>
        <v/>
      </c>
      <c r="I32" s="554"/>
      <c r="J32" s="668"/>
      <c r="K32" s="503"/>
      <c r="L32" s="504"/>
      <c r="M32" s="503"/>
      <c r="N32" s="504"/>
      <c r="O32" s="2810"/>
      <c r="P32" s="2811"/>
      <c r="Q32" s="130"/>
      <c r="R32" s="507">
        <f t="shared" si="4"/>
        <v>0</v>
      </c>
      <c r="S32" s="24">
        <f t="shared" si="1"/>
        <v>0</v>
      </c>
      <c r="T32" s="126"/>
      <c r="U32" s="119"/>
      <c r="V32" s="93">
        <f t="shared" si="2"/>
        <v>0</v>
      </c>
      <c r="W32" s="93">
        <f>IF($C32="",0,IF(ISBLANK(#REF!)=FALSE,0,1))</f>
        <v>0</v>
      </c>
      <c r="X32" s="93">
        <f t="shared" si="0"/>
        <v>0</v>
      </c>
      <c r="Y32" s="93">
        <f>IF(OR(ISBLANK(L32), L32=0), 0, IF(OR(K32=Lists!$F$11, K32=Lists!$F$13), 0, 1))</f>
        <v>0</v>
      </c>
      <c r="Z32" s="93">
        <f>IF(OR($C32="", AND(NOT(K32=Lists!$F$11), NOT(K32=Lists!$F$13))),0,IF(ISBLANK(L32)=FALSE,0,1))</f>
        <v>0</v>
      </c>
      <c r="AA32" s="93">
        <f>IF(OR(ISBLANK(N32), N32=0), 0, IF(OR(M32=Lists!$F$11, M32=Lists!$F$13), 0, 1))</f>
        <v>0</v>
      </c>
      <c r="AB32" s="93">
        <f>IF(OR($C32="", AND(NOT(M32=Lists!$F$11), NOT(M32=Lists!$F$13))),0,IF(ISBLANK(N32)=FALSE,0,1))</f>
        <v>0</v>
      </c>
      <c r="AC32" s="93">
        <f>IF(OR(ISBLANK(P32), P32=0), 0, IF(OR(O32=Lists!$F$11, O32=Lists!$F$13), 0, 1))</f>
        <v>0</v>
      </c>
      <c r="AD32" s="93">
        <f>IF(OR($C32="", AND(NOT(O32=Lists!$F$11), NOT(O32=Lists!$F$13))),0,IF(ISBLANK(P32)=FALSE,0,1))</f>
        <v>0</v>
      </c>
      <c r="AE32" s="119"/>
      <c r="AF32" s="509">
        <f xml:space="preserve"> IF(OR( AND( K32 = Lists!$F$11, '3A'!L32 &lt; 0), AND( '3A'!M32 = Lists!$F$11, '3A'!N32 &lt; 0), AND( '3A'!O32 = Lists!$F$11, '3A'!P32 &lt; 0)), 1, 0)</f>
        <v>0</v>
      </c>
      <c r="AG32" s="509">
        <f xml:space="preserve"> IF( OR( AND( K32 = Lists!$F$13, '3A'!L32 &gt; 0), AND( M32 = Lists!$F$13, '3A'!N32 &gt; 0), AND( O32 = Lists!$F$13, '3A'!P32 &gt; 0 )), 1, 0)</f>
        <v>0</v>
      </c>
      <c r="AH32" s="511"/>
      <c r="AI32" s="670" t="str">
        <f>IF($P$1="Select company","",IF((HLOOKUP(((VLOOKUP($P$1,Lists!$B$4:$C$26,2,FALSE))&amp;'PC LIST'!$J$2),'PC list edited'!$A$2:$EJ$65,(B32+1),FALSE))=0,"",HLOOKUP(((VLOOKUP($P$1,Lists!$B$4:$C$26,2,FALSE))&amp; 'PC LIST'!$J$2),'PC list edited'!$A$2:$EJ$65,(B32+1),FALSE)))</f>
        <v/>
      </c>
      <c r="AJ32" s="2104" t="str">
        <f>IFERROR(INDEX('PC LIST'!N$3:N$631, MATCH($C32, 'PC LIST'!$B$3:$B$631, 0)),"")</f>
        <v/>
      </c>
    </row>
    <row r="33" spans="1:36" s="308" customFormat="1" ht="30" customHeight="1">
      <c r="A33" s="74"/>
      <c r="B33" s="289">
        <f t="shared" si="3"/>
        <v>29</v>
      </c>
      <c r="C33" s="500" t="str">
        <f>IF($P$1="Select company","",IF((HLOOKUP((VLOOKUP($P$1,Lists!$B$4:$C$26,2,FALSE)),'PC list edited'!$A$2:$EJ$65,(B33+1),FALSE))=0,"",HLOOKUP((VLOOKUP($P$1,Lists!$B$4:$C$26,2,FALSE)),'PC list edited'!$A$2:$EJ$65,(B33+1),FALSE)))</f>
        <v/>
      </c>
      <c r="D33" s="499" t="str">
        <f>IF($P$1="Select company","",IF(C33 ="","",HLOOKUP(((VLOOKUP($P$1,Lists!$B$4:$C$26,2,FALSE))&amp;"PC"),'PC list edited'!$A$2:$EJ$65,(B33+1),FALSE)))</f>
        <v/>
      </c>
      <c r="E33" s="314" t="str">
        <f>IF($P$1="Select company","",IF(C33 ="","",HLOOKUP(((VLOOKUP($P$1,Lists!$B$4:$C$26,2,FALSE))&amp;"unit"),'PC list edited'!$A$2:$EJ$65,(B33+1),FALSE)))</f>
        <v/>
      </c>
      <c r="F33" s="314" t="str">
        <f>IF($P$1="Select company","",IF(C33 ="","",HLOOKUP(((VLOOKUP($P$1,Lists!$B$4:$C$26,2,FALSE))&amp;"UnitDes"),'PC list edited'!$A$2:$EJ$65,(B33+1),FALSE)))</f>
        <v/>
      </c>
      <c r="G33" s="519" t="str">
        <f>IF($P$1="Select company","",IF(C33="","",HLOOKUP(((VLOOKUP($P$1,Lists!$B$4:$C$26,2,FALSE))&amp;"DP"),'PC list edited'!$A$2:$EJ$65,(B33+1),FALSE)))</f>
        <v/>
      </c>
      <c r="H33" s="519" t="str">
        <f>IF($P$1="Select company","",IF(C33 = "","",HLOOKUP(((VLOOKUP($P$1,Lists!$B$4:$C$26,2,FALSE))&amp;"201819Actual"),'PC list edited'!$A$2:$EJ$65,(B33+1),FALSE)))</f>
        <v/>
      </c>
      <c r="I33" s="554"/>
      <c r="J33" s="668"/>
      <c r="K33" s="503"/>
      <c r="L33" s="504"/>
      <c r="M33" s="503"/>
      <c r="N33" s="504"/>
      <c r="O33" s="2810"/>
      <c r="P33" s="2811"/>
      <c r="Q33" s="130"/>
      <c r="R33" s="507">
        <f t="shared" si="4"/>
        <v>0</v>
      </c>
      <c r="S33" s="24">
        <f t="shared" si="1"/>
        <v>0</v>
      </c>
      <c r="T33" s="118"/>
      <c r="U33" s="124"/>
      <c r="V33" s="93">
        <f t="shared" si="2"/>
        <v>0</v>
      </c>
      <c r="W33" s="93">
        <f>IF($C33="",0,IF(ISBLANK(#REF!)=FALSE,0,1))</f>
        <v>0</v>
      </c>
      <c r="X33" s="93">
        <f t="shared" si="0"/>
        <v>0</v>
      </c>
      <c r="Y33" s="93">
        <f>IF(OR(ISBLANK(L33), L33=0), 0, IF(OR(K33=Lists!$F$11, K33=Lists!$F$13), 0, 1))</f>
        <v>0</v>
      </c>
      <c r="Z33" s="93">
        <f>IF(OR($C33="", AND(NOT(K33=Lists!$F$11), NOT(K33=Lists!$F$13))),0,IF(ISBLANK(L33)=FALSE,0,1))</f>
        <v>0</v>
      </c>
      <c r="AA33" s="93">
        <f>IF(OR(ISBLANK(N33), N33=0), 0, IF(OR(M33=Lists!$F$11, M33=Lists!$F$13), 0, 1))</f>
        <v>0</v>
      </c>
      <c r="AB33" s="93">
        <f>IF(OR($C33="", AND(NOT(M33=Lists!$F$11), NOT(M33=Lists!$F$13))),0,IF(ISBLANK(N33)=FALSE,0,1))</f>
        <v>0</v>
      </c>
      <c r="AC33" s="93">
        <f>IF(OR(ISBLANK(P33), P33=0), 0, IF(OR(O33=Lists!$F$11, O33=Lists!$F$13), 0, 1))</f>
        <v>0</v>
      </c>
      <c r="AD33" s="93">
        <f>IF(OR($C33="", AND(NOT(O33=Lists!$F$11), NOT(O33=Lists!$F$13))),0,IF(ISBLANK(P33)=FALSE,0,1))</f>
        <v>0</v>
      </c>
      <c r="AE33" s="124"/>
      <c r="AF33" s="509">
        <f xml:space="preserve"> IF(OR( AND( K33 = Lists!$F$11, '3A'!L33 &lt; 0), AND( '3A'!M33 = Lists!$F$11, '3A'!N33 &lt; 0), AND( '3A'!O33 = Lists!$F$11, '3A'!P33 &lt; 0)), 1, 0)</f>
        <v>0</v>
      </c>
      <c r="AG33" s="509">
        <f xml:space="preserve"> IF( OR( AND( K33 = Lists!$F$13, '3A'!L33 &gt; 0), AND( M33 = Lists!$F$13, '3A'!N33 &gt; 0), AND( O33 = Lists!$F$13, '3A'!P33 &gt; 0 )), 1, 0)</f>
        <v>0</v>
      </c>
      <c r="AH33" s="511"/>
      <c r="AI33" s="670" t="str">
        <f>IF($P$1="Select company","",IF((HLOOKUP(((VLOOKUP($P$1,Lists!$B$4:$C$26,2,FALSE))&amp;'PC LIST'!$J$2),'PC list edited'!$A$2:$EJ$65,(B33+1),FALSE))=0,"",HLOOKUP(((VLOOKUP($P$1,Lists!$B$4:$C$26,2,FALSE))&amp; 'PC LIST'!$J$2),'PC list edited'!$A$2:$EJ$65,(B33+1),FALSE)))</f>
        <v/>
      </c>
      <c r="AJ33" s="2104" t="str">
        <f>IFERROR(INDEX('PC LIST'!N$3:N$631, MATCH($C33, 'PC LIST'!$B$3:$B$631, 0)),"")</f>
        <v/>
      </c>
    </row>
    <row r="34" spans="1:36" s="308" customFormat="1" ht="30" customHeight="1">
      <c r="A34" s="74"/>
      <c r="B34" s="289">
        <f t="shared" si="3"/>
        <v>30</v>
      </c>
      <c r="C34" s="500" t="str">
        <f>IF($P$1="Select company","",IF((HLOOKUP((VLOOKUP($P$1,Lists!$B$4:$C$26,2,FALSE)),'PC list edited'!$A$2:$EJ$65,(B34+1),FALSE))=0,"",HLOOKUP((VLOOKUP($P$1,Lists!$B$4:$C$26,2,FALSE)),'PC list edited'!$A$2:$EJ$65,(B34+1),FALSE)))</f>
        <v/>
      </c>
      <c r="D34" s="499" t="str">
        <f>IF($P$1="Select company","",IF(C34 ="","",HLOOKUP(((VLOOKUP($P$1,Lists!$B$4:$C$26,2,FALSE))&amp;"PC"),'PC list edited'!$A$2:$EJ$65,(B34+1),FALSE)))</f>
        <v/>
      </c>
      <c r="E34" s="314" t="str">
        <f>IF($P$1="Select company","",IF(C34 ="","",HLOOKUP(((VLOOKUP($P$1,Lists!$B$4:$C$26,2,FALSE))&amp;"unit"),'PC list edited'!$A$2:$EJ$65,(B34+1),FALSE)))</f>
        <v/>
      </c>
      <c r="F34" s="314" t="str">
        <f>IF($P$1="Select company","",IF(C34 ="","",HLOOKUP(((VLOOKUP($P$1,Lists!$B$4:$C$26,2,FALSE))&amp;"UnitDes"),'PC list edited'!$A$2:$EJ$65,(B34+1),FALSE)))</f>
        <v/>
      </c>
      <c r="G34" s="519" t="str">
        <f>IF($P$1="Select company","",IF(C34="","",HLOOKUP(((VLOOKUP($P$1,Lists!$B$4:$C$26,2,FALSE))&amp;"DP"),'PC list edited'!$A$2:$EJ$65,(B34+1),FALSE)))</f>
        <v/>
      </c>
      <c r="H34" s="519" t="str">
        <f>IF($P$1="Select company","",IF(C34 = "","",HLOOKUP(((VLOOKUP($P$1,Lists!$B$4:$C$26,2,FALSE))&amp;"201819Actual"),'PC list edited'!$A$2:$EJ$65,(B34+1),FALSE)))</f>
        <v/>
      </c>
      <c r="I34" s="554"/>
      <c r="J34" s="668"/>
      <c r="K34" s="503"/>
      <c r="L34" s="504"/>
      <c r="M34" s="503"/>
      <c r="N34" s="504"/>
      <c r="O34" s="2810"/>
      <c r="P34" s="2811"/>
      <c r="Q34" s="130"/>
      <c r="R34" s="507">
        <f t="shared" si="4"/>
        <v>0</v>
      </c>
      <c r="S34" s="24">
        <f t="shared" si="1"/>
        <v>0</v>
      </c>
      <c r="T34" s="118"/>
      <c r="U34" s="124"/>
      <c r="V34" s="93">
        <f t="shared" si="2"/>
        <v>0</v>
      </c>
      <c r="W34" s="93">
        <f>IF($C34="",0,IF(ISBLANK(#REF!)=FALSE,0,1))</f>
        <v>0</v>
      </c>
      <c r="X34" s="93">
        <f t="shared" si="0"/>
        <v>0</v>
      </c>
      <c r="Y34" s="93">
        <f>IF(OR(ISBLANK(L34), L34=0), 0, IF(OR(K34=Lists!$F$11, K34=Lists!$F$13), 0, 1))</f>
        <v>0</v>
      </c>
      <c r="Z34" s="93">
        <f>IF(OR($C34="", AND(NOT(K34=Lists!$F$11), NOT(K34=Lists!$F$13))),0,IF(ISBLANK(L34)=FALSE,0,1))</f>
        <v>0</v>
      </c>
      <c r="AA34" s="93">
        <f>IF(OR(ISBLANK(N34), N34=0), 0, IF(OR(M34=Lists!$F$11, M34=Lists!$F$13), 0, 1))</f>
        <v>0</v>
      </c>
      <c r="AB34" s="93">
        <f>IF(OR($C34="", AND(NOT(M34=Lists!$F$11), NOT(M34=Lists!$F$13))),0,IF(ISBLANK(N34)=FALSE,0,1))</f>
        <v>0</v>
      </c>
      <c r="AC34" s="93">
        <f>IF(OR(ISBLANK(P34), P34=0), 0, IF(OR(O34=Lists!$F$11, O34=Lists!$F$13), 0, 1))</f>
        <v>0</v>
      </c>
      <c r="AD34" s="93">
        <f>IF(OR($C34="", AND(NOT(O34=Lists!$F$11), NOT(O34=Lists!$F$13))),0,IF(ISBLANK(P34)=FALSE,0,1))</f>
        <v>0</v>
      </c>
      <c r="AE34" s="124"/>
      <c r="AF34" s="509">
        <f xml:space="preserve"> IF(OR( AND( K34 = Lists!$F$11, '3A'!L34 &lt; 0), AND( '3A'!M34 = Lists!$F$11, '3A'!N34 &lt; 0), AND( '3A'!O34 = Lists!$F$11, '3A'!P34 &lt; 0)), 1, 0)</f>
        <v>0</v>
      </c>
      <c r="AG34" s="509">
        <f xml:space="preserve"> IF( OR( AND( K34 = Lists!$F$13, '3A'!L34 &gt; 0), AND( M34 = Lists!$F$13, '3A'!N34 &gt; 0), AND( O34 = Lists!$F$13, '3A'!P34 &gt; 0 )), 1, 0)</f>
        <v>0</v>
      </c>
      <c r="AH34" s="511"/>
      <c r="AI34" s="670" t="str">
        <f>IF($P$1="Select company","",IF((HLOOKUP(((VLOOKUP($P$1,Lists!$B$4:$C$26,2,FALSE))&amp;'PC LIST'!$J$2),'PC list edited'!$A$2:$EJ$65,(B34+1),FALSE))=0,"",HLOOKUP(((VLOOKUP($P$1,Lists!$B$4:$C$26,2,FALSE))&amp; 'PC LIST'!$J$2),'PC list edited'!$A$2:$EJ$65,(B34+1),FALSE)))</f>
        <v/>
      </c>
      <c r="AJ34" s="2104" t="str">
        <f>IFERROR(INDEX('PC LIST'!N$3:N$631, MATCH($C34, 'PC LIST'!$B$3:$B$631, 0)),"")</f>
        <v/>
      </c>
    </row>
    <row r="35" spans="1:36" s="308" customFormat="1" ht="30" customHeight="1">
      <c r="A35" s="74"/>
      <c r="B35" s="289">
        <f t="shared" si="3"/>
        <v>31</v>
      </c>
      <c r="C35" s="500" t="str">
        <f>IF($P$1="Select company","",IF((HLOOKUP((VLOOKUP($P$1,Lists!$B$4:$C$26,2,FALSE)),'PC list edited'!$A$2:$EJ$65,(B35+1),FALSE))=0,"",HLOOKUP((VLOOKUP($P$1,Lists!$B$4:$C$26,2,FALSE)),'PC list edited'!$A$2:$EJ$65,(B35+1),FALSE)))</f>
        <v/>
      </c>
      <c r="D35" s="499" t="str">
        <f>IF($P$1="Select company","",IF(C35 ="","",HLOOKUP(((VLOOKUP($P$1,Lists!$B$4:$C$26,2,FALSE))&amp;"PC"),'PC list edited'!$A$2:$EJ$65,(B35+1),FALSE)))</f>
        <v/>
      </c>
      <c r="E35" s="314" t="str">
        <f>IF($P$1="Select company","",IF(C35 ="","",HLOOKUP(((VLOOKUP($P$1,Lists!$B$4:$C$26,2,FALSE))&amp;"unit"),'PC list edited'!$A$2:$EJ$65,(B35+1),FALSE)))</f>
        <v/>
      </c>
      <c r="F35" s="314" t="str">
        <f>IF($P$1="Select company","",IF(C35 ="","",HLOOKUP(((VLOOKUP($P$1,Lists!$B$4:$C$26,2,FALSE))&amp;"UnitDes"),'PC list edited'!$A$2:$EJ$65,(B35+1),FALSE)))</f>
        <v/>
      </c>
      <c r="G35" s="519" t="str">
        <f>IF($P$1="Select company","",IF(C35="","",HLOOKUP(((VLOOKUP($P$1,Lists!$B$4:$C$26,2,FALSE))&amp;"DP"),'PC list edited'!$A$2:$EJ$65,(B35+1),FALSE)))</f>
        <v/>
      </c>
      <c r="H35" s="519" t="str">
        <f>IF($P$1="Select company","",IF(C35 = "","",HLOOKUP(((VLOOKUP($P$1,Lists!$B$4:$C$26,2,FALSE))&amp;"201819Actual"),'PC list edited'!$A$2:$EJ$65,(B35+1),FALSE)))</f>
        <v/>
      </c>
      <c r="I35" s="554"/>
      <c r="J35" s="668"/>
      <c r="K35" s="503"/>
      <c r="L35" s="504"/>
      <c r="M35" s="503"/>
      <c r="N35" s="504"/>
      <c r="O35" s="2810"/>
      <c r="P35" s="2811"/>
      <c r="Q35" s="130"/>
      <c r="R35" s="507">
        <f t="shared" si="4"/>
        <v>0</v>
      </c>
      <c r="S35" s="24">
        <f t="shared" si="1"/>
        <v>0</v>
      </c>
      <c r="T35" s="118"/>
      <c r="U35" s="124"/>
      <c r="V35" s="93">
        <f t="shared" si="2"/>
        <v>0</v>
      </c>
      <c r="W35" s="93">
        <f>IF($C35="",0,IF(ISBLANK(#REF!)=FALSE,0,1))</f>
        <v>0</v>
      </c>
      <c r="X35" s="93">
        <f t="shared" si="0"/>
        <v>0</v>
      </c>
      <c r="Y35" s="93">
        <f>IF(OR(ISBLANK(L35), L35=0), 0, IF(OR(K35=Lists!$F$11, K35=Lists!$F$13), 0, 1))</f>
        <v>0</v>
      </c>
      <c r="Z35" s="93">
        <f>IF(OR($C35="", AND(NOT(K35=Lists!$F$11), NOT(K35=Lists!$F$13))),0,IF(ISBLANK(L35)=FALSE,0,1))</f>
        <v>0</v>
      </c>
      <c r="AA35" s="93">
        <f>IF(OR(ISBLANK(N35), N35=0), 0, IF(OR(M35=Lists!$F$11, M35=Lists!$F$13), 0, 1))</f>
        <v>0</v>
      </c>
      <c r="AB35" s="93">
        <f>IF(OR($C35="", AND(NOT(M35=Lists!$F$11), NOT(M35=Lists!$F$13))),0,IF(ISBLANK(N35)=FALSE,0,1))</f>
        <v>0</v>
      </c>
      <c r="AC35" s="93">
        <f>IF(OR(ISBLANK(P35), P35=0), 0, IF(OR(O35=Lists!$F$11, O35=Lists!$F$13), 0, 1))</f>
        <v>0</v>
      </c>
      <c r="AD35" s="93">
        <f>IF(OR($C35="", AND(NOT(O35=Lists!$F$11), NOT(O35=Lists!$F$13))),0,IF(ISBLANK(P35)=FALSE,0,1))</f>
        <v>0</v>
      </c>
      <c r="AE35" s="124"/>
      <c r="AF35" s="509">
        <f xml:space="preserve"> IF(OR( AND( K35 = Lists!$F$11, '3A'!L35 &lt; 0), AND( '3A'!M35 = Lists!$F$11, '3A'!N35 &lt; 0), AND( '3A'!O35 = Lists!$F$11, '3A'!P35 &lt; 0)), 1, 0)</f>
        <v>0</v>
      </c>
      <c r="AG35" s="509">
        <f xml:space="preserve"> IF( OR( AND( K35 = Lists!$F$13, '3A'!L35 &gt; 0), AND( M35 = Lists!$F$13, '3A'!N35 &gt; 0), AND( O35 = Lists!$F$13, '3A'!P35 &gt; 0 )), 1, 0)</f>
        <v>0</v>
      </c>
      <c r="AH35" s="511"/>
      <c r="AI35" s="670" t="str">
        <f>IF($P$1="Select company","",IF((HLOOKUP(((VLOOKUP($P$1,Lists!$B$4:$C$26,2,FALSE))&amp;'PC LIST'!$J$2),'PC list edited'!$A$2:$EJ$65,(B35+1),FALSE))=0,"",HLOOKUP(((VLOOKUP($P$1,Lists!$B$4:$C$26,2,FALSE))&amp; 'PC LIST'!$J$2),'PC list edited'!$A$2:$EJ$65,(B35+1),FALSE)))</f>
        <v/>
      </c>
      <c r="AJ35" s="2104" t="str">
        <f>IFERROR(INDEX('PC LIST'!N$3:N$631, MATCH($C35, 'PC LIST'!$B$3:$B$631, 0)),"")</f>
        <v/>
      </c>
    </row>
    <row r="36" spans="1:36" s="308" customFormat="1" ht="30" customHeight="1">
      <c r="A36" s="74"/>
      <c r="B36" s="289">
        <f t="shared" si="3"/>
        <v>32</v>
      </c>
      <c r="C36" s="500" t="str">
        <f>IF($P$1="Select company","",IF((HLOOKUP((VLOOKUP($P$1,Lists!$B$4:$C$26,2,FALSE)),'PC list edited'!$A$2:$EJ$65,(B36+1),FALSE))=0,"",HLOOKUP((VLOOKUP($P$1,Lists!$B$4:$C$26,2,FALSE)),'PC list edited'!$A$2:$EJ$65,(B36+1),FALSE)))</f>
        <v/>
      </c>
      <c r="D36" s="499" t="str">
        <f>IF($P$1="Select company","",IF(C36 ="","",HLOOKUP(((VLOOKUP($P$1,Lists!$B$4:$C$26,2,FALSE))&amp;"PC"),'PC list edited'!$A$2:$EJ$65,(B36+1),FALSE)))</f>
        <v/>
      </c>
      <c r="E36" s="314" t="str">
        <f>IF($P$1="Select company","",IF(C36 ="","",HLOOKUP(((VLOOKUP($P$1,Lists!$B$4:$C$26,2,FALSE))&amp;"unit"),'PC list edited'!$A$2:$EJ$65,(B36+1),FALSE)))</f>
        <v/>
      </c>
      <c r="F36" s="314" t="str">
        <f>IF($P$1="Select company","",IF(C36 ="","",HLOOKUP(((VLOOKUP($P$1,Lists!$B$4:$C$26,2,FALSE))&amp;"UnitDes"),'PC list edited'!$A$2:$EJ$65,(B36+1),FALSE)))</f>
        <v/>
      </c>
      <c r="G36" s="519" t="str">
        <f>IF($P$1="Select company","",IF(C36="","",HLOOKUP(((VLOOKUP($P$1,Lists!$B$4:$C$26,2,FALSE))&amp;"DP"),'PC list edited'!$A$2:$EJ$65,(B36+1),FALSE)))</f>
        <v/>
      </c>
      <c r="H36" s="519" t="str">
        <f>IF($P$1="Select company","",IF(C36 = "","",HLOOKUP(((VLOOKUP($P$1,Lists!$B$4:$C$26,2,FALSE))&amp;"201819Actual"),'PC list edited'!$A$2:$EJ$65,(B36+1),FALSE)))</f>
        <v/>
      </c>
      <c r="I36" s="554"/>
      <c r="J36" s="668"/>
      <c r="K36" s="503"/>
      <c r="L36" s="504"/>
      <c r="M36" s="503"/>
      <c r="N36" s="504"/>
      <c r="O36" s="2810"/>
      <c r="P36" s="2811"/>
      <c r="Q36" s="130"/>
      <c r="R36" s="507">
        <f t="shared" si="4"/>
        <v>0</v>
      </c>
      <c r="S36" s="24">
        <f t="shared" si="1"/>
        <v>0</v>
      </c>
      <c r="T36" s="118"/>
      <c r="U36" s="124"/>
      <c r="V36" s="93">
        <f t="shared" si="2"/>
        <v>0</v>
      </c>
      <c r="W36" s="93">
        <f>IF($C36="",0,IF(ISBLANK(#REF!)=FALSE,0,1))</f>
        <v>0</v>
      </c>
      <c r="X36" s="93">
        <f t="shared" si="0"/>
        <v>0</v>
      </c>
      <c r="Y36" s="93">
        <f>IF(OR(ISBLANK(L36), L36=0), 0, IF(OR(K36=Lists!$F$11, K36=Lists!$F$13), 0, 1))</f>
        <v>0</v>
      </c>
      <c r="Z36" s="93">
        <f>IF(OR($C36="", AND(NOT(K36=Lists!$F$11), NOT(K36=Lists!$F$13))),0,IF(ISBLANK(L36)=FALSE,0,1))</f>
        <v>0</v>
      </c>
      <c r="AA36" s="93">
        <f>IF(OR(ISBLANK(N36), N36=0), 0, IF(OR(M36=Lists!$F$11, M36=Lists!$F$13), 0, 1))</f>
        <v>0</v>
      </c>
      <c r="AB36" s="93">
        <f>IF(OR($C36="", AND(NOT(M36=Lists!$F$11), NOT(M36=Lists!$F$13))),0,IF(ISBLANK(N36)=FALSE,0,1))</f>
        <v>0</v>
      </c>
      <c r="AC36" s="93">
        <f>IF(OR(ISBLANK(P36), P36=0), 0, IF(OR(O36=Lists!$F$11, O36=Lists!$F$13), 0, 1))</f>
        <v>0</v>
      </c>
      <c r="AD36" s="93">
        <f>IF(OR($C36="", AND(NOT(O36=Lists!$F$11), NOT(O36=Lists!$F$13))),0,IF(ISBLANK(P36)=FALSE,0,1))</f>
        <v>0</v>
      </c>
      <c r="AE36" s="124"/>
      <c r="AF36" s="509">
        <f xml:space="preserve"> IF(OR( AND( K36 = Lists!$F$11, '3A'!L36 &lt; 0), AND( '3A'!M36 = Lists!$F$11, '3A'!N36 &lt; 0), AND( '3A'!O36 = Lists!$F$11, '3A'!P36 &lt; 0)), 1, 0)</f>
        <v>0</v>
      </c>
      <c r="AG36" s="509">
        <f xml:space="preserve"> IF( OR( AND( K36 = Lists!$F$13, '3A'!L36 &gt; 0), AND( M36 = Lists!$F$13, '3A'!N36 &gt; 0), AND( O36 = Lists!$F$13, '3A'!P36 &gt; 0 )), 1, 0)</f>
        <v>0</v>
      </c>
      <c r="AH36" s="511"/>
      <c r="AI36" s="670" t="str">
        <f>IF($P$1="Select company","",IF((HLOOKUP(((VLOOKUP($P$1,Lists!$B$4:$C$26,2,FALSE))&amp;'PC LIST'!$J$2),'PC list edited'!$A$2:$EJ$65,(B36+1),FALSE))=0,"",HLOOKUP(((VLOOKUP($P$1,Lists!$B$4:$C$26,2,FALSE))&amp; 'PC LIST'!$J$2),'PC list edited'!$A$2:$EJ$65,(B36+1),FALSE)))</f>
        <v/>
      </c>
      <c r="AJ36" s="2104" t="str">
        <f>IFERROR(INDEX('PC LIST'!N$3:N$631, MATCH($C36, 'PC LIST'!$B$3:$B$631, 0)),"")</f>
        <v/>
      </c>
    </row>
    <row r="37" spans="1:36" s="308" customFormat="1" ht="30" customHeight="1">
      <c r="A37" s="74"/>
      <c r="B37" s="289">
        <f t="shared" si="3"/>
        <v>33</v>
      </c>
      <c r="C37" s="500" t="str">
        <f>IF($P$1="Select company","",IF((HLOOKUP((VLOOKUP($P$1,Lists!$B$4:$C$26,2,FALSE)),'PC list edited'!$A$2:$EJ$65,(B37+1),FALSE))=0,"",HLOOKUP((VLOOKUP($P$1,Lists!$B$4:$C$26,2,FALSE)),'PC list edited'!$A$2:$EJ$65,(B37+1),FALSE)))</f>
        <v/>
      </c>
      <c r="D37" s="499" t="str">
        <f>IF($P$1="Select company","",IF(C37 ="","",HLOOKUP(((VLOOKUP($P$1,Lists!$B$4:$C$26,2,FALSE))&amp;"PC"),'PC list edited'!$A$2:$EJ$65,(B37+1),FALSE)))</f>
        <v/>
      </c>
      <c r="E37" s="314" t="str">
        <f>IF($P$1="Select company","",IF(C37 ="","",HLOOKUP(((VLOOKUP($P$1,Lists!$B$4:$C$26,2,FALSE))&amp;"unit"),'PC list edited'!$A$2:$EJ$65,(B37+1),FALSE)))</f>
        <v/>
      </c>
      <c r="F37" s="314" t="str">
        <f>IF($P$1="Select company","",IF(C37 ="","",HLOOKUP(((VLOOKUP($P$1,Lists!$B$4:$C$26,2,FALSE))&amp;"UnitDes"),'PC list edited'!$A$2:$EJ$65,(B37+1),FALSE)))</f>
        <v/>
      </c>
      <c r="G37" s="519" t="str">
        <f>IF($P$1="Select company","",IF(C37="","",HLOOKUP(((VLOOKUP($P$1,Lists!$B$4:$C$26,2,FALSE))&amp;"DP"),'PC list edited'!$A$2:$EJ$65,(B37+1),FALSE)))</f>
        <v/>
      </c>
      <c r="H37" s="519" t="str">
        <f>IF($P$1="Select company","",IF(C37 = "","",HLOOKUP(((VLOOKUP($P$1,Lists!$B$4:$C$26,2,FALSE))&amp;"201819Actual"),'PC list edited'!$A$2:$EJ$65,(B37+1),FALSE)))</f>
        <v/>
      </c>
      <c r="I37" s="554"/>
      <c r="J37" s="668"/>
      <c r="K37" s="503"/>
      <c r="L37" s="504"/>
      <c r="M37" s="503"/>
      <c r="N37" s="504"/>
      <c r="O37" s="2810"/>
      <c r="P37" s="2811"/>
      <c r="Q37" s="130"/>
      <c r="R37" s="507">
        <f t="shared" si="4"/>
        <v>0</v>
      </c>
      <c r="S37" s="24">
        <f t="shared" ref="S37:S60" si="5" xml:space="preserve"> IF( SUM( U37:AE37 ) = 0, 0, $V$3 )</f>
        <v>0</v>
      </c>
      <c r="T37" s="118"/>
      <c r="U37" s="124"/>
      <c r="V37" s="93">
        <f t="shared" ref="V37:V60" si="6">IF($C37="",0,IF(ISBLANK(I37)=FALSE,0,1))</f>
        <v>0</v>
      </c>
      <c r="W37" s="93">
        <f>IF($C37="",0,IF(ISBLANK(#REF!)=FALSE,0,1))</f>
        <v>0</v>
      </c>
      <c r="X37" s="93">
        <f t="shared" si="0"/>
        <v>0</v>
      </c>
      <c r="Y37" s="93">
        <f>IF(OR(ISBLANK(L37), L37=0), 0, IF(OR(K37=Lists!$F$11, K37=Lists!$F$13), 0, 1))</f>
        <v>0</v>
      </c>
      <c r="Z37" s="93">
        <f>IF(OR($C37="", AND(NOT(K37=Lists!$F$11), NOT(K37=Lists!$F$13))),0,IF(ISBLANK(L37)=FALSE,0,1))</f>
        <v>0</v>
      </c>
      <c r="AA37" s="93">
        <f>IF(OR(ISBLANK(N37), N37=0), 0, IF(OR(M37=Lists!$F$11, M37=Lists!$F$13), 0, 1))</f>
        <v>0</v>
      </c>
      <c r="AB37" s="93">
        <f>IF(OR($C37="", AND(NOT(M37=Lists!$F$11), NOT(M37=Lists!$F$13))),0,IF(ISBLANK(N37)=FALSE,0,1))</f>
        <v>0</v>
      </c>
      <c r="AC37" s="93">
        <f>IF(OR(ISBLANK(P37), P37=0), 0, IF(OR(O37=Lists!$F$11, O37=Lists!$F$13), 0, 1))</f>
        <v>0</v>
      </c>
      <c r="AD37" s="93">
        <f>IF(OR($C37="", AND(NOT(O37=Lists!$F$11), NOT(O37=Lists!$F$13))),0,IF(ISBLANK(P37)=FALSE,0,1))</f>
        <v>0</v>
      </c>
      <c r="AE37" s="124"/>
      <c r="AF37" s="509">
        <f xml:space="preserve"> IF(OR( AND( K37 = Lists!$F$11, '3A'!L37 &lt; 0), AND( '3A'!M37 = Lists!$F$11, '3A'!N37 &lt; 0), AND( '3A'!O37 = Lists!$F$11, '3A'!P37 &lt; 0)), 1, 0)</f>
        <v>0</v>
      </c>
      <c r="AG37" s="509">
        <f xml:space="preserve"> IF( OR( AND( K37 = Lists!$F$13, '3A'!L37 &gt; 0), AND( M37 = Lists!$F$13, '3A'!N37 &gt; 0), AND( O37 = Lists!$F$13, '3A'!P37 &gt; 0 )), 1, 0)</f>
        <v>0</v>
      </c>
      <c r="AH37" s="511"/>
      <c r="AI37" s="670" t="str">
        <f>IF($P$1="Select company","",IF((HLOOKUP(((VLOOKUP($P$1,Lists!$B$4:$C$26,2,FALSE))&amp;'PC LIST'!$J$2),'PC list edited'!$A$2:$EJ$65,(B37+1),FALSE))=0,"",HLOOKUP(((VLOOKUP($P$1,Lists!$B$4:$C$26,2,FALSE))&amp; 'PC LIST'!$J$2),'PC list edited'!$A$2:$EJ$65,(B37+1),FALSE)))</f>
        <v/>
      </c>
      <c r="AJ37" s="2104" t="str">
        <f>IFERROR(INDEX('PC LIST'!N$3:N$631, MATCH($C37, 'PC LIST'!$B$3:$B$631, 0)),"")</f>
        <v/>
      </c>
    </row>
    <row r="38" spans="1:36" s="308" customFormat="1" ht="30" customHeight="1">
      <c r="A38" s="74"/>
      <c r="B38" s="289">
        <f t="shared" si="3"/>
        <v>34</v>
      </c>
      <c r="C38" s="500" t="str">
        <f>IF($P$1="Select company","",IF((HLOOKUP((VLOOKUP($P$1,Lists!$B$4:$C$26,2,FALSE)),'PC list edited'!$A$2:$EJ$65,(B38+1),FALSE))=0,"",HLOOKUP((VLOOKUP($P$1,Lists!$B$4:$C$26,2,FALSE)),'PC list edited'!$A$2:$EJ$65,(B38+1),FALSE)))</f>
        <v/>
      </c>
      <c r="D38" s="499" t="str">
        <f>IF($P$1="Select company","",IF(C38 ="","",HLOOKUP(((VLOOKUP($P$1,Lists!$B$4:$C$26,2,FALSE))&amp;"PC"),'PC list edited'!$A$2:$EJ$65,(B38+1),FALSE)))</f>
        <v/>
      </c>
      <c r="E38" s="314" t="str">
        <f>IF($P$1="Select company","",IF(C38 ="","",HLOOKUP(((VLOOKUP($P$1,Lists!$B$4:$C$26,2,FALSE))&amp;"unit"),'PC list edited'!$A$2:$EJ$65,(B38+1),FALSE)))</f>
        <v/>
      </c>
      <c r="F38" s="314" t="str">
        <f>IF($P$1="Select company","",IF(C38 ="","",HLOOKUP(((VLOOKUP($P$1,Lists!$B$4:$C$26,2,FALSE))&amp;"UnitDes"),'PC list edited'!$A$2:$EJ$65,(B38+1),FALSE)))</f>
        <v/>
      </c>
      <c r="G38" s="519" t="str">
        <f>IF($P$1="Select company","",IF(C38="","",HLOOKUP(((VLOOKUP($P$1,Lists!$B$4:$C$26,2,FALSE))&amp;"DP"),'PC list edited'!$A$2:$EJ$65,(B38+1),FALSE)))</f>
        <v/>
      </c>
      <c r="H38" s="519" t="str">
        <f>IF($P$1="Select company","",IF(C38 = "","",HLOOKUP(((VLOOKUP($P$1,Lists!$B$4:$C$26,2,FALSE))&amp;"201819Actual"),'PC list edited'!$A$2:$EJ$65,(B38+1),FALSE)))</f>
        <v/>
      </c>
      <c r="I38" s="554"/>
      <c r="J38" s="668"/>
      <c r="K38" s="503"/>
      <c r="L38" s="504"/>
      <c r="M38" s="503"/>
      <c r="N38" s="504"/>
      <c r="O38" s="2810"/>
      <c r="P38" s="2811"/>
      <c r="Q38" s="130"/>
      <c r="R38" s="507">
        <f t="shared" si="4"/>
        <v>0</v>
      </c>
      <c r="S38" s="24">
        <f t="shared" si="5"/>
        <v>0</v>
      </c>
      <c r="T38" s="118"/>
      <c r="U38" s="124"/>
      <c r="V38" s="93">
        <f t="shared" si="6"/>
        <v>0</v>
      </c>
      <c r="W38" s="93">
        <f>IF($C38="",0,IF(ISBLANK(#REF!)=FALSE,0,1))</f>
        <v>0</v>
      </c>
      <c r="X38" s="93">
        <f t="shared" si="0"/>
        <v>0</v>
      </c>
      <c r="Y38" s="93">
        <f>IF(OR(ISBLANK(L38), L38=0), 0, IF(OR(K38=Lists!$F$11, K38=Lists!$F$13), 0, 1))</f>
        <v>0</v>
      </c>
      <c r="Z38" s="93">
        <f>IF(OR($C38="", AND(NOT(K38=Lists!$F$11), NOT(K38=Lists!$F$13))),0,IF(ISBLANK(L38)=FALSE,0,1))</f>
        <v>0</v>
      </c>
      <c r="AA38" s="93">
        <f>IF(OR(ISBLANK(N38), N38=0), 0, IF(OR(M38=Lists!$F$11, M38=Lists!$F$13), 0, 1))</f>
        <v>0</v>
      </c>
      <c r="AB38" s="93">
        <f>IF(OR($C38="", AND(NOT(M38=Lists!$F$11), NOT(M38=Lists!$F$13))),0,IF(ISBLANK(N38)=FALSE,0,1))</f>
        <v>0</v>
      </c>
      <c r="AC38" s="93">
        <f>IF(OR(ISBLANK(P38), P38=0), 0, IF(OR(O38=Lists!$F$11, O38=Lists!$F$13), 0, 1))</f>
        <v>0</v>
      </c>
      <c r="AD38" s="93">
        <f>IF(OR($C38="", AND(NOT(O38=Lists!$F$11), NOT(O38=Lists!$F$13))),0,IF(ISBLANK(P38)=FALSE,0,1))</f>
        <v>0</v>
      </c>
      <c r="AE38" s="124"/>
      <c r="AF38" s="509">
        <f xml:space="preserve"> IF(OR( AND( K38 = Lists!$F$11, '3A'!L38 &lt; 0), AND( '3A'!M38 = Lists!$F$11, '3A'!N38 &lt; 0), AND( '3A'!O38 = Lists!$F$11, '3A'!P38 &lt; 0)), 1, 0)</f>
        <v>0</v>
      </c>
      <c r="AG38" s="509">
        <f xml:space="preserve"> IF( OR( AND( K38 = Lists!$F$13, '3A'!L38 &gt; 0), AND( M38 = Lists!$F$13, '3A'!N38 &gt; 0), AND( O38 = Lists!$F$13, '3A'!P38 &gt; 0 )), 1, 0)</f>
        <v>0</v>
      </c>
      <c r="AH38" s="511"/>
      <c r="AI38" s="670" t="str">
        <f>IF($P$1="Select company","",IF((HLOOKUP(((VLOOKUP($P$1,Lists!$B$4:$C$26,2,FALSE))&amp;'PC LIST'!$J$2),'PC list edited'!$A$2:$EJ$65,(B38+1),FALSE))=0,"",HLOOKUP(((VLOOKUP($P$1,Lists!$B$4:$C$26,2,FALSE))&amp; 'PC LIST'!$J$2),'PC list edited'!$A$2:$EJ$65,(B38+1),FALSE)))</f>
        <v/>
      </c>
      <c r="AJ38" s="2104" t="str">
        <f>IFERROR(INDEX('PC LIST'!N$3:N$631, MATCH($C38, 'PC LIST'!$B$3:$B$631, 0)),"")</f>
        <v/>
      </c>
    </row>
    <row r="39" spans="1:36" s="308" customFormat="1" ht="30" customHeight="1">
      <c r="A39" s="74"/>
      <c r="B39" s="289">
        <f t="shared" si="3"/>
        <v>35</v>
      </c>
      <c r="C39" s="500" t="str">
        <f>IF($P$1="Select company","",IF((HLOOKUP((VLOOKUP($P$1,Lists!$B$4:$C$26,2,FALSE)),'PC list edited'!$A$2:$EJ$65,(B39+1),FALSE))=0,"",HLOOKUP((VLOOKUP($P$1,Lists!$B$4:$C$26,2,FALSE)),'PC list edited'!$A$2:$EJ$65,(B39+1),FALSE)))</f>
        <v/>
      </c>
      <c r="D39" s="499" t="str">
        <f>IF($P$1="Select company","",IF(C39 ="","",HLOOKUP(((VLOOKUP($P$1,Lists!$B$4:$C$26,2,FALSE))&amp;"PC"),'PC list edited'!$A$2:$EJ$65,(B39+1),FALSE)))</f>
        <v/>
      </c>
      <c r="E39" s="314" t="str">
        <f>IF($P$1="Select company","",IF(C39 ="","",HLOOKUP(((VLOOKUP($P$1,Lists!$B$4:$C$26,2,FALSE))&amp;"unit"),'PC list edited'!$A$2:$EJ$65,(B39+1),FALSE)))</f>
        <v/>
      </c>
      <c r="F39" s="314" t="str">
        <f>IF($P$1="Select company","",IF(C39 ="","",HLOOKUP(((VLOOKUP($P$1,Lists!$B$4:$C$26,2,FALSE))&amp;"UnitDes"),'PC list edited'!$A$2:$EJ$65,(B39+1),FALSE)))</f>
        <v/>
      </c>
      <c r="G39" s="519" t="str">
        <f>IF($P$1="Select company","",IF(C39="","",HLOOKUP(((VLOOKUP($P$1,Lists!$B$4:$C$26,2,FALSE))&amp;"DP"),'PC list edited'!$A$2:$EJ$65,(B39+1),FALSE)))</f>
        <v/>
      </c>
      <c r="H39" s="519" t="str">
        <f>IF($P$1="Select company","",IF(C39 = "","",HLOOKUP(((VLOOKUP($P$1,Lists!$B$4:$C$26,2,FALSE))&amp;"201819Actual"),'PC list edited'!$A$2:$EJ$65,(B39+1),FALSE)))</f>
        <v/>
      </c>
      <c r="I39" s="554"/>
      <c r="J39" s="668"/>
      <c r="K39" s="503"/>
      <c r="L39" s="504"/>
      <c r="M39" s="503"/>
      <c r="N39" s="504"/>
      <c r="O39" s="2810"/>
      <c r="P39" s="2811"/>
      <c r="Q39" s="130"/>
      <c r="R39" s="507">
        <f t="shared" si="4"/>
        <v>0</v>
      </c>
      <c r="S39" s="24">
        <f t="shared" si="5"/>
        <v>0</v>
      </c>
      <c r="T39" s="118"/>
      <c r="U39" s="124"/>
      <c r="V39" s="93">
        <f t="shared" si="6"/>
        <v>0</v>
      </c>
      <c r="W39" s="93">
        <f>IF($C39="",0,IF(ISBLANK(#REF!)=FALSE,0,1))</f>
        <v>0</v>
      </c>
      <c r="X39" s="93">
        <f t="shared" si="0"/>
        <v>0</v>
      </c>
      <c r="Y39" s="93">
        <f>IF(OR(ISBLANK(L39), L39=0), 0, IF(OR(K39=Lists!$F$11, K39=Lists!$F$13), 0, 1))</f>
        <v>0</v>
      </c>
      <c r="Z39" s="93">
        <f>IF(OR($C39="", AND(NOT(K39=Lists!$F$11), NOT(K39=Lists!$F$13))),0,IF(ISBLANK(L39)=FALSE,0,1))</f>
        <v>0</v>
      </c>
      <c r="AA39" s="93">
        <f>IF(OR(ISBLANK(N39), N39=0), 0, IF(OR(M39=Lists!$F$11, M39=Lists!$F$13), 0, 1))</f>
        <v>0</v>
      </c>
      <c r="AB39" s="93">
        <f>IF(OR($C39="", AND(NOT(M39=Lists!$F$11), NOT(M39=Lists!$F$13))),0,IF(ISBLANK(N39)=FALSE,0,1))</f>
        <v>0</v>
      </c>
      <c r="AC39" s="93">
        <f>IF(OR(ISBLANK(P39), P39=0), 0, IF(OR(O39=Lists!$F$11, O39=Lists!$F$13), 0, 1))</f>
        <v>0</v>
      </c>
      <c r="AD39" s="93">
        <f>IF(OR($C39="", AND(NOT(O39=Lists!$F$11), NOT(O39=Lists!$F$13))),0,IF(ISBLANK(P39)=FALSE,0,1))</f>
        <v>0</v>
      </c>
      <c r="AE39" s="124"/>
      <c r="AF39" s="509">
        <f xml:space="preserve"> IF(OR( AND( K39 = Lists!$F$11, '3A'!L39 &lt; 0), AND( '3A'!M39 = Lists!$F$11, '3A'!N39 &lt; 0), AND( '3A'!O39 = Lists!$F$11, '3A'!P39 &lt; 0)), 1, 0)</f>
        <v>0</v>
      </c>
      <c r="AG39" s="509">
        <f xml:space="preserve"> IF( OR( AND( K39 = Lists!$F$13, '3A'!L39 &gt; 0), AND( M39 = Lists!$F$13, '3A'!N39 &gt; 0), AND( O39 = Lists!$F$13, '3A'!P39 &gt; 0 )), 1, 0)</f>
        <v>0</v>
      </c>
      <c r="AH39" s="511"/>
      <c r="AI39" s="670" t="str">
        <f>IF($P$1="Select company","",IF((HLOOKUP(((VLOOKUP($P$1,Lists!$B$4:$C$26,2,FALSE))&amp;'PC LIST'!$J$2),'PC list edited'!$A$2:$EJ$65,(B39+1),FALSE))=0,"",HLOOKUP(((VLOOKUP($P$1,Lists!$B$4:$C$26,2,FALSE))&amp; 'PC LIST'!$J$2),'PC list edited'!$A$2:$EJ$65,(B39+1),FALSE)))</f>
        <v/>
      </c>
      <c r="AJ39" s="2104" t="str">
        <f>IFERROR(INDEX('PC LIST'!N$3:N$631, MATCH($C39, 'PC LIST'!$B$3:$B$631, 0)),"")</f>
        <v/>
      </c>
    </row>
    <row r="40" spans="1:36" s="308" customFormat="1" ht="30" customHeight="1">
      <c r="A40" s="74"/>
      <c r="B40" s="289">
        <f t="shared" si="3"/>
        <v>36</v>
      </c>
      <c r="C40" s="500" t="str">
        <f>IF($P$1="Select company","",IF((HLOOKUP((VLOOKUP($P$1,Lists!$B$4:$C$26,2,FALSE)),'PC list edited'!$A$2:$EJ$65,(B40+1),FALSE))=0,"",HLOOKUP((VLOOKUP($P$1,Lists!$B$4:$C$26,2,FALSE)),'PC list edited'!$A$2:$EJ$65,(B40+1),FALSE)))</f>
        <v/>
      </c>
      <c r="D40" s="499" t="str">
        <f>IF($P$1="Select company","",IF(C40 ="","",HLOOKUP(((VLOOKUP($P$1,Lists!$B$4:$C$26,2,FALSE))&amp;"PC"),'PC list edited'!$A$2:$EJ$65,(B40+1),FALSE)))</f>
        <v/>
      </c>
      <c r="E40" s="314" t="str">
        <f>IF($P$1="Select company","",IF(C40 ="","",HLOOKUP(((VLOOKUP($P$1,Lists!$B$4:$C$26,2,FALSE))&amp;"unit"),'PC list edited'!$A$2:$EJ$65,(B40+1),FALSE)))</f>
        <v/>
      </c>
      <c r="F40" s="314" t="str">
        <f>IF($P$1="Select company","",IF(C40 ="","",HLOOKUP(((VLOOKUP($P$1,Lists!$B$4:$C$26,2,FALSE))&amp;"UnitDes"),'PC list edited'!$A$2:$EJ$65,(B40+1),FALSE)))</f>
        <v/>
      </c>
      <c r="G40" s="519" t="str">
        <f>IF($P$1="Select company","",IF(C40="","",HLOOKUP(((VLOOKUP($P$1,Lists!$B$4:$C$26,2,FALSE))&amp;"DP"),'PC list edited'!$A$2:$EJ$65,(B40+1),FALSE)))</f>
        <v/>
      </c>
      <c r="H40" s="519" t="str">
        <f>IF($P$1="Select company","",IF(C40 = "","",HLOOKUP(((VLOOKUP($P$1,Lists!$B$4:$C$26,2,FALSE))&amp;"201819Actual"),'PC list edited'!$A$2:$EJ$65,(B40+1),FALSE)))</f>
        <v/>
      </c>
      <c r="I40" s="554"/>
      <c r="J40" s="668"/>
      <c r="K40" s="503"/>
      <c r="L40" s="504"/>
      <c r="M40" s="503"/>
      <c r="N40" s="504"/>
      <c r="O40" s="2810"/>
      <c r="P40" s="2811"/>
      <c r="Q40" s="130"/>
      <c r="R40" s="507">
        <f t="shared" si="4"/>
        <v>0</v>
      </c>
      <c r="S40" s="24">
        <f t="shared" si="5"/>
        <v>0</v>
      </c>
      <c r="T40" s="118"/>
      <c r="U40" s="124"/>
      <c r="V40" s="93">
        <f t="shared" si="6"/>
        <v>0</v>
      </c>
      <c r="W40" s="93">
        <f>IF($C40="",0,IF(ISBLANK(#REF!)=FALSE,0,1))</f>
        <v>0</v>
      </c>
      <c r="X40" s="93">
        <f t="shared" si="0"/>
        <v>0</v>
      </c>
      <c r="Y40" s="93">
        <f>IF(OR(ISBLANK(L40), L40=0), 0, IF(OR(K40=Lists!$F$11, K40=Lists!$F$13), 0, 1))</f>
        <v>0</v>
      </c>
      <c r="Z40" s="93">
        <f>IF(OR($C40="", AND(NOT(K40=Lists!$F$11), NOT(K40=Lists!$F$13))),0,IF(ISBLANK(L40)=FALSE,0,1))</f>
        <v>0</v>
      </c>
      <c r="AA40" s="93">
        <f>IF(OR(ISBLANK(N40), N40=0), 0, IF(OR(M40=Lists!$F$11, M40=Lists!$F$13), 0, 1))</f>
        <v>0</v>
      </c>
      <c r="AB40" s="93">
        <f>IF(OR($C40="", AND(NOT(M40=Lists!$F$11), NOT(M40=Lists!$F$13))),0,IF(ISBLANK(N40)=FALSE,0,1))</f>
        <v>0</v>
      </c>
      <c r="AC40" s="93">
        <f>IF(OR(ISBLANK(P40), P40=0), 0, IF(OR(O40=Lists!$F$11, O40=Lists!$F$13), 0, 1))</f>
        <v>0</v>
      </c>
      <c r="AD40" s="93">
        <f>IF(OR($C40="", AND(NOT(O40=Lists!$F$11), NOT(O40=Lists!$F$13))),0,IF(ISBLANK(P40)=FALSE,0,1))</f>
        <v>0</v>
      </c>
      <c r="AE40" s="124"/>
      <c r="AF40" s="509">
        <f xml:space="preserve"> IF(OR( AND( K40 = Lists!$F$11, '3A'!L40 &lt; 0), AND( '3A'!M40 = Lists!$F$11, '3A'!N40 &lt; 0), AND( '3A'!O40 = Lists!$F$11, '3A'!P40 &lt; 0)), 1, 0)</f>
        <v>0</v>
      </c>
      <c r="AG40" s="509">
        <f xml:space="preserve"> IF( OR( AND( K40 = Lists!$F$13, '3A'!L40 &gt; 0), AND( M40 = Lists!$F$13, '3A'!N40 &gt; 0), AND( O40 = Lists!$F$13, '3A'!P40 &gt; 0 )), 1, 0)</f>
        <v>0</v>
      </c>
      <c r="AH40" s="511"/>
      <c r="AI40" s="670" t="str">
        <f>IF($P$1="Select company","",IF((HLOOKUP(((VLOOKUP($P$1,Lists!$B$4:$C$26,2,FALSE))&amp;'PC LIST'!$J$2),'PC list edited'!$A$2:$EJ$65,(B40+1),FALSE))=0,"",HLOOKUP(((VLOOKUP($P$1,Lists!$B$4:$C$26,2,FALSE))&amp; 'PC LIST'!$J$2),'PC list edited'!$A$2:$EJ$65,(B40+1),FALSE)))</f>
        <v/>
      </c>
      <c r="AJ40" s="2104" t="str">
        <f>IFERROR(INDEX('PC LIST'!N$3:N$631, MATCH($C40, 'PC LIST'!$B$3:$B$631, 0)),"")</f>
        <v/>
      </c>
    </row>
    <row r="41" spans="1:36" s="308" customFormat="1" ht="30" customHeight="1">
      <c r="A41" s="74"/>
      <c r="B41" s="289">
        <f t="shared" si="3"/>
        <v>37</v>
      </c>
      <c r="C41" s="500" t="str">
        <f>IF($P$1="Select company","",IF((HLOOKUP((VLOOKUP($P$1,Lists!$B$4:$C$26,2,FALSE)),'PC list edited'!$A$2:$EJ$65,(B41+1),FALSE))=0,"",HLOOKUP((VLOOKUP($P$1,Lists!$B$4:$C$26,2,FALSE)),'PC list edited'!$A$2:$EJ$65,(B41+1),FALSE)))</f>
        <v/>
      </c>
      <c r="D41" s="499" t="str">
        <f>IF($P$1="Select company","",IF(C41 ="","",HLOOKUP(((VLOOKUP($P$1,Lists!$B$4:$C$26,2,FALSE))&amp;"PC"),'PC list edited'!$A$2:$EJ$65,(B41+1),FALSE)))</f>
        <v/>
      </c>
      <c r="E41" s="314" t="str">
        <f>IF($P$1="Select company","",IF(C41 ="","",HLOOKUP(((VLOOKUP($P$1,Lists!$B$4:$C$26,2,FALSE))&amp;"unit"),'PC list edited'!$A$2:$EJ$65,(B41+1),FALSE)))</f>
        <v/>
      </c>
      <c r="F41" s="314" t="str">
        <f>IF($P$1="Select company","",IF(C41 ="","",HLOOKUP(((VLOOKUP($P$1,Lists!$B$4:$C$26,2,FALSE))&amp;"UnitDes"),'PC list edited'!$A$2:$EJ$65,(B41+1),FALSE)))</f>
        <v/>
      </c>
      <c r="G41" s="519" t="str">
        <f>IF($P$1="Select company","",IF(C41="","",HLOOKUP(((VLOOKUP($P$1,Lists!$B$4:$C$26,2,FALSE))&amp;"DP"),'PC list edited'!$A$2:$EJ$65,(B41+1),FALSE)))</f>
        <v/>
      </c>
      <c r="H41" s="519" t="str">
        <f>IF($P$1="Select company","",IF(C41 = "","",HLOOKUP(((VLOOKUP($P$1,Lists!$B$4:$C$26,2,FALSE))&amp;"201819Actual"),'PC list edited'!$A$2:$EJ$65,(B41+1),FALSE)))</f>
        <v/>
      </c>
      <c r="I41" s="554"/>
      <c r="J41" s="668"/>
      <c r="K41" s="503"/>
      <c r="L41" s="504"/>
      <c r="M41" s="503"/>
      <c r="N41" s="504"/>
      <c r="O41" s="2810"/>
      <c r="P41" s="2811"/>
      <c r="Q41" s="130"/>
      <c r="R41" s="507">
        <f t="shared" si="4"/>
        <v>0</v>
      </c>
      <c r="S41" s="24">
        <f t="shared" si="5"/>
        <v>0</v>
      </c>
      <c r="T41" s="118"/>
      <c r="U41" s="124"/>
      <c r="V41" s="93">
        <f t="shared" si="6"/>
        <v>0</v>
      </c>
      <c r="W41" s="93">
        <f>IF($C41="",0,IF(ISBLANK(#REF!)=FALSE,0,1))</f>
        <v>0</v>
      </c>
      <c r="X41" s="93">
        <f t="shared" si="0"/>
        <v>0</v>
      </c>
      <c r="Y41" s="93">
        <f>IF(OR(ISBLANK(L41), L41=0), 0, IF(OR(K41=Lists!$F$11, K41=Lists!$F$13), 0, 1))</f>
        <v>0</v>
      </c>
      <c r="Z41" s="93">
        <f>IF(OR($C41="", AND(NOT(K41=Lists!$F$11), NOT(K41=Lists!$F$13))),0,IF(ISBLANK(L41)=FALSE,0,1))</f>
        <v>0</v>
      </c>
      <c r="AA41" s="93">
        <f>IF(OR(ISBLANK(N41), N41=0), 0, IF(OR(M41=Lists!$F$11, M41=Lists!$F$13), 0, 1))</f>
        <v>0</v>
      </c>
      <c r="AB41" s="93">
        <f>IF(OR($C41="", AND(NOT(M41=Lists!$F$11), NOT(M41=Lists!$F$13))),0,IF(ISBLANK(N41)=FALSE,0,1))</f>
        <v>0</v>
      </c>
      <c r="AC41" s="93">
        <f>IF(OR(ISBLANK(P41), P41=0), 0, IF(OR(O41=Lists!$F$11, O41=Lists!$F$13), 0, 1))</f>
        <v>0</v>
      </c>
      <c r="AD41" s="93">
        <f>IF(OR($C41="", AND(NOT(O41=Lists!$F$11), NOT(O41=Lists!$F$13))),0,IF(ISBLANK(P41)=FALSE,0,1))</f>
        <v>0</v>
      </c>
      <c r="AE41" s="124"/>
      <c r="AF41" s="509">
        <f xml:space="preserve"> IF(OR( AND( K41 = Lists!$F$11, '3A'!L41 &lt; 0), AND( '3A'!M41 = Lists!$F$11, '3A'!N41 &lt; 0), AND( '3A'!O41 = Lists!$F$11, '3A'!P41 &lt; 0)), 1, 0)</f>
        <v>0</v>
      </c>
      <c r="AG41" s="509">
        <f xml:space="preserve"> IF( OR( AND( K41 = Lists!$F$13, '3A'!L41 &gt; 0), AND( M41 = Lists!$F$13, '3A'!N41 &gt; 0), AND( O41 = Lists!$F$13, '3A'!P41 &gt; 0 )), 1, 0)</f>
        <v>0</v>
      </c>
      <c r="AH41" s="511"/>
      <c r="AI41" s="670" t="str">
        <f>IF($P$1="Select company","",IF((HLOOKUP(((VLOOKUP($P$1,Lists!$B$4:$C$26,2,FALSE))&amp;'PC LIST'!$J$2),'PC list edited'!$A$2:$EJ$65,(B41+1),FALSE))=0,"",HLOOKUP(((VLOOKUP($P$1,Lists!$B$4:$C$26,2,FALSE))&amp; 'PC LIST'!$J$2),'PC list edited'!$A$2:$EJ$65,(B41+1),FALSE)))</f>
        <v/>
      </c>
      <c r="AJ41" s="2104" t="str">
        <f>IFERROR(INDEX('PC LIST'!N$3:N$631, MATCH($C41, 'PC LIST'!$B$3:$B$631, 0)),"")</f>
        <v/>
      </c>
    </row>
    <row r="42" spans="1:36" s="308" customFormat="1" ht="30" customHeight="1">
      <c r="A42" s="74"/>
      <c r="B42" s="289">
        <f t="shared" si="3"/>
        <v>38</v>
      </c>
      <c r="C42" s="500" t="str">
        <f>IF($P$1="Select company","",IF((HLOOKUP((VLOOKUP($P$1,Lists!$B$4:$C$26,2,FALSE)),'PC list edited'!$A$2:$EJ$65,(B42+1),FALSE))=0,"",HLOOKUP((VLOOKUP($P$1,Lists!$B$4:$C$26,2,FALSE)),'PC list edited'!$A$2:$EJ$65,(B42+1),FALSE)))</f>
        <v/>
      </c>
      <c r="D42" s="499" t="str">
        <f>IF($P$1="Select company","",IF(C42 ="","",HLOOKUP(((VLOOKUP($P$1,Lists!$B$4:$C$26,2,FALSE))&amp;"PC"),'PC list edited'!$A$2:$EJ$65,(B42+1),FALSE)))</f>
        <v/>
      </c>
      <c r="E42" s="314" t="str">
        <f>IF($P$1="Select company","",IF(C42 ="","",HLOOKUP(((VLOOKUP($P$1,Lists!$B$4:$C$26,2,FALSE))&amp;"unit"),'PC list edited'!$A$2:$EJ$65,(B42+1),FALSE)))</f>
        <v/>
      </c>
      <c r="F42" s="314" t="str">
        <f>IF($P$1="Select company","",IF(C42 ="","",HLOOKUP(((VLOOKUP($P$1,Lists!$B$4:$C$26,2,FALSE))&amp;"UnitDes"),'PC list edited'!$A$2:$EJ$65,(B42+1),FALSE)))</f>
        <v/>
      </c>
      <c r="G42" s="519" t="str">
        <f>IF($P$1="Select company","",IF(C42="","",HLOOKUP(((VLOOKUP($P$1,Lists!$B$4:$C$26,2,FALSE))&amp;"DP"),'PC list edited'!$A$2:$EJ$65,(B42+1),FALSE)))</f>
        <v/>
      </c>
      <c r="H42" s="519" t="str">
        <f>IF($P$1="Select company","",IF(C42 = "","",HLOOKUP(((VLOOKUP($P$1,Lists!$B$4:$C$26,2,FALSE))&amp;"201819Actual"),'PC list edited'!$A$2:$EJ$65,(B42+1),FALSE)))</f>
        <v/>
      </c>
      <c r="I42" s="554"/>
      <c r="J42" s="668"/>
      <c r="K42" s="503"/>
      <c r="L42" s="504"/>
      <c r="M42" s="503"/>
      <c r="N42" s="504"/>
      <c r="O42" s="2810"/>
      <c r="P42" s="2811"/>
      <c r="Q42" s="130"/>
      <c r="R42" s="507">
        <f t="shared" si="4"/>
        <v>0</v>
      </c>
      <c r="S42" s="24">
        <f t="shared" si="5"/>
        <v>0</v>
      </c>
      <c r="T42" s="70"/>
      <c r="U42" s="71"/>
      <c r="V42" s="93">
        <f t="shared" si="6"/>
        <v>0</v>
      </c>
      <c r="W42" s="93">
        <f>IF($C42="",0,IF(ISBLANK(#REF!)=FALSE,0,1))</f>
        <v>0</v>
      </c>
      <c r="X42" s="93">
        <f t="shared" si="0"/>
        <v>0</v>
      </c>
      <c r="Y42" s="93">
        <f>IF(OR(ISBLANK(L42), L42=0), 0, IF(OR(K42=Lists!$F$11, K42=Lists!$F$13), 0, 1))</f>
        <v>0</v>
      </c>
      <c r="Z42" s="93">
        <f>IF(OR($C42="", AND(NOT(K42=Lists!$F$11), NOT(K42=Lists!$F$13))),0,IF(ISBLANK(L42)=FALSE,0,1))</f>
        <v>0</v>
      </c>
      <c r="AA42" s="93">
        <f>IF(OR(ISBLANK(N42), N42=0), 0, IF(OR(M42=Lists!$F$11, M42=Lists!$F$13), 0, 1))</f>
        <v>0</v>
      </c>
      <c r="AB42" s="93">
        <f>IF(OR($C42="", AND(NOT(M42=Lists!$F$11), NOT(M42=Lists!$F$13))),0,IF(ISBLANK(N42)=FALSE,0,1))</f>
        <v>0</v>
      </c>
      <c r="AC42" s="93">
        <f>IF(OR(ISBLANK(P42), P42=0), 0, IF(OR(O42=Lists!$F$11, O42=Lists!$F$13), 0, 1))</f>
        <v>0</v>
      </c>
      <c r="AD42" s="93">
        <f>IF(OR($C42="", AND(NOT(O42=Lists!$F$11), NOT(O42=Lists!$F$13))),0,IF(ISBLANK(P42)=FALSE,0,1))</f>
        <v>0</v>
      </c>
      <c r="AE42" s="71"/>
      <c r="AF42" s="509">
        <f xml:space="preserve"> IF(OR( AND( K42 = Lists!$F$11, '3A'!L42 &lt; 0), AND( '3A'!M42 = Lists!$F$11, '3A'!N42 &lt; 0), AND( '3A'!O42 = Lists!$F$11, '3A'!P42 &lt; 0)), 1, 0)</f>
        <v>0</v>
      </c>
      <c r="AG42" s="509">
        <f xml:space="preserve"> IF( OR( AND( K42 = Lists!$F$13, '3A'!L42 &gt; 0), AND( M42 = Lists!$F$13, '3A'!N42 &gt; 0), AND( O42 = Lists!$F$13, '3A'!P42 &gt; 0 )), 1, 0)</f>
        <v>0</v>
      </c>
      <c r="AH42" s="511"/>
      <c r="AI42" s="670" t="str">
        <f>IF($P$1="Select company","",IF((HLOOKUP(((VLOOKUP($P$1,Lists!$B$4:$C$26,2,FALSE))&amp;'PC LIST'!$J$2),'PC list edited'!$A$2:$EJ$65,(B42+1),FALSE))=0,"",HLOOKUP(((VLOOKUP($P$1,Lists!$B$4:$C$26,2,FALSE))&amp; 'PC LIST'!$J$2),'PC list edited'!$A$2:$EJ$65,(B42+1),FALSE)))</f>
        <v/>
      </c>
      <c r="AJ42" s="2104" t="str">
        <f>IFERROR(INDEX('PC LIST'!N$3:N$631, MATCH($C42, 'PC LIST'!$B$3:$B$631, 0)),"")</f>
        <v/>
      </c>
    </row>
    <row r="43" spans="1:36" s="308" customFormat="1" ht="30" customHeight="1">
      <c r="A43" s="74"/>
      <c r="B43" s="289">
        <f t="shared" si="3"/>
        <v>39</v>
      </c>
      <c r="C43" s="500" t="str">
        <f>IF($P$1="Select company","",IF((HLOOKUP((VLOOKUP($P$1,Lists!$B$4:$C$26,2,FALSE)),'PC list edited'!$A$2:$EJ$65,(B43+1),FALSE))=0,"",HLOOKUP((VLOOKUP($P$1,Lists!$B$4:$C$26,2,FALSE)),'PC list edited'!$A$2:$EJ$65,(B43+1),FALSE)))</f>
        <v/>
      </c>
      <c r="D43" s="499" t="str">
        <f>IF($P$1="Select company","",IF(C43 ="","",HLOOKUP(((VLOOKUP($P$1,Lists!$B$4:$C$26,2,FALSE))&amp;"PC"),'PC list edited'!$A$2:$EJ$65,(B43+1),FALSE)))</f>
        <v/>
      </c>
      <c r="E43" s="314" t="str">
        <f>IF($P$1="Select company","",IF(C43 ="","",HLOOKUP(((VLOOKUP($P$1,Lists!$B$4:$C$26,2,FALSE))&amp;"unit"),'PC list edited'!$A$2:$EJ$65,(B43+1),FALSE)))</f>
        <v/>
      </c>
      <c r="F43" s="314" t="str">
        <f>IF($P$1="Select company","",IF(C43 ="","",HLOOKUP(((VLOOKUP($P$1,Lists!$B$4:$C$26,2,FALSE))&amp;"UnitDes"),'PC list edited'!$A$2:$EJ$65,(B43+1),FALSE)))</f>
        <v/>
      </c>
      <c r="G43" s="519" t="str">
        <f>IF($P$1="Select company","",IF(C43="","",HLOOKUP(((VLOOKUP($P$1,Lists!$B$4:$C$26,2,FALSE))&amp;"DP"),'PC list edited'!$A$2:$EJ$65,(B43+1),FALSE)))</f>
        <v/>
      </c>
      <c r="H43" s="519" t="str">
        <f>IF($P$1="Select company","",IF(C43 = "","",HLOOKUP(((VLOOKUP($P$1,Lists!$B$4:$C$26,2,FALSE))&amp;"201819Actual"),'PC list edited'!$A$2:$EJ$65,(B43+1),FALSE)))</f>
        <v/>
      </c>
      <c r="I43" s="554"/>
      <c r="J43" s="668"/>
      <c r="K43" s="503"/>
      <c r="L43" s="504"/>
      <c r="M43" s="503"/>
      <c r="N43" s="504"/>
      <c r="O43" s="2810"/>
      <c r="P43" s="2811"/>
      <c r="Q43" s="130"/>
      <c r="R43" s="507">
        <f t="shared" si="4"/>
        <v>0</v>
      </c>
      <c r="S43" s="24">
        <f t="shared" si="5"/>
        <v>0</v>
      </c>
      <c r="T43" s="70"/>
      <c r="U43" s="71"/>
      <c r="V43" s="93">
        <f t="shared" si="6"/>
        <v>0</v>
      </c>
      <c r="W43" s="93">
        <f>IF($C43="",0,IF(ISBLANK(#REF!)=FALSE,0,1))</f>
        <v>0</v>
      </c>
      <c r="X43" s="93">
        <f t="shared" si="0"/>
        <v>0</v>
      </c>
      <c r="Y43" s="93">
        <f>IF(OR(ISBLANK(L43), L43=0), 0, IF(OR(K43=Lists!$F$11, K43=Lists!$F$13), 0, 1))</f>
        <v>0</v>
      </c>
      <c r="Z43" s="93">
        <f>IF(OR($C43="", AND(NOT(K43=Lists!$F$11), NOT(K43=Lists!$F$13))),0,IF(ISBLANK(L43)=FALSE,0,1))</f>
        <v>0</v>
      </c>
      <c r="AA43" s="93">
        <f>IF(OR(ISBLANK(N43), N43=0), 0, IF(OR(M43=Lists!$F$11, M43=Lists!$F$13), 0, 1))</f>
        <v>0</v>
      </c>
      <c r="AB43" s="93">
        <f>IF(OR($C43="", AND(NOT(M43=Lists!$F$11), NOT(M43=Lists!$F$13))),0,IF(ISBLANK(N43)=FALSE,0,1))</f>
        <v>0</v>
      </c>
      <c r="AC43" s="93">
        <f>IF(OR(ISBLANK(P43), P43=0), 0, IF(OR(O43=Lists!$F$11, O43=Lists!$F$13), 0, 1))</f>
        <v>0</v>
      </c>
      <c r="AD43" s="93">
        <f>IF(OR($C43="", AND(NOT(O43=Lists!$F$11), NOT(O43=Lists!$F$13))),0,IF(ISBLANK(P43)=FALSE,0,1))</f>
        <v>0</v>
      </c>
      <c r="AE43" s="71"/>
      <c r="AF43" s="509">
        <f xml:space="preserve"> IF(OR( AND( K43 = Lists!$F$11, '3A'!L43 &lt; 0), AND( '3A'!M43 = Lists!$F$11, '3A'!N43 &lt; 0), AND( '3A'!O43 = Lists!$F$11, '3A'!P43 &lt; 0)), 1, 0)</f>
        <v>0</v>
      </c>
      <c r="AG43" s="509">
        <f xml:space="preserve"> IF( OR( AND( K43 = Lists!$F$13, '3A'!L43 &gt; 0), AND( M43 = Lists!$F$13, '3A'!N43 &gt; 0), AND( O43 = Lists!$F$13, '3A'!P43 &gt; 0 )), 1, 0)</f>
        <v>0</v>
      </c>
      <c r="AH43" s="511"/>
      <c r="AI43" s="670" t="str">
        <f>IF($P$1="Select company","",IF((HLOOKUP(((VLOOKUP($P$1,Lists!$B$4:$C$26,2,FALSE))&amp;'PC LIST'!$J$2),'PC list edited'!$A$2:$EJ$65,(B43+1),FALSE))=0,"",HLOOKUP(((VLOOKUP($P$1,Lists!$B$4:$C$26,2,FALSE))&amp; 'PC LIST'!$J$2),'PC list edited'!$A$2:$EJ$65,(B43+1),FALSE)))</f>
        <v/>
      </c>
      <c r="AJ43" s="2104" t="str">
        <f>IFERROR(INDEX('PC LIST'!N$3:N$631, MATCH($C43, 'PC LIST'!$B$3:$B$631, 0)),"")</f>
        <v/>
      </c>
    </row>
    <row r="44" spans="1:36" s="308" customFormat="1" ht="30" customHeight="1">
      <c r="A44" s="74"/>
      <c r="B44" s="289">
        <f t="shared" si="3"/>
        <v>40</v>
      </c>
      <c r="C44" s="500" t="str">
        <f>IF($P$1="Select company","",IF((HLOOKUP((VLOOKUP($P$1,Lists!$B$4:$C$26,2,FALSE)),'PC list edited'!$A$2:$EJ$65,(B44+1),FALSE))=0,"",HLOOKUP((VLOOKUP($P$1,Lists!$B$4:$C$26,2,FALSE)),'PC list edited'!$A$2:$EJ$65,(B44+1),FALSE)))</f>
        <v/>
      </c>
      <c r="D44" s="499" t="str">
        <f>IF($P$1="Select company","",IF(C44 ="","",HLOOKUP(((VLOOKUP($P$1,Lists!$B$4:$C$26,2,FALSE))&amp;"PC"),'PC list edited'!$A$2:$EJ$65,(B44+1),FALSE)))</f>
        <v/>
      </c>
      <c r="E44" s="314" t="str">
        <f>IF($P$1="Select company","",IF(C44 ="","",HLOOKUP(((VLOOKUP($P$1,Lists!$B$4:$C$26,2,FALSE))&amp;"unit"),'PC list edited'!$A$2:$EJ$65,(B44+1),FALSE)))</f>
        <v/>
      </c>
      <c r="F44" s="314" t="str">
        <f>IF($P$1="Select company","",IF(C44 ="","",HLOOKUP(((VLOOKUP($P$1,Lists!$B$4:$C$26,2,FALSE))&amp;"UnitDes"),'PC list edited'!$A$2:$EJ$65,(B44+1),FALSE)))</f>
        <v/>
      </c>
      <c r="G44" s="519" t="str">
        <f>IF($P$1="Select company","",IF(C44="","",HLOOKUP(((VLOOKUP($P$1,Lists!$B$4:$C$26,2,FALSE))&amp;"DP"),'PC list edited'!$A$2:$EJ$65,(B44+1),FALSE)))</f>
        <v/>
      </c>
      <c r="H44" s="519" t="str">
        <f>IF($P$1="Select company","",IF(C44 = "","",HLOOKUP(((VLOOKUP($P$1,Lists!$B$4:$C$26,2,FALSE))&amp;"201819Actual"),'PC list edited'!$A$2:$EJ$65,(B44+1),FALSE)))</f>
        <v/>
      </c>
      <c r="I44" s="554"/>
      <c r="J44" s="668"/>
      <c r="K44" s="503"/>
      <c r="L44" s="504"/>
      <c r="M44" s="503"/>
      <c r="N44" s="504"/>
      <c r="O44" s="2810"/>
      <c r="P44" s="2811"/>
      <c r="Q44" s="130"/>
      <c r="R44" s="507">
        <f t="shared" si="4"/>
        <v>0</v>
      </c>
      <c r="S44" s="24">
        <f t="shared" si="5"/>
        <v>0</v>
      </c>
      <c r="T44" s="70"/>
      <c r="U44" s="71"/>
      <c r="V44" s="93">
        <f t="shared" si="6"/>
        <v>0</v>
      </c>
      <c r="W44" s="93">
        <f>IF($C44="",0,IF(ISBLANK(#REF!)=FALSE,0,1))</f>
        <v>0</v>
      </c>
      <c r="X44" s="93">
        <f t="shared" si="0"/>
        <v>0</v>
      </c>
      <c r="Y44" s="93">
        <f>IF(OR(ISBLANK(L44), L44=0), 0, IF(OR(K44=Lists!$F$11, K44=Lists!$F$13), 0, 1))</f>
        <v>0</v>
      </c>
      <c r="Z44" s="93">
        <f>IF(OR($C44="", AND(NOT(K44=Lists!$F$11), NOT(K44=Lists!$F$13))),0,IF(ISBLANK(L44)=FALSE,0,1))</f>
        <v>0</v>
      </c>
      <c r="AA44" s="93">
        <f>IF(OR(ISBLANK(N44), N44=0), 0, IF(OR(M44=Lists!$F$11, M44=Lists!$F$13), 0, 1))</f>
        <v>0</v>
      </c>
      <c r="AB44" s="93">
        <f>IF(OR($C44="", AND(NOT(M44=Lists!$F$11), NOT(M44=Lists!$F$13))),0,IF(ISBLANK(N44)=FALSE,0,1))</f>
        <v>0</v>
      </c>
      <c r="AC44" s="93">
        <f>IF(OR(ISBLANK(P44), P44=0), 0, IF(OR(O44=Lists!$F$11, O44=Lists!$F$13), 0, 1))</f>
        <v>0</v>
      </c>
      <c r="AD44" s="93">
        <f>IF(OR($C44="", AND(NOT(O44=Lists!$F$11), NOT(O44=Lists!$F$13))),0,IF(ISBLANK(P44)=FALSE,0,1))</f>
        <v>0</v>
      </c>
      <c r="AE44" s="71"/>
      <c r="AF44" s="509">
        <f xml:space="preserve"> IF(OR( AND( K44 = Lists!$F$11, '3A'!L44 &lt; 0), AND( '3A'!M44 = Lists!$F$11, '3A'!N44 &lt; 0), AND( '3A'!O44 = Lists!$F$11, '3A'!P44 &lt; 0)), 1, 0)</f>
        <v>0</v>
      </c>
      <c r="AG44" s="509">
        <f xml:space="preserve"> IF( OR( AND( K44 = Lists!$F$13, '3A'!L44 &gt; 0), AND( M44 = Lists!$F$13, '3A'!N44 &gt; 0), AND( O44 = Lists!$F$13, '3A'!P44 &gt; 0 )), 1, 0)</f>
        <v>0</v>
      </c>
      <c r="AH44" s="511"/>
      <c r="AI44" s="670" t="str">
        <f>IF($P$1="Select company","",IF((HLOOKUP(((VLOOKUP($P$1,Lists!$B$4:$C$26,2,FALSE))&amp;'PC LIST'!$J$2),'PC list edited'!$A$2:$EJ$65,(B44+1),FALSE))=0,"",HLOOKUP(((VLOOKUP($P$1,Lists!$B$4:$C$26,2,FALSE))&amp; 'PC LIST'!$J$2),'PC list edited'!$A$2:$EJ$65,(B44+1),FALSE)))</f>
        <v/>
      </c>
      <c r="AJ44" s="2104" t="str">
        <f>IFERROR(INDEX('PC LIST'!N$3:N$631, MATCH($C44, 'PC LIST'!$B$3:$B$631, 0)),"")</f>
        <v/>
      </c>
    </row>
    <row r="45" spans="1:36" s="308" customFormat="1" ht="30" customHeight="1">
      <c r="A45" s="74"/>
      <c r="B45" s="289">
        <f t="shared" si="3"/>
        <v>41</v>
      </c>
      <c r="C45" s="500" t="str">
        <f>IF($P$1="Select company","",IF((HLOOKUP((VLOOKUP($P$1,Lists!$B$4:$C$26,2,FALSE)),'PC list edited'!$A$2:$EJ$65,(B45+1),FALSE))=0,"",HLOOKUP((VLOOKUP($P$1,Lists!$B$4:$C$26,2,FALSE)),'PC list edited'!$A$2:$EJ$65,(B45+1),FALSE)))</f>
        <v/>
      </c>
      <c r="D45" s="499" t="str">
        <f>IF($P$1="Select company","",IF(C45 ="","",HLOOKUP(((VLOOKUP($P$1,Lists!$B$4:$C$26,2,FALSE))&amp;"PC"),'PC list edited'!$A$2:$EJ$65,(B45+1),FALSE)))</f>
        <v/>
      </c>
      <c r="E45" s="314" t="str">
        <f>IF($P$1="Select company","",IF(C45 ="","",HLOOKUP(((VLOOKUP($P$1,Lists!$B$4:$C$26,2,FALSE))&amp;"unit"),'PC list edited'!$A$2:$EJ$65,(B45+1),FALSE)))</f>
        <v/>
      </c>
      <c r="F45" s="314" t="str">
        <f>IF($P$1="Select company","",IF(C45 ="","",HLOOKUP(((VLOOKUP($P$1,Lists!$B$4:$C$26,2,FALSE))&amp;"UnitDes"),'PC list edited'!$A$2:$EJ$65,(B45+1),FALSE)))</f>
        <v/>
      </c>
      <c r="G45" s="519" t="str">
        <f>IF($P$1="Select company","",IF(C45="","",HLOOKUP(((VLOOKUP($P$1,Lists!$B$4:$C$26,2,FALSE))&amp;"DP"),'PC list edited'!$A$2:$EJ$65,(B45+1),FALSE)))</f>
        <v/>
      </c>
      <c r="H45" s="519" t="str">
        <f>IF($P$1="Select company","",IF(C45 = "","",HLOOKUP(((VLOOKUP($P$1,Lists!$B$4:$C$26,2,FALSE))&amp;"201819Actual"),'PC list edited'!$A$2:$EJ$65,(B45+1),FALSE)))</f>
        <v/>
      </c>
      <c r="I45" s="554"/>
      <c r="J45" s="668"/>
      <c r="K45" s="503"/>
      <c r="L45" s="504"/>
      <c r="M45" s="503"/>
      <c r="N45" s="504"/>
      <c r="O45" s="2810"/>
      <c r="P45" s="2811"/>
      <c r="Q45" s="130"/>
      <c r="R45" s="507">
        <f t="shared" si="4"/>
        <v>0</v>
      </c>
      <c r="S45" s="24">
        <f t="shared" si="5"/>
        <v>0</v>
      </c>
      <c r="T45" s="70"/>
      <c r="U45" s="71"/>
      <c r="V45" s="93">
        <f t="shared" si="6"/>
        <v>0</v>
      </c>
      <c r="W45" s="93">
        <f>IF($C45="",0,IF(ISBLANK(#REF!)=FALSE,0,1))</f>
        <v>0</v>
      </c>
      <c r="X45" s="93">
        <f t="shared" si="0"/>
        <v>0</v>
      </c>
      <c r="Y45" s="93">
        <f>IF(OR(ISBLANK(L45), L45=0), 0, IF(OR(K45=Lists!$F$11, K45=Lists!$F$13), 0, 1))</f>
        <v>0</v>
      </c>
      <c r="Z45" s="93">
        <f>IF(OR($C45="", AND(NOT(K45=Lists!$F$11), NOT(K45=Lists!$F$13))),0,IF(ISBLANK(L45)=FALSE,0,1))</f>
        <v>0</v>
      </c>
      <c r="AA45" s="93">
        <f>IF(OR(ISBLANK(N45), N45=0), 0, IF(OR(M45=Lists!$F$11, M45=Lists!$F$13), 0, 1))</f>
        <v>0</v>
      </c>
      <c r="AB45" s="93">
        <f>IF(OR($C45="", AND(NOT(M45=Lists!$F$11), NOT(M45=Lists!$F$13))),0,IF(ISBLANK(N45)=FALSE,0,1))</f>
        <v>0</v>
      </c>
      <c r="AC45" s="93">
        <f>IF(OR(ISBLANK(P45), P45=0), 0, IF(OR(O45=Lists!$F$11, O45=Lists!$F$13), 0, 1))</f>
        <v>0</v>
      </c>
      <c r="AD45" s="93">
        <f>IF(OR($C45="", AND(NOT(O45=Lists!$F$11), NOT(O45=Lists!$F$13))),0,IF(ISBLANK(P45)=FALSE,0,1))</f>
        <v>0</v>
      </c>
      <c r="AE45" s="71"/>
      <c r="AF45" s="509">
        <f xml:space="preserve"> IF(OR( AND( K45 = Lists!$F$11, '3A'!L45 &lt; 0), AND( '3A'!M45 = Lists!$F$11, '3A'!N45 &lt; 0), AND( '3A'!O45 = Lists!$F$11, '3A'!P45 &lt; 0)), 1, 0)</f>
        <v>0</v>
      </c>
      <c r="AG45" s="509">
        <f xml:space="preserve"> IF( OR( AND( K45 = Lists!$F$13, '3A'!L45 &gt; 0), AND( M45 = Lists!$F$13, '3A'!N45 &gt; 0), AND( O45 = Lists!$F$13, '3A'!P45 &gt; 0 )), 1, 0)</f>
        <v>0</v>
      </c>
      <c r="AH45" s="511"/>
      <c r="AI45" s="670" t="str">
        <f>IF($P$1="Select company","",IF((HLOOKUP(((VLOOKUP($P$1,Lists!$B$4:$C$26,2,FALSE))&amp;'PC LIST'!$J$2),'PC list edited'!$A$2:$EJ$65,(B45+1),FALSE))=0,"",HLOOKUP(((VLOOKUP($P$1,Lists!$B$4:$C$26,2,FALSE))&amp; 'PC LIST'!$J$2),'PC list edited'!$A$2:$EJ$65,(B45+1),FALSE)))</f>
        <v/>
      </c>
      <c r="AJ45" s="2104" t="str">
        <f>IFERROR(INDEX('PC LIST'!N$3:N$631, MATCH($C45, 'PC LIST'!$B$3:$B$631, 0)),"")</f>
        <v/>
      </c>
    </row>
    <row r="46" spans="1:36" s="308" customFormat="1" ht="30" customHeight="1">
      <c r="A46" s="74"/>
      <c r="B46" s="289">
        <f t="shared" si="3"/>
        <v>42</v>
      </c>
      <c r="C46" s="500" t="str">
        <f>IF($P$1="Select company","",IF((HLOOKUP((VLOOKUP($P$1,Lists!$B$4:$C$26,2,FALSE)),'PC list edited'!$A$2:$EJ$65,(B46+1),FALSE))=0,"",HLOOKUP((VLOOKUP($P$1,Lists!$B$4:$C$26,2,FALSE)),'PC list edited'!$A$2:$EJ$65,(B46+1),FALSE)))</f>
        <v/>
      </c>
      <c r="D46" s="499" t="str">
        <f>IF($P$1="Select company","",IF(C46 ="","",HLOOKUP(((VLOOKUP($P$1,Lists!$B$4:$C$26,2,FALSE))&amp;"PC"),'PC list edited'!$A$2:$EJ$65,(B46+1),FALSE)))</f>
        <v/>
      </c>
      <c r="E46" s="314" t="str">
        <f>IF($P$1="Select company","",IF(C46 ="","",HLOOKUP(((VLOOKUP($P$1,Lists!$B$4:$C$26,2,FALSE))&amp;"unit"),'PC list edited'!$A$2:$EJ$65,(B46+1),FALSE)))</f>
        <v/>
      </c>
      <c r="F46" s="314" t="str">
        <f>IF($P$1="Select company","",IF(C46 ="","",HLOOKUP(((VLOOKUP($P$1,Lists!$B$4:$C$26,2,FALSE))&amp;"UnitDes"),'PC list edited'!$A$2:$EJ$65,(B46+1),FALSE)))</f>
        <v/>
      </c>
      <c r="G46" s="519" t="str">
        <f>IF($P$1="Select company","",IF(C46="","",HLOOKUP(((VLOOKUP($P$1,Lists!$B$4:$C$26,2,FALSE))&amp;"DP"),'PC list edited'!$A$2:$EJ$65,(B46+1),FALSE)))</f>
        <v/>
      </c>
      <c r="H46" s="519" t="str">
        <f>IF($P$1="Select company","",IF(C46 = "","",HLOOKUP(((VLOOKUP($P$1,Lists!$B$4:$C$26,2,FALSE))&amp;"201819Actual"),'PC list edited'!$A$2:$EJ$65,(B46+1),FALSE)))</f>
        <v/>
      </c>
      <c r="I46" s="554"/>
      <c r="J46" s="668"/>
      <c r="K46" s="503"/>
      <c r="L46" s="504"/>
      <c r="M46" s="503"/>
      <c r="N46" s="504"/>
      <c r="O46" s="2810"/>
      <c r="P46" s="2811"/>
      <c r="Q46" s="130"/>
      <c r="R46" s="507">
        <f t="shared" si="4"/>
        <v>0</v>
      </c>
      <c r="S46" s="24">
        <f t="shared" si="5"/>
        <v>0</v>
      </c>
      <c r="T46" s="70"/>
      <c r="U46" s="71"/>
      <c r="V46" s="93">
        <f t="shared" si="6"/>
        <v>0</v>
      </c>
      <c r="W46" s="93">
        <f>IF($C46="",0,IF(ISBLANK(#REF!)=FALSE,0,1))</f>
        <v>0</v>
      </c>
      <c r="X46" s="93">
        <f t="shared" si="0"/>
        <v>0</v>
      </c>
      <c r="Y46" s="93">
        <f>IF(OR(ISBLANK(L46), L46=0), 0, IF(OR(K46=Lists!$F$11, K46=Lists!$F$13), 0, 1))</f>
        <v>0</v>
      </c>
      <c r="Z46" s="93">
        <f>IF(OR($C46="", AND(NOT(K46=Lists!$F$11), NOT(K46=Lists!$F$13))),0,IF(ISBLANK(L46)=FALSE,0,1))</f>
        <v>0</v>
      </c>
      <c r="AA46" s="93">
        <f>IF(OR(ISBLANK(N46), N46=0), 0, IF(OR(M46=Lists!$F$11, M46=Lists!$F$13), 0, 1))</f>
        <v>0</v>
      </c>
      <c r="AB46" s="93">
        <f>IF(OR($C46="", AND(NOT(M46=Lists!$F$11), NOT(M46=Lists!$F$13))),0,IF(ISBLANK(N46)=FALSE,0,1))</f>
        <v>0</v>
      </c>
      <c r="AC46" s="93">
        <f>IF(OR(ISBLANK(P46), P46=0), 0, IF(OR(O46=Lists!$F$11, O46=Lists!$F$13), 0, 1))</f>
        <v>0</v>
      </c>
      <c r="AD46" s="93">
        <f>IF(OR($C46="", AND(NOT(O46=Lists!$F$11), NOT(O46=Lists!$F$13))),0,IF(ISBLANK(P46)=FALSE,0,1))</f>
        <v>0</v>
      </c>
      <c r="AE46" s="71"/>
      <c r="AF46" s="509">
        <f xml:space="preserve"> IF(OR( AND( K46 = Lists!$F$11, '3A'!L46 &lt; 0), AND( '3A'!M46 = Lists!$F$11, '3A'!N46 &lt; 0), AND( '3A'!O46 = Lists!$F$11, '3A'!P46 &lt; 0)), 1, 0)</f>
        <v>0</v>
      </c>
      <c r="AG46" s="509">
        <f xml:space="preserve"> IF( OR( AND( K46 = Lists!$F$13, '3A'!L46 &gt; 0), AND( M46 = Lists!$F$13, '3A'!N46 &gt; 0), AND( O46 = Lists!$F$13, '3A'!P46 &gt; 0 )), 1, 0)</f>
        <v>0</v>
      </c>
      <c r="AH46" s="511"/>
      <c r="AI46" s="670" t="str">
        <f>IF($P$1="Select company","",IF((HLOOKUP(((VLOOKUP($P$1,Lists!$B$4:$C$26,2,FALSE))&amp;'PC LIST'!$J$2),'PC list edited'!$A$2:$EJ$65,(B46+1),FALSE))=0,"",HLOOKUP(((VLOOKUP($P$1,Lists!$B$4:$C$26,2,FALSE))&amp; 'PC LIST'!$J$2),'PC list edited'!$A$2:$EJ$65,(B46+1),FALSE)))</f>
        <v/>
      </c>
      <c r="AJ46" s="2104" t="str">
        <f>IFERROR(INDEX('PC LIST'!N$3:N$631, MATCH($C46, 'PC LIST'!$B$3:$B$631, 0)),"")</f>
        <v/>
      </c>
    </row>
    <row r="47" spans="1:36" s="308" customFormat="1" ht="30" customHeight="1">
      <c r="A47" s="74"/>
      <c r="B47" s="289">
        <f t="shared" si="3"/>
        <v>43</v>
      </c>
      <c r="C47" s="500" t="str">
        <f>IF($P$1="Select company","",IF((HLOOKUP((VLOOKUP($P$1,Lists!$B$4:$C$26,2,FALSE)),'PC list edited'!$A$2:$EJ$65,(B47+1),FALSE))=0,"",HLOOKUP((VLOOKUP($P$1,Lists!$B$4:$C$26,2,FALSE)),'PC list edited'!$A$2:$EJ$65,(B47+1),FALSE)))</f>
        <v/>
      </c>
      <c r="D47" s="499" t="str">
        <f>IF($P$1="Select company","",IF(C47 ="","",HLOOKUP(((VLOOKUP($P$1,Lists!$B$4:$C$26,2,FALSE))&amp;"PC"),'PC list edited'!$A$2:$EJ$65,(B47+1),FALSE)))</f>
        <v/>
      </c>
      <c r="E47" s="314" t="str">
        <f>IF($P$1="Select company","",IF(C47 ="","",HLOOKUP(((VLOOKUP($P$1,Lists!$B$4:$C$26,2,FALSE))&amp;"unit"),'PC list edited'!$A$2:$EJ$65,(B47+1),FALSE)))</f>
        <v/>
      </c>
      <c r="F47" s="314" t="str">
        <f>IF($P$1="Select company","",IF(C47 ="","",HLOOKUP(((VLOOKUP($P$1,Lists!$B$4:$C$26,2,FALSE))&amp;"UnitDes"),'PC list edited'!$A$2:$EJ$65,(B47+1),FALSE)))</f>
        <v/>
      </c>
      <c r="G47" s="519" t="str">
        <f>IF($P$1="Select company","",IF(C47="","",HLOOKUP(((VLOOKUP($P$1,Lists!$B$4:$C$26,2,FALSE))&amp;"DP"),'PC list edited'!$A$2:$EJ$65,(B47+1),FALSE)))</f>
        <v/>
      </c>
      <c r="H47" s="519" t="str">
        <f>IF($P$1="Select company","",IF(C47 = "","",HLOOKUP(((VLOOKUP($P$1,Lists!$B$4:$C$26,2,FALSE))&amp;"201819Actual"),'PC list edited'!$A$2:$EJ$65,(B47+1),FALSE)))</f>
        <v/>
      </c>
      <c r="I47" s="554"/>
      <c r="J47" s="668"/>
      <c r="K47" s="503"/>
      <c r="L47" s="504"/>
      <c r="M47" s="503"/>
      <c r="N47" s="504"/>
      <c r="O47" s="2810"/>
      <c r="P47" s="2811"/>
      <c r="Q47" s="130"/>
      <c r="R47" s="507">
        <f t="shared" si="4"/>
        <v>0</v>
      </c>
      <c r="S47" s="24">
        <f t="shared" si="5"/>
        <v>0</v>
      </c>
      <c r="T47" s="70"/>
      <c r="U47" s="71"/>
      <c r="V47" s="93">
        <f t="shared" si="6"/>
        <v>0</v>
      </c>
      <c r="W47" s="93">
        <f>IF($C47="",0,IF(ISBLANK(#REF!)=FALSE,0,1))</f>
        <v>0</v>
      </c>
      <c r="X47" s="93">
        <f t="shared" si="0"/>
        <v>0</v>
      </c>
      <c r="Y47" s="93">
        <f>IF(OR(ISBLANK(L47), L47=0), 0, IF(OR(K47=Lists!$F$11, K47=Lists!$F$13), 0, 1))</f>
        <v>0</v>
      </c>
      <c r="Z47" s="93">
        <f>IF(OR($C47="", AND(NOT(K47=Lists!$F$11), NOT(K47=Lists!$F$13))),0,IF(ISBLANK(L47)=FALSE,0,1))</f>
        <v>0</v>
      </c>
      <c r="AA47" s="93">
        <f>IF(OR(ISBLANK(N47), N47=0), 0, IF(OR(M47=Lists!$F$11, M47=Lists!$F$13), 0, 1))</f>
        <v>0</v>
      </c>
      <c r="AB47" s="93">
        <f>IF(OR($C47="", AND(NOT(M47=Lists!$F$11), NOT(M47=Lists!$F$13))),0,IF(ISBLANK(N47)=FALSE,0,1))</f>
        <v>0</v>
      </c>
      <c r="AC47" s="93">
        <f>IF(OR(ISBLANK(P47), P47=0), 0, IF(OR(O47=Lists!$F$11, O47=Lists!$F$13), 0, 1))</f>
        <v>0</v>
      </c>
      <c r="AD47" s="93">
        <f>IF(OR($C47="", AND(NOT(O47=Lists!$F$11), NOT(O47=Lists!$F$13))),0,IF(ISBLANK(P47)=FALSE,0,1))</f>
        <v>0</v>
      </c>
      <c r="AE47" s="71"/>
      <c r="AF47" s="509">
        <f xml:space="preserve"> IF(OR( AND( K47 = Lists!$F$11, '3A'!L47 &lt; 0), AND( '3A'!M47 = Lists!$F$11, '3A'!N47 &lt; 0), AND( '3A'!O47 = Lists!$F$11, '3A'!P47 &lt; 0)), 1, 0)</f>
        <v>0</v>
      </c>
      <c r="AG47" s="509">
        <f xml:space="preserve"> IF( OR( AND( K47 = Lists!$F$13, '3A'!L47 &gt; 0), AND( M47 = Lists!$F$13, '3A'!N47 &gt; 0), AND( O47 = Lists!$F$13, '3A'!P47 &gt; 0 )), 1, 0)</f>
        <v>0</v>
      </c>
      <c r="AH47" s="511"/>
      <c r="AI47" s="670" t="str">
        <f>IF($P$1="Select company","",IF((HLOOKUP(((VLOOKUP($P$1,Lists!$B$4:$C$26,2,FALSE))&amp;'PC LIST'!$J$2),'PC list edited'!$A$2:$EJ$65,(B47+1),FALSE))=0,"",HLOOKUP(((VLOOKUP($P$1,Lists!$B$4:$C$26,2,FALSE))&amp; 'PC LIST'!$J$2),'PC list edited'!$A$2:$EJ$65,(B47+1),FALSE)))</f>
        <v/>
      </c>
      <c r="AJ47" s="2104" t="str">
        <f>IFERROR(INDEX('PC LIST'!N$3:N$631, MATCH($C47, 'PC LIST'!$B$3:$B$631, 0)),"")</f>
        <v/>
      </c>
    </row>
    <row r="48" spans="1:36" s="308" customFormat="1" ht="30" customHeight="1">
      <c r="A48" s="74"/>
      <c r="B48" s="289">
        <f t="shared" si="3"/>
        <v>44</v>
      </c>
      <c r="C48" s="500" t="str">
        <f>IF($P$1="Select company","",IF((HLOOKUP((VLOOKUP($P$1,Lists!$B$4:$C$26,2,FALSE)),'PC list edited'!$A$2:$EJ$65,(B48+1),FALSE))=0,"",HLOOKUP((VLOOKUP($P$1,Lists!$B$4:$C$26,2,FALSE)),'PC list edited'!$A$2:$EJ$65,(B48+1),FALSE)))</f>
        <v/>
      </c>
      <c r="D48" s="499" t="str">
        <f>IF($P$1="Select company","",IF(C48 ="","",HLOOKUP(((VLOOKUP($P$1,Lists!$B$4:$C$26,2,FALSE))&amp;"PC"),'PC list edited'!$A$2:$EJ$65,(B48+1),FALSE)))</f>
        <v/>
      </c>
      <c r="E48" s="314" t="str">
        <f>IF($P$1="Select company","",IF(C48 ="","",HLOOKUP(((VLOOKUP($P$1,Lists!$B$4:$C$26,2,FALSE))&amp;"unit"),'PC list edited'!$A$2:$EJ$65,(B48+1),FALSE)))</f>
        <v/>
      </c>
      <c r="F48" s="314" t="str">
        <f>IF($P$1="Select company","",IF(C48 ="","",HLOOKUP(((VLOOKUP($P$1,Lists!$B$4:$C$26,2,FALSE))&amp;"UnitDes"),'PC list edited'!$A$2:$EJ$65,(B48+1),FALSE)))</f>
        <v/>
      </c>
      <c r="G48" s="519" t="str">
        <f>IF($P$1="Select company","",IF(C48="","",HLOOKUP(((VLOOKUP($P$1,Lists!$B$4:$C$26,2,FALSE))&amp;"DP"),'PC list edited'!$A$2:$EJ$65,(B48+1),FALSE)))</f>
        <v/>
      </c>
      <c r="H48" s="519" t="str">
        <f>IF($P$1="Select company","",IF(C48 = "","",HLOOKUP(((VLOOKUP($P$1,Lists!$B$4:$C$26,2,FALSE))&amp;"201819Actual"),'PC list edited'!$A$2:$EJ$65,(B48+1),FALSE)))</f>
        <v/>
      </c>
      <c r="I48" s="554"/>
      <c r="J48" s="668"/>
      <c r="K48" s="503"/>
      <c r="L48" s="504"/>
      <c r="M48" s="503"/>
      <c r="N48" s="504"/>
      <c r="O48" s="2810"/>
      <c r="P48" s="2811"/>
      <c r="Q48" s="130"/>
      <c r="R48" s="507">
        <f t="shared" si="4"/>
        <v>0</v>
      </c>
      <c r="S48" s="24">
        <f t="shared" si="5"/>
        <v>0</v>
      </c>
      <c r="T48" s="70"/>
      <c r="U48" s="71"/>
      <c r="V48" s="93">
        <f t="shared" si="6"/>
        <v>0</v>
      </c>
      <c r="W48" s="93">
        <f>IF($C48="",0,IF(ISBLANK(#REF!)=FALSE,0,1))</f>
        <v>0</v>
      </c>
      <c r="X48" s="93">
        <f t="shared" si="0"/>
        <v>0</v>
      </c>
      <c r="Y48" s="93">
        <f>IF(OR(ISBLANK(L48), L48=0), 0, IF(OR(K48=Lists!$F$11, K48=Lists!$F$13), 0, 1))</f>
        <v>0</v>
      </c>
      <c r="Z48" s="93">
        <f>IF(OR($C48="", AND(NOT(K48=Lists!$F$11), NOT(K48=Lists!$F$13))),0,IF(ISBLANK(L48)=FALSE,0,1))</f>
        <v>0</v>
      </c>
      <c r="AA48" s="93">
        <f>IF(OR(ISBLANK(N48), N48=0), 0, IF(OR(M48=Lists!$F$11, M48=Lists!$F$13), 0, 1))</f>
        <v>0</v>
      </c>
      <c r="AB48" s="93">
        <f>IF(OR($C48="", AND(NOT(M48=Lists!$F$11), NOT(M48=Lists!$F$13))),0,IF(ISBLANK(N48)=FALSE,0,1))</f>
        <v>0</v>
      </c>
      <c r="AC48" s="93">
        <f>IF(OR(ISBLANK(P48), P48=0), 0, IF(OR(O48=Lists!$F$11, O48=Lists!$F$13), 0, 1))</f>
        <v>0</v>
      </c>
      <c r="AD48" s="93">
        <f>IF(OR($C48="", AND(NOT(O48=Lists!$F$11), NOT(O48=Lists!$F$13))),0,IF(ISBLANK(P48)=FALSE,0,1))</f>
        <v>0</v>
      </c>
      <c r="AE48" s="71"/>
      <c r="AF48" s="509">
        <f xml:space="preserve"> IF(OR( AND( K48 = Lists!$F$11, '3A'!L48 &lt; 0), AND( '3A'!M48 = Lists!$F$11, '3A'!N48 &lt; 0), AND( '3A'!O48 = Lists!$F$11, '3A'!P48 &lt; 0)), 1, 0)</f>
        <v>0</v>
      </c>
      <c r="AG48" s="509">
        <f xml:space="preserve"> IF( OR( AND( K48 = Lists!$F$13, '3A'!L48 &gt; 0), AND( M48 = Lists!$F$13, '3A'!N48 &gt; 0), AND( O48 = Lists!$F$13, '3A'!P48 &gt; 0 )), 1, 0)</f>
        <v>0</v>
      </c>
      <c r="AH48" s="511"/>
      <c r="AI48" s="670" t="str">
        <f>IF($P$1="Select company","",IF((HLOOKUP(((VLOOKUP($P$1,Lists!$B$4:$C$26,2,FALSE))&amp;'PC LIST'!$J$2),'PC list edited'!$A$2:$EJ$65,(B48+1),FALSE))=0,"",HLOOKUP(((VLOOKUP($P$1,Lists!$B$4:$C$26,2,FALSE))&amp; 'PC LIST'!$J$2),'PC list edited'!$A$2:$EJ$65,(B48+1),FALSE)))</f>
        <v/>
      </c>
      <c r="AJ48" s="2104" t="str">
        <f>IFERROR(INDEX('PC LIST'!N$3:N$631, MATCH($C48, 'PC LIST'!$B$3:$B$631, 0)),"")</f>
        <v/>
      </c>
    </row>
    <row r="49" spans="1:36" s="308" customFormat="1" ht="30" customHeight="1">
      <c r="A49" s="74"/>
      <c r="B49" s="289">
        <f t="shared" si="3"/>
        <v>45</v>
      </c>
      <c r="C49" s="500" t="str">
        <f>IF($P$1="Select company","",IF((HLOOKUP((VLOOKUP($P$1,Lists!$B$4:$C$26,2,FALSE)),'PC list edited'!$A$2:$EJ$65,(B49+1),FALSE))=0,"",HLOOKUP((VLOOKUP($P$1,Lists!$B$4:$C$26,2,FALSE)),'PC list edited'!$A$2:$EJ$65,(B49+1),FALSE)))</f>
        <v/>
      </c>
      <c r="D49" s="499" t="str">
        <f>IF($P$1="Select company","",IF(C49 ="","",HLOOKUP(((VLOOKUP($P$1,Lists!$B$4:$C$26,2,FALSE))&amp;"PC"),'PC list edited'!$A$2:$EJ$65,(B49+1),FALSE)))</f>
        <v/>
      </c>
      <c r="E49" s="314" t="str">
        <f>IF($P$1="Select company","",IF(C49 ="","",HLOOKUP(((VLOOKUP($P$1,Lists!$B$4:$C$26,2,FALSE))&amp;"unit"),'PC list edited'!$A$2:$EJ$65,(B49+1),FALSE)))</f>
        <v/>
      </c>
      <c r="F49" s="314" t="str">
        <f>IF($P$1="Select company","",IF(C49 ="","",HLOOKUP(((VLOOKUP($P$1,Lists!$B$4:$C$26,2,FALSE))&amp;"UnitDes"),'PC list edited'!$A$2:$EJ$65,(B49+1),FALSE)))</f>
        <v/>
      </c>
      <c r="G49" s="519" t="str">
        <f>IF($P$1="Select company","",IF(C49="","",HLOOKUP(((VLOOKUP($P$1,Lists!$B$4:$C$26,2,FALSE))&amp;"DP"),'PC list edited'!$A$2:$EJ$65,(B49+1),FALSE)))</f>
        <v/>
      </c>
      <c r="H49" s="519" t="str">
        <f>IF($P$1="Select company","",IF(C49 = "","",HLOOKUP(((VLOOKUP($P$1,Lists!$B$4:$C$26,2,FALSE))&amp;"201819Actual"),'PC list edited'!$A$2:$EJ$65,(B49+1),FALSE)))</f>
        <v/>
      </c>
      <c r="I49" s="554"/>
      <c r="J49" s="668"/>
      <c r="K49" s="503"/>
      <c r="L49" s="504"/>
      <c r="M49" s="503"/>
      <c r="N49" s="504"/>
      <c r="O49" s="2810"/>
      <c r="P49" s="2811"/>
      <c r="Q49" s="130"/>
      <c r="R49" s="507">
        <f t="shared" si="4"/>
        <v>0</v>
      </c>
      <c r="S49" s="24">
        <f t="shared" si="5"/>
        <v>0</v>
      </c>
      <c r="T49" s="70"/>
      <c r="U49" s="71"/>
      <c r="V49" s="93">
        <f t="shared" si="6"/>
        <v>0</v>
      </c>
      <c r="W49" s="93">
        <f>IF($C49="",0,IF(ISBLANK(#REF!)=FALSE,0,1))</f>
        <v>0</v>
      </c>
      <c r="X49" s="93">
        <f t="shared" si="0"/>
        <v>0</v>
      </c>
      <c r="Y49" s="93">
        <f>IF(OR(ISBLANK(L49), L49=0), 0, IF(OR(K49=Lists!$F$11, K49=Lists!$F$13), 0, 1))</f>
        <v>0</v>
      </c>
      <c r="Z49" s="93">
        <f>IF(OR($C49="", AND(NOT(K49=Lists!$F$11), NOT(K49=Lists!$F$13))),0,IF(ISBLANK(L49)=FALSE,0,1))</f>
        <v>0</v>
      </c>
      <c r="AA49" s="93">
        <f>IF(OR(ISBLANK(N49), N49=0), 0, IF(OR(M49=Lists!$F$11, M49=Lists!$F$13), 0, 1))</f>
        <v>0</v>
      </c>
      <c r="AB49" s="93">
        <f>IF(OR($C49="", AND(NOT(M49=Lists!$F$11), NOT(M49=Lists!$F$13))),0,IF(ISBLANK(N49)=FALSE,0,1))</f>
        <v>0</v>
      </c>
      <c r="AC49" s="93">
        <f>IF(OR(ISBLANK(P49), P49=0), 0, IF(OR(O49=Lists!$F$11, O49=Lists!$F$13), 0, 1))</f>
        <v>0</v>
      </c>
      <c r="AD49" s="93">
        <f>IF(OR($C49="", AND(NOT(O49=Lists!$F$11), NOT(O49=Lists!$F$13))),0,IF(ISBLANK(P49)=FALSE,0,1))</f>
        <v>0</v>
      </c>
      <c r="AE49" s="71"/>
      <c r="AF49" s="509">
        <f xml:space="preserve"> IF(OR( AND( K49 = Lists!$F$11, '3A'!L49 &lt; 0), AND( '3A'!M49 = Lists!$F$11, '3A'!N49 &lt; 0), AND( '3A'!O49 = Lists!$F$11, '3A'!P49 &lt; 0)), 1, 0)</f>
        <v>0</v>
      </c>
      <c r="AG49" s="509">
        <f xml:space="preserve"> IF( OR( AND( K49 = Lists!$F$13, '3A'!L49 &gt; 0), AND( M49 = Lists!$F$13, '3A'!N49 &gt; 0), AND( O49 = Lists!$F$13, '3A'!P49 &gt; 0 )), 1, 0)</f>
        <v>0</v>
      </c>
      <c r="AH49" s="511"/>
      <c r="AI49" s="670" t="str">
        <f>IF($P$1="Select company","",IF((HLOOKUP(((VLOOKUP($P$1,Lists!$B$4:$C$26,2,FALSE))&amp;'PC LIST'!$J$2),'PC list edited'!$A$2:$EJ$65,(B49+1),FALSE))=0,"",HLOOKUP(((VLOOKUP($P$1,Lists!$B$4:$C$26,2,FALSE))&amp; 'PC LIST'!$J$2),'PC list edited'!$A$2:$EJ$65,(B49+1),FALSE)))</f>
        <v/>
      </c>
      <c r="AJ49" s="2104" t="str">
        <f>IFERROR(INDEX('PC LIST'!N$3:N$631, MATCH($C49, 'PC LIST'!$B$3:$B$631, 0)),"")</f>
        <v/>
      </c>
    </row>
    <row r="50" spans="1:36" s="308" customFormat="1" ht="30" customHeight="1">
      <c r="A50" s="74"/>
      <c r="B50" s="289">
        <f t="shared" si="3"/>
        <v>46</v>
      </c>
      <c r="C50" s="500" t="str">
        <f>IF($P$1="Select company","",IF((HLOOKUP((VLOOKUP($P$1,Lists!$B$4:$C$26,2,FALSE)),'PC list edited'!$A$2:$EJ$65,(B50+1),FALSE))=0,"",HLOOKUP((VLOOKUP($P$1,Lists!$B$4:$C$26,2,FALSE)),'PC list edited'!$A$2:$EJ$65,(B50+1),FALSE)))</f>
        <v/>
      </c>
      <c r="D50" s="499" t="str">
        <f>IF($P$1="Select company","",IF(C50 ="","",HLOOKUP(((VLOOKUP($P$1,Lists!$B$4:$C$26,2,FALSE))&amp;"PC"),'PC list edited'!$A$2:$EJ$65,(B50+1),FALSE)))</f>
        <v/>
      </c>
      <c r="E50" s="314" t="str">
        <f>IF($P$1="Select company","",IF(C50 ="","",HLOOKUP(((VLOOKUP($P$1,Lists!$B$4:$C$26,2,FALSE))&amp;"unit"),'PC list edited'!$A$2:$EJ$65,(B50+1),FALSE)))</f>
        <v/>
      </c>
      <c r="F50" s="314" t="str">
        <f>IF($P$1="Select company","",IF(C50 ="","",HLOOKUP(((VLOOKUP($P$1,Lists!$B$4:$C$26,2,FALSE))&amp;"UnitDes"),'PC list edited'!$A$2:$EJ$65,(B50+1),FALSE)))</f>
        <v/>
      </c>
      <c r="G50" s="519" t="str">
        <f>IF($P$1="Select company","",IF(C50="","",HLOOKUP(((VLOOKUP($P$1,Lists!$B$4:$C$26,2,FALSE))&amp;"DP"),'PC list edited'!$A$2:$EJ$65,(B50+1),FALSE)))</f>
        <v/>
      </c>
      <c r="H50" s="519" t="str">
        <f>IF($P$1="Select company","",IF(C50 = "","",HLOOKUP(((VLOOKUP($P$1,Lists!$B$4:$C$26,2,FALSE))&amp;"201819Actual"),'PC list edited'!$A$2:$EJ$65,(B50+1),FALSE)))</f>
        <v/>
      </c>
      <c r="I50" s="554"/>
      <c r="J50" s="668"/>
      <c r="K50" s="503"/>
      <c r="L50" s="504"/>
      <c r="M50" s="503"/>
      <c r="N50" s="504"/>
      <c r="O50" s="2810"/>
      <c r="P50" s="2811"/>
      <c r="Q50" s="130"/>
      <c r="R50" s="507">
        <f t="shared" si="4"/>
        <v>0</v>
      </c>
      <c r="S50" s="24">
        <f t="shared" si="5"/>
        <v>0</v>
      </c>
      <c r="T50" s="70"/>
      <c r="U50" s="71"/>
      <c r="V50" s="93">
        <f t="shared" si="6"/>
        <v>0</v>
      </c>
      <c r="W50" s="93">
        <f>IF($C50="",0,IF(ISBLANK(#REF!)=FALSE,0,1))</f>
        <v>0</v>
      </c>
      <c r="X50" s="93">
        <f t="shared" ref="X50:X60" si="7">IF($C50="",0,IF(ISBLANK(J50)=FALSE,0,1))</f>
        <v>0</v>
      </c>
      <c r="Y50" s="93">
        <f>IF(OR(ISBLANK(L50), L50=0), 0, IF(OR(K50=Lists!$F$11, K50=Lists!$F$13), 0, 1))</f>
        <v>0</v>
      </c>
      <c r="Z50" s="93">
        <f>IF(OR($C50="", AND(NOT(K50=Lists!$F$11), NOT(K50=Lists!$F$13))),0,IF(ISBLANK(L50)=FALSE,0,1))</f>
        <v>0</v>
      </c>
      <c r="AA50" s="93">
        <f>IF(OR(ISBLANK(N50), N50=0), 0, IF(OR(M50=Lists!$F$11, M50=Lists!$F$13), 0, 1))</f>
        <v>0</v>
      </c>
      <c r="AB50" s="93">
        <f>IF(OR($C50="", AND(NOT(M50=Lists!$F$11), NOT(M50=Lists!$F$13))),0,IF(ISBLANK(N50)=FALSE,0,1))</f>
        <v>0</v>
      </c>
      <c r="AC50" s="93">
        <f>IF(OR(ISBLANK(P50), P50=0), 0, IF(OR(O50=Lists!$F$11, O50=Lists!$F$13), 0, 1))</f>
        <v>0</v>
      </c>
      <c r="AD50" s="93">
        <f>IF(OR($C50="", AND(NOT(O50=Lists!$F$11), NOT(O50=Lists!$F$13))),0,IF(ISBLANK(P50)=FALSE,0,1))</f>
        <v>0</v>
      </c>
      <c r="AE50" s="71"/>
      <c r="AF50" s="509">
        <f xml:space="preserve"> IF(OR( AND( K50 = Lists!$F$11, '3A'!L50 &lt; 0), AND( '3A'!M50 = Lists!$F$11, '3A'!N50 &lt; 0), AND( '3A'!O50 = Lists!$F$11, '3A'!P50 &lt; 0)), 1, 0)</f>
        <v>0</v>
      </c>
      <c r="AG50" s="509">
        <f xml:space="preserve"> IF( OR( AND( K50 = Lists!$F$13, '3A'!L50 &gt; 0), AND( M50 = Lists!$F$13, '3A'!N50 &gt; 0), AND( O50 = Lists!$F$13, '3A'!P50 &gt; 0 )), 1, 0)</f>
        <v>0</v>
      </c>
      <c r="AH50" s="511"/>
      <c r="AI50" s="670" t="str">
        <f>IF($P$1="Select company","",IF((HLOOKUP(((VLOOKUP($P$1,Lists!$B$4:$C$26,2,FALSE))&amp;'PC LIST'!$J$2),'PC list edited'!$A$2:$EJ$65,(B50+1),FALSE))=0,"",HLOOKUP(((VLOOKUP($P$1,Lists!$B$4:$C$26,2,FALSE))&amp; 'PC LIST'!$J$2),'PC list edited'!$A$2:$EJ$65,(B50+1),FALSE)))</f>
        <v/>
      </c>
      <c r="AJ50" s="2104" t="str">
        <f>IFERROR(INDEX('PC LIST'!N$3:N$631, MATCH($C50, 'PC LIST'!$B$3:$B$631, 0)),"")</f>
        <v/>
      </c>
    </row>
    <row r="51" spans="1:36" s="308" customFormat="1" ht="30" customHeight="1">
      <c r="A51" s="74"/>
      <c r="B51" s="289">
        <f t="shared" si="3"/>
        <v>47</v>
      </c>
      <c r="C51" s="500" t="str">
        <f>IF($P$1="Select company","",IF((HLOOKUP((VLOOKUP($P$1,Lists!$B$4:$C$26,2,FALSE)),'PC list edited'!$A$2:$EJ$65,(B51+1),FALSE))=0,"",HLOOKUP((VLOOKUP($P$1,Lists!$B$4:$C$26,2,FALSE)),'PC list edited'!$A$2:$EJ$65,(B51+1),FALSE)))</f>
        <v/>
      </c>
      <c r="D51" s="499" t="str">
        <f>IF($P$1="Select company","",IF(C51 ="","",HLOOKUP(((VLOOKUP($P$1,Lists!$B$4:$C$26,2,FALSE))&amp;"PC"),'PC list edited'!$A$2:$EJ$65,(B51+1),FALSE)))</f>
        <v/>
      </c>
      <c r="E51" s="314" t="str">
        <f>IF($P$1="Select company","",IF(C51 ="","",HLOOKUP(((VLOOKUP($P$1,Lists!$B$4:$C$26,2,FALSE))&amp;"unit"),'PC list edited'!$A$2:$EJ$65,(B51+1),FALSE)))</f>
        <v/>
      </c>
      <c r="F51" s="314" t="str">
        <f>IF($P$1="Select company","",IF(C51 ="","",HLOOKUP(((VLOOKUP($P$1,Lists!$B$4:$C$26,2,FALSE))&amp;"UnitDes"),'PC list edited'!$A$2:$EJ$65,(B51+1),FALSE)))</f>
        <v/>
      </c>
      <c r="G51" s="519" t="str">
        <f>IF($P$1="Select company","",IF(C51="","",HLOOKUP(((VLOOKUP($P$1,Lists!$B$4:$C$26,2,FALSE))&amp;"DP"),'PC list edited'!$A$2:$EJ$65,(B51+1),FALSE)))</f>
        <v/>
      </c>
      <c r="H51" s="519" t="str">
        <f>IF($P$1="Select company","",IF(C51 = "","",HLOOKUP(((VLOOKUP($P$1,Lists!$B$4:$C$26,2,FALSE))&amp;"201819Actual"),'PC list edited'!$A$2:$EJ$65,(B51+1),FALSE)))</f>
        <v/>
      </c>
      <c r="I51" s="554"/>
      <c r="J51" s="668"/>
      <c r="K51" s="503"/>
      <c r="L51" s="504"/>
      <c r="M51" s="503"/>
      <c r="N51" s="504"/>
      <c r="O51" s="2810"/>
      <c r="P51" s="2811"/>
      <c r="Q51" s="130"/>
      <c r="R51" s="507">
        <f t="shared" si="4"/>
        <v>0</v>
      </c>
      <c r="S51" s="24">
        <f t="shared" si="5"/>
        <v>0</v>
      </c>
      <c r="T51" s="70"/>
      <c r="U51" s="71"/>
      <c r="V51" s="93">
        <f t="shared" si="6"/>
        <v>0</v>
      </c>
      <c r="W51" s="93">
        <f>IF($C51="",0,IF(ISBLANK(#REF!)=FALSE,0,1))</f>
        <v>0</v>
      </c>
      <c r="X51" s="93">
        <f t="shared" si="7"/>
        <v>0</v>
      </c>
      <c r="Y51" s="93">
        <f>IF(OR(ISBLANK(L51), L51=0), 0, IF(OR(K51=Lists!$F$11, K51=Lists!$F$13), 0, 1))</f>
        <v>0</v>
      </c>
      <c r="Z51" s="93">
        <f>IF(OR($C51="", AND(NOT(K51=Lists!$F$11), NOT(K51=Lists!$F$13))),0,IF(ISBLANK(L51)=FALSE,0,1))</f>
        <v>0</v>
      </c>
      <c r="AA51" s="93">
        <f>IF(OR(ISBLANK(N51), N51=0), 0, IF(OR(M51=Lists!$F$11, M51=Lists!$F$13), 0, 1))</f>
        <v>0</v>
      </c>
      <c r="AB51" s="93">
        <f>IF(OR($C51="", AND(NOT(M51=Lists!$F$11), NOT(M51=Lists!$F$13))),0,IF(ISBLANK(N51)=FALSE,0,1))</f>
        <v>0</v>
      </c>
      <c r="AC51" s="93">
        <f>IF(OR(ISBLANK(P51), P51=0), 0, IF(OR(O51=Lists!$F$11, O51=Lists!$F$13), 0, 1))</f>
        <v>0</v>
      </c>
      <c r="AD51" s="93">
        <f>IF(OR($C51="", AND(NOT(O51=Lists!$F$11), NOT(O51=Lists!$F$13))),0,IF(ISBLANK(P51)=FALSE,0,1))</f>
        <v>0</v>
      </c>
      <c r="AE51" s="71"/>
      <c r="AF51" s="509">
        <f xml:space="preserve"> IF(OR( AND( K51 = Lists!$F$11, '3A'!L51 &lt; 0), AND( '3A'!M51 = Lists!$F$11, '3A'!N51 &lt; 0), AND( '3A'!O51 = Lists!$F$11, '3A'!P51 &lt; 0)), 1, 0)</f>
        <v>0</v>
      </c>
      <c r="AG51" s="509">
        <f xml:space="preserve"> IF( OR( AND( K51 = Lists!$F$13, '3A'!L51 &gt; 0), AND( M51 = Lists!$F$13, '3A'!N51 &gt; 0), AND( O51 = Lists!$F$13, '3A'!P51 &gt; 0 )), 1, 0)</f>
        <v>0</v>
      </c>
      <c r="AH51" s="511"/>
      <c r="AI51" s="670" t="str">
        <f>IF($P$1="Select company","",IF((HLOOKUP(((VLOOKUP($P$1,Lists!$B$4:$C$26,2,FALSE))&amp;'PC LIST'!$J$2),'PC list edited'!$A$2:$EJ$65,(B51+1),FALSE))=0,"",HLOOKUP(((VLOOKUP($P$1,Lists!$B$4:$C$26,2,FALSE))&amp; 'PC LIST'!$J$2),'PC list edited'!$A$2:$EJ$65,(B51+1),FALSE)))</f>
        <v/>
      </c>
      <c r="AJ51" s="2104" t="str">
        <f>IFERROR(INDEX('PC LIST'!N$3:N$631, MATCH($C51, 'PC LIST'!$B$3:$B$631, 0)),"")</f>
        <v/>
      </c>
    </row>
    <row r="52" spans="1:36" s="308" customFormat="1" ht="30" customHeight="1">
      <c r="A52" s="74"/>
      <c r="B52" s="289">
        <f t="shared" si="3"/>
        <v>48</v>
      </c>
      <c r="C52" s="500" t="str">
        <f>IF($P$1="Select company","",IF((HLOOKUP((VLOOKUP($P$1,Lists!$B$4:$C$26,2,FALSE)),'PC list edited'!$A$2:$EJ$65,(B52+1),FALSE))=0,"",HLOOKUP((VLOOKUP($P$1,Lists!$B$4:$C$26,2,FALSE)),'PC list edited'!$A$2:$EJ$65,(B52+1),FALSE)))</f>
        <v/>
      </c>
      <c r="D52" s="499" t="str">
        <f>IF($P$1="Select company","",IF(C52 ="","",HLOOKUP(((VLOOKUP($P$1,Lists!$B$4:$C$26,2,FALSE))&amp;"PC"),'PC list edited'!$A$2:$EJ$65,(B52+1),FALSE)))</f>
        <v/>
      </c>
      <c r="E52" s="314" t="str">
        <f>IF($P$1="Select company","",IF(C52 ="","",HLOOKUP(((VLOOKUP($P$1,Lists!$B$4:$C$26,2,FALSE))&amp;"unit"),'PC list edited'!$A$2:$EJ$65,(B52+1),FALSE)))</f>
        <v/>
      </c>
      <c r="F52" s="314" t="str">
        <f>IF($P$1="Select company","",IF(C52 ="","",HLOOKUP(((VLOOKUP($P$1,Lists!$B$4:$C$26,2,FALSE))&amp;"UnitDes"),'PC list edited'!$A$2:$EJ$65,(B52+1),FALSE)))</f>
        <v/>
      </c>
      <c r="G52" s="519" t="str">
        <f>IF($P$1="Select company","",IF(C52="","",HLOOKUP(((VLOOKUP($P$1,Lists!$B$4:$C$26,2,FALSE))&amp;"DP"),'PC list edited'!$A$2:$EJ$65,(B52+1),FALSE)))</f>
        <v/>
      </c>
      <c r="H52" s="519" t="str">
        <f>IF($P$1="Select company","",IF(C52 = "","",HLOOKUP(((VLOOKUP($P$1,Lists!$B$4:$C$26,2,FALSE))&amp;"201819Actual"),'PC list edited'!$A$2:$EJ$65,(B52+1),FALSE)))</f>
        <v/>
      </c>
      <c r="I52" s="554"/>
      <c r="J52" s="668"/>
      <c r="K52" s="503"/>
      <c r="L52" s="504"/>
      <c r="M52" s="503"/>
      <c r="N52" s="504"/>
      <c r="O52" s="2810"/>
      <c r="P52" s="2811"/>
      <c r="Q52" s="130"/>
      <c r="R52" s="507">
        <f t="shared" si="4"/>
        <v>0</v>
      </c>
      <c r="S52" s="24">
        <f t="shared" si="5"/>
        <v>0</v>
      </c>
      <c r="T52" s="70"/>
      <c r="U52" s="71"/>
      <c r="V52" s="93">
        <f t="shared" si="6"/>
        <v>0</v>
      </c>
      <c r="W52" s="93">
        <f>IF($C52="",0,IF(ISBLANK(#REF!)=FALSE,0,1))</f>
        <v>0</v>
      </c>
      <c r="X52" s="93">
        <f t="shared" si="7"/>
        <v>0</v>
      </c>
      <c r="Y52" s="93">
        <f>IF(OR(ISBLANK(L52), L52=0), 0, IF(OR(K52=Lists!$F$11, K52=Lists!$F$13), 0, 1))</f>
        <v>0</v>
      </c>
      <c r="Z52" s="93">
        <f>IF(OR($C52="", AND(NOT(K52=Lists!$F$11), NOT(K52=Lists!$F$13))),0,IF(ISBLANK(L52)=FALSE,0,1))</f>
        <v>0</v>
      </c>
      <c r="AA52" s="93">
        <f>IF(OR(ISBLANK(N52), N52=0), 0, IF(OR(M52=Lists!$F$11, M52=Lists!$F$13), 0, 1))</f>
        <v>0</v>
      </c>
      <c r="AB52" s="93">
        <f>IF(OR($C52="", AND(NOT(M52=Lists!$F$11), NOT(M52=Lists!$F$13))),0,IF(ISBLANK(N52)=FALSE,0,1))</f>
        <v>0</v>
      </c>
      <c r="AC52" s="93">
        <f>IF(OR(ISBLANK(P52), P52=0), 0, IF(OR(O52=Lists!$F$11, O52=Lists!$F$13), 0, 1))</f>
        <v>0</v>
      </c>
      <c r="AD52" s="93">
        <f>IF(OR($C52="", AND(NOT(O52=Lists!$F$11), NOT(O52=Lists!$F$13))),0,IF(ISBLANK(P52)=FALSE,0,1))</f>
        <v>0</v>
      </c>
      <c r="AE52" s="71"/>
      <c r="AF52" s="509">
        <f xml:space="preserve"> IF(OR( AND( K52 = Lists!$F$11, '3A'!L52 &lt; 0), AND( '3A'!M52 = Lists!$F$11, '3A'!N52 &lt; 0), AND( '3A'!O52 = Lists!$F$11, '3A'!P52 &lt; 0)), 1, 0)</f>
        <v>0</v>
      </c>
      <c r="AG52" s="509">
        <f xml:space="preserve"> IF( OR( AND( K52 = Lists!$F$13, '3A'!L52 &gt; 0), AND( M52 = Lists!$F$13, '3A'!N52 &gt; 0), AND( O52 = Lists!$F$13, '3A'!P52 &gt; 0 )), 1, 0)</f>
        <v>0</v>
      </c>
      <c r="AH52" s="511"/>
      <c r="AI52" s="670" t="str">
        <f>IF($P$1="Select company","",IF((HLOOKUP(((VLOOKUP($P$1,Lists!$B$4:$C$26,2,FALSE))&amp;'PC LIST'!$J$2),'PC list edited'!$A$2:$EJ$65,(B52+1),FALSE))=0,"",HLOOKUP(((VLOOKUP($P$1,Lists!$B$4:$C$26,2,FALSE))&amp; 'PC LIST'!$J$2),'PC list edited'!$A$2:$EJ$65,(B52+1),FALSE)))</f>
        <v/>
      </c>
      <c r="AJ52" s="2104" t="str">
        <f>IFERROR(INDEX('PC LIST'!N$3:N$631, MATCH($C52, 'PC LIST'!$B$3:$B$631, 0)),"")</f>
        <v/>
      </c>
    </row>
    <row r="53" spans="1:36" s="308" customFormat="1" ht="30" customHeight="1">
      <c r="A53" s="74"/>
      <c r="B53" s="289">
        <f t="shared" si="3"/>
        <v>49</v>
      </c>
      <c r="C53" s="500" t="str">
        <f>IF($P$1="Select company","",IF((HLOOKUP((VLOOKUP($P$1,Lists!$B$4:$C$26,2,FALSE)),'PC list edited'!$A$2:$EJ$65,(B53+1),FALSE))=0,"",HLOOKUP((VLOOKUP($P$1,Lists!$B$4:$C$26,2,FALSE)),'PC list edited'!$A$2:$EJ$65,(B53+1),FALSE)))</f>
        <v/>
      </c>
      <c r="D53" s="499" t="str">
        <f>IF($P$1="Select company","",IF(C53 ="","",HLOOKUP(((VLOOKUP($P$1,Lists!$B$4:$C$26,2,FALSE))&amp;"PC"),'PC list edited'!$A$2:$EJ$65,(B53+1),FALSE)))</f>
        <v/>
      </c>
      <c r="E53" s="314" t="str">
        <f>IF($P$1="Select company","",IF(C53 ="","",HLOOKUP(((VLOOKUP($P$1,Lists!$B$4:$C$26,2,FALSE))&amp;"unit"),'PC list edited'!$A$2:$EJ$65,(B53+1),FALSE)))</f>
        <v/>
      </c>
      <c r="F53" s="314" t="str">
        <f>IF($P$1="Select company","",IF(C53 ="","",HLOOKUP(((VLOOKUP($P$1,Lists!$B$4:$C$26,2,FALSE))&amp;"UnitDes"),'PC list edited'!$A$2:$EJ$65,(B53+1),FALSE)))</f>
        <v/>
      </c>
      <c r="G53" s="519" t="str">
        <f>IF($P$1="Select company","",IF(C53="","",HLOOKUP(((VLOOKUP($P$1,Lists!$B$4:$C$26,2,FALSE))&amp;"DP"),'PC list edited'!$A$2:$EJ$65,(B53+1),FALSE)))</f>
        <v/>
      </c>
      <c r="H53" s="519" t="str">
        <f>IF($P$1="Select company","",IF(C53 = "","",HLOOKUP(((VLOOKUP($P$1,Lists!$B$4:$C$26,2,FALSE))&amp;"201819Actual"),'PC list edited'!$A$2:$EJ$65,(B53+1),FALSE)))</f>
        <v/>
      </c>
      <c r="I53" s="554"/>
      <c r="J53" s="668"/>
      <c r="K53" s="503"/>
      <c r="L53" s="504"/>
      <c r="M53" s="503"/>
      <c r="N53" s="504"/>
      <c r="O53" s="2810"/>
      <c r="P53" s="2811"/>
      <c r="Q53" s="130"/>
      <c r="R53" s="507">
        <f t="shared" si="4"/>
        <v>0</v>
      </c>
      <c r="S53" s="24">
        <f t="shared" si="5"/>
        <v>0</v>
      </c>
      <c r="T53" s="70"/>
      <c r="U53" s="71"/>
      <c r="V53" s="93">
        <f t="shared" si="6"/>
        <v>0</v>
      </c>
      <c r="W53" s="93">
        <f>IF($C53="",0,IF(ISBLANK(#REF!)=FALSE,0,1))</f>
        <v>0</v>
      </c>
      <c r="X53" s="93">
        <f t="shared" si="7"/>
        <v>0</v>
      </c>
      <c r="Y53" s="93">
        <f>IF(OR(ISBLANK(L53), L53=0), 0, IF(OR(K53=Lists!$F$11, K53=Lists!$F$13), 0, 1))</f>
        <v>0</v>
      </c>
      <c r="Z53" s="93">
        <f>IF(OR($C53="", AND(NOT(K53=Lists!$F$11), NOT(K53=Lists!$F$13))),0,IF(ISBLANK(L53)=FALSE,0,1))</f>
        <v>0</v>
      </c>
      <c r="AA53" s="93">
        <f>IF(OR(ISBLANK(N53), N53=0), 0, IF(OR(M53=Lists!$F$11, M53=Lists!$F$13), 0, 1))</f>
        <v>0</v>
      </c>
      <c r="AB53" s="93">
        <f>IF(OR($C53="", AND(NOT(M53=Lists!$F$11), NOT(M53=Lists!$F$13))),0,IF(ISBLANK(N53)=FALSE,0,1))</f>
        <v>0</v>
      </c>
      <c r="AC53" s="93">
        <f>IF(OR(ISBLANK(P53), P53=0), 0, IF(OR(O53=Lists!$F$11, O53=Lists!$F$13), 0, 1))</f>
        <v>0</v>
      </c>
      <c r="AD53" s="93">
        <f>IF(OR($C53="", AND(NOT(O53=Lists!$F$11), NOT(O53=Lists!$F$13))),0,IF(ISBLANK(P53)=FALSE,0,1))</f>
        <v>0</v>
      </c>
      <c r="AE53" s="71"/>
      <c r="AF53" s="509">
        <f xml:space="preserve"> IF(OR( AND( K53 = Lists!$F$11, '3A'!L53 &lt; 0), AND( '3A'!M53 = Lists!$F$11, '3A'!N53 &lt; 0), AND( '3A'!O53 = Lists!$F$11, '3A'!P53 &lt; 0)), 1, 0)</f>
        <v>0</v>
      </c>
      <c r="AG53" s="509">
        <f xml:space="preserve"> IF( OR( AND( K53 = Lists!$F$13, '3A'!L53 &gt; 0), AND( M53 = Lists!$F$13, '3A'!N53 &gt; 0), AND( O53 = Lists!$F$13, '3A'!P53 &gt; 0 )), 1, 0)</f>
        <v>0</v>
      </c>
      <c r="AH53" s="511"/>
      <c r="AI53" s="670" t="str">
        <f>IF($P$1="Select company","",IF((HLOOKUP(((VLOOKUP($P$1,Lists!$B$4:$C$26,2,FALSE))&amp;'PC LIST'!$J$2),'PC list edited'!$A$2:$EJ$65,(B53+1),FALSE))=0,"",HLOOKUP(((VLOOKUP($P$1,Lists!$B$4:$C$26,2,FALSE))&amp; 'PC LIST'!$J$2),'PC list edited'!$A$2:$EJ$65,(B53+1),FALSE)))</f>
        <v/>
      </c>
      <c r="AJ53" s="2104" t="str">
        <f>IFERROR(INDEX('PC LIST'!N$3:N$631, MATCH($C53, 'PC LIST'!$B$3:$B$631, 0)),"")</f>
        <v/>
      </c>
    </row>
    <row r="54" spans="1:36" s="308" customFormat="1" ht="30" customHeight="1">
      <c r="A54" s="74"/>
      <c r="B54" s="289">
        <f t="shared" si="3"/>
        <v>50</v>
      </c>
      <c r="C54" s="500" t="str">
        <f>IF($P$1="Select company","",IF((HLOOKUP((VLOOKUP($P$1,Lists!$B$4:$C$26,2,FALSE)),'PC list edited'!$A$2:$EJ$65,(B54+1),FALSE))=0,"",HLOOKUP((VLOOKUP($P$1,Lists!$B$4:$C$26,2,FALSE)),'PC list edited'!$A$2:$EJ$65,(B54+1),FALSE)))</f>
        <v/>
      </c>
      <c r="D54" s="499" t="str">
        <f>IF($P$1="Select company","",IF(C54 ="","",HLOOKUP(((VLOOKUP($P$1,Lists!$B$4:$C$26,2,FALSE))&amp;"PC"),'PC list edited'!$A$2:$EJ$65,(B54+1),FALSE)))</f>
        <v/>
      </c>
      <c r="E54" s="314" t="str">
        <f>IF($P$1="Select company","",IF(C54 ="","",HLOOKUP(((VLOOKUP($P$1,Lists!$B$4:$C$26,2,FALSE))&amp;"unit"),'PC list edited'!$A$2:$EJ$65,(B54+1),FALSE)))</f>
        <v/>
      </c>
      <c r="F54" s="314" t="str">
        <f>IF($P$1="Select company","",IF(C54 ="","",HLOOKUP(((VLOOKUP($P$1,Lists!$B$4:$C$26,2,FALSE))&amp;"UnitDes"),'PC list edited'!$A$2:$EJ$65,(B54+1),FALSE)))</f>
        <v/>
      </c>
      <c r="G54" s="519" t="str">
        <f>IF($P$1="Select company","",IF(C54="","",HLOOKUP(((VLOOKUP($P$1,Lists!$B$4:$C$26,2,FALSE))&amp;"DP"),'PC list edited'!$A$2:$EJ$65,(B54+1),FALSE)))</f>
        <v/>
      </c>
      <c r="H54" s="519" t="str">
        <f>IF($P$1="Select company","",IF(C54 = "","",HLOOKUP(((VLOOKUP($P$1,Lists!$B$4:$C$26,2,FALSE))&amp;"201819Actual"),'PC list edited'!$A$2:$EJ$65,(B54+1),FALSE)))</f>
        <v/>
      </c>
      <c r="I54" s="554"/>
      <c r="J54" s="668"/>
      <c r="K54" s="503"/>
      <c r="L54" s="504"/>
      <c r="M54" s="503"/>
      <c r="N54" s="504"/>
      <c r="O54" s="2810"/>
      <c r="P54" s="2811"/>
      <c r="Q54" s="130"/>
      <c r="R54" s="507">
        <f t="shared" si="4"/>
        <v>0</v>
      </c>
      <c r="S54" s="24">
        <f t="shared" si="5"/>
        <v>0</v>
      </c>
      <c r="T54" s="70"/>
      <c r="U54" s="71"/>
      <c r="V54" s="93">
        <f t="shared" si="6"/>
        <v>0</v>
      </c>
      <c r="W54" s="93">
        <f>IF($C54="",0,IF(ISBLANK(#REF!)=FALSE,0,1))</f>
        <v>0</v>
      </c>
      <c r="X54" s="93">
        <f t="shared" si="7"/>
        <v>0</v>
      </c>
      <c r="Y54" s="93">
        <f>IF(OR(ISBLANK(L54), L54=0), 0, IF(OR(K54=Lists!$F$11, K54=Lists!$F$13), 0, 1))</f>
        <v>0</v>
      </c>
      <c r="Z54" s="93">
        <f>IF(OR($C54="", AND(NOT(K54=Lists!$F$11), NOT(K54=Lists!$F$13))),0,IF(ISBLANK(L54)=FALSE,0,1))</f>
        <v>0</v>
      </c>
      <c r="AA54" s="93">
        <f>IF(OR(ISBLANK(N54), N54=0), 0, IF(OR(M54=Lists!$F$11, M54=Lists!$F$13), 0, 1))</f>
        <v>0</v>
      </c>
      <c r="AB54" s="93">
        <f>IF(OR($C54="", AND(NOT(M54=Lists!$F$11), NOT(M54=Lists!$F$13))),0,IF(ISBLANK(N54)=FALSE,0,1))</f>
        <v>0</v>
      </c>
      <c r="AC54" s="93">
        <f>IF(OR(ISBLANK(P54), P54=0), 0, IF(OR(O54=Lists!$F$11, O54=Lists!$F$13), 0, 1))</f>
        <v>0</v>
      </c>
      <c r="AD54" s="93">
        <f>IF(OR($C54="", AND(NOT(O54=Lists!$F$11), NOT(O54=Lists!$F$13))),0,IF(ISBLANK(P54)=FALSE,0,1))</f>
        <v>0</v>
      </c>
      <c r="AE54" s="71"/>
      <c r="AF54" s="509">
        <f xml:space="preserve"> IF(OR( AND( K54 = Lists!$F$11, '3A'!L54 &lt; 0), AND( '3A'!M54 = Lists!$F$11, '3A'!N54 &lt; 0), AND( '3A'!O54 = Lists!$F$11, '3A'!P54 &lt; 0)), 1, 0)</f>
        <v>0</v>
      </c>
      <c r="AG54" s="509">
        <f xml:space="preserve"> IF( OR( AND( K54 = Lists!$F$13, '3A'!L54 &gt; 0), AND( M54 = Lists!$F$13, '3A'!N54 &gt; 0), AND( O54 = Lists!$F$13, '3A'!P54 &gt; 0 )), 1, 0)</f>
        <v>0</v>
      </c>
      <c r="AH54" s="511"/>
      <c r="AI54" s="670" t="str">
        <f>IF($P$1="Select company","",IF((HLOOKUP(((VLOOKUP($P$1,Lists!$B$4:$C$26,2,FALSE))&amp;'PC LIST'!$J$2),'PC list edited'!$A$2:$EJ$65,(B54+1),FALSE))=0,"",HLOOKUP(((VLOOKUP($P$1,Lists!$B$4:$C$26,2,FALSE))&amp; 'PC LIST'!$J$2),'PC list edited'!$A$2:$EJ$65,(B54+1),FALSE)))</f>
        <v/>
      </c>
      <c r="AJ54" s="2104" t="str">
        <f>IFERROR(INDEX('PC LIST'!N$3:N$631, MATCH($C54, 'PC LIST'!$B$3:$B$631, 0)),"")</f>
        <v/>
      </c>
    </row>
    <row r="55" spans="1:36" s="308" customFormat="1" ht="30" customHeight="1">
      <c r="A55" s="74"/>
      <c r="B55" s="289">
        <f t="shared" si="3"/>
        <v>51</v>
      </c>
      <c r="C55" s="500" t="str">
        <f>IF($P$1="Select company","",IF((HLOOKUP((VLOOKUP($P$1,Lists!$B$4:$C$26,2,FALSE)),'PC list edited'!$A$2:$EJ$65,(B55+1),FALSE))=0,"",HLOOKUP((VLOOKUP($P$1,Lists!$B$4:$C$26,2,FALSE)),'PC list edited'!$A$2:$EJ$65,(B55+1),FALSE)))</f>
        <v/>
      </c>
      <c r="D55" s="499" t="str">
        <f>IF($P$1="Select company","",IF(C55 ="","",HLOOKUP(((VLOOKUP($P$1,Lists!$B$4:$C$26,2,FALSE))&amp;"PC"),'PC list edited'!$A$2:$EJ$65,(B55+1),FALSE)))</f>
        <v/>
      </c>
      <c r="E55" s="314" t="str">
        <f>IF($P$1="Select company","",IF(C55 ="","",HLOOKUP(((VLOOKUP($P$1,Lists!$B$4:$C$26,2,FALSE))&amp;"unit"),'PC list edited'!$A$2:$EJ$65,(B55+1),FALSE)))</f>
        <v/>
      </c>
      <c r="F55" s="314" t="str">
        <f>IF($P$1="Select company","",IF(C55 ="","",HLOOKUP(((VLOOKUP($P$1,Lists!$B$4:$C$26,2,FALSE))&amp;"UnitDes"),'PC list edited'!$A$2:$EJ$65,(B55+1),FALSE)))</f>
        <v/>
      </c>
      <c r="G55" s="519" t="str">
        <f>IF($P$1="Select company","",IF(C55="","",HLOOKUP(((VLOOKUP($P$1,Lists!$B$4:$C$26,2,FALSE))&amp;"DP"),'PC list edited'!$A$2:$EJ$65,(B55+1),FALSE)))</f>
        <v/>
      </c>
      <c r="H55" s="519" t="str">
        <f>IF($P$1="Select company","",IF(C55 = "","",HLOOKUP(((VLOOKUP($P$1,Lists!$B$4:$C$26,2,FALSE))&amp;"201819Actual"),'PC list edited'!$A$2:$EJ$65,(B55+1),FALSE)))</f>
        <v/>
      </c>
      <c r="I55" s="554"/>
      <c r="J55" s="668"/>
      <c r="K55" s="503"/>
      <c r="L55" s="504"/>
      <c r="M55" s="503"/>
      <c r="N55" s="504"/>
      <c r="O55" s="2810"/>
      <c r="P55" s="2811"/>
      <c r="Q55" s="130"/>
      <c r="R55" s="507">
        <f t="shared" si="4"/>
        <v>0</v>
      </c>
      <c r="S55" s="24">
        <f t="shared" si="5"/>
        <v>0</v>
      </c>
      <c r="T55" s="70"/>
      <c r="U55" s="71"/>
      <c r="V55" s="93">
        <f t="shared" si="6"/>
        <v>0</v>
      </c>
      <c r="W55" s="93">
        <f>IF($C55="",0,IF(ISBLANK(#REF!)=FALSE,0,1))</f>
        <v>0</v>
      </c>
      <c r="X55" s="93">
        <f t="shared" si="7"/>
        <v>0</v>
      </c>
      <c r="Y55" s="93">
        <f>IF(OR(ISBLANK(L55), L55=0), 0, IF(OR(K55=Lists!$F$11, K55=Lists!$F$13), 0, 1))</f>
        <v>0</v>
      </c>
      <c r="Z55" s="93">
        <f>IF(OR($C55="", AND(NOT(K55=Lists!$F$11), NOT(K55=Lists!$F$13))),0,IF(ISBLANK(L55)=FALSE,0,1))</f>
        <v>0</v>
      </c>
      <c r="AA55" s="93">
        <f>IF(OR(ISBLANK(N55), N55=0), 0, IF(OR(M55=Lists!$F$11, M55=Lists!$F$13), 0, 1))</f>
        <v>0</v>
      </c>
      <c r="AB55" s="93">
        <f>IF(OR($C55="", AND(NOT(M55=Lists!$F$11), NOT(M55=Lists!$F$13))),0,IF(ISBLANK(N55)=FALSE,0,1))</f>
        <v>0</v>
      </c>
      <c r="AC55" s="93">
        <f>IF(OR(ISBLANK(P55), P55=0), 0, IF(OR(O55=Lists!$F$11, O55=Lists!$F$13), 0, 1))</f>
        <v>0</v>
      </c>
      <c r="AD55" s="93">
        <f>IF(OR($C55="", AND(NOT(O55=Lists!$F$11), NOT(O55=Lists!$F$13))),0,IF(ISBLANK(P55)=FALSE,0,1))</f>
        <v>0</v>
      </c>
      <c r="AE55" s="71"/>
      <c r="AF55" s="509">
        <f xml:space="preserve"> IF(OR( AND( K55 = Lists!$F$11, '3A'!L55 &lt; 0), AND( '3A'!M55 = Lists!$F$11, '3A'!N55 &lt; 0), AND( '3A'!O55 = Lists!$F$11, '3A'!P55 &lt; 0)), 1, 0)</f>
        <v>0</v>
      </c>
      <c r="AG55" s="509">
        <f xml:space="preserve"> IF( OR( AND( K55 = Lists!$F$13, '3A'!L55 &gt; 0), AND( M55 = Lists!$F$13, '3A'!N55 &gt; 0), AND( O55 = Lists!$F$13, '3A'!P55 &gt; 0 )), 1, 0)</f>
        <v>0</v>
      </c>
      <c r="AH55" s="511"/>
      <c r="AI55" s="670" t="str">
        <f>IF($P$1="Select company","",IF((HLOOKUP(((VLOOKUP($P$1,Lists!$B$4:$C$26,2,FALSE))&amp;'PC LIST'!$J$2),'PC list edited'!$A$2:$EJ$65,(B55+1),FALSE))=0,"",HLOOKUP(((VLOOKUP($P$1,Lists!$B$4:$C$26,2,FALSE))&amp; 'PC LIST'!$J$2),'PC list edited'!$A$2:$EJ$65,(B55+1),FALSE)))</f>
        <v/>
      </c>
      <c r="AJ55" s="2104" t="str">
        <f>IFERROR(INDEX('PC LIST'!N$3:N$631, MATCH($C55, 'PC LIST'!$B$3:$B$631, 0)),"")</f>
        <v/>
      </c>
    </row>
    <row r="56" spans="1:36" s="308" customFormat="1" ht="30" customHeight="1">
      <c r="A56" s="74"/>
      <c r="B56" s="289">
        <f t="shared" si="3"/>
        <v>52</v>
      </c>
      <c r="C56" s="500" t="str">
        <f>IF($P$1="Select company","",IF((HLOOKUP((VLOOKUP($P$1,Lists!$B$4:$C$26,2,FALSE)),'PC list edited'!$A$2:$EJ$65,(B56+1),FALSE))=0,"",HLOOKUP((VLOOKUP($P$1,Lists!$B$4:$C$26,2,FALSE)),'PC list edited'!$A$2:$EJ$65,(B56+1),FALSE)))</f>
        <v/>
      </c>
      <c r="D56" s="499" t="str">
        <f>IF($P$1="Select company","",IF(C56 ="","",HLOOKUP(((VLOOKUP($P$1,Lists!$B$4:$C$26,2,FALSE))&amp;"PC"),'PC list edited'!$A$2:$EJ$65,(B56+1),FALSE)))</f>
        <v/>
      </c>
      <c r="E56" s="314" t="str">
        <f>IF($P$1="Select company","",IF(C56 ="","",HLOOKUP(((VLOOKUP($P$1,Lists!$B$4:$C$26,2,FALSE))&amp;"unit"),'PC list edited'!$A$2:$EJ$65,(B56+1),FALSE)))</f>
        <v/>
      </c>
      <c r="F56" s="314" t="str">
        <f>IF($P$1="Select company","",IF(C56 ="","",HLOOKUP(((VLOOKUP($P$1,Lists!$B$4:$C$26,2,FALSE))&amp;"UnitDes"),'PC list edited'!$A$2:$EJ$65,(B56+1),FALSE)))</f>
        <v/>
      </c>
      <c r="G56" s="519" t="str">
        <f>IF($P$1="Select company","",IF(C56="","",HLOOKUP(((VLOOKUP($P$1,Lists!$B$4:$C$26,2,FALSE))&amp;"DP"),'PC list edited'!$A$2:$EJ$65,(B56+1),FALSE)))</f>
        <v/>
      </c>
      <c r="H56" s="519" t="str">
        <f>IF($P$1="Select company","",IF(C56 = "","",HLOOKUP(((VLOOKUP($P$1,Lists!$B$4:$C$26,2,FALSE))&amp;"201819Actual"),'PC list edited'!$A$2:$EJ$65,(B56+1),FALSE)))</f>
        <v/>
      </c>
      <c r="I56" s="554"/>
      <c r="J56" s="668"/>
      <c r="K56" s="503"/>
      <c r="L56" s="504"/>
      <c r="M56" s="503"/>
      <c r="N56" s="504"/>
      <c r="O56" s="2810"/>
      <c r="P56" s="2811"/>
      <c r="Q56" s="130"/>
      <c r="R56" s="507">
        <f t="shared" si="4"/>
        <v>0</v>
      </c>
      <c r="S56" s="24">
        <f t="shared" si="5"/>
        <v>0</v>
      </c>
      <c r="T56" s="70"/>
      <c r="U56" s="71"/>
      <c r="V56" s="93">
        <f t="shared" si="6"/>
        <v>0</v>
      </c>
      <c r="W56" s="93">
        <f>IF($C56="",0,IF(ISBLANK(#REF!)=FALSE,0,1))</f>
        <v>0</v>
      </c>
      <c r="X56" s="93">
        <f t="shared" si="7"/>
        <v>0</v>
      </c>
      <c r="Y56" s="93">
        <f>IF(OR(ISBLANK(L56), L56=0), 0, IF(OR(K56=Lists!$F$11, K56=Lists!$F$13), 0, 1))</f>
        <v>0</v>
      </c>
      <c r="Z56" s="93">
        <f>IF(OR($C56="", AND(NOT(K56=Lists!$F$11), NOT(K56=Lists!$F$13))),0,IF(ISBLANK(L56)=FALSE,0,1))</f>
        <v>0</v>
      </c>
      <c r="AA56" s="93">
        <f>IF(OR(ISBLANK(N56), N56=0), 0, IF(OR(M56=Lists!$F$11, M56=Lists!$F$13), 0, 1))</f>
        <v>0</v>
      </c>
      <c r="AB56" s="93">
        <f>IF(OR($C56="", AND(NOT(M56=Lists!$F$11), NOT(M56=Lists!$F$13))),0,IF(ISBLANK(N56)=FALSE,0,1))</f>
        <v>0</v>
      </c>
      <c r="AC56" s="93">
        <f>IF(OR(ISBLANK(P56), P56=0), 0, IF(OR(O56=Lists!$F$11, O56=Lists!$F$13), 0, 1))</f>
        <v>0</v>
      </c>
      <c r="AD56" s="93">
        <f>IF(OR($C56="", AND(NOT(O56=Lists!$F$11), NOT(O56=Lists!$F$13))),0,IF(ISBLANK(P56)=FALSE,0,1))</f>
        <v>0</v>
      </c>
      <c r="AE56" s="71"/>
      <c r="AF56" s="509">
        <f xml:space="preserve"> IF(OR( AND( K56 = Lists!$F$11, '3A'!L56 &lt; 0), AND( '3A'!M56 = Lists!$F$11, '3A'!N56 &lt; 0), AND( '3A'!O56 = Lists!$F$11, '3A'!P56 &lt; 0)), 1, 0)</f>
        <v>0</v>
      </c>
      <c r="AG56" s="509">
        <f xml:space="preserve"> IF( OR( AND( K56 = Lists!$F$13, '3A'!L56 &gt; 0), AND( M56 = Lists!$F$13, '3A'!N56 &gt; 0), AND( O56 = Lists!$F$13, '3A'!P56 &gt; 0 )), 1, 0)</f>
        <v>0</v>
      </c>
      <c r="AH56" s="511"/>
      <c r="AI56" s="670" t="str">
        <f>IF($P$1="Select company","",IF((HLOOKUP(((VLOOKUP($P$1,Lists!$B$4:$C$26,2,FALSE))&amp;'PC LIST'!$J$2),'PC list edited'!$A$2:$EJ$65,(B56+1),FALSE))=0,"",HLOOKUP(((VLOOKUP($P$1,Lists!$B$4:$C$26,2,FALSE))&amp; 'PC LIST'!$J$2),'PC list edited'!$A$2:$EJ$65,(B56+1),FALSE)))</f>
        <v/>
      </c>
      <c r="AJ56" s="2104" t="str">
        <f>IFERROR(INDEX('PC LIST'!N$3:N$631, MATCH($C56, 'PC LIST'!$B$3:$B$631, 0)),"")</f>
        <v/>
      </c>
    </row>
    <row r="57" spans="1:36" s="315" customFormat="1" ht="30" customHeight="1">
      <c r="A57" s="262"/>
      <c r="B57" s="289">
        <f t="shared" si="3"/>
        <v>53</v>
      </c>
      <c r="C57" s="500" t="str">
        <f>IF($P$1="Select company","",IF((HLOOKUP((VLOOKUP($P$1,Lists!$B$4:$C$26,2,FALSE)),'PC list edited'!$A$2:$EJ$65,(B57+1),FALSE))=0,"",HLOOKUP((VLOOKUP($P$1,Lists!$B$4:$C$26,2,FALSE)),'PC list edited'!$A$2:$EJ$65,(B57+1),FALSE)))</f>
        <v/>
      </c>
      <c r="D57" s="499" t="str">
        <f>IF($P$1="Select company","",IF(C57 ="","",HLOOKUP(((VLOOKUP($P$1,Lists!$B$4:$C$26,2,FALSE))&amp;"PC"),'PC list edited'!$A$2:$EJ$65,(B57+1),FALSE)))</f>
        <v/>
      </c>
      <c r="E57" s="314" t="str">
        <f>IF($P$1="Select company","",IF(C57 ="","",HLOOKUP(((VLOOKUP($P$1,Lists!$B$4:$C$26,2,FALSE))&amp;"unit"),'PC list edited'!$A$2:$EJ$65,(B57+1),FALSE)))</f>
        <v/>
      </c>
      <c r="F57" s="314" t="str">
        <f>IF($P$1="Select company","",IF(C57 ="","",HLOOKUP(((VLOOKUP($P$1,Lists!$B$4:$C$26,2,FALSE))&amp;"UnitDes"),'PC list edited'!$A$2:$EJ$65,(B57+1),FALSE)))</f>
        <v/>
      </c>
      <c r="G57" s="519" t="str">
        <f>IF($P$1="Select company","",IF(C57="","",HLOOKUP(((VLOOKUP($P$1,Lists!$B$4:$C$26,2,FALSE))&amp;"DP"),'PC list edited'!$A$2:$EJ$65,(B57+1),FALSE)))</f>
        <v/>
      </c>
      <c r="H57" s="519" t="str">
        <f>IF($P$1="Select company","",IF(C57 = "","",HLOOKUP(((VLOOKUP($P$1,Lists!$B$4:$C$26,2,FALSE))&amp;"201819Actual"),'PC list edited'!$A$2:$EJ$65,(B57+1),FALSE)))</f>
        <v/>
      </c>
      <c r="I57" s="554"/>
      <c r="J57" s="668"/>
      <c r="K57" s="503"/>
      <c r="L57" s="504"/>
      <c r="M57" s="503"/>
      <c r="N57" s="504"/>
      <c r="O57" s="2810"/>
      <c r="P57" s="2811"/>
      <c r="Q57" s="130"/>
      <c r="R57" s="507">
        <f t="shared" si="4"/>
        <v>0</v>
      </c>
      <c r="S57" s="24">
        <f t="shared" si="5"/>
        <v>0</v>
      </c>
      <c r="T57" s="70"/>
      <c r="U57" s="71"/>
      <c r="V57" s="93">
        <f t="shared" si="6"/>
        <v>0</v>
      </c>
      <c r="W57" s="93">
        <f>IF($C57="",0,IF(ISBLANK(#REF!)=FALSE,0,1))</f>
        <v>0</v>
      </c>
      <c r="X57" s="93">
        <f t="shared" si="7"/>
        <v>0</v>
      </c>
      <c r="Y57" s="93">
        <f>IF(OR(ISBLANK(L57), L57=0), 0, IF(OR(K57=Lists!$F$11, K57=Lists!$F$13), 0, 1))</f>
        <v>0</v>
      </c>
      <c r="Z57" s="93">
        <f>IF(OR($C57="", AND(NOT(K57=Lists!$F$11), NOT(K57=Lists!$F$13))),0,IF(ISBLANK(L57)=FALSE,0,1))</f>
        <v>0</v>
      </c>
      <c r="AA57" s="93">
        <f>IF(OR(ISBLANK(N57), N57=0), 0, IF(OR(M57=Lists!$F$11, M57=Lists!$F$13), 0, 1))</f>
        <v>0</v>
      </c>
      <c r="AB57" s="93">
        <f>IF(OR($C57="", AND(NOT(M57=Lists!$F$11), NOT(M57=Lists!$F$13))),0,IF(ISBLANK(N57)=FALSE,0,1))</f>
        <v>0</v>
      </c>
      <c r="AC57" s="93">
        <f>IF(OR(ISBLANK(P57), P57=0), 0, IF(OR(O57=Lists!$F$11, O57=Lists!$F$13), 0, 1))</f>
        <v>0</v>
      </c>
      <c r="AD57" s="93">
        <f>IF(OR($C57="", AND(NOT(O57=Lists!$F$11), NOT(O57=Lists!$F$13))),0,IF(ISBLANK(P57)=FALSE,0,1))</f>
        <v>0</v>
      </c>
      <c r="AE57" s="71"/>
      <c r="AF57" s="509">
        <f xml:space="preserve"> IF(OR( AND( K57 = Lists!$F$11, '3A'!L57 &lt; 0), AND( '3A'!M57 = Lists!$F$11, '3A'!N57 &lt; 0), AND( '3A'!O57 = Lists!$F$11, '3A'!P57 &lt; 0)), 1, 0)</f>
        <v>0</v>
      </c>
      <c r="AG57" s="509">
        <f xml:space="preserve"> IF( OR( AND( K57 = Lists!$F$13, '3A'!L57 &gt; 0), AND( M57 = Lists!$F$13, '3A'!N57 &gt; 0), AND( O57 = Lists!$F$13, '3A'!P57 &gt; 0 )), 1, 0)</f>
        <v>0</v>
      </c>
      <c r="AH57" s="512"/>
      <c r="AI57" s="670" t="str">
        <f>IF($P$1="Select company","",IF((HLOOKUP(((VLOOKUP($P$1,Lists!$B$4:$C$26,2,FALSE))&amp;'PC LIST'!$J$2),'PC list edited'!$A$2:$EJ$65,(B57+1),FALSE))=0,"",HLOOKUP(((VLOOKUP($P$1,Lists!$B$4:$C$26,2,FALSE))&amp; 'PC LIST'!$J$2),'PC list edited'!$A$2:$EJ$65,(B57+1),FALSE)))</f>
        <v/>
      </c>
      <c r="AJ57" s="2104" t="str">
        <f>IFERROR(INDEX('PC LIST'!N$3:N$631, MATCH($C57, 'PC LIST'!$B$3:$B$631, 0)),"")</f>
        <v/>
      </c>
    </row>
    <row r="58" spans="1:36" s="315" customFormat="1" ht="30" customHeight="1">
      <c r="A58" s="262"/>
      <c r="B58" s="289">
        <f t="shared" si="3"/>
        <v>54</v>
      </c>
      <c r="C58" s="500" t="str">
        <f>IF($P$1="Select company","",IF((HLOOKUP((VLOOKUP($P$1,Lists!$B$4:$C$26,2,FALSE)),'PC list edited'!$A$2:$EJ$65,(B58+1),FALSE))=0,"",HLOOKUP((VLOOKUP($P$1,Lists!$B$4:$C$26,2,FALSE)),'PC list edited'!$A$2:$EJ$65,(B58+1),FALSE)))</f>
        <v/>
      </c>
      <c r="D58" s="499" t="str">
        <f>IF($P$1="Select company","",IF(C58 ="","",HLOOKUP(((VLOOKUP($P$1,Lists!$B$4:$C$26,2,FALSE))&amp;"PC"),'PC list edited'!$A$2:$EJ$65,(B58+1),FALSE)))</f>
        <v/>
      </c>
      <c r="E58" s="314" t="str">
        <f>IF($P$1="Select company","",IF(C58 ="","",HLOOKUP(((VLOOKUP($P$1,Lists!$B$4:$C$26,2,FALSE))&amp;"unit"),'PC list edited'!$A$2:$EJ$65,(B58+1),FALSE)))</f>
        <v/>
      </c>
      <c r="F58" s="314" t="str">
        <f>IF($P$1="Select company","",IF(C58 ="","",HLOOKUP(((VLOOKUP($P$1,Lists!$B$4:$C$26,2,FALSE))&amp;"UnitDes"),'PC list edited'!$A$2:$EJ$65,(B58+1),FALSE)))</f>
        <v/>
      </c>
      <c r="G58" s="519" t="str">
        <f>IF($P$1="Select company","",IF(C58="","",HLOOKUP(((VLOOKUP($P$1,Lists!$B$4:$C$26,2,FALSE))&amp;"DP"),'PC list edited'!$A$2:$EJ$65,(B58+1),FALSE)))</f>
        <v/>
      </c>
      <c r="H58" s="519" t="str">
        <f>IF($P$1="Select company","",IF(C58 = "","",HLOOKUP(((VLOOKUP($P$1,Lists!$B$4:$C$26,2,FALSE))&amp;"201819Actual"),'PC list edited'!$A$2:$EJ$65,(B58+1),FALSE)))</f>
        <v/>
      </c>
      <c r="I58" s="554"/>
      <c r="J58" s="668"/>
      <c r="K58" s="503"/>
      <c r="L58" s="504"/>
      <c r="M58" s="503"/>
      <c r="N58" s="504"/>
      <c r="O58" s="2810"/>
      <c r="P58" s="2811"/>
      <c r="Q58" s="130"/>
      <c r="R58" s="507"/>
      <c r="S58" s="24">
        <f t="shared" ref="S58" si="8" xml:space="preserve"> IF( SUM( U58:AE58 ) = 0, 0, $V$3 )</f>
        <v>0</v>
      </c>
      <c r="T58" s="70"/>
      <c r="U58" s="71"/>
      <c r="V58" s="93">
        <f t="shared" ref="V58" si="9">IF($C58="",0,IF(ISBLANK(I58)=FALSE,0,1))</f>
        <v>0</v>
      </c>
      <c r="W58" s="93">
        <f>IF($C58="",0,IF(ISBLANK(#REF!)=FALSE,0,1))</f>
        <v>0</v>
      </c>
      <c r="X58" s="93">
        <f t="shared" ref="X58" si="10">IF($C58="",0,IF(ISBLANK(J58)=FALSE,0,1))</f>
        <v>0</v>
      </c>
      <c r="Y58" s="93">
        <f>IF(OR(ISBLANK(L58), L58=0), 0, IF(OR(K58=Lists!$F$11, K58=Lists!$F$13), 0, 1))</f>
        <v>0</v>
      </c>
      <c r="Z58" s="93">
        <f>IF(OR($C58="", AND(NOT(K58=Lists!$F$11), NOT(K58=Lists!$F$13))),0,IF(ISBLANK(L58)=FALSE,0,1))</f>
        <v>0</v>
      </c>
      <c r="AA58" s="93">
        <f>IF(OR(ISBLANK(N58), N58=0), 0, IF(OR(M58=Lists!$F$11, M58=Lists!$F$13), 0, 1))</f>
        <v>0</v>
      </c>
      <c r="AB58" s="93">
        <f>IF(OR($C58="", AND(NOT(M58=Lists!$F$11), NOT(M58=Lists!$F$13))),0,IF(ISBLANK(N58)=FALSE,0,1))</f>
        <v>0</v>
      </c>
      <c r="AC58" s="93">
        <f>IF(OR(ISBLANK(P58), P58=0), 0, IF(OR(O58=Lists!$F$11, O58=Lists!$F$13), 0, 1))</f>
        <v>0</v>
      </c>
      <c r="AD58" s="93">
        <f>IF(OR($C58="", AND(NOT(O58=Lists!$F$11), NOT(O58=Lists!$F$13))),0,IF(ISBLANK(P58)=FALSE,0,1))</f>
        <v>0</v>
      </c>
      <c r="AE58" s="71"/>
      <c r="AF58" s="509">
        <f xml:space="preserve"> IF(OR( AND( K58 = Lists!$F$11, '3A'!L58 &lt; 0), AND( '3A'!M58 = Lists!$F$11, '3A'!N58 &lt; 0), AND( '3A'!O58 = Lists!$F$11, '3A'!P58 &lt; 0)), 1, 0)</f>
        <v>0</v>
      </c>
      <c r="AG58" s="509">
        <f xml:space="preserve"> IF( OR( AND( K58 = Lists!$F$13, '3A'!L58 &gt; 0), AND( M58 = Lists!$F$13, '3A'!N58 &gt; 0), AND( O58 = Lists!$F$13, '3A'!P58 &gt; 0 )), 1, 0)</f>
        <v>0</v>
      </c>
      <c r="AH58" s="512"/>
      <c r="AI58" s="670"/>
      <c r="AJ58" s="2104" t="str">
        <f>IFERROR(INDEX('PC LIST'!N$3:N$631, MATCH($C58, 'PC LIST'!$B$3:$B$631, 0)),"")</f>
        <v/>
      </c>
    </row>
    <row r="59" spans="1:36" s="315" customFormat="1" ht="30" customHeight="1">
      <c r="A59" s="262"/>
      <c r="B59" s="289">
        <f t="shared" si="3"/>
        <v>55</v>
      </c>
      <c r="C59" s="500" t="str">
        <f>IF($P$1="Select company","",IF((HLOOKUP((VLOOKUP($P$1,Lists!$B$4:$C$26,2,FALSE)),'PC list edited'!$A$2:$EJ$65,(B59+1),FALSE))=0,"",HLOOKUP((VLOOKUP($P$1,Lists!$B$4:$C$26,2,FALSE)),'PC list edited'!$A$2:$EJ$65,(B59+1),FALSE)))</f>
        <v/>
      </c>
      <c r="D59" s="499" t="str">
        <f>IF($P$1="Select company","",IF(C59 ="","",HLOOKUP(((VLOOKUP($P$1,Lists!$B$4:$C$26,2,FALSE))&amp;"PC"),'PC list edited'!$A$2:$EJ$65,(B59+1),FALSE)))</f>
        <v/>
      </c>
      <c r="E59" s="314" t="str">
        <f>IF($P$1="Select company","",IF(C59 ="","",HLOOKUP(((VLOOKUP($P$1,Lists!$B$4:$C$26,2,FALSE))&amp;"unit"),'PC list edited'!$A$2:$EJ$65,(B59+1),FALSE)))</f>
        <v/>
      </c>
      <c r="F59" s="314" t="str">
        <f>IF($P$1="Select company","",IF(C59 ="","",HLOOKUP(((VLOOKUP($P$1,Lists!$B$4:$C$26,2,FALSE))&amp;"UnitDes"),'PC list edited'!$A$2:$EJ$65,(B59+1),FALSE)))</f>
        <v/>
      </c>
      <c r="G59" s="519" t="str">
        <f>IF($P$1="Select company","",IF(C59="","",HLOOKUP(((VLOOKUP($P$1,Lists!$B$4:$C$26,2,FALSE))&amp;"DP"),'PC list edited'!$A$2:$EJ$65,(B59+1),FALSE)))</f>
        <v/>
      </c>
      <c r="H59" s="519" t="str">
        <f>IF($P$1="Select company","",IF(C59 = "","",HLOOKUP(((VLOOKUP($P$1,Lists!$B$4:$C$26,2,FALSE))&amp;"201819Actual"),'PC list edited'!$A$2:$EJ$65,(B59+1),FALSE)))</f>
        <v/>
      </c>
      <c r="I59" s="554"/>
      <c r="J59" s="668"/>
      <c r="K59" s="503"/>
      <c r="L59" s="504"/>
      <c r="M59" s="503"/>
      <c r="N59" s="504"/>
      <c r="O59" s="2810"/>
      <c r="P59" s="2811"/>
      <c r="Q59" s="130"/>
      <c r="R59" s="507">
        <f t="shared" si="4"/>
        <v>0</v>
      </c>
      <c r="S59" s="24">
        <f t="shared" si="5"/>
        <v>0</v>
      </c>
      <c r="T59" s="70"/>
      <c r="U59" s="71"/>
      <c r="V59" s="93">
        <f t="shared" si="6"/>
        <v>0</v>
      </c>
      <c r="W59" s="93">
        <f>IF($C59="",0,IF(ISBLANK(#REF!)=FALSE,0,1))</f>
        <v>0</v>
      </c>
      <c r="X59" s="93">
        <f t="shared" si="7"/>
        <v>0</v>
      </c>
      <c r="Y59" s="93">
        <f>IF(OR(ISBLANK(L59), L59=0), 0, IF(OR(K59=Lists!$F$11, K59=Lists!$F$13), 0, 1))</f>
        <v>0</v>
      </c>
      <c r="Z59" s="93">
        <f>IF(OR($C59="", AND(NOT(K59=Lists!$F$11), NOT(K59=Lists!$F$13))),0,IF(ISBLANK(L59)=FALSE,0,1))</f>
        <v>0</v>
      </c>
      <c r="AA59" s="93">
        <f>IF(OR(ISBLANK(N59), N59=0), 0, IF(OR(M59=Lists!$F$11, M59=Lists!$F$13), 0, 1))</f>
        <v>0</v>
      </c>
      <c r="AB59" s="93">
        <f>IF(OR($C59="", AND(NOT(M59=Lists!$F$11), NOT(M59=Lists!$F$13))),0,IF(ISBLANK(N59)=FALSE,0,1))</f>
        <v>0</v>
      </c>
      <c r="AC59" s="93">
        <f>IF(OR(ISBLANK(P59), P59=0), 0, IF(OR(O59=Lists!$F$11, O59=Lists!$F$13), 0, 1))</f>
        <v>0</v>
      </c>
      <c r="AD59" s="93">
        <f>IF(OR($C59="", AND(NOT(O59=Lists!$F$11), NOT(O59=Lists!$F$13))),0,IF(ISBLANK(P59)=FALSE,0,1))</f>
        <v>0</v>
      </c>
      <c r="AE59" s="71"/>
      <c r="AF59" s="509">
        <f xml:space="preserve"> IF(OR( AND( K59 = Lists!$F$11, '3A'!L59 &lt; 0), AND( '3A'!M59 = Lists!$F$11, '3A'!N59 &lt; 0), AND( '3A'!O59 = Lists!$F$11, '3A'!P59 &lt; 0)), 1, 0)</f>
        <v>0</v>
      </c>
      <c r="AG59" s="509">
        <f xml:space="preserve"> IF( OR( AND( K59 = Lists!$F$13, '3A'!L59 &gt; 0), AND( M59 = Lists!$F$13, '3A'!N59 &gt; 0), AND( O59 = Lists!$F$13, '3A'!P59 &gt; 0 )), 1, 0)</f>
        <v>0</v>
      </c>
      <c r="AH59" s="512"/>
      <c r="AI59" s="670" t="str">
        <f>IF($P$1="Select company","",IF((HLOOKUP(((VLOOKUP($P$1,Lists!$B$4:$C$26,2,FALSE))&amp;'PC LIST'!$J$2),'PC list edited'!$A$2:$EJ$65,(B59+1),FALSE))=0,"",HLOOKUP(((VLOOKUP($P$1,Lists!$B$4:$C$26,2,FALSE))&amp; 'PC LIST'!$J$2),'PC list edited'!$A$2:$EJ$65,(B59+1),FALSE)))</f>
        <v/>
      </c>
      <c r="AJ59" s="2104" t="str">
        <f>IFERROR(INDEX('PC LIST'!N$3:N$631, MATCH($C59, 'PC LIST'!$B$3:$B$631, 0)),"")</f>
        <v/>
      </c>
    </row>
    <row r="60" spans="1:36" s="315" customFormat="1" ht="30" customHeight="1" thickBot="1">
      <c r="A60" s="262"/>
      <c r="B60" s="290">
        <f t="shared" si="3"/>
        <v>56</v>
      </c>
      <c r="C60" s="653" t="str">
        <f>IF($P$1="Select company","",IF((HLOOKUP((VLOOKUP($P$1,Lists!$B$4:$C$26,2,FALSE)),'PC list edited'!$A$2:$EJ$65,(B60+1),FALSE))=0,"",HLOOKUP((VLOOKUP($P$1,Lists!$B$4:$C$26,2,FALSE)),'PC list edited'!$A$2:$EJ$65,(B60+1),FALSE)))</f>
        <v/>
      </c>
      <c r="D60" s="638" t="str">
        <f>IF($P$1="Select company","",IF(C60 ="","",HLOOKUP(((VLOOKUP($P$1,Lists!$B$4:$C$26,2,FALSE))&amp;"PC"),'PC list edited'!$A$2:$EJ$65,(B60+1),FALSE)))</f>
        <v/>
      </c>
      <c r="E60" s="316" t="str">
        <f>IF($P$1="Select company","",IF(C60 ="","",HLOOKUP(((VLOOKUP($P$1,Lists!$B$4:$C$26,2,FALSE))&amp;"unit"),'PC list edited'!$A$2:$EJ$65,(B60+1),FALSE)))</f>
        <v/>
      </c>
      <c r="F60" s="316" t="str">
        <f>IF($P$1="Select company","",IF(C60 ="","",HLOOKUP(((VLOOKUP($P$1,Lists!$B$4:$C$26,2,FALSE))&amp;"UnitDes"),'PC list edited'!$A$2:$EJ$65,(B60+1),FALSE)))</f>
        <v/>
      </c>
      <c r="G60" s="654" t="str">
        <f>IF($P$1="Select company","",IF(C60="","",HLOOKUP(((VLOOKUP($P$1,Lists!$B$4:$C$26,2,FALSE))&amp;"DP"),'PC list edited'!$A$2:$EJ$65,(B60+1),FALSE)))</f>
        <v/>
      </c>
      <c r="H60" s="654" t="str">
        <f>IF($P$1="Select company","",IF(C60 = "","",HLOOKUP(((VLOOKUP($P$1,Lists!$B$4:$C$26,2,FALSE))&amp;"201819Actual"),'PC list edited'!$A$2:$EJ$65,(B60+1),FALSE)))</f>
        <v/>
      </c>
      <c r="I60" s="556"/>
      <c r="J60" s="669"/>
      <c r="K60" s="505"/>
      <c r="L60" s="506"/>
      <c r="M60" s="505"/>
      <c r="N60" s="506"/>
      <c r="O60" s="2812"/>
      <c r="P60" s="2813"/>
      <c r="Q60" s="130"/>
      <c r="R60" s="507">
        <f t="shared" si="4"/>
        <v>0</v>
      </c>
      <c r="S60" s="24">
        <f t="shared" si="5"/>
        <v>0</v>
      </c>
      <c r="T60" s="70"/>
      <c r="U60" s="71"/>
      <c r="V60" s="93">
        <f t="shared" si="6"/>
        <v>0</v>
      </c>
      <c r="W60" s="93">
        <f>IF($C60="",0,IF(ISBLANK(#REF!)=FALSE,0,1))</f>
        <v>0</v>
      </c>
      <c r="X60" s="93">
        <f t="shared" si="7"/>
        <v>0</v>
      </c>
      <c r="Y60" s="93">
        <f>IF(OR(ISBLANK(L60), L60=0), 0, IF(OR(K60=Lists!$F$11, K60=Lists!$F$13), 0, 1))</f>
        <v>0</v>
      </c>
      <c r="Z60" s="93">
        <f>IF(OR($C60="", AND(NOT(K60=Lists!$F$11), NOT(K60=Lists!$F$13))),0,IF(ISBLANK(L60)=FALSE,0,1))</f>
        <v>0</v>
      </c>
      <c r="AA60" s="93">
        <f>IF(OR(ISBLANK(N60), N60=0), 0, IF(OR(M60=Lists!$F$11, M60=Lists!$F$13), 0, 1))</f>
        <v>0</v>
      </c>
      <c r="AB60" s="93">
        <f>IF(OR($C60="", AND(NOT(M60=Lists!$F$11), NOT(M60=Lists!$F$13))),0,IF(ISBLANK(N60)=FALSE,0,1))</f>
        <v>0</v>
      </c>
      <c r="AC60" s="93">
        <f>IF(OR(ISBLANK(P60), P60=0), 0, IF(OR(O60=Lists!$F$11, O60=Lists!$F$13), 0, 1))</f>
        <v>0</v>
      </c>
      <c r="AD60" s="93">
        <f>IF(OR($C60="", AND(NOT(O60=Lists!$F$11), NOT(O60=Lists!$F$13))),0,IF(ISBLANK(P60)=FALSE,0,1))</f>
        <v>0</v>
      </c>
      <c r="AE60" s="71"/>
      <c r="AF60" s="509">
        <f xml:space="preserve"> IF(OR( AND( K60 = Lists!$F$11, '3A'!L60 &lt; 0), AND( '3A'!M60 = Lists!$F$11, '3A'!N60 &lt; 0), AND( '3A'!O60 = Lists!$F$11, '3A'!P60 &lt; 0)), 1, 0)</f>
        <v>0</v>
      </c>
      <c r="AG60" s="509">
        <f xml:space="preserve"> IF( OR( AND( K60 = Lists!$F$13, '3A'!L60 &gt; 0), AND( M60 = Lists!$F$13, '3A'!N60 &gt; 0), AND( O60 = Lists!$F$13, '3A'!P60 &gt; 0 )), 1, 0)</f>
        <v>0</v>
      </c>
      <c r="AH60" s="512"/>
      <c r="AI60" s="670" t="str">
        <f>IF($P$1="Select company","",IF((HLOOKUP(((VLOOKUP($P$1,Lists!$B$4:$C$26,2,FALSE))&amp;'PC LIST'!$J$2),'PC list edited'!$A$2:$EJ$65,(B60+1),FALSE))=0,"",HLOOKUP(((VLOOKUP($P$1,Lists!$B$4:$C$26,2,FALSE))&amp; 'PC LIST'!$J$2),'PC list edited'!$A$2:$EJ$65,(B60+1),FALSE)))</f>
        <v/>
      </c>
      <c r="AJ60" s="2104" t="str">
        <f>IFERROR(INDEX('PC LIST'!N$3:N$631, MATCH($C60, 'PC LIST'!$B$3:$B$631, 0)),"")</f>
        <v/>
      </c>
    </row>
    <row r="61" spans="1:36" s="315" customFormat="1">
      <c r="A61" s="262"/>
      <c r="B61" s="270"/>
      <c r="C61" s="270"/>
      <c r="D61" s="317"/>
      <c r="E61" s="163"/>
      <c r="F61" s="163"/>
      <c r="G61" s="163"/>
      <c r="H61" s="163"/>
      <c r="I61" s="717"/>
      <c r="J61" s="317"/>
      <c r="K61" s="317"/>
      <c r="L61" s="317"/>
      <c r="M61" s="317"/>
      <c r="N61" s="317"/>
      <c r="O61" s="317"/>
      <c r="P61" s="317"/>
      <c r="Q61" s="130"/>
      <c r="R61" s="130"/>
      <c r="S61" s="70"/>
      <c r="T61" s="70"/>
      <c r="U61" s="71"/>
      <c r="V61" s="70"/>
      <c r="W61" s="70"/>
      <c r="X61" s="70"/>
      <c r="Y61" s="70"/>
      <c r="Z61" s="70"/>
      <c r="AA61" s="70"/>
      <c r="AB61" s="70"/>
      <c r="AC61" s="70"/>
      <c r="AD61" s="70"/>
      <c r="AE61" s="71"/>
      <c r="AH61" s="512"/>
      <c r="AJ61" s="2105"/>
    </row>
    <row r="62" spans="1:36" s="163" customFormat="1">
      <c r="A62" s="318"/>
      <c r="B62" s="2823" t="s">
        <v>241</v>
      </c>
      <c r="C62" s="2823"/>
      <c r="I62" s="718"/>
      <c r="P62" s="126"/>
      <c r="Q62" s="70"/>
      <c r="R62" s="70"/>
      <c r="S62" s="70"/>
      <c r="T62" s="70"/>
      <c r="U62" s="71"/>
      <c r="V62" s="70"/>
      <c r="W62" s="70"/>
      <c r="X62" s="70"/>
      <c r="Y62" s="70"/>
      <c r="Z62" s="70"/>
      <c r="AA62" s="70"/>
      <c r="AB62" s="70"/>
      <c r="AC62" s="70"/>
      <c r="AD62" s="70"/>
      <c r="AE62" s="71"/>
      <c r="AH62" s="513"/>
      <c r="AJ62" s="2106"/>
    </row>
    <row r="63" spans="1:36" s="163" customFormat="1">
      <c r="A63" s="318"/>
      <c r="B63" s="141"/>
      <c r="C63" s="141"/>
      <c r="I63" s="718"/>
      <c r="O63" s="126"/>
      <c r="Q63" s="70"/>
      <c r="R63" s="70"/>
      <c r="S63" s="70"/>
      <c r="T63" s="70"/>
      <c r="U63" s="71"/>
      <c r="V63" s="70"/>
      <c r="W63" s="70"/>
      <c r="X63" s="70"/>
      <c r="Y63" s="70"/>
      <c r="Z63" s="70"/>
      <c r="AA63" s="70"/>
      <c r="AB63" s="70"/>
      <c r="AC63" s="70"/>
      <c r="AD63" s="70"/>
      <c r="AE63" s="71"/>
      <c r="AH63" s="513"/>
      <c r="AJ63" s="2106"/>
    </row>
    <row r="64" spans="1:36" s="163" customFormat="1">
      <c r="A64" s="318"/>
      <c r="B64" s="25"/>
      <c r="C64" s="143" t="s">
        <v>188</v>
      </c>
      <c r="I64" s="718"/>
      <c r="O64" s="126"/>
      <c r="Q64" s="70"/>
      <c r="R64" s="70"/>
      <c r="S64" s="70"/>
      <c r="T64" s="70"/>
      <c r="U64" s="71"/>
      <c r="V64" s="70"/>
      <c r="W64" s="70"/>
      <c r="X64" s="70"/>
      <c r="Y64" s="70"/>
      <c r="Z64" s="70"/>
      <c r="AA64" s="70"/>
      <c r="AB64" s="70"/>
      <c r="AC64" s="70"/>
      <c r="AD64" s="70"/>
      <c r="AE64" s="71"/>
      <c r="AH64" s="513"/>
      <c r="AJ64" s="2106"/>
    </row>
    <row r="65" spans="1:36" s="163" customFormat="1">
      <c r="A65" s="318"/>
      <c r="B65" s="141"/>
      <c r="C65" s="142"/>
      <c r="I65" s="718"/>
      <c r="O65" s="126"/>
      <c r="Q65" s="70"/>
      <c r="R65" s="70"/>
      <c r="S65" s="70"/>
      <c r="T65" s="70"/>
      <c r="U65" s="71"/>
      <c r="V65" s="70"/>
      <c r="W65" s="70"/>
      <c r="X65" s="70"/>
      <c r="Y65" s="70"/>
      <c r="Z65" s="70"/>
      <c r="AA65" s="70"/>
      <c r="AB65" s="70"/>
      <c r="AC65" s="70"/>
      <c r="AD65" s="70"/>
      <c r="AE65" s="71"/>
      <c r="AH65" s="513"/>
      <c r="AJ65" s="2106"/>
    </row>
    <row r="66" spans="1:36" s="163" customFormat="1">
      <c r="A66" s="318"/>
      <c r="B66" s="144"/>
      <c r="C66" s="143" t="s">
        <v>189</v>
      </c>
      <c r="I66" s="718"/>
      <c r="O66" s="126"/>
      <c r="Q66" s="70"/>
      <c r="R66" s="70"/>
      <c r="S66" s="70"/>
      <c r="T66" s="70"/>
      <c r="U66" s="71"/>
      <c r="V66" s="70"/>
      <c r="W66" s="70"/>
      <c r="X66" s="70"/>
      <c r="Y66" s="70"/>
      <c r="Z66" s="70"/>
      <c r="AA66" s="70"/>
      <c r="AB66" s="70"/>
      <c r="AC66" s="70"/>
      <c r="AD66" s="70"/>
      <c r="AE66" s="71"/>
      <c r="AH66" s="513"/>
      <c r="AJ66" s="2106"/>
    </row>
    <row r="67" spans="1:36" s="163" customFormat="1">
      <c r="A67" s="318"/>
      <c r="B67" s="145"/>
      <c r="C67" s="143"/>
      <c r="I67" s="718"/>
      <c r="O67" s="126"/>
      <c r="Q67" s="70"/>
      <c r="R67" s="70"/>
      <c r="S67" s="70"/>
      <c r="T67" s="70"/>
      <c r="U67" s="71"/>
      <c r="V67" s="70"/>
      <c r="W67" s="70"/>
      <c r="X67" s="70"/>
      <c r="Y67" s="70"/>
      <c r="Z67" s="70"/>
      <c r="AA67" s="70"/>
      <c r="AB67" s="70"/>
      <c r="AC67" s="70"/>
      <c r="AD67" s="70"/>
      <c r="AE67" s="71"/>
      <c r="AH67" s="513"/>
      <c r="AJ67" s="2106"/>
    </row>
    <row r="68" spans="1:36" ht="14.5" thickBot="1">
      <c r="B68" s="483"/>
      <c r="C68" s="483"/>
      <c r="D68" s="483"/>
      <c r="E68" s="483"/>
      <c r="J68" s="483"/>
      <c r="K68" s="483"/>
      <c r="L68" s="483"/>
      <c r="M68" s="483"/>
      <c r="N68" s="483"/>
      <c r="O68" s="483"/>
      <c r="P68" s="483"/>
      <c r="AF68" s="483"/>
      <c r="AG68" s="483"/>
      <c r="AI68" s="483"/>
    </row>
    <row r="69" spans="1:36" s="483" customFormat="1" ht="15.5" thickBot="1">
      <c r="A69" s="82"/>
      <c r="B69" s="2886" t="s">
        <v>190</v>
      </c>
      <c r="C69" s="147"/>
      <c r="D69" s="148"/>
      <c r="E69" s="148"/>
      <c r="F69" s="148"/>
      <c r="G69" s="148"/>
      <c r="H69" s="148"/>
      <c r="I69" s="720"/>
      <c r="J69" s="148"/>
      <c r="K69" s="148"/>
      <c r="L69" s="148"/>
      <c r="M69" s="148"/>
      <c r="N69" s="148"/>
      <c r="O69" s="148"/>
      <c r="P69" s="251"/>
      <c r="Q69" s="70"/>
      <c r="R69" s="70"/>
      <c r="S69" s="70"/>
      <c r="T69" s="70"/>
      <c r="U69" s="71"/>
      <c r="V69" s="70"/>
      <c r="W69" s="70"/>
      <c r="X69" s="70"/>
      <c r="Y69" s="70"/>
      <c r="Z69" s="70"/>
      <c r="AA69" s="70"/>
      <c r="AB69" s="70"/>
      <c r="AC69" s="70"/>
      <c r="AD69" s="70"/>
      <c r="AE69" s="71"/>
      <c r="AH69" s="515"/>
      <c r="AJ69" s="2107"/>
    </row>
    <row r="70" spans="1:36" s="483" customFormat="1">
      <c r="A70" s="82"/>
      <c r="I70" s="719"/>
      <c r="Q70" s="70"/>
      <c r="R70" s="70"/>
      <c r="S70" s="70"/>
      <c r="T70" s="70"/>
      <c r="U70" s="71"/>
      <c r="V70" s="70"/>
      <c r="W70" s="70"/>
      <c r="X70" s="70"/>
      <c r="Y70" s="70"/>
      <c r="Z70" s="70"/>
      <c r="AA70" s="70"/>
      <c r="AB70" s="70"/>
      <c r="AC70" s="70"/>
      <c r="AD70" s="70"/>
      <c r="AE70" s="71"/>
      <c r="AH70" s="515"/>
      <c r="AJ70" s="2107"/>
    </row>
    <row r="71" spans="1:36" s="110" customFormat="1" ht="15.5" hidden="1" thickBot="1">
      <c r="A71" s="1528"/>
      <c r="B71" s="146" t="str">
        <f ca="1" xml:space="preserve"> RIGHT(CELL("filename", $A$1), LEN(CELL("filename", $A$1)) - SEARCH("]", CELL("filename", $A$1)))&amp;" - Column definitions"</f>
        <v>3A - Column definitions</v>
      </c>
      <c r="C71" s="147"/>
      <c r="D71" s="148"/>
      <c r="E71" s="148"/>
      <c r="F71" s="148"/>
      <c r="G71" s="148"/>
      <c r="H71" s="148"/>
      <c r="I71" s="720"/>
      <c r="J71" s="148"/>
      <c r="K71" s="148"/>
      <c r="L71" s="148"/>
      <c r="M71" s="148"/>
      <c r="N71" s="148"/>
      <c r="O71" s="148"/>
      <c r="P71" s="251"/>
      <c r="T71" s="74"/>
      <c r="U71" s="71"/>
      <c r="V71" s="70"/>
      <c r="W71" s="70"/>
      <c r="X71" s="70"/>
      <c r="AE71" s="71"/>
      <c r="AH71" s="516"/>
      <c r="AJ71" s="152"/>
    </row>
    <row r="72" spans="1:36" s="110" customFormat="1" ht="14.5" hidden="1" thickBot="1">
      <c r="A72" s="1528"/>
      <c r="B72" s="74"/>
      <c r="C72" s="155"/>
      <c r="D72" s="74"/>
      <c r="E72" s="74"/>
      <c r="F72" s="74"/>
      <c r="G72" s="74"/>
      <c r="H72" s="74"/>
      <c r="I72" s="166"/>
      <c r="L72" s="74"/>
      <c r="N72" s="70"/>
      <c r="T72" s="74"/>
      <c r="U72" s="71"/>
      <c r="V72" s="70"/>
      <c r="W72" s="70"/>
      <c r="X72" s="70"/>
      <c r="AE72" s="71"/>
      <c r="AH72" s="516"/>
      <c r="AJ72" s="152"/>
    </row>
    <row r="73" spans="1:36" s="178" customFormat="1" ht="18.75" hidden="1" customHeight="1" thickBot="1">
      <c r="A73" s="1529"/>
      <c r="B73" s="1349" t="s">
        <v>2332</v>
      </c>
      <c r="C73" s="1350" t="s">
        <v>192</v>
      </c>
      <c r="D73" s="322"/>
      <c r="E73" s="322"/>
      <c r="F73" s="322"/>
      <c r="G73" s="322"/>
      <c r="H73" s="322"/>
      <c r="I73" s="721"/>
      <c r="J73" s="322"/>
      <c r="K73" s="323"/>
      <c r="L73" s="324"/>
      <c r="M73" s="323"/>
      <c r="N73" s="325"/>
      <c r="O73" s="326"/>
      <c r="P73" s="327"/>
      <c r="T73" s="74"/>
      <c r="U73" s="71"/>
      <c r="V73" s="85" t="s">
        <v>193</v>
      </c>
      <c r="W73" s="70"/>
      <c r="X73" s="70"/>
      <c r="AE73" s="71"/>
      <c r="AH73" s="514"/>
      <c r="AJ73" s="179"/>
    </row>
    <row r="74" spans="1:36" s="178" customFormat="1" ht="18.75" hidden="1" customHeight="1">
      <c r="A74" s="1529"/>
      <c r="B74" s="722" t="s">
        <v>2325</v>
      </c>
      <c r="C74" s="3011" t="s">
        <v>2333</v>
      </c>
      <c r="D74" s="3011"/>
      <c r="E74" s="3011"/>
      <c r="F74" s="3011"/>
      <c r="G74" s="3011"/>
      <c r="H74" s="3011"/>
      <c r="I74" s="3011"/>
      <c r="J74" s="3011"/>
      <c r="K74" s="3011"/>
      <c r="L74" s="3011"/>
      <c r="M74" s="3011"/>
      <c r="N74" s="3011"/>
      <c r="O74" s="3011"/>
      <c r="P74" s="3012"/>
      <c r="T74" s="74"/>
      <c r="U74" s="71"/>
      <c r="V74" s="85"/>
      <c r="W74" s="70"/>
      <c r="X74" s="70"/>
      <c r="AE74" s="71"/>
      <c r="AH74" s="514"/>
      <c r="AJ74" s="179"/>
    </row>
    <row r="75" spans="1:36" s="110" customFormat="1" ht="58.5" hidden="1" customHeight="1">
      <c r="A75" s="1528"/>
      <c r="B75" s="722" t="s">
        <v>2334</v>
      </c>
      <c r="C75" s="3011" t="s">
        <v>2335</v>
      </c>
      <c r="D75" s="3011"/>
      <c r="E75" s="3011"/>
      <c r="F75" s="3011"/>
      <c r="G75" s="3011"/>
      <c r="H75" s="3011"/>
      <c r="I75" s="3011"/>
      <c r="J75" s="3011"/>
      <c r="K75" s="3011"/>
      <c r="L75" s="3011"/>
      <c r="M75" s="3011"/>
      <c r="N75" s="3011"/>
      <c r="O75" s="3011"/>
      <c r="P75" s="3012"/>
      <c r="Q75" s="483"/>
      <c r="R75" s="483"/>
      <c r="S75" s="483"/>
      <c r="T75" s="74"/>
      <c r="U75" s="71"/>
      <c r="V75" s="202" t="s">
        <v>195</v>
      </c>
      <c r="AE75" s="71"/>
      <c r="AH75" s="516"/>
      <c r="AJ75" s="152"/>
    </row>
    <row r="76" spans="1:36" s="110" customFormat="1" ht="42" hidden="1" customHeight="1">
      <c r="A76" s="1528"/>
      <c r="B76" s="722" t="s">
        <v>2336</v>
      </c>
      <c r="C76" s="3011" t="s">
        <v>2337</v>
      </c>
      <c r="D76" s="3011"/>
      <c r="E76" s="3011"/>
      <c r="F76" s="3011"/>
      <c r="G76" s="3011"/>
      <c r="H76" s="3011"/>
      <c r="I76" s="3011"/>
      <c r="J76" s="3011"/>
      <c r="K76" s="3011"/>
      <c r="L76" s="3011"/>
      <c r="M76" s="3011"/>
      <c r="N76" s="3011"/>
      <c r="O76" s="3011"/>
      <c r="P76" s="3012"/>
      <c r="Q76" s="483"/>
      <c r="R76" s="483"/>
      <c r="S76" s="483"/>
      <c r="T76" s="74"/>
      <c r="U76" s="71"/>
      <c r="V76" s="202" t="s">
        <v>195</v>
      </c>
      <c r="AE76" s="71"/>
      <c r="AH76" s="516"/>
      <c r="AJ76" s="152"/>
    </row>
    <row r="77" spans="1:36" ht="81" hidden="1" customHeight="1">
      <c r="A77" s="1534"/>
      <c r="B77" s="722" t="s">
        <v>2338</v>
      </c>
      <c r="C77" s="3011" t="s">
        <v>2339</v>
      </c>
      <c r="D77" s="3011"/>
      <c r="E77" s="3011"/>
      <c r="F77" s="3011"/>
      <c r="G77" s="3011"/>
      <c r="H77" s="3011"/>
      <c r="I77" s="3011"/>
      <c r="J77" s="3011"/>
      <c r="K77" s="3011"/>
      <c r="L77" s="3011"/>
      <c r="M77" s="3011"/>
      <c r="N77" s="3011"/>
      <c r="O77" s="3011"/>
      <c r="P77" s="3012"/>
      <c r="Q77" s="483"/>
      <c r="R77" s="483"/>
      <c r="S77" s="483"/>
      <c r="V77" s="202" t="s">
        <v>1321</v>
      </c>
      <c r="AF77" s="483"/>
      <c r="AG77" s="483"/>
      <c r="AI77" s="483"/>
    </row>
    <row r="78" spans="1:36" ht="99" hidden="1" customHeight="1">
      <c r="A78" s="1534"/>
      <c r="B78" s="722" t="s">
        <v>2340</v>
      </c>
      <c r="C78" s="3014" t="s">
        <v>2341</v>
      </c>
      <c r="D78" s="3014"/>
      <c r="E78" s="3014"/>
      <c r="F78" s="3014"/>
      <c r="G78" s="3014"/>
      <c r="H78" s="3014"/>
      <c r="I78" s="3014"/>
      <c r="J78" s="3014"/>
      <c r="K78" s="3014"/>
      <c r="L78" s="3014"/>
      <c r="M78" s="3014"/>
      <c r="N78" s="3014"/>
      <c r="O78" s="3014"/>
      <c r="P78" s="3015"/>
      <c r="Q78" s="483"/>
      <c r="R78" s="483"/>
      <c r="S78" s="483"/>
      <c r="V78" s="202" t="s">
        <v>787</v>
      </c>
      <c r="AF78" s="483"/>
      <c r="AG78" s="483"/>
      <c r="AI78" s="483"/>
    </row>
    <row r="79" spans="1:36" ht="129.75" hidden="1" customHeight="1">
      <c r="A79" s="1534"/>
      <c r="B79" s="722" t="s">
        <v>2342</v>
      </c>
      <c r="C79" s="3014" t="s">
        <v>2343</v>
      </c>
      <c r="D79" s="3014"/>
      <c r="E79" s="3014"/>
      <c r="F79" s="3014"/>
      <c r="G79" s="3014"/>
      <c r="H79" s="3014"/>
      <c r="I79" s="3014"/>
      <c r="J79" s="3014"/>
      <c r="K79" s="3014"/>
      <c r="L79" s="3014"/>
      <c r="M79" s="3014"/>
      <c r="N79" s="3014"/>
      <c r="O79" s="3014"/>
      <c r="P79" s="3015"/>
      <c r="Q79" s="483"/>
      <c r="R79" s="483"/>
      <c r="S79" s="483"/>
      <c r="V79" s="202" t="s">
        <v>787</v>
      </c>
      <c r="AF79" s="483"/>
      <c r="AG79" s="483"/>
      <c r="AI79" s="483"/>
    </row>
    <row r="80" spans="1:36" ht="86.25" hidden="1" customHeight="1">
      <c r="A80" s="1534"/>
      <c r="B80" s="722" t="s">
        <v>2344</v>
      </c>
      <c r="C80" s="3014" t="s">
        <v>2345</v>
      </c>
      <c r="D80" s="3014"/>
      <c r="E80" s="3014"/>
      <c r="F80" s="3014"/>
      <c r="G80" s="3014"/>
      <c r="H80" s="3014"/>
      <c r="I80" s="3014"/>
      <c r="J80" s="3014"/>
      <c r="K80" s="3014"/>
      <c r="L80" s="3014"/>
      <c r="M80" s="3014"/>
      <c r="N80" s="3014"/>
      <c r="O80" s="3014"/>
      <c r="P80" s="3015"/>
      <c r="Q80" s="483"/>
      <c r="R80" s="483"/>
      <c r="S80" s="483"/>
      <c r="V80" s="202" t="s">
        <v>787</v>
      </c>
      <c r="AF80" s="483"/>
      <c r="AG80" s="483"/>
      <c r="AI80" s="483"/>
    </row>
    <row r="81" spans="1:36" ht="128.25" hidden="1" customHeight="1">
      <c r="A81" s="1534"/>
      <c r="B81" s="722" t="s">
        <v>2346</v>
      </c>
      <c r="C81" s="3014" t="s">
        <v>2347</v>
      </c>
      <c r="D81" s="3014"/>
      <c r="E81" s="3014"/>
      <c r="F81" s="3014"/>
      <c r="G81" s="3014"/>
      <c r="H81" s="3014"/>
      <c r="I81" s="3014"/>
      <c r="J81" s="3014"/>
      <c r="K81" s="3014"/>
      <c r="L81" s="3014"/>
      <c r="M81" s="3014"/>
      <c r="N81" s="3014"/>
      <c r="O81" s="3014"/>
      <c r="P81" s="3015"/>
      <c r="Q81" s="483"/>
      <c r="R81" s="483"/>
      <c r="S81" s="483"/>
      <c r="V81" s="202" t="s">
        <v>1324</v>
      </c>
      <c r="AF81" s="483"/>
      <c r="AG81" s="483"/>
      <c r="AI81" s="483"/>
    </row>
    <row r="82" spans="1:36" ht="110.25" hidden="1" customHeight="1" thickBot="1">
      <c r="A82" s="1534"/>
      <c r="B82" s="723" t="s">
        <v>2348</v>
      </c>
      <c r="C82" s="3016" t="s">
        <v>2349</v>
      </c>
      <c r="D82" s="3016"/>
      <c r="E82" s="3016"/>
      <c r="F82" s="3016"/>
      <c r="G82" s="3016"/>
      <c r="H82" s="3016"/>
      <c r="I82" s="3016"/>
      <c r="J82" s="3016"/>
      <c r="K82" s="3016"/>
      <c r="L82" s="3016"/>
      <c r="M82" s="3016"/>
      <c r="N82" s="3016"/>
      <c r="O82" s="3016"/>
      <c r="P82" s="3017"/>
      <c r="Q82" s="483"/>
      <c r="R82" s="483"/>
      <c r="S82" s="483"/>
      <c r="V82" s="202" t="s">
        <v>787</v>
      </c>
      <c r="AF82" s="483"/>
      <c r="AG82" s="483"/>
      <c r="AI82" s="483"/>
    </row>
    <row r="83" spans="1:36" ht="14.5" hidden="1" thickBot="1">
      <c r="A83" s="1534"/>
      <c r="B83" s="483"/>
      <c r="C83" s="483"/>
      <c r="D83" s="483"/>
      <c r="E83" s="483"/>
      <c r="J83" s="483"/>
      <c r="K83" s="483"/>
      <c r="L83" s="483"/>
      <c r="M83" s="483"/>
      <c r="N83" s="483"/>
      <c r="O83" s="483"/>
      <c r="P83" s="483"/>
      <c r="Q83" s="483"/>
      <c r="R83" s="483"/>
      <c r="S83" s="483"/>
      <c r="V83" s="202"/>
      <c r="AF83" s="483"/>
      <c r="AG83" s="483"/>
      <c r="AI83" s="483"/>
    </row>
    <row r="84" spans="1:36" s="110" customFormat="1" ht="15.5" hidden="1" thickBot="1">
      <c r="A84" s="1528"/>
      <c r="B84" s="146" t="s">
        <v>2350</v>
      </c>
      <c r="C84" s="147"/>
      <c r="D84" s="148"/>
      <c r="E84" s="148"/>
      <c r="F84" s="148"/>
      <c r="G84" s="148"/>
      <c r="H84" s="148"/>
      <c r="I84" s="720"/>
      <c r="J84" s="148"/>
      <c r="K84" s="148"/>
      <c r="L84" s="148"/>
      <c r="M84" s="148"/>
      <c r="N84" s="148"/>
      <c r="O84" s="148"/>
      <c r="P84" s="251"/>
      <c r="T84" s="74"/>
      <c r="U84" s="71"/>
      <c r="V84" s="70"/>
      <c r="W84" s="70"/>
      <c r="X84" s="70"/>
      <c r="AE84" s="71"/>
      <c r="AH84" s="516"/>
      <c r="AJ84" s="152"/>
    </row>
    <row r="85" spans="1:36" s="110" customFormat="1" hidden="1">
      <c r="A85" s="1528"/>
      <c r="B85" s="74"/>
      <c r="C85" s="155"/>
      <c r="D85" s="74"/>
      <c r="E85" s="74"/>
      <c r="F85" s="74"/>
      <c r="G85" s="74"/>
      <c r="H85" s="74"/>
      <c r="I85" s="166"/>
      <c r="L85" s="74"/>
      <c r="N85" s="70"/>
      <c r="T85" s="74"/>
      <c r="U85" s="71"/>
      <c r="V85" s="70"/>
      <c r="W85" s="70"/>
      <c r="X85" s="70"/>
      <c r="AE85" s="71"/>
      <c r="AH85" s="516"/>
      <c r="AJ85" s="152"/>
    </row>
    <row r="86" spans="1:36" s="178" customFormat="1" ht="359.25" hidden="1" customHeight="1">
      <c r="A86" s="1529"/>
      <c r="B86" s="3013" t="s">
        <v>2351</v>
      </c>
      <c r="C86" s="3013"/>
      <c r="D86" s="3013"/>
      <c r="E86" s="3013"/>
      <c r="F86" s="3013"/>
      <c r="G86" s="3013"/>
      <c r="H86" s="3013"/>
      <c r="I86" s="3013"/>
      <c r="J86" s="3013"/>
      <c r="K86" s="3013"/>
      <c r="L86" s="3013"/>
      <c r="M86" s="3013"/>
      <c r="N86" s="3013"/>
      <c r="O86" s="3013"/>
      <c r="P86" s="3013"/>
      <c r="T86" s="74"/>
      <c r="U86" s="71"/>
      <c r="V86" s="748" t="s">
        <v>2352</v>
      </c>
      <c r="W86" s="70"/>
      <c r="X86" s="70"/>
      <c r="AE86" s="71"/>
      <c r="AH86" s="514"/>
      <c r="AJ86" s="179"/>
    </row>
    <row r="87" spans="1:36" hidden="1">
      <c r="A87" s="1534"/>
      <c r="B87" s="483"/>
      <c r="C87" s="483"/>
      <c r="D87" s="483"/>
      <c r="E87" s="483"/>
      <c r="J87" s="483"/>
      <c r="K87" s="483"/>
      <c r="L87" s="483"/>
      <c r="M87" s="483"/>
      <c r="N87" s="483"/>
      <c r="O87" s="483"/>
      <c r="P87" s="483"/>
      <c r="Q87" s="483"/>
      <c r="R87" s="483"/>
      <c r="S87" s="483"/>
      <c r="AF87" s="483"/>
      <c r="AG87" s="483"/>
      <c r="AI87" s="483"/>
    </row>
    <row r="88" spans="1:36" hidden="1">
      <c r="A88" s="1534"/>
      <c r="B88" s="483"/>
      <c r="C88" s="483"/>
      <c r="D88" s="483"/>
      <c r="E88" s="483"/>
      <c r="J88" s="483"/>
      <c r="K88" s="483"/>
      <c r="L88" s="483"/>
      <c r="M88" s="483"/>
      <c r="N88" s="483"/>
      <c r="O88" s="483"/>
      <c r="P88" s="483"/>
      <c r="Q88" s="483"/>
      <c r="R88" s="483"/>
      <c r="S88" s="483"/>
      <c r="AF88" s="483"/>
      <c r="AG88" s="483"/>
      <c r="AI88" s="483"/>
    </row>
    <row r="89" spans="1:36" hidden="1">
      <c r="B89" s="483"/>
      <c r="C89" s="483"/>
      <c r="D89" s="483"/>
      <c r="E89" s="483"/>
      <c r="J89" s="483"/>
      <c r="K89" s="483"/>
      <c r="L89" s="483"/>
      <c r="M89" s="483"/>
      <c r="N89" s="483"/>
      <c r="O89" s="483"/>
      <c r="P89" s="483"/>
      <c r="Q89" s="483"/>
      <c r="R89" s="483"/>
      <c r="S89" s="483"/>
      <c r="AF89" s="483"/>
      <c r="AG89" s="483"/>
      <c r="AI89" s="483"/>
    </row>
    <row r="90" spans="1:36" hidden="1">
      <c r="B90" s="483"/>
      <c r="C90" s="483"/>
      <c r="D90" s="483"/>
      <c r="E90" s="483"/>
      <c r="J90" s="483"/>
      <c r="K90" s="483"/>
      <c r="L90" s="483"/>
      <c r="M90" s="483"/>
      <c r="N90" s="483"/>
      <c r="O90" s="483"/>
      <c r="P90" s="483"/>
      <c r="Q90" s="483"/>
      <c r="R90" s="483"/>
      <c r="S90" s="483"/>
      <c r="AF90" s="483"/>
      <c r="AG90" s="483"/>
      <c r="AI90" s="483"/>
    </row>
    <row r="91" spans="1:36" hidden="1">
      <c r="B91" s="483"/>
      <c r="C91" s="483"/>
      <c r="D91" s="483"/>
      <c r="E91" s="483"/>
      <c r="J91" s="483"/>
      <c r="K91" s="483"/>
      <c r="L91" s="483"/>
      <c r="M91" s="483"/>
      <c r="N91" s="483"/>
      <c r="O91" s="483"/>
      <c r="P91" s="483"/>
      <c r="Q91" s="483"/>
      <c r="R91" s="483"/>
      <c r="S91" s="483"/>
      <c r="AF91" s="483"/>
      <c r="AG91" s="483"/>
      <c r="AI91" s="483"/>
    </row>
    <row r="92" spans="1:36" hidden="1">
      <c r="B92" s="483"/>
      <c r="C92" s="483"/>
      <c r="D92" s="483"/>
      <c r="E92" s="483"/>
      <c r="J92" s="483"/>
      <c r="K92" s="483"/>
      <c r="L92" s="483"/>
      <c r="M92" s="483"/>
      <c r="N92" s="483"/>
      <c r="O92" s="483"/>
      <c r="P92" s="483"/>
      <c r="Q92" s="483"/>
      <c r="R92" s="483"/>
      <c r="S92" s="483"/>
      <c r="AF92" s="483"/>
      <c r="AG92" s="483"/>
      <c r="AI92" s="483"/>
    </row>
    <row r="93" spans="1:36" hidden="1">
      <c r="B93" s="483"/>
      <c r="C93" s="483"/>
      <c r="D93" s="483"/>
      <c r="E93" s="483"/>
      <c r="J93" s="483"/>
      <c r="K93" s="483"/>
      <c r="L93" s="483"/>
      <c r="M93" s="483"/>
      <c r="N93" s="483"/>
      <c r="O93" s="483"/>
      <c r="P93" s="483"/>
      <c r="Q93" s="483"/>
      <c r="R93" s="483"/>
      <c r="S93" s="483"/>
      <c r="AF93" s="483"/>
      <c r="AG93" s="483"/>
      <c r="AI93" s="483"/>
    </row>
    <row r="94" spans="1:36" hidden="1">
      <c r="B94" s="483"/>
      <c r="C94" s="483"/>
      <c r="D94" s="483"/>
      <c r="E94" s="483"/>
      <c r="J94" s="483"/>
      <c r="K94" s="483"/>
      <c r="L94" s="483"/>
      <c r="M94" s="483"/>
      <c r="N94" s="483"/>
      <c r="O94" s="483"/>
      <c r="P94" s="483"/>
      <c r="Q94" s="483"/>
      <c r="R94" s="483"/>
      <c r="S94" s="483"/>
      <c r="AF94" s="483"/>
      <c r="AG94" s="483"/>
      <c r="AI94" s="483"/>
    </row>
    <row r="95" spans="1:36" hidden="1">
      <c r="B95" s="483"/>
      <c r="C95" s="483"/>
      <c r="D95" s="483"/>
      <c r="E95" s="483"/>
      <c r="J95" s="483"/>
      <c r="K95" s="483"/>
      <c r="L95" s="483"/>
      <c r="M95" s="483"/>
      <c r="N95" s="483"/>
      <c r="O95" s="483"/>
      <c r="P95" s="483"/>
      <c r="Q95" s="483"/>
      <c r="R95" s="483"/>
      <c r="S95" s="483"/>
      <c r="AF95" s="483"/>
      <c r="AG95" s="483"/>
      <c r="AI95" s="483"/>
    </row>
    <row r="96" spans="1:36" hidden="1">
      <c r="B96" s="483"/>
      <c r="C96" s="483"/>
      <c r="D96" s="483"/>
      <c r="E96" s="483"/>
      <c r="J96" s="483"/>
      <c r="K96" s="483"/>
      <c r="L96" s="483"/>
      <c r="M96" s="483"/>
      <c r="N96" s="483"/>
      <c r="O96" s="483"/>
      <c r="P96" s="483"/>
      <c r="Q96" s="483"/>
      <c r="R96" s="483"/>
      <c r="S96" s="483"/>
      <c r="AF96" s="483"/>
      <c r="AG96" s="483"/>
      <c r="AI96" s="483"/>
    </row>
    <row r="97" spans="17:19" hidden="1">
      <c r="Q97" s="483"/>
      <c r="R97" s="483"/>
      <c r="S97" s="483"/>
    </row>
    <row r="98" spans="17:19" hidden="1">
      <c r="Q98" s="483"/>
      <c r="R98" s="483"/>
      <c r="S98" s="483"/>
    </row>
  </sheetData>
  <mergeCells count="10">
    <mergeCell ref="C74:P74"/>
    <mergeCell ref="B86:P86"/>
    <mergeCell ref="C80:P80"/>
    <mergeCell ref="C81:P81"/>
    <mergeCell ref="C82:P82"/>
    <mergeCell ref="C75:P75"/>
    <mergeCell ref="C76:P76"/>
    <mergeCell ref="C77:P77"/>
    <mergeCell ref="C78:P78"/>
    <mergeCell ref="C79:P79"/>
  </mergeCells>
  <conditionalFormatting sqref="R5:S57 R59:S60 R58">
    <cfRule type="cellIs" dxfId="368" priority="25" operator="equal">
      <formula>0</formula>
    </cfRule>
  </conditionalFormatting>
  <conditionalFormatting sqref="K5:P60">
    <cfRule type="expression" dxfId="367" priority="1">
      <formula xml:space="preserve"> $AJ5 = "SIM"</formula>
    </cfRule>
    <cfRule type="expression" dxfId="366" priority="12">
      <formula xml:space="preserve"> $AI5 = "NFI"</formula>
    </cfRule>
  </conditionalFormatting>
  <conditionalFormatting sqref="H5:I60">
    <cfRule type="expression" dxfId="365" priority="5" stopIfTrue="1">
      <formula xml:space="preserve"> INDIRECT("G" &amp; ROW()) = 0</formula>
    </cfRule>
    <cfRule type="expression" dxfId="364" priority="6" stopIfTrue="1">
      <formula xml:space="preserve"> INDIRECT("G" &amp; ROW()) = 1</formula>
    </cfRule>
    <cfRule type="expression" dxfId="363" priority="7" stopIfTrue="1">
      <formula xml:space="preserve"> INDIRECT("G" &amp; ROW()) = 2</formula>
    </cfRule>
    <cfRule type="expression" dxfId="362" priority="8" stopIfTrue="1">
      <formula xml:space="preserve"> INDIRECT("G" &amp; ROW()) = 3</formula>
    </cfRule>
    <cfRule type="expression" dxfId="361" priority="9" stopIfTrue="1">
      <formula xml:space="preserve"> INDIRECT("G" &amp; ROW()) = 4</formula>
    </cfRule>
    <cfRule type="expression" dxfId="360" priority="10" stopIfTrue="1">
      <formula xml:space="preserve"> INDIRECT("G" &amp; ROW()) = 5</formula>
    </cfRule>
    <cfRule type="expression" dxfId="359" priority="11" stopIfTrue="1">
      <formula xml:space="preserve"> INDIRECT("G" &amp; ROW()) = 6</formula>
    </cfRule>
  </conditionalFormatting>
  <conditionalFormatting sqref="I18">
    <cfRule type="expression" dxfId="358" priority="3" stopIfTrue="1">
      <formula xml:space="preserve"> INDIRECT("G" &amp; ROW()) = "mins:secs"</formula>
    </cfRule>
  </conditionalFormatting>
  <conditionalFormatting sqref="S58">
    <cfRule type="cellIs" dxfId="357"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scale="39" orientation="landscape"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1" id="{A9E25563-0041-40CC-9DD4-C9FAEB0E0361}">
            <xm:f>K5=Lists!$F$16</xm:f>
            <x14:dxf>
              <fill>
                <patternFill>
                  <bgColor rgb="FFE0DCD8"/>
                </patternFill>
              </fill>
            </x14:dxf>
          </x14:cfRule>
          <x14:cfRule type="expression" priority="22" id="{744E93E1-46DD-4CBD-82E0-625EFF7B7179}">
            <xm:f>K5=Lists!$F$15</xm:f>
            <x14:dxf>
              <fill>
                <patternFill>
                  <bgColor rgb="FFE0DCD8"/>
                </patternFill>
              </fill>
            </x14:dxf>
          </x14:cfRule>
          <x14:cfRule type="expression" priority="23" id="{707EE4B1-0291-463F-8E26-85E4DD55D361}">
            <xm:f>K5=Lists!$F$14</xm:f>
            <x14:dxf>
              <fill>
                <patternFill>
                  <bgColor rgb="FFE0DCD8"/>
                </patternFill>
              </fill>
            </x14:dxf>
          </x14:cfRule>
          <x14:cfRule type="expression" priority="24" id="{0766AFC6-67B9-43A3-B735-EA6B8C679E3B}">
            <xm:f>K5=Lists!$F$12</xm:f>
            <x14:dxf>
              <font>
                <color auto="1"/>
              </font>
              <fill>
                <patternFill>
                  <bgColor rgb="FFE0DCD8"/>
                </patternFill>
              </fill>
            </x14:dxf>
          </x14:cfRule>
          <xm:sqref>L5:L60</xm:sqref>
        </x14:conditionalFormatting>
        <x14:conditionalFormatting xmlns:xm="http://schemas.microsoft.com/office/excel/2006/main">
          <x14:cfRule type="expression" priority="17" id="{F69E6454-E493-4BEB-82ED-832A15E2A4C6}">
            <xm:f>M5=Lists!$F$16</xm:f>
            <x14:dxf>
              <fill>
                <patternFill>
                  <bgColor rgb="FFE0DCD8"/>
                </patternFill>
              </fill>
            </x14:dxf>
          </x14:cfRule>
          <x14:cfRule type="expression" priority="18" id="{63F4D9E1-AFF7-4290-871B-712E643C504B}">
            <xm:f>M5=Lists!$F$15</xm:f>
            <x14:dxf>
              <fill>
                <patternFill>
                  <bgColor rgb="FFE0DCD8"/>
                </patternFill>
              </fill>
            </x14:dxf>
          </x14:cfRule>
          <x14:cfRule type="expression" priority="19" id="{627EDD62-D94D-4A0E-84C1-F3C2E2DCF8AA}">
            <xm:f>M5=Lists!$F$14</xm:f>
            <x14:dxf>
              <fill>
                <patternFill>
                  <bgColor rgb="FFE0DCD8"/>
                </patternFill>
              </fill>
            </x14:dxf>
          </x14:cfRule>
          <x14:cfRule type="expression" priority="20" id="{CDD2C458-6B8D-4215-9020-60B771EF8EE9}">
            <xm:f>M5=Lists!$F$12</xm:f>
            <x14:dxf>
              <font>
                <color auto="1"/>
              </font>
              <fill>
                <patternFill>
                  <bgColor rgb="FFE0DCD8"/>
                </patternFill>
              </fill>
            </x14:dxf>
          </x14:cfRule>
          <xm:sqref>N5:N60</xm:sqref>
        </x14:conditionalFormatting>
        <x14:conditionalFormatting xmlns:xm="http://schemas.microsoft.com/office/excel/2006/main">
          <x14:cfRule type="expression" priority="13" id="{ADA781DA-03C2-403B-8F25-5AAF4237E54A}">
            <xm:f>O5=Lists!$F$16</xm:f>
            <x14:dxf>
              <fill>
                <patternFill>
                  <bgColor rgb="FFE0DCD8"/>
                </patternFill>
              </fill>
            </x14:dxf>
          </x14:cfRule>
          <x14:cfRule type="expression" priority="14" id="{00B40E04-927E-4785-89F9-72F4091C5C1E}">
            <xm:f>O5=Lists!$F$15</xm:f>
            <x14:dxf>
              <fill>
                <patternFill>
                  <bgColor rgb="FFE0DCD8"/>
                </patternFill>
              </fill>
            </x14:dxf>
          </x14:cfRule>
          <x14:cfRule type="expression" priority="15" id="{2B30CA79-787E-44E0-8F7D-34610284DB1F}">
            <xm:f>O5=Lists!$F$14</xm:f>
            <x14:dxf>
              <fill>
                <patternFill>
                  <bgColor rgb="FFE0DCD8"/>
                </patternFill>
              </fill>
            </x14:dxf>
          </x14:cfRule>
          <x14:cfRule type="expression" priority="16" id="{A3FAF9E0-EF65-4430-8BEE-BCEC3463DE7F}">
            <xm:f>O5=Lists!$F$12</xm:f>
            <x14:dxf>
              <font>
                <color auto="1"/>
              </font>
              <fill>
                <patternFill>
                  <bgColor rgb="FFE0DCD8"/>
                </patternFill>
              </fill>
            </x14:dxf>
          </x14:cfRule>
          <xm:sqref>P5:P60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0000000}">
          <x14:formula1>
            <xm:f>Lists!$F$11:$F$15</xm:f>
          </x14:formula1>
          <xm:sqref>K5:K60 M5:M60</xm:sqref>
        </x14:dataValidation>
        <x14:dataValidation type="list" allowBlank="1" showInputMessage="1" showErrorMessage="1" xr:uid="{00000000-0002-0000-1600-000001000000}">
          <x14:formula1>
            <xm:f>Lists!$F$6:$F$8</xm:f>
          </x14:formula1>
          <xm:sqref>J5:J60</xm:sqref>
        </x14:dataValidation>
        <x14:dataValidation type="list" allowBlank="1" showInputMessage="1" showErrorMessage="1" xr:uid="{00000000-0002-0000-1600-000002000000}">
          <x14:formula1>
            <xm:f>Lists!$F$17:$F$18</xm:f>
          </x14:formula1>
          <xm:sqref>O5:O60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rgb="FF92D050"/>
    <pageSetUpPr fitToPage="1"/>
  </sheetPr>
  <dimension ref="A1:V63"/>
  <sheetViews>
    <sheetView showGridLines="0" zoomScale="70" zoomScaleNormal="70" workbookViewId="0">
      <selection activeCell="J10" sqref="B1:J10"/>
    </sheetView>
  </sheetViews>
  <sheetFormatPr defaultColWidth="0" defaultRowHeight="14" zeroHeight="1"/>
  <cols>
    <col min="1" max="1" width="1.25" style="522" customWidth="1"/>
    <col min="2" max="2" width="6.08203125" style="522" customWidth="1"/>
    <col min="3" max="3" width="19.33203125" style="522" customWidth="1"/>
    <col min="4" max="4" width="14" style="542" customWidth="1"/>
    <col min="5" max="5" width="75" style="522" customWidth="1"/>
    <col min="6" max="6" width="8.58203125" style="542" customWidth="1"/>
    <col min="7" max="7" width="12.58203125" style="542" customWidth="1"/>
    <col min="8" max="8" width="18.58203125" style="542" customWidth="1"/>
    <col min="9" max="9" width="18.58203125" style="547" customWidth="1"/>
    <col min="10" max="10" width="9" style="550" customWidth="1"/>
    <col min="11" max="11" width="2.08203125" style="522" customWidth="1"/>
    <col min="12" max="12" width="33.58203125" style="522" customWidth="1"/>
    <col min="13" max="13" width="24.75" style="522" customWidth="1"/>
    <col min="14" max="14" width="1.58203125" style="522" customWidth="1"/>
    <col min="15" max="15" width="1.58203125" style="523" hidden="1" customWidth="1"/>
    <col min="16" max="17" width="9.08203125" style="524" hidden="1" customWidth="1"/>
    <col min="18" max="18" width="1.58203125" style="558" hidden="1" customWidth="1"/>
    <col min="19" max="20" width="9.08203125" style="524" hidden="1" customWidth="1"/>
    <col min="21" max="21" width="1.58203125" style="558" hidden="1" customWidth="1"/>
    <col min="22" max="22" width="1.58203125" style="522" hidden="1" customWidth="1"/>
    <col min="23" max="16384" width="9" style="522" hidden="1"/>
  </cols>
  <sheetData>
    <row r="1" spans="1:20" ht="20">
      <c r="A1" s="521"/>
      <c r="B1" s="67" t="s">
        <v>2353</v>
      </c>
      <c r="C1" s="67"/>
      <c r="D1" s="537"/>
      <c r="E1" s="67"/>
      <c r="F1" s="67" t="str">
        <f>Validation!B3</f>
        <v>Bristol Water</v>
      </c>
      <c r="G1" s="537"/>
      <c r="H1" s="537"/>
      <c r="I1" s="543"/>
      <c r="J1" s="69"/>
      <c r="K1" s="69"/>
      <c r="L1" s="69"/>
      <c r="M1" s="69" t="s">
        <v>32</v>
      </c>
    </row>
    <row r="2" spans="1:20" ht="19" thickBot="1">
      <c r="B2" s="525" t="s">
        <v>18</v>
      </c>
      <c r="C2" s="526"/>
      <c r="D2" s="551"/>
      <c r="E2" s="521"/>
      <c r="F2" s="521"/>
      <c r="G2" s="521"/>
      <c r="H2" s="521"/>
      <c r="I2" s="544"/>
      <c r="J2" s="548"/>
      <c r="K2" s="521"/>
      <c r="L2" s="521"/>
      <c r="M2" s="527"/>
      <c r="P2" s="76" t="s">
        <v>45</v>
      </c>
      <c r="Q2" s="528"/>
      <c r="S2" s="528" t="s">
        <v>2354</v>
      </c>
      <c r="T2" s="528"/>
    </row>
    <row r="3" spans="1:20" ht="27.5" thickBot="1">
      <c r="B3" s="2834" t="s">
        <v>2305</v>
      </c>
      <c r="C3" s="2834" t="s">
        <v>2306</v>
      </c>
      <c r="D3" s="306" t="s">
        <v>2355</v>
      </c>
      <c r="E3" s="305" t="s">
        <v>2356</v>
      </c>
      <c r="F3" s="306" t="s">
        <v>2308</v>
      </c>
      <c r="G3" s="306" t="s">
        <v>2310</v>
      </c>
      <c r="H3" s="306" t="s">
        <v>2357</v>
      </c>
      <c r="I3" s="545" t="s">
        <v>2312</v>
      </c>
      <c r="J3" s="297" t="s">
        <v>2313</v>
      </c>
      <c r="K3" s="527"/>
      <c r="L3" s="186" t="s">
        <v>2320</v>
      </c>
      <c r="M3" s="187" t="s">
        <v>41</v>
      </c>
      <c r="P3" s="529" t="s">
        <v>46</v>
      </c>
      <c r="S3" s="524" t="s">
        <v>2358</v>
      </c>
    </row>
    <row r="4" spans="1:20" ht="7.5" customHeight="1" thickBot="1">
      <c r="B4" s="155"/>
      <c r="C4" s="155"/>
      <c r="D4" s="538"/>
      <c r="E4" s="155"/>
      <c r="F4" s="538"/>
      <c r="G4" s="538"/>
      <c r="H4" s="538"/>
      <c r="I4" s="546"/>
      <c r="J4" s="549"/>
      <c r="P4" s="524" t="s">
        <v>2325</v>
      </c>
      <c r="Q4" s="524" t="s">
        <v>2326</v>
      </c>
    </row>
    <row r="5" spans="1:20" ht="30" customHeight="1">
      <c r="B5" s="530">
        <v>1</v>
      </c>
      <c r="C5" s="531" t="str">
        <f>IF($F$1="Select company","",IF((HLOOKUP((VLOOKUP($F$1,Lists!$B$4:$C$26,2,FALSE)),'SUB list edited'!$A$2:$DP$42,($B5+1),FALSE))=0,"",HLOOKUP((VLOOKUP($F$1,Lists!$B$4:$C$26,2,FALSE)),'SUB list edited'!$A$2:$DP$42,($B5+1),FALSE)))</f>
        <v>PR14BRLWSW_A2</v>
      </c>
      <c r="D5" s="539" t="str">
        <f>IF($F$1="Select company","",IF(C5 = "","",HLOOKUP(((VLOOKUP($F$1,Lists!$B$4:$C$26,2,FALSE))&amp;"ID"),'SUB list edited'!$A$2:$DP$42,($B5+1),FALSE)))</f>
        <v>00</v>
      </c>
      <c r="E5" s="531" t="str">
        <f>IF($F$1="Select company","",IF(C5 = "","",HLOOKUP(((VLOOKUP($F$1,Lists!$B$4:$C$26,2,FALSE))&amp;"PC"),'SUB list edited'!$A$2:$DP$42,($B5+1),FALSE)))</f>
        <v>A2: Asset reliability - infrastructure</v>
      </c>
      <c r="F5" s="539" t="str">
        <f>IF($F$1="Select company","",IF(C5 = "","",HLOOKUP(((VLOOKUP($F$1,Lists!$B$4:$C$26,2,FALSE))&amp;"unit"),'SUB list edited'!$A$2:$DP$42,($B5+1),FALSE)))</f>
        <v>category</v>
      </c>
      <c r="G5" s="1351" t="str">
        <f>IF($F$1="Select company","",IF(C5="","",HLOOKUP(((VLOOKUP($F$1,Lists!$B$4:$C$26,2,FALSE))&amp;"DP"),'SUB list edited'!$A$2:$DP$42,($B5+1),FALSE)))</f>
        <v>na</v>
      </c>
      <c r="H5" s="313" t="str">
        <f>IF($F$1="Select company","",IF(C5 = "","",HLOOKUP(((VLOOKUP($F$1,Lists!$B$4:$C$26,2,FALSE))&amp;"201819ActPerf"),'SUB list edited'!$A$2:$DP$42,($B5+1),FALSE)))</f>
        <v>Marginal</v>
      </c>
      <c r="I5" s="2890" t="s">
        <v>8706</v>
      </c>
      <c r="J5" s="553" t="s">
        <v>2459</v>
      </c>
      <c r="L5" s="532">
        <f>IF(SUM(S5:T5) &gt; 0, $S$3, 0)</f>
        <v>0</v>
      </c>
      <c r="M5" s="532">
        <f>IF(SUM(P5:Q5) &gt; 0, $P$3, 0)</f>
        <v>0</v>
      </c>
      <c r="P5" s="528">
        <f>IF($C5="", 0, IF(ISBLANK(I5), 1, 0))</f>
        <v>0</v>
      </c>
      <c r="Q5" s="528">
        <f>IF($C5="", 0, IF(ISBLANK(J5), 1, 0))</f>
        <v>0</v>
      </c>
      <c r="S5" s="528">
        <f xml:space="preserve"> IF(C5 = "", 0, IF(AND(NOT(INDEX('3A'!I$5:I$60, MATCH('3B'!$C5, '3A'!$C$5:$C$60, 0))=I5), $D5="00"), 1, 0))</f>
        <v>0</v>
      </c>
      <c r="T5" s="528">
        <f xml:space="preserve"> IF(C5 = "", 0, IF(AND(NOT(INDEX('3A'!J$5:J$60, MATCH('3B'!$C5, '3A'!$C$5:$C$60, 0))=J5), $D5="00"), 1, 0))</f>
        <v>0</v>
      </c>
    </row>
    <row r="6" spans="1:20" ht="30" customHeight="1">
      <c r="B6" s="533">
        <f xml:space="preserve"> B5 + 1</f>
        <v>2</v>
      </c>
      <c r="C6" s="534" t="str">
        <f>IF($F$1="Select company","",IF((HLOOKUP((VLOOKUP($F$1,Lists!$B$4:$C$26,2,FALSE)),'SUB list edited'!$A$2:$DP$42,($B6+1),FALSE))=0,"",HLOOKUP((VLOOKUP($F$1,Lists!$B$4:$C$26,2,FALSE)),'SUB list edited'!$A$2:$DP$42,($B6+1),FALSE)))</f>
        <v>PR14BRLWSW_A2</v>
      </c>
      <c r="D6" s="540" t="str">
        <f>IF($F$1="Select company","",IF(C6 = "","",HLOOKUP(((VLOOKUP($F$1,Lists!$B$4:$C$26,2,FALSE))&amp;"ID"),'SUB list edited'!$A$2:$DP$42,($B6+1),FALSE)))</f>
        <v>01</v>
      </c>
      <c r="E6" s="534" t="str">
        <f>IF($F$1="Select company","",IF(C6 = "","",HLOOKUP(((VLOOKUP($F$1,Lists!$B$4:$C$26,2,FALSE))&amp;"PC"),'SUB list edited'!$A$2:$DP$42,($B6+1),FALSE)))</f>
        <v>Total bursts (number)</v>
      </c>
      <c r="F6" s="540" t="str">
        <f>IF($F$1="Select company","",IF(C6 = "","",HLOOKUP(((VLOOKUP($F$1,Lists!$B$4:$C$26,2,FALSE))&amp;"unit"),'SUB list edited'!$A$2:$DP$42,($B6+1),FALSE)))</f>
        <v>nr</v>
      </c>
      <c r="G6" s="1352" t="str">
        <f>IF($F$1="Select company","",IF(C6="","",HLOOKUP(((VLOOKUP($F$1,Lists!$B$4:$C$26,2,FALSE))&amp;"DP"),'SUB list edited'!$A$2:$DP$42,($B6+1),FALSE)))</f>
        <v>0</v>
      </c>
      <c r="H6" s="314">
        <f>IF($F$1="Select company","",IF(C6 = "","",HLOOKUP(((VLOOKUP($F$1,Lists!$B$4:$C$26,2,FALSE))&amp;"201819ActPerf"),'SUB list edited'!$A$2:$DP$42,($B6+1),FALSE)))</f>
        <v>1074</v>
      </c>
      <c r="I6" s="554">
        <v>796</v>
      </c>
      <c r="J6" s="555" t="s">
        <v>2459</v>
      </c>
      <c r="L6" s="532">
        <f>IF(SUM(S6:T6) &gt; 0, $S$3, 0)</f>
        <v>0</v>
      </c>
      <c r="M6" s="532">
        <f t="shared" ref="M6:M44" si="0">IF(SUM(P6:Q6) &gt; 0, $P$3, 0)</f>
        <v>0</v>
      </c>
      <c r="P6" s="528">
        <f t="shared" ref="P6:P44" si="1">IF($C6="", 0, IF(ISBLANK(I6), 1, 0))</f>
        <v>0</v>
      </c>
      <c r="Q6" s="528">
        <f t="shared" ref="Q6:Q44" si="2">IF($C6="", 0, IF(ISBLANK(J6), 1, 0))</f>
        <v>0</v>
      </c>
      <c r="S6" s="528">
        <f xml:space="preserve"> IF(C6 = "", 0, IF(AND(NOT(INDEX('3A'!I$5:I$60, MATCH('3B'!$C6, '3A'!$C$5:$C$60, 0))=I6), $D6="00"), 1, 0))</f>
        <v>0</v>
      </c>
      <c r="T6" s="528">
        <f xml:space="preserve"> IF(C6 = "", 0, IF(AND(NOT(INDEX('3A'!J$5:J$60, MATCH('3B'!$C6, '3A'!$C$5:$C$60, 0))=J6), $D6="00"), 1, 0))</f>
        <v>0</v>
      </c>
    </row>
    <row r="7" spans="1:20" ht="30" customHeight="1">
      <c r="B7" s="533">
        <f t="shared" ref="B7:B11" si="3" xml:space="preserve"> B6 + 1</f>
        <v>3</v>
      </c>
      <c r="C7" s="534" t="str">
        <f>IF($F$1="Select company","",IF((HLOOKUP((VLOOKUP($F$1,Lists!$B$4:$C$26,2,FALSE)),'SUB list edited'!$A$2:$DP$42,($B7+1),FALSE))=0,"",HLOOKUP((VLOOKUP($F$1,Lists!$B$4:$C$26,2,FALSE)),'SUB list edited'!$A$2:$DP$42,($B7+1),FALSE)))</f>
        <v>PR14BRLWSW_A2</v>
      </c>
      <c r="D7" s="540" t="str">
        <f>IF($F$1="Select company","",IF(C7 = "","",HLOOKUP(((VLOOKUP($F$1,Lists!$B$4:$C$26,2,FALSE))&amp;"ID"),'SUB list edited'!$A$2:$DP$42,($B7+1),FALSE)))</f>
        <v>02</v>
      </c>
      <c r="E7" s="534" t="str">
        <f>IF($F$1="Select company","",IF(C7 = "","",HLOOKUP(((VLOOKUP($F$1,Lists!$B$4:$C$26,2,FALSE))&amp;"PC"),'SUB list edited'!$A$2:$DP$42,($B7+1),FALSE)))</f>
        <v>DG2: low pressure (number of properties)</v>
      </c>
      <c r="F7" s="540" t="str">
        <f>IF($F$1="Select company","",IF(C7 = "","",HLOOKUP(((VLOOKUP($F$1,Lists!$B$4:$C$26,2,FALSE))&amp;"unit"),'SUB list edited'!$A$2:$DP$42,($B7+1),FALSE)))</f>
        <v>nr</v>
      </c>
      <c r="G7" s="1352" t="str">
        <f>IF($F$1="Select company","",IF(C7="","",HLOOKUP(((VLOOKUP($F$1,Lists!$B$4:$C$26,2,FALSE))&amp;"DP"),'SUB list edited'!$A$2:$DP$42,($B7+1),FALSE)))</f>
        <v>0</v>
      </c>
      <c r="H7" s="314">
        <f>IF($F$1="Select company","",IF(C7 = "","",HLOOKUP(((VLOOKUP($F$1,Lists!$B$4:$C$26,2,FALSE))&amp;"201819ActPerf"),'SUB list edited'!$A$2:$DP$42,($B7+1),FALSE)))</f>
        <v>61</v>
      </c>
      <c r="I7" s="554">
        <v>57</v>
      </c>
      <c r="J7" s="555" t="s">
        <v>2459</v>
      </c>
      <c r="L7" s="532">
        <f t="shared" ref="L7:L44" si="4">IF(SUM(S7:T7) &gt; 0, $S$3, 0)</f>
        <v>0</v>
      </c>
      <c r="M7" s="532">
        <f t="shared" si="0"/>
        <v>0</v>
      </c>
      <c r="P7" s="528">
        <f t="shared" si="1"/>
        <v>0</v>
      </c>
      <c r="Q7" s="528">
        <f t="shared" si="2"/>
        <v>0</v>
      </c>
      <c r="S7" s="528">
        <f xml:space="preserve"> IF(C7 = "", 0, IF(AND(NOT(INDEX('3A'!I$5:I$60, MATCH('3B'!$C7, '3A'!$C$5:$C$60, 0))=I7), $D7="00"), 1, 0))</f>
        <v>0</v>
      </c>
      <c r="T7" s="528">
        <f xml:space="preserve"> IF(C7 = "", 0, IF(AND(NOT(INDEX('3A'!J$5:J$60, MATCH('3B'!$C7, '3A'!$C$5:$C$60, 0))=J7), $D7="00"), 1, 0))</f>
        <v>0</v>
      </c>
    </row>
    <row r="8" spans="1:20" ht="30" customHeight="1">
      <c r="B8" s="533">
        <f t="shared" si="3"/>
        <v>4</v>
      </c>
      <c r="C8" s="534" t="str">
        <f>IF($F$1="Select company","",IF((HLOOKUP((VLOOKUP($F$1,Lists!$B$4:$C$26,2,FALSE)),'SUB list edited'!$A$2:$DP$42,($B8+1),FALSE))=0,"",HLOOKUP((VLOOKUP($F$1,Lists!$B$4:$C$26,2,FALSE)),'SUB list edited'!$A$2:$DP$42,($B8+1),FALSE)))</f>
        <v>PR14BRLWSW_A3</v>
      </c>
      <c r="D8" s="540" t="str">
        <f>IF($F$1="Select company","",IF(C8 = "","",HLOOKUP(((VLOOKUP($F$1,Lists!$B$4:$C$26,2,FALSE))&amp;"ID"),'SUB list edited'!$A$2:$DP$42,($B8+1),FALSE)))</f>
        <v>00</v>
      </c>
      <c r="E8" s="534" t="str">
        <f>IF($F$1="Select company","",IF(C8 = "","",HLOOKUP(((VLOOKUP($F$1,Lists!$B$4:$C$26,2,FALSE))&amp;"PC"),'SUB list edited'!$A$2:$DP$42,($B8+1),FALSE)))</f>
        <v>A3: Asset reliability - non-infrastructure</v>
      </c>
      <c r="F8" s="540" t="str">
        <f>IF($F$1="Select company","",IF(C8 = "","",HLOOKUP(((VLOOKUP($F$1,Lists!$B$4:$C$26,2,FALSE))&amp;"unit"),'SUB list edited'!$A$2:$DP$42,($B8+1),FALSE)))</f>
        <v>category</v>
      </c>
      <c r="G8" s="1352" t="str">
        <f>IF($F$1="Select company","",IF(C8="","",HLOOKUP(((VLOOKUP($F$1,Lists!$B$4:$C$26,2,FALSE))&amp;"DP"),'SUB list edited'!$A$2:$DP$42,($B8+1),FALSE)))</f>
        <v>na</v>
      </c>
      <c r="H8" s="314" t="str">
        <f>IF($F$1="Select company","",IF(C8 = "","",HLOOKUP(((VLOOKUP($F$1,Lists!$B$4:$C$26,2,FALSE))&amp;"201819ActPerf"),'SUB list edited'!$A$2:$DP$42,($B8+1),FALSE)))</f>
        <v>Stable</v>
      </c>
      <c r="I8" s="2100" t="s">
        <v>8706</v>
      </c>
      <c r="J8" s="555" t="s">
        <v>2459</v>
      </c>
      <c r="L8" s="532">
        <f t="shared" si="4"/>
        <v>0</v>
      </c>
      <c r="M8" s="532">
        <f t="shared" si="0"/>
        <v>0</v>
      </c>
      <c r="P8" s="528">
        <f t="shared" si="1"/>
        <v>0</v>
      </c>
      <c r="Q8" s="528">
        <f t="shared" si="2"/>
        <v>0</v>
      </c>
      <c r="S8" s="528">
        <f xml:space="preserve"> IF(C8 = "", 0, IF(AND(NOT(INDEX('3A'!I$5:I$60, MATCH('3B'!$C8, '3A'!$C$5:$C$60, 0))=I8), $D8="00"), 1, 0))</f>
        <v>0</v>
      </c>
      <c r="T8" s="528">
        <f xml:space="preserve"> IF(C8 = "", 0, IF(AND(NOT(INDEX('3A'!J$5:J$60, MATCH('3B'!$C8, '3A'!$C$5:$C$60, 0))=J8), $D8="00"), 1, 0))</f>
        <v>0</v>
      </c>
    </row>
    <row r="9" spans="1:20" ht="30" customHeight="1">
      <c r="B9" s="533">
        <f t="shared" si="3"/>
        <v>5</v>
      </c>
      <c r="C9" s="534" t="str">
        <f>IF($F$1="Select company","",IF((HLOOKUP((VLOOKUP($F$1,Lists!$B$4:$C$26,2,FALSE)),'SUB list edited'!$A$2:$DP$42,($B9+1),FALSE))=0,"",HLOOKUP((VLOOKUP($F$1,Lists!$B$4:$C$26,2,FALSE)),'SUB list edited'!$A$2:$DP$42,($B9+1),FALSE)))</f>
        <v>PR14BRLWSW_A3</v>
      </c>
      <c r="D9" s="540" t="str">
        <f>IF($F$1="Select company","",IF(C9 = "","",HLOOKUP(((VLOOKUP($F$1,Lists!$B$4:$C$26,2,FALSE))&amp;"ID"),'SUB list edited'!$A$2:$DP$42,($B9+1),FALSE)))</f>
        <v>01</v>
      </c>
      <c r="E9" s="534" t="str">
        <f>IF($F$1="Select company","",IF(C9 = "","",HLOOKUP(((VLOOKUP($F$1,Lists!$B$4:$C$26,2,FALSE))&amp;"PC"),'SUB list edited'!$A$2:$DP$42,($B9+1),FALSE)))</f>
        <v>Turbidity performance at treatment works (number)</v>
      </c>
      <c r="F9" s="540" t="str">
        <f>IF($F$1="Select company","",IF(C9 = "","",HLOOKUP(((VLOOKUP($F$1,Lists!$B$4:$C$26,2,FALSE))&amp;"unit"),'SUB list edited'!$A$2:$DP$42,($B9+1),FALSE)))</f>
        <v>nr</v>
      </c>
      <c r="G9" s="1352" t="str">
        <f>IF($F$1="Select company","",IF(C9="","",HLOOKUP(((VLOOKUP($F$1,Lists!$B$4:$C$26,2,FALSE))&amp;"DP"),'SUB list edited'!$A$2:$DP$42,($B9+1),FALSE)))</f>
        <v>0</v>
      </c>
      <c r="H9" s="314">
        <f>IF($F$1="Select company","",IF(C9 = "","",HLOOKUP(((VLOOKUP($F$1,Lists!$B$4:$C$26,2,FALSE))&amp;"201819ActPerf"),'SUB list edited'!$A$2:$DP$42,($B9+1),FALSE)))</f>
        <v>0</v>
      </c>
      <c r="I9" s="2100">
        <v>0</v>
      </c>
      <c r="J9" s="555" t="s">
        <v>2459</v>
      </c>
      <c r="L9" s="532">
        <f t="shared" si="4"/>
        <v>0</v>
      </c>
      <c r="M9" s="532">
        <f t="shared" si="0"/>
        <v>0</v>
      </c>
      <c r="P9" s="528">
        <f t="shared" si="1"/>
        <v>0</v>
      </c>
      <c r="Q9" s="528">
        <f t="shared" si="2"/>
        <v>0</v>
      </c>
      <c r="S9" s="528">
        <f xml:space="preserve"> IF(C9 = "", 0, IF(AND(NOT(INDEX('3A'!I$5:I$60, MATCH('3B'!$C9, '3A'!$C$5:$C$60, 0))=I9), $D9="00"), 1, 0))</f>
        <v>0</v>
      </c>
      <c r="T9" s="528">
        <f xml:space="preserve"> IF(C9 = "", 0, IF(AND(NOT(INDEX('3A'!J$5:J$60, MATCH('3B'!$C9, '3A'!$C$5:$C$60, 0))=J9), $D9="00"), 1, 0))</f>
        <v>0</v>
      </c>
    </row>
    <row r="10" spans="1:20" ht="30" customHeight="1">
      <c r="B10" s="533">
        <f t="shared" si="3"/>
        <v>6</v>
      </c>
      <c r="C10" s="534" t="str">
        <f>IF($F$1="Select company","",IF((HLOOKUP((VLOOKUP($F$1,Lists!$B$4:$C$26,2,FALSE)),'SUB list edited'!$A$2:$DP$42,($B10+1),FALSE))=0,"",HLOOKUP((VLOOKUP($F$1,Lists!$B$4:$C$26,2,FALSE)),'SUB list edited'!$A$2:$DP$42,($B10+1),FALSE)))</f>
        <v>PR14BRLWSW_A3</v>
      </c>
      <c r="D10" s="540" t="str">
        <f>IF($F$1="Select company","",IF(C10 = "","",HLOOKUP(((VLOOKUP($F$1,Lists!$B$4:$C$26,2,FALSE))&amp;"ID"),'SUB list edited'!$A$2:$DP$42,($B10+1),FALSE)))</f>
        <v>02</v>
      </c>
      <c r="E10" s="534" t="str">
        <f>IF($F$1="Select company","",IF(C10 = "","",HLOOKUP(((VLOOKUP($F$1,Lists!$B$4:$C$26,2,FALSE))&amp;"PC"),'SUB list edited'!$A$2:$DP$42,($B10+1),FALSE)))</f>
        <v>Unplanned maintenance events (number)</v>
      </c>
      <c r="F10" s="540" t="str">
        <f>IF($F$1="Select company","",IF(C10 = "","",HLOOKUP(((VLOOKUP($F$1,Lists!$B$4:$C$26,2,FALSE))&amp;"unit"),'SUB list edited'!$A$2:$DP$42,($B10+1),FALSE)))</f>
        <v>nr</v>
      </c>
      <c r="G10" s="1352" t="str">
        <f>IF($F$1="Select company","",IF(C10="","",HLOOKUP(((VLOOKUP($F$1,Lists!$B$4:$C$26,2,FALSE))&amp;"DP"),'SUB list edited'!$A$2:$DP$42,($B10+1),FALSE)))</f>
        <v>0</v>
      </c>
      <c r="H10" s="314">
        <f>IF($F$1="Select company","",IF(C10 = "","",HLOOKUP(((VLOOKUP($F$1,Lists!$B$4:$C$26,2,FALSE))&amp;"201819ActPerf"),'SUB list edited'!$A$2:$DP$42,($B10+1),FALSE)))</f>
        <v>2913</v>
      </c>
      <c r="I10" s="554">
        <v>3327</v>
      </c>
      <c r="J10" s="555" t="s">
        <v>2459</v>
      </c>
      <c r="L10" s="532">
        <f t="shared" si="4"/>
        <v>0</v>
      </c>
      <c r="M10" s="532">
        <f t="shared" si="0"/>
        <v>0</v>
      </c>
      <c r="P10" s="528">
        <f t="shared" si="1"/>
        <v>0</v>
      </c>
      <c r="Q10" s="528">
        <f t="shared" si="2"/>
        <v>0</v>
      </c>
      <c r="S10" s="528">
        <f xml:space="preserve"> IF(C10 = "", 0, IF(AND(NOT(INDEX('3A'!I$5:I$60, MATCH('3B'!$C10, '3A'!$C$5:$C$60, 0))=I10), $D10="00"), 1, 0))</f>
        <v>0</v>
      </c>
      <c r="T10" s="528">
        <f xml:space="preserve"> IF(C10 = "", 0, IF(AND(NOT(INDEX('3A'!J$5:J$60, MATCH('3B'!$C10, '3A'!$C$5:$C$60, 0))=J10), $D10="00"), 1, 0))</f>
        <v>0</v>
      </c>
    </row>
    <row r="11" spans="1:20" ht="30" customHeight="1">
      <c r="B11" s="533">
        <f t="shared" si="3"/>
        <v>7</v>
      </c>
      <c r="C11" s="534" t="str">
        <f>IF($F$1="Select company","",IF((HLOOKUP((VLOOKUP($F$1,Lists!$B$4:$C$26,2,FALSE)),'SUB list edited'!$A$2:$DP$42,($B11+1),FALSE))=0,"",HLOOKUP((VLOOKUP($F$1,Lists!$B$4:$C$26,2,FALSE)),'SUB list edited'!$A$2:$DP$42,($B11+1),FALSE)))</f>
        <v/>
      </c>
      <c r="D11" s="540" t="str">
        <f>IF($F$1="Select company","",IF(C11 = "","",HLOOKUP(((VLOOKUP($F$1,Lists!$B$4:$C$26,2,FALSE))&amp;"ID"),'SUB list edited'!$A$2:$DP$42,($B11+1),FALSE)))</f>
        <v/>
      </c>
      <c r="E11" s="534" t="str">
        <f>IF($F$1="Select company","",IF(C11 = "","",HLOOKUP(((VLOOKUP($F$1,Lists!$B$4:$C$26,2,FALSE))&amp;"PC"),'SUB list edited'!$A$2:$DP$42,($B11+1),FALSE)))</f>
        <v/>
      </c>
      <c r="F11" s="540" t="str">
        <f>IF($F$1="Select company","",IF(C11 = "","",HLOOKUP(((VLOOKUP($F$1,Lists!$B$4:$C$26,2,FALSE))&amp;"unit"),'SUB list edited'!$A$2:$DP$42,($B11+1),FALSE)))</f>
        <v/>
      </c>
      <c r="G11" s="1352" t="str">
        <f>IF($F$1="Select company","",IF(C11="","",HLOOKUP(((VLOOKUP($F$1,Lists!$B$4:$C$26,2,FALSE))&amp;"DP"),'SUB list edited'!$A$2:$DP$42,($B11+1),FALSE)))</f>
        <v/>
      </c>
      <c r="H11" s="314" t="str">
        <f>IF($F$1="Select company","",IF(C11 = "","",HLOOKUP(((VLOOKUP($F$1,Lists!$B$4:$C$26,2,FALSE))&amp;"201819ActPerf"),'SUB list edited'!$A$2:$DP$42,($B11+1),FALSE)))</f>
        <v/>
      </c>
      <c r="I11" s="554"/>
      <c r="J11" s="555"/>
      <c r="L11" s="532">
        <f t="shared" si="4"/>
        <v>0</v>
      </c>
      <c r="M11" s="532">
        <f t="shared" si="0"/>
        <v>0</v>
      </c>
      <c r="P11" s="528">
        <f t="shared" si="1"/>
        <v>0</v>
      </c>
      <c r="Q11" s="528">
        <f t="shared" si="2"/>
        <v>0</v>
      </c>
      <c r="S11" s="528">
        <f xml:space="preserve"> IF(C11 = "", 0, IF(AND(NOT(INDEX('3A'!I$5:I$60, MATCH('3B'!$C11, '3A'!$C$5:$C$60, 0))=I11), $D11="00"), 1, 0))</f>
        <v>0</v>
      </c>
      <c r="T11" s="528">
        <f xml:space="preserve"> IF(C11 = "", 0, IF(AND(NOT(INDEX('3A'!J$5:J$60, MATCH('3B'!$C11, '3A'!$C$5:$C$60, 0))=J11), $D11="00"), 1, 0))</f>
        <v>0</v>
      </c>
    </row>
    <row r="12" spans="1:20" ht="30" customHeight="1">
      <c r="B12" s="533">
        <f xml:space="preserve"> B11 + 1</f>
        <v>8</v>
      </c>
      <c r="C12" s="534" t="str">
        <f>IF($F$1="Select company","",IF((HLOOKUP((VLOOKUP($F$1,Lists!$B$4:$C$26,2,FALSE)),'SUB list edited'!$A$2:$DP$42,($B12+1),FALSE))=0,"",HLOOKUP((VLOOKUP($F$1,Lists!$B$4:$C$26,2,FALSE)),'SUB list edited'!$A$2:$DP$42,($B12+1),FALSE)))</f>
        <v/>
      </c>
      <c r="D12" s="540" t="str">
        <f>IF($F$1="Select company","",IF(C12 = "","",HLOOKUP(((VLOOKUP($F$1,Lists!$B$4:$C$26,2,FALSE))&amp;"ID"),'SUB list edited'!$A$2:$DP$42,($B12+1),FALSE)))</f>
        <v/>
      </c>
      <c r="E12" s="534" t="str">
        <f>IF($F$1="Select company","",IF(C12 = "","",HLOOKUP(((VLOOKUP($F$1,Lists!$B$4:$C$26,2,FALSE))&amp;"PC"),'SUB list edited'!$A$2:$DP$42,($B12+1),FALSE)))</f>
        <v/>
      </c>
      <c r="F12" s="540" t="str">
        <f>IF($F$1="Select company","",IF(C12 = "","",HLOOKUP(((VLOOKUP($F$1,Lists!$B$4:$C$26,2,FALSE))&amp;"unit"),'SUB list edited'!$A$2:$DP$42,($B12+1),FALSE)))</f>
        <v/>
      </c>
      <c r="G12" s="1352" t="str">
        <f>IF($F$1="Select company","",IF(C12="","",HLOOKUP(((VLOOKUP($F$1,Lists!$B$4:$C$26,2,FALSE))&amp;"DP"),'SUB list edited'!$A$2:$DP$42,($B12+1),FALSE)))</f>
        <v/>
      </c>
      <c r="H12" s="314" t="str">
        <f>IF($F$1="Select company","",IF(C12 = "","",HLOOKUP(((VLOOKUP($F$1,Lists!$B$4:$C$26,2,FALSE))&amp;"201819ActPerf"),'SUB list edited'!$A$2:$DP$42,($B12+1),FALSE)))</f>
        <v/>
      </c>
      <c r="I12" s="2100"/>
      <c r="J12" s="555"/>
      <c r="L12" s="532">
        <f t="shared" si="4"/>
        <v>0</v>
      </c>
      <c r="M12" s="532">
        <f t="shared" si="0"/>
        <v>0</v>
      </c>
      <c r="P12" s="528">
        <f t="shared" si="1"/>
        <v>0</v>
      </c>
      <c r="Q12" s="528">
        <f t="shared" si="2"/>
        <v>0</v>
      </c>
      <c r="S12" s="528">
        <f xml:space="preserve"> IF(C12 = "", 0, IF(AND(NOT(INDEX('3A'!I$5:I$60, MATCH('3B'!$C12, '3A'!$C$5:$C$60, 0))=I12), $D12="00"), 1, 0))</f>
        <v>0</v>
      </c>
      <c r="T12" s="528">
        <f xml:space="preserve"> IF(C12 = "", 0, IF(AND(NOT(INDEX('3A'!J$5:J$60, MATCH('3B'!$C12, '3A'!$C$5:$C$60, 0))=J12), $D12="00"), 1, 0))</f>
        <v>0</v>
      </c>
    </row>
    <row r="13" spans="1:20" ht="30" customHeight="1">
      <c r="B13" s="533">
        <f t="shared" ref="B13:B15" si="5" xml:space="preserve"> B12 + 1</f>
        <v>9</v>
      </c>
      <c r="C13" s="534" t="str">
        <f>IF($F$1="Select company","",IF((HLOOKUP((VLOOKUP($F$1,Lists!$B$4:$C$26,2,FALSE)),'SUB list edited'!$A$2:$DP$42,($B13+1),FALSE))=0,"",HLOOKUP((VLOOKUP($F$1,Lists!$B$4:$C$26,2,FALSE)),'SUB list edited'!$A$2:$DP$42,($B13+1),FALSE)))</f>
        <v/>
      </c>
      <c r="D13" s="540" t="str">
        <f>IF($F$1="Select company","",IF(C13 = "","",HLOOKUP(((VLOOKUP($F$1,Lists!$B$4:$C$26,2,FALSE))&amp;"ID"),'SUB list edited'!$A$2:$DP$42,($B13+1),FALSE)))</f>
        <v/>
      </c>
      <c r="E13" s="534" t="str">
        <f>IF($F$1="Select company","",IF(C13 = "","",HLOOKUP(((VLOOKUP($F$1,Lists!$B$4:$C$26,2,FALSE))&amp;"PC"),'SUB list edited'!$A$2:$DP$42,($B13+1),FALSE)))</f>
        <v/>
      </c>
      <c r="F13" s="540" t="str">
        <f>IF($F$1="Select company","",IF(C13 = "","",HLOOKUP(((VLOOKUP($F$1,Lists!$B$4:$C$26,2,FALSE))&amp;"unit"),'SUB list edited'!$A$2:$DP$42,($B13+1),FALSE)))</f>
        <v/>
      </c>
      <c r="G13" s="1352" t="str">
        <f>IF($F$1="Select company","",IF(C13="","",HLOOKUP(((VLOOKUP($F$1,Lists!$B$4:$C$26,2,FALSE))&amp;"DP"),'SUB list edited'!$A$2:$DP$42,($B13+1),FALSE)))</f>
        <v/>
      </c>
      <c r="H13" s="314" t="str">
        <f>IF($F$1="Select company","",IF(C13 = "","",HLOOKUP(((VLOOKUP($F$1,Lists!$B$4:$C$26,2,FALSE))&amp;"201819ActPerf"),'SUB list edited'!$A$2:$DP$42,($B13+1),FALSE)))</f>
        <v/>
      </c>
      <c r="I13" s="554"/>
      <c r="J13" s="555"/>
      <c r="L13" s="532">
        <f t="shared" si="4"/>
        <v>0</v>
      </c>
      <c r="M13" s="532">
        <f t="shared" si="0"/>
        <v>0</v>
      </c>
      <c r="P13" s="528">
        <f t="shared" si="1"/>
        <v>0</v>
      </c>
      <c r="Q13" s="528">
        <f t="shared" si="2"/>
        <v>0</v>
      </c>
      <c r="S13" s="528">
        <f xml:space="preserve"> IF(C13 = "", 0, IF(AND(NOT(INDEX('3A'!I$5:I$60, MATCH('3B'!$C13, '3A'!$C$5:$C$60, 0))=I13), $D13="00"), 1, 0))</f>
        <v>0</v>
      </c>
      <c r="T13" s="528">
        <f xml:space="preserve"> IF(C13 = "", 0, IF(AND(NOT(INDEX('3A'!J$5:J$60, MATCH('3B'!$C13, '3A'!$C$5:$C$60, 0))=J13), $D13="00"), 1, 0))</f>
        <v>0</v>
      </c>
    </row>
    <row r="14" spans="1:20" ht="30" customHeight="1">
      <c r="B14" s="533">
        <f t="shared" si="5"/>
        <v>10</v>
      </c>
      <c r="C14" s="534" t="str">
        <f>IF($F$1="Select company","",IF((HLOOKUP((VLOOKUP($F$1,Lists!$B$4:$C$26,2,FALSE)),'SUB list edited'!$A$2:$DP$42,($B14+1),FALSE))=0,"",HLOOKUP((VLOOKUP($F$1,Lists!$B$4:$C$26,2,FALSE)),'SUB list edited'!$A$2:$DP$42,($B14+1),FALSE)))</f>
        <v/>
      </c>
      <c r="D14" s="540" t="str">
        <f>IF($F$1="Select company","",IF(C14 = "","",HLOOKUP(((VLOOKUP($F$1,Lists!$B$4:$C$26,2,FALSE))&amp;"ID"),'SUB list edited'!$A$2:$DP$42,($B14+1),FALSE)))</f>
        <v/>
      </c>
      <c r="E14" s="534" t="str">
        <f>IF($F$1="Select company","",IF(C14 = "","",HLOOKUP(((VLOOKUP($F$1,Lists!$B$4:$C$26,2,FALSE))&amp;"PC"),'SUB list edited'!$A$2:$DP$42,($B14+1),FALSE)))</f>
        <v/>
      </c>
      <c r="F14" s="540" t="str">
        <f>IF($F$1="Select company","",IF(C14 = "","",HLOOKUP(((VLOOKUP($F$1,Lists!$B$4:$C$26,2,FALSE))&amp;"unit"),'SUB list edited'!$A$2:$DP$42,($B14+1),FALSE)))</f>
        <v/>
      </c>
      <c r="G14" s="1352" t="str">
        <f>IF($F$1="Select company","",IF(C14="","",HLOOKUP(((VLOOKUP($F$1,Lists!$B$4:$C$26,2,FALSE))&amp;"DP"),'SUB list edited'!$A$2:$DP$42,($B14+1),FALSE)))</f>
        <v/>
      </c>
      <c r="H14" s="314" t="str">
        <f>IF($F$1="Select company","",IF(C14 = "","",HLOOKUP(((VLOOKUP($F$1,Lists!$B$4:$C$26,2,FALSE))&amp;"201819ActPerf"),'SUB list edited'!$A$2:$DP$42,($B14+1),FALSE)))</f>
        <v/>
      </c>
      <c r="I14" s="554"/>
      <c r="J14" s="555"/>
      <c r="L14" s="532">
        <f t="shared" si="4"/>
        <v>0</v>
      </c>
      <c r="M14" s="532">
        <f t="shared" si="0"/>
        <v>0</v>
      </c>
      <c r="P14" s="528">
        <f t="shared" si="1"/>
        <v>0</v>
      </c>
      <c r="Q14" s="528">
        <f t="shared" si="2"/>
        <v>0</v>
      </c>
      <c r="S14" s="528">
        <f xml:space="preserve"> IF(C14 = "", 0, IF(AND(NOT(INDEX('3A'!I$5:I$60, MATCH('3B'!$C14, '3A'!$C$5:$C$60, 0))=I14), $D14="00"), 1, 0))</f>
        <v>0</v>
      </c>
      <c r="T14" s="528">
        <f xml:space="preserve"> IF(C14 = "", 0, IF(AND(NOT(INDEX('3A'!J$5:J$60, MATCH('3B'!$C14, '3A'!$C$5:$C$60, 0))=J14), $D14="00"), 1, 0))</f>
        <v>0</v>
      </c>
    </row>
    <row r="15" spans="1:20" ht="30" customHeight="1">
      <c r="B15" s="533">
        <f t="shared" si="5"/>
        <v>11</v>
      </c>
      <c r="C15" s="534" t="str">
        <f>IF($F$1="Select company","",IF((HLOOKUP((VLOOKUP($F$1,Lists!$B$4:$C$26,2,FALSE)),'SUB list edited'!$A$2:$DP$42,($B15+1),FALSE))=0,"",HLOOKUP((VLOOKUP($F$1,Lists!$B$4:$C$26,2,FALSE)),'SUB list edited'!$A$2:$DP$42,($B15+1),FALSE)))</f>
        <v/>
      </c>
      <c r="D15" s="540" t="str">
        <f>IF($F$1="Select company","",IF(C15 = "","",HLOOKUP(((VLOOKUP($F$1,Lists!$B$4:$C$26,2,FALSE))&amp;"ID"),'SUB list edited'!$A$2:$DP$42,($B15+1),FALSE)))</f>
        <v/>
      </c>
      <c r="E15" s="534" t="str">
        <f>IF($F$1="Select company","",IF(C15 = "","",HLOOKUP(((VLOOKUP($F$1,Lists!$B$4:$C$26,2,FALSE))&amp;"PC"),'SUB list edited'!$A$2:$DP$42,($B15+1),FALSE)))</f>
        <v/>
      </c>
      <c r="F15" s="540" t="str">
        <f>IF($F$1="Select company","",IF(C15 = "","",HLOOKUP(((VLOOKUP($F$1,Lists!$B$4:$C$26,2,FALSE))&amp;"unit"),'SUB list edited'!$A$2:$DP$42,($B15+1),FALSE)))</f>
        <v/>
      </c>
      <c r="G15" s="1352" t="str">
        <f>IF($F$1="Select company","",IF(C15="","",HLOOKUP(((VLOOKUP($F$1,Lists!$B$4:$C$26,2,FALSE))&amp;"DP"),'SUB list edited'!$A$2:$DP$42,($B15+1),FALSE)))</f>
        <v/>
      </c>
      <c r="H15" s="314" t="str">
        <f>IF($F$1="Select company","",IF(C15 = "","",HLOOKUP(((VLOOKUP($F$1,Lists!$B$4:$C$26,2,FALSE))&amp;"201819ActPerf"),'SUB list edited'!$A$2:$DP$42,($B15+1),FALSE)))</f>
        <v/>
      </c>
      <c r="I15" s="554"/>
      <c r="J15" s="555"/>
      <c r="L15" s="532">
        <f t="shared" si="4"/>
        <v>0</v>
      </c>
      <c r="M15" s="532">
        <f t="shared" si="0"/>
        <v>0</v>
      </c>
      <c r="P15" s="528">
        <f t="shared" si="1"/>
        <v>0</v>
      </c>
      <c r="Q15" s="528">
        <f t="shared" si="2"/>
        <v>0</v>
      </c>
      <c r="S15" s="528">
        <f xml:space="preserve"> IF(C15 = "", 0, IF(AND(NOT(INDEX('3A'!I$5:I$60, MATCH('3B'!$C15, '3A'!$C$5:$C$60, 0))=I15), $D15="00"), 1, 0))</f>
        <v>0</v>
      </c>
      <c r="T15" s="528">
        <f xml:space="preserve"> IF(C15 = "", 0, IF(AND(NOT(INDEX('3A'!J$5:J$60, MATCH('3B'!$C15, '3A'!$C$5:$C$60, 0))=J15), $D15="00"), 1, 0))</f>
        <v>0</v>
      </c>
    </row>
    <row r="16" spans="1:20" ht="30" customHeight="1">
      <c r="B16" s="533">
        <f xml:space="preserve"> B15 + 1</f>
        <v>12</v>
      </c>
      <c r="C16" s="534" t="str">
        <f>IF($F$1="Select company","",IF((HLOOKUP((VLOOKUP($F$1,Lists!$B$4:$C$26,2,FALSE)),'SUB list edited'!$A$2:$DP$42,($B16+1),FALSE))=0,"",HLOOKUP((VLOOKUP($F$1,Lists!$B$4:$C$26,2,FALSE)),'SUB list edited'!$A$2:$DP$42,($B16+1),FALSE)))</f>
        <v/>
      </c>
      <c r="D16" s="540" t="str">
        <f>IF($F$1="Select company","",IF(C16 = "","",HLOOKUP(((VLOOKUP($F$1,Lists!$B$4:$C$26,2,FALSE))&amp;"ID"),'SUB list edited'!$A$2:$DP$42,($B16+1),FALSE)))</f>
        <v/>
      </c>
      <c r="E16" s="534" t="str">
        <f>IF($F$1="Select company","",IF(C16 = "","",HLOOKUP(((VLOOKUP($F$1,Lists!$B$4:$C$26,2,FALSE))&amp;"PC"),'SUB list edited'!$A$2:$DP$42,($B16+1),FALSE)))</f>
        <v/>
      </c>
      <c r="F16" s="540" t="str">
        <f>IF($F$1="Select company","",IF(C16 = "","",HLOOKUP(((VLOOKUP($F$1,Lists!$B$4:$C$26,2,FALSE))&amp;"unit"),'SUB list edited'!$A$2:$DP$42,($B16+1),FALSE)))</f>
        <v/>
      </c>
      <c r="G16" s="1352" t="str">
        <f>IF($F$1="Select company","",IF(C16="","",HLOOKUP(((VLOOKUP($F$1,Lists!$B$4:$C$26,2,FALSE))&amp;"DP"),'SUB list edited'!$A$2:$DP$42,($B16+1),FALSE)))</f>
        <v/>
      </c>
      <c r="H16" s="314" t="str">
        <f>IF($F$1="Select company","",IF(C16 = "","",HLOOKUP(((VLOOKUP($F$1,Lists!$B$4:$C$26,2,FALSE))&amp;"201819ActPerf"),'SUB list edited'!$A$2:$DP$42,($B16+1),FALSE)))</f>
        <v/>
      </c>
      <c r="I16" s="554"/>
      <c r="J16" s="555"/>
      <c r="L16" s="532">
        <f t="shared" si="4"/>
        <v>0</v>
      </c>
      <c r="M16" s="532">
        <f t="shared" si="0"/>
        <v>0</v>
      </c>
      <c r="P16" s="528">
        <f t="shared" si="1"/>
        <v>0</v>
      </c>
      <c r="Q16" s="528">
        <f t="shared" si="2"/>
        <v>0</v>
      </c>
      <c r="S16" s="528">
        <f xml:space="preserve"> IF(C16 = "", 0, IF(AND(NOT(INDEX('3A'!I$5:I$60, MATCH('3B'!$C16, '3A'!$C$5:$C$60, 0))=I16), $D16="00"), 1, 0))</f>
        <v>0</v>
      </c>
      <c r="T16" s="528">
        <f xml:space="preserve"> IF(C16 = "", 0, IF(AND(NOT(INDEX('3A'!J$5:J$60, MATCH('3B'!$C16, '3A'!$C$5:$C$60, 0))=J16), $D16="00"), 1, 0))</f>
        <v>0</v>
      </c>
    </row>
    <row r="17" spans="2:20" ht="30" customHeight="1">
      <c r="B17" s="533">
        <f t="shared" ref="B17:B44" si="6" xml:space="preserve"> B16 + 1</f>
        <v>13</v>
      </c>
      <c r="C17" s="534" t="str">
        <f>IF($F$1="Select company","",IF((HLOOKUP((VLOOKUP($F$1,Lists!$B$4:$C$26,2,FALSE)),'SUB list edited'!$A$2:$DP$42,($B17+1),FALSE))=0,"",HLOOKUP((VLOOKUP($F$1,Lists!$B$4:$C$26,2,FALSE)),'SUB list edited'!$A$2:$DP$42,($B17+1),FALSE)))</f>
        <v/>
      </c>
      <c r="D17" s="540" t="str">
        <f>IF($F$1="Select company","",IF(C17 = "","",HLOOKUP(((VLOOKUP($F$1,Lists!$B$4:$C$26,2,FALSE))&amp;"ID"),'SUB list edited'!$A$2:$DP$42,($B17+1),FALSE)))</f>
        <v/>
      </c>
      <c r="E17" s="534" t="str">
        <f>IF($F$1="Select company","",IF(C17 = "","",HLOOKUP(((VLOOKUP($F$1,Lists!$B$4:$C$26,2,FALSE))&amp;"PC"),'SUB list edited'!$A$2:$DP$42,($B17+1),FALSE)))</f>
        <v/>
      </c>
      <c r="F17" s="540" t="str">
        <f>IF($F$1="Select company","",IF(C17 = "","",HLOOKUP(((VLOOKUP($F$1,Lists!$B$4:$C$26,2,FALSE))&amp;"unit"),'SUB list edited'!$A$2:$DP$42,($B17+1),FALSE)))</f>
        <v/>
      </c>
      <c r="G17" s="1352" t="str">
        <f>IF($F$1="Select company","",IF(C17="","",HLOOKUP(((VLOOKUP($F$1,Lists!$B$4:$C$26,2,FALSE))&amp;"DP"),'SUB list edited'!$A$2:$DP$42,($B17+1),FALSE)))</f>
        <v/>
      </c>
      <c r="H17" s="314" t="str">
        <f>IF($F$1="Select company","",IF(C17 = "","",HLOOKUP(((VLOOKUP($F$1,Lists!$B$4:$C$26,2,FALSE))&amp;"201819ActPerf"),'SUB list edited'!$A$2:$DP$42,($B17+1),FALSE)))</f>
        <v/>
      </c>
      <c r="I17" s="554"/>
      <c r="J17" s="555"/>
      <c r="L17" s="532">
        <f t="shared" si="4"/>
        <v>0</v>
      </c>
      <c r="M17" s="532">
        <f t="shared" si="0"/>
        <v>0</v>
      </c>
      <c r="P17" s="528">
        <f t="shared" si="1"/>
        <v>0</v>
      </c>
      <c r="Q17" s="528">
        <f t="shared" si="2"/>
        <v>0</v>
      </c>
      <c r="S17" s="528">
        <f xml:space="preserve"> IF(C17 = "", 0, IF(AND(NOT(INDEX('3A'!I$5:I$60, MATCH('3B'!$C17, '3A'!$C$5:$C$60, 0))=I17), $D17="00"), 1, 0))</f>
        <v>0</v>
      </c>
      <c r="T17" s="528">
        <f xml:space="preserve"> IF(C17 = "", 0, IF(AND(NOT(INDEX('3A'!J$5:J$60, MATCH('3B'!$C17, '3A'!$C$5:$C$60, 0))=J17), $D17="00"), 1, 0))</f>
        <v>0</v>
      </c>
    </row>
    <row r="18" spans="2:20" ht="30" customHeight="1">
      <c r="B18" s="533">
        <f t="shared" si="6"/>
        <v>14</v>
      </c>
      <c r="C18" s="534" t="str">
        <f>IF($F$1="Select company","",IF((HLOOKUP((VLOOKUP($F$1,Lists!$B$4:$C$26,2,FALSE)),'SUB list edited'!$A$2:$DP$42,($B18+1),FALSE))=0,"",HLOOKUP((VLOOKUP($F$1,Lists!$B$4:$C$26,2,FALSE)),'SUB list edited'!$A$2:$DP$42,($B18+1),FALSE)))</f>
        <v/>
      </c>
      <c r="D18" s="540" t="str">
        <f>IF($F$1="Select company","",IF(C18 = "","",HLOOKUP(((VLOOKUP($F$1,Lists!$B$4:$C$26,2,FALSE))&amp;"ID"),'SUB list edited'!$A$2:$DP$42,($B18+1),FALSE)))</f>
        <v/>
      </c>
      <c r="E18" s="534" t="str">
        <f>IF($F$1="Select company","",IF(C18 = "","",HLOOKUP(((VLOOKUP($F$1,Lists!$B$4:$C$26,2,FALSE))&amp;"PC"),'SUB list edited'!$A$2:$DP$42,($B18+1),FALSE)))</f>
        <v/>
      </c>
      <c r="F18" s="540" t="str">
        <f>IF($F$1="Select company","",IF(C18 = "","",HLOOKUP(((VLOOKUP($F$1,Lists!$B$4:$C$26,2,FALSE))&amp;"unit"),'SUB list edited'!$A$2:$DP$42,($B18+1),FALSE)))</f>
        <v/>
      </c>
      <c r="G18" s="1352" t="str">
        <f>IF($F$1="Select company","",IF(C18="","",HLOOKUP(((VLOOKUP($F$1,Lists!$B$4:$C$26,2,FALSE))&amp;"DP"),'SUB list edited'!$A$2:$DP$42,($B18+1),FALSE)))</f>
        <v/>
      </c>
      <c r="H18" s="314" t="str">
        <f>IF($F$1="Select company","",IF(C18 = "","",HLOOKUP(((VLOOKUP($F$1,Lists!$B$4:$C$26,2,FALSE))&amp;"201819ActPerf"),'SUB list edited'!$A$2:$DP$42,($B18+1),FALSE)))</f>
        <v/>
      </c>
      <c r="I18" s="554"/>
      <c r="J18" s="555"/>
      <c r="L18" s="532">
        <f t="shared" si="4"/>
        <v>0</v>
      </c>
      <c r="M18" s="532">
        <f t="shared" si="0"/>
        <v>0</v>
      </c>
      <c r="P18" s="528">
        <f t="shared" si="1"/>
        <v>0</v>
      </c>
      <c r="Q18" s="528">
        <f t="shared" si="2"/>
        <v>0</v>
      </c>
      <c r="S18" s="528">
        <f xml:space="preserve"> IF(C18 = "", 0, IF(AND(NOT(INDEX('3A'!I$5:I$60, MATCH('3B'!$C18, '3A'!$C$5:$C$60, 0))=I18), $D18="00"), 1, 0))</f>
        <v>0</v>
      </c>
      <c r="T18" s="528">
        <f xml:space="preserve"> IF(C18 = "", 0, IF(AND(NOT(INDEX('3A'!J$5:J$60, MATCH('3B'!$C18, '3A'!$C$5:$C$60, 0))=J18), $D18="00"), 1, 0))</f>
        <v>0</v>
      </c>
    </row>
    <row r="19" spans="2:20" ht="30" customHeight="1">
      <c r="B19" s="533">
        <f t="shared" si="6"/>
        <v>15</v>
      </c>
      <c r="C19" s="534" t="str">
        <f>IF($F$1="Select company","",IF((HLOOKUP((VLOOKUP($F$1,Lists!$B$4:$C$26,2,FALSE)),'SUB list edited'!$A$2:$DP$42,($B19+1),FALSE))=0,"",HLOOKUP((VLOOKUP($F$1,Lists!$B$4:$C$26,2,FALSE)),'SUB list edited'!$A$2:$DP$42,($B19+1),FALSE)))</f>
        <v/>
      </c>
      <c r="D19" s="540" t="str">
        <f>IF($F$1="Select company","",IF(C19 = "","",HLOOKUP(((VLOOKUP($F$1,Lists!$B$4:$C$26,2,FALSE))&amp;"ID"),'SUB list edited'!$A$2:$DP$42,($B19+1),FALSE)))</f>
        <v/>
      </c>
      <c r="E19" s="534" t="str">
        <f>IF($F$1="Select company","",IF(C19 = "","",HLOOKUP(((VLOOKUP($F$1,Lists!$B$4:$C$26,2,FALSE))&amp;"PC"),'SUB list edited'!$A$2:$DP$42,($B19+1),FALSE)))</f>
        <v/>
      </c>
      <c r="F19" s="540" t="str">
        <f>IF($F$1="Select company","",IF(C19 = "","",HLOOKUP(((VLOOKUP($F$1,Lists!$B$4:$C$26,2,FALSE))&amp;"unit"),'SUB list edited'!$A$2:$DP$42,($B19+1),FALSE)))</f>
        <v/>
      </c>
      <c r="G19" s="1352" t="str">
        <f>IF($F$1="Select company","",IF(C19="","",HLOOKUP(((VLOOKUP($F$1,Lists!$B$4:$C$26,2,FALSE))&amp;"DP"),'SUB list edited'!$A$2:$DP$42,($B19+1),FALSE)))</f>
        <v/>
      </c>
      <c r="H19" s="314" t="str">
        <f>IF($F$1="Select company","",IF(C19 = "","",HLOOKUP(((VLOOKUP($F$1,Lists!$B$4:$C$26,2,FALSE))&amp;"201819ActPerf"),'SUB list edited'!$A$2:$DP$42,($B19+1),FALSE)))</f>
        <v/>
      </c>
      <c r="I19" s="554"/>
      <c r="J19" s="555"/>
      <c r="L19" s="532">
        <f t="shared" si="4"/>
        <v>0</v>
      </c>
      <c r="M19" s="532">
        <f t="shared" si="0"/>
        <v>0</v>
      </c>
      <c r="P19" s="528">
        <f t="shared" si="1"/>
        <v>0</v>
      </c>
      <c r="Q19" s="528">
        <f t="shared" si="2"/>
        <v>0</v>
      </c>
      <c r="S19" s="528">
        <f xml:space="preserve"> IF(C19 = "", 0, IF(AND(NOT(INDEX('3A'!I$5:I$60, MATCH('3B'!$C19, '3A'!$C$5:$C$60, 0))=I19), $D19="00"), 1, 0))</f>
        <v>0</v>
      </c>
      <c r="T19" s="528">
        <f xml:space="preserve"> IF(C19 = "", 0, IF(AND(NOT(INDEX('3A'!J$5:J$60, MATCH('3B'!$C19, '3A'!$C$5:$C$60, 0))=J19), $D19="00"), 1, 0))</f>
        <v>0</v>
      </c>
    </row>
    <row r="20" spans="2:20" ht="30" customHeight="1">
      <c r="B20" s="533">
        <f t="shared" si="6"/>
        <v>16</v>
      </c>
      <c r="C20" s="534" t="str">
        <f>IF($F$1="Select company","",IF((HLOOKUP((VLOOKUP($F$1,Lists!$B$4:$C$26,2,FALSE)),'SUB list edited'!$A$2:$DP$42,($B20+1),FALSE))=0,"",HLOOKUP((VLOOKUP($F$1,Lists!$B$4:$C$26,2,FALSE)),'SUB list edited'!$A$2:$DP$42,($B20+1),FALSE)))</f>
        <v/>
      </c>
      <c r="D20" s="540" t="str">
        <f>IF($F$1="Select company","",IF(C20 = "","",HLOOKUP(((VLOOKUP($F$1,Lists!$B$4:$C$26,2,FALSE))&amp;"ID"),'SUB list edited'!$A$2:$DP$42,($B20+1),FALSE)))</f>
        <v/>
      </c>
      <c r="E20" s="534" t="str">
        <f>IF($F$1="Select company","",IF(C20 = "","",HLOOKUP(((VLOOKUP($F$1,Lists!$B$4:$C$26,2,FALSE))&amp;"PC"),'SUB list edited'!$A$2:$DP$42,($B20+1),FALSE)))</f>
        <v/>
      </c>
      <c r="F20" s="540" t="str">
        <f>IF($F$1="Select company","",IF(C20 = "","",HLOOKUP(((VLOOKUP($F$1,Lists!$B$4:$C$26,2,FALSE))&amp;"unit"),'SUB list edited'!$A$2:$DP$42,($B20+1),FALSE)))</f>
        <v/>
      </c>
      <c r="G20" s="1352" t="str">
        <f>IF($F$1="Select company","",IF(C20="","",HLOOKUP(((VLOOKUP($F$1,Lists!$B$4:$C$26,2,FALSE))&amp;"DP"),'SUB list edited'!$A$2:$DP$42,($B20+1),FALSE)))</f>
        <v/>
      </c>
      <c r="H20" s="314" t="str">
        <f>IF($F$1="Select company","",IF(C20 = "","",HLOOKUP(((VLOOKUP($F$1,Lists!$B$4:$C$26,2,FALSE))&amp;"201819ActPerf"),'SUB list edited'!$A$2:$DP$42,($B20+1),FALSE)))</f>
        <v/>
      </c>
      <c r="I20" s="554"/>
      <c r="J20" s="555"/>
      <c r="L20" s="532">
        <f t="shared" si="4"/>
        <v>0</v>
      </c>
      <c r="M20" s="532">
        <f t="shared" si="0"/>
        <v>0</v>
      </c>
      <c r="P20" s="528">
        <f t="shared" si="1"/>
        <v>0</v>
      </c>
      <c r="Q20" s="528">
        <f t="shared" si="2"/>
        <v>0</v>
      </c>
      <c r="S20" s="528">
        <f xml:space="preserve"> IF(C20 = "", 0, IF(AND(NOT(INDEX('3A'!I$5:I$60, MATCH('3B'!$C20, '3A'!$C$5:$C$60, 0))=I20), $D20="00"), 1, 0))</f>
        <v>0</v>
      </c>
      <c r="T20" s="528">
        <f xml:space="preserve"> IF(C20 = "", 0, IF(AND(NOT(INDEX('3A'!J$5:J$60, MATCH('3B'!$C20, '3A'!$C$5:$C$60, 0))=J20), $D20="00"), 1, 0))</f>
        <v>0</v>
      </c>
    </row>
    <row r="21" spans="2:20" ht="30" customHeight="1">
      <c r="B21" s="533">
        <f t="shared" si="6"/>
        <v>17</v>
      </c>
      <c r="C21" s="534" t="str">
        <f>IF($F$1="Select company","",IF((HLOOKUP((VLOOKUP($F$1,Lists!$B$4:$C$26,2,FALSE)),'SUB list edited'!$A$2:$DP$42,($B21+1),FALSE))=0,"",HLOOKUP((VLOOKUP($F$1,Lists!$B$4:$C$26,2,FALSE)),'SUB list edited'!$A$2:$DP$42,($B21+1),FALSE)))</f>
        <v/>
      </c>
      <c r="D21" s="540" t="str">
        <f>IF($F$1="Select company","",IF(C21 = "","",HLOOKUP(((VLOOKUP($F$1,Lists!$B$4:$C$26,2,FALSE))&amp;"ID"),'SUB list edited'!$A$2:$DP$42,($B21+1),FALSE)))</f>
        <v/>
      </c>
      <c r="E21" s="534" t="str">
        <f>IF($F$1="Select company","",IF(C21 = "","",HLOOKUP(((VLOOKUP($F$1,Lists!$B$4:$C$26,2,FALSE))&amp;"PC"),'SUB list edited'!$A$2:$DP$42,($B21+1),FALSE)))</f>
        <v/>
      </c>
      <c r="F21" s="540" t="str">
        <f>IF($F$1="Select company","",IF(C21 = "","",HLOOKUP(((VLOOKUP($F$1,Lists!$B$4:$C$26,2,FALSE))&amp;"unit"),'SUB list edited'!$A$2:$DP$42,($B21+1),FALSE)))</f>
        <v/>
      </c>
      <c r="G21" s="1352" t="str">
        <f>IF($F$1="Select company","",IF(C21="","",HLOOKUP(((VLOOKUP($F$1,Lists!$B$4:$C$26,2,FALSE))&amp;"DP"),'SUB list edited'!$A$2:$DP$42,($B21+1),FALSE)))</f>
        <v/>
      </c>
      <c r="H21" s="314" t="str">
        <f>IF($F$1="Select company","",IF(C21 = "","",HLOOKUP(((VLOOKUP($F$1,Lists!$B$4:$C$26,2,FALSE))&amp;"201819ActPerf"),'SUB list edited'!$A$2:$DP$42,($B21+1),FALSE)))</f>
        <v/>
      </c>
      <c r="I21" s="554"/>
      <c r="J21" s="555"/>
      <c r="L21" s="532">
        <f t="shared" si="4"/>
        <v>0</v>
      </c>
      <c r="M21" s="532">
        <f t="shared" si="0"/>
        <v>0</v>
      </c>
      <c r="P21" s="528">
        <f t="shared" si="1"/>
        <v>0</v>
      </c>
      <c r="Q21" s="528">
        <f t="shared" si="2"/>
        <v>0</v>
      </c>
      <c r="S21" s="528">
        <f xml:space="preserve"> IF(C21 = "", 0, IF(AND(NOT(INDEX('3A'!I$5:I$60, MATCH('3B'!$C21, '3A'!$C$5:$C$60, 0))=I21), $D21="00"), 1, 0))</f>
        <v>0</v>
      </c>
      <c r="T21" s="528">
        <f xml:space="preserve"> IF(C21 = "", 0, IF(AND(NOT(INDEX('3A'!J$5:J$60, MATCH('3B'!$C21, '3A'!$C$5:$C$60, 0))=J21), $D21="00"), 1, 0))</f>
        <v>0</v>
      </c>
    </row>
    <row r="22" spans="2:20" ht="30" customHeight="1">
      <c r="B22" s="533">
        <f t="shared" si="6"/>
        <v>18</v>
      </c>
      <c r="C22" s="534" t="str">
        <f>IF($F$1="Select company","",IF((HLOOKUP((VLOOKUP($F$1,Lists!$B$4:$C$26,2,FALSE)),'SUB list edited'!$A$2:$DP$42,($B22+1),FALSE))=0,"",HLOOKUP((VLOOKUP($F$1,Lists!$B$4:$C$26,2,FALSE)),'SUB list edited'!$A$2:$DP$42,($B22+1),FALSE)))</f>
        <v/>
      </c>
      <c r="D22" s="540" t="str">
        <f>IF($F$1="Select company","",IF(C22 = "","",HLOOKUP(((VLOOKUP($F$1,Lists!$B$4:$C$26,2,FALSE))&amp;"ID"),'SUB list edited'!$A$2:$DP$42,($B22+1),FALSE)))</f>
        <v/>
      </c>
      <c r="E22" s="534" t="str">
        <f>IF($F$1="Select company","",IF(C22 = "","",HLOOKUP(((VLOOKUP($F$1,Lists!$B$4:$C$26,2,FALSE))&amp;"PC"),'SUB list edited'!$A$2:$DP$42,($B22+1),FALSE)))</f>
        <v/>
      </c>
      <c r="F22" s="540" t="str">
        <f>IF($F$1="Select company","",IF(C22 = "","",HLOOKUP(((VLOOKUP($F$1,Lists!$B$4:$C$26,2,FALSE))&amp;"unit"),'SUB list edited'!$A$2:$DP$42,($B22+1),FALSE)))</f>
        <v/>
      </c>
      <c r="G22" s="1352" t="str">
        <f>IF($F$1="Select company","",IF(C22="","",HLOOKUP(((VLOOKUP($F$1,Lists!$B$4:$C$26,2,FALSE))&amp;"DP"),'SUB list edited'!$A$2:$DP$42,($B22+1),FALSE)))</f>
        <v/>
      </c>
      <c r="H22" s="314" t="str">
        <f>IF($F$1="Select company","",IF(C22 = "","",HLOOKUP(((VLOOKUP($F$1,Lists!$B$4:$C$26,2,FALSE))&amp;"201819ActPerf"),'SUB list edited'!$A$2:$DP$42,($B22+1),FALSE)))</f>
        <v/>
      </c>
      <c r="I22" s="554"/>
      <c r="J22" s="555"/>
      <c r="L22" s="532">
        <f t="shared" si="4"/>
        <v>0</v>
      </c>
      <c r="M22" s="532">
        <f t="shared" si="0"/>
        <v>0</v>
      </c>
      <c r="P22" s="528">
        <f t="shared" si="1"/>
        <v>0</v>
      </c>
      <c r="Q22" s="528">
        <f t="shared" si="2"/>
        <v>0</v>
      </c>
      <c r="S22" s="528">
        <f xml:space="preserve"> IF(C22 = "", 0, IF(AND(NOT(INDEX('3A'!I$5:I$60, MATCH('3B'!$C22, '3A'!$C$5:$C$60, 0))=I22), $D22="00"), 1, 0))</f>
        <v>0</v>
      </c>
      <c r="T22" s="528">
        <f xml:space="preserve"> IF(C22 = "", 0, IF(AND(NOT(INDEX('3A'!J$5:J$60, MATCH('3B'!$C22, '3A'!$C$5:$C$60, 0))=J22), $D22="00"), 1, 0))</f>
        <v>0</v>
      </c>
    </row>
    <row r="23" spans="2:20" ht="30" customHeight="1">
      <c r="B23" s="533">
        <f t="shared" si="6"/>
        <v>19</v>
      </c>
      <c r="C23" s="534" t="str">
        <f>IF($F$1="Select company","",IF((HLOOKUP((VLOOKUP($F$1,Lists!$B$4:$C$26,2,FALSE)),'SUB list edited'!$A$2:$DP$42,($B23+1),FALSE))=0,"",HLOOKUP((VLOOKUP($F$1,Lists!$B$4:$C$26,2,FALSE)),'SUB list edited'!$A$2:$DP$42,($B23+1),FALSE)))</f>
        <v/>
      </c>
      <c r="D23" s="540" t="str">
        <f>IF($F$1="Select company","",IF(C23 = "","",HLOOKUP(((VLOOKUP($F$1,Lists!$B$4:$C$26,2,FALSE))&amp;"ID"),'SUB list edited'!$A$2:$DP$42,($B23+1),FALSE)))</f>
        <v/>
      </c>
      <c r="E23" s="534" t="str">
        <f>IF($F$1="Select company","",IF(C23 = "","",HLOOKUP(((VLOOKUP($F$1,Lists!$B$4:$C$26,2,FALSE))&amp;"PC"),'SUB list edited'!$A$2:$DP$42,($B23+1),FALSE)))</f>
        <v/>
      </c>
      <c r="F23" s="540" t="str">
        <f>IF($F$1="Select company","",IF(C23 = "","",HLOOKUP(((VLOOKUP($F$1,Lists!$B$4:$C$26,2,FALSE))&amp;"unit"),'SUB list edited'!$A$2:$DP$42,($B23+1),FALSE)))</f>
        <v/>
      </c>
      <c r="G23" s="1352" t="str">
        <f>IF($F$1="Select company","",IF(C23="","",HLOOKUP(((VLOOKUP($F$1,Lists!$B$4:$C$26,2,FALSE))&amp;"DP"),'SUB list edited'!$A$2:$DP$42,($B23+1),FALSE)))</f>
        <v/>
      </c>
      <c r="H23" s="314" t="str">
        <f>IF($F$1="Select company","",IF(C23 = "","",HLOOKUP(((VLOOKUP($F$1,Lists!$B$4:$C$26,2,FALSE))&amp;"201819ActPerf"),'SUB list edited'!$A$2:$DP$42,($B23+1),FALSE)))</f>
        <v/>
      </c>
      <c r="I23" s="554"/>
      <c r="J23" s="555"/>
      <c r="L23" s="532">
        <f t="shared" si="4"/>
        <v>0</v>
      </c>
      <c r="M23" s="532">
        <f t="shared" si="0"/>
        <v>0</v>
      </c>
      <c r="P23" s="528">
        <f t="shared" si="1"/>
        <v>0</v>
      </c>
      <c r="Q23" s="528">
        <f t="shared" si="2"/>
        <v>0</v>
      </c>
      <c r="S23" s="528">
        <f xml:space="preserve"> IF(C23 = "", 0, IF(AND(NOT(INDEX('3A'!I$5:I$60, MATCH('3B'!$C23, '3A'!$C$5:$C$60, 0))=I23), $D23="00"), 1, 0))</f>
        <v>0</v>
      </c>
      <c r="T23" s="528">
        <f xml:space="preserve"> IF(C23 = "", 0, IF(AND(NOT(INDEX('3A'!J$5:J$60, MATCH('3B'!$C23, '3A'!$C$5:$C$60, 0))=J23), $D23="00"), 1, 0))</f>
        <v>0</v>
      </c>
    </row>
    <row r="24" spans="2:20" ht="30" customHeight="1">
      <c r="B24" s="533">
        <f t="shared" si="6"/>
        <v>20</v>
      </c>
      <c r="C24" s="534" t="str">
        <f>IF($F$1="Select company","",IF((HLOOKUP((VLOOKUP($F$1,Lists!$B$4:$C$26,2,FALSE)),'SUB list edited'!$A$2:$DP$42,($B24+1),FALSE))=0,"",HLOOKUP((VLOOKUP($F$1,Lists!$B$4:$C$26,2,FALSE)),'SUB list edited'!$A$2:$DP$42,($B24+1),FALSE)))</f>
        <v/>
      </c>
      <c r="D24" s="540" t="str">
        <f>IF($F$1="Select company","",IF(C24 = "","",HLOOKUP(((VLOOKUP($F$1,Lists!$B$4:$C$26,2,FALSE))&amp;"ID"),'SUB list edited'!$A$2:$DP$42,($B24+1),FALSE)))</f>
        <v/>
      </c>
      <c r="E24" s="534" t="str">
        <f>IF($F$1="Select company","",IF(C24 = "","",HLOOKUP(((VLOOKUP($F$1,Lists!$B$4:$C$26,2,FALSE))&amp;"PC"),'SUB list edited'!$A$2:$DP$42,($B24+1),FALSE)))</f>
        <v/>
      </c>
      <c r="F24" s="540" t="str">
        <f>IF($F$1="Select company","",IF(C24 = "","",HLOOKUP(((VLOOKUP($F$1,Lists!$B$4:$C$26,2,FALSE))&amp;"unit"),'SUB list edited'!$A$2:$DP$42,($B24+1),FALSE)))</f>
        <v/>
      </c>
      <c r="G24" s="1352" t="str">
        <f>IF($F$1="Select company","",IF(C24="","",HLOOKUP(((VLOOKUP($F$1,Lists!$B$4:$C$26,2,FALSE))&amp;"DP"),'SUB list edited'!$A$2:$DP$42,($B24+1),FALSE)))</f>
        <v/>
      </c>
      <c r="H24" s="314" t="str">
        <f>IF($F$1="Select company","",IF(C24 = "","",HLOOKUP(((VLOOKUP($F$1,Lists!$B$4:$C$26,2,FALSE))&amp;"201819ActPerf"),'SUB list edited'!$A$2:$DP$42,($B24+1),FALSE)))</f>
        <v/>
      </c>
      <c r="I24" s="554"/>
      <c r="J24" s="555"/>
      <c r="L24" s="532">
        <f t="shared" si="4"/>
        <v>0</v>
      </c>
      <c r="M24" s="532">
        <f t="shared" si="0"/>
        <v>0</v>
      </c>
      <c r="P24" s="528">
        <f t="shared" si="1"/>
        <v>0</v>
      </c>
      <c r="Q24" s="528">
        <f t="shared" si="2"/>
        <v>0</v>
      </c>
      <c r="S24" s="528">
        <f xml:space="preserve"> IF(C24 = "", 0, IF(AND(NOT(INDEX('3A'!I$5:I$60, MATCH('3B'!$C24, '3A'!$C$5:$C$60, 0))=I24), $D24="00"), 1, 0))</f>
        <v>0</v>
      </c>
      <c r="T24" s="528">
        <f xml:space="preserve"> IF(C24 = "", 0, IF(AND(NOT(INDEX('3A'!J$5:J$60, MATCH('3B'!$C24, '3A'!$C$5:$C$60, 0))=J24), $D24="00"), 1, 0))</f>
        <v>0</v>
      </c>
    </row>
    <row r="25" spans="2:20" ht="30" customHeight="1">
      <c r="B25" s="533">
        <f t="shared" si="6"/>
        <v>21</v>
      </c>
      <c r="C25" s="534" t="str">
        <f>IF($F$1="Select company","",IF((HLOOKUP((VLOOKUP($F$1,Lists!$B$4:$C$26,2,FALSE)),'SUB list edited'!$A$2:$DP$42,($B25+1),FALSE))=0,"",HLOOKUP((VLOOKUP($F$1,Lists!$B$4:$C$26,2,FALSE)),'SUB list edited'!$A$2:$DP$42,($B25+1),FALSE)))</f>
        <v/>
      </c>
      <c r="D25" s="540" t="str">
        <f>IF($F$1="Select company","",IF(C25 = "","",HLOOKUP(((VLOOKUP($F$1,Lists!$B$4:$C$26,2,FALSE))&amp;"ID"),'SUB list edited'!$A$2:$DP$42,($B25+1),FALSE)))</f>
        <v/>
      </c>
      <c r="E25" s="534" t="str">
        <f>IF($F$1="Select company","",IF(C25 = "","",HLOOKUP(((VLOOKUP($F$1,Lists!$B$4:$C$26,2,FALSE))&amp;"PC"),'SUB list edited'!$A$2:$DP$42,($B25+1),FALSE)))</f>
        <v/>
      </c>
      <c r="F25" s="540" t="str">
        <f>IF($F$1="Select company","",IF(C25 = "","",HLOOKUP(((VLOOKUP($F$1,Lists!$B$4:$C$26,2,FALSE))&amp;"unit"),'SUB list edited'!$A$2:$DP$42,($B25+1),FALSE)))</f>
        <v/>
      </c>
      <c r="G25" s="1352" t="str">
        <f>IF($F$1="Select company","",IF(C25="","",HLOOKUP(((VLOOKUP($F$1,Lists!$B$4:$C$26,2,FALSE))&amp;"DP"),'SUB list edited'!$A$2:$DP$42,($B25+1),FALSE)))</f>
        <v/>
      </c>
      <c r="H25" s="314" t="str">
        <f>IF($F$1="Select company","",IF(C25 = "","",HLOOKUP(((VLOOKUP($F$1,Lists!$B$4:$C$26,2,FALSE))&amp;"201819ActPerf"),'SUB list edited'!$A$2:$DP$42,($B25+1),FALSE)))</f>
        <v/>
      </c>
      <c r="I25" s="554"/>
      <c r="J25" s="555"/>
      <c r="L25" s="532">
        <f t="shared" si="4"/>
        <v>0</v>
      </c>
      <c r="M25" s="532">
        <f t="shared" si="0"/>
        <v>0</v>
      </c>
      <c r="P25" s="528">
        <f t="shared" si="1"/>
        <v>0</v>
      </c>
      <c r="Q25" s="528">
        <f t="shared" si="2"/>
        <v>0</v>
      </c>
      <c r="S25" s="528">
        <f xml:space="preserve"> IF(C25 = "", 0, IF(AND(NOT(INDEX('3A'!I$5:I$60, MATCH('3B'!$C25, '3A'!$C$5:$C$60, 0))=I25), $D25="00"), 1, 0))</f>
        <v>0</v>
      </c>
      <c r="T25" s="528">
        <f xml:space="preserve"> IF(C25 = "", 0, IF(AND(NOT(INDEX('3A'!J$5:J$60, MATCH('3B'!$C25, '3A'!$C$5:$C$60, 0))=J25), $D25="00"), 1, 0))</f>
        <v>0</v>
      </c>
    </row>
    <row r="26" spans="2:20" ht="30" customHeight="1">
      <c r="B26" s="533">
        <f t="shared" si="6"/>
        <v>22</v>
      </c>
      <c r="C26" s="534" t="str">
        <f>IF($F$1="Select company","",IF((HLOOKUP((VLOOKUP($F$1,Lists!$B$4:$C$26,2,FALSE)),'SUB list edited'!$A$2:$DP$42,($B26+1),FALSE))=0,"",HLOOKUP((VLOOKUP($F$1,Lists!$B$4:$C$26,2,FALSE)),'SUB list edited'!$A$2:$DP$42,($B26+1),FALSE)))</f>
        <v/>
      </c>
      <c r="D26" s="540" t="str">
        <f>IF($F$1="Select company","",IF(C26 = "","",HLOOKUP(((VLOOKUP($F$1,Lists!$B$4:$C$26,2,FALSE))&amp;"ID"),'SUB list edited'!$A$2:$DP$42,($B26+1),FALSE)))</f>
        <v/>
      </c>
      <c r="E26" s="534" t="str">
        <f>IF($F$1="Select company","",IF(C26 = "","",HLOOKUP(((VLOOKUP($F$1,Lists!$B$4:$C$26,2,FALSE))&amp;"PC"),'SUB list edited'!$A$2:$DP$42,($B26+1),FALSE)))</f>
        <v/>
      </c>
      <c r="F26" s="540" t="str">
        <f>IF($F$1="Select company","",IF(C26 = "","",HLOOKUP(((VLOOKUP($F$1,Lists!$B$4:$C$26,2,FALSE))&amp;"unit"),'SUB list edited'!$A$2:$DP$42,($B26+1),FALSE)))</f>
        <v/>
      </c>
      <c r="G26" s="1352" t="str">
        <f>IF($F$1="Select company","",IF(C26="","",HLOOKUP(((VLOOKUP($F$1,Lists!$B$4:$C$26,2,FALSE))&amp;"DP"),'SUB list edited'!$A$2:$DP$42,($B26+1),FALSE)))</f>
        <v/>
      </c>
      <c r="H26" s="314" t="str">
        <f>IF($F$1="Select company","",IF(C26 = "","",HLOOKUP(((VLOOKUP($F$1,Lists!$B$4:$C$26,2,FALSE))&amp;"201819ActPerf"),'SUB list edited'!$A$2:$DP$42,($B26+1),FALSE)))</f>
        <v/>
      </c>
      <c r="I26" s="554"/>
      <c r="J26" s="555"/>
      <c r="L26" s="532">
        <f t="shared" si="4"/>
        <v>0</v>
      </c>
      <c r="M26" s="532">
        <f t="shared" si="0"/>
        <v>0</v>
      </c>
      <c r="P26" s="528">
        <f t="shared" si="1"/>
        <v>0</v>
      </c>
      <c r="Q26" s="528">
        <f t="shared" si="2"/>
        <v>0</v>
      </c>
      <c r="S26" s="528">
        <f xml:space="preserve"> IF(C26 = "", 0, IF(AND(NOT(INDEX('3A'!I$5:I$60, MATCH('3B'!$C26, '3A'!$C$5:$C$60, 0))=I26), $D26="00"), 1, 0))</f>
        <v>0</v>
      </c>
      <c r="T26" s="528">
        <f xml:space="preserve"> IF(C26 = "", 0, IF(AND(NOT(INDEX('3A'!J$5:J$60, MATCH('3B'!$C26, '3A'!$C$5:$C$60, 0))=J26), $D26="00"), 1, 0))</f>
        <v>0</v>
      </c>
    </row>
    <row r="27" spans="2:20" ht="30" customHeight="1">
      <c r="B27" s="533">
        <f t="shared" si="6"/>
        <v>23</v>
      </c>
      <c r="C27" s="534" t="str">
        <f>IF($F$1="Select company","",IF((HLOOKUP((VLOOKUP($F$1,Lists!$B$4:$C$26,2,FALSE)),'SUB list edited'!$A$2:$DP$42,($B27+1),FALSE))=0,"",HLOOKUP((VLOOKUP($F$1,Lists!$B$4:$C$26,2,FALSE)),'SUB list edited'!$A$2:$DP$42,($B27+1),FALSE)))</f>
        <v/>
      </c>
      <c r="D27" s="540" t="str">
        <f>IF($F$1="Select company","",IF(C27 = "","",HLOOKUP(((VLOOKUP($F$1,Lists!$B$4:$C$26,2,FALSE))&amp;"ID"),'SUB list edited'!$A$2:$DP$42,($B27+1),FALSE)))</f>
        <v/>
      </c>
      <c r="E27" s="534" t="str">
        <f>IF($F$1="Select company","",IF(C27 = "","",HLOOKUP(((VLOOKUP($F$1,Lists!$B$4:$C$26,2,FALSE))&amp;"PC"),'SUB list edited'!$A$2:$DP$42,($B27+1),FALSE)))</f>
        <v/>
      </c>
      <c r="F27" s="540" t="str">
        <f>IF($F$1="Select company","",IF(C27 = "","",HLOOKUP(((VLOOKUP($F$1,Lists!$B$4:$C$26,2,FALSE))&amp;"unit"),'SUB list edited'!$A$2:$DP$42,($B27+1),FALSE)))</f>
        <v/>
      </c>
      <c r="G27" s="1352" t="str">
        <f>IF($F$1="Select company","",IF(C27="","",HLOOKUP(((VLOOKUP($F$1,Lists!$B$4:$C$26,2,FALSE))&amp;"DP"),'SUB list edited'!$A$2:$DP$42,($B27+1),FALSE)))</f>
        <v/>
      </c>
      <c r="H27" s="314" t="str">
        <f>IF($F$1="Select company","",IF(C27 = "","",HLOOKUP(((VLOOKUP($F$1,Lists!$B$4:$C$26,2,FALSE))&amp;"201819ActPerf"),'SUB list edited'!$A$2:$DP$42,($B27+1),FALSE)))</f>
        <v/>
      </c>
      <c r="I27" s="554"/>
      <c r="J27" s="555"/>
      <c r="L27" s="532">
        <f t="shared" si="4"/>
        <v>0</v>
      </c>
      <c r="M27" s="532">
        <f t="shared" si="0"/>
        <v>0</v>
      </c>
      <c r="P27" s="528">
        <f t="shared" si="1"/>
        <v>0</v>
      </c>
      <c r="Q27" s="528">
        <f t="shared" si="2"/>
        <v>0</v>
      </c>
      <c r="S27" s="528">
        <f xml:space="preserve"> IF(C27 = "", 0, IF(AND(NOT(INDEX('3A'!I$5:I$60, MATCH('3B'!$C27, '3A'!$C$5:$C$60, 0))=I27), $D27="00"), 1, 0))</f>
        <v>0</v>
      </c>
      <c r="T27" s="528">
        <f xml:space="preserve"> IF(C27 = "", 0, IF(AND(NOT(INDEX('3A'!J$5:J$60, MATCH('3B'!$C27, '3A'!$C$5:$C$60, 0))=J27), $D27="00"), 1, 0))</f>
        <v>0</v>
      </c>
    </row>
    <row r="28" spans="2:20" ht="30" customHeight="1">
      <c r="B28" s="533">
        <f t="shared" si="6"/>
        <v>24</v>
      </c>
      <c r="C28" s="534" t="str">
        <f>IF($F$1="Select company","",IF((HLOOKUP((VLOOKUP($F$1,Lists!$B$4:$C$26,2,FALSE)),'SUB list edited'!$A$2:$DP$42,($B28+1),FALSE))=0,"",HLOOKUP((VLOOKUP($F$1,Lists!$B$4:$C$26,2,FALSE)),'SUB list edited'!$A$2:$DP$42,($B28+1),FALSE)))</f>
        <v/>
      </c>
      <c r="D28" s="540" t="str">
        <f>IF($F$1="Select company","",IF(C28 = "","",HLOOKUP(((VLOOKUP($F$1,Lists!$B$4:$C$26,2,FALSE))&amp;"ID"),'SUB list edited'!$A$2:$DP$42,($B28+1),FALSE)))</f>
        <v/>
      </c>
      <c r="E28" s="534" t="str">
        <f>IF($F$1="Select company","",IF(C28 = "","",HLOOKUP(((VLOOKUP($F$1,Lists!$B$4:$C$26,2,FALSE))&amp;"PC"),'SUB list edited'!$A$2:$DP$42,($B28+1),FALSE)))</f>
        <v/>
      </c>
      <c r="F28" s="540" t="str">
        <f>IF($F$1="Select company","",IF(C28 = "","",HLOOKUP(((VLOOKUP($F$1,Lists!$B$4:$C$26,2,FALSE))&amp;"unit"),'SUB list edited'!$A$2:$DP$42,($B28+1),FALSE)))</f>
        <v/>
      </c>
      <c r="G28" s="1352" t="str">
        <f>IF($F$1="Select company","",IF(C28="","",HLOOKUP(((VLOOKUP($F$1,Lists!$B$4:$C$26,2,FALSE))&amp;"DP"),'SUB list edited'!$A$2:$DP$42,($B28+1),FALSE)))</f>
        <v/>
      </c>
      <c r="H28" s="314" t="str">
        <f>IF($F$1="Select company","",IF(C28 = "","",HLOOKUP(((VLOOKUP($F$1,Lists!$B$4:$C$26,2,FALSE))&amp;"201819ActPerf"),'SUB list edited'!$A$2:$DP$42,($B28+1),FALSE)))</f>
        <v/>
      </c>
      <c r="I28" s="554"/>
      <c r="J28" s="555"/>
      <c r="L28" s="532">
        <f t="shared" si="4"/>
        <v>0</v>
      </c>
      <c r="M28" s="532">
        <f t="shared" si="0"/>
        <v>0</v>
      </c>
      <c r="P28" s="528">
        <f t="shared" si="1"/>
        <v>0</v>
      </c>
      <c r="Q28" s="528">
        <f t="shared" si="2"/>
        <v>0</v>
      </c>
      <c r="S28" s="528">
        <f xml:space="preserve"> IF(C28 = "", 0, IF(AND(NOT(INDEX('3A'!I$5:I$60, MATCH('3B'!$C28, '3A'!$C$5:$C$60, 0))=I28), $D28="00"), 1, 0))</f>
        <v>0</v>
      </c>
      <c r="T28" s="528">
        <f xml:space="preserve"> IF(C28 = "", 0, IF(AND(NOT(INDEX('3A'!J$5:J$60, MATCH('3B'!$C28, '3A'!$C$5:$C$60, 0))=J28), $D28="00"), 1, 0))</f>
        <v>0</v>
      </c>
    </row>
    <row r="29" spans="2:20" ht="30" customHeight="1">
      <c r="B29" s="533">
        <f t="shared" si="6"/>
        <v>25</v>
      </c>
      <c r="C29" s="534" t="str">
        <f>IF($F$1="Select company","",IF((HLOOKUP((VLOOKUP($F$1,Lists!$B$4:$C$26,2,FALSE)),'SUB list edited'!$A$2:$DP$42,($B29+1),FALSE))=0,"",HLOOKUP((VLOOKUP($F$1,Lists!$B$4:$C$26,2,FALSE)),'SUB list edited'!$A$2:$DP$42,($B29+1),FALSE)))</f>
        <v/>
      </c>
      <c r="D29" s="540" t="str">
        <f>IF($F$1="Select company","",IF(C29 = "","",HLOOKUP(((VLOOKUP($F$1,Lists!$B$4:$C$26,2,FALSE))&amp;"ID"),'SUB list edited'!$A$2:$DP$42,($B29+1),FALSE)))</f>
        <v/>
      </c>
      <c r="E29" s="534" t="str">
        <f>IF($F$1="Select company","",IF(C29 = "","",HLOOKUP(((VLOOKUP($F$1,Lists!$B$4:$C$26,2,FALSE))&amp;"PC"),'SUB list edited'!$A$2:$DP$42,($B29+1),FALSE)))</f>
        <v/>
      </c>
      <c r="F29" s="540" t="str">
        <f>IF($F$1="Select company","",IF(C29 = "","",HLOOKUP(((VLOOKUP($F$1,Lists!$B$4:$C$26,2,FALSE))&amp;"unit"),'SUB list edited'!$A$2:$DP$42,($B29+1),FALSE)))</f>
        <v/>
      </c>
      <c r="G29" s="1352" t="str">
        <f>IF($F$1="Select company","",IF(C29="","",HLOOKUP(((VLOOKUP($F$1,Lists!$B$4:$C$26,2,FALSE))&amp;"DP"),'SUB list edited'!$A$2:$DP$42,($B29+1),FALSE)))</f>
        <v/>
      </c>
      <c r="H29" s="314" t="str">
        <f>IF($F$1="Select company","",IF(C29 = "","",HLOOKUP(((VLOOKUP($F$1,Lists!$B$4:$C$26,2,FALSE))&amp;"201819ActPerf"),'SUB list edited'!$A$2:$DP$42,($B29+1),FALSE)))</f>
        <v/>
      </c>
      <c r="I29" s="554"/>
      <c r="J29" s="555"/>
      <c r="L29" s="532">
        <f t="shared" si="4"/>
        <v>0</v>
      </c>
      <c r="M29" s="532">
        <f t="shared" si="0"/>
        <v>0</v>
      </c>
      <c r="P29" s="528">
        <f t="shared" si="1"/>
        <v>0</v>
      </c>
      <c r="Q29" s="528">
        <f t="shared" si="2"/>
        <v>0</v>
      </c>
      <c r="S29" s="528">
        <f xml:space="preserve"> IF(C29 = "", 0, IF(AND(NOT(INDEX('3A'!I$5:I$60, MATCH('3B'!$C29, '3A'!$C$5:$C$60, 0))=I29), $D29="00"), 1, 0))</f>
        <v>0</v>
      </c>
      <c r="T29" s="528">
        <f xml:space="preserve"> IF(C29 = "", 0, IF(AND(NOT(INDEX('3A'!J$5:J$60, MATCH('3B'!$C29, '3A'!$C$5:$C$60, 0))=J29), $D29="00"), 1, 0))</f>
        <v>0</v>
      </c>
    </row>
    <row r="30" spans="2:20" ht="30" customHeight="1">
      <c r="B30" s="533">
        <f t="shared" si="6"/>
        <v>26</v>
      </c>
      <c r="C30" s="534" t="str">
        <f>IF($F$1="Select company","",IF((HLOOKUP((VLOOKUP($F$1,Lists!$B$4:$C$26,2,FALSE)),'SUB list edited'!$A$2:$DP$42,($B30+1),FALSE))=0,"",HLOOKUP((VLOOKUP($F$1,Lists!$B$4:$C$26,2,FALSE)),'SUB list edited'!$A$2:$DP$42,($B30+1),FALSE)))</f>
        <v/>
      </c>
      <c r="D30" s="540" t="str">
        <f>IF($F$1="Select company","",IF(C30 = "","",HLOOKUP(((VLOOKUP($F$1,Lists!$B$4:$C$26,2,FALSE))&amp;"ID"),'SUB list edited'!$A$2:$DP$42,($B30+1),FALSE)))</f>
        <v/>
      </c>
      <c r="E30" s="534" t="str">
        <f>IF($F$1="Select company","",IF(C30 = "","",HLOOKUP(((VLOOKUP($F$1,Lists!$B$4:$C$26,2,FALSE))&amp;"PC"),'SUB list edited'!$A$2:$DP$42,($B30+1),FALSE)))</f>
        <v/>
      </c>
      <c r="F30" s="540" t="str">
        <f>IF($F$1="Select company","",IF(C30 = "","",HLOOKUP(((VLOOKUP($F$1,Lists!$B$4:$C$26,2,FALSE))&amp;"unit"),'SUB list edited'!$A$2:$DP$42,($B30+1),FALSE)))</f>
        <v/>
      </c>
      <c r="G30" s="1352" t="str">
        <f>IF($F$1="Select company","",IF(C30="","",HLOOKUP(((VLOOKUP($F$1,Lists!$B$4:$C$26,2,FALSE))&amp;"DP"),'SUB list edited'!$A$2:$DP$42,($B30+1),FALSE)))</f>
        <v/>
      </c>
      <c r="H30" s="314" t="str">
        <f>IF($F$1="Select company","",IF(C30 = "","",HLOOKUP(((VLOOKUP($F$1,Lists!$B$4:$C$26,2,FALSE))&amp;"201819ActPerf"),'SUB list edited'!$A$2:$DP$42,($B30+1),FALSE)))</f>
        <v/>
      </c>
      <c r="I30" s="554"/>
      <c r="J30" s="555"/>
      <c r="L30" s="532">
        <f t="shared" si="4"/>
        <v>0</v>
      </c>
      <c r="M30" s="532">
        <f t="shared" si="0"/>
        <v>0</v>
      </c>
      <c r="P30" s="528">
        <f t="shared" si="1"/>
        <v>0</v>
      </c>
      <c r="Q30" s="528">
        <f t="shared" si="2"/>
        <v>0</v>
      </c>
      <c r="S30" s="528">
        <f xml:space="preserve"> IF(C30 = "", 0, IF(AND(NOT(INDEX('3A'!I$5:I$60, MATCH('3B'!$C30, '3A'!$C$5:$C$60, 0))=I30), $D30="00"), 1, 0))</f>
        <v>0</v>
      </c>
      <c r="T30" s="528">
        <f xml:space="preserve"> IF(C30 = "", 0, IF(AND(NOT(INDEX('3A'!J$5:J$60, MATCH('3B'!$C30, '3A'!$C$5:$C$60, 0))=J30), $D30="00"), 1, 0))</f>
        <v>0</v>
      </c>
    </row>
    <row r="31" spans="2:20" ht="30" customHeight="1">
      <c r="B31" s="533">
        <f t="shared" si="6"/>
        <v>27</v>
      </c>
      <c r="C31" s="534" t="str">
        <f>IF($F$1="Select company","",IF((HLOOKUP((VLOOKUP($F$1,Lists!$B$4:$C$26,2,FALSE)),'SUB list edited'!$A$2:$DP$42,($B31+1),FALSE))=0,"",HLOOKUP((VLOOKUP($F$1,Lists!$B$4:$C$26,2,FALSE)),'SUB list edited'!$A$2:$DP$42,($B31+1),FALSE)))</f>
        <v/>
      </c>
      <c r="D31" s="540" t="str">
        <f>IF($F$1="Select company","",IF(C31 = "","",HLOOKUP(((VLOOKUP($F$1,Lists!$B$4:$C$26,2,FALSE))&amp;"ID"),'SUB list edited'!$A$2:$DP$42,($B31+1),FALSE)))</f>
        <v/>
      </c>
      <c r="E31" s="534" t="str">
        <f>IF($F$1="Select company","",IF(C31 = "","",HLOOKUP(((VLOOKUP($F$1,Lists!$B$4:$C$26,2,FALSE))&amp;"PC"),'SUB list edited'!$A$2:$DP$42,($B31+1),FALSE)))</f>
        <v/>
      </c>
      <c r="F31" s="540" t="str">
        <f>IF($F$1="Select company","",IF(C31 = "","",HLOOKUP(((VLOOKUP($F$1,Lists!$B$4:$C$26,2,FALSE))&amp;"unit"),'SUB list edited'!$A$2:$DP$42,($B31+1),FALSE)))</f>
        <v/>
      </c>
      <c r="G31" s="1352" t="str">
        <f>IF($F$1="Select company","",IF(C31="","",HLOOKUP(((VLOOKUP($F$1,Lists!$B$4:$C$26,2,FALSE))&amp;"DP"),'SUB list edited'!$A$2:$DP$42,($B31+1),FALSE)))</f>
        <v/>
      </c>
      <c r="H31" s="314" t="str">
        <f>IF($F$1="Select company","",IF(C31 = "","",HLOOKUP(((VLOOKUP($F$1,Lists!$B$4:$C$26,2,FALSE))&amp;"201819ActPerf"),'SUB list edited'!$A$2:$DP$42,($B31+1),FALSE)))</f>
        <v/>
      </c>
      <c r="I31" s="554"/>
      <c r="J31" s="555"/>
      <c r="L31" s="532">
        <f t="shared" si="4"/>
        <v>0</v>
      </c>
      <c r="M31" s="532">
        <f t="shared" si="0"/>
        <v>0</v>
      </c>
      <c r="P31" s="528">
        <f t="shared" si="1"/>
        <v>0</v>
      </c>
      <c r="Q31" s="528">
        <f t="shared" si="2"/>
        <v>0</v>
      </c>
      <c r="S31" s="528">
        <f xml:space="preserve"> IF(C31 = "", 0, IF(AND(NOT(INDEX('3A'!I$5:I$60, MATCH('3B'!$C31, '3A'!$C$5:$C$60, 0))=I31), $D31="00"), 1, 0))</f>
        <v>0</v>
      </c>
      <c r="T31" s="528">
        <f xml:space="preserve"> IF(C31 = "", 0, IF(AND(NOT(INDEX('3A'!J$5:J$60, MATCH('3B'!$C31, '3A'!$C$5:$C$60, 0))=J31), $D31="00"), 1, 0))</f>
        <v>0</v>
      </c>
    </row>
    <row r="32" spans="2:20" ht="30" customHeight="1">
      <c r="B32" s="533">
        <f t="shared" si="6"/>
        <v>28</v>
      </c>
      <c r="C32" s="534" t="str">
        <f>IF($F$1="Select company","",IF((HLOOKUP((VLOOKUP($F$1,Lists!$B$4:$C$26,2,FALSE)),'SUB list edited'!$A$2:$DP$42,($B32+1),FALSE))=0,"",HLOOKUP((VLOOKUP($F$1,Lists!$B$4:$C$26,2,FALSE)),'SUB list edited'!$A$2:$DP$42,($B32+1),FALSE)))</f>
        <v/>
      </c>
      <c r="D32" s="540" t="str">
        <f>IF($F$1="Select company","",IF(C32 = "","",HLOOKUP(((VLOOKUP($F$1,Lists!$B$4:$C$26,2,FALSE))&amp;"ID"),'SUB list edited'!$A$2:$DP$42,($B32+1),FALSE)))</f>
        <v/>
      </c>
      <c r="E32" s="534" t="str">
        <f>IF($F$1="Select company","",IF(C32 = "","",HLOOKUP(((VLOOKUP($F$1,Lists!$B$4:$C$26,2,FALSE))&amp;"PC"),'SUB list edited'!$A$2:$DP$42,($B32+1),FALSE)))</f>
        <v/>
      </c>
      <c r="F32" s="540" t="str">
        <f>IF($F$1="Select company","",IF(C32 = "","",HLOOKUP(((VLOOKUP($F$1,Lists!$B$4:$C$26,2,FALSE))&amp;"unit"),'SUB list edited'!$A$2:$DP$42,($B32+1),FALSE)))</f>
        <v/>
      </c>
      <c r="G32" s="1352" t="str">
        <f>IF($F$1="Select company","",IF(C32="","",HLOOKUP(((VLOOKUP($F$1,Lists!$B$4:$C$26,2,FALSE))&amp;"DP"),'SUB list edited'!$A$2:$DP$42,($B32+1),FALSE)))</f>
        <v/>
      </c>
      <c r="H32" s="314" t="str">
        <f>IF($F$1="Select company","",IF(C32 = "","",HLOOKUP(((VLOOKUP($F$1,Lists!$B$4:$C$26,2,FALSE))&amp;"201819ActPerf"),'SUB list edited'!$A$2:$DP$42,($B32+1),FALSE)))</f>
        <v/>
      </c>
      <c r="I32" s="554"/>
      <c r="J32" s="555"/>
      <c r="L32" s="532">
        <f t="shared" si="4"/>
        <v>0</v>
      </c>
      <c r="M32" s="532">
        <f t="shared" si="0"/>
        <v>0</v>
      </c>
      <c r="P32" s="528">
        <f t="shared" si="1"/>
        <v>0</v>
      </c>
      <c r="Q32" s="528">
        <f t="shared" si="2"/>
        <v>0</v>
      </c>
      <c r="S32" s="528">
        <f xml:space="preserve"> IF(C32 = "", 0, IF(AND(NOT(INDEX('3A'!I$5:I$60, MATCH('3B'!$C32, '3A'!$C$5:$C$60, 0))=I32), $D32="00"), 1, 0))</f>
        <v>0</v>
      </c>
      <c r="T32" s="528">
        <f xml:space="preserve"> IF(C32 = "", 0, IF(AND(NOT(INDEX('3A'!J$5:J$60, MATCH('3B'!$C32, '3A'!$C$5:$C$60, 0))=J32), $D32="00"), 1, 0))</f>
        <v>0</v>
      </c>
    </row>
    <row r="33" spans="2:20" ht="30" customHeight="1">
      <c r="B33" s="533">
        <f t="shared" si="6"/>
        <v>29</v>
      </c>
      <c r="C33" s="534" t="str">
        <f>IF($F$1="Select company","",IF((HLOOKUP((VLOOKUP($F$1,Lists!$B$4:$C$26,2,FALSE)),'SUB list edited'!$A$2:$DP$42,($B33+1),FALSE))=0,"",HLOOKUP((VLOOKUP($F$1,Lists!$B$4:$C$26,2,FALSE)),'SUB list edited'!$A$2:$DP$42,($B33+1),FALSE)))</f>
        <v/>
      </c>
      <c r="D33" s="540" t="str">
        <f>IF($F$1="Select company","",IF(C33 = "","",HLOOKUP(((VLOOKUP($F$1,Lists!$B$4:$C$26,2,FALSE))&amp;"ID"),'SUB list edited'!$A$2:$DP$42,($B33+1),FALSE)))</f>
        <v/>
      </c>
      <c r="E33" s="534" t="str">
        <f>IF($F$1="Select company","",IF(C33 = "","",HLOOKUP(((VLOOKUP($F$1,Lists!$B$4:$C$26,2,FALSE))&amp;"PC"),'SUB list edited'!$A$2:$DP$42,($B33+1),FALSE)))</f>
        <v/>
      </c>
      <c r="F33" s="540" t="str">
        <f>IF($F$1="Select company","",IF(C33 = "","",HLOOKUP(((VLOOKUP($F$1,Lists!$B$4:$C$26,2,FALSE))&amp;"unit"),'SUB list edited'!$A$2:$DP$42,($B33+1),FALSE)))</f>
        <v/>
      </c>
      <c r="G33" s="1352" t="str">
        <f>IF($F$1="Select company","",IF(C33="","",HLOOKUP(((VLOOKUP($F$1,Lists!$B$4:$C$26,2,FALSE))&amp;"DP"),'SUB list edited'!$A$2:$DP$42,($B33+1),FALSE)))</f>
        <v/>
      </c>
      <c r="H33" s="314" t="str">
        <f>IF($F$1="Select company","",IF(C33 = "","",HLOOKUP(((VLOOKUP($F$1,Lists!$B$4:$C$26,2,FALSE))&amp;"201819ActPerf"),'SUB list edited'!$A$2:$DP$42,($B33+1),FALSE)))</f>
        <v/>
      </c>
      <c r="I33" s="554"/>
      <c r="J33" s="555"/>
      <c r="L33" s="532">
        <f t="shared" si="4"/>
        <v>0</v>
      </c>
      <c r="M33" s="532">
        <f t="shared" si="0"/>
        <v>0</v>
      </c>
      <c r="P33" s="528">
        <f t="shared" si="1"/>
        <v>0</v>
      </c>
      <c r="Q33" s="528">
        <f t="shared" si="2"/>
        <v>0</v>
      </c>
      <c r="S33" s="528">
        <f xml:space="preserve"> IF(C33 = "", 0, IF(AND(NOT(INDEX('3A'!I$5:I$60, MATCH('3B'!$C33, '3A'!$C$5:$C$60, 0))=I33), $D33="00"), 1, 0))</f>
        <v>0</v>
      </c>
      <c r="T33" s="528">
        <f xml:space="preserve"> IF(C33 = "", 0, IF(AND(NOT(INDEX('3A'!J$5:J$60, MATCH('3B'!$C33, '3A'!$C$5:$C$60, 0))=J33), $D33="00"), 1, 0))</f>
        <v>0</v>
      </c>
    </row>
    <row r="34" spans="2:20" ht="30" customHeight="1">
      <c r="B34" s="533">
        <f t="shared" si="6"/>
        <v>30</v>
      </c>
      <c r="C34" s="534" t="str">
        <f>IF($F$1="Select company","",IF((HLOOKUP((VLOOKUP($F$1,Lists!$B$4:$C$26,2,FALSE)),'SUB list edited'!$A$2:$DP$42,($B34+1),FALSE))=0,"",HLOOKUP((VLOOKUP($F$1,Lists!$B$4:$C$26,2,FALSE)),'SUB list edited'!$A$2:$DP$42,($B34+1),FALSE)))</f>
        <v/>
      </c>
      <c r="D34" s="540" t="str">
        <f>IF($F$1="Select company","",IF(C34 = "","",HLOOKUP(((VLOOKUP($F$1,Lists!$B$4:$C$26,2,FALSE))&amp;"ID"),'SUB list edited'!$A$2:$DP$42,($B34+1),FALSE)))</f>
        <v/>
      </c>
      <c r="E34" s="534" t="str">
        <f>IF($F$1="Select company","",IF(C34 = "","",HLOOKUP(((VLOOKUP($F$1,Lists!$B$4:$C$26,2,FALSE))&amp;"PC"),'SUB list edited'!$A$2:$DP$42,($B34+1),FALSE)))</f>
        <v/>
      </c>
      <c r="F34" s="540" t="str">
        <f>IF($F$1="Select company","",IF(C34 = "","",HLOOKUP(((VLOOKUP($F$1,Lists!$B$4:$C$26,2,FALSE))&amp;"unit"),'SUB list edited'!$A$2:$DP$42,($B34+1),FALSE)))</f>
        <v/>
      </c>
      <c r="G34" s="1352" t="str">
        <f>IF($F$1="Select company","",IF(C34="","",HLOOKUP(((VLOOKUP($F$1,Lists!$B$4:$C$26,2,FALSE))&amp;"DP"),'SUB list edited'!$A$2:$DP$42,($B34+1),FALSE)))</f>
        <v/>
      </c>
      <c r="H34" s="314" t="str">
        <f>IF($F$1="Select company","",IF(C34 = "","",HLOOKUP(((VLOOKUP($F$1,Lists!$B$4:$C$26,2,FALSE))&amp;"201819ActPerf"),'SUB list edited'!$A$2:$DP$42,($B34+1),FALSE)))</f>
        <v/>
      </c>
      <c r="I34" s="554"/>
      <c r="J34" s="555"/>
      <c r="L34" s="532">
        <f t="shared" si="4"/>
        <v>0</v>
      </c>
      <c r="M34" s="532">
        <f t="shared" si="0"/>
        <v>0</v>
      </c>
      <c r="P34" s="528">
        <f t="shared" si="1"/>
        <v>0</v>
      </c>
      <c r="Q34" s="528">
        <f t="shared" si="2"/>
        <v>0</v>
      </c>
      <c r="S34" s="528">
        <f xml:space="preserve"> IF(C34 = "", 0, IF(AND(NOT(INDEX('3A'!I$5:I$60, MATCH('3B'!$C34, '3A'!$C$5:$C$60, 0))=I34), $D34="00"), 1, 0))</f>
        <v>0</v>
      </c>
      <c r="T34" s="528">
        <f xml:space="preserve"> IF(C34 = "", 0, IF(AND(NOT(INDEX('3A'!J$5:J$60, MATCH('3B'!$C34, '3A'!$C$5:$C$60, 0))=J34), $D34="00"), 1, 0))</f>
        <v>0</v>
      </c>
    </row>
    <row r="35" spans="2:20" ht="30" customHeight="1">
      <c r="B35" s="533">
        <f t="shared" si="6"/>
        <v>31</v>
      </c>
      <c r="C35" s="534" t="str">
        <f>IF($F$1="Select company","",IF((HLOOKUP((VLOOKUP($F$1,Lists!$B$4:$C$26,2,FALSE)),'SUB list edited'!$A$2:$DP$42,($B35+1),FALSE))=0,"",HLOOKUP((VLOOKUP($F$1,Lists!$B$4:$C$26,2,FALSE)),'SUB list edited'!$A$2:$DP$42,($B35+1),FALSE)))</f>
        <v/>
      </c>
      <c r="D35" s="540" t="str">
        <f>IF($F$1="Select company","",IF(C35 = "","",HLOOKUP(((VLOOKUP($F$1,Lists!$B$4:$C$26,2,FALSE))&amp;"ID"),'SUB list edited'!$A$2:$DP$42,($B35+1),FALSE)))</f>
        <v/>
      </c>
      <c r="E35" s="534" t="str">
        <f>IF($F$1="Select company","",IF(C35 = "","",HLOOKUP(((VLOOKUP($F$1,Lists!$B$4:$C$26,2,FALSE))&amp;"PC"),'SUB list edited'!$A$2:$DP$42,($B35+1),FALSE)))</f>
        <v/>
      </c>
      <c r="F35" s="540" t="str">
        <f>IF($F$1="Select company","",IF(C35 = "","",HLOOKUP(((VLOOKUP($F$1,Lists!$B$4:$C$26,2,FALSE))&amp;"unit"),'SUB list edited'!$A$2:$DP$42,($B35+1),FALSE)))</f>
        <v/>
      </c>
      <c r="G35" s="1352" t="str">
        <f>IF($F$1="Select company","",IF(C35="","",HLOOKUP(((VLOOKUP($F$1,Lists!$B$4:$C$26,2,FALSE))&amp;"DP"),'SUB list edited'!$A$2:$DP$42,($B35+1),FALSE)))</f>
        <v/>
      </c>
      <c r="H35" s="314" t="str">
        <f>IF($F$1="Select company","",IF(C35 = "","",HLOOKUP(((VLOOKUP($F$1,Lists!$B$4:$C$26,2,FALSE))&amp;"201819ActPerf"),'SUB list edited'!$A$2:$DP$42,($B35+1),FALSE)))</f>
        <v/>
      </c>
      <c r="I35" s="554"/>
      <c r="J35" s="555"/>
      <c r="L35" s="532">
        <f t="shared" si="4"/>
        <v>0</v>
      </c>
      <c r="M35" s="532">
        <f t="shared" si="0"/>
        <v>0</v>
      </c>
      <c r="P35" s="528">
        <f t="shared" si="1"/>
        <v>0</v>
      </c>
      <c r="Q35" s="528">
        <f t="shared" si="2"/>
        <v>0</v>
      </c>
      <c r="S35" s="528">
        <f xml:space="preserve"> IF(C35 = "", 0, IF(AND(NOT(INDEX('3A'!I$5:I$60, MATCH('3B'!$C35, '3A'!$C$5:$C$60, 0))=I35), $D35="00"), 1, 0))</f>
        <v>0</v>
      </c>
      <c r="T35" s="528">
        <f xml:space="preserve"> IF(C35 = "", 0, IF(AND(NOT(INDEX('3A'!J$5:J$60, MATCH('3B'!$C35, '3A'!$C$5:$C$60, 0))=J35), $D35="00"), 1, 0))</f>
        <v>0</v>
      </c>
    </row>
    <row r="36" spans="2:20" ht="30" customHeight="1">
      <c r="B36" s="533">
        <f t="shared" si="6"/>
        <v>32</v>
      </c>
      <c r="C36" s="534" t="str">
        <f>IF($F$1="Select company","",IF((HLOOKUP((VLOOKUP($F$1,Lists!$B$4:$C$26,2,FALSE)),'SUB list edited'!$A$2:$DP$42,($B36+1),FALSE))=0,"",HLOOKUP((VLOOKUP($F$1,Lists!$B$4:$C$26,2,FALSE)),'SUB list edited'!$A$2:$DP$42,($B36+1),FALSE)))</f>
        <v/>
      </c>
      <c r="D36" s="540" t="str">
        <f>IF($F$1="Select company","",IF(C36 = "","",HLOOKUP(((VLOOKUP($F$1,Lists!$B$4:$C$26,2,FALSE))&amp;"ID"),'SUB list edited'!$A$2:$DP$42,($B36+1),FALSE)))</f>
        <v/>
      </c>
      <c r="E36" s="534" t="str">
        <f>IF($F$1="Select company","",IF(C36 = "","",HLOOKUP(((VLOOKUP($F$1,Lists!$B$4:$C$26,2,FALSE))&amp;"PC"),'SUB list edited'!$A$2:$DP$42,($B36+1),FALSE)))</f>
        <v/>
      </c>
      <c r="F36" s="540" t="str">
        <f>IF($F$1="Select company","",IF(C36 = "","",HLOOKUP(((VLOOKUP($F$1,Lists!$B$4:$C$26,2,FALSE))&amp;"unit"),'SUB list edited'!$A$2:$DP$42,($B36+1),FALSE)))</f>
        <v/>
      </c>
      <c r="G36" s="1352" t="str">
        <f>IF($F$1="Select company","",IF(C36="","",HLOOKUP(((VLOOKUP($F$1,Lists!$B$4:$C$26,2,FALSE))&amp;"DP"),'SUB list edited'!$A$2:$DP$42,($B36+1),FALSE)))</f>
        <v/>
      </c>
      <c r="H36" s="314" t="str">
        <f>IF($F$1="Select company","",IF(C36 = "","",HLOOKUP(((VLOOKUP($F$1,Lists!$B$4:$C$26,2,FALSE))&amp;"201819ActPerf"),'SUB list edited'!$A$2:$DP$42,($B36+1),FALSE)))</f>
        <v/>
      </c>
      <c r="I36" s="554"/>
      <c r="J36" s="555"/>
      <c r="L36" s="532">
        <f t="shared" si="4"/>
        <v>0</v>
      </c>
      <c r="M36" s="532">
        <f t="shared" si="0"/>
        <v>0</v>
      </c>
      <c r="P36" s="528">
        <f t="shared" si="1"/>
        <v>0</v>
      </c>
      <c r="Q36" s="528">
        <f t="shared" si="2"/>
        <v>0</v>
      </c>
      <c r="S36" s="528">
        <f xml:space="preserve"> IF(C36 = "", 0, IF(AND(NOT(INDEX('3A'!I$5:I$60, MATCH('3B'!$C36, '3A'!$C$5:$C$60, 0))=I36), $D36="00"), 1, 0))</f>
        <v>0</v>
      </c>
      <c r="T36" s="528">
        <f xml:space="preserve"> IF(C36 = "", 0, IF(AND(NOT(INDEX('3A'!J$5:J$60, MATCH('3B'!$C36, '3A'!$C$5:$C$60, 0))=J36), $D36="00"), 1, 0))</f>
        <v>0</v>
      </c>
    </row>
    <row r="37" spans="2:20" ht="30" customHeight="1">
      <c r="B37" s="533">
        <f t="shared" si="6"/>
        <v>33</v>
      </c>
      <c r="C37" s="534" t="str">
        <f>IF($F$1="Select company","",IF((HLOOKUP((VLOOKUP($F$1,Lists!$B$4:$C$26,2,FALSE)),'SUB list edited'!$A$2:$DP$42,($B37+1),FALSE))=0,"",HLOOKUP((VLOOKUP($F$1,Lists!$B$4:$C$26,2,FALSE)),'SUB list edited'!$A$2:$DP$42,($B37+1),FALSE)))</f>
        <v/>
      </c>
      <c r="D37" s="540" t="str">
        <f>IF($F$1="Select company","",IF(C37 = "","",HLOOKUP(((VLOOKUP($F$1,Lists!$B$4:$C$26,2,FALSE))&amp;"ID"),'SUB list edited'!$A$2:$DP$42,($B37+1),FALSE)))</f>
        <v/>
      </c>
      <c r="E37" s="534" t="str">
        <f>IF($F$1="Select company","",IF(C37 = "","",HLOOKUP(((VLOOKUP($F$1,Lists!$B$4:$C$26,2,FALSE))&amp;"PC"),'SUB list edited'!$A$2:$DP$42,($B37+1),FALSE)))</f>
        <v/>
      </c>
      <c r="F37" s="540" t="str">
        <f>IF($F$1="Select company","",IF(C37 = "","",HLOOKUP(((VLOOKUP($F$1,Lists!$B$4:$C$26,2,FALSE))&amp;"unit"),'SUB list edited'!$A$2:$DP$42,($B37+1),FALSE)))</f>
        <v/>
      </c>
      <c r="G37" s="1352" t="str">
        <f>IF($F$1="Select company","",IF(C37="","",HLOOKUP(((VLOOKUP($F$1,Lists!$B$4:$C$26,2,FALSE))&amp;"DP"),'SUB list edited'!$A$2:$DP$42,($B37+1),FALSE)))</f>
        <v/>
      </c>
      <c r="H37" s="314" t="str">
        <f>IF($F$1="Select company","",IF(C37 = "","",HLOOKUP(((VLOOKUP($F$1,Lists!$B$4:$C$26,2,FALSE))&amp;"201819ActPerf"),'SUB list edited'!$A$2:$DP$42,($B37+1),FALSE)))</f>
        <v/>
      </c>
      <c r="I37" s="554"/>
      <c r="J37" s="555"/>
      <c r="L37" s="532">
        <f t="shared" si="4"/>
        <v>0</v>
      </c>
      <c r="M37" s="532">
        <f t="shared" si="0"/>
        <v>0</v>
      </c>
      <c r="P37" s="528">
        <f t="shared" si="1"/>
        <v>0</v>
      </c>
      <c r="Q37" s="528">
        <f t="shared" si="2"/>
        <v>0</v>
      </c>
      <c r="S37" s="528">
        <f xml:space="preserve"> IF(C37 = "", 0, IF(AND(NOT(INDEX('3A'!I$5:I$60, MATCH('3B'!$C37, '3A'!$C$5:$C$60, 0))=I37), $D37="00"), 1, 0))</f>
        <v>0</v>
      </c>
      <c r="T37" s="528">
        <f xml:space="preserve"> IF(C37 = "", 0, IF(AND(NOT(INDEX('3A'!J$5:J$60, MATCH('3B'!$C37, '3A'!$C$5:$C$60, 0))=J37), $D37="00"), 1, 0))</f>
        <v>0</v>
      </c>
    </row>
    <row r="38" spans="2:20" ht="30" customHeight="1">
      <c r="B38" s="533">
        <f xml:space="preserve"> B37 + 1</f>
        <v>34</v>
      </c>
      <c r="C38" s="534" t="str">
        <f>IF($F$1="Select company","",IF((HLOOKUP((VLOOKUP($F$1,Lists!$B$4:$C$26,2,FALSE)),'SUB list edited'!$A$2:$DP$42,($B38+1),FALSE))=0,"",HLOOKUP((VLOOKUP($F$1,Lists!$B$4:$C$26,2,FALSE)),'SUB list edited'!$A$2:$DP$42,($B38+1),FALSE)))</f>
        <v/>
      </c>
      <c r="D38" s="540" t="str">
        <f>IF($F$1="Select company","",IF(C38 = "","",HLOOKUP(((VLOOKUP($F$1,Lists!$B$4:$C$26,2,FALSE))&amp;"ID"),'SUB list edited'!$A$2:$DP$42,($B38+1),FALSE)))</f>
        <v/>
      </c>
      <c r="E38" s="534" t="str">
        <f>IF($F$1="Select company","",IF(C38 = "","",HLOOKUP(((VLOOKUP($F$1,Lists!$B$4:$C$26,2,FALSE))&amp;"PC"),'SUB list edited'!$A$2:$DP$42,($B38+1),FALSE)))</f>
        <v/>
      </c>
      <c r="F38" s="540" t="str">
        <f>IF($F$1="Select company","",IF(C38 = "","",HLOOKUP(((VLOOKUP($F$1,Lists!$B$4:$C$26,2,FALSE))&amp;"unit"),'SUB list edited'!$A$2:$DP$42,($B38+1),FALSE)))</f>
        <v/>
      </c>
      <c r="G38" s="1352" t="str">
        <f>IF($F$1="Select company","",IF(C38="","",HLOOKUP(((VLOOKUP($F$1,Lists!$B$4:$C$26,2,FALSE))&amp;"DP"),'SUB list edited'!$A$2:$DP$42,($B38+1),FALSE)))</f>
        <v/>
      </c>
      <c r="H38" s="314" t="str">
        <f>IF($F$1="Select company","",IF(C38 = "","",HLOOKUP(((VLOOKUP($F$1,Lists!$B$4:$C$26,2,FALSE))&amp;"201819ActPerf"),'SUB list edited'!$A$2:$DP$42,($B38+1),FALSE)))</f>
        <v/>
      </c>
      <c r="I38" s="554"/>
      <c r="J38" s="555"/>
      <c r="L38" s="532">
        <f t="shared" si="4"/>
        <v>0</v>
      </c>
      <c r="M38" s="532">
        <f t="shared" si="0"/>
        <v>0</v>
      </c>
      <c r="P38" s="528">
        <f t="shared" si="1"/>
        <v>0</v>
      </c>
      <c r="Q38" s="528">
        <f t="shared" si="2"/>
        <v>0</v>
      </c>
      <c r="S38" s="528">
        <f xml:space="preserve"> IF(C38 = "", 0, IF(AND(NOT(INDEX('3A'!I$5:I$60, MATCH('3B'!$C38, '3A'!$C$5:$C$60, 0))=I38), $D38="00"), 1, 0))</f>
        <v>0</v>
      </c>
      <c r="T38" s="528">
        <f xml:space="preserve"> IF(C38 = "", 0, IF(AND(NOT(INDEX('3A'!J$5:J$60, MATCH('3B'!$C38, '3A'!$C$5:$C$60, 0))=J38), $D38="00"), 1, 0))</f>
        <v>0</v>
      </c>
    </row>
    <row r="39" spans="2:20" ht="30" customHeight="1">
      <c r="B39" s="533">
        <f t="shared" si="6"/>
        <v>35</v>
      </c>
      <c r="C39" s="534" t="str">
        <f>IF($F$1="Select company","",IF((HLOOKUP((VLOOKUP($F$1,Lists!$B$4:$C$26,2,FALSE)),'SUB list edited'!$A$2:$DP$42,($B39+1),FALSE))=0,"",HLOOKUP((VLOOKUP($F$1,Lists!$B$4:$C$26,2,FALSE)),'SUB list edited'!$A$2:$DP$42,($B39+1),FALSE)))</f>
        <v/>
      </c>
      <c r="D39" s="540" t="str">
        <f>IF($F$1="Select company","",IF(C39 = "","",HLOOKUP(((VLOOKUP($F$1,Lists!$B$4:$C$26,2,FALSE))&amp;"ID"),'SUB list edited'!$A$2:$DP$42,($B39+1),FALSE)))</f>
        <v/>
      </c>
      <c r="E39" s="534" t="str">
        <f>IF($F$1="Select company","",IF(C39 = "","",HLOOKUP(((VLOOKUP($F$1,Lists!$B$4:$C$26,2,FALSE))&amp;"PC"),'SUB list edited'!$A$2:$DP$42,($B39+1),FALSE)))</f>
        <v/>
      </c>
      <c r="F39" s="540" t="str">
        <f>IF($F$1="Select company","",IF(C39 = "","",HLOOKUP(((VLOOKUP($F$1,Lists!$B$4:$C$26,2,FALSE))&amp;"unit"),'SUB list edited'!$A$2:$DP$42,($B39+1),FALSE)))</f>
        <v/>
      </c>
      <c r="G39" s="1352" t="str">
        <f>IF($F$1="Select company","",IF(C39="","",HLOOKUP(((VLOOKUP($F$1,Lists!$B$4:$C$26,2,FALSE))&amp;"DP"),'SUB list edited'!$A$2:$DP$42,($B39+1),FALSE)))</f>
        <v/>
      </c>
      <c r="H39" s="314" t="str">
        <f>IF($F$1="Select company","",IF(C39 = "","",HLOOKUP(((VLOOKUP($F$1,Lists!$B$4:$C$26,2,FALSE))&amp;"201819ActPerf"),'SUB list edited'!$A$2:$DP$42,($B39+1),FALSE)))</f>
        <v/>
      </c>
      <c r="I39" s="554"/>
      <c r="J39" s="555"/>
      <c r="L39" s="532">
        <f t="shared" si="4"/>
        <v>0</v>
      </c>
      <c r="M39" s="532">
        <f t="shared" si="0"/>
        <v>0</v>
      </c>
      <c r="P39" s="528">
        <f t="shared" si="1"/>
        <v>0</v>
      </c>
      <c r="Q39" s="528">
        <f t="shared" si="2"/>
        <v>0</v>
      </c>
      <c r="S39" s="528">
        <f xml:space="preserve"> IF(C39 = "", 0, IF(AND(NOT(INDEX('3A'!I$5:I$60, MATCH('3B'!$C39, '3A'!$C$5:$C$60, 0))=I39), $D39="00"), 1, 0))</f>
        <v>0</v>
      </c>
      <c r="T39" s="528">
        <f xml:space="preserve"> IF(C39 = "", 0, IF(AND(NOT(INDEX('3A'!J$5:J$60, MATCH('3B'!$C39, '3A'!$C$5:$C$60, 0))=J39), $D39="00"), 1, 0))</f>
        <v>0</v>
      </c>
    </row>
    <row r="40" spans="2:20" ht="30" customHeight="1">
      <c r="B40" s="533">
        <f t="shared" si="6"/>
        <v>36</v>
      </c>
      <c r="C40" s="534" t="str">
        <f>IF($F$1="Select company","",IF((HLOOKUP((VLOOKUP($F$1,Lists!$B$4:$C$26,2,FALSE)),'SUB list edited'!$A$2:$DP$42,($B40+1),FALSE))=0,"",HLOOKUP((VLOOKUP($F$1,Lists!$B$4:$C$26,2,FALSE)),'SUB list edited'!$A$2:$DP$42,($B40+1),FALSE)))</f>
        <v/>
      </c>
      <c r="D40" s="540" t="str">
        <f>IF($F$1="Select company","",IF(C40 = "","",HLOOKUP(((VLOOKUP($F$1,Lists!$B$4:$C$26,2,FALSE))&amp;"ID"),'SUB list edited'!$A$2:$DP$42,($B40+1),FALSE)))</f>
        <v/>
      </c>
      <c r="E40" s="534" t="str">
        <f>IF($F$1="Select company","",IF(C40 = "","",HLOOKUP(((VLOOKUP($F$1,Lists!$B$4:$C$26,2,FALSE))&amp;"PC"),'SUB list edited'!$A$2:$DP$42,($B40+1),FALSE)))</f>
        <v/>
      </c>
      <c r="F40" s="540" t="str">
        <f>IF($F$1="Select company","",IF(C40 = "","",HLOOKUP(((VLOOKUP($F$1,Lists!$B$4:$C$26,2,FALSE))&amp;"unit"),'SUB list edited'!$A$2:$DP$42,($B40+1),FALSE)))</f>
        <v/>
      </c>
      <c r="G40" s="1352" t="str">
        <f>IF($F$1="Select company","",IF(C40="","",HLOOKUP(((VLOOKUP($F$1,Lists!$B$4:$C$26,2,FALSE))&amp;"DP"),'SUB list edited'!$A$2:$DP$42,($B40+1),FALSE)))</f>
        <v/>
      </c>
      <c r="H40" s="314" t="str">
        <f>IF($F$1="Select company","",IF(C40 = "","",HLOOKUP(((VLOOKUP($F$1,Lists!$B$4:$C$26,2,FALSE))&amp;"201819ActPerf"),'SUB list edited'!$A$2:$DP$42,($B40+1),FALSE)))</f>
        <v/>
      </c>
      <c r="I40" s="554"/>
      <c r="J40" s="555"/>
      <c r="L40" s="532">
        <f t="shared" si="4"/>
        <v>0</v>
      </c>
      <c r="M40" s="532">
        <f t="shared" si="0"/>
        <v>0</v>
      </c>
      <c r="P40" s="528">
        <f t="shared" si="1"/>
        <v>0</v>
      </c>
      <c r="Q40" s="528">
        <f t="shared" si="2"/>
        <v>0</v>
      </c>
      <c r="S40" s="528">
        <f xml:space="preserve"> IF(C40 = "", 0, IF(AND(NOT(INDEX('3A'!I$5:I$60, MATCH('3B'!$C40, '3A'!$C$5:$C$60, 0))=I40), $D40="00"), 1, 0))</f>
        <v>0</v>
      </c>
      <c r="T40" s="528">
        <f xml:space="preserve"> IF(C40 = "", 0, IF(AND(NOT(INDEX('3A'!J$5:J$60, MATCH('3B'!$C40, '3A'!$C$5:$C$60, 0))=J40), $D40="00"), 1, 0))</f>
        <v>0</v>
      </c>
    </row>
    <row r="41" spans="2:20" ht="30" customHeight="1">
      <c r="B41" s="533">
        <f t="shared" si="6"/>
        <v>37</v>
      </c>
      <c r="C41" s="534" t="str">
        <f>IF($F$1="Select company","",IF((HLOOKUP((VLOOKUP($F$1,Lists!$B$4:$C$26,2,FALSE)),'SUB list edited'!$A$2:$DP$42,($B41+1),FALSE))=0,"",HLOOKUP((VLOOKUP($F$1,Lists!$B$4:$C$26,2,FALSE)),'SUB list edited'!$A$2:$DP$42,($B41+1),FALSE)))</f>
        <v/>
      </c>
      <c r="D41" s="540" t="str">
        <f>IF($F$1="Select company","",IF(C41 = "","",HLOOKUP(((VLOOKUP($F$1,Lists!$B$4:$C$26,2,FALSE))&amp;"ID"),'SUB list edited'!$A$2:$DP$42,($B41+1),FALSE)))</f>
        <v/>
      </c>
      <c r="E41" s="534" t="str">
        <f>IF($F$1="Select company","",IF(C41 = "","",HLOOKUP(((VLOOKUP($F$1,Lists!$B$4:$C$26,2,FALSE))&amp;"PC"),'SUB list edited'!$A$2:$DP$42,($B41+1),FALSE)))</f>
        <v/>
      </c>
      <c r="F41" s="540" t="str">
        <f>IF($F$1="Select company","",IF(C41 = "","",HLOOKUP(((VLOOKUP($F$1,Lists!$B$4:$C$26,2,FALSE))&amp;"unit"),'SUB list edited'!$A$2:$DP$42,($B41+1),FALSE)))</f>
        <v/>
      </c>
      <c r="G41" s="1352" t="str">
        <f>IF($F$1="Select company","",IF(C41="","",HLOOKUP(((VLOOKUP($F$1,Lists!$B$4:$C$26,2,FALSE))&amp;"DP"),'SUB list edited'!$A$2:$DP$42,($B41+1),FALSE)))</f>
        <v/>
      </c>
      <c r="H41" s="314" t="str">
        <f>IF($F$1="Select company","",IF(C41 = "","",HLOOKUP(((VLOOKUP($F$1,Lists!$B$4:$C$26,2,FALSE))&amp;"201819ActPerf"),'SUB list edited'!$A$2:$DP$42,($B41+1),FALSE)))</f>
        <v/>
      </c>
      <c r="I41" s="554"/>
      <c r="J41" s="555"/>
      <c r="L41" s="532">
        <f t="shared" si="4"/>
        <v>0</v>
      </c>
      <c r="M41" s="532">
        <f t="shared" si="0"/>
        <v>0</v>
      </c>
      <c r="P41" s="528">
        <f t="shared" si="1"/>
        <v>0</v>
      </c>
      <c r="Q41" s="528">
        <f t="shared" si="2"/>
        <v>0</v>
      </c>
      <c r="S41" s="528">
        <f xml:space="preserve"> IF(C41 = "", 0, IF(AND(NOT(INDEX('3A'!I$5:I$60, MATCH('3B'!$C41, '3A'!$C$5:$C$60, 0))=I41), $D41="00"), 1, 0))</f>
        <v>0</v>
      </c>
      <c r="T41" s="528">
        <f xml:space="preserve"> IF(C41 = "", 0, IF(AND(NOT(INDEX('3A'!J$5:J$60, MATCH('3B'!$C41, '3A'!$C$5:$C$60, 0))=J41), $D41="00"), 1, 0))</f>
        <v>0</v>
      </c>
    </row>
    <row r="42" spans="2:20" ht="30" customHeight="1">
      <c r="B42" s="533">
        <f t="shared" si="6"/>
        <v>38</v>
      </c>
      <c r="C42" s="534" t="str">
        <f>IF($F$1="Select company","",IF((HLOOKUP((VLOOKUP($F$1,Lists!$B$4:$C$26,2,FALSE)),'SUB list edited'!$A$2:$DP$42,($B42+1),FALSE))=0,"",HLOOKUP((VLOOKUP($F$1,Lists!$B$4:$C$26,2,FALSE)),'SUB list edited'!$A$2:$DP$42,($B42+1),FALSE)))</f>
        <v/>
      </c>
      <c r="D42" s="540" t="str">
        <f>IF($F$1="Select company","",IF(C42 = "","",HLOOKUP(((VLOOKUP($F$1,Lists!$B$4:$C$26,2,FALSE))&amp;"ID"),'SUB list edited'!$A$2:$DP$42,($B42+1),FALSE)))</f>
        <v/>
      </c>
      <c r="E42" s="534" t="str">
        <f>IF($F$1="Select company","",IF(C42 = "","",HLOOKUP(((VLOOKUP($F$1,Lists!$B$4:$C$26,2,FALSE))&amp;"PC"),'SUB list edited'!$A$2:$DP$42,($B42+1),FALSE)))</f>
        <v/>
      </c>
      <c r="F42" s="540" t="str">
        <f>IF($F$1="Select company","",IF(C42 = "","",HLOOKUP(((VLOOKUP($F$1,Lists!$B$4:$C$26,2,FALSE))&amp;"unit"),'SUB list edited'!$A$2:$DP$42,($B42+1),FALSE)))</f>
        <v/>
      </c>
      <c r="G42" s="1352" t="str">
        <f>IF($F$1="Select company","",IF(C42="","",HLOOKUP(((VLOOKUP($F$1,Lists!$B$4:$C$26,2,FALSE))&amp;"DP"),'SUB list edited'!$A$2:$DP$42,($B42+1),FALSE)))</f>
        <v/>
      </c>
      <c r="H42" s="314" t="str">
        <f>IF($F$1="Select company","",IF(C42 = "","",HLOOKUP(((VLOOKUP($F$1,Lists!$B$4:$C$26,2,FALSE))&amp;"201819ActPerf"),'SUB list edited'!$A$2:$DP$42,($B42+1),FALSE)))</f>
        <v/>
      </c>
      <c r="I42" s="554"/>
      <c r="J42" s="555"/>
      <c r="L42" s="532">
        <f t="shared" si="4"/>
        <v>0</v>
      </c>
      <c r="M42" s="532">
        <f t="shared" si="0"/>
        <v>0</v>
      </c>
      <c r="P42" s="528">
        <f t="shared" si="1"/>
        <v>0</v>
      </c>
      <c r="Q42" s="528">
        <f t="shared" si="2"/>
        <v>0</v>
      </c>
      <c r="S42" s="528">
        <f xml:space="preserve"> IF(C42 = "", 0, IF(AND(NOT(INDEX('3A'!I$5:I$60, MATCH('3B'!$C42, '3A'!$C$5:$C$60, 0))=I42), $D42="00"), 1, 0))</f>
        <v>0</v>
      </c>
      <c r="T42" s="528">
        <f xml:space="preserve"> IF(C42 = "", 0, IF(AND(NOT(INDEX('3A'!J$5:J$60, MATCH('3B'!$C42, '3A'!$C$5:$C$60, 0))=J42), $D42="00"), 1, 0))</f>
        <v>0</v>
      </c>
    </row>
    <row r="43" spans="2:20" ht="30" customHeight="1">
      <c r="B43" s="533">
        <f t="shared" si="6"/>
        <v>39</v>
      </c>
      <c r="C43" s="534" t="str">
        <f>IF($F$1="Select company","",IF((HLOOKUP((VLOOKUP($F$1,Lists!$B$4:$C$26,2,FALSE)),'SUB list edited'!$A$2:$DP$42,($B43+1),FALSE))=0,"",HLOOKUP((VLOOKUP($F$1,Lists!$B$4:$C$26,2,FALSE)),'SUB list edited'!$A$2:$DP$42,($B43+1),FALSE)))</f>
        <v/>
      </c>
      <c r="D43" s="540" t="str">
        <f>IF($F$1="Select company","",IF(C43 = "","",HLOOKUP(((VLOOKUP($F$1,Lists!$B$4:$C$26,2,FALSE))&amp;"ID"),'SUB list edited'!$A$2:$DP$42,($B43+1),FALSE)))</f>
        <v/>
      </c>
      <c r="E43" s="534" t="str">
        <f>IF($F$1="Select company","",IF(C43 = "","",HLOOKUP(((VLOOKUP($F$1,Lists!$B$4:$C$26,2,FALSE))&amp;"PC"),'SUB list edited'!$A$2:$DP$42,($B43+1),FALSE)))</f>
        <v/>
      </c>
      <c r="F43" s="540" t="str">
        <f>IF($F$1="Select company","",IF(C43 = "","",HLOOKUP(((VLOOKUP($F$1,Lists!$B$4:$C$26,2,FALSE))&amp;"unit"),'SUB list edited'!$A$2:$DP$42,($B43+1),FALSE)))</f>
        <v/>
      </c>
      <c r="G43" s="1352" t="str">
        <f>IF($F$1="Select company","",IF(C43="","",HLOOKUP(((VLOOKUP($F$1,Lists!$B$4:$C$26,2,FALSE))&amp;"DP"),'SUB list edited'!$A$2:$DP$42,($B43+1),FALSE)))</f>
        <v/>
      </c>
      <c r="H43" s="314" t="str">
        <f>IF($F$1="Select company","",IF(C43 = "","",HLOOKUP(((VLOOKUP($F$1,Lists!$B$4:$C$26,2,FALSE))&amp;"201819ActPerf"),'SUB list edited'!$A$2:$DP$42,($B43+1),FALSE)))</f>
        <v/>
      </c>
      <c r="I43" s="554"/>
      <c r="J43" s="555"/>
      <c r="L43" s="532">
        <f t="shared" si="4"/>
        <v>0</v>
      </c>
      <c r="M43" s="532">
        <f t="shared" si="0"/>
        <v>0</v>
      </c>
      <c r="P43" s="528">
        <f t="shared" si="1"/>
        <v>0</v>
      </c>
      <c r="Q43" s="528">
        <f t="shared" si="2"/>
        <v>0</v>
      </c>
      <c r="S43" s="528">
        <f xml:space="preserve"> IF(C43 = "", 0, IF(AND(NOT(INDEX('3A'!I$5:I$60, MATCH('3B'!$C43, '3A'!$C$5:$C$60, 0))=I43), $D43="00"), 1, 0))</f>
        <v>0</v>
      </c>
      <c r="T43" s="528">
        <f xml:space="preserve"> IF(C43 = "", 0, IF(AND(NOT(INDEX('3A'!J$5:J$60, MATCH('3B'!$C43, '3A'!$C$5:$C$60, 0))=J43), $D43="00"), 1, 0))</f>
        <v>0</v>
      </c>
    </row>
    <row r="44" spans="2:20" ht="30" customHeight="1" thickBot="1">
      <c r="B44" s="535">
        <f t="shared" si="6"/>
        <v>40</v>
      </c>
      <c r="C44" s="536" t="str">
        <f>IF($F$1="Select company","",IF((HLOOKUP((VLOOKUP($F$1,Lists!$B$4:$C$26,2,FALSE)),'SUB list edited'!$A$2:$DP$42,($B44+1),FALSE))=0,"",HLOOKUP((VLOOKUP($F$1,Lists!$B$4:$C$26,2,FALSE)),'SUB list edited'!$A$2:$DP$42,($B44+1),FALSE)))</f>
        <v/>
      </c>
      <c r="D44" s="541" t="str">
        <f>IF($F$1="Select company","",IF(C44 = "","",HLOOKUP(((VLOOKUP($F$1,Lists!$B$4:$C$26,2,FALSE))&amp;"ID"),'SUB list edited'!$A$2:$DP$42,($B44+1),FALSE)))</f>
        <v/>
      </c>
      <c r="E44" s="536" t="str">
        <f>IF($F$1="Select company","",IF(C44 = "","",HLOOKUP(((VLOOKUP($F$1,Lists!$B$4:$C$26,2,FALSE))&amp;"PC"),'SUB list edited'!$A$2:$DP$42,($B44+1),FALSE)))</f>
        <v/>
      </c>
      <c r="F44" s="541" t="str">
        <f>IF($F$1="Select company","",IF(C44 = "","",HLOOKUP(((VLOOKUP($F$1,Lists!$B$4:$C$26,2,FALSE))&amp;"unit"),'SUB list edited'!$A$2:$DP$42,($B44+1),FALSE)))</f>
        <v/>
      </c>
      <c r="G44" s="1353" t="str">
        <f>IF($F$1="Select company","",IF(C44="","",HLOOKUP(((VLOOKUP($F$1,Lists!$B$4:$C$26,2,FALSE))&amp;"DP"),'SUB list edited'!$A$2:$DP$42,($B44+1),FALSE)))</f>
        <v/>
      </c>
      <c r="H44" s="316" t="str">
        <f>IF($F$1="Select company","",IF(C44 = "","",HLOOKUP(((VLOOKUP($F$1,Lists!$B$4:$C$26,2,FALSE))&amp;"201819ActPerf"),'SUB list edited'!$A$2:$DP$42,($B44+1),FALSE)))</f>
        <v/>
      </c>
      <c r="I44" s="556"/>
      <c r="J44" s="557"/>
      <c r="L44" s="532">
        <f t="shared" si="4"/>
        <v>0</v>
      </c>
      <c r="M44" s="532">
        <f t="shared" si="0"/>
        <v>0</v>
      </c>
      <c r="P44" s="528">
        <f t="shared" si="1"/>
        <v>0</v>
      </c>
      <c r="Q44" s="528">
        <f t="shared" si="2"/>
        <v>0</v>
      </c>
      <c r="S44" s="528">
        <f xml:space="preserve"> IF(C44 = "", 0, IF(AND(NOT(INDEX('3A'!I$5:I$60, MATCH('3B'!$C44, '3A'!$C$5:$C$60, 0))=I44), $D44="00"), 1, 0))</f>
        <v>0</v>
      </c>
      <c r="T44" s="528">
        <f xml:space="preserve"> IF(C44 = "", 0, IF(AND(NOT(INDEX('3A'!J$5:J$60, MATCH('3B'!$C44, '3A'!$C$5:$C$60, 0))=J44), $D44="00"), 1, 0))</f>
        <v>0</v>
      </c>
    </row>
    <row r="45" spans="2:20"/>
    <row r="46" spans="2:20">
      <c r="B46" s="2823" t="s">
        <v>241</v>
      </c>
      <c r="C46" s="2823"/>
    </row>
    <row r="47" spans="2:20">
      <c r="B47" s="141"/>
      <c r="C47" s="141"/>
    </row>
    <row r="48" spans="2:20">
      <c r="B48" s="25"/>
      <c r="C48" s="143" t="s">
        <v>188</v>
      </c>
    </row>
    <row r="49" spans="1:16">
      <c r="B49" s="141"/>
      <c r="C49" s="142"/>
    </row>
    <row r="50" spans="1:16">
      <c r="B50" s="144"/>
      <c r="C50" s="143" t="s">
        <v>189</v>
      </c>
    </row>
    <row r="51" spans="1:16">
      <c r="B51" s="145"/>
      <c r="C51" s="143"/>
    </row>
    <row r="52" spans="1:16" ht="14.5" thickBot="1"/>
    <row r="53" spans="1:16" ht="15.5" thickBot="1">
      <c r="B53" s="2886" t="s">
        <v>190</v>
      </c>
      <c r="C53" s="147"/>
      <c r="D53" s="148"/>
      <c r="E53" s="148"/>
      <c r="F53" s="148"/>
      <c r="G53" s="148"/>
      <c r="H53" s="148"/>
      <c r="I53" s="148"/>
      <c r="J53" s="251"/>
    </row>
    <row r="54" spans="1:16"/>
    <row r="55" spans="1:16" ht="15.5" hidden="1" thickBot="1">
      <c r="A55" s="1539"/>
      <c r="B55" s="146" t="str">
        <f ca="1" xml:space="preserve"> RIGHT(CELL("filename", $A$1), LEN(CELL("filename", $A$1)) - SEARCH("]", CELL("filename", $A$1)))&amp;" - Column definitions"</f>
        <v>3B - Column definitions</v>
      </c>
      <c r="C55" s="147"/>
      <c r="D55" s="148"/>
      <c r="E55" s="148"/>
      <c r="F55" s="148"/>
      <c r="G55" s="148"/>
      <c r="H55" s="148"/>
      <c r="I55" s="148"/>
      <c r="J55" s="251"/>
      <c r="K55" s="1882"/>
      <c r="L55" s="1882"/>
      <c r="M55" s="1882"/>
      <c r="N55" s="1882"/>
    </row>
    <row r="56" spans="1:16" ht="14.5" hidden="1" thickBot="1">
      <c r="A56" s="1539"/>
      <c r="B56" s="74"/>
      <c r="C56" s="155"/>
      <c r="D56" s="74"/>
      <c r="E56" s="74"/>
      <c r="F56" s="74"/>
      <c r="G56" s="74"/>
      <c r="H56" s="74"/>
      <c r="I56" s="110"/>
      <c r="J56" s="110"/>
      <c r="K56" s="1882"/>
      <c r="L56" s="1882"/>
      <c r="M56" s="1882"/>
      <c r="N56" s="1882"/>
    </row>
    <row r="57" spans="1:16" ht="14.5" hidden="1" thickBot="1">
      <c r="A57" s="1539"/>
      <c r="B57" s="156" t="s">
        <v>2332</v>
      </c>
      <c r="C57" s="2858" t="s">
        <v>192</v>
      </c>
      <c r="D57" s="322"/>
      <c r="E57" s="322"/>
      <c r="F57" s="322"/>
      <c r="G57" s="322"/>
      <c r="H57" s="322"/>
      <c r="I57" s="322"/>
      <c r="J57" s="559"/>
      <c r="K57" s="1882"/>
      <c r="L57" s="1882"/>
      <c r="M57" s="1882"/>
      <c r="N57" s="1882"/>
      <c r="P57" s="85" t="s">
        <v>193</v>
      </c>
    </row>
    <row r="58" spans="1:16" ht="33.75" hidden="1" customHeight="1">
      <c r="A58" s="1539"/>
      <c r="B58" s="722" t="s">
        <v>2326</v>
      </c>
      <c r="C58" s="3021" t="s">
        <v>2359</v>
      </c>
      <c r="D58" s="3022"/>
      <c r="E58" s="3022"/>
      <c r="F58" s="3022"/>
      <c r="G58" s="3022"/>
      <c r="H58" s="3022"/>
      <c r="I58" s="3022"/>
      <c r="J58" s="3023"/>
      <c r="K58" s="1882"/>
      <c r="L58" s="1882"/>
      <c r="M58" s="1882"/>
      <c r="N58" s="1882"/>
      <c r="O58" s="560"/>
      <c r="P58" s="628" t="s">
        <v>778</v>
      </c>
    </row>
    <row r="59" spans="1:16" ht="33.75" hidden="1" customHeight="1" thickBot="1">
      <c r="A59" s="1539"/>
      <c r="B59" s="723" t="s">
        <v>2327</v>
      </c>
      <c r="C59" s="3018" t="s">
        <v>2360</v>
      </c>
      <c r="D59" s="3019"/>
      <c r="E59" s="3019"/>
      <c r="F59" s="3019"/>
      <c r="G59" s="3019"/>
      <c r="H59" s="3019"/>
      <c r="I59" s="3019"/>
      <c r="J59" s="3020"/>
      <c r="K59" s="1882"/>
      <c r="L59" s="1882"/>
      <c r="M59" s="1882"/>
      <c r="N59" s="1882"/>
      <c r="O59" s="560"/>
      <c r="P59" s="628" t="s">
        <v>778</v>
      </c>
    </row>
    <row r="60" spans="1:16" hidden="1">
      <c r="A60" s="1539"/>
    </row>
    <row r="61" spans="1:16" hidden="1">
      <c r="A61" s="1539"/>
    </row>
    <row r="62" spans="1:16" hidden="1">
      <c r="A62" s="1539"/>
    </row>
    <row r="63" spans="1:16" hidden="1">
      <c r="A63" s="1539"/>
    </row>
  </sheetData>
  <sheetProtection algorithmName="SHA-512" hashValue="c2R++QWldFI7d4EvzJlH29q5q6KPVtQp34zk9nw4gcLfqUbU7CvwmWLYcPMpvgbTOgv0fg37tP5LVekzvyS8ww==" saltValue="ofqhypKZP2esOYL47ccZVw==" spinCount="100000" sheet="1" objects="1" scenarios="1"/>
  <mergeCells count="2">
    <mergeCell ref="C59:J59"/>
    <mergeCell ref="C58:J58"/>
  </mergeCells>
  <conditionalFormatting sqref="M5:M44">
    <cfRule type="cellIs" dxfId="344" priority="12" operator="equal">
      <formula>0</formula>
    </cfRule>
  </conditionalFormatting>
  <conditionalFormatting sqref="B5:H44">
    <cfRule type="expression" dxfId="343" priority="10">
      <formula>$D5="00"</formula>
    </cfRule>
  </conditionalFormatting>
  <conditionalFormatting sqref="L5:L44">
    <cfRule type="cellIs" dxfId="342" priority="8" operator="equal">
      <formula>0</formula>
    </cfRule>
  </conditionalFormatting>
  <conditionalFormatting sqref="H5:I44">
    <cfRule type="expression" dxfId="341" priority="1">
      <formula xml:space="preserve"> INDIRECT("G" &amp; ROW()) = 0</formula>
    </cfRule>
    <cfRule type="expression" dxfId="340" priority="2">
      <formula xml:space="preserve"> INDIRECT("G" &amp; ROW()) = 1</formula>
    </cfRule>
    <cfRule type="expression" dxfId="339" priority="3">
      <formula xml:space="preserve"> INDIRECT("G" &amp; ROW()) = 2</formula>
    </cfRule>
    <cfRule type="expression" dxfId="338" priority="4">
      <formula xml:space="preserve"> INDIRECT("G" &amp; ROW()) = 3</formula>
    </cfRule>
    <cfRule type="expression" dxfId="337" priority="5">
      <formula xml:space="preserve"> INDIRECT("G" &amp; ROW()) = 4</formula>
    </cfRule>
    <cfRule type="expression" dxfId="336" priority="6">
      <formula xml:space="preserve"> INDIRECT("G" &amp; ROW()) = 5</formula>
    </cfRule>
    <cfRule type="expression" dxfId="335" priority="7">
      <formula xml:space="preserve"> INDIRECT("G" &amp; ROW()) = 6</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Lists!$F$6:$F$8</xm:f>
          </x14:formula1>
          <xm:sqref>J5:J44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theme="0" tint="-0.499984740745262"/>
    <pageSetUpPr fitToPage="1"/>
  </sheetPr>
  <dimension ref="A1:AK51"/>
  <sheetViews>
    <sheetView zoomScaleNormal="100" workbookViewId="0">
      <selection activeCell="C2" sqref="C2"/>
    </sheetView>
  </sheetViews>
  <sheetFormatPr defaultColWidth="0" defaultRowHeight="14" zeroHeight="1"/>
  <cols>
    <col min="1" max="1" width="1.25" customWidth="1"/>
    <col min="2" max="2" width="6.08203125" customWidth="1"/>
    <col min="3" max="3" width="27.08203125" customWidth="1"/>
    <col min="4" max="4" width="9" customWidth="1"/>
    <col min="5" max="8" width="17" customWidth="1"/>
    <col min="9" max="9" width="23.58203125" customWidth="1"/>
    <col min="10" max="10" width="2.33203125" customWidth="1"/>
    <col min="11" max="11" width="33.08203125" customWidth="1"/>
    <col min="12" max="12" width="25.58203125" customWidth="1"/>
    <col min="13" max="13" width="1.58203125" customWidth="1"/>
    <col min="14" max="14" width="1.58203125" style="569" hidden="1" customWidth="1"/>
    <col min="15" max="19" width="5.58203125" hidden="1" customWidth="1"/>
    <col min="20" max="20" width="1.58203125" style="569" hidden="1" customWidth="1"/>
    <col min="21" max="25" width="7.08203125" hidden="1" customWidth="1"/>
    <col min="26" max="26" width="1.58203125" style="569" hidden="1" customWidth="1"/>
    <col min="27" max="27" width="0" hidden="1" customWidth="1"/>
    <col min="28" max="28" width="9" customWidth="1"/>
    <col min="29" max="29" width="6.08203125" customWidth="1"/>
    <col min="30" max="30" width="27.08203125" customWidth="1"/>
    <col min="31" max="31" width="11.08203125" customWidth="1"/>
    <col min="32" max="35" width="14.58203125" customWidth="1"/>
    <col min="36" max="36" width="23.58203125" customWidth="1"/>
    <col min="37" max="37" width="2.75" customWidth="1"/>
    <col min="38" max="16384" width="9" hidden="1"/>
  </cols>
  <sheetData>
    <row r="1" spans="1:36" ht="20">
      <c r="A1" s="162"/>
      <c r="B1" s="66" t="s">
        <v>2361</v>
      </c>
      <c r="C1" s="66"/>
      <c r="D1" s="66"/>
      <c r="E1" s="66"/>
      <c r="F1" s="66"/>
      <c r="G1" s="66"/>
      <c r="H1" s="66"/>
      <c r="I1" s="66" t="str">
        <f>Validation!B3</f>
        <v>Bristol Water</v>
      </c>
      <c r="J1" s="66"/>
      <c r="K1" s="69"/>
      <c r="L1" s="69" t="s">
        <v>32</v>
      </c>
      <c r="M1" s="1882"/>
      <c r="O1" s="1882"/>
      <c r="P1" s="1882"/>
      <c r="Q1" s="1882"/>
      <c r="R1" s="1882"/>
      <c r="S1" s="1882"/>
      <c r="U1" s="1882"/>
      <c r="V1" s="1882"/>
      <c r="W1" s="1882"/>
      <c r="X1" s="1882"/>
      <c r="Y1" s="1882"/>
      <c r="AA1" s="1882"/>
      <c r="AB1" s="1882"/>
      <c r="AC1" s="66" t="s">
        <v>2362</v>
      </c>
      <c r="AD1" s="66"/>
      <c r="AE1" s="66"/>
      <c r="AF1" s="66"/>
      <c r="AG1" s="66"/>
      <c r="AH1" s="66"/>
      <c r="AI1" s="66"/>
      <c r="AJ1" s="66"/>
    </row>
    <row r="2" spans="1:36" ht="19" thickBot="1">
      <c r="A2" s="1882"/>
      <c r="B2" s="73" t="s">
        <v>18</v>
      </c>
      <c r="C2" s="304"/>
      <c r="D2" s="304"/>
      <c r="E2" s="162"/>
      <c r="F2" s="1882"/>
      <c r="G2" s="1882"/>
      <c r="H2" s="1882"/>
      <c r="I2" s="1882"/>
      <c r="J2" s="1882"/>
      <c r="K2" s="1882"/>
      <c r="L2" s="1882"/>
      <c r="M2" s="1882"/>
      <c r="O2" s="586" t="s">
        <v>45</v>
      </c>
      <c r="P2" s="1882"/>
      <c r="Q2" s="586"/>
      <c r="R2" s="586"/>
      <c r="S2" s="586"/>
      <c r="U2" s="586" t="s">
        <v>2363</v>
      </c>
      <c r="V2" s="1882"/>
      <c r="W2" s="682"/>
      <c r="X2" s="682"/>
      <c r="Y2" s="682"/>
      <c r="AA2" s="1882"/>
      <c r="AB2" s="1882"/>
      <c r="AC2" s="73" t="str">
        <f>+B2</f>
        <v>For the 12 months ended 31 March 2020</v>
      </c>
      <c r="AD2" s="304"/>
      <c r="AE2" s="304"/>
      <c r="AF2" s="162"/>
      <c r="AG2" s="483"/>
      <c r="AH2" s="483"/>
      <c r="AI2" s="483"/>
      <c r="AJ2" s="483"/>
    </row>
    <row r="3" spans="1:36" ht="71.25" customHeight="1" thickBot="1">
      <c r="A3" s="1882"/>
      <c r="B3" s="296" t="s">
        <v>2305</v>
      </c>
      <c r="C3" s="2835" t="s">
        <v>2364</v>
      </c>
      <c r="D3" s="307" t="s">
        <v>2310</v>
      </c>
      <c r="E3" s="307" t="s">
        <v>2365</v>
      </c>
      <c r="F3" s="307" t="s">
        <v>2366</v>
      </c>
      <c r="G3" s="307" t="s">
        <v>2367</v>
      </c>
      <c r="H3" s="307" t="s">
        <v>2368</v>
      </c>
      <c r="I3" s="297" t="s">
        <v>2369</v>
      </c>
      <c r="J3" s="1882"/>
      <c r="K3" s="296" t="s">
        <v>2320</v>
      </c>
      <c r="L3" s="297" t="s">
        <v>41</v>
      </c>
      <c r="M3" s="1882"/>
      <c r="O3" s="588" t="s">
        <v>2370</v>
      </c>
      <c r="P3" s="1882"/>
      <c r="Q3" s="587"/>
      <c r="R3" s="587"/>
      <c r="S3" s="587"/>
      <c r="U3" s="831" t="s">
        <v>2371</v>
      </c>
      <c r="V3" s="1882"/>
      <c r="W3" s="1882"/>
      <c r="X3" s="1882"/>
      <c r="Y3" s="1882"/>
      <c r="AA3" s="1882"/>
      <c r="AB3" s="1882"/>
      <c r="AC3" s="296" t="s">
        <v>2305</v>
      </c>
      <c r="AD3" s="2835" t="s">
        <v>2364</v>
      </c>
      <c r="AE3" s="307" t="s">
        <v>2310</v>
      </c>
      <c r="AF3" s="307" t="s">
        <v>2365</v>
      </c>
      <c r="AG3" s="307" t="s">
        <v>2366</v>
      </c>
      <c r="AH3" s="307" t="s">
        <v>2372</v>
      </c>
      <c r="AI3" s="307" t="s">
        <v>2373</v>
      </c>
      <c r="AJ3" s="297" t="s">
        <v>2369</v>
      </c>
    </row>
    <row r="4" spans="1:36" ht="14.5" thickBot="1">
      <c r="A4" s="1882"/>
      <c r="B4" s="74"/>
      <c r="C4" s="74"/>
      <c r="D4" s="74"/>
      <c r="E4" s="74"/>
      <c r="F4" s="1882"/>
      <c r="G4" s="1882"/>
      <c r="H4" s="1882"/>
      <c r="I4" s="1882"/>
      <c r="J4" s="1882"/>
      <c r="K4" s="1882"/>
      <c r="L4" s="1882"/>
      <c r="M4" s="1882"/>
      <c r="O4" s="589" t="s">
        <v>390</v>
      </c>
      <c r="P4" s="589" t="s">
        <v>464</v>
      </c>
      <c r="Q4" s="589" t="s">
        <v>2323</v>
      </c>
      <c r="R4" s="589" t="s">
        <v>2324</v>
      </c>
      <c r="S4" s="589" t="s">
        <v>2325</v>
      </c>
      <c r="U4" s="589" t="s">
        <v>390</v>
      </c>
      <c r="V4" s="589" t="s">
        <v>464</v>
      </c>
      <c r="W4" s="589" t="s">
        <v>2323</v>
      </c>
      <c r="X4" s="589" t="s">
        <v>2324</v>
      </c>
      <c r="Y4" s="589" t="s">
        <v>2325</v>
      </c>
      <c r="AA4" s="1882"/>
      <c r="AB4" s="1882"/>
      <c r="AC4" s="74"/>
      <c r="AD4" s="74"/>
      <c r="AE4" s="74"/>
      <c r="AF4" s="74"/>
      <c r="AG4" s="483"/>
      <c r="AH4" s="483"/>
      <c r="AI4" s="483"/>
      <c r="AJ4" s="483"/>
    </row>
    <row r="5" spans="1:36">
      <c r="A5" s="1882"/>
      <c r="B5" s="288">
        <v>1</v>
      </c>
      <c r="C5" s="1868"/>
      <c r="D5" s="1796"/>
      <c r="E5" s="1568"/>
      <c r="F5" s="1615"/>
      <c r="G5" s="1568"/>
      <c r="H5" s="1615"/>
      <c r="I5" s="1723"/>
      <c r="J5" s="1882"/>
      <c r="K5" s="24">
        <f>IF(SUM(T5:Z5) &gt; 0, $U$3, 0)</f>
        <v>0</v>
      </c>
      <c r="L5" s="24">
        <f>IF(SUM(N5:T5) &gt; 0, $O$3, 0)</f>
        <v>0</v>
      </c>
      <c r="M5" s="1882"/>
      <c r="O5" s="590">
        <f>IF(ISBLANK($C5), 0, IF(ISBLANK(D5), 1, 0))</f>
        <v>0</v>
      </c>
      <c r="P5" s="590">
        <f>IF(ISBLANK($C5), 0, IF(ISBLANK(E5), 1, 0))</f>
        <v>0</v>
      </c>
      <c r="Q5" s="590">
        <f>IF(ISBLANK($C5), 0, IF(ISBLANK(F5), 1, 0))</f>
        <v>0</v>
      </c>
      <c r="R5" s="590">
        <f>IF(ISBLANK($C5), 0, IF(ISBLANK(G5), 1, 0))</f>
        <v>0</v>
      </c>
      <c r="S5" s="590">
        <f>IF(ISBLANK($C5), 0, IF(ISBLANK(H5), 1, 0))</f>
        <v>0</v>
      </c>
      <c r="U5" s="590">
        <f>IF(ISBLANK($C5), 0, IF(ISNUMBER(D5), 0, 1))</f>
        <v>0</v>
      </c>
      <c r="V5" s="590">
        <f>IF(ISBLANK($C5), 0, IF(ISNUMBER(E5), 0, 1))</f>
        <v>0</v>
      </c>
      <c r="W5" s="590">
        <f>IF(ISBLANK($C5), 0, IF(ISNUMBER(F5), 0, 1))</f>
        <v>0</v>
      </c>
      <c r="X5" s="590">
        <f>IF(ISBLANK($C5), 0, IF(ISNUMBER(G5), 0, 1))</f>
        <v>0</v>
      </c>
      <c r="Y5" s="590">
        <f>IF(ISBLANK($C5), 0, IF(ISNUMBER(H5), 0, 1))</f>
        <v>0</v>
      </c>
      <c r="AA5" s="1882"/>
      <c r="AB5" s="1882"/>
      <c r="AC5" s="288">
        <v>1</v>
      </c>
      <c r="AD5" s="2479" t="s">
        <v>2374</v>
      </c>
      <c r="AE5" s="2148" t="s">
        <v>2375</v>
      </c>
      <c r="AF5" s="2480" t="s">
        <v>2376</v>
      </c>
      <c r="AG5" s="2480" t="s">
        <v>2377</v>
      </c>
      <c r="AH5" s="2480" t="s">
        <v>2378</v>
      </c>
      <c r="AI5" s="2480" t="s">
        <v>2379</v>
      </c>
      <c r="AJ5" s="2481" t="s">
        <v>2380</v>
      </c>
    </row>
    <row r="6" spans="1:36">
      <c r="A6" s="1882"/>
      <c r="B6" s="289">
        <v>2</v>
      </c>
      <c r="C6" s="1869"/>
      <c r="D6" s="1797"/>
      <c r="E6" s="1569"/>
      <c r="F6" s="1616"/>
      <c r="G6" s="1569"/>
      <c r="H6" s="1616"/>
      <c r="I6" s="1724"/>
      <c r="J6" s="1882"/>
      <c r="K6" s="24">
        <f t="shared" ref="K6:K29" si="0">IF(SUM(T6:Z6) &gt; 0, $U$3, 0)</f>
        <v>0</v>
      </c>
      <c r="L6" s="24">
        <f t="shared" ref="L6:L29" si="1">IF(SUM(N6:T6) &gt; 0, $O$3, 0)</f>
        <v>0</v>
      </c>
      <c r="M6" s="1882"/>
      <c r="O6" s="590">
        <f t="shared" ref="O6:P29" si="2">IF(ISBLANK($C6), 0, IF(ISBLANK(D6), 1, 0))</f>
        <v>0</v>
      </c>
      <c r="P6" s="590">
        <f t="shared" si="2"/>
        <v>0</v>
      </c>
      <c r="Q6" s="590">
        <f t="shared" ref="Q6:Q29" si="3">IF(ISBLANK($C6), 0, IF(ISBLANK(F6), 1, 0))</f>
        <v>0</v>
      </c>
      <c r="R6" s="590">
        <f t="shared" ref="R6:R29" si="4">IF(ISBLANK($C6), 0, IF(ISBLANK(G6), 1, 0))</f>
        <v>0</v>
      </c>
      <c r="S6" s="590">
        <f t="shared" ref="S6:S29" si="5">IF(ISBLANK($C6), 0, IF(ISBLANK(H6), 1, 0))</f>
        <v>0</v>
      </c>
      <c r="U6" s="590">
        <f t="shared" ref="U6:V29" si="6">IF(ISBLANK($C6), 0, IF(ISNUMBER(D6), 0, 1))</f>
        <v>0</v>
      </c>
      <c r="V6" s="590">
        <f t="shared" si="6"/>
        <v>0</v>
      </c>
      <c r="W6" s="590">
        <f t="shared" ref="W6:W29" si="7">IF(ISBLANK($C6), 0, IF(ISNUMBER(F6), 0, 1))</f>
        <v>0</v>
      </c>
      <c r="X6" s="590">
        <f t="shared" ref="X6:X29" si="8">IF(ISBLANK($C6), 0, IF(ISNUMBER(G6), 0, 1))</f>
        <v>0</v>
      </c>
      <c r="Y6" s="590">
        <f t="shared" ref="Y6:Y29" si="9">IF(ISBLANK($C6), 0, IF(ISNUMBER(H6), 0, 1))</f>
        <v>0</v>
      </c>
      <c r="AA6" s="1882"/>
      <c r="AB6" s="1882"/>
      <c r="AC6" s="289">
        <v>2</v>
      </c>
      <c r="AD6" s="1765"/>
      <c r="AE6" s="797"/>
      <c r="AF6" s="2482"/>
      <c r="AG6" s="2482"/>
      <c r="AH6" s="2482"/>
      <c r="AI6" s="2482"/>
      <c r="AJ6" s="2483"/>
    </row>
    <row r="7" spans="1:36">
      <c r="A7" s="1882"/>
      <c r="B7" s="289">
        <v>3</v>
      </c>
      <c r="C7" s="1869"/>
      <c r="D7" s="1797"/>
      <c r="E7" s="1569"/>
      <c r="F7" s="1616"/>
      <c r="G7" s="1569"/>
      <c r="H7" s="1616"/>
      <c r="I7" s="1724"/>
      <c r="J7" s="1882"/>
      <c r="K7" s="24">
        <f t="shared" si="0"/>
        <v>0</v>
      </c>
      <c r="L7" s="24">
        <f t="shared" si="1"/>
        <v>0</v>
      </c>
      <c r="M7" s="1882"/>
      <c r="O7" s="590">
        <f t="shared" si="2"/>
        <v>0</v>
      </c>
      <c r="P7" s="590">
        <f t="shared" si="2"/>
        <v>0</v>
      </c>
      <c r="Q7" s="590">
        <f t="shared" si="3"/>
        <v>0</v>
      </c>
      <c r="R7" s="590">
        <f t="shared" si="4"/>
        <v>0</v>
      </c>
      <c r="S7" s="590">
        <f t="shared" si="5"/>
        <v>0</v>
      </c>
      <c r="U7" s="590">
        <f t="shared" si="6"/>
        <v>0</v>
      </c>
      <c r="V7" s="590">
        <f t="shared" si="6"/>
        <v>0</v>
      </c>
      <c r="W7" s="590">
        <f t="shared" si="7"/>
        <v>0</v>
      </c>
      <c r="X7" s="590">
        <f t="shared" si="8"/>
        <v>0</v>
      </c>
      <c r="Y7" s="590">
        <f t="shared" si="9"/>
        <v>0</v>
      </c>
      <c r="AA7" s="1882"/>
      <c r="AB7" s="1882"/>
      <c r="AC7" s="289">
        <v>3</v>
      </c>
      <c r="AD7" s="1765"/>
      <c r="AE7" s="797"/>
      <c r="AF7" s="2482"/>
      <c r="AG7" s="2482"/>
      <c r="AH7" s="2482"/>
      <c r="AI7" s="2482"/>
      <c r="AJ7" s="2483"/>
    </row>
    <row r="8" spans="1:36">
      <c r="A8" s="1882"/>
      <c r="B8" s="289">
        <v>4</v>
      </c>
      <c r="C8" s="1869"/>
      <c r="D8" s="1797"/>
      <c r="E8" s="1569"/>
      <c r="F8" s="1616"/>
      <c r="G8" s="1569"/>
      <c r="H8" s="1616"/>
      <c r="I8" s="1724"/>
      <c r="J8" s="1882"/>
      <c r="K8" s="24">
        <f t="shared" si="0"/>
        <v>0</v>
      </c>
      <c r="L8" s="24">
        <f t="shared" si="1"/>
        <v>0</v>
      </c>
      <c r="M8" s="1882"/>
      <c r="O8" s="590">
        <f t="shared" si="2"/>
        <v>0</v>
      </c>
      <c r="P8" s="590">
        <f t="shared" si="2"/>
        <v>0</v>
      </c>
      <c r="Q8" s="590">
        <f t="shared" si="3"/>
        <v>0</v>
      </c>
      <c r="R8" s="590">
        <f t="shared" si="4"/>
        <v>0</v>
      </c>
      <c r="S8" s="590">
        <f t="shared" si="5"/>
        <v>0</v>
      </c>
      <c r="U8" s="590">
        <f t="shared" si="6"/>
        <v>0</v>
      </c>
      <c r="V8" s="590">
        <f t="shared" si="6"/>
        <v>0</v>
      </c>
      <c r="W8" s="590">
        <f t="shared" si="7"/>
        <v>0</v>
      </c>
      <c r="X8" s="590">
        <f t="shared" si="8"/>
        <v>0</v>
      </c>
      <c r="Y8" s="590">
        <f t="shared" si="9"/>
        <v>0</v>
      </c>
      <c r="AA8" s="1882"/>
      <c r="AB8" s="1882"/>
      <c r="AC8" s="289">
        <v>4</v>
      </c>
      <c r="AD8" s="1765"/>
      <c r="AE8" s="797"/>
      <c r="AF8" s="2482"/>
      <c r="AG8" s="2482"/>
      <c r="AH8" s="2482"/>
      <c r="AI8" s="2482"/>
      <c r="AJ8" s="2483"/>
    </row>
    <row r="9" spans="1:36">
      <c r="A9" s="1882"/>
      <c r="B9" s="289">
        <v>5</v>
      </c>
      <c r="C9" s="1869"/>
      <c r="D9" s="1797"/>
      <c r="E9" s="1569"/>
      <c r="F9" s="1616"/>
      <c r="G9" s="1569"/>
      <c r="H9" s="1616"/>
      <c r="I9" s="1724"/>
      <c r="J9" s="1882"/>
      <c r="K9" s="24">
        <f t="shared" si="0"/>
        <v>0</v>
      </c>
      <c r="L9" s="24">
        <f t="shared" si="1"/>
        <v>0</v>
      </c>
      <c r="M9" s="1882"/>
      <c r="O9" s="590">
        <f t="shared" si="2"/>
        <v>0</v>
      </c>
      <c r="P9" s="590">
        <f t="shared" si="2"/>
        <v>0</v>
      </c>
      <c r="Q9" s="590">
        <f t="shared" si="3"/>
        <v>0</v>
      </c>
      <c r="R9" s="590">
        <f t="shared" si="4"/>
        <v>0</v>
      </c>
      <c r="S9" s="590">
        <f t="shared" si="5"/>
        <v>0</v>
      </c>
      <c r="U9" s="590">
        <f t="shared" si="6"/>
        <v>0</v>
      </c>
      <c r="V9" s="590">
        <f t="shared" si="6"/>
        <v>0</v>
      </c>
      <c r="W9" s="590">
        <f t="shared" si="7"/>
        <v>0</v>
      </c>
      <c r="X9" s="590">
        <f t="shared" si="8"/>
        <v>0</v>
      </c>
      <c r="Y9" s="590">
        <f t="shared" si="9"/>
        <v>0</v>
      </c>
      <c r="AA9" s="1882"/>
      <c r="AB9" s="1882"/>
      <c r="AC9" s="289">
        <v>5</v>
      </c>
      <c r="AD9" s="1765"/>
      <c r="AE9" s="797"/>
      <c r="AF9" s="2482"/>
      <c r="AG9" s="2482"/>
      <c r="AH9" s="2482"/>
      <c r="AI9" s="2482"/>
      <c r="AJ9" s="2483"/>
    </row>
    <row r="10" spans="1:36">
      <c r="A10" s="1882"/>
      <c r="B10" s="289">
        <v>6</v>
      </c>
      <c r="C10" s="1869"/>
      <c r="D10" s="1797"/>
      <c r="E10" s="1569"/>
      <c r="F10" s="1616"/>
      <c r="G10" s="1569"/>
      <c r="H10" s="1616"/>
      <c r="I10" s="1724"/>
      <c r="J10" s="1882"/>
      <c r="K10" s="24">
        <f t="shared" si="0"/>
        <v>0</v>
      </c>
      <c r="L10" s="24">
        <f t="shared" si="1"/>
        <v>0</v>
      </c>
      <c r="M10" s="1882"/>
      <c r="O10" s="590">
        <f t="shared" si="2"/>
        <v>0</v>
      </c>
      <c r="P10" s="590">
        <f t="shared" si="2"/>
        <v>0</v>
      </c>
      <c r="Q10" s="590">
        <f t="shared" si="3"/>
        <v>0</v>
      </c>
      <c r="R10" s="590">
        <f t="shared" si="4"/>
        <v>0</v>
      </c>
      <c r="S10" s="590">
        <f t="shared" si="5"/>
        <v>0</v>
      </c>
      <c r="U10" s="590">
        <f t="shared" si="6"/>
        <v>0</v>
      </c>
      <c r="V10" s="590">
        <f t="shared" si="6"/>
        <v>0</v>
      </c>
      <c r="W10" s="590">
        <f t="shared" si="7"/>
        <v>0</v>
      </c>
      <c r="X10" s="590">
        <f t="shared" si="8"/>
        <v>0</v>
      </c>
      <c r="Y10" s="590">
        <f t="shared" si="9"/>
        <v>0</v>
      </c>
      <c r="AA10" s="1882"/>
      <c r="AB10" s="1882"/>
      <c r="AC10" s="289">
        <v>6</v>
      </c>
      <c r="AD10" s="1765"/>
      <c r="AE10" s="797"/>
      <c r="AF10" s="2482"/>
      <c r="AG10" s="2482"/>
      <c r="AH10" s="2482"/>
      <c r="AI10" s="2482"/>
      <c r="AJ10" s="2483"/>
    </row>
    <row r="11" spans="1:36">
      <c r="A11" s="1882"/>
      <c r="B11" s="289">
        <v>7</v>
      </c>
      <c r="C11" s="1869"/>
      <c r="D11" s="1797"/>
      <c r="E11" s="1569"/>
      <c r="F11" s="1616"/>
      <c r="G11" s="1569"/>
      <c r="H11" s="1616"/>
      <c r="I11" s="1724"/>
      <c r="J11" s="1882"/>
      <c r="K11" s="24">
        <f t="shared" si="0"/>
        <v>0</v>
      </c>
      <c r="L11" s="24">
        <f t="shared" si="1"/>
        <v>0</v>
      </c>
      <c r="M11" s="1882"/>
      <c r="O11" s="590">
        <f t="shared" si="2"/>
        <v>0</v>
      </c>
      <c r="P11" s="590">
        <f t="shared" si="2"/>
        <v>0</v>
      </c>
      <c r="Q11" s="590">
        <f t="shared" si="3"/>
        <v>0</v>
      </c>
      <c r="R11" s="590">
        <f t="shared" si="4"/>
        <v>0</v>
      </c>
      <c r="S11" s="590">
        <f t="shared" si="5"/>
        <v>0</v>
      </c>
      <c r="U11" s="590">
        <f t="shared" si="6"/>
        <v>0</v>
      </c>
      <c r="V11" s="590">
        <f t="shared" si="6"/>
        <v>0</v>
      </c>
      <c r="W11" s="590">
        <f t="shared" si="7"/>
        <v>0</v>
      </c>
      <c r="X11" s="590">
        <f t="shared" si="8"/>
        <v>0</v>
      </c>
      <c r="Y11" s="590">
        <f t="shared" si="9"/>
        <v>0</v>
      </c>
      <c r="AA11" s="1882"/>
      <c r="AB11" s="1882"/>
      <c r="AC11" s="289">
        <v>7</v>
      </c>
      <c r="AD11" s="1765"/>
      <c r="AE11" s="797"/>
      <c r="AF11" s="2482"/>
      <c r="AG11" s="2482"/>
      <c r="AH11" s="2482"/>
      <c r="AI11" s="2482"/>
      <c r="AJ11" s="2483"/>
    </row>
    <row r="12" spans="1:36">
      <c r="A12" s="1882"/>
      <c r="B12" s="289">
        <v>8</v>
      </c>
      <c r="C12" s="1869"/>
      <c r="D12" s="1797"/>
      <c r="E12" s="1569"/>
      <c r="F12" s="1616"/>
      <c r="G12" s="1569"/>
      <c r="H12" s="1616"/>
      <c r="I12" s="1724"/>
      <c r="J12" s="1882"/>
      <c r="K12" s="24">
        <f t="shared" si="0"/>
        <v>0</v>
      </c>
      <c r="L12" s="24">
        <f t="shared" si="1"/>
        <v>0</v>
      </c>
      <c r="M12" s="1882"/>
      <c r="O12" s="590">
        <f t="shared" si="2"/>
        <v>0</v>
      </c>
      <c r="P12" s="590">
        <f t="shared" si="2"/>
        <v>0</v>
      </c>
      <c r="Q12" s="590">
        <f t="shared" si="3"/>
        <v>0</v>
      </c>
      <c r="R12" s="590">
        <f t="shared" si="4"/>
        <v>0</v>
      </c>
      <c r="S12" s="590">
        <f t="shared" si="5"/>
        <v>0</v>
      </c>
      <c r="U12" s="590">
        <f t="shared" si="6"/>
        <v>0</v>
      </c>
      <c r="V12" s="590">
        <f t="shared" si="6"/>
        <v>0</v>
      </c>
      <c r="W12" s="590">
        <f t="shared" si="7"/>
        <v>0</v>
      </c>
      <c r="X12" s="590">
        <f t="shared" si="8"/>
        <v>0</v>
      </c>
      <c r="Y12" s="590">
        <f t="shared" si="9"/>
        <v>0</v>
      </c>
      <c r="AA12" s="1882"/>
      <c r="AB12" s="1882"/>
      <c r="AC12" s="289">
        <v>8</v>
      </c>
      <c r="AD12" s="1765"/>
      <c r="AE12" s="797"/>
      <c r="AF12" s="2482"/>
      <c r="AG12" s="2482"/>
      <c r="AH12" s="2482"/>
      <c r="AI12" s="2482"/>
      <c r="AJ12" s="2483"/>
    </row>
    <row r="13" spans="1:36">
      <c r="A13" s="1882"/>
      <c r="B13" s="289">
        <v>9</v>
      </c>
      <c r="C13" s="1869"/>
      <c r="D13" s="1797"/>
      <c r="E13" s="1569"/>
      <c r="F13" s="1616"/>
      <c r="G13" s="1569"/>
      <c r="H13" s="1616"/>
      <c r="I13" s="1724"/>
      <c r="J13" s="1882"/>
      <c r="K13" s="24">
        <f t="shared" si="0"/>
        <v>0</v>
      </c>
      <c r="L13" s="24">
        <f t="shared" si="1"/>
        <v>0</v>
      </c>
      <c r="M13" s="1882"/>
      <c r="O13" s="590">
        <f t="shared" si="2"/>
        <v>0</v>
      </c>
      <c r="P13" s="590">
        <f t="shared" si="2"/>
        <v>0</v>
      </c>
      <c r="Q13" s="590">
        <f t="shared" si="3"/>
        <v>0</v>
      </c>
      <c r="R13" s="590">
        <f t="shared" si="4"/>
        <v>0</v>
      </c>
      <c r="S13" s="590">
        <f t="shared" si="5"/>
        <v>0</v>
      </c>
      <c r="U13" s="590">
        <f t="shared" si="6"/>
        <v>0</v>
      </c>
      <c r="V13" s="590">
        <f t="shared" si="6"/>
        <v>0</v>
      </c>
      <c r="W13" s="590">
        <f t="shared" si="7"/>
        <v>0</v>
      </c>
      <c r="X13" s="590">
        <f t="shared" si="8"/>
        <v>0</v>
      </c>
      <c r="Y13" s="590">
        <f t="shared" si="9"/>
        <v>0</v>
      </c>
      <c r="AA13" s="1882"/>
      <c r="AB13" s="1882"/>
      <c r="AC13" s="289">
        <v>9</v>
      </c>
      <c r="AD13" s="1765"/>
      <c r="AE13" s="797"/>
      <c r="AF13" s="2482"/>
      <c r="AG13" s="2482"/>
      <c r="AH13" s="2482"/>
      <c r="AI13" s="2482"/>
      <c r="AJ13" s="2483"/>
    </row>
    <row r="14" spans="1:36">
      <c r="A14" s="1882"/>
      <c r="B14" s="289">
        <v>10</v>
      </c>
      <c r="C14" s="1869"/>
      <c r="D14" s="1797"/>
      <c r="E14" s="1569"/>
      <c r="F14" s="1616"/>
      <c r="G14" s="1569"/>
      <c r="H14" s="1616"/>
      <c r="I14" s="1724"/>
      <c r="J14" s="1882"/>
      <c r="K14" s="24">
        <f t="shared" si="0"/>
        <v>0</v>
      </c>
      <c r="L14" s="24">
        <f t="shared" si="1"/>
        <v>0</v>
      </c>
      <c r="M14" s="1882"/>
      <c r="O14" s="590">
        <f t="shared" si="2"/>
        <v>0</v>
      </c>
      <c r="P14" s="590">
        <f t="shared" si="2"/>
        <v>0</v>
      </c>
      <c r="Q14" s="590">
        <f t="shared" si="3"/>
        <v>0</v>
      </c>
      <c r="R14" s="590">
        <f t="shared" si="4"/>
        <v>0</v>
      </c>
      <c r="S14" s="590">
        <f t="shared" si="5"/>
        <v>0</v>
      </c>
      <c r="U14" s="590">
        <f t="shared" si="6"/>
        <v>0</v>
      </c>
      <c r="V14" s="590">
        <f t="shared" si="6"/>
        <v>0</v>
      </c>
      <c r="W14" s="590">
        <f t="shared" si="7"/>
        <v>0</v>
      </c>
      <c r="X14" s="590">
        <f t="shared" si="8"/>
        <v>0</v>
      </c>
      <c r="Y14" s="590">
        <f t="shared" si="9"/>
        <v>0</v>
      </c>
      <c r="AA14" s="1882"/>
      <c r="AB14" s="1882"/>
      <c r="AC14" s="289">
        <v>10</v>
      </c>
      <c r="AD14" s="1765"/>
      <c r="AE14" s="797"/>
      <c r="AF14" s="2482"/>
      <c r="AG14" s="2482"/>
      <c r="AH14" s="2482"/>
      <c r="AI14" s="2482"/>
      <c r="AJ14" s="2483"/>
    </row>
    <row r="15" spans="1:36">
      <c r="A15" s="1882"/>
      <c r="B15" s="289">
        <v>11</v>
      </c>
      <c r="C15" s="1869"/>
      <c r="D15" s="1797"/>
      <c r="E15" s="1569"/>
      <c r="F15" s="1616"/>
      <c r="G15" s="1569"/>
      <c r="H15" s="1616"/>
      <c r="I15" s="1724"/>
      <c r="J15" s="1882"/>
      <c r="K15" s="24">
        <f t="shared" si="0"/>
        <v>0</v>
      </c>
      <c r="L15" s="24">
        <f t="shared" si="1"/>
        <v>0</v>
      </c>
      <c r="M15" s="1882"/>
      <c r="O15" s="590">
        <f t="shared" si="2"/>
        <v>0</v>
      </c>
      <c r="P15" s="590">
        <f t="shared" si="2"/>
        <v>0</v>
      </c>
      <c r="Q15" s="590">
        <f t="shared" si="3"/>
        <v>0</v>
      </c>
      <c r="R15" s="590">
        <f t="shared" si="4"/>
        <v>0</v>
      </c>
      <c r="S15" s="590">
        <f t="shared" si="5"/>
        <v>0</v>
      </c>
      <c r="U15" s="590">
        <f t="shared" si="6"/>
        <v>0</v>
      </c>
      <c r="V15" s="590">
        <f t="shared" si="6"/>
        <v>0</v>
      </c>
      <c r="W15" s="590">
        <f t="shared" si="7"/>
        <v>0</v>
      </c>
      <c r="X15" s="590">
        <f t="shared" si="8"/>
        <v>0</v>
      </c>
      <c r="Y15" s="590">
        <f t="shared" si="9"/>
        <v>0</v>
      </c>
      <c r="AA15" s="1882"/>
      <c r="AB15" s="1882"/>
      <c r="AC15" s="289">
        <v>11</v>
      </c>
      <c r="AD15" s="1765"/>
      <c r="AE15" s="797"/>
      <c r="AF15" s="2482"/>
      <c r="AG15" s="2482"/>
      <c r="AH15" s="2482"/>
      <c r="AI15" s="2482"/>
      <c r="AJ15" s="2483"/>
    </row>
    <row r="16" spans="1:36">
      <c r="A16" s="1882"/>
      <c r="B16" s="289">
        <v>12</v>
      </c>
      <c r="C16" s="1869"/>
      <c r="D16" s="1797"/>
      <c r="E16" s="1569"/>
      <c r="F16" s="1616"/>
      <c r="G16" s="1569"/>
      <c r="H16" s="1616"/>
      <c r="I16" s="1724"/>
      <c r="J16" s="1882"/>
      <c r="K16" s="24">
        <f t="shared" si="0"/>
        <v>0</v>
      </c>
      <c r="L16" s="24">
        <f t="shared" si="1"/>
        <v>0</v>
      </c>
      <c r="M16" s="1882"/>
      <c r="O16" s="590">
        <f t="shared" si="2"/>
        <v>0</v>
      </c>
      <c r="P16" s="590">
        <f t="shared" si="2"/>
        <v>0</v>
      </c>
      <c r="Q16" s="590">
        <f t="shared" si="3"/>
        <v>0</v>
      </c>
      <c r="R16" s="590">
        <f t="shared" si="4"/>
        <v>0</v>
      </c>
      <c r="S16" s="590">
        <f t="shared" si="5"/>
        <v>0</v>
      </c>
      <c r="U16" s="590">
        <f t="shared" si="6"/>
        <v>0</v>
      </c>
      <c r="V16" s="590">
        <f t="shared" si="6"/>
        <v>0</v>
      </c>
      <c r="W16" s="590">
        <f t="shared" si="7"/>
        <v>0</v>
      </c>
      <c r="X16" s="590">
        <f t="shared" si="8"/>
        <v>0</v>
      </c>
      <c r="Y16" s="590">
        <f t="shared" si="9"/>
        <v>0</v>
      </c>
      <c r="AA16" s="1882"/>
      <c r="AB16" s="1882"/>
      <c r="AC16" s="289">
        <v>12</v>
      </c>
      <c r="AD16" s="1765"/>
      <c r="AE16" s="797"/>
      <c r="AF16" s="2482"/>
      <c r="AG16" s="2482"/>
      <c r="AH16" s="2482"/>
      <c r="AI16" s="2482"/>
      <c r="AJ16" s="2483"/>
    </row>
    <row r="17" spans="2:36">
      <c r="B17" s="289">
        <v>13</v>
      </c>
      <c r="C17" s="1869"/>
      <c r="D17" s="1797"/>
      <c r="E17" s="1569"/>
      <c r="F17" s="1616"/>
      <c r="G17" s="1569"/>
      <c r="H17" s="1616"/>
      <c r="I17" s="1724"/>
      <c r="J17" s="1882"/>
      <c r="K17" s="24">
        <f t="shared" si="0"/>
        <v>0</v>
      </c>
      <c r="L17" s="24">
        <f t="shared" si="1"/>
        <v>0</v>
      </c>
      <c r="M17" s="1882"/>
      <c r="O17" s="590">
        <f t="shared" si="2"/>
        <v>0</v>
      </c>
      <c r="P17" s="590">
        <f t="shared" si="2"/>
        <v>0</v>
      </c>
      <c r="Q17" s="590">
        <f t="shared" si="3"/>
        <v>0</v>
      </c>
      <c r="R17" s="590">
        <f t="shared" si="4"/>
        <v>0</v>
      </c>
      <c r="S17" s="590">
        <f t="shared" si="5"/>
        <v>0</v>
      </c>
      <c r="U17" s="590">
        <f t="shared" si="6"/>
        <v>0</v>
      </c>
      <c r="V17" s="590">
        <f t="shared" si="6"/>
        <v>0</v>
      </c>
      <c r="W17" s="590">
        <f t="shared" si="7"/>
        <v>0</v>
      </c>
      <c r="X17" s="590">
        <f t="shared" si="8"/>
        <v>0</v>
      </c>
      <c r="Y17" s="590">
        <f t="shared" si="9"/>
        <v>0</v>
      </c>
      <c r="AA17" s="1882"/>
      <c r="AB17" s="1882"/>
      <c r="AC17" s="289">
        <v>13</v>
      </c>
      <c r="AD17" s="1765"/>
      <c r="AE17" s="797"/>
      <c r="AF17" s="2482"/>
      <c r="AG17" s="2482"/>
      <c r="AH17" s="2482"/>
      <c r="AI17" s="2482"/>
      <c r="AJ17" s="2483"/>
    </row>
    <row r="18" spans="2:36">
      <c r="B18" s="289">
        <v>14</v>
      </c>
      <c r="C18" s="1869"/>
      <c r="D18" s="1797"/>
      <c r="E18" s="1569"/>
      <c r="F18" s="1616"/>
      <c r="G18" s="1569"/>
      <c r="H18" s="1616"/>
      <c r="I18" s="1724"/>
      <c r="J18" s="1882"/>
      <c r="K18" s="24">
        <f t="shared" si="0"/>
        <v>0</v>
      </c>
      <c r="L18" s="24">
        <f t="shared" si="1"/>
        <v>0</v>
      </c>
      <c r="M18" s="1882"/>
      <c r="O18" s="590">
        <f t="shared" si="2"/>
        <v>0</v>
      </c>
      <c r="P18" s="590">
        <f t="shared" si="2"/>
        <v>0</v>
      </c>
      <c r="Q18" s="590">
        <f t="shared" si="3"/>
        <v>0</v>
      </c>
      <c r="R18" s="590">
        <f t="shared" si="4"/>
        <v>0</v>
      </c>
      <c r="S18" s="590">
        <f t="shared" si="5"/>
        <v>0</v>
      </c>
      <c r="U18" s="590">
        <f t="shared" si="6"/>
        <v>0</v>
      </c>
      <c r="V18" s="590">
        <f t="shared" si="6"/>
        <v>0</v>
      </c>
      <c r="W18" s="590">
        <f t="shared" si="7"/>
        <v>0</v>
      </c>
      <c r="X18" s="590">
        <f t="shared" si="8"/>
        <v>0</v>
      </c>
      <c r="Y18" s="590">
        <f t="shared" si="9"/>
        <v>0</v>
      </c>
      <c r="AA18" s="1882"/>
      <c r="AB18" s="1882"/>
      <c r="AC18" s="289">
        <v>14</v>
      </c>
      <c r="AD18" s="1765"/>
      <c r="AE18" s="797"/>
      <c r="AF18" s="2482"/>
      <c r="AG18" s="2482"/>
      <c r="AH18" s="2482"/>
      <c r="AI18" s="2482"/>
      <c r="AJ18" s="2483"/>
    </row>
    <row r="19" spans="2:36">
      <c r="B19" s="289">
        <v>15</v>
      </c>
      <c r="C19" s="1869"/>
      <c r="D19" s="1797"/>
      <c r="E19" s="1569"/>
      <c r="F19" s="1616"/>
      <c r="G19" s="1569"/>
      <c r="H19" s="1616"/>
      <c r="I19" s="1724"/>
      <c r="J19" s="1882"/>
      <c r="K19" s="24">
        <f t="shared" si="0"/>
        <v>0</v>
      </c>
      <c r="L19" s="24">
        <f t="shared" si="1"/>
        <v>0</v>
      </c>
      <c r="M19" s="1882"/>
      <c r="O19" s="590">
        <f t="shared" si="2"/>
        <v>0</v>
      </c>
      <c r="P19" s="590">
        <f t="shared" si="2"/>
        <v>0</v>
      </c>
      <c r="Q19" s="590">
        <f t="shared" si="3"/>
        <v>0</v>
      </c>
      <c r="R19" s="590">
        <f t="shared" si="4"/>
        <v>0</v>
      </c>
      <c r="S19" s="590">
        <f t="shared" si="5"/>
        <v>0</v>
      </c>
      <c r="U19" s="590">
        <f t="shared" si="6"/>
        <v>0</v>
      </c>
      <c r="V19" s="590">
        <f t="shared" si="6"/>
        <v>0</v>
      </c>
      <c r="W19" s="590">
        <f t="shared" si="7"/>
        <v>0</v>
      </c>
      <c r="X19" s="590">
        <f t="shared" si="8"/>
        <v>0</v>
      </c>
      <c r="Y19" s="590">
        <f t="shared" si="9"/>
        <v>0</v>
      </c>
      <c r="AA19" s="1882"/>
      <c r="AB19" s="1882"/>
      <c r="AC19" s="289">
        <v>15</v>
      </c>
      <c r="AD19" s="1765"/>
      <c r="AE19" s="797"/>
      <c r="AF19" s="2482"/>
      <c r="AG19" s="2482"/>
      <c r="AH19" s="2482"/>
      <c r="AI19" s="2482"/>
      <c r="AJ19" s="2483"/>
    </row>
    <row r="20" spans="2:36">
      <c r="B20" s="289">
        <v>16</v>
      </c>
      <c r="C20" s="1869"/>
      <c r="D20" s="1797"/>
      <c r="E20" s="1569"/>
      <c r="F20" s="1616"/>
      <c r="G20" s="1569"/>
      <c r="H20" s="1616"/>
      <c r="I20" s="1724"/>
      <c r="J20" s="1882"/>
      <c r="K20" s="24">
        <f t="shared" si="0"/>
        <v>0</v>
      </c>
      <c r="L20" s="24">
        <f t="shared" si="1"/>
        <v>0</v>
      </c>
      <c r="M20" s="1882"/>
      <c r="O20" s="590">
        <f t="shared" si="2"/>
        <v>0</v>
      </c>
      <c r="P20" s="590">
        <f t="shared" si="2"/>
        <v>0</v>
      </c>
      <c r="Q20" s="590">
        <f t="shared" si="3"/>
        <v>0</v>
      </c>
      <c r="R20" s="590">
        <f t="shared" si="4"/>
        <v>0</v>
      </c>
      <c r="S20" s="590">
        <f t="shared" si="5"/>
        <v>0</v>
      </c>
      <c r="U20" s="590">
        <f t="shared" si="6"/>
        <v>0</v>
      </c>
      <c r="V20" s="590">
        <f t="shared" si="6"/>
        <v>0</v>
      </c>
      <c r="W20" s="590">
        <f t="shared" si="7"/>
        <v>0</v>
      </c>
      <c r="X20" s="590">
        <f t="shared" si="8"/>
        <v>0</v>
      </c>
      <c r="Y20" s="590">
        <f t="shared" si="9"/>
        <v>0</v>
      </c>
      <c r="AA20" s="1882"/>
      <c r="AB20" s="1882"/>
      <c r="AC20" s="289">
        <v>16</v>
      </c>
      <c r="AD20" s="1765"/>
      <c r="AE20" s="797"/>
      <c r="AF20" s="2482"/>
      <c r="AG20" s="2482"/>
      <c r="AH20" s="2482"/>
      <c r="AI20" s="2482"/>
      <c r="AJ20" s="2483"/>
    </row>
    <row r="21" spans="2:36">
      <c r="B21" s="289">
        <v>17</v>
      </c>
      <c r="C21" s="1869"/>
      <c r="D21" s="1797"/>
      <c r="E21" s="1569"/>
      <c r="F21" s="1616"/>
      <c r="G21" s="1569"/>
      <c r="H21" s="1616"/>
      <c r="I21" s="1724"/>
      <c r="J21" s="1882"/>
      <c r="K21" s="24">
        <f t="shared" si="0"/>
        <v>0</v>
      </c>
      <c r="L21" s="24">
        <f t="shared" si="1"/>
        <v>0</v>
      </c>
      <c r="M21" s="1882"/>
      <c r="O21" s="590">
        <f t="shared" si="2"/>
        <v>0</v>
      </c>
      <c r="P21" s="590">
        <f t="shared" si="2"/>
        <v>0</v>
      </c>
      <c r="Q21" s="590">
        <f t="shared" si="3"/>
        <v>0</v>
      </c>
      <c r="R21" s="590">
        <f t="shared" si="4"/>
        <v>0</v>
      </c>
      <c r="S21" s="590">
        <f t="shared" si="5"/>
        <v>0</v>
      </c>
      <c r="U21" s="590">
        <f t="shared" si="6"/>
        <v>0</v>
      </c>
      <c r="V21" s="590">
        <f t="shared" si="6"/>
        <v>0</v>
      </c>
      <c r="W21" s="590">
        <f t="shared" si="7"/>
        <v>0</v>
      </c>
      <c r="X21" s="590">
        <f t="shared" si="8"/>
        <v>0</v>
      </c>
      <c r="Y21" s="590">
        <f t="shared" si="9"/>
        <v>0</v>
      </c>
      <c r="AA21" s="1882"/>
      <c r="AB21" s="1882"/>
      <c r="AC21" s="289">
        <v>17</v>
      </c>
      <c r="AD21" s="1765"/>
      <c r="AE21" s="797"/>
      <c r="AF21" s="2482"/>
      <c r="AG21" s="2482"/>
      <c r="AH21" s="2482"/>
      <c r="AI21" s="2482"/>
      <c r="AJ21" s="2483"/>
    </row>
    <row r="22" spans="2:36">
      <c r="B22" s="289">
        <v>18</v>
      </c>
      <c r="C22" s="1869"/>
      <c r="D22" s="1797"/>
      <c r="E22" s="1569"/>
      <c r="F22" s="1616"/>
      <c r="G22" s="1569"/>
      <c r="H22" s="1616"/>
      <c r="I22" s="1724"/>
      <c r="J22" s="1882"/>
      <c r="K22" s="24">
        <f t="shared" si="0"/>
        <v>0</v>
      </c>
      <c r="L22" s="24">
        <f t="shared" si="1"/>
        <v>0</v>
      </c>
      <c r="M22" s="1882"/>
      <c r="O22" s="590">
        <f t="shared" si="2"/>
        <v>0</v>
      </c>
      <c r="P22" s="590">
        <f t="shared" si="2"/>
        <v>0</v>
      </c>
      <c r="Q22" s="590">
        <f t="shared" si="3"/>
        <v>0</v>
      </c>
      <c r="R22" s="590">
        <f t="shared" si="4"/>
        <v>0</v>
      </c>
      <c r="S22" s="590">
        <f t="shared" si="5"/>
        <v>0</v>
      </c>
      <c r="U22" s="590">
        <f t="shared" si="6"/>
        <v>0</v>
      </c>
      <c r="V22" s="590">
        <f t="shared" si="6"/>
        <v>0</v>
      </c>
      <c r="W22" s="590">
        <f t="shared" si="7"/>
        <v>0</v>
      </c>
      <c r="X22" s="590">
        <f t="shared" si="8"/>
        <v>0</v>
      </c>
      <c r="Y22" s="590">
        <f t="shared" si="9"/>
        <v>0</v>
      </c>
      <c r="AA22" s="1882"/>
      <c r="AB22" s="1882"/>
      <c r="AC22" s="289">
        <v>18</v>
      </c>
      <c r="AD22" s="1765"/>
      <c r="AE22" s="797"/>
      <c r="AF22" s="2482"/>
      <c r="AG22" s="2482"/>
      <c r="AH22" s="2482"/>
      <c r="AI22" s="2482"/>
      <c r="AJ22" s="2483"/>
    </row>
    <row r="23" spans="2:36">
      <c r="B23" s="289">
        <v>19</v>
      </c>
      <c r="C23" s="1869"/>
      <c r="D23" s="1797"/>
      <c r="E23" s="1569"/>
      <c r="F23" s="1616"/>
      <c r="G23" s="1569"/>
      <c r="H23" s="1616"/>
      <c r="I23" s="1724"/>
      <c r="J23" s="1882"/>
      <c r="K23" s="24">
        <f t="shared" si="0"/>
        <v>0</v>
      </c>
      <c r="L23" s="24">
        <f t="shared" si="1"/>
        <v>0</v>
      </c>
      <c r="M23" s="1882"/>
      <c r="O23" s="590">
        <f t="shared" si="2"/>
        <v>0</v>
      </c>
      <c r="P23" s="590">
        <f t="shared" si="2"/>
        <v>0</v>
      </c>
      <c r="Q23" s="590">
        <f t="shared" si="3"/>
        <v>0</v>
      </c>
      <c r="R23" s="590">
        <f t="shared" si="4"/>
        <v>0</v>
      </c>
      <c r="S23" s="590">
        <f t="shared" si="5"/>
        <v>0</v>
      </c>
      <c r="U23" s="590">
        <f t="shared" si="6"/>
        <v>0</v>
      </c>
      <c r="V23" s="590">
        <f t="shared" si="6"/>
        <v>0</v>
      </c>
      <c r="W23" s="590">
        <f t="shared" si="7"/>
        <v>0</v>
      </c>
      <c r="X23" s="590">
        <f t="shared" si="8"/>
        <v>0</v>
      </c>
      <c r="Y23" s="590">
        <f t="shared" si="9"/>
        <v>0</v>
      </c>
      <c r="AA23" s="1882"/>
      <c r="AB23" s="1882"/>
      <c r="AC23" s="289">
        <v>19</v>
      </c>
      <c r="AD23" s="1765"/>
      <c r="AE23" s="797"/>
      <c r="AF23" s="2482"/>
      <c r="AG23" s="2482"/>
      <c r="AH23" s="2482"/>
      <c r="AI23" s="2482"/>
      <c r="AJ23" s="2483"/>
    </row>
    <row r="24" spans="2:36">
      <c r="B24" s="289">
        <v>20</v>
      </c>
      <c r="C24" s="1869"/>
      <c r="D24" s="1797"/>
      <c r="E24" s="1569"/>
      <c r="F24" s="1616"/>
      <c r="G24" s="1569"/>
      <c r="H24" s="1616"/>
      <c r="I24" s="1724"/>
      <c r="J24" s="1882"/>
      <c r="K24" s="24">
        <f t="shared" si="0"/>
        <v>0</v>
      </c>
      <c r="L24" s="24">
        <f t="shared" si="1"/>
        <v>0</v>
      </c>
      <c r="M24" s="1882"/>
      <c r="O24" s="590">
        <f t="shared" si="2"/>
        <v>0</v>
      </c>
      <c r="P24" s="590">
        <f t="shared" si="2"/>
        <v>0</v>
      </c>
      <c r="Q24" s="590">
        <f t="shared" si="3"/>
        <v>0</v>
      </c>
      <c r="R24" s="590">
        <f t="shared" si="4"/>
        <v>0</v>
      </c>
      <c r="S24" s="590">
        <f t="shared" si="5"/>
        <v>0</v>
      </c>
      <c r="U24" s="590">
        <f t="shared" si="6"/>
        <v>0</v>
      </c>
      <c r="V24" s="590">
        <f t="shared" si="6"/>
        <v>0</v>
      </c>
      <c r="W24" s="590">
        <f t="shared" si="7"/>
        <v>0</v>
      </c>
      <c r="X24" s="590">
        <f t="shared" si="8"/>
        <v>0</v>
      </c>
      <c r="Y24" s="590">
        <f t="shared" si="9"/>
        <v>0</v>
      </c>
      <c r="AA24" s="1882"/>
      <c r="AB24" s="1882"/>
      <c r="AC24" s="289">
        <v>20</v>
      </c>
      <c r="AD24" s="1765"/>
      <c r="AE24" s="797"/>
      <c r="AF24" s="2482"/>
      <c r="AG24" s="2482"/>
      <c r="AH24" s="2482"/>
      <c r="AI24" s="2482"/>
      <c r="AJ24" s="2483"/>
    </row>
    <row r="25" spans="2:36">
      <c r="B25" s="289">
        <v>21</v>
      </c>
      <c r="C25" s="1869"/>
      <c r="D25" s="1797"/>
      <c r="E25" s="1569"/>
      <c r="F25" s="1616"/>
      <c r="G25" s="1569"/>
      <c r="H25" s="1616"/>
      <c r="I25" s="1724"/>
      <c r="J25" s="1882"/>
      <c r="K25" s="24">
        <f t="shared" si="0"/>
        <v>0</v>
      </c>
      <c r="L25" s="24">
        <f t="shared" si="1"/>
        <v>0</v>
      </c>
      <c r="M25" s="1882"/>
      <c r="O25" s="590">
        <f t="shared" si="2"/>
        <v>0</v>
      </c>
      <c r="P25" s="590">
        <f t="shared" si="2"/>
        <v>0</v>
      </c>
      <c r="Q25" s="590">
        <f t="shared" si="3"/>
        <v>0</v>
      </c>
      <c r="R25" s="590">
        <f t="shared" si="4"/>
        <v>0</v>
      </c>
      <c r="S25" s="590">
        <f t="shared" si="5"/>
        <v>0</v>
      </c>
      <c r="U25" s="590">
        <f t="shared" si="6"/>
        <v>0</v>
      </c>
      <c r="V25" s="590">
        <f t="shared" si="6"/>
        <v>0</v>
      </c>
      <c r="W25" s="590">
        <f t="shared" si="7"/>
        <v>0</v>
      </c>
      <c r="X25" s="590">
        <f t="shared" si="8"/>
        <v>0</v>
      </c>
      <c r="Y25" s="590">
        <f t="shared" si="9"/>
        <v>0</v>
      </c>
      <c r="AA25" s="1882"/>
      <c r="AB25" s="1882"/>
      <c r="AC25" s="289">
        <v>21</v>
      </c>
      <c r="AD25" s="1765"/>
      <c r="AE25" s="797"/>
      <c r="AF25" s="2482"/>
      <c r="AG25" s="2482"/>
      <c r="AH25" s="2482"/>
      <c r="AI25" s="2482"/>
      <c r="AJ25" s="2483"/>
    </row>
    <row r="26" spans="2:36">
      <c r="B26" s="289">
        <v>22</v>
      </c>
      <c r="C26" s="1869"/>
      <c r="D26" s="1797"/>
      <c r="E26" s="1569"/>
      <c r="F26" s="1616"/>
      <c r="G26" s="1569"/>
      <c r="H26" s="1616"/>
      <c r="I26" s="1724"/>
      <c r="J26" s="1882"/>
      <c r="K26" s="24">
        <f t="shared" si="0"/>
        <v>0</v>
      </c>
      <c r="L26" s="24">
        <f t="shared" si="1"/>
        <v>0</v>
      </c>
      <c r="M26" s="1882"/>
      <c r="O26" s="590">
        <f t="shared" si="2"/>
        <v>0</v>
      </c>
      <c r="P26" s="590">
        <f t="shared" si="2"/>
        <v>0</v>
      </c>
      <c r="Q26" s="590">
        <f t="shared" si="3"/>
        <v>0</v>
      </c>
      <c r="R26" s="590">
        <f t="shared" si="4"/>
        <v>0</v>
      </c>
      <c r="S26" s="590">
        <f t="shared" si="5"/>
        <v>0</v>
      </c>
      <c r="U26" s="590">
        <f t="shared" si="6"/>
        <v>0</v>
      </c>
      <c r="V26" s="590">
        <f t="shared" si="6"/>
        <v>0</v>
      </c>
      <c r="W26" s="590">
        <f t="shared" si="7"/>
        <v>0</v>
      </c>
      <c r="X26" s="590">
        <f t="shared" si="8"/>
        <v>0</v>
      </c>
      <c r="Y26" s="590">
        <f t="shared" si="9"/>
        <v>0</v>
      </c>
      <c r="AA26" s="1882"/>
      <c r="AB26" s="1882"/>
      <c r="AC26" s="289">
        <v>22</v>
      </c>
      <c r="AD26" s="1765"/>
      <c r="AE26" s="797"/>
      <c r="AF26" s="2482"/>
      <c r="AG26" s="2482"/>
      <c r="AH26" s="2482"/>
      <c r="AI26" s="2482"/>
      <c r="AJ26" s="2483"/>
    </row>
    <row r="27" spans="2:36">
      <c r="B27" s="289">
        <v>23</v>
      </c>
      <c r="C27" s="1869"/>
      <c r="D27" s="1797"/>
      <c r="E27" s="1569"/>
      <c r="F27" s="1616"/>
      <c r="G27" s="1569"/>
      <c r="H27" s="1616"/>
      <c r="I27" s="1724"/>
      <c r="J27" s="1882"/>
      <c r="K27" s="24">
        <f t="shared" si="0"/>
        <v>0</v>
      </c>
      <c r="L27" s="24">
        <f t="shared" si="1"/>
        <v>0</v>
      </c>
      <c r="M27" s="1882"/>
      <c r="O27" s="590">
        <f t="shared" si="2"/>
        <v>0</v>
      </c>
      <c r="P27" s="590">
        <f t="shared" si="2"/>
        <v>0</v>
      </c>
      <c r="Q27" s="590">
        <f t="shared" si="3"/>
        <v>0</v>
      </c>
      <c r="R27" s="590">
        <f t="shared" si="4"/>
        <v>0</v>
      </c>
      <c r="S27" s="590">
        <f t="shared" si="5"/>
        <v>0</v>
      </c>
      <c r="U27" s="590">
        <f t="shared" si="6"/>
        <v>0</v>
      </c>
      <c r="V27" s="590">
        <f t="shared" si="6"/>
        <v>0</v>
      </c>
      <c r="W27" s="590">
        <f t="shared" si="7"/>
        <v>0</v>
      </c>
      <c r="X27" s="590">
        <f t="shared" si="8"/>
        <v>0</v>
      </c>
      <c r="Y27" s="590">
        <f t="shared" si="9"/>
        <v>0</v>
      </c>
      <c r="AA27" s="1882"/>
      <c r="AB27" s="1882"/>
      <c r="AC27" s="289">
        <v>23</v>
      </c>
      <c r="AD27" s="1765"/>
      <c r="AE27" s="797"/>
      <c r="AF27" s="2482"/>
      <c r="AG27" s="2482"/>
      <c r="AH27" s="2482"/>
      <c r="AI27" s="2482"/>
      <c r="AJ27" s="2483"/>
    </row>
    <row r="28" spans="2:36">
      <c r="B28" s="289">
        <v>24</v>
      </c>
      <c r="C28" s="1869"/>
      <c r="D28" s="1797"/>
      <c r="E28" s="1569"/>
      <c r="F28" s="1616"/>
      <c r="G28" s="1569"/>
      <c r="H28" s="1616"/>
      <c r="I28" s="1724"/>
      <c r="J28" s="1882"/>
      <c r="K28" s="24">
        <f t="shared" si="0"/>
        <v>0</v>
      </c>
      <c r="L28" s="24">
        <f t="shared" si="1"/>
        <v>0</v>
      </c>
      <c r="M28" s="1882"/>
      <c r="O28" s="590">
        <f t="shared" si="2"/>
        <v>0</v>
      </c>
      <c r="P28" s="590">
        <f t="shared" si="2"/>
        <v>0</v>
      </c>
      <c r="Q28" s="590">
        <f t="shared" si="3"/>
        <v>0</v>
      </c>
      <c r="R28" s="590">
        <f t="shared" si="4"/>
        <v>0</v>
      </c>
      <c r="S28" s="590">
        <f t="shared" si="5"/>
        <v>0</v>
      </c>
      <c r="U28" s="590">
        <f t="shared" si="6"/>
        <v>0</v>
      </c>
      <c r="V28" s="590">
        <f t="shared" si="6"/>
        <v>0</v>
      </c>
      <c r="W28" s="590">
        <f t="shared" si="7"/>
        <v>0</v>
      </c>
      <c r="X28" s="590">
        <f t="shared" si="8"/>
        <v>0</v>
      </c>
      <c r="Y28" s="590">
        <f t="shared" si="9"/>
        <v>0</v>
      </c>
      <c r="AA28" s="1882"/>
      <c r="AB28" s="1882"/>
      <c r="AC28" s="289">
        <v>24</v>
      </c>
      <c r="AD28" s="1765"/>
      <c r="AE28" s="797"/>
      <c r="AF28" s="2482"/>
      <c r="AG28" s="2482"/>
      <c r="AH28" s="2482"/>
      <c r="AI28" s="2482"/>
      <c r="AJ28" s="2483"/>
    </row>
    <row r="29" spans="2:36" ht="14.5" thickBot="1">
      <c r="B29" s="289">
        <v>25</v>
      </c>
      <c r="C29" s="1869"/>
      <c r="D29" s="1797"/>
      <c r="E29" s="1569"/>
      <c r="F29" s="1616"/>
      <c r="G29" s="1569"/>
      <c r="H29" s="1616"/>
      <c r="I29" s="1724"/>
      <c r="J29" s="1882"/>
      <c r="K29" s="24">
        <f t="shared" si="0"/>
        <v>0</v>
      </c>
      <c r="L29" s="24">
        <f t="shared" si="1"/>
        <v>0</v>
      </c>
      <c r="M29" s="1882"/>
      <c r="O29" s="590">
        <f t="shared" si="2"/>
        <v>0</v>
      </c>
      <c r="P29" s="590">
        <f t="shared" si="2"/>
        <v>0</v>
      </c>
      <c r="Q29" s="590">
        <f t="shared" si="3"/>
        <v>0</v>
      </c>
      <c r="R29" s="590">
        <f t="shared" si="4"/>
        <v>0</v>
      </c>
      <c r="S29" s="590">
        <f t="shared" si="5"/>
        <v>0</v>
      </c>
      <c r="U29" s="590">
        <f t="shared" si="6"/>
        <v>0</v>
      </c>
      <c r="V29" s="590">
        <f t="shared" si="6"/>
        <v>0</v>
      </c>
      <c r="W29" s="590">
        <f t="shared" si="7"/>
        <v>0</v>
      </c>
      <c r="X29" s="590">
        <f t="shared" si="8"/>
        <v>0</v>
      </c>
      <c r="Y29" s="590">
        <f t="shared" si="9"/>
        <v>0</v>
      </c>
      <c r="AA29" s="1882"/>
      <c r="AB29" s="1882"/>
      <c r="AC29" s="289">
        <v>25</v>
      </c>
      <c r="AD29" s="1765"/>
      <c r="AE29" s="797"/>
      <c r="AF29" s="2482"/>
      <c r="AG29" s="2482"/>
      <c r="AH29" s="2482"/>
      <c r="AI29" s="2482"/>
      <c r="AJ29" s="2483"/>
    </row>
    <row r="30" spans="2:36" ht="14.5" thickBot="1">
      <c r="B30" s="594" t="s">
        <v>708</v>
      </c>
      <c r="C30" s="595"/>
      <c r="D30" s="596"/>
      <c r="E30" s="1570">
        <f>SUM(E5:E29)</f>
        <v>0</v>
      </c>
      <c r="F30" s="1617">
        <f>SUM(F5:F29)</f>
        <v>0</v>
      </c>
      <c r="G30" s="1570">
        <f>SUM(G5:G29)</f>
        <v>0</v>
      </c>
      <c r="H30" s="1617">
        <f>SUM(H5:H29)</f>
        <v>0</v>
      </c>
      <c r="I30" s="830"/>
      <c r="J30" s="1882"/>
      <c r="K30" s="1882"/>
      <c r="L30" s="1882"/>
      <c r="M30" s="1882"/>
      <c r="O30" s="1882"/>
      <c r="P30" s="1882"/>
      <c r="Q30" s="1882"/>
      <c r="R30" s="1882"/>
      <c r="S30" s="1882"/>
      <c r="U30" s="1882"/>
      <c r="V30" s="1882"/>
      <c r="W30" s="1882"/>
      <c r="X30" s="1882"/>
      <c r="Y30" s="1882"/>
      <c r="AA30" s="1882"/>
      <c r="AB30" s="1882"/>
      <c r="AC30" s="2484" t="s">
        <v>708</v>
      </c>
      <c r="AD30" s="2485"/>
      <c r="AE30" s="2486"/>
      <c r="AF30" s="1570"/>
      <c r="AG30" s="1570"/>
      <c r="AH30" s="1570"/>
      <c r="AI30" s="1570"/>
      <c r="AJ30" s="830"/>
    </row>
    <row r="31" spans="2:36">
      <c r="B31" s="1882"/>
      <c r="C31" s="1882"/>
      <c r="D31" s="1882"/>
      <c r="E31" s="1882"/>
      <c r="F31" s="1882"/>
      <c r="G31" s="1882"/>
      <c r="H31" s="1882"/>
      <c r="I31" s="1882"/>
      <c r="J31" s="1882"/>
      <c r="K31" s="1882"/>
      <c r="L31" s="1882"/>
      <c r="M31" s="1882"/>
      <c r="O31" s="1882"/>
      <c r="P31" s="1882"/>
      <c r="Q31" s="1882"/>
      <c r="R31" s="1882"/>
      <c r="S31" s="1882"/>
      <c r="U31" s="1882"/>
      <c r="V31" s="1882"/>
      <c r="W31" s="1882"/>
      <c r="X31" s="1882"/>
      <c r="Y31" s="1882"/>
      <c r="AA31" s="1882"/>
      <c r="AB31" s="1882"/>
      <c r="AC31" s="483"/>
      <c r="AD31" s="483"/>
      <c r="AE31" s="483"/>
      <c r="AF31" s="483"/>
      <c r="AG31" s="483"/>
      <c r="AH31" s="483"/>
      <c r="AI31" s="483"/>
      <c r="AJ31" s="483"/>
    </row>
    <row r="32" spans="2:36">
      <c r="B32" s="2823" t="s">
        <v>241</v>
      </c>
      <c r="C32" s="2823"/>
      <c r="D32" s="1882"/>
      <c r="E32" s="1882"/>
      <c r="F32" s="1882"/>
      <c r="G32" s="1882"/>
      <c r="H32" s="1882"/>
      <c r="I32" s="1882"/>
      <c r="J32" s="1882"/>
      <c r="K32" s="1882"/>
      <c r="L32" s="1882"/>
      <c r="M32" s="1882"/>
      <c r="O32" s="1882"/>
      <c r="P32" s="1882"/>
      <c r="Q32" s="1882"/>
      <c r="R32" s="1882"/>
      <c r="S32" s="1882"/>
      <c r="U32" s="1882"/>
      <c r="V32" s="1882"/>
      <c r="W32" s="1882"/>
      <c r="X32" s="1882"/>
      <c r="Y32" s="1882"/>
      <c r="AA32" s="1882"/>
      <c r="AB32" s="1882"/>
      <c r="AC32" s="483"/>
      <c r="AD32" s="483"/>
      <c r="AE32" s="483"/>
      <c r="AF32" s="483"/>
      <c r="AG32" s="483"/>
      <c r="AH32" s="483"/>
      <c r="AI32" s="483"/>
      <c r="AJ32" s="483"/>
    </row>
    <row r="33" spans="1:36" ht="11.25" customHeight="1">
      <c r="A33" s="1882"/>
      <c r="B33" s="141"/>
      <c r="C33" s="141"/>
      <c r="D33" s="1882"/>
      <c r="E33" s="1882"/>
      <c r="F33" s="1882"/>
      <c r="G33" s="1882"/>
      <c r="H33" s="1882"/>
      <c r="I33" s="1882"/>
      <c r="J33" s="1882"/>
      <c r="K33" s="1882"/>
      <c r="L33" s="1882"/>
      <c r="M33" s="1882"/>
      <c r="O33" s="1882"/>
      <c r="P33" s="1882"/>
      <c r="Q33" s="1882"/>
      <c r="R33" s="1882"/>
      <c r="S33" s="1882"/>
      <c r="U33" s="1882"/>
      <c r="V33" s="1882"/>
      <c r="W33" s="1882"/>
      <c r="X33" s="1882"/>
      <c r="Y33" s="1882"/>
      <c r="AA33" s="1882"/>
      <c r="AB33" s="1882"/>
      <c r="AC33" s="483"/>
      <c r="AD33" s="483"/>
      <c r="AE33" s="483"/>
      <c r="AF33" s="483"/>
      <c r="AG33" s="483"/>
      <c r="AH33" s="483"/>
      <c r="AI33" s="483"/>
      <c r="AJ33" s="483"/>
    </row>
    <row r="34" spans="1:36">
      <c r="A34" s="1882"/>
      <c r="B34" s="25"/>
      <c r="C34" s="143" t="s">
        <v>188</v>
      </c>
      <c r="D34" s="1882"/>
      <c r="E34" s="1882"/>
      <c r="F34" s="1882"/>
      <c r="G34" s="1882"/>
      <c r="H34" s="1882"/>
      <c r="I34" s="1882"/>
      <c r="J34" s="1882"/>
      <c r="K34" s="1882"/>
      <c r="L34" s="1882"/>
      <c r="M34" s="1882"/>
      <c r="O34" s="1882"/>
      <c r="P34" s="1882"/>
      <c r="Q34" s="1882"/>
      <c r="R34" s="1882"/>
      <c r="S34" s="1882"/>
      <c r="U34" s="1882"/>
      <c r="V34" s="1882"/>
      <c r="W34" s="1882"/>
      <c r="X34" s="1882"/>
      <c r="Y34" s="1882"/>
      <c r="AA34" s="1882"/>
      <c r="AB34" s="1882"/>
      <c r="AC34" s="1882"/>
      <c r="AD34" s="1882"/>
      <c r="AE34" s="1882"/>
      <c r="AF34" s="1882"/>
      <c r="AG34" s="1882"/>
      <c r="AH34" s="1882"/>
      <c r="AI34" s="1882"/>
      <c r="AJ34" s="1882"/>
    </row>
    <row r="35" spans="1:36" ht="11.25" customHeight="1">
      <c r="A35" s="1882"/>
      <c r="B35" s="141"/>
      <c r="C35" s="142"/>
      <c r="D35" s="1882"/>
      <c r="E35" s="1882"/>
      <c r="F35" s="1882"/>
      <c r="G35" s="1882"/>
      <c r="H35" s="1882"/>
      <c r="I35" s="1882"/>
      <c r="J35" s="1882"/>
      <c r="K35" s="1882"/>
      <c r="L35" s="1882"/>
      <c r="M35" s="1882"/>
      <c r="O35" s="1882"/>
      <c r="P35" s="1882"/>
      <c r="Q35" s="1882"/>
      <c r="R35" s="1882"/>
      <c r="S35" s="1882"/>
      <c r="U35" s="1882"/>
      <c r="V35" s="1882"/>
      <c r="W35" s="1882"/>
      <c r="X35" s="1882"/>
      <c r="Y35" s="1882"/>
      <c r="AA35" s="1882"/>
      <c r="AB35" s="1882"/>
      <c r="AC35" s="1882"/>
      <c r="AD35" s="1882"/>
      <c r="AE35" s="1882"/>
      <c r="AF35" s="1882"/>
      <c r="AG35" s="1882"/>
      <c r="AH35" s="1882"/>
      <c r="AI35" s="1882"/>
      <c r="AJ35" s="1882"/>
    </row>
    <row r="36" spans="1:36">
      <c r="A36" s="1882"/>
      <c r="B36" s="144"/>
      <c r="C36" s="143" t="s">
        <v>189</v>
      </c>
      <c r="D36" s="1882"/>
      <c r="E36" s="1882"/>
      <c r="F36" s="1882"/>
      <c r="G36" s="1882"/>
      <c r="H36" s="1882"/>
      <c r="I36" s="1882"/>
      <c r="J36" s="1882"/>
      <c r="K36" s="1882"/>
      <c r="L36" s="1882"/>
      <c r="M36" s="1882"/>
      <c r="O36" s="1882"/>
      <c r="P36" s="1882"/>
      <c r="Q36" s="1882"/>
      <c r="R36" s="1882"/>
      <c r="S36" s="1882"/>
      <c r="U36" s="1882"/>
      <c r="V36" s="1882"/>
      <c r="W36" s="1882"/>
      <c r="X36" s="1882"/>
      <c r="Y36" s="1882"/>
      <c r="AA36" s="1882"/>
      <c r="AB36" s="1882"/>
      <c r="AC36" s="1882"/>
      <c r="AD36" s="1882"/>
      <c r="AE36" s="1882"/>
      <c r="AF36" s="1882"/>
      <c r="AG36" s="1882"/>
      <c r="AH36" s="1882"/>
      <c r="AI36" s="1882"/>
      <c r="AJ36" s="1882"/>
    </row>
    <row r="37" spans="1:36">
      <c r="A37" s="1882"/>
      <c r="B37" s="145"/>
      <c r="C37" s="143"/>
      <c r="D37" s="1882"/>
      <c r="E37" s="1882"/>
      <c r="F37" s="1882"/>
      <c r="G37" s="1882"/>
      <c r="H37" s="1882"/>
      <c r="I37" s="1882"/>
      <c r="J37" s="1882"/>
      <c r="K37" s="1882"/>
      <c r="L37" s="1882"/>
      <c r="M37" s="1882"/>
      <c r="O37" s="1882"/>
      <c r="P37" s="1882"/>
      <c r="Q37" s="1882"/>
      <c r="R37" s="1882"/>
      <c r="S37" s="1882"/>
      <c r="U37" s="1882"/>
      <c r="V37" s="1882"/>
      <c r="W37" s="1882"/>
      <c r="X37" s="1882"/>
      <c r="Y37" s="1882"/>
      <c r="AA37" s="1882"/>
      <c r="AB37" s="1882"/>
      <c r="AC37" s="1882"/>
      <c r="AD37" s="1882"/>
      <c r="AE37" s="1882"/>
      <c r="AF37" s="1882"/>
      <c r="AG37" s="1882"/>
      <c r="AH37" s="1882"/>
      <c r="AI37" s="1882"/>
      <c r="AJ37" s="1882"/>
    </row>
    <row r="38" spans="1:36" ht="14.5" thickBot="1">
      <c r="A38" s="1882"/>
      <c r="B38" s="1882"/>
      <c r="C38" s="1882"/>
      <c r="D38" s="1882"/>
      <c r="E38" s="1882"/>
      <c r="F38" s="1882"/>
      <c r="G38" s="1882"/>
      <c r="H38" s="1882"/>
      <c r="I38" s="1882"/>
      <c r="J38" s="1882"/>
      <c r="K38" s="1882"/>
      <c r="L38" s="1882"/>
      <c r="M38" s="1882"/>
      <c r="O38" s="1882"/>
      <c r="P38" s="1882"/>
      <c r="Q38" s="1882"/>
      <c r="R38" s="1882"/>
      <c r="S38" s="1882"/>
      <c r="U38" s="1882"/>
      <c r="V38" s="1882"/>
      <c r="W38" s="1882"/>
      <c r="X38" s="1882"/>
      <c r="Y38" s="1882"/>
      <c r="AA38" s="1882"/>
      <c r="AB38" s="1882"/>
      <c r="AC38" s="1882"/>
      <c r="AD38" s="1882"/>
      <c r="AE38" s="1882"/>
      <c r="AF38" s="1882"/>
      <c r="AG38" s="1882"/>
      <c r="AH38" s="1882"/>
      <c r="AI38" s="1882"/>
      <c r="AJ38" s="1882"/>
    </row>
    <row r="39" spans="1:36" ht="15.5" thickBot="1">
      <c r="A39" s="1882"/>
      <c r="B39" s="2886" t="s">
        <v>190</v>
      </c>
      <c r="C39" s="147"/>
      <c r="D39" s="148"/>
      <c r="E39" s="148"/>
      <c r="F39" s="148"/>
      <c r="G39" s="148"/>
      <c r="H39" s="148"/>
      <c r="I39" s="251"/>
      <c r="J39" s="1882"/>
      <c r="K39" s="1882"/>
      <c r="L39" s="1882"/>
      <c r="M39" s="1882"/>
      <c r="O39" s="1882"/>
      <c r="P39" s="1882"/>
      <c r="Q39" s="1882"/>
      <c r="R39" s="1882"/>
      <c r="S39" s="1882"/>
      <c r="U39" s="1882"/>
      <c r="V39" s="1882"/>
      <c r="W39" s="1882"/>
      <c r="X39" s="1882"/>
      <c r="Y39" s="1882"/>
      <c r="AA39" s="1882"/>
      <c r="AB39" s="1882"/>
      <c r="AC39" s="1882"/>
      <c r="AD39" s="1882"/>
      <c r="AE39" s="1882"/>
      <c r="AF39" s="1882"/>
      <c r="AG39" s="1882"/>
      <c r="AH39" s="1882"/>
      <c r="AI39" s="1882"/>
      <c r="AJ39" s="1882"/>
    </row>
    <row r="40" spans="1:36">
      <c r="A40" s="1882"/>
      <c r="B40" s="1882"/>
      <c r="C40" s="1882"/>
      <c r="D40" s="1882"/>
      <c r="E40" s="1882"/>
      <c r="F40" s="1882"/>
      <c r="G40" s="1882"/>
      <c r="H40" s="1882"/>
      <c r="I40" s="1882"/>
      <c r="J40" s="1882"/>
      <c r="K40" s="1882"/>
      <c r="L40" s="1882"/>
      <c r="M40" s="1882"/>
      <c r="O40" s="1882"/>
      <c r="P40" s="1882"/>
      <c r="Q40" s="1882"/>
      <c r="R40" s="1882"/>
      <c r="S40" s="1882"/>
      <c r="U40" s="1882"/>
      <c r="V40" s="1882"/>
      <c r="W40" s="1882"/>
      <c r="X40" s="1882"/>
      <c r="Y40" s="1882"/>
      <c r="AA40" s="1882"/>
      <c r="AB40" s="1882"/>
      <c r="AC40" s="1882"/>
      <c r="AD40" s="1882"/>
      <c r="AE40" s="1882"/>
      <c r="AF40" s="1882"/>
      <c r="AG40" s="1882"/>
      <c r="AH40" s="1882"/>
      <c r="AI40" s="1882"/>
      <c r="AJ40" s="1882"/>
    </row>
    <row r="41" spans="1:36" ht="15.5" hidden="1" thickBot="1">
      <c r="A41" s="1571"/>
      <c r="B41" s="146" t="str">
        <f ca="1" xml:space="preserve"> RIGHT(CELL("filename", $A$1), LEN(CELL("filename", $A$1)) - SEARCH("]", CELL("filename", $A$1)))&amp;" - Column definitions"</f>
        <v>3C - Column definitions</v>
      </c>
      <c r="C41" s="147"/>
      <c r="D41" s="148"/>
      <c r="E41" s="148"/>
      <c r="F41" s="148"/>
      <c r="G41" s="148"/>
      <c r="H41" s="148"/>
      <c r="I41" s="251"/>
      <c r="J41" s="1882"/>
      <c r="K41" s="1882"/>
      <c r="L41" s="1882"/>
      <c r="M41" s="1882"/>
      <c r="O41" s="1882"/>
      <c r="P41" s="1882"/>
      <c r="Q41" s="1882"/>
      <c r="R41" s="1882"/>
      <c r="S41" s="1882"/>
      <c r="U41" s="1882"/>
      <c r="V41" s="1882"/>
      <c r="W41" s="1882"/>
      <c r="X41" s="1882"/>
      <c r="Y41" s="1882"/>
      <c r="AA41" s="1882"/>
      <c r="AB41" s="1882"/>
      <c r="AC41" s="1882"/>
      <c r="AD41" s="1882"/>
      <c r="AE41" s="1882"/>
      <c r="AF41" s="1882"/>
      <c r="AG41" s="1882"/>
      <c r="AH41" s="1882"/>
      <c r="AI41" s="1882"/>
      <c r="AJ41" s="1882"/>
    </row>
    <row r="42" spans="1:36" ht="14.5" hidden="1" thickBot="1">
      <c r="A42" s="1571"/>
      <c r="B42" s="74"/>
      <c r="C42" s="155"/>
      <c r="D42" s="74"/>
      <c r="E42" s="74"/>
      <c r="F42" s="74"/>
      <c r="G42" s="1882"/>
      <c r="H42" s="1882"/>
      <c r="I42" s="1882"/>
      <c r="J42" s="1882"/>
      <c r="K42" s="1882"/>
      <c r="L42" s="1882"/>
      <c r="M42" s="1882"/>
      <c r="O42" s="1882"/>
      <c r="P42" s="1882"/>
      <c r="Q42" s="1882"/>
      <c r="R42" s="1882"/>
      <c r="S42" s="1882"/>
      <c r="U42" s="1882"/>
      <c r="V42" s="1882"/>
      <c r="W42" s="1882"/>
      <c r="X42" s="1882"/>
      <c r="Y42" s="1882"/>
      <c r="AA42" s="1882"/>
      <c r="AB42" s="1882"/>
      <c r="AC42" s="1882"/>
      <c r="AD42" s="1882"/>
      <c r="AE42" s="1882"/>
      <c r="AF42" s="1882"/>
      <c r="AG42" s="1882"/>
      <c r="AH42" s="1882"/>
      <c r="AI42" s="1882"/>
      <c r="AJ42" s="1882"/>
    </row>
    <row r="43" spans="1:36" ht="14.5" hidden="1" thickBot="1">
      <c r="A43" s="1571"/>
      <c r="B43" s="2850" t="s">
        <v>2332</v>
      </c>
      <c r="C43" s="3026" t="s">
        <v>192</v>
      </c>
      <c r="D43" s="3027"/>
      <c r="E43" s="3027"/>
      <c r="F43" s="3027"/>
      <c r="G43" s="3027"/>
      <c r="H43" s="3027"/>
      <c r="I43" s="3028"/>
      <c r="J43" s="1882"/>
      <c r="K43" s="1882"/>
      <c r="L43" s="1882"/>
      <c r="M43" s="1882"/>
      <c r="O43" s="85"/>
      <c r="P43" s="85" t="s">
        <v>193</v>
      </c>
      <c r="Q43" s="1882"/>
      <c r="R43" s="1882"/>
      <c r="S43" s="1882"/>
      <c r="U43" s="1882"/>
      <c r="V43" s="1882"/>
      <c r="W43" s="1882"/>
      <c r="X43" s="1882"/>
      <c r="Y43" s="1882"/>
      <c r="AA43" s="1882"/>
      <c r="AB43" s="1882"/>
      <c r="AC43" s="1882"/>
      <c r="AD43" s="1882"/>
      <c r="AE43" s="1882"/>
      <c r="AF43" s="1882"/>
      <c r="AG43" s="1882"/>
      <c r="AH43" s="1882"/>
      <c r="AI43" s="1882"/>
      <c r="AJ43" s="1882"/>
    </row>
    <row r="44" spans="1:36" ht="16.5" hidden="1" customHeight="1">
      <c r="A44" s="1571"/>
      <c r="B44" s="591" t="s">
        <v>2381</v>
      </c>
      <c r="C44" s="3029" t="s">
        <v>2382</v>
      </c>
      <c r="D44" s="3030"/>
      <c r="E44" s="3030"/>
      <c r="F44" s="3030"/>
      <c r="G44" s="3030"/>
      <c r="H44" s="3030"/>
      <c r="I44" s="3031"/>
      <c r="J44" s="1882"/>
      <c r="K44" s="1882"/>
      <c r="L44" s="1882"/>
      <c r="M44" s="1882"/>
      <c r="O44" s="649"/>
      <c r="P44" s="649">
        <v>1</v>
      </c>
      <c r="Q44" s="1882"/>
      <c r="R44" s="1882"/>
      <c r="S44" s="1882"/>
      <c r="U44" s="1882"/>
      <c r="V44" s="1882"/>
      <c r="W44" s="1882"/>
      <c r="X44" s="1882"/>
      <c r="Y44" s="1882"/>
      <c r="AA44" s="1882"/>
      <c r="AB44" s="1882"/>
      <c r="AC44" s="1882"/>
      <c r="AD44" s="1882"/>
      <c r="AE44" s="1882"/>
      <c r="AF44" s="1882"/>
      <c r="AG44" s="1882"/>
      <c r="AH44" s="1882"/>
      <c r="AI44" s="1882"/>
      <c r="AJ44" s="1882"/>
    </row>
    <row r="45" spans="1:36" ht="16.5" hidden="1" customHeight="1">
      <c r="A45" s="1571"/>
      <c r="B45" s="591" t="s">
        <v>2383</v>
      </c>
      <c r="C45" s="3024" t="s">
        <v>2384</v>
      </c>
      <c r="D45" s="3032"/>
      <c r="E45" s="3032"/>
      <c r="F45" s="3032"/>
      <c r="G45" s="3032"/>
      <c r="H45" s="3032"/>
      <c r="I45" s="3033"/>
      <c r="J45" s="1882"/>
      <c r="K45" s="1882"/>
      <c r="L45" s="1882"/>
      <c r="M45" s="1882"/>
      <c r="O45" s="649"/>
      <c r="P45" s="649">
        <v>1</v>
      </c>
      <c r="Q45" s="1882"/>
      <c r="R45" s="1882"/>
      <c r="S45" s="1882"/>
      <c r="U45" s="1882"/>
      <c r="V45" s="1882"/>
      <c r="W45" s="1882"/>
      <c r="X45" s="1882"/>
      <c r="Y45" s="1882"/>
      <c r="AA45" s="1882"/>
      <c r="AB45" s="1882"/>
      <c r="AC45" s="1882"/>
      <c r="AD45" s="1882"/>
      <c r="AE45" s="1882"/>
      <c r="AF45" s="1882"/>
      <c r="AG45" s="1882"/>
      <c r="AH45" s="1882"/>
      <c r="AI45" s="1882"/>
      <c r="AJ45" s="1882"/>
    </row>
    <row r="46" spans="1:36" ht="93" hidden="1" customHeight="1">
      <c r="A46" s="1571"/>
      <c r="B46" s="591" t="s">
        <v>2385</v>
      </c>
      <c r="C46" s="3029" t="s">
        <v>2386</v>
      </c>
      <c r="D46" s="3030"/>
      <c r="E46" s="3030"/>
      <c r="F46" s="3030"/>
      <c r="G46" s="3030"/>
      <c r="H46" s="3030"/>
      <c r="I46" s="3031"/>
      <c r="J46" s="1882"/>
      <c r="K46" s="1882"/>
      <c r="L46" s="1882"/>
      <c r="M46" s="1882"/>
      <c r="N46" s="583"/>
      <c r="O46" s="649"/>
      <c r="P46" s="649" t="s">
        <v>778</v>
      </c>
      <c r="Q46" s="1882"/>
      <c r="R46" s="1882"/>
      <c r="S46" s="1882"/>
      <c r="U46" s="1882"/>
      <c r="V46" s="1882"/>
      <c r="W46" s="1882"/>
      <c r="X46" s="1882"/>
      <c r="Y46" s="1882"/>
      <c r="AA46" s="1882"/>
      <c r="AB46" s="1882"/>
      <c r="AC46" s="1882"/>
      <c r="AD46" s="1882"/>
      <c r="AE46" s="1882"/>
      <c r="AF46" s="1882"/>
      <c r="AG46" s="1882"/>
      <c r="AH46" s="1882"/>
      <c r="AI46" s="1882"/>
      <c r="AJ46" s="1882"/>
    </row>
    <row r="47" spans="1:36" ht="27" hidden="1" customHeight="1">
      <c r="A47" s="1571"/>
      <c r="B47" s="592" t="s">
        <v>2387</v>
      </c>
      <c r="C47" s="3024" t="s">
        <v>2388</v>
      </c>
      <c r="D47" s="2963"/>
      <c r="E47" s="2963"/>
      <c r="F47" s="2963"/>
      <c r="G47" s="2963"/>
      <c r="H47" s="2963"/>
      <c r="I47" s="2964"/>
      <c r="J47" s="1882"/>
      <c r="K47" s="1882"/>
      <c r="L47" s="1882"/>
      <c r="M47" s="1882"/>
      <c r="N47" s="583"/>
      <c r="O47" s="649"/>
      <c r="P47" s="649" t="s">
        <v>195</v>
      </c>
      <c r="Q47" s="1882"/>
      <c r="R47" s="1882"/>
      <c r="S47" s="1882"/>
      <c r="U47" s="1882"/>
      <c r="V47" s="1882"/>
      <c r="W47" s="1882"/>
      <c r="X47" s="1882"/>
      <c r="Y47" s="1882"/>
      <c r="AA47" s="1882"/>
      <c r="AB47" s="1882"/>
      <c r="AC47" s="1882"/>
      <c r="AD47" s="1882"/>
      <c r="AE47" s="1882"/>
      <c r="AF47" s="1882"/>
      <c r="AG47" s="1882"/>
      <c r="AH47" s="1882"/>
      <c r="AI47" s="1882"/>
      <c r="AJ47" s="1882"/>
    </row>
    <row r="48" spans="1:36" ht="56.5" hidden="1" customHeight="1">
      <c r="A48" s="1571"/>
      <c r="B48" s="592" t="s">
        <v>2389</v>
      </c>
      <c r="C48" s="3024" t="s">
        <v>2390</v>
      </c>
      <c r="D48" s="2963"/>
      <c r="E48" s="2963"/>
      <c r="F48" s="2963"/>
      <c r="G48" s="2963"/>
      <c r="H48" s="2963"/>
      <c r="I48" s="2964"/>
      <c r="J48" s="1882"/>
      <c r="K48" s="1882"/>
      <c r="L48" s="1882"/>
      <c r="M48" s="1882"/>
      <c r="O48" s="650"/>
      <c r="P48" s="650">
        <v>1</v>
      </c>
      <c r="Q48" s="1882"/>
      <c r="R48" s="1882"/>
      <c r="S48" s="1882"/>
      <c r="U48" s="1882"/>
      <c r="V48" s="1882"/>
      <c r="W48" s="1882"/>
      <c r="X48" s="1882"/>
      <c r="Y48" s="1882"/>
      <c r="AA48" s="1882"/>
      <c r="AB48" s="1882"/>
      <c r="AC48" s="1882"/>
      <c r="AD48" s="1882"/>
      <c r="AE48" s="1882"/>
      <c r="AF48" s="1882"/>
      <c r="AG48" s="1882"/>
      <c r="AH48" s="1882"/>
      <c r="AI48" s="1882"/>
      <c r="AJ48" s="1882"/>
    </row>
    <row r="49" spans="1:16" ht="69" hidden="1" customHeight="1">
      <c r="A49" s="1571"/>
      <c r="B49" s="592" t="s">
        <v>2391</v>
      </c>
      <c r="C49" s="3024" t="s">
        <v>2392</v>
      </c>
      <c r="D49" s="2963"/>
      <c r="E49" s="2963"/>
      <c r="F49" s="2963"/>
      <c r="G49" s="2963"/>
      <c r="H49" s="2963"/>
      <c r="I49" s="2964"/>
      <c r="J49" s="1882"/>
      <c r="K49" s="1882"/>
      <c r="L49" s="1882"/>
      <c r="M49" s="1882"/>
      <c r="O49" s="649"/>
      <c r="P49" s="649">
        <v>1</v>
      </c>
    </row>
    <row r="50" spans="1:16" ht="41.25" hidden="1" customHeight="1" thickBot="1">
      <c r="A50" s="1571"/>
      <c r="B50" s="593" t="s">
        <v>2393</v>
      </c>
      <c r="C50" s="3025" t="s">
        <v>2394</v>
      </c>
      <c r="D50" s="2969"/>
      <c r="E50" s="2969"/>
      <c r="F50" s="2969"/>
      <c r="G50" s="2969"/>
      <c r="H50" s="2969"/>
      <c r="I50" s="2970"/>
      <c r="J50" s="1882"/>
      <c r="K50" s="1882"/>
      <c r="L50" s="1882"/>
      <c r="M50" s="1882"/>
      <c r="N50" s="583"/>
      <c r="O50" s="649"/>
      <c r="P50" s="649" t="s">
        <v>778</v>
      </c>
    </row>
    <row r="51" spans="1:16" hidden="1">
      <c r="A51" s="1571"/>
      <c r="B51" s="1882"/>
      <c r="C51" s="1882"/>
      <c r="D51" s="1882"/>
      <c r="E51" s="1882"/>
      <c r="F51" s="1882"/>
      <c r="G51" s="1882"/>
      <c r="H51" s="1882"/>
      <c r="I51" s="1882"/>
      <c r="J51" s="1882"/>
      <c r="K51" s="1882"/>
      <c r="L51" s="1882"/>
      <c r="M51" s="1882"/>
      <c r="O51" s="1882"/>
      <c r="P51" s="1882"/>
    </row>
  </sheetData>
  <sheetProtection algorithmName="SHA-512" hashValue="90OAEduEAnO9E2mE6vEMFo+5yPRhMO32XSsAylfd7wxYayu0OlYtlCAXG1OO01uOpvODZB7bgch7eQ+FSIm+DA==" saltValue="0jevdI5/SgUna16Mln+5rw==" spinCount="100000" sheet="1" objects="1" scenarios="1"/>
  <mergeCells count="8">
    <mergeCell ref="C49:I49"/>
    <mergeCell ref="C50:I50"/>
    <mergeCell ref="C43:I43"/>
    <mergeCell ref="C46:I46"/>
    <mergeCell ref="C47:I47"/>
    <mergeCell ref="C48:I48"/>
    <mergeCell ref="C44:I44"/>
    <mergeCell ref="C45:I45"/>
  </mergeCells>
  <conditionalFormatting sqref="L5:L29">
    <cfRule type="cellIs" dxfId="334" priority="2" operator="equal">
      <formula>0</formula>
    </cfRule>
  </conditionalFormatting>
  <conditionalFormatting sqref="K5:K29">
    <cfRule type="cellIs" dxfId="33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XFC37"/>
  <sheetViews>
    <sheetView workbookViewId="0">
      <selection activeCell="F14" sqref="B1:F14"/>
    </sheetView>
  </sheetViews>
  <sheetFormatPr defaultColWidth="0" defaultRowHeight="14" zeroHeight="1"/>
  <cols>
    <col min="1" max="1" width="1.25" customWidth="1"/>
    <col min="2" max="2" width="5" customWidth="1"/>
    <col min="3" max="3" width="34.58203125" customWidth="1"/>
    <col min="4" max="5" width="5.08203125" customWidth="1"/>
    <col min="6" max="6" width="11.08203125" customWidth="1"/>
    <col min="7" max="7" width="3" customWidth="1"/>
    <col min="8" max="8" width="27.33203125" customWidth="1"/>
    <col min="9" max="9" width="24" customWidth="1"/>
    <col min="10" max="10" width="1.58203125" customWidth="1"/>
    <col min="11" max="11" width="1.58203125" style="569" hidden="1" customWidth="1"/>
    <col min="12" max="12" width="14.58203125" hidden="1" customWidth="1"/>
    <col min="13" max="13" width="1.58203125" style="569" hidden="1" customWidth="1"/>
    <col min="14" max="16" width="21.5" hidden="1" customWidth="1"/>
    <col min="17" max="17" width="1.58203125" style="569" hidden="1" customWidth="1"/>
    <col min="18" max="25" width="9" hidden="1" customWidth="1"/>
    <col min="26" max="26" width="9" customWidth="1"/>
    <col min="27" max="27" width="5" customWidth="1"/>
    <col min="28" max="28" width="34.58203125" customWidth="1"/>
    <col min="29" max="30" width="5.08203125" customWidth="1"/>
    <col min="31" max="31" width="14" customWidth="1"/>
    <col min="32" max="32" width="0.58203125" customWidth="1"/>
    <col min="33" max="16383" width="9" hidden="1"/>
    <col min="16384" max="16384" width="0.33203125" customWidth="1"/>
  </cols>
  <sheetData>
    <row r="1" spans="2:31" ht="20">
      <c r="B1" s="66" t="s">
        <v>2395</v>
      </c>
      <c r="C1" s="66"/>
      <c r="D1" s="67" t="str">
        <f>Validation!B3</f>
        <v>Bristol Water</v>
      </c>
      <c r="E1" s="66"/>
      <c r="F1" s="66"/>
      <c r="G1" s="66"/>
      <c r="H1" s="69"/>
      <c r="I1" s="69" t="s">
        <v>32</v>
      </c>
      <c r="J1" s="1882"/>
      <c r="L1" s="1882"/>
      <c r="N1" s="1882"/>
      <c r="O1" s="1882"/>
      <c r="P1" s="1882"/>
      <c r="R1" s="1882"/>
      <c r="S1" s="1882"/>
      <c r="T1" s="1882"/>
      <c r="U1" s="1882"/>
      <c r="V1" s="1882"/>
      <c r="W1" s="1882"/>
      <c r="X1" s="1882"/>
      <c r="Y1" s="1882"/>
      <c r="Z1" s="1882"/>
      <c r="AA1" s="66" t="s">
        <v>33</v>
      </c>
      <c r="AB1" s="66"/>
      <c r="AC1" s="67"/>
      <c r="AD1" s="66"/>
      <c r="AE1" s="66"/>
    </row>
    <row r="2" spans="2:31">
      <c r="B2" s="73" t="s">
        <v>18</v>
      </c>
      <c r="C2" s="1882"/>
      <c r="D2" s="1882"/>
      <c r="E2" s="1882"/>
      <c r="F2" s="1882"/>
      <c r="G2" s="1882"/>
      <c r="H2" s="1882"/>
      <c r="I2" s="1882"/>
      <c r="J2" s="1882"/>
      <c r="L2" s="571" t="s">
        <v>45</v>
      </c>
      <c r="M2" s="572"/>
      <c r="N2" s="573" t="s">
        <v>2396</v>
      </c>
      <c r="O2" s="573"/>
      <c r="P2" s="574"/>
      <c r="Q2" s="572"/>
      <c r="R2" s="574"/>
      <c r="S2" s="574"/>
      <c r="T2" s="1882"/>
      <c r="U2" s="1882"/>
      <c r="V2" s="1882"/>
      <c r="W2" s="1882"/>
      <c r="X2" s="1882"/>
      <c r="Y2" s="1882"/>
      <c r="Z2" s="1882"/>
      <c r="AA2" s="73" t="str">
        <f>+B2</f>
        <v>For the 12 months ended 31 March 2020</v>
      </c>
      <c r="AB2" s="483"/>
      <c r="AC2" s="483"/>
      <c r="AD2" s="483"/>
      <c r="AE2" s="483"/>
    </row>
    <row r="3" spans="2:31" ht="14.5" thickBot="1">
      <c r="B3" s="1882"/>
      <c r="C3" s="1882"/>
      <c r="D3" s="1882"/>
      <c r="E3" s="1882"/>
      <c r="F3" s="1882"/>
      <c r="G3" s="1882"/>
      <c r="H3" s="1882"/>
      <c r="I3" s="1882"/>
      <c r="J3" s="1882"/>
      <c r="L3" s="164" t="s">
        <v>2397</v>
      </c>
      <c r="M3" s="572"/>
      <c r="N3" s="574" t="s">
        <v>2398</v>
      </c>
      <c r="O3" s="574" t="s">
        <v>2399</v>
      </c>
      <c r="P3" s="574" t="s">
        <v>709</v>
      </c>
      <c r="Q3" s="572"/>
      <c r="R3" s="574"/>
      <c r="S3" s="574"/>
      <c r="T3" s="1882"/>
      <c r="U3" s="1882"/>
      <c r="V3" s="1882"/>
      <c r="W3" s="1882"/>
      <c r="X3" s="1882"/>
      <c r="Y3" s="1882"/>
      <c r="Z3" s="1882"/>
      <c r="AA3" s="483"/>
      <c r="AB3" s="483"/>
      <c r="AC3" s="483"/>
      <c r="AD3" s="483"/>
      <c r="AE3" s="483"/>
    </row>
    <row r="4" spans="2:31" s="567" customFormat="1" ht="14.5" thickBot="1">
      <c r="B4" s="2992" t="s">
        <v>34</v>
      </c>
      <c r="C4" s="2993"/>
      <c r="D4" s="376" t="s">
        <v>36</v>
      </c>
      <c r="E4" s="297" t="s">
        <v>37</v>
      </c>
      <c r="F4" s="377" t="s">
        <v>2400</v>
      </c>
      <c r="G4" s="568"/>
      <c r="H4" s="261" t="s">
        <v>2401</v>
      </c>
      <c r="I4" s="377" t="s">
        <v>41</v>
      </c>
      <c r="K4" s="570"/>
      <c r="L4" s="575"/>
      <c r="M4" s="576"/>
      <c r="N4" s="577"/>
      <c r="O4" s="577"/>
      <c r="P4" s="577"/>
      <c r="Q4" s="576"/>
      <c r="R4" s="577"/>
      <c r="S4" s="577"/>
      <c r="AA4" s="2992" t="s">
        <v>34</v>
      </c>
      <c r="AB4" s="2993"/>
      <c r="AC4" s="376" t="s">
        <v>36</v>
      </c>
      <c r="AD4" s="297" t="s">
        <v>37</v>
      </c>
      <c r="AE4" s="377" t="s">
        <v>2400</v>
      </c>
    </row>
    <row r="5" spans="2:31" ht="14.5" thickBot="1">
      <c r="B5" s="1882"/>
      <c r="C5" s="1882"/>
      <c r="D5" s="1882"/>
      <c r="E5" s="1882"/>
      <c r="F5" s="1882"/>
      <c r="G5" s="1882"/>
      <c r="H5" s="1882"/>
      <c r="I5" s="1882"/>
      <c r="J5" s="1882"/>
      <c r="L5" s="574"/>
      <c r="M5" s="578"/>
      <c r="N5" s="574"/>
      <c r="O5" s="574"/>
      <c r="P5" s="574"/>
      <c r="Q5" s="578"/>
      <c r="R5" s="574"/>
      <c r="S5" s="574"/>
      <c r="T5" s="1882"/>
      <c r="U5" s="1882"/>
      <c r="V5" s="1882"/>
      <c r="W5" s="1882"/>
      <c r="X5" s="1882"/>
      <c r="Y5" s="1882"/>
      <c r="Z5" s="1882"/>
      <c r="AA5" s="483"/>
      <c r="AB5" s="483"/>
      <c r="AC5" s="483"/>
      <c r="AD5" s="483"/>
      <c r="AE5" s="483"/>
    </row>
    <row r="6" spans="2:31" ht="14.5" thickBot="1">
      <c r="B6" s="584" t="s">
        <v>153</v>
      </c>
      <c r="C6" s="561" t="s">
        <v>2402</v>
      </c>
      <c r="D6" s="1882"/>
      <c r="E6" s="1882"/>
      <c r="F6" s="1882"/>
      <c r="G6" s="1882"/>
      <c r="H6" s="1882"/>
      <c r="I6" s="1882"/>
      <c r="J6" s="1882"/>
      <c r="L6" s="579"/>
      <c r="M6" s="578"/>
      <c r="N6" s="580" t="s">
        <v>2403</v>
      </c>
      <c r="O6" s="580" t="s">
        <v>2404</v>
      </c>
      <c r="P6" s="579" t="s">
        <v>2405</v>
      </c>
      <c r="Q6" s="578"/>
      <c r="R6" s="574"/>
      <c r="S6" s="574"/>
      <c r="T6" s="1882"/>
      <c r="U6" s="1882"/>
      <c r="V6" s="1882"/>
      <c r="W6" s="1882"/>
      <c r="X6" s="1882"/>
      <c r="Y6" s="1882"/>
      <c r="Z6" s="1882"/>
      <c r="AA6" s="584" t="s">
        <v>153</v>
      </c>
      <c r="AB6" s="561" t="s">
        <v>2402</v>
      </c>
      <c r="AC6" s="483"/>
      <c r="AD6" s="483"/>
      <c r="AE6" s="483"/>
    </row>
    <row r="7" spans="2:31">
      <c r="B7" s="288" t="s">
        <v>2406</v>
      </c>
      <c r="C7" s="1558" t="s">
        <v>2407</v>
      </c>
      <c r="D7" s="1560" t="s">
        <v>764</v>
      </c>
      <c r="E7" s="1714">
        <v>2</v>
      </c>
      <c r="F7" s="1716">
        <v>4.29</v>
      </c>
      <c r="G7" s="1882"/>
      <c r="H7" s="1562">
        <f>IF(SUM(N7&gt;0),$N$3,0)</f>
        <v>0</v>
      </c>
      <c r="I7" s="1562">
        <f>IF(L7&gt;0, $L$3, 0)</f>
        <v>0</v>
      </c>
      <c r="J7" s="1882"/>
      <c r="L7" s="581">
        <f>IF(ISBLANK(F7), 1, 0)</f>
        <v>0</v>
      </c>
      <c r="M7" s="578"/>
      <c r="N7" s="582">
        <f>IF(AND(F7&gt;=1, F7&lt;=5), 0, 1)</f>
        <v>0</v>
      </c>
      <c r="O7" s="731"/>
      <c r="P7" s="579"/>
      <c r="Q7" s="578"/>
      <c r="R7" s="574"/>
      <c r="S7" s="574"/>
      <c r="T7" s="1882"/>
      <c r="U7" s="1882"/>
      <c r="V7" s="1882"/>
      <c r="W7" s="1882"/>
      <c r="X7" s="1882"/>
      <c r="Y7" s="1882"/>
      <c r="Z7" s="1882"/>
      <c r="AA7" s="288" t="s">
        <v>2406</v>
      </c>
      <c r="AB7" s="2487" t="s">
        <v>2407</v>
      </c>
      <c r="AC7" s="2488" t="s">
        <v>764</v>
      </c>
      <c r="AD7" s="2489">
        <v>2</v>
      </c>
      <c r="AE7" s="2490" t="s">
        <v>2408</v>
      </c>
    </row>
    <row r="8" spans="2:31">
      <c r="B8" s="289" t="s">
        <v>2409</v>
      </c>
      <c r="C8" s="1559" t="s">
        <v>2410</v>
      </c>
      <c r="D8" s="1561" t="s">
        <v>764</v>
      </c>
      <c r="E8" s="1715">
        <v>2</v>
      </c>
      <c r="F8" s="1717">
        <v>4.34</v>
      </c>
      <c r="G8" s="1882"/>
      <c r="H8" s="1562">
        <f t="shared" ref="H8:H9" si="0">IF(SUM(N8&gt;0),$N$3,0)</f>
        <v>0</v>
      </c>
      <c r="I8" s="1562">
        <f t="shared" ref="I8:I10" si="1">IF(L8&gt;0, $L$3, 0)</f>
        <v>0</v>
      </c>
      <c r="J8" s="1882"/>
      <c r="L8" s="581">
        <f t="shared" ref="L8:L10" si="2">IF(ISBLANK(F8), 1, 0)</f>
        <v>0</v>
      </c>
      <c r="M8" s="578"/>
      <c r="N8" s="582">
        <f t="shared" ref="N8:N10" si="3">IF(AND(F8&gt;=1, F8&lt;=5), 0, 1)</f>
        <v>0</v>
      </c>
      <c r="O8" s="731"/>
      <c r="P8" s="579"/>
      <c r="Q8" s="578"/>
      <c r="R8" s="574"/>
      <c r="S8" s="574"/>
      <c r="T8" s="1882"/>
      <c r="U8" s="1882"/>
      <c r="V8" s="1882"/>
      <c r="W8" s="1882"/>
      <c r="X8" s="1882"/>
      <c r="Y8" s="1882"/>
      <c r="Z8" s="1882"/>
      <c r="AA8" s="289" t="s">
        <v>2409</v>
      </c>
      <c r="AB8" s="2491" t="s">
        <v>2410</v>
      </c>
      <c r="AC8" s="2492" t="s">
        <v>764</v>
      </c>
      <c r="AD8" s="2493">
        <v>2</v>
      </c>
      <c r="AE8" s="2494" t="s">
        <v>2411</v>
      </c>
    </row>
    <row r="9" spans="2:31">
      <c r="B9" s="289" t="s">
        <v>2412</v>
      </c>
      <c r="C9" s="1559" t="s">
        <v>2413</v>
      </c>
      <c r="D9" s="1561" t="s">
        <v>764</v>
      </c>
      <c r="E9" s="1715">
        <v>2</v>
      </c>
      <c r="F9" s="1717">
        <v>4.37</v>
      </c>
      <c r="G9" s="1882"/>
      <c r="H9" s="1562">
        <f t="shared" si="0"/>
        <v>0</v>
      </c>
      <c r="I9" s="1562">
        <f t="shared" si="1"/>
        <v>0</v>
      </c>
      <c r="J9" s="1882"/>
      <c r="L9" s="581">
        <f t="shared" si="2"/>
        <v>0</v>
      </c>
      <c r="M9" s="578"/>
      <c r="N9" s="582">
        <f t="shared" si="3"/>
        <v>0</v>
      </c>
      <c r="O9" s="731"/>
      <c r="P9" s="579"/>
      <c r="Q9" s="578"/>
      <c r="R9" s="574"/>
      <c r="S9" s="574"/>
      <c r="T9" s="1882"/>
      <c r="U9" s="1882"/>
      <c r="V9" s="1882"/>
      <c r="W9" s="1882"/>
      <c r="X9" s="1882"/>
      <c r="Y9" s="1882"/>
      <c r="Z9" s="1882"/>
      <c r="AA9" s="289" t="s">
        <v>2412</v>
      </c>
      <c r="AB9" s="2491" t="s">
        <v>2413</v>
      </c>
      <c r="AC9" s="2492" t="s">
        <v>764</v>
      </c>
      <c r="AD9" s="2493">
        <v>2</v>
      </c>
      <c r="AE9" s="2494" t="s">
        <v>2414</v>
      </c>
    </row>
    <row r="10" spans="2:31">
      <c r="B10" s="289" t="s">
        <v>2415</v>
      </c>
      <c r="C10" s="1559" t="s">
        <v>2416</v>
      </c>
      <c r="D10" s="1561" t="s">
        <v>764</v>
      </c>
      <c r="E10" s="1715">
        <v>2</v>
      </c>
      <c r="F10" s="1717">
        <v>4.33</v>
      </c>
      <c r="G10" s="1882"/>
      <c r="H10" s="1562">
        <f>IF(SUM(N10&gt;0),$N$3,0)</f>
        <v>0</v>
      </c>
      <c r="I10" s="1562">
        <f t="shared" si="1"/>
        <v>0</v>
      </c>
      <c r="J10" s="1882"/>
      <c r="L10" s="581">
        <f t="shared" si="2"/>
        <v>0</v>
      </c>
      <c r="M10" s="578"/>
      <c r="N10" s="582">
        <f t="shared" si="3"/>
        <v>0</v>
      </c>
      <c r="O10" s="731"/>
      <c r="P10" s="579"/>
      <c r="Q10" s="578"/>
      <c r="R10" s="574"/>
      <c r="S10" s="574"/>
      <c r="T10" s="1882"/>
      <c r="U10" s="1882"/>
      <c r="V10" s="1882"/>
      <c r="W10" s="1882"/>
      <c r="X10" s="1882"/>
      <c r="Y10" s="1882"/>
      <c r="Z10" s="1882"/>
      <c r="AA10" s="289" t="s">
        <v>2415</v>
      </c>
      <c r="AB10" s="2491" t="s">
        <v>2416</v>
      </c>
      <c r="AC10" s="2492" t="s">
        <v>764</v>
      </c>
      <c r="AD10" s="2493">
        <v>2</v>
      </c>
      <c r="AE10" s="2494" t="s">
        <v>2417</v>
      </c>
    </row>
    <row r="11" spans="2:31" ht="14.5" thickBot="1">
      <c r="B11" s="2061" t="s">
        <v>2418</v>
      </c>
      <c r="C11" s="1559" t="s">
        <v>2419</v>
      </c>
      <c r="D11" s="1561" t="s">
        <v>764</v>
      </c>
      <c r="E11" s="1715">
        <v>2</v>
      </c>
      <c r="F11" s="1717">
        <v>62.51</v>
      </c>
      <c r="G11" s="1882"/>
      <c r="H11" s="1562">
        <f>IF(SUM(O11&gt;0),$O$3,0)</f>
        <v>0</v>
      </c>
      <c r="I11" s="1562">
        <f>IF(L11&gt;0, $L$3, 0)</f>
        <v>0</v>
      </c>
      <c r="J11" s="1882"/>
      <c r="L11" s="581">
        <f t="shared" ref="L11" si="4">IF(ISBLANK(F11), 1, 0)</f>
        <v>0</v>
      </c>
      <c r="M11" s="578"/>
      <c r="N11" s="580"/>
      <c r="O11" s="582">
        <f>IF(AND(F11&gt;=1, F11&lt;=75), 0, 1)</f>
        <v>0</v>
      </c>
      <c r="P11" s="579"/>
      <c r="Q11" s="578"/>
      <c r="R11" s="574"/>
      <c r="S11" s="574"/>
      <c r="T11" s="1882"/>
      <c r="U11" s="1882"/>
      <c r="V11" s="1882"/>
      <c r="W11" s="1882"/>
      <c r="X11" s="1882"/>
      <c r="Y11" s="1882"/>
      <c r="Z11" s="1882"/>
      <c r="AA11" s="290" t="s">
        <v>2418</v>
      </c>
      <c r="AB11" s="2495" t="s">
        <v>2419</v>
      </c>
      <c r="AC11" s="2496" t="s">
        <v>764</v>
      </c>
      <c r="AD11" s="2497">
        <v>2</v>
      </c>
      <c r="AE11" s="2498" t="s">
        <v>2420</v>
      </c>
    </row>
    <row r="12" spans="2:31">
      <c r="B12" s="2053" t="s">
        <v>2421</v>
      </c>
      <c r="C12" s="2111" t="s">
        <v>2422</v>
      </c>
      <c r="D12" s="2054" t="s">
        <v>764</v>
      </c>
      <c r="E12" s="2055">
        <v>2</v>
      </c>
      <c r="F12" s="2056">
        <v>14.91</v>
      </c>
      <c r="G12" s="1882"/>
      <c r="H12" s="1562">
        <f>IF(SUM(P12)&gt;0, P3, 0)</f>
        <v>0</v>
      </c>
      <c r="I12" s="1562">
        <f t="shared" ref="I12" si="5">IF(L12&gt;0, $L$3, 0)</f>
        <v>0</v>
      </c>
      <c r="J12" s="1882"/>
      <c r="L12" s="581">
        <f t="shared" ref="L12" si="6">IF(ISBLANK(F12), 1, 0)</f>
        <v>0</v>
      </c>
      <c r="M12" s="578"/>
      <c r="N12" s="580"/>
      <c r="O12" s="580"/>
      <c r="P12" s="581">
        <f>IF(ISNUMBER(F12), IF(F12&gt;0, 0, 1), 1)</f>
        <v>0</v>
      </c>
      <c r="Q12" s="578"/>
      <c r="R12" s="574"/>
      <c r="S12" s="574"/>
      <c r="T12" s="1882"/>
      <c r="U12" s="1882"/>
      <c r="V12" s="1882"/>
      <c r="W12" s="1882"/>
      <c r="X12" s="1882"/>
      <c r="Y12" s="1882"/>
      <c r="Z12" s="1882"/>
      <c r="AA12" s="562" t="s">
        <v>2421</v>
      </c>
      <c r="AB12" s="2499" t="s">
        <v>2422</v>
      </c>
      <c r="AC12" s="2488" t="s">
        <v>764</v>
      </c>
      <c r="AD12" s="2489">
        <v>2</v>
      </c>
      <c r="AE12" s="2490" t="s">
        <v>2423</v>
      </c>
    </row>
    <row r="13" spans="2:31" ht="14.5" thickBot="1">
      <c r="B13" s="2061" t="s">
        <v>2424</v>
      </c>
      <c r="C13" s="1559" t="s">
        <v>2425</v>
      </c>
      <c r="D13" s="1561" t="s">
        <v>764</v>
      </c>
      <c r="E13" s="1715">
        <v>2</v>
      </c>
      <c r="F13" s="2062">
        <f>IF(F12&gt;75, 0, (1-((F12-0)/(75-0)))*25)</f>
        <v>20.03</v>
      </c>
      <c r="G13" s="1882"/>
      <c r="H13" s="574"/>
      <c r="I13" s="574"/>
      <c r="J13" s="1882"/>
      <c r="L13" s="574"/>
      <c r="M13" s="578"/>
      <c r="N13" s="574"/>
      <c r="O13" s="574"/>
      <c r="P13" s="574"/>
      <c r="Q13" s="578"/>
      <c r="R13" s="574"/>
      <c r="S13" s="574"/>
      <c r="T13" s="1882"/>
      <c r="U13" s="1882"/>
      <c r="V13" s="1882"/>
      <c r="W13" s="1882"/>
      <c r="X13" s="1882"/>
      <c r="Y13" s="1882"/>
      <c r="Z13" s="1882"/>
      <c r="AA13" s="563" t="s">
        <v>2424</v>
      </c>
      <c r="AB13" s="2500" t="s">
        <v>2425</v>
      </c>
      <c r="AC13" s="2496" t="s">
        <v>764</v>
      </c>
      <c r="AD13" s="2497">
        <v>2</v>
      </c>
      <c r="AE13" s="585" t="s">
        <v>2426</v>
      </c>
    </row>
    <row r="14" spans="2:31" ht="14.5" thickBot="1">
      <c r="B14" s="2110" t="s">
        <v>2427</v>
      </c>
      <c r="C14" s="2057" t="s">
        <v>2428</v>
      </c>
      <c r="D14" s="2058" t="s">
        <v>764</v>
      </c>
      <c r="E14" s="2059">
        <v>2</v>
      </c>
      <c r="F14" s="2060">
        <f>F13+F11</f>
        <v>82.539999999999992</v>
      </c>
      <c r="G14" s="1882"/>
      <c r="H14" s="574"/>
      <c r="I14" s="574"/>
      <c r="J14" s="1882"/>
      <c r="L14" s="1882"/>
      <c r="N14" s="1882"/>
      <c r="O14" s="1882"/>
      <c r="P14" s="1882"/>
      <c r="R14" s="1882"/>
      <c r="S14" s="1882"/>
      <c r="T14" s="1882"/>
      <c r="U14" s="1882"/>
      <c r="V14" s="1882"/>
      <c r="W14" s="1882"/>
      <c r="X14" s="1882"/>
      <c r="Y14" s="1882"/>
      <c r="Z14" s="1882"/>
      <c r="AA14" s="338" t="s">
        <v>2427</v>
      </c>
      <c r="AB14" s="2501" t="s">
        <v>2428</v>
      </c>
      <c r="AC14" s="2502" t="s">
        <v>764</v>
      </c>
      <c r="AD14" s="2503">
        <v>2</v>
      </c>
      <c r="AE14" s="832" t="s">
        <v>2429</v>
      </c>
    </row>
    <row r="15" spans="2:31">
      <c r="B15" s="1882"/>
      <c r="C15" s="1882"/>
      <c r="D15" s="1882"/>
      <c r="E15" s="1882"/>
      <c r="F15" s="1882"/>
      <c r="G15" s="1882"/>
      <c r="H15" s="1882"/>
      <c r="I15" s="1882"/>
      <c r="J15" s="1882"/>
      <c r="L15" s="1882"/>
      <c r="N15" s="1882"/>
      <c r="O15" s="1882"/>
      <c r="P15" s="1882"/>
      <c r="R15" s="1882"/>
      <c r="S15" s="1882"/>
      <c r="T15" s="1882"/>
      <c r="U15" s="1882"/>
      <c r="V15" s="1882"/>
      <c r="W15" s="1882"/>
      <c r="X15" s="1882"/>
      <c r="Y15" s="1882"/>
      <c r="Z15" s="1882"/>
      <c r="AA15" s="483"/>
      <c r="AB15" s="483"/>
      <c r="AC15" s="483"/>
      <c r="AD15" s="483"/>
      <c r="AE15" s="483"/>
    </row>
    <row r="16" spans="2:31">
      <c r="B16" s="2823" t="s">
        <v>241</v>
      </c>
      <c r="C16" s="2823"/>
      <c r="D16" s="1882"/>
      <c r="E16" s="1882"/>
      <c r="F16" s="1882"/>
      <c r="G16" s="1882"/>
      <c r="H16" s="1882"/>
      <c r="I16" s="1882"/>
      <c r="J16" s="1882"/>
      <c r="L16" s="1882"/>
      <c r="N16" s="1882"/>
      <c r="O16" s="1882"/>
      <c r="P16" s="1882"/>
      <c r="R16" s="1882"/>
      <c r="S16" s="1882"/>
      <c r="T16" s="1882"/>
      <c r="U16" s="1882"/>
      <c r="V16" s="1882"/>
      <c r="W16" s="1882"/>
      <c r="X16" s="1882"/>
      <c r="Y16" s="1882"/>
      <c r="Z16" s="1882"/>
      <c r="AA16" s="483"/>
      <c r="AB16" s="483"/>
      <c r="AC16" s="483"/>
      <c r="AD16" s="483"/>
      <c r="AE16" s="483"/>
    </row>
    <row r="17" spans="1:12" ht="11.25" customHeight="1">
      <c r="A17" s="1882"/>
      <c r="B17" s="141"/>
      <c r="C17" s="141"/>
      <c r="D17" s="1882"/>
      <c r="E17" s="1882"/>
      <c r="F17" s="1882"/>
      <c r="G17" s="1882"/>
      <c r="H17" s="1882"/>
      <c r="I17" s="1882"/>
      <c r="J17" s="1882"/>
      <c r="L17" s="1882"/>
    </row>
    <row r="18" spans="1:12">
      <c r="A18" s="1882"/>
      <c r="B18" s="25"/>
      <c r="C18" s="143" t="s">
        <v>188</v>
      </c>
      <c r="D18" s="1882"/>
      <c r="E18" s="1882"/>
      <c r="F18" s="1882"/>
      <c r="G18" s="1882"/>
      <c r="H18" s="1882"/>
      <c r="I18" s="1882"/>
      <c r="J18" s="1882"/>
      <c r="L18" s="1882"/>
    </row>
    <row r="19" spans="1:12" ht="11.25" customHeight="1">
      <c r="A19" s="1882"/>
      <c r="B19" s="141"/>
      <c r="C19" s="142"/>
      <c r="D19" s="1882"/>
      <c r="E19" s="1882"/>
      <c r="F19" s="1882"/>
      <c r="G19" s="1882"/>
      <c r="H19" s="1882"/>
      <c r="I19" s="1882"/>
      <c r="J19" s="1882"/>
      <c r="L19" s="1882"/>
    </row>
    <row r="20" spans="1:12">
      <c r="A20" s="1882"/>
      <c r="B20" s="144"/>
      <c r="C20" s="143" t="s">
        <v>189</v>
      </c>
      <c r="D20" s="1882"/>
      <c r="E20" s="1882"/>
      <c r="F20" s="1882"/>
      <c r="G20" s="1882"/>
      <c r="H20" s="1882"/>
      <c r="I20" s="1882"/>
      <c r="J20" s="1882"/>
      <c r="L20" s="1882"/>
    </row>
    <row r="21" spans="1:12">
      <c r="A21" s="1882"/>
      <c r="B21" s="145"/>
      <c r="C21" s="143"/>
      <c r="D21" s="1882"/>
      <c r="E21" s="1882"/>
      <c r="F21" s="1882"/>
      <c r="G21" s="1882"/>
      <c r="H21" s="1882"/>
      <c r="I21" s="1882"/>
      <c r="J21" s="1882"/>
      <c r="L21" s="1882"/>
    </row>
    <row r="22" spans="1:12" ht="14.5" thickBot="1">
      <c r="A22" s="1882"/>
      <c r="B22" s="1882"/>
      <c r="C22" s="1882"/>
      <c r="D22" s="1882"/>
      <c r="E22" s="1882"/>
      <c r="F22" s="1882"/>
      <c r="G22" s="1882"/>
      <c r="H22" s="1882"/>
      <c r="I22" s="1882"/>
      <c r="J22" s="1882"/>
      <c r="L22" s="1882"/>
    </row>
    <row r="23" spans="1:12" ht="66.650000000000006" customHeight="1">
      <c r="A23" s="1882"/>
      <c r="B23" s="3034" t="s">
        <v>2430</v>
      </c>
      <c r="C23" s="3035"/>
      <c r="D23" s="3035"/>
      <c r="E23" s="3035"/>
      <c r="F23" s="3036"/>
      <c r="G23" s="1882"/>
      <c r="H23" s="1882"/>
      <c r="I23" s="1882"/>
      <c r="J23" s="1882"/>
      <c r="L23" s="1293" t="s">
        <v>778</v>
      </c>
    </row>
    <row r="24" spans="1:12">
      <c r="A24" s="1882"/>
      <c r="B24" s="1882"/>
      <c r="C24" s="1882"/>
      <c r="D24" s="1882"/>
      <c r="E24" s="1882"/>
      <c r="F24" s="1882"/>
      <c r="G24" s="1882"/>
      <c r="H24" s="1882"/>
      <c r="I24" s="1882"/>
      <c r="J24" s="1882"/>
      <c r="L24" s="1882"/>
    </row>
    <row r="25" spans="1:12" ht="15.5" hidden="1" thickBot="1">
      <c r="A25" s="1571"/>
      <c r="B25" s="146" t="str">
        <f ca="1" xml:space="preserve"> RIGHT(CELL("filename", $A$1), LEN(CELL("filename", $A$1)) - SEARCH("]", CELL("filename", $A$1)))&amp;" - Line definitions"</f>
        <v>3D - Line definitions</v>
      </c>
      <c r="C25" s="147"/>
      <c r="D25" s="148"/>
      <c r="E25" s="148"/>
      <c r="F25" s="251"/>
      <c r="G25" s="1882"/>
      <c r="H25" s="1882"/>
      <c r="I25" s="1882"/>
      <c r="J25" s="1882"/>
      <c r="L25" s="1882"/>
    </row>
    <row r="26" spans="1:12" ht="14.5" hidden="1" thickBot="1">
      <c r="A26" s="1571"/>
      <c r="B26" s="74"/>
      <c r="C26" s="155"/>
      <c r="D26" s="74"/>
      <c r="E26" s="74"/>
      <c r="F26" s="74"/>
      <c r="G26" s="1882"/>
      <c r="H26" s="1882"/>
      <c r="I26" s="1882"/>
      <c r="J26" s="1882"/>
      <c r="L26" s="1882"/>
    </row>
    <row r="27" spans="1:12" ht="14.5" hidden="1" thickBot="1">
      <c r="A27" s="1571"/>
      <c r="B27" s="2856" t="s">
        <v>191</v>
      </c>
      <c r="C27" s="2852" t="s">
        <v>192</v>
      </c>
      <c r="D27" s="322"/>
      <c r="E27" s="322"/>
      <c r="F27" s="564"/>
      <c r="G27" s="1882"/>
      <c r="H27" s="1882"/>
      <c r="I27" s="1882"/>
      <c r="J27" s="1882"/>
      <c r="L27" s="85" t="s">
        <v>193</v>
      </c>
    </row>
    <row r="28" spans="1:12" ht="13.5" hidden="1" customHeight="1">
      <c r="A28" s="1571"/>
      <c r="B28" s="565" t="s">
        <v>2406</v>
      </c>
      <c r="C28" s="2965" t="s">
        <v>2431</v>
      </c>
      <c r="D28" s="2966"/>
      <c r="E28" s="2966"/>
      <c r="F28" s="2967"/>
      <c r="G28" s="1882"/>
      <c r="H28" s="1882"/>
      <c r="I28" s="1882"/>
      <c r="J28" s="1882"/>
      <c r="L28" s="652">
        <v>1</v>
      </c>
    </row>
    <row r="29" spans="1:12" ht="13.5" hidden="1" customHeight="1">
      <c r="A29" s="1571"/>
      <c r="B29" s="565" t="s">
        <v>2409</v>
      </c>
      <c r="C29" s="2962" t="s">
        <v>2432</v>
      </c>
      <c r="D29" s="2963"/>
      <c r="E29" s="2963"/>
      <c r="F29" s="2964"/>
      <c r="G29" s="1882"/>
      <c r="H29" s="1882"/>
      <c r="I29" s="1882"/>
      <c r="J29" s="1882"/>
      <c r="L29" s="652">
        <v>1</v>
      </c>
    </row>
    <row r="30" spans="1:12" ht="13.5" hidden="1" customHeight="1">
      <c r="A30" s="1571"/>
      <c r="B30" s="565" t="s">
        <v>2412</v>
      </c>
      <c r="C30" s="2962" t="s">
        <v>2433</v>
      </c>
      <c r="D30" s="2963"/>
      <c r="E30" s="2963"/>
      <c r="F30" s="2964"/>
      <c r="G30" s="1882"/>
      <c r="H30" s="1882"/>
      <c r="I30" s="1882"/>
      <c r="J30" s="1882"/>
      <c r="L30" s="652">
        <v>1</v>
      </c>
    </row>
    <row r="31" spans="1:12" ht="14.25" hidden="1" customHeight="1">
      <c r="A31" s="1571"/>
      <c r="B31" s="565" t="s">
        <v>2415</v>
      </c>
      <c r="C31" s="2962" t="s">
        <v>2434</v>
      </c>
      <c r="D31" s="2963"/>
      <c r="E31" s="2963"/>
      <c r="F31" s="2964"/>
      <c r="G31" s="1882"/>
      <c r="H31" s="1882"/>
      <c r="I31" s="1882"/>
      <c r="J31" s="1882"/>
      <c r="L31" s="651">
        <v>1</v>
      </c>
    </row>
    <row r="32" spans="1:12" ht="108" hidden="1" customHeight="1">
      <c r="A32" s="1571"/>
      <c r="B32" s="565" t="s">
        <v>2418</v>
      </c>
      <c r="C32" s="3037" t="s">
        <v>2435</v>
      </c>
      <c r="D32" s="3038"/>
      <c r="E32" s="3038"/>
      <c r="F32" s="3039"/>
      <c r="G32" s="1882"/>
      <c r="H32" s="1882"/>
      <c r="I32" s="1882"/>
      <c r="J32" s="1882"/>
      <c r="K32" s="583"/>
      <c r="L32" s="795" t="s">
        <v>787</v>
      </c>
    </row>
    <row r="33" spans="1:12" ht="59.25" hidden="1" customHeight="1">
      <c r="A33" s="1571"/>
      <c r="B33" s="565" t="s">
        <v>2421</v>
      </c>
      <c r="C33" s="3037" t="s">
        <v>2436</v>
      </c>
      <c r="D33" s="3038"/>
      <c r="E33" s="3038"/>
      <c r="F33" s="3039"/>
      <c r="G33" s="1882"/>
      <c r="H33" s="1882"/>
      <c r="I33" s="1882"/>
      <c r="J33" s="1882"/>
      <c r="K33" s="583"/>
      <c r="L33" s="647" t="s">
        <v>2212</v>
      </c>
    </row>
    <row r="34" spans="1:12" ht="90.75" hidden="1" customHeight="1">
      <c r="A34" s="1571"/>
      <c r="B34" s="565" t="s">
        <v>2424</v>
      </c>
      <c r="C34" s="3037" t="s">
        <v>2437</v>
      </c>
      <c r="D34" s="3038"/>
      <c r="E34" s="3038"/>
      <c r="F34" s="3039"/>
      <c r="G34" s="1882"/>
      <c r="H34" s="1882"/>
      <c r="I34" s="1882"/>
      <c r="J34" s="1882"/>
      <c r="K34" s="583"/>
      <c r="L34" s="795" t="s">
        <v>782</v>
      </c>
    </row>
    <row r="35" spans="1:12" ht="27.75" hidden="1" customHeight="1" thickBot="1">
      <c r="A35" s="1571"/>
      <c r="B35" s="566" t="s">
        <v>2427</v>
      </c>
      <c r="C35" s="3040" t="s">
        <v>2438</v>
      </c>
      <c r="D35" s="3041"/>
      <c r="E35" s="3041"/>
      <c r="F35" s="3042"/>
      <c r="G35" s="1882"/>
      <c r="H35" s="1882"/>
      <c r="I35" s="1882"/>
      <c r="J35" s="1882"/>
      <c r="L35" s="796" t="s">
        <v>195</v>
      </c>
    </row>
    <row r="36" spans="1:12" hidden="1">
      <c r="A36" s="1571"/>
      <c r="B36" s="1882"/>
      <c r="C36" s="1882"/>
      <c r="D36" s="1882"/>
      <c r="E36" s="1882"/>
      <c r="F36" s="1882"/>
      <c r="G36" s="1882"/>
      <c r="H36" s="1882"/>
      <c r="I36" s="1882"/>
      <c r="J36" s="1882"/>
      <c r="L36" s="648"/>
    </row>
    <row r="37" spans="1:12" hidden="1">
      <c r="A37" s="1571"/>
      <c r="B37" s="1882"/>
      <c r="C37" s="1882"/>
      <c r="D37" s="1882"/>
      <c r="E37" s="1882"/>
      <c r="F37" s="1882"/>
      <c r="G37" s="1882"/>
      <c r="H37" s="1882"/>
      <c r="I37" s="1882"/>
      <c r="J37" s="1882"/>
      <c r="L37" s="1882"/>
    </row>
  </sheetData>
  <sheetProtection algorithmName="SHA-512" hashValue="rS53ruPiy/+Blh5mgmgFeRmj4644TF7u0LIzLhk1HePSoyYBeT0kGeQYUqJ2Tf0fZnKvtjkxTJvGnmy7iNt6kw==" saltValue="gdP34Y43qLpKtvkK8MPfxQ==" spinCount="100000" sheet="1" objects="1" scenarios="1"/>
  <mergeCells count="11">
    <mergeCell ref="C35:F35"/>
    <mergeCell ref="C28:F28"/>
    <mergeCell ref="C29:F29"/>
    <mergeCell ref="C30:F30"/>
    <mergeCell ref="C31:F31"/>
    <mergeCell ref="C32:F32"/>
    <mergeCell ref="AA4:AB4"/>
    <mergeCell ref="B4:C4"/>
    <mergeCell ref="B23:F23"/>
    <mergeCell ref="C33:F33"/>
    <mergeCell ref="C34:F34"/>
  </mergeCells>
  <conditionalFormatting sqref="I7:I10 I12">
    <cfRule type="cellIs" dxfId="332" priority="6" operator="equal">
      <formula>0</formula>
    </cfRule>
  </conditionalFormatting>
  <conditionalFormatting sqref="H12">
    <cfRule type="cellIs" dxfId="331" priority="4" operator="equal">
      <formula>0</formula>
    </cfRule>
  </conditionalFormatting>
  <conditionalFormatting sqref="H7:H10">
    <cfRule type="cellIs" dxfId="330" priority="5" operator="equal">
      <formula>0</formula>
    </cfRule>
  </conditionalFormatting>
  <conditionalFormatting sqref="I11">
    <cfRule type="cellIs" dxfId="329" priority="3" operator="equal">
      <formula>0</formula>
    </cfRule>
  </conditionalFormatting>
  <conditionalFormatting sqref="H11">
    <cfRule type="cellIs" dxfId="32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6"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003479"/>
    <pageSetUpPr fitToPage="1"/>
  </sheetPr>
  <dimension ref="A1:L35"/>
  <sheetViews>
    <sheetView topLeftCell="A1048576" workbookViewId="0"/>
  </sheetViews>
  <sheetFormatPr defaultColWidth="0" defaultRowHeight="14.25" customHeight="1" zeroHeight="1"/>
  <cols>
    <col min="1" max="1" width="0.58203125" style="8" customWidth="1"/>
    <col min="2" max="8" width="8.58203125" style="8" hidden="1" customWidth="1"/>
    <col min="9" max="16384" width="8.58203125" style="8" hidden="1"/>
  </cols>
  <sheetData>
    <row r="1" spans="12:12" ht="14" hidden="1">
      <c r="L1" s="483"/>
    </row>
    <row r="2" spans="12:12" ht="51.75" hidden="1" customHeight="1">
      <c r="L2" s="483"/>
    </row>
    <row r="3" spans="12:12" ht="14.25" hidden="1" customHeight="1">
      <c r="L3" s="483"/>
    </row>
    <row r="4" spans="12:12" ht="14.25" hidden="1" customHeight="1">
      <c r="L4" s="483"/>
    </row>
    <row r="5" spans="12:12" ht="14.25" hidden="1" customHeight="1">
      <c r="L5" s="483"/>
    </row>
    <row r="6" spans="12:12" ht="14.25" hidden="1" customHeight="1">
      <c r="L6" s="483">
        <f>IF(Validation!$H$3=1,0,IF(ISNUMBER(#REF!),0,1))</f>
        <v>0</v>
      </c>
    </row>
    <row r="7" spans="12:12" ht="14.25" hidden="1" customHeight="1">
      <c r="L7" s="483"/>
    </row>
    <row r="8" spans="12:12" ht="14.25" hidden="1" customHeight="1">
      <c r="L8" s="483"/>
    </row>
    <row r="9" spans="12:12" ht="14.25" hidden="1" customHeight="1">
      <c r="L9" s="483"/>
    </row>
    <row r="10" spans="12:12" ht="14.25" hidden="1" customHeight="1">
      <c r="L10" s="483"/>
    </row>
    <row r="11" spans="12:12" ht="14.25" hidden="1" customHeight="1">
      <c r="L11" s="483"/>
    </row>
    <row r="12" spans="12:12" ht="14.25" hidden="1" customHeight="1">
      <c r="L12" s="483"/>
    </row>
    <row r="13" spans="12:12" ht="14.25" hidden="1" customHeight="1">
      <c r="L13" s="483"/>
    </row>
    <row r="14" spans="12:12" ht="14.25" hidden="1" customHeight="1">
      <c r="L14" s="483"/>
    </row>
    <row r="15" spans="12:12" ht="14.25" hidden="1" customHeight="1">
      <c r="L15" s="483"/>
    </row>
    <row r="16" spans="12:12" ht="14.25" hidden="1" customHeight="1">
      <c r="L16" s="483"/>
    </row>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c r="H33" s="483"/>
    </row>
    <row r="34" spans="8:8" ht="14.25" hidden="1" customHeight="1">
      <c r="H34" s="483"/>
    </row>
    <row r="35" spans="8:8" ht="14.25" hidden="1" customHeight="1">
      <c r="H35" s="483" t="s">
        <v>30</v>
      </c>
    </row>
  </sheetData>
  <sheetProtection algorithmName="SHA-512" hashValue="xrEqwh9/GAENC1m/4ycah1tIg/HE2vlu6ovD3IagSBO0C48VN2wFhJ5XPcLOhqY+llRbCJRlGh4JEiARdO6pzQ==" saltValue="TDLr56Un4QEVtYu8n7l3hg=="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H38"/>
  <sheetViews>
    <sheetView workbookViewId="0">
      <selection activeCell="H17" sqref="B1:H17"/>
    </sheetView>
  </sheetViews>
  <sheetFormatPr defaultColWidth="0" defaultRowHeight="14" zeroHeight="1"/>
  <cols>
    <col min="1" max="1" width="0.58203125" style="74" customWidth="1"/>
    <col min="2" max="2" width="4.08203125" style="74" customWidth="1"/>
    <col min="3" max="3" width="48.58203125" style="74" customWidth="1"/>
    <col min="4" max="4" width="1.08203125" style="74" hidden="1" customWidth="1"/>
    <col min="5" max="6" width="5.58203125" style="74" customWidth="1"/>
    <col min="7" max="8" width="11.08203125" style="74" customWidth="1"/>
    <col min="9" max="9" width="2.33203125" style="70" customWidth="1"/>
    <col min="10" max="10" width="18.58203125" style="70" bestFit="1" customWidth="1"/>
    <col min="11" max="11" width="1.58203125" style="70" customWidth="1"/>
    <col min="12" max="12" width="1.08203125" style="71" hidden="1" customWidth="1"/>
    <col min="13" max="14" width="12.58203125" style="70" hidden="1" customWidth="1"/>
    <col min="15" max="15" width="1.08203125" style="71" hidden="1" customWidth="1"/>
    <col min="16" max="16" width="8.58203125" style="70" hidden="1" customWidth="1"/>
    <col min="17" max="17" width="8.58203125" style="74" hidden="1" customWidth="1"/>
    <col min="18" max="25" width="0" style="74" hidden="1" customWidth="1"/>
    <col min="26" max="26" width="8" style="74" customWidth="1"/>
    <col min="27" max="27" width="4.08203125" style="74" customWidth="1"/>
    <col min="28" max="28" width="48.58203125" style="74" customWidth="1"/>
    <col min="29" max="29" width="1.08203125" style="74" hidden="1" customWidth="1"/>
    <col min="30" max="31" width="5.58203125" style="74" customWidth="1"/>
    <col min="32" max="33" width="11.08203125" style="74" customWidth="1"/>
    <col min="34" max="34" width="2" style="74" customWidth="1"/>
    <col min="35" max="16384" width="8" style="74" hidden="1"/>
  </cols>
  <sheetData>
    <row r="1" spans="2:33" ht="20">
      <c r="B1" s="66" t="s">
        <v>2461</v>
      </c>
      <c r="C1" s="66"/>
      <c r="D1" s="66"/>
      <c r="E1" s="66"/>
      <c r="F1" s="66"/>
      <c r="G1" s="66"/>
      <c r="H1" s="66" t="str">
        <f>Validation!B3</f>
        <v>Bristol Water</v>
      </c>
      <c r="I1" s="66"/>
      <c r="J1" s="69" t="s">
        <v>32</v>
      </c>
      <c r="AA1" s="66" t="s">
        <v>33</v>
      </c>
      <c r="AB1" s="66"/>
      <c r="AC1" s="66"/>
      <c r="AD1" s="66"/>
      <c r="AE1" s="66"/>
      <c r="AF1" s="66"/>
      <c r="AG1" s="66"/>
    </row>
    <row r="2" spans="2:33" ht="14.5" thickBot="1">
      <c r="B2" s="73" t="s">
        <v>18</v>
      </c>
      <c r="C2" s="257"/>
      <c r="D2" s="257"/>
      <c r="AA2" s="73" t="s">
        <v>18</v>
      </c>
      <c r="AB2" s="257"/>
      <c r="AC2" s="257"/>
    </row>
    <row r="3" spans="2:33" ht="19.5" customHeight="1">
      <c r="B3" s="2943" t="s">
        <v>34</v>
      </c>
      <c r="C3" s="2944"/>
      <c r="D3" s="2827" t="s">
        <v>2462</v>
      </c>
      <c r="E3" s="2947" t="s">
        <v>36</v>
      </c>
      <c r="F3" s="2949" t="s">
        <v>37</v>
      </c>
      <c r="G3" s="2951" t="s">
        <v>156</v>
      </c>
      <c r="H3" s="2952"/>
      <c r="J3" s="2907" t="s">
        <v>41</v>
      </c>
      <c r="AA3" s="2943" t="s">
        <v>34</v>
      </c>
      <c r="AB3" s="2944"/>
      <c r="AC3" s="2827" t="s">
        <v>2462</v>
      </c>
      <c r="AD3" s="2947" t="s">
        <v>36</v>
      </c>
      <c r="AE3" s="2949" t="s">
        <v>37</v>
      </c>
      <c r="AF3" s="2951" t="s">
        <v>156</v>
      </c>
      <c r="AG3" s="2952"/>
    </row>
    <row r="4" spans="2:33" ht="14.5" thickBot="1">
      <c r="B4" s="2945"/>
      <c r="C4" s="2946"/>
      <c r="D4" s="2828"/>
      <c r="E4" s="2948"/>
      <c r="F4" s="2950"/>
      <c r="G4" s="259" t="s">
        <v>2053</v>
      </c>
      <c r="H4" s="260" t="s">
        <v>2058</v>
      </c>
      <c r="J4" s="2908"/>
      <c r="M4" s="1527" t="s">
        <v>45</v>
      </c>
      <c r="N4" s="1527"/>
      <c r="AA4" s="2945"/>
      <c r="AB4" s="2946"/>
      <c r="AC4" s="2828"/>
      <c r="AD4" s="2948"/>
      <c r="AE4" s="2950"/>
      <c r="AF4" s="259" t="s">
        <v>2053</v>
      </c>
      <c r="AG4" s="260" t="s">
        <v>2058</v>
      </c>
    </row>
    <row r="5" spans="2:33" ht="14.5" thickBot="1"/>
    <row r="6" spans="2:33" ht="14.5" thickBot="1">
      <c r="B6" s="292" t="s">
        <v>900</v>
      </c>
      <c r="C6" s="293"/>
      <c r="D6" s="1476"/>
      <c r="E6" s="262"/>
      <c r="F6" s="262"/>
      <c r="G6" s="262"/>
      <c r="H6" s="262"/>
      <c r="J6" s="126"/>
      <c r="AA6" s="292" t="s">
        <v>900</v>
      </c>
      <c r="AB6" s="293"/>
      <c r="AC6" s="1476"/>
      <c r="AD6" s="262"/>
      <c r="AE6" s="262"/>
      <c r="AF6" s="262"/>
      <c r="AG6" s="262"/>
    </row>
    <row r="7" spans="2:33" ht="14.5" thickBot="1">
      <c r="B7" s="2851" t="s">
        <v>153</v>
      </c>
      <c r="C7" s="298" t="s">
        <v>903</v>
      </c>
      <c r="D7" s="1476"/>
      <c r="E7" s="262"/>
      <c r="F7" s="262"/>
      <c r="G7" s="262"/>
      <c r="H7" s="262"/>
      <c r="J7" s="126"/>
      <c r="M7" s="164" t="s">
        <v>46</v>
      </c>
      <c r="N7" s="127"/>
      <c r="AA7" s="2851" t="s">
        <v>153</v>
      </c>
      <c r="AB7" s="298" t="s">
        <v>903</v>
      </c>
      <c r="AC7" s="1476"/>
      <c r="AD7" s="262"/>
      <c r="AE7" s="262"/>
      <c r="AF7" s="262"/>
      <c r="AG7" s="262"/>
    </row>
    <row r="8" spans="2:33">
      <c r="B8" s="288" t="s">
        <v>2463</v>
      </c>
      <c r="C8" s="273" t="s">
        <v>2464</v>
      </c>
      <c r="D8" s="273"/>
      <c r="E8" s="274" t="s">
        <v>2465</v>
      </c>
      <c r="F8" s="275">
        <v>3</v>
      </c>
      <c r="G8" s="429">
        <v>6.1609999999999996</v>
      </c>
      <c r="H8" s="430">
        <v>6.7990000000000004</v>
      </c>
      <c r="J8" s="24">
        <f t="shared" ref="J8:J9" si="0" xml:space="preserve"> IF( SUM( L8:O8 ) = 0, 0, $M$7 )</f>
        <v>0</v>
      </c>
      <c r="M8" s="93">
        <f xml:space="preserve"> IF( ISNUMBER( G8 ), 0, 1 )</f>
        <v>0</v>
      </c>
      <c r="N8" s="93">
        <f xml:space="preserve"> IF( ISNUMBER( H8 ), 0, 1 )</f>
        <v>0</v>
      </c>
      <c r="AA8" s="288" t="s">
        <v>2463</v>
      </c>
      <c r="AB8" s="273" t="s">
        <v>2464</v>
      </c>
      <c r="AC8" s="273"/>
      <c r="AD8" s="274" t="s">
        <v>2465</v>
      </c>
      <c r="AE8" s="275">
        <v>3</v>
      </c>
      <c r="AF8" s="2504" t="s">
        <v>2466</v>
      </c>
      <c r="AG8" s="2505" t="s">
        <v>2467</v>
      </c>
    </row>
    <row r="9" spans="2:33" ht="14.5" thickBot="1">
      <c r="B9" s="290" t="s">
        <v>2468</v>
      </c>
      <c r="C9" s="282" t="s">
        <v>2469</v>
      </c>
      <c r="D9" s="282"/>
      <c r="E9" s="283" t="s">
        <v>2470</v>
      </c>
      <c r="F9" s="284">
        <v>2</v>
      </c>
      <c r="G9" s="475">
        <v>162.19999999999999</v>
      </c>
      <c r="H9" s="476">
        <v>131.80000000000001</v>
      </c>
      <c r="J9" s="24">
        <f t="shared" si="0"/>
        <v>0</v>
      </c>
      <c r="M9" s="93">
        <f xml:space="preserve"> IF( ISNUMBER( G9 ), 0, 1 )</f>
        <v>0</v>
      </c>
      <c r="N9" s="93">
        <f xml:space="preserve"> IF( ISNUMBER( H9 ), 0, 1 )</f>
        <v>0</v>
      </c>
      <c r="AA9" s="290" t="s">
        <v>2468</v>
      </c>
      <c r="AB9" s="282" t="s">
        <v>2469</v>
      </c>
      <c r="AC9" s="282"/>
      <c r="AD9" s="283" t="s">
        <v>2470</v>
      </c>
      <c r="AE9" s="284">
        <v>2</v>
      </c>
      <c r="AF9" s="2506" t="s">
        <v>2471</v>
      </c>
      <c r="AG9" s="2507" t="s">
        <v>2472</v>
      </c>
    </row>
    <row r="10" spans="2:33">
      <c r="B10" s="294"/>
      <c r="C10" s="267"/>
      <c r="D10" s="267"/>
      <c r="E10" s="269"/>
      <c r="F10" s="269"/>
      <c r="G10" s="295"/>
      <c r="H10" s="295"/>
      <c r="J10" s="126"/>
      <c r="M10" s="280"/>
      <c r="N10" s="110"/>
      <c r="AA10" s="294"/>
      <c r="AB10" s="267"/>
      <c r="AC10" s="267"/>
      <c r="AD10" s="269"/>
      <c r="AE10" s="269"/>
      <c r="AF10" s="295"/>
      <c r="AG10" s="295"/>
    </row>
    <row r="11" spans="2:33" ht="14.5" thickBot="1">
      <c r="B11" s="294"/>
      <c r="C11" s="267"/>
      <c r="D11" s="267"/>
      <c r="E11" s="269"/>
      <c r="F11" s="269"/>
      <c r="G11" s="295"/>
      <c r="H11" s="295"/>
      <c r="J11" s="126"/>
      <c r="M11" s="280"/>
      <c r="N11" s="110"/>
      <c r="AA11" s="294"/>
      <c r="AB11" s="267"/>
      <c r="AC11" s="267"/>
      <c r="AD11" s="269"/>
      <c r="AE11" s="269"/>
      <c r="AF11" s="295"/>
      <c r="AG11" s="295"/>
    </row>
    <row r="12" spans="2:33" ht="14.5" thickBot="1">
      <c r="B12" s="294"/>
      <c r="C12" s="267"/>
      <c r="D12" s="267"/>
      <c r="E12" s="269"/>
      <c r="F12" s="269"/>
      <c r="G12" s="296" t="s">
        <v>1626</v>
      </c>
      <c r="H12" s="297" t="s">
        <v>1627</v>
      </c>
      <c r="J12" s="126"/>
      <c r="M12" s="280"/>
      <c r="N12" s="110"/>
      <c r="AA12" s="294"/>
      <c r="AB12" s="267"/>
      <c r="AC12" s="267"/>
      <c r="AD12" s="269"/>
      <c r="AE12" s="269"/>
      <c r="AF12" s="296" t="s">
        <v>1626</v>
      </c>
      <c r="AG12" s="297" t="s">
        <v>1627</v>
      </c>
    </row>
    <row r="13" spans="2:33" ht="14.5" thickBot="1">
      <c r="B13" s="292" t="s">
        <v>901</v>
      </c>
      <c r="C13" s="293"/>
      <c r="D13" s="1476"/>
      <c r="E13" s="269"/>
      <c r="F13" s="269"/>
      <c r="G13" s="610"/>
      <c r="H13" s="610"/>
      <c r="I13" s="192"/>
      <c r="J13" s="126"/>
      <c r="M13" s="280"/>
      <c r="N13" s="110"/>
      <c r="AA13" s="292" t="s">
        <v>901</v>
      </c>
      <c r="AB13" s="293"/>
      <c r="AC13" s="1476"/>
      <c r="AD13" s="269"/>
      <c r="AE13" s="269"/>
      <c r="AF13" s="610"/>
      <c r="AG13" s="610"/>
    </row>
    <row r="14" spans="2:33" ht="14.5" thickBot="1">
      <c r="B14" s="2851" t="s">
        <v>175</v>
      </c>
      <c r="C14" s="298" t="s">
        <v>2473</v>
      </c>
      <c r="D14" s="1476"/>
      <c r="E14" s="299"/>
      <c r="F14" s="299"/>
      <c r="J14" s="126"/>
      <c r="M14" s="280"/>
      <c r="N14" s="110"/>
      <c r="AA14" s="2851" t="s">
        <v>175</v>
      </c>
      <c r="AB14" s="298" t="s">
        <v>2473</v>
      </c>
      <c r="AC14" s="1476"/>
      <c r="AD14" s="299"/>
      <c r="AE14" s="299"/>
    </row>
    <row r="15" spans="2:33">
      <c r="B15" s="288" t="s">
        <v>2474</v>
      </c>
      <c r="C15" s="273" t="s">
        <v>2475</v>
      </c>
      <c r="D15" s="273"/>
      <c r="E15" s="300" t="s">
        <v>2449</v>
      </c>
      <c r="F15" s="275">
        <v>3</v>
      </c>
      <c r="G15" s="431">
        <v>7.5720000000000001</v>
      </c>
      <c r="H15" s="432"/>
      <c r="J15" s="24">
        <f t="shared" ref="J15:J16" si="1" xml:space="preserve"> IF( SUM( L15:O15 ) = 0, 0, $M$7 )</f>
        <v>0</v>
      </c>
      <c r="M15" s="93">
        <f t="shared" ref="M15:M17" si="2" xml:space="preserve"> IF( ISNUMBER( G15 ), 0, 1 )</f>
        <v>0</v>
      </c>
      <c r="N15" s="93">
        <f>IF(Validation!$H$3=1,0,IF(ISNUMBER(H15),0,1))</f>
        <v>0</v>
      </c>
      <c r="AA15" s="288" t="s">
        <v>2474</v>
      </c>
      <c r="AB15" s="273" t="s">
        <v>2475</v>
      </c>
      <c r="AC15" s="273"/>
      <c r="AD15" s="300" t="s">
        <v>2449</v>
      </c>
      <c r="AE15" s="275">
        <v>3</v>
      </c>
      <c r="AF15" s="2508" t="s">
        <v>2476</v>
      </c>
      <c r="AG15" s="2509" t="s">
        <v>2477</v>
      </c>
    </row>
    <row r="16" spans="2:33" ht="14.5" thickBot="1">
      <c r="B16" s="289" t="s">
        <v>2478</v>
      </c>
      <c r="C16" s="277" t="s">
        <v>2479</v>
      </c>
      <c r="D16" s="277"/>
      <c r="E16" s="301" t="s">
        <v>2449</v>
      </c>
      <c r="F16" s="279">
        <v>3</v>
      </c>
      <c r="G16" s="433">
        <v>0.79600000000000004</v>
      </c>
      <c r="H16" s="434"/>
      <c r="J16" s="24">
        <f t="shared" si="1"/>
        <v>0</v>
      </c>
      <c r="M16" s="93">
        <f t="shared" si="2"/>
        <v>0</v>
      </c>
      <c r="N16" s="93">
        <f>IF(Validation!$H$3=1,0,IF(ISNUMBER(H16),0,1))</f>
        <v>0</v>
      </c>
      <c r="AA16" s="289" t="s">
        <v>2478</v>
      </c>
      <c r="AB16" s="277" t="s">
        <v>2479</v>
      </c>
      <c r="AC16" s="277"/>
      <c r="AD16" s="301" t="s">
        <v>2449</v>
      </c>
      <c r="AE16" s="279">
        <v>3</v>
      </c>
      <c r="AF16" s="2510" t="s">
        <v>2480</v>
      </c>
      <c r="AG16" s="2511" t="s">
        <v>2481</v>
      </c>
    </row>
    <row r="17" spans="1:33" ht="14.5" thickBot="1">
      <c r="B17" s="290" t="s">
        <v>2482</v>
      </c>
      <c r="C17" s="282" t="s">
        <v>2483</v>
      </c>
      <c r="D17" s="282"/>
      <c r="E17" s="283" t="s">
        <v>2449</v>
      </c>
      <c r="F17" s="284">
        <v>3</v>
      </c>
      <c r="G17" s="435">
        <v>270.654</v>
      </c>
      <c r="H17" s="163"/>
      <c r="J17" s="24">
        <f xml:space="preserve"> IF( SUM( L17:O17 ) = 0, 0, $M$7 )</f>
        <v>0</v>
      </c>
      <c r="M17" s="93">
        <f t="shared" si="2"/>
        <v>0</v>
      </c>
      <c r="N17" s="110"/>
      <c r="AA17" s="290" t="s">
        <v>2482</v>
      </c>
      <c r="AB17" s="282" t="s">
        <v>2483</v>
      </c>
      <c r="AC17" s="282"/>
      <c r="AD17" s="283" t="s">
        <v>2449</v>
      </c>
      <c r="AE17" s="284">
        <v>3</v>
      </c>
      <c r="AF17" s="2512" t="s">
        <v>2484</v>
      </c>
      <c r="AG17" s="163"/>
    </row>
    <row r="18" spans="1:33" s="70" customFormat="1">
      <c r="E18" s="85"/>
      <c r="F18" s="85"/>
      <c r="H18" s="163"/>
      <c r="J18" s="126"/>
      <c r="L18" s="71"/>
      <c r="M18" s="280"/>
      <c r="N18" s="110"/>
      <c r="O18" s="71"/>
      <c r="AD18" s="85"/>
      <c r="AE18" s="85"/>
      <c r="AG18" s="163"/>
    </row>
    <row r="19" spans="1:33" s="163" customFormat="1">
      <c r="B19" s="2914" t="s">
        <v>241</v>
      </c>
      <c r="C19" s="2914"/>
      <c r="D19" s="2823"/>
      <c r="I19" s="70"/>
      <c r="J19" s="126"/>
      <c r="K19" s="70"/>
      <c r="L19" s="71"/>
      <c r="M19" s="280"/>
      <c r="N19" s="110"/>
      <c r="O19" s="71"/>
      <c r="P19" s="70"/>
    </row>
    <row r="20" spans="1:33" s="163" customFormat="1">
      <c r="B20" s="141"/>
      <c r="C20" s="142"/>
      <c r="D20" s="142"/>
      <c r="I20" s="118"/>
      <c r="J20" s="126"/>
      <c r="K20" s="118"/>
      <c r="L20" s="124"/>
      <c r="M20" s="280"/>
      <c r="N20" s="110"/>
      <c r="O20" s="124"/>
      <c r="P20" s="110"/>
    </row>
    <row r="21" spans="1:33" s="163" customFormat="1" ht="11.5">
      <c r="B21" s="25"/>
      <c r="C21" s="143" t="s">
        <v>188</v>
      </c>
      <c r="D21" s="143"/>
      <c r="I21" s="126"/>
      <c r="J21" s="126"/>
      <c r="K21" s="126"/>
      <c r="L21" s="119"/>
      <c r="M21" s="203"/>
      <c r="O21" s="119"/>
    </row>
    <row r="22" spans="1:33" s="163" customFormat="1" ht="11.5">
      <c r="B22" s="141"/>
      <c r="C22" s="142"/>
      <c r="D22" s="142"/>
      <c r="I22" s="126"/>
      <c r="J22" s="126"/>
      <c r="K22" s="126"/>
      <c r="L22" s="119"/>
      <c r="M22" s="203"/>
      <c r="O22" s="119"/>
    </row>
    <row r="23" spans="1:33" s="163" customFormat="1" ht="11.5">
      <c r="B23" s="144"/>
      <c r="C23" s="143" t="s">
        <v>189</v>
      </c>
      <c r="D23" s="143"/>
      <c r="I23" s="126"/>
      <c r="J23" s="126"/>
      <c r="K23" s="126"/>
      <c r="L23" s="119"/>
      <c r="M23" s="203"/>
      <c r="O23" s="119"/>
    </row>
    <row r="24" spans="1:33" s="163" customFormat="1" ht="11.5">
      <c r="B24" s="145"/>
      <c r="C24" s="143"/>
      <c r="D24" s="143"/>
      <c r="I24" s="126"/>
      <c r="J24" s="126"/>
      <c r="K24" s="126"/>
      <c r="L24" s="119"/>
      <c r="M24" s="203"/>
      <c r="O24" s="119"/>
    </row>
    <row r="25" spans="1:33" s="110" customFormat="1" ht="14.5" thickBot="1">
      <c r="C25" s="152"/>
      <c r="D25" s="152"/>
      <c r="I25" s="126"/>
      <c r="J25" s="126"/>
      <c r="K25" s="126"/>
      <c r="L25" s="119"/>
      <c r="M25" s="203"/>
      <c r="N25" s="163"/>
      <c r="O25" s="119"/>
      <c r="P25" s="163"/>
    </row>
    <row r="26" spans="1:33" s="110" customFormat="1" ht="32.25" customHeight="1" thickBot="1">
      <c r="B26" s="3034" t="s">
        <v>190</v>
      </c>
      <c r="C26" s="3043"/>
      <c r="D26" s="3043"/>
      <c r="E26" s="3043"/>
      <c r="F26" s="3043"/>
      <c r="G26" s="3043"/>
      <c r="H26" s="3044"/>
      <c r="I26" s="126"/>
      <c r="J26" s="126"/>
      <c r="K26" s="126"/>
      <c r="L26" s="119"/>
      <c r="M26" s="1341"/>
      <c r="N26" s="163"/>
      <c r="O26" s="119"/>
      <c r="P26" s="163"/>
    </row>
    <row r="27" spans="1:33" s="110" customFormat="1">
      <c r="C27" s="152"/>
      <c r="D27" s="152"/>
      <c r="I27" s="126"/>
      <c r="J27" s="126"/>
      <c r="K27" s="126"/>
      <c r="L27" s="119"/>
      <c r="M27" s="203"/>
      <c r="N27" s="163"/>
      <c r="O27" s="119"/>
      <c r="P27" s="163"/>
    </row>
    <row r="28" spans="1:33" s="110" customFormat="1" ht="15.5" hidden="1" thickBot="1">
      <c r="A28" s="1528"/>
      <c r="B28" s="146" t="str">
        <f ca="1" xml:space="preserve"> RIGHT(CELL("filename", $A$1), LEN(CELL("filename", $A$1)) - SEARCH("]", CELL("filename", $A$1)))&amp;" - Line definitions"</f>
        <v>4A - Line definitions</v>
      </c>
      <c r="C28" s="147"/>
      <c r="D28" s="147"/>
      <c r="E28" s="148"/>
      <c r="F28" s="148"/>
      <c r="G28" s="148"/>
      <c r="H28" s="251"/>
      <c r="I28" s="130"/>
      <c r="J28" s="126"/>
      <c r="K28" s="126"/>
      <c r="L28" s="119"/>
      <c r="M28" s="302"/>
      <c r="N28" s="178"/>
      <c r="O28" s="119"/>
      <c r="P28" s="178"/>
    </row>
    <row r="29" spans="1:33" s="110" customFormat="1" ht="14.5" hidden="1" thickBot="1">
      <c r="A29" s="1528"/>
      <c r="B29" s="74"/>
      <c r="C29" s="155"/>
      <c r="D29" s="155"/>
      <c r="E29" s="74"/>
      <c r="F29" s="74"/>
      <c r="G29" s="74"/>
      <c r="I29" s="130"/>
      <c r="J29" s="126"/>
      <c r="K29" s="126"/>
      <c r="L29" s="119"/>
      <c r="M29" s="302"/>
      <c r="N29" s="178"/>
      <c r="O29" s="119"/>
      <c r="P29" s="178"/>
    </row>
    <row r="30" spans="1:33" s="178" customFormat="1" ht="14.5" hidden="1" thickBot="1">
      <c r="A30" s="1529"/>
      <c r="B30" s="287" t="s">
        <v>191</v>
      </c>
      <c r="C30" s="2847" t="s">
        <v>192</v>
      </c>
      <c r="D30" s="2848"/>
      <c r="E30" s="2848"/>
      <c r="F30" s="2848"/>
      <c r="G30" s="2848"/>
      <c r="H30" s="2849"/>
      <c r="I30" s="130"/>
      <c r="J30" s="120"/>
      <c r="K30" s="118"/>
      <c r="L30" s="124"/>
      <c r="M30" s="85" t="s">
        <v>193</v>
      </c>
      <c r="N30" s="110"/>
      <c r="O30" s="124"/>
      <c r="P30" s="110"/>
    </row>
    <row r="31" spans="1:33" s="110" customFormat="1" ht="58.5" hidden="1" customHeight="1">
      <c r="A31" s="1528"/>
      <c r="B31" s="159" t="s">
        <v>2463</v>
      </c>
      <c r="C31" s="2962" t="s">
        <v>2485</v>
      </c>
      <c r="D31" s="2963"/>
      <c r="E31" s="2963"/>
      <c r="F31" s="2963"/>
      <c r="G31" s="2963"/>
      <c r="H31" s="2964"/>
      <c r="I31" s="130"/>
      <c r="J31" s="120"/>
      <c r="K31" s="118"/>
      <c r="L31" s="124"/>
      <c r="M31" s="207" t="s">
        <v>1338</v>
      </c>
      <c r="O31" s="124"/>
    </row>
    <row r="32" spans="1:33" s="110" customFormat="1" ht="139.5" hidden="1" customHeight="1">
      <c r="A32" s="1528"/>
      <c r="B32" s="159" t="s">
        <v>2468</v>
      </c>
      <c r="C32" s="2962" t="s">
        <v>2486</v>
      </c>
      <c r="D32" s="2963"/>
      <c r="E32" s="2963"/>
      <c r="F32" s="2963"/>
      <c r="G32" s="2963"/>
      <c r="H32" s="2964"/>
      <c r="I32" s="130"/>
      <c r="J32" s="120"/>
      <c r="K32" s="118"/>
      <c r="L32" s="124"/>
      <c r="M32" s="202" t="s">
        <v>1324</v>
      </c>
      <c r="N32" s="120"/>
      <c r="O32" s="124"/>
      <c r="P32" s="120"/>
    </row>
    <row r="33" spans="1:16" s="110" customFormat="1" ht="139.5" hidden="1" customHeight="1">
      <c r="A33" s="1528"/>
      <c r="B33" s="159" t="s">
        <v>2468</v>
      </c>
      <c r="C33" s="2962" t="s">
        <v>2487</v>
      </c>
      <c r="D33" s="2963"/>
      <c r="E33" s="2963"/>
      <c r="F33" s="2963"/>
      <c r="G33" s="2963"/>
      <c r="H33" s="2964"/>
      <c r="I33" s="130"/>
      <c r="J33" s="120"/>
      <c r="K33" s="118"/>
      <c r="L33" s="124"/>
      <c r="M33" s="202" t="s">
        <v>1324</v>
      </c>
      <c r="N33" s="120"/>
      <c r="O33" s="124"/>
      <c r="P33" s="120"/>
    </row>
    <row r="34" spans="1:16" s="110" customFormat="1" ht="24" hidden="1">
      <c r="A34" s="1528"/>
      <c r="B34" s="159" t="s">
        <v>2474</v>
      </c>
      <c r="C34" s="2962" t="s">
        <v>2488</v>
      </c>
      <c r="D34" s="2963"/>
      <c r="E34" s="2963"/>
      <c r="F34" s="2963"/>
      <c r="G34" s="2963"/>
      <c r="H34" s="2964"/>
      <c r="I34" s="130"/>
      <c r="J34" s="120"/>
      <c r="K34" s="118"/>
      <c r="L34" s="124"/>
      <c r="M34" s="207" t="s">
        <v>195</v>
      </c>
      <c r="N34" s="120"/>
      <c r="O34" s="124"/>
      <c r="P34" s="120"/>
    </row>
    <row r="35" spans="1:16" ht="23.25" hidden="1" customHeight="1">
      <c r="A35" s="1532"/>
      <c r="B35" s="159" t="s">
        <v>2478</v>
      </c>
      <c r="C35" s="2962" t="s">
        <v>2489</v>
      </c>
      <c r="D35" s="2963"/>
      <c r="E35" s="2963"/>
      <c r="F35" s="2963"/>
      <c r="G35" s="2963"/>
      <c r="H35" s="2964"/>
      <c r="I35" s="130"/>
      <c r="M35" s="161" t="s">
        <v>195</v>
      </c>
    </row>
    <row r="36" spans="1:16" ht="24" hidden="1" customHeight="1" thickBot="1">
      <c r="A36" s="1532"/>
      <c r="B36" s="183" t="s">
        <v>2482</v>
      </c>
      <c r="C36" s="2968" t="s">
        <v>2490</v>
      </c>
      <c r="D36" s="2969"/>
      <c r="E36" s="2969"/>
      <c r="F36" s="2969"/>
      <c r="G36" s="2969"/>
      <c r="H36" s="2970"/>
      <c r="I36" s="130"/>
      <c r="M36" s="161" t="s">
        <v>195</v>
      </c>
    </row>
    <row r="37" spans="1:16" hidden="1">
      <c r="A37" s="1532"/>
      <c r="I37" s="130"/>
    </row>
    <row r="38" spans="1:16" hidden="1">
      <c r="I38" s="130"/>
    </row>
  </sheetData>
  <sheetProtection algorithmName="SHA-512" hashValue="wnX66lWVfZ+BNp4pDYL9EDTbNVjNHwk91kXtZRnEDO7sS1mAw4UZCyE2CbFvcBphsj3GndxylWo6xq7zus62EA==" saltValue="t+vqzZPt5g8tjD7N18/NoQ==" spinCount="100000" sheet="1" objects="1" scenarios="1"/>
  <mergeCells count="17">
    <mergeCell ref="B3:C4"/>
    <mergeCell ref="E3:E4"/>
    <mergeCell ref="F3:F4"/>
    <mergeCell ref="G3:H3"/>
    <mergeCell ref="C36:H36"/>
    <mergeCell ref="B19:C19"/>
    <mergeCell ref="C31:H31"/>
    <mergeCell ref="C32:H32"/>
    <mergeCell ref="C33:H33"/>
    <mergeCell ref="C34:H34"/>
    <mergeCell ref="C35:H35"/>
    <mergeCell ref="B26:H26"/>
    <mergeCell ref="AA3:AB4"/>
    <mergeCell ref="AD3:AD4"/>
    <mergeCell ref="AE3:AE4"/>
    <mergeCell ref="AF3:AG3"/>
    <mergeCell ref="J3:J4"/>
  </mergeCells>
  <conditionalFormatting sqref="J8:J9">
    <cfRule type="cellIs" dxfId="327" priority="4" operator="equal">
      <formula>0</formula>
    </cfRule>
  </conditionalFormatting>
  <conditionalFormatting sqref="J15:J17">
    <cfRule type="cellIs" dxfId="326"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orientation="landscape"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0" id="{069CDA95-99D4-460C-855E-4E01C39F5461}">
            <xm:f>Validation!$H$3=1</xm:f>
            <x14:dxf>
              <fill>
                <patternFill>
                  <bgColor rgb="FFE0DCD8"/>
                </patternFill>
              </fill>
            </x14:dxf>
          </x14:cfRule>
          <xm:sqref>H15:H16</xm:sqref>
        </x14:conditionalFormatting>
        <x14:conditionalFormatting xmlns:xm="http://schemas.microsoft.com/office/excel/2006/main">
          <x14:cfRule type="expression" priority="1" id="{4E13129F-07B4-4C3A-8099-1B2C62B6201E}">
            <xm:f>Validation!$H$3=1</xm:f>
            <x14:dxf>
              <fill>
                <patternFill>
                  <bgColor rgb="FFE0DCD8"/>
                </patternFill>
              </fill>
            </x14:dxf>
          </x14:cfRule>
          <xm:sqref>AG15:AG16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tabColor rgb="FF92D050"/>
    <pageSetUpPr fitToPage="1"/>
  </sheetPr>
  <dimension ref="A1:AP47"/>
  <sheetViews>
    <sheetView workbookViewId="0">
      <selection activeCell="L23" sqref="B1:L23"/>
    </sheetView>
  </sheetViews>
  <sheetFormatPr defaultColWidth="0" defaultRowHeight="14" zeroHeight="1"/>
  <cols>
    <col min="1" max="1" width="0.58203125" style="74" customWidth="1"/>
    <col min="2" max="2" width="5.08203125" style="74" customWidth="1"/>
    <col min="3" max="3" width="46.58203125" style="74" bestFit="1" customWidth="1"/>
    <col min="4" max="4" width="1.08203125" style="74" hidden="1" customWidth="1"/>
    <col min="5" max="6" width="5.58203125" style="74" customWidth="1"/>
    <col min="7" max="12" width="11.08203125" style="74" customWidth="1"/>
    <col min="13" max="13" width="1.75" style="70" customWidth="1"/>
    <col min="14" max="14" width="18.58203125" style="70" bestFit="1" customWidth="1"/>
    <col min="15" max="15" width="1.58203125" style="70" customWidth="1"/>
    <col min="16" max="16" width="1.58203125" style="71" hidden="1" customWidth="1"/>
    <col min="17" max="22" width="8.58203125" style="70" hidden="1" customWidth="1"/>
    <col min="23" max="23" width="1.58203125" style="71" hidden="1" customWidth="1"/>
    <col min="24" max="24" width="8.58203125" style="70" hidden="1" customWidth="1"/>
    <col min="25" max="29" width="0" style="74" hidden="1" customWidth="1"/>
    <col min="30" max="30" width="8" style="74" customWidth="1"/>
    <col min="31" max="31" width="5.08203125" style="74" customWidth="1"/>
    <col min="32" max="32" width="46.58203125" style="74" bestFit="1" customWidth="1"/>
    <col min="33" max="33" width="1.08203125" style="74" hidden="1" customWidth="1"/>
    <col min="34" max="35" width="5.58203125" style="74" customWidth="1"/>
    <col min="36" max="41" width="14.58203125" style="74" customWidth="1"/>
    <col min="42" max="42" width="2.58203125" style="74" customWidth="1"/>
    <col min="43" max="16384" width="8" style="74" hidden="1"/>
  </cols>
  <sheetData>
    <row r="1" spans="2:41" ht="20">
      <c r="B1" s="66" t="s">
        <v>2491</v>
      </c>
      <c r="C1" s="66"/>
      <c r="D1" s="66"/>
      <c r="E1" s="66"/>
      <c r="F1" s="66"/>
      <c r="G1" s="66"/>
      <c r="H1" s="66"/>
      <c r="I1" s="66"/>
      <c r="J1" s="66"/>
      <c r="K1" s="66"/>
      <c r="L1" s="68" t="str">
        <f>Validation!B3</f>
        <v>Bristol Water</v>
      </c>
      <c r="M1" s="66"/>
      <c r="N1" s="69" t="s">
        <v>32</v>
      </c>
      <c r="AE1" s="66" t="s">
        <v>33</v>
      </c>
      <c r="AF1" s="66"/>
      <c r="AG1" s="66"/>
      <c r="AH1" s="66"/>
      <c r="AI1" s="66"/>
      <c r="AJ1" s="66"/>
      <c r="AK1" s="66"/>
      <c r="AL1" s="66"/>
      <c r="AM1" s="66"/>
      <c r="AN1" s="66"/>
      <c r="AO1" s="68"/>
    </row>
    <row r="2" spans="2:41" ht="14.5" thickBot="1">
      <c r="B2" s="73" t="str">
        <f>'4A'!B2</f>
        <v>For the 12 months ended 31 March 2020</v>
      </c>
      <c r="C2" s="257"/>
      <c r="D2" s="257"/>
      <c r="L2" s="258"/>
      <c r="AE2" s="73" t="str">
        <f>+B2</f>
        <v>For the 12 months ended 31 March 2020</v>
      </c>
      <c r="AF2" s="257"/>
      <c r="AG2" s="257"/>
      <c r="AO2" s="258"/>
    </row>
    <row r="3" spans="2:41" ht="19.5" customHeight="1" thickBot="1">
      <c r="B3" s="3048" t="s">
        <v>34</v>
      </c>
      <c r="C3" s="2947"/>
      <c r="D3" s="2829" t="s">
        <v>2462</v>
      </c>
      <c r="E3" s="2947" t="s">
        <v>36</v>
      </c>
      <c r="F3" s="3050" t="s">
        <v>37</v>
      </c>
      <c r="G3" s="3045" t="s">
        <v>156</v>
      </c>
      <c r="H3" s="3046"/>
      <c r="I3" s="3046"/>
      <c r="J3" s="3045" t="s">
        <v>2492</v>
      </c>
      <c r="K3" s="3046"/>
      <c r="L3" s="3047"/>
      <c r="N3" s="2824" t="s">
        <v>41</v>
      </c>
      <c r="Q3" s="2909" t="s">
        <v>45</v>
      </c>
      <c r="R3" s="2909"/>
      <c r="S3" s="2822"/>
      <c r="T3" s="2822"/>
      <c r="U3" s="2822"/>
      <c r="V3" s="2822"/>
      <c r="AE3" s="3048" t="s">
        <v>34</v>
      </c>
      <c r="AF3" s="2947"/>
      <c r="AG3" s="2829" t="s">
        <v>2462</v>
      </c>
      <c r="AH3" s="2947" t="s">
        <v>36</v>
      </c>
      <c r="AI3" s="3050" t="s">
        <v>37</v>
      </c>
      <c r="AJ3" s="3045" t="s">
        <v>156</v>
      </c>
      <c r="AK3" s="3046"/>
      <c r="AL3" s="3046"/>
      <c r="AM3" s="3045" t="s">
        <v>2492</v>
      </c>
      <c r="AN3" s="3046"/>
      <c r="AO3" s="3047"/>
    </row>
    <row r="4" spans="2:41" ht="14.5" thickBot="1">
      <c r="B4" s="3049"/>
      <c r="C4" s="2948"/>
      <c r="D4" s="2830"/>
      <c r="E4" s="2948"/>
      <c r="F4" s="3051"/>
      <c r="G4" s="259" t="s">
        <v>1626</v>
      </c>
      <c r="H4" s="1837" t="s">
        <v>1627</v>
      </c>
      <c r="I4" s="260" t="s">
        <v>911</v>
      </c>
      <c r="J4" s="259" t="s">
        <v>1626</v>
      </c>
      <c r="K4" s="1837" t="s">
        <v>1627</v>
      </c>
      <c r="L4" s="260" t="s">
        <v>911</v>
      </c>
      <c r="Q4" s="164" t="s">
        <v>46</v>
      </c>
      <c r="R4" s="127"/>
      <c r="S4" s="127"/>
      <c r="T4" s="127"/>
      <c r="U4" s="127"/>
      <c r="V4" s="127"/>
      <c r="AE4" s="3049"/>
      <c r="AF4" s="2948"/>
      <c r="AG4" s="2830"/>
      <c r="AH4" s="2948"/>
      <c r="AI4" s="3051"/>
      <c r="AJ4" s="259" t="s">
        <v>1626</v>
      </c>
      <c r="AK4" s="260" t="s">
        <v>1627</v>
      </c>
      <c r="AL4" s="260" t="s">
        <v>911</v>
      </c>
      <c r="AM4" s="259" t="s">
        <v>1626</v>
      </c>
      <c r="AN4" s="259" t="s">
        <v>1627</v>
      </c>
      <c r="AO4" s="260" t="s">
        <v>911</v>
      </c>
    </row>
    <row r="5" spans="2:41" ht="14.5" thickBot="1"/>
    <row r="6" spans="2:41" ht="14.5" thickBot="1">
      <c r="B6" s="261" t="s">
        <v>153</v>
      </c>
      <c r="C6" s="27" t="s">
        <v>2493</v>
      </c>
      <c r="D6" s="1476"/>
      <c r="E6" s="262"/>
      <c r="F6" s="262"/>
      <c r="G6" s="262"/>
      <c r="H6" s="262"/>
      <c r="I6" s="262"/>
      <c r="J6" s="262"/>
      <c r="K6" s="262"/>
      <c r="L6" s="262"/>
      <c r="AE6" s="261" t="s">
        <v>153</v>
      </c>
      <c r="AF6" s="27" t="s">
        <v>2493</v>
      </c>
      <c r="AG6" s="1476"/>
      <c r="AH6" s="262"/>
      <c r="AI6" s="262"/>
      <c r="AJ6" s="262"/>
      <c r="AK6" s="262"/>
      <c r="AL6" s="262"/>
      <c r="AM6" s="262"/>
      <c r="AN6" s="262"/>
      <c r="AO6" s="262"/>
    </row>
    <row r="7" spans="2:41" ht="14.5" thickBot="1">
      <c r="B7" s="263" t="s">
        <v>2494</v>
      </c>
      <c r="C7" s="264" t="s">
        <v>2493</v>
      </c>
      <c r="D7" s="264"/>
      <c r="E7" s="265" t="s">
        <v>49</v>
      </c>
      <c r="F7" s="266">
        <v>3</v>
      </c>
      <c r="G7" s="340">
        <f xml:space="preserve"> '2B'!G39 + '2B'!H39</f>
        <v>128.08275499334457</v>
      </c>
      <c r="H7" s="341">
        <f xml:space="preserve"> '2B'!I39 + '2B'!J39</f>
        <v>0</v>
      </c>
      <c r="I7" s="2039">
        <f xml:space="preserve"> '2B'!K39</f>
        <v>0</v>
      </c>
      <c r="J7" s="1563">
        <v>494.024</v>
      </c>
      <c r="K7" s="1838"/>
      <c r="L7" s="1564"/>
      <c r="N7" s="24">
        <f xml:space="preserve"> IF( SUM( P7:W7 ) = 0, 0, $Q$4 )</f>
        <v>0</v>
      </c>
      <c r="T7" s="93">
        <f xml:space="preserve"> IF( ISNUMBER( J7 ), 0, 1 )</f>
        <v>0</v>
      </c>
      <c r="U7" s="93">
        <f>IF(Validation!$H$3=1,0,IF(ISNUMBER(K7),0,1))</f>
        <v>0</v>
      </c>
      <c r="V7" s="93">
        <f>IF( Validation!$H$3 = 1, 0, IF(Validation!$B$3 &lt;&gt; "Thames Water",0, (IF(ISNUMBER(L7),0,1))))</f>
        <v>0</v>
      </c>
      <c r="AE7" s="263" t="s">
        <v>2494</v>
      </c>
      <c r="AF7" s="264" t="s">
        <v>2493</v>
      </c>
      <c r="AG7" s="264"/>
      <c r="AH7" s="265" t="s">
        <v>49</v>
      </c>
      <c r="AI7" s="266">
        <v>3</v>
      </c>
      <c r="AJ7" s="340" t="s">
        <v>2495</v>
      </c>
      <c r="AK7" s="342" t="s">
        <v>2496</v>
      </c>
      <c r="AL7" s="2039" t="str">
        <f>'2B'!BJ39</f>
        <v>S3040TOTTTT</v>
      </c>
      <c r="AM7" s="1840" t="s">
        <v>2497</v>
      </c>
      <c r="AN7" s="1840" t="s">
        <v>2498</v>
      </c>
      <c r="AO7" s="2513" t="s">
        <v>2499</v>
      </c>
    </row>
    <row r="8" spans="2:41" ht="14.5" thickBot="1">
      <c r="B8" s="267"/>
      <c r="C8" s="267"/>
      <c r="D8" s="267"/>
      <c r="E8" s="268"/>
      <c r="F8" s="269"/>
      <c r="G8" s="267"/>
      <c r="H8" s="267"/>
      <c r="I8" s="267"/>
      <c r="J8" s="270"/>
      <c r="K8" s="270"/>
      <c r="L8" s="267"/>
      <c r="AE8" s="267"/>
      <c r="AF8" s="267"/>
      <c r="AG8" s="267"/>
      <c r="AH8" s="268"/>
      <c r="AI8" s="269"/>
      <c r="AJ8" s="267"/>
      <c r="AK8" s="270"/>
      <c r="AL8" s="270"/>
      <c r="AM8" s="270"/>
      <c r="AN8" s="270"/>
      <c r="AO8" s="270"/>
    </row>
    <row r="9" spans="2:41" ht="14.5" thickBot="1">
      <c r="B9" s="261" t="s">
        <v>175</v>
      </c>
      <c r="C9" s="27" t="s">
        <v>2500</v>
      </c>
      <c r="D9" s="1476"/>
      <c r="E9" s="271"/>
      <c r="F9" s="271"/>
      <c r="G9" s="267"/>
      <c r="H9" s="267"/>
      <c r="I9" s="267"/>
      <c r="J9" s="141"/>
      <c r="K9" s="141"/>
      <c r="L9" s="267"/>
      <c r="AE9" s="261" t="s">
        <v>175</v>
      </c>
      <c r="AF9" s="27" t="s">
        <v>2500</v>
      </c>
      <c r="AG9" s="1476"/>
      <c r="AH9" s="271"/>
      <c r="AI9" s="271"/>
      <c r="AJ9" s="267"/>
      <c r="AK9" s="141"/>
      <c r="AL9" s="141"/>
      <c r="AM9" s="141"/>
      <c r="AN9" s="141"/>
      <c r="AO9" s="141"/>
    </row>
    <row r="10" spans="2:41">
      <c r="B10" s="272" t="s">
        <v>2501</v>
      </c>
      <c r="C10" s="273" t="s">
        <v>2502</v>
      </c>
      <c r="D10" s="273"/>
      <c r="E10" s="274" t="s">
        <v>49</v>
      </c>
      <c r="F10" s="275">
        <v>3</v>
      </c>
      <c r="G10" s="438">
        <v>1.601</v>
      </c>
      <c r="H10" s="439"/>
      <c r="I10" s="1831"/>
      <c r="J10" s="438">
        <v>7.34</v>
      </c>
      <c r="K10" s="439"/>
      <c r="L10" s="822"/>
      <c r="N10" s="24">
        <f xml:space="preserve"> IF( SUM( P10:W10 ) = 0, 0, $Q$4 )</f>
        <v>0</v>
      </c>
      <c r="Q10" s="93">
        <f xml:space="preserve"> IF( ISNUMBER( G10 ), 0, 1 )</f>
        <v>0</v>
      </c>
      <c r="R10" s="93">
        <f>IF(Validation!$H$3=1,0,IF(ISNUMBER(H10),0,1))</f>
        <v>0</v>
      </c>
      <c r="S10" s="93">
        <f>IF( Validation!$H$3 = 1, 0, IF(Validation!$B$3 &lt;&gt; "Thames Water",0, (IF(ISNUMBER(I10),0,1))))</f>
        <v>0</v>
      </c>
      <c r="T10" s="93">
        <f xml:space="preserve"> IF( ISNUMBER( J10 ), 0, 1 )</f>
        <v>0</v>
      </c>
      <c r="U10" s="93">
        <f>IF(Validation!$H$3=1,0,IF(ISNUMBER(K10),0,1))</f>
        <v>0</v>
      </c>
      <c r="V10" s="93">
        <f>IF( Validation!$H$3 = 1, 0, IF(Validation!$B$3 &lt;&gt; "Thames Water",0, (IF(ISNUMBER(L10),0,1))))</f>
        <v>0</v>
      </c>
      <c r="AE10" s="272" t="s">
        <v>2501</v>
      </c>
      <c r="AF10" s="273" t="s">
        <v>2502</v>
      </c>
      <c r="AG10" s="273"/>
      <c r="AH10" s="274" t="s">
        <v>49</v>
      </c>
      <c r="AI10" s="275">
        <v>3</v>
      </c>
      <c r="AJ10" s="2469" t="s">
        <v>2503</v>
      </c>
      <c r="AK10" s="2477" t="s">
        <v>2504</v>
      </c>
      <c r="AL10" s="2514" t="s">
        <v>2505</v>
      </c>
      <c r="AM10" s="2469" t="s">
        <v>2506</v>
      </c>
      <c r="AN10" s="2469" t="s">
        <v>2507</v>
      </c>
      <c r="AO10" s="2477" t="s">
        <v>2508</v>
      </c>
    </row>
    <row r="11" spans="2:41">
      <c r="B11" s="276" t="s">
        <v>2509</v>
      </c>
      <c r="C11" s="277" t="s">
        <v>1210</v>
      </c>
      <c r="D11" s="277"/>
      <c r="E11" s="278" t="s">
        <v>49</v>
      </c>
      <c r="F11" s="279">
        <v>3</v>
      </c>
      <c r="G11" s="440">
        <v>0</v>
      </c>
      <c r="H11" s="441"/>
      <c r="I11" s="1832"/>
      <c r="J11" s="440">
        <v>0.43499999999999994</v>
      </c>
      <c r="K11" s="441"/>
      <c r="L11" s="823"/>
      <c r="N11" s="24">
        <f xml:space="preserve"> IF( SUM( P11:W11 ) = 0, 0, $Q$4 )</f>
        <v>0</v>
      </c>
      <c r="Q11" s="93">
        <f t="shared" ref="Q11:Q12" si="0" xml:space="preserve"> IF( ISNUMBER( G11 ), 0, 1 )</f>
        <v>0</v>
      </c>
      <c r="R11" s="93">
        <f>IF(Validation!$H$3=1,0,IF(ISNUMBER(H11),0,1))</f>
        <v>0</v>
      </c>
      <c r="S11" s="93">
        <f>IF( Validation!$H$3 = 1, 0, IF(Validation!$B$3 &lt;&gt; "Thames Water",0, (IF(ISNUMBER(I11),0,1))))</f>
        <v>0</v>
      </c>
      <c r="T11" s="93">
        <f t="shared" ref="T11:T12" si="1" xml:space="preserve"> IF( ISNUMBER( J11 ), 0, 1 )</f>
        <v>0</v>
      </c>
      <c r="U11" s="93">
        <f>IF(Validation!$H$3=1,0,IF(ISNUMBER(K11),0,1))</f>
        <v>0</v>
      </c>
      <c r="V11" s="93">
        <f>IF( Validation!$H$3 = 1, 0, IF(Validation!$B$3 &lt;&gt; "Thames Water",0, (IF(ISNUMBER(L11),0,1))))</f>
        <v>0</v>
      </c>
      <c r="AE11" s="276" t="s">
        <v>2509</v>
      </c>
      <c r="AF11" s="277" t="s">
        <v>1210</v>
      </c>
      <c r="AG11" s="277"/>
      <c r="AH11" s="278" t="s">
        <v>49</v>
      </c>
      <c r="AI11" s="279">
        <v>3</v>
      </c>
      <c r="AJ11" s="2192" t="s">
        <v>2510</v>
      </c>
      <c r="AK11" s="2253" t="s">
        <v>2511</v>
      </c>
      <c r="AL11" s="2515" t="s">
        <v>2512</v>
      </c>
      <c r="AM11" s="2192" t="s">
        <v>2513</v>
      </c>
      <c r="AN11" s="2192" t="s">
        <v>2514</v>
      </c>
      <c r="AO11" s="2253" t="s">
        <v>2515</v>
      </c>
    </row>
    <row r="12" spans="2:41">
      <c r="B12" s="276" t="s">
        <v>2516</v>
      </c>
      <c r="C12" s="277" t="s">
        <v>2517</v>
      </c>
      <c r="D12" s="277"/>
      <c r="E12" s="278" t="s">
        <v>49</v>
      </c>
      <c r="F12" s="279">
        <v>3</v>
      </c>
      <c r="G12" s="440">
        <v>3.8650000000000002</v>
      </c>
      <c r="H12" s="441"/>
      <c r="I12" s="1832"/>
      <c r="J12" s="440">
        <v>4.9800000000000004</v>
      </c>
      <c r="K12" s="441"/>
      <c r="L12" s="823"/>
      <c r="N12" s="24">
        <f xml:space="preserve"> IF( SUM( P12:W12 ) = 0, 0, $Q$4 )</f>
        <v>0</v>
      </c>
      <c r="Q12" s="93">
        <f t="shared" si="0"/>
        <v>0</v>
      </c>
      <c r="R12" s="93">
        <f>IF(Validation!$H$3=1,0,IF(ISNUMBER(H12),0,1))</f>
        <v>0</v>
      </c>
      <c r="S12" s="93">
        <f>IF( Validation!$H$3 = 1, 0, IF(Validation!$B$3 &lt;&gt; "Thames Water",0, (IF(ISNUMBER(I12),0,1))))</f>
        <v>0</v>
      </c>
      <c r="T12" s="93">
        <f t="shared" si="1"/>
        <v>0</v>
      </c>
      <c r="U12" s="93">
        <f>IF(Validation!$H$3=1,0,IF(ISNUMBER(K12),0,1))</f>
        <v>0</v>
      </c>
      <c r="V12" s="93">
        <f>IF( Validation!$H$3 = 1, 0, IF(Validation!$B$3 &lt;&gt; "Thames Water",0, (IF(ISNUMBER(L12),0,1))))</f>
        <v>0</v>
      </c>
      <c r="AE12" s="276" t="s">
        <v>2516</v>
      </c>
      <c r="AF12" s="277" t="s">
        <v>2517</v>
      </c>
      <c r="AG12" s="277"/>
      <c r="AH12" s="278" t="s">
        <v>49</v>
      </c>
      <c r="AI12" s="279">
        <v>3</v>
      </c>
      <c r="AJ12" s="2192" t="s">
        <v>2518</v>
      </c>
      <c r="AK12" s="2253" t="s">
        <v>2519</v>
      </c>
      <c r="AL12" s="2515" t="s">
        <v>2520</v>
      </c>
      <c r="AM12" s="2192" t="s">
        <v>2521</v>
      </c>
      <c r="AN12" s="2192" t="s">
        <v>2522</v>
      </c>
      <c r="AO12" s="2253" t="s">
        <v>2523</v>
      </c>
    </row>
    <row r="13" spans="2:41" ht="14.5" thickBot="1">
      <c r="B13" s="281" t="s">
        <v>2524</v>
      </c>
      <c r="C13" s="282" t="s">
        <v>2525</v>
      </c>
      <c r="D13" s="282"/>
      <c r="E13" s="633" t="s">
        <v>49</v>
      </c>
      <c r="F13" s="284">
        <v>3</v>
      </c>
      <c r="G13" s="333">
        <f>SUM(G10:G12)</f>
        <v>5.4660000000000002</v>
      </c>
      <c r="H13" s="334">
        <f t="shared" ref="H13:L13" si="2">SUM(H10:H12)</f>
        <v>0</v>
      </c>
      <c r="I13" s="1833">
        <f t="shared" si="2"/>
        <v>0</v>
      </c>
      <c r="J13" s="333">
        <f t="shared" si="2"/>
        <v>12.754999999999999</v>
      </c>
      <c r="K13" s="334">
        <f t="shared" si="2"/>
        <v>0</v>
      </c>
      <c r="L13" s="335">
        <f t="shared" si="2"/>
        <v>0</v>
      </c>
      <c r="Q13" s="127"/>
      <c r="R13" s="127"/>
      <c r="S13" s="127"/>
      <c r="T13" s="127"/>
      <c r="U13" s="127"/>
      <c r="V13" s="127"/>
      <c r="AE13" s="281" t="s">
        <v>2524</v>
      </c>
      <c r="AF13" s="282" t="s">
        <v>2525</v>
      </c>
      <c r="AG13" s="282"/>
      <c r="AH13" s="633" t="s">
        <v>49</v>
      </c>
      <c r="AI13" s="284">
        <v>3</v>
      </c>
      <c r="AJ13" s="333" t="s">
        <v>2526</v>
      </c>
      <c r="AK13" s="335" t="s">
        <v>2527</v>
      </c>
      <c r="AL13" s="1833" t="s">
        <v>2528</v>
      </c>
      <c r="AM13" s="333" t="s">
        <v>2529</v>
      </c>
      <c r="AN13" s="333" t="s">
        <v>2530</v>
      </c>
      <c r="AO13" s="335" t="s">
        <v>2531</v>
      </c>
    </row>
    <row r="14" spans="2:41" ht="14.5" thickBot="1">
      <c r="B14" s="267"/>
      <c r="C14" s="267"/>
      <c r="D14" s="267"/>
      <c r="E14" s="268"/>
      <c r="F14" s="269"/>
      <c r="G14" s="267"/>
      <c r="H14" s="267"/>
      <c r="I14" s="267"/>
      <c r="J14" s="267"/>
      <c r="K14" s="267"/>
      <c r="L14" s="267"/>
      <c r="Q14" s="280"/>
      <c r="R14" s="110"/>
      <c r="S14" s="110"/>
      <c r="T14" s="110"/>
      <c r="U14" s="110"/>
      <c r="V14" s="110"/>
      <c r="AE14" s="267"/>
      <c r="AF14" s="267"/>
      <c r="AG14" s="267"/>
      <c r="AH14" s="268"/>
      <c r="AI14" s="269"/>
      <c r="AJ14" s="267"/>
      <c r="AK14" s="270"/>
      <c r="AL14" s="270"/>
      <c r="AM14" s="270"/>
      <c r="AN14" s="270"/>
      <c r="AO14" s="270"/>
    </row>
    <row r="15" spans="2:41" ht="14.5" thickBot="1">
      <c r="B15" s="261" t="s">
        <v>333</v>
      </c>
      <c r="C15" s="27" t="s">
        <v>2532</v>
      </c>
      <c r="D15" s="1476"/>
      <c r="E15" s="271"/>
      <c r="F15" s="271"/>
      <c r="G15" s="267"/>
      <c r="H15" s="267"/>
      <c r="I15" s="267"/>
      <c r="J15" s="267"/>
      <c r="K15" s="267"/>
      <c r="L15" s="267"/>
      <c r="Q15" s="280"/>
      <c r="R15" s="110"/>
      <c r="S15" s="110"/>
      <c r="T15" s="110"/>
      <c r="U15" s="110"/>
      <c r="V15" s="110"/>
      <c r="AE15" s="261" t="s">
        <v>333</v>
      </c>
      <c r="AF15" s="27" t="s">
        <v>2532</v>
      </c>
      <c r="AG15" s="1476"/>
      <c r="AH15" s="271"/>
      <c r="AI15" s="271"/>
      <c r="AJ15" s="267"/>
      <c r="AK15" s="141"/>
      <c r="AL15" s="141"/>
      <c r="AM15" s="141"/>
      <c r="AN15" s="141"/>
      <c r="AO15" s="141"/>
    </row>
    <row r="16" spans="2:41" ht="14.5" thickBot="1">
      <c r="B16" s="263" t="s">
        <v>2533</v>
      </c>
      <c r="C16" s="264" t="s">
        <v>2532</v>
      </c>
      <c r="D16" s="264"/>
      <c r="E16" s="265" t="s">
        <v>49</v>
      </c>
      <c r="F16" s="266">
        <v>3</v>
      </c>
      <c r="G16" s="1563">
        <v>0</v>
      </c>
      <c r="H16" s="1838"/>
      <c r="I16" s="1834"/>
      <c r="J16" s="1563">
        <v>0.68500000000000005</v>
      </c>
      <c r="K16" s="1838"/>
      <c r="L16" s="1564"/>
      <c r="N16" s="24">
        <f xml:space="preserve"> IF( SUM( P16:W16 ) = 0, 0, $Q$4 )</f>
        <v>0</v>
      </c>
      <c r="Q16" s="93">
        <f t="shared" ref="Q16" si="3" xml:space="preserve"> IF( ISNUMBER( G16 ), 0, 1 )</f>
        <v>0</v>
      </c>
      <c r="R16" s="93">
        <f>IF(Validation!$H$3=1,0,IF(ISNUMBER(H16),0,1))</f>
        <v>0</v>
      </c>
      <c r="S16" s="93">
        <f>IF( Validation!$H$3 = 1, 0, IF(Validation!$B$3 &lt;&gt; "Thames Water",0, (IF(ISNUMBER(I16),0,1))))</f>
        <v>0</v>
      </c>
      <c r="T16" s="93">
        <f t="shared" ref="T16" si="4" xml:space="preserve"> IF( ISNUMBER( J16 ), 0, 1 )</f>
        <v>0</v>
      </c>
      <c r="U16" s="93">
        <f>IF(Validation!$H$3=1,0,IF(ISNUMBER(K16),0,1))</f>
        <v>0</v>
      </c>
      <c r="V16" s="93">
        <f>IF( Validation!$H$3 = 1, 0, IF(Validation!$B$3 &lt;&gt; "Thames Water",0, (IF(ISNUMBER(L16),0,1))))</f>
        <v>0</v>
      </c>
      <c r="AE16" s="263" t="s">
        <v>2533</v>
      </c>
      <c r="AF16" s="264" t="s">
        <v>2532</v>
      </c>
      <c r="AG16" s="264"/>
      <c r="AH16" s="265" t="s">
        <v>49</v>
      </c>
      <c r="AI16" s="266">
        <v>3</v>
      </c>
      <c r="AJ16" s="1840" t="s">
        <v>2534</v>
      </c>
      <c r="AK16" s="2513" t="s">
        <v>2535</v>
      </c>
      <c r="AL16" s="2516" t="s">
        <v>2536</v>
      </c>
      <c r="AM16" s="1840" t="s">
        <v>2537</v>
      </c>
      <c r="AN16" s="1840" t="s">
        <v>2538</v>
      </c>
      <c r="AO16" s="2513" t="s">
        <v>2539</v>
      </c>
    </row>
    <row r="17" spans="2:41" ht="14.5" thickBot="1">
      <c r="B17" s="267"/>
      <c r="C17" s="267"/>
      <c r="D17" s="267"/>
      <c r="E17" s="268"/>
      <c r="F17" s="269"/>
      <c r="G17" s="267"/>
      <c r="H17" s="267"/>
      <c r="I17" s="267"/>
      <c r="J17" s="267"/>
      <c r="K17" s="267"/>
      <c r="L17" s="267"/>
      <c r="Q17" s="280"/>
      <c r="R17" s="110"/>
      <c r="S17" s="110"/>
      <c r="T17" s="110"/>
      <c r="U17" s="110"/>
      <c r="V17" s="110"/>
      <c r="AE17" s="267"/>
      <c r="AF17" s="267"/>
      <c r="AG17" s="267"/>
      <c r="AH17" s="268"/>
      <c r="AI17" s="269"/>
      <c r="AJ17" s="267"/>
      <c r="AK17" s="270"/>
      <c r="AL17" s="270"/>
      <c r="AM17" s="270"/>
      <c r="AN17" s="270"/>
      <c r="AO17" s="270"/>
    </row>
    <row r="18" spans="2:41" ht="14.5" thickBot="1">
      <c r="B18" s="2851" t="s">
        <v>390</v>
      </c>
      <c r="C18" s="298" t="s">
        <v>2540</v>
      </c>
      <c r="D18" s="1476"/>
      <c r="E18" s="271"/>
      <c r="F18" s="271"/>
      <c r="G18" s="267"/>
      <c r="H18" s="267"/>
      <c r="I18" s="267"/>
      <c r="J18" s="267"/>
      <c r="K18" s="267"/>
      <c r="L18" s="267"/>
      <c r="Q18" s="280"/>
      <c r="R18" s="110"/>
      <c r="S18" s="110"/>
      <c r="T18" s="110"/>
      <c r="U18" s="110"/>
      <c r="V18" s="110"/>
      <c r="AE18" s="2851" t="s">
        <v>390</v>
      </c>
      <c r="AF18" s="298" t="s">
        <v>2540</v>
      </c>
      <c r="AG18" s="1476"/>
      <c r="AH18" s="271"/>
      <c r="AI18" s="271"/>
      <c r="AJ18" s="267"/>
      <c r="AK18" s="141"/>
      <c r="AL18" s="141"/>
      <c r="AM18" s="141"/>
      <c r="AN18" s="141"/>
      <c r="AO18" s="141"/>
    </row>
    <row r="19" spans="2:41">
      <c r="B19" s="272" t="s">
        <v>2541</v>
      </c>
      <c r="C19" s="273" t="s">
        <v>2540</v>
      </c>
      <c r="D19" s="273"/>
      <c r="E19" s="274" t="s">
        <v>49</v>
      </c>
      <c r="F19" s="634">
        <v>3</v>
      </c>
      <c r="G19" s="747">
        <f xml:space="preserve"> G7 - G13 + G16</f>
        <v>122.61675499334457</v>
      </c>
      <c r="H19" s="679">
        <f t="shared" ref="H19:L19" si="5" xml:space="preserve"> H7 - H13 + H16</f>
        <v>0</v>
      </c>
      <c r="I19" s="1835">
        <f t="shared" si="5"/>
        <v>0</v>
      </c>
      <c r="J19" s="747">
        <f t="shared" si="5"/>
        <v>481.95400000000001</v>
      </c>
      <c r="K19" s="679">
        <f t="shared" si="5"/>
        <v>0</v>
      </c>
      <c r="L19" s="331">
        <f t="shared" si="5"/>
        <v>0</v>
      </c>
      <c r="Q19" s="280"/>
      <c r="R19" s="110"/>
      <c r="S19" s="110"/>
      <c r="T19" s="110"/>
      <c r="U19" s="110"/>
      <c r="V19" s="110"/>
      <c r="AE19" s="272" t="s">
        <v>2541</v>
      </c>
      <c r="AF19" s="273" t="s">
        <v>2540</v>
      </c>
      <c r="AG19" s="273"/>
      <c r="AH19" s="274" t="s">
        <v>49</v>
      </c>
      <c r="AI19" s="634">
        <v>3</v>
      </c>
      <c r="AJ19" s="747" t="s">
        <v>2542</v>
      </c>
      <c r="AK19" s="331" t="s">
        <v>2543</v>
      </c>
      <c r="AL19" s="1835" t="s">
        <v>2544</v>
      </c>
      <c r="AM19" s="747" t="s">
        <v>2545</v>
      </c>
      <c r="AN19" s="747" t="s">
        <v>2546</v>
      </c>
      <c r="AO19" s="331" t="s">
        <v>2547</v>
      </c>
    </row>
    <row r="20" spans="2:41" ht="14.5" thickBot="1">
      <c r="B20" s="281" t="s">
        <v>2548</v>
      </c>
      <c r="C20" s="282" t="s">
        <v>2549</v>
      </c>
      <c r="D20" s="282"/>
      <c r="E20" s="633" t="s">
        <v>49</v>
      </c>
      <c r="F20" s="635">
        <v>3</v>
      </c>
      <c r="G20" s="1565">
        <v>103.25</v>
      </c>
      <c r="H20" s="1839"/>
      <c r="I20" s="1836"/>
      <c r="J20" s="1565">
        <v>426.59100000000001</v>
      </c>
      <c r="K20" s="1839"/>
      <c r="L20" s="1566"/>
      <c r="N20" s="24">
        <f xml:space="preserve"> IF( SUM( P20:W20 ) = 0, 0, $Q$4 )</f>
        <v>0</v>
      </c>
      <c r="Q20" s="93">
        <f t="shared" ref="Q20:Q23" si="6" xml:space="preserve"> IF( ISNUMBER( G20 ), 0, 1 )</f>
        <v>0</v>
      </c>
      <c r="R20" s="93">
        <f>IF(Validation!$H$3=1,0,IF(ISNUMBER(H20),0,1))</f>
        <v>0</v>
      </c>
      <c r="S20" s="93">
        <f>IF( Validation!$H$3 = 1, 0, IF(Validation!$B$3 &lt;&gt; "Thames Water",0, (IF(ISNUMBER(I20),0,1))))</f>
        <v>0</v>
      </c>
      <c r="T20" s="93">
        <f t="shared" ref="T20" si="7" xml:space="preserve"> IF( ISNUMBER( J20 ), 0, 1 )</f>
        <v>0</v>
      </c>
      <c r="U20" s="93">
        <f>IF(Validation!$H$3=1,0,IF(ISNUMBER(K20),0,1))</f>
        <v>0</v>
      </c>
      <c r="V20" s="93">
        <f>IF( Validation!$H$3 = 1, 0, IF(Validation!$B$3 &lt;&gt; "Thames Water",0, (IF(ISNUMBER(L20),0,1))))</f>
        <v>0</v>
      </c>
      <c r="AE20" s="281" t="s">
        <v>2548</v>
      </c>
      <c r="AF20" s="282" t="s">
        <v>2549</v>
      </c>
      <c r="AG20" s="282"/>
      <c r="AH20" s="633" t="s">
        <v>49</v>
      </c>
      <c r="AI20" s="635">
        <v>3</v>
      </c>
      <c r="AJ20" s="2517" t="s">
        <v>2550</v>
      </c>
      <c r="AK20" s="2518" t="s">
        <v>2551</v>
      </c>
      <c r="AL20" s="2519" t="s">
        <v>2552</v>
      </c>
      <c r="AM20" s="2517" t="s">
        <v>2553</v>
      </c>
      <c r="AN20" s="2517" t="s">
        <v>2554</v>
      </c>
      <c r="AO20" s="2518" t="s">
        <v>2555</v>
      </c>
    </row>
    <row r="21" spans="2:41" ht="14.5" thickBot="1">
      <c r="B21" s="267"/>
      <c r="C21" s="267"/>
      <c r="D21" s="267"/>
      <c r="E21" s="268"/>
      <c r="F21" s="269"/>
      <c r="G21" s="267"/>
      <c r="H21" s="267"/>
      <c r="I21" s="267"/>
      <c r="J21" s="267"/>
      <c r="K21" s="267"/>
      <c r="L21" s="267"/>
      <c r="Q21" s="280"/>
      <c r="R21" s="110"/>
      <c r="S21" s="110"/>
      <c r="T21" s="110"/>
      <c r="U21" s="110"/>
      <c r="V21" s="110"/>
      <c r="AE21" s="267"/>
      <c r="AF21" s="267"/>
      <c r="AG21" s="267"/>
      <c r="AH21" s="268"/>
      <c r="AI21" s="269"/>
      <c r="AJ21" s="267"/>
      <c r="AK21" s="270"/>
      <c r="AL21" s="270"/>
      <c r="AM21" s="270"/>
      <c r="AN21" s="270"/>
      <c r="AO21" s="270"/>
    </row>
    <row r="22" spans="2:41" ht="14.5" thickBot="1">
      <c r="B22" s="261" t="s">
        <v>464</v>
      </c>
      <c r="C22" s="27" t="s">
        <v>2556</v>
      </c>
      <c r="D22" s="1476"/>
      <c r="E22" s="271"/>
      <c r="F22" s="271"/>
      <c r="G22" s="267"/>
      <c r="H22" s="267"/>
      <c r="I22" s="267"/>
      <c r="J22" s="267"/>
      <c r="K22" s="267"/>
      <c r="L22" s="267"/>
      <c r="Q22" s="280"/>
      <c r="R22" s="110"/>
      <c r="S22" s="110"/>
      <c r="T22" s="110"/>
      <c r="U22" s="110"/>
      <c r="V22" s="110"/>
      <c r="AE22" s="261" t="s">
        <v>464</v>
      </c>
      <c r="AF22" s="27" t="s">
        <v>2556</v>
      </c>
      <c r="AG22" s="1476"/>
      <c r="AH22" s="271"/>
      <c r="AI22" s="271"/>
      <c r="AJ22" s="267"/>
      <c r="AK22" s="141"/>
      <c r="AL22" s="141"/>
      <c r="AM22" s="141"/>
      <c r="AN22" s="141"/>
      <c r="AO22" s="141"/>
    </row>
    <row r="23" spans="2:41" ht="14.5" thickBot="1">
      <c r="B23" s="281" t="s">
        <v>2557</v>
      </c>
      <c r="C23" s="282" t="s">
        <v>2558</v>
      </c>
      <c r="D23" s="1474"/>
      <c r="E23" s="265" t="s">
        <v>49</v>
      </c>
      <c r="F23" s="266">
        <v>3</v>
      </c>
      <c r="G23" s="1563">
        <v>84.331999999999994</v>
      </c>
      <c r="H23" s="1838"/>
      <c r="I23" s="1834"/>
      <c r="J23" s="1563">
        <v>421.88499999999999</v>
      </c>
      <c r="K23" s="1838"/>
      <c r="L23" s="1564"/>
      <c r="N23" s="24">
        <f xml:space="preserve"> IF( SUM( P23:W23 ) = 0, 0, $Q$4 )</f>
        <v>0</v>
      </c>
      <c r="Q23" s="93">
        <f t="shared" si="6"/>
        <v>0</v>
      </c>
      <c r="R23" s="93">
        <f>IF(Validation!$H$3=1,0,IF(ISNUMBER(H23),0,1))</f>
        <v>0</v>
      </c>
      <c r="S23" s="93">
        <f>IF( Validation!$H$3 = 1, 0, IF(Validation!$B$3 &lt;&gt; "Thames Water",0, (IF(ISNUMBER(I23),0,1))))</f>
        <v>0</v>
      </c>
      <c r="T23" s="93">
        <f t="shared" ref="T23" si="8" xml:space="preserve"> IF( ISNUMBER( J23 ), 0, 1 )</f>
        <v>0</v>
      </c>
      <c r="U23" s="93">
        <f>IF(Validation!$H$3=1,0,IF(ISNUMBER(K23),0,1))</f>
        <v>0</v>
      </c>
      <c r="V23" s="93">
        <f>IF( Validation!$H$3 = 1, 0, IF(Validation!$B$3 &lt;&gt; "Thames Water",0, (IF(ISNUMBER(L23),0,1))))</f>
        <v>0</v>
      </c>
      <c r="AE23" s="281" t="s">
        <v>2557</v>
      </c>
      <c r="AF23" s="282" t="s">
        <v>2558</v>
      </c>
      <c r="AG23" s="1474"/>
      <c r="AH23" s="265" t="s">
        <v>49</v>
      </c>
      <c r="AI23" s="266">
        <v>3</v>
      </c>
      <c r="AJ23" s="1840" t="s">
        <v>2559</v>
      </c>
      <c r="AK23" s="2513" t="s">
        <v>2560</v>
      </c>
      <c r="AL23" s="2516" t="s">
        <v>2561</v>
      </c>
      <c r="AM23" s="1840" t="s">
        <v>2562</v>
      </c>
      <c r="AN23" s="1840" t="s">
        <v>2563</v>
      </c>
      <c r="AO23" s="2513" t="s">
        <v>2564</v>
      </c>
    </row>
    <row r="24" spans="2:41" s="70" customFormat="1">
      <c r="E24" s="85"/>
      <c r="F24" s="85"/>
      <c r="H24" s="163"/>
      <c r="I24" s="163"/>
      <c r="J24" s="163"/>
      <c r="L24" s="126"/>
      <c r="P24" s="71"/>
      <c r="Q24" s="285"/>
      <c r="R24" s="286"/>
      <c r="S24" s="286"/>
      <c r="T24" s="286"/>
      <c r="U24" s="286"/>
      <c r="V24" s="286"/>
      <c r="W24" s="71"/>
      <c r="AH24" s="85"/>
      <c r="AI24" s="85"/>
      <c r="AK24" s="163"/>
      <c r="AL24" s="163"/>
      <c r="AM24" s="163"/>
      <c r="AO24" s="126"/>
    </row>
    <row r="25" spans="2:41" s="163" customFormat="1">
      <c r="B25" s="2914" t="s">
        <v>241</v>
      </c>
      <c r="C25" s="2914"/>
      <c r="D25" s="2823"/>
      <c r="L25" s="126"/>
      <c r="M25" s="70"/>
      <c r="N25" s="70"/>
      <c r="O25" s="70"/>
      <c r="P25" s="71"/>
      <c r="Q25" s="127"/>
      <c r="R25" s="127"/>
      <c r="S25" s="127"/>
      <c r="T25" s="127"/>
      <c r="U25" s="127"/>
      <c r="V25" s="127"/>
      <c r="W25" s="71"/>
      <c r="X25" s="70"/>
    </row>
    <row r="26" spans="2:41" s="163" customFormat="1">
      <c r="B26" s="141"/>
      <c r="C26" s="142"/>
      <c r="D26" s="142"/>
      <c r="L26" s="126"/>
      <c r="M26" s="70"/>
      <c r="N26" s="70"/>
      <c r="O26" s="70"/>
      <c r="P26" s="71"/>
      <c r="Q26" s="127"/>
      <c r="R26" s="127"/>
      <c r="S26" s="127"/>
      <c r="T26" s="127"/>
      <c r="U26" s="127"/>
      <c r="V26" s="127"/>
      <c r="W26" s="71"/>
      <c r="X26" s="70"/>
    </row>
    <row r="27" spans="2:41" s="163" customFormat="1">
      <c r="B27" s="25"/>
      <c r="C27" s="143" t="s">
        <v>188</v>
      </c>
      <c r="D27" s="143"/>
      <c r="L27" s="126"/>
      <c r="M27" s="70"/>
      <c r="N27" s="70"/>
      <c r="O27" s="70"/>
      <c r="P27" s="71"/>
      <c r="Q27" s="127"/>
      <c r="R27" s="127"/>
      <c r="S27" s="127"/>
      <c r="T27" s="127"/>
      <c r="U27" s="127"/>
      <c r="V27" s="127"/>
      <c r="W27" s="71"/>
      <c r="X27" s="70"/>
    </row>
    <row r="28" spans="2:41" s="163" customFormat="1">
      <c r="B28" s="141"/>
      <c r="C28" s="142"/>
      <c r="D28" s="142"/>
      <c r="L28" s="126"/>
      <c r="M28" s="70"/>
      <c r="N28" s="70"/>
      <c r="O28" s="70"/>
      <c r="P28" s="71"/>
      <c r="Q28" s="285"/>
      <c r="R28" s="286"/>
      <c r="S28" s="286"/>
      <c r="T28" s="286"/>
      <c r="U28" s="286"/>
      <c r="V28" s="286"/>
      <c r="W28" s="71"/>
      <c r="X28" s="70"/>
    </row>
    <row r="29" spans="2:41" s="163" customFormat="1">
      <c r="B29" s="144"/>
      <c r="C29" s="143" t="s">
        <v>189</v>
      </c>
      <c r="D29" s="143"/>
      <c r="L29" s="126"/>
      <c r="M29" s="70"/>
      <c r="N29" s="70"/>
      <c r="O29" s="70"/>
      <c r="P29" s="71"/>
      <c r="Q29" s="280"/>
      <c r="R29" s="110"/>
      <c r="S29" s="110"/>
      <c r="T29" s="110"/>
      <c r="U29" s="110"/>
      <c r="V29" s="110"/>
      <c r="W29" s="71"/>
      <c r="X29" s="70"/>
    </row>
    <row r="30" spans="2:41" s="163" customFormat="1">
      <c r="B30" s="145"/>
      <c r="C30" s="143"/>
      <c r="D30" s="143"/>
      <c r="L30" s="126"/>
      <c r="M30" s="118"/>
      <c r="N30" s="120"/>
      <c r="O30" s="118"/>
      <c r="P30" s="124"/>
      <c r="Q30" s="280"/>
      <c r="R30" s="110"/>
      <c r="S30" s="110"/>
      <c r="T30" s="110"/>
      <c r="U30" s="110"/>
      <c r="V30" s="110"/>
      <c r="W30" s="124"/>
      <c r="X30" s="110"/>
    </row>
    <row r="31" spans="2:41" s="163" customFormat="1">
      <c r="B31" s="2188"/>
      <c r="C31" s="179" t="s">
        <v>242</v>
      </c>
      <c r="D31" s="143"/>
      <c r="L31" s="126"/>
      <c r="M31" s="118"/>
      <c r="N31" s="120"/>
      <c r="O31" s="118"/>
      <c r="P31" s="124"/>
      <c r="Q31" s="280"/>
      <c r="R31" s="110"/>
      <c r="S31" s="110"/>
      <c r="T31" s="110"/>
      <c r="U31" s="110"/>
      <c r="V31" s="110"/>
      <c r="W31" s="124"/>
      <c r="X31" s="110"/>
    </row>
    <row r="32" spans="2:41" s="178" customFormat="1" ht="13" thickBot="1">
      <c r="C32" s="179"/>
      <c r="D32" s="179"/>
      <c r="L32" s="130"/>
      <c r="M32" s="126"/>
      <c r="N32" s="126"/>
      <c r="O32" s="126"/>
      <c r="P32" s="119"/>
      <c r="Q32" s="203"/>
      <c r="R32" s="163"/>
      <c r="S32" s="163"/>
      <c r="T32" s="163"/>
      <c r="U32" s="163"/>
      <c r="V32" s="163"/>
      <c r="W32" s="119"/>
      <c r="X32" s="163"/>
    </row>
    <row r="33" spans="1:24" s="178" customFormat="1" ht="14.65" customHeight="1" thickBot="1">
      <c r="B33" s="2886" t="s">
        <v>190</v>
      </c>
      <c r="C33" s="148"/>
      <c r="D33" s="148"/>
      <c r="E33" s="148"/>
      <c r="F33" s="148"/>
      <c r="G33" s="148"/>
      <c r="H33" s="148"/>
      <c r="I33" s="148"/>
      <c r="J33" s="148"/>
      <c r="K33" s="148"/>
      <c r="L33" s="251"/>
      <c r="M33" s="126"/>
      <c r="N33" s="126"/>
      <c r="O33" s="126"/>
      <c r="P33" s="119"/>
      <c r="Q33" s="203"/>
      <c r="R33" s="163"/>
      <c r="S33" s="163"/>
      <c r="T33" s="163"/>
      <c r="U33" s="163"/>
      <c r="V33" s="163"/>
      <c r="W33" s="119"/>
      <c r="X33" s="163"/>
    </row>
    <row r="34" spans="1:24" s="178" customFormat="1" ht="12.5">
      <c r="C34" s="179"/>
      <c r="D34" s="179"/>
      <c r="L34" s="130"/>
      <c r="M34" s="126"/>
      <c r="N34" s="126"/>
      <c r="O34" s="126"/>
      <c r="P34" s="119"/>
      <c r="Q34" s="203"/>
      <c r="R34" s="163"/>
      <c r="S34" s="163"/>
      <c r="T34" s="163"/>
      <c r="U34" s="163"/>
      <c r="V34" s="163"/>
      <c r="W34" s="119"/>
      <c r="X34" s="163"/>
    </row>
    <row r="35" spans="1:24" s="110" customFormat="1" ht="15.5" hidden="1" thickBot="1">
      <c r="A35" s="1528"/>
      <c r="B35" s="146" t="str">
        <f ca="1" xml:space="preserve"> RIGHT(CELL("filename", $A$1), LEN(CELL("filename", $A$1)) - SEARCH("]", CELL("filename", $A$1)))&amp;" - Line definitions"</f>
        <v>4B - Line definitions</v>
      </c>
      <c r="C35" s="147"/>
      <c r="D35" s="147"/>
      <c r="E35" s="148"/>
      <c r="F35" s="148"/>
      <c r="G35" s="148"/>
      <c r="H35" s="148"/>
      <c r="I35" s="148"/>
      <c r="J35" s="148"/>
      <c r="K35" s="148"/>
      <c r="L35" s="251"/>
      <c r="M35" s="126"/>
      <c r="N35" s="126"/>
      <c r="O35" s="126"/>
      <c r="P35" s="119"/>
      <c r="Q35" s="203"/>
      <c r="R35" s="163"/>
      <c r="S35" s="163"/>
      <c r="T35" s="163"/>
      <c r="U35" s="163"/>
      <c r="V35" s="163"/>
      <c r="W35" s="119"/>
      <c r="X35" s="163"/>
    </row>
    <row r="36" spans="1:24" s="110" customFormat="1" ht="14.5" hidden="1" thickBot="1">
      <c r="A36" s="1528"/>
      <c r="B36" s="74"/>
      <c r="C36" s="155"/>
      <c r="D36" s="155"/>
      <c r="E36" s="74"/>
      <c r="F36" s="74"/>
      <c r="G36" s="74"/>
      <c r="L36" s="118"/>
      <c r="M36" s="126"/>
      <c r="N36" s="126"/>
      <c r="O36" s="126"/>
      <c r="P36" s="119"/>
      <c r="Q36" s="203"/>
      <c r="R36" s="163"/>
      <c r="S36" s="163"/>
      <c r="T36" s="163"/>
      <c r="U36" s="163"/>
      <c r="V36" s="163"/>
      <c r="W36" s="119"/>
      <c r="X36" s="163"/>
    </row>
    <row r="37" spans="1:24" s="178" customFormat="1" hidden="1" thickBot="1">
      <c r="A37" s="1529"/>
      <c r="B37" s="287" t="s">
        <v>191</v>
      </c>
      <c r="C37" s="2847" t="s">
        <v>192</v>
      </c>
      <c r="D37" s="2848"/>
      <c r="E37" s="2848"/>
      <c r="F37" s="2848"/>
      <c r="G37" s="2848"/>
      <c r="H37" s="2848"/>
      <c r="I37" s="2848"/>
      <c r="J37" s="2848"/>
      <c r="K37" s="2848"/>
      <c r="L37" s="2849"/>
      <c r="M37" s="126"/>
      <c r="N37" s="126"/>
      <c r="O37" s="126"/>
      <c r="P37" s="119"/>
      <c r="Q37" s="85" t="s">
        <v>193</v>
      </c>
      <c r="R37" s="163"/>
      <c r="S37" s="163"/>
      <c r="T37" s="163"/>
      <c r="U37" s="163"/>
      <c r="V37" s="163"/>
      <c r="W37" s="119"/>
      <c r="X37" s="163"/>
    </row>
    <row r="38" spans="1:24" s="110" customFormat="1" ht="13.5" hidden="1" customHeight="1">
      <c r="A38" s="1528"/>
      <c r="B38" s="181" t="s">
        <v>2494</v>
      </c>
      <c r="C38" s="2965" t="s">
        <v>2565</v>
      </c>
      <c r="D38" s="2966"/>
      <c r="E38" s="2966"/>
      <c r="F38" s="2966"/>
      <c r="G38" s="2966"/>
      <c r="H38" s="2966"/>
      <c r="I38" s="2966"/>
      <c r="J38" s="2966"/>
      <c r="K38" s="2966"/>
      <c r="L38" s="2967"/>
      <c r="M38" s="126"/>
      <c r="N38" s="126"/>
      <c r="O38" s="126"/>
      <c r="P38" s="119"/>
      <c r="Q38" s="202">
        <v>1</v>
      </c>
      <c r="R38" s="163"/>
      <c r="S38" s="163"/>
      <c r="T38" s="163"/>
      <c r="U38" s="163"/>
      <c r="V38" s="163"/>
      <c r="W38" s="119"/>
      <c r="X38" s="163"/>
    </row>
    <row r="39" spans="1:24" s="110" customFormat="1" ht="46.5" hidden="1" customHeight="1">
      <c r="A39" s="1528"/>
      <c r="B39" s="159" t="s">
        <v>2501</v>
      </c>
      <c r="C39" s="2962" t="s">
        <v>2566</v>
      </c>
      <c r="D39" s="2963"/>
      <c r="E39" s="2963"/>
      <c r="F39" s="2963"/>
      <c r="G39" s="2963"/>
      <c r="H39" s="2963"/>
      <c r="I39" s="2963"/>
      <c r="J39" s="2963"/>
      <c r="K39" s="2963"/>
      <c r="L39" s="2964"/>
      <c r="M39" s="126"/>
      <c r="N39" s="126"/>
      <c r="O39" s="126"/>
      <c r="P39" s="119"/>
      <c r="Q39" s="202" t="s">
        <v>2567</v>
      </c>
      <c r="R39" s="178"/>
      <c r="S39" s="178"/>
      <c r="T39" s="178"/>
      <c r="U39" s="178"/>
      <c r="V39" s="178"/>
      <c r="W39" s="119"/>
      <c r="X39" s="178"/>
    </row>
    <row r="40" spans="1:24" s="110" customFormat="1" ht="46.5" hidden="1" customHeight="1">
      <c r="A40" s="1528"/>
      <c r="B40" s="159" t="s">
        <v>2509</v>
      </c>
      <c r="C40" s="2962" t="s">
        <v>2568</v>
      </c>
      <c r="D40" s="2963"/>
      <c r="E40" s="2963"/>
      <c r="F40" s="2963"/>
      <c r="G40" s="2963"/>
      <c r="H40" s="2963"/>
      <c r="I40" s="2963"/>
      <c r="J40" s="2963"/>
      <c r="K40" s="2963"/>
      <c r="L40" s="2964"/>
      <c r="M40" s="126"/>
      <c r="N40" s="126"/>
      <c r="O40" s="126"/>
      <c r="P40" s="119"/>
      <c r="Q40" s="202" t="s">
        <v>2567</v>
      </c>
      <c r="R40" s="178"/>
      <c r="S40" s="178"/>
      <c r="T40" s="178"/>
      <c r="U40" s="178"/>
      <c r="V40" s="178"/>
      <c r="W40" s="119"/>
      <c r="X40" s="178"/>
    </row>
    <row r="41" spans="1:24" s="110" customFormat="1" ht="13.5" hidden="1" customHeight="1">
      <c r="A41" s="1528"/>
      <c r="B41" s="159" t="s">
        <v>2516</v>
      </c>
      <c r="C41" s="2962" t="s">
        <v>2569</v>
      </c>
      <c r="D41" s="2963"/>
      <c r="E41" s="2963"/>
      <c r="F41" s="2963"/>
      <c r="G41" s="2963"/>
      <c r="H41" s="2963"/>
      <c r="I41" s="2963"/>
      <c r="J41" s="2963"/>
      <c r="K41" s="2963"/>
      <c r="L41" s="2964"/>
      <c r="M41" s="126"/>
      <c r="N41" s="120"/>
      <c r="O41" s="118"/>
      <c r="P41" s="124"/>
      <c r="Q41" s="202">
        <v>1</v>
      </c>
      <c r="W41" s="124"/>
    </row>
    <row r="42" spans="1:24" s="110" customFormat="1" hidden="1">
      <c r="A42" s="1528"/>
      <c r="B42" s="159" t="s">
        <v>2524</v>
      </c>
      <c r="C42" s="2962" t="s">
        <v>2570</v>
      </c>
      <c r="D42" s="2963"/>
      <c r="E42" s="2963"/>
      <c r="F42" s="2963"/>
      <c r="G42" s="2963"/>
      <c r="H42" s="2963"/>
      <c r="I42" s="2963"/>
      <c r="J42" s="2963"/>
      <c r="K42" s="2963"/>
      <c r="L42" s="2964"/>
      <c r="M42" s="126"/>
      <c r="N42" s="120"/>
      <c r="O42" s="118"/>
      <c r="P42" s="124"/>
      <c r="Q42" s="202">
        <v>1</v>
      </c>
      <c r="W42" s="124"/>
    </row>
    <row r="43" spans="1:24" s="110" customFormat="1" ht="13.5" hidden="1" customHeight="1">
      <c r="A43" s="1528"/>
      <c r="B43" s="159" t="s">
        <v>2533</v>
      </c>
      <c r="C43" s="2962" t="s">
        <v>2571</v>
      </c>
      <c r="D43" s="2963"/>
      <c r="E43" s="2963"/>
      <c r="F43" s="2963"/>
      <c r="G43" s="2963"/>
      <c r="H43" s="2963"/>
      <c r="I43" s="2963"/>
      <c r="J43" s="2963"/>
      <c r="K43" s="2963"/>
      <c r="L43" s="2964"/>
      <c r="M43" s="126"/>
      <c r="N43" s="130"/>
      <c r="O43" s="118"/>
      <c r="P43" s="124"/>
      <c r="Q43" s="202">
        <v>1</v>
      </c>
      <c r="R43" s="178"/>
      <c r="S43" s="178"/>
      <c r="T43" s="178"/>
      <c r="U43" s="178"/>
      <c r="V43" s="178"/>
      <c r="W43" s="124"/>
      <c r="X43" s="178"/>
    </row>
    <row r="44" spans="1:24" s="110" customFormat="1" hidden="1">
      <c r="A44" s="1528"/>
      <c r="B44" s="159" t="s">
        <v>2541</v>
      </c>
      <c r="C44" s="2962" t="s">
        <v>2572</v>
      </c>
      <c r="D44" s="2963"/>
      <c r="E44" s="2963"/>
      <c r="F44" s="2963"/>
      <c r="G44" s="2963"/>
      <c r="H44" s="2963"/>
      <c r="I44" s="2963"/>
      <c r="J44" s="2963"/>
      <c r="K44" s="2963"/>
      <c r="L44" s="2964"/>
      <c r="M44" s="126"/>
      <c r="N44" s="120"/>
      <c r="O44" s="118"/>
      <c r="P44" s="124"/>
      <c r="Q44" s="202">
        <v>1</v>
      </c>
      <c r="W44" s="124"/>
    </row>
    <row r="45" spans="1:24" s="110" customFormat="1" ht="13.5" hidden="1" customHeight="1">
      <c r="A45" s="1528"/>
      <c r="B45" s="784" t="s">
        <v>2548</v>
      </c>
      <c r="C45" s="2962" t="s">
        <v>2573</v>
      </c>
      <c r="D45" s="2963"/>
      <c r="E45" s="2963"/>
      <c r="F45" s="2963"/>
      <c r="G45" s="2963"/>
      <c r="H45" s="2963"/>
      <c r="I45" s="2963"/>
      <c r="J45" s="2963"/>
      <c r="K45" s="2963"/>
      <c r="L45" s="2964"/>
      <c r="M45" s="126"/>
      <c r="N45" s="120"/>
      <c r="O45" s="118"/>
      <c r="P45" s="124"/>
      <c r="Q45" s="202">
        <v>1</v>
      </c>
      <c r="W45" s="124"/>
    </row>
    <row r="46" spans="1:24" s="110" customFormat="1" ht="47.25" hidden="1" customHeight="1" thickBot="1">
      <c r="A46" s="1528"/>
      <c r="B46" s="183" t="s">
        <v>2557</v>
      </c>
      <c r="C46" s="2968" t="s">
        <v>2574</v>
      </c>
      <c r="D46" s="2969"/>
      <c r="E46" s="2969"/>
      <c r="F46" s="2969"/>
      <c r="G46" s="2969"/>
      <c r="H46" s="2969"/>
      <c r="I46" s="2969"/>
      <c r="J46" s="2969"/>
      <c r="K46" s="2969"/>
      <c r="L46" s="2970"/>
      <c r="M46" s="126"/>
      <c r="N46" s="120"/>
      <c r="O46" s="118"/>
      <c r="P46" s="124"/>
      <c r="Q46" s="202" t="s">
        <v>2212</v>
      </c>
      <c r="W46" s="124"/>
    </row>
    <row r="47" spans="1:24" hidden="1">
      <c r="A47" s="1532"/>
      <c r="M47" s="130"/>
      <c r="N47" s="120"/>
      <c r="O47" s="118"/>
      <c r="P47" s="124"/>
      <c r="Q47" s="291"/>
      <c r="R47" s="110"/>
      <c r="S47" s="110"/>
      <c r="T47" s="110"/>
      <c r="U47" s="110"/>
      <c r="V47" s="110"/>
      <c r="W47" s="124"/>
      <c r="X47" s="110"/>
    </row>
  </sheetData>
  <sheetProtection algorithmName="SHA-512" hashValue="Y1AyUKqkKYo3WMwEpphZIGFSosb4d8Q8s4Lur34igLtYqZtO1gmECP5ubbr8sPS/i2CYexq5dSlhl+TZQUiaww==" saltValue="2ZQZ7Fx47Pq8PnIBCE+e+A==" spinCount="100000" sheet="1" objects="1" scenarios="1"/>
  <mergeCells count="21">
    <mergeCell ref="AM3:AO3"/>
    <mergeCell ref="C43:L43"/>
    <mergeCell ref="C44:L44"/>
    <mergeCell ref="C46:L46"/>
    <mergeCell ref="B25:C25"/>
    <mergeCell ref="C38:L38"/>
    <mergeCell ref="C39:L39"/>
    <mergeCell ref="C40:L40"/>
    <mergeCell ref="C41:L41"/>
    <mergeCell ref="C42:L42"/>
    <mergeCell ref="C45:L45"/>
    <mergeCell ref="Q3:R3"/>
    <mergeCell ref="B3:C4"/>
    <mergeCell ref="E3:E4"/>
    <mergeCell ref="F3:F4"/>
    <mergeCell ref="G3:I3"/>
    <mergeCell ref="J3:L3"/>
    <mergeCell ref="AE3:AF4"/>
    <mergeCell ref="AH3:AH4"/>
    <mergeCell ref="AI3:AI4"/>
    <mergeCell ref="AJ3:AL3"/>
  </mergeCells>
  <conditionalFormatting sqref="N10:N12">
    <cfRule type="cellIs" dxfId="323" priority="21" operator="equal">
      <formula>0</formula>
    </cfRule>
  </conditionalFormatting>
  <conditionalFormatting sqref="N20 N23">
    <cfRule type="cellIs" dxfId="322" priority="20" operator="equal">
      <formula>0</formula>
    </cfRule>
  </conditionalFormatting>
  <conditionalFormatting sqref="N16">
    <cfRule type="cellIs" dxfId="321" priority="16" operator="equal">
      <formula>0</formula>
    </cfRule>
  </conditionalFormatting>
  <conditionalFormatting sqref="N7">
    <cfRule type="cellIs" dxfId="320" priority="9" operator="equal">
      <formula>0</formula>
    </cfRule>
  </conditionalFormatting>
  <conditionalFormatting sqref="L7 I7 I10:I13 L10:L13 L16 I16 I19:I20 L19:L20 L23 I23">
    <cfRule type="expression" dxfId="319" priority="1">
      <formula>$L$1&lt;&gt;"Thames Water"</formula>
    </cfRule>
  </conditionalFormatting>
  <printOptions horizontalCentered="1"/>
  <pageMargins left="0.39370078740157483" right="0.39370078740157483" top="0.78740157480314965" bottom="0.78740157480314965" header="0.31496062992125984" footer="0.31496062992125984"/>
  <pageSetup paperSize="9" scale="85" orientation="landscape"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0" id="{9ED42E6A-E265-49B5-B1B8-D5352CAC0733}">
            <xm:f>Validation!$H$3=1</xm:f>
            <x14:dxf>
              <fill>
                <patternFill>
                  <bgColor rgb="FFE0DCD8"/>
                </patternFill>
              </fill>
            </x14:dxf>
          </x14:cfRule>
          <xm:sqref>L7 L10:L13 L16 L19:L20 L23</xm:sqref>
        </x14:conditionalFormatting>
        <x14:conditionalFormatting xmlns:xm="http://schemas.microsoft.com/office/excel/2006/main">
          <x14:cfRule type="expression" priority="7" id="{6B9C23CD-11EE-4BE9-BEBB-4DE013800261}">
            <xm:f>Validation!$H$3=1</xm:f>
            <x14:dxf>
              <fill>
                <patternFill>
                  <bgColor rgb="FFE0DCD8"/>
                </patternFill>
              </fill>
            </x14:dxf>
          </x14:cfRule>
          <xm:sqref>AK7 AK10:AK13 AK16 AK19:AK20 AK23</xm:sqref>
        </x14:conditionalFormatting>
        <x14:conditionalFormatting xmlns:xm="http://schemas.microsoft.com/office/excel/2006/main">
          <x14:cfRule type="expression" priority="6" id="{88F4BC8D-BB70-4E25-BD2C-B2B75D6371AD}">
            <xm:f>Validation!$H$3=1</xm:f>
            <x14:dxf>
              <fill>
                <patternFill>
                  <bgColor rgb="FFE0DCD8"/>
                </patternFill>
              </fill>
            </x14:dxf>
          </x14:cfRule>
          <xm:sqref>AO7 AO10:AO13 AO16 AO19:AO20 AO23</xm:sqref>
        </x14:conditionalFormatting>
        <x14:conditionalFormatting xmlns:xm="http://schemas.microsoft.com/office/excel/2006/main">
          <x14:cfRule type="expression" priority="5" id="{47A73010-EC12-4976-BEEF-226F44AC12D4}">
            <xm:f>Validation!$H$3=1</xm:f>
            <x14:dxf>
              <fill>
                <patternFill>
                  <bgColor rgb="FFE0DCD8"/>
                </patternFill>
              </fill>
            </x14:dxf>
          </x14:cfRule>
          <xm:sqref>I7 I10:I13 I16 I19:I20 I23</xm:sqref>
        </x14:conditionalFormatting>
        <x14:conditionalFormatting xmlns:xm="http://schemas.microsoft.com/office/excel/2006/main">
          <x14:cfRule type="expression" priority="4" id="{75E32922-5CAB-47C5-88AF-B9DB3D4B6BAC}">
            <xm:f>Validation!$H$3=1</xm:f>
            <x14:dxf>
              <fill>
                <patternFill>
                  <bgColor rgb="FFE0DCD8"/>
                </patternFill>
              </fill>
            </x14:dxf>
          </x14:cfRule>
          <xm:sqref>AM23 AM19:AM20 AM16 AM10:AM13 AM7</xm:sqref>
        </x14:conditionalFormatting>
        <x14:conditionalFormatting xmlns:xm="http://schemas.microsoft.com/office/excel/2006/main">
          <x14:cfRule type="expression" priority="3" id="{E1F31A8B-7655-40FD-96A6-210DCC17400B}">
            <xm:f>Validation!$H$3=1</xm:f>
            <x14:dxf>
              <fill>
                <patternFill>
                  <bgColor rgb="FFE0DCD8"/>
                </patternFill>
              </fill>
            </x14:dxf>
          </x14:cfRule>
          <xm:sqref>AL7 AL10:AL13 AL16 AL19:AL20 AL23</xm:sqref>
        </x14:conditionalFormatting>
        <x14:conditionalFormatting xmlns:xm="http://schemas.microsoft.com/office/excel/2006/main">
          <x14:cfRule type="expression" priority="2" id="{5D4D742F-8B4F-467D-9ADA-7E8E70916FCC}">
            <xm:f>Validation!$H$3=1</xm:f>
            <x14:dxf>
              <fill>
                <patternFill>
                  <bgColor theme="2"/>
                </patternFill>
              </fill>
            </x14:dxf>
          </x14:cfRule>
          <xm:sqref>K7 H7 H10:H13 K10:K13 K16 H16 H19:H20 K19:K20 K23 H23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479"/>
    <pageSetUpPr fitToPage="1"/>
  </sheetPr>
  <dimension ref="H1:H35"/>
  <sheetViews>
    <sheetView topLeftCell="XFD1048576" workbookViewId="0"/>
  </sheetViews>
  <sheetFormatPr defaultColWidth="0" defaultRowHeight="14.25" customHeight="1" zeroHeight="1"/>
  <cols>
    <col min="1" max="8" width="8.58203125" style="8" hidden="1" customWidth="1"/>
    <col min="9" max="16384" width="8.58203125" style="8" hidden="1"/>
  </cols>
  <sheetData>
    <row r="1" ht="14" hidden="1"/>
    <row r="2" ht="14.25" hidden="1" customHeight="1"/>
    <row r="3" ht="14.25" hidden="1" customHeight="1"/>
    <row r="4" ht="14.25" hidden="1" customHeight="1"/>
    <row r="5" ht="14.25" hidden="1" customHeight="1"/>
    <row r="6" ht="14.25" hidden="1" customHeight="1"/>
    <row r="7" ht="14.25" hidden="1" customHeight="1"/>
    <row r="8" ht="14.25" hidden="1" customHeight="1"/>
    <row r="9" ht="14.25" hidden="1" customHeight="1"/>
    <row r="10" ht="14.25" hidden="1" customHeight="1"/>
    <row r="11" ht="14.25" hidden="1" customHeight="1"/>
    <row r="12" ht="14.25" hidden="1" customHeight="1"/>
    <row r="13" ht="14.25" hidden="1" customHeight="1"/>
    <row r="14" ht="14.25" hidden="1" customHeight="1"/>
    <row r="15" ht="14.25" hidden="1" customHeight="1"/>
    <row r="16"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c r="H33" s="483"/>
    </row>
    <row r="34" spans="8:8" ht="14.25" hidden="1" customHeight="1">
      <c r="H34" s="483"/>
    </row>
    <row r="35" spans="8:8" ht="14.25" hidden="1" customHeight="1">
      <c r="H35" s="483" t="s">
        <v>30</v>
      </c>
    </row>
  </sheetData>
  <sheetProtection algorithmName="SHA-512" hashValue="LZuNwhh61DpOKMVjgEl9TYj3P3a2ejnZyNEqGekJXEU3RL88sIQ4xh4txge1YHYYl/2iqVFC7kHhy5/5AXICFQ==" saltValue="pGdnX7E10fx2xjguTvmis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tabColor rgb="FF92D050"/>
    <pageSetUpPr fitToPage="1"/>
  </sheetPr>
  <dimension ref="A1:AK32"/>
  <sheetViews>
    <sheetView workbookViewId="0">
      <selection activeCell="I11" sqref="B1:I11"/>
    </sheetView>
  </sheetViews>
  <sheetFormatPr defaultColWidth="0" defaultRowHeight="14" zeroHeight="1"/>
  <cols>
    <col min="1" max="1" width="0.58203125" style="8" customWidth="1"/>
    <col min="2" max="2" width="4.08203125" style="8" customWidth="1"/>
    <col min="3" max="3" width="60.08203125" style="8" customWidth="1"/>
    <col min="4" max="4" width="1.08203125" style="483" hidden="1" customWidth="1"/>
    <col min="5" max="6" width="5.08203125" style="8" customWidth="1"/>
    <col min="7" max="8" width="14.5" style="483" customWidth="1"/>
    <col min="9" max="9" width="14.58203125" style="8" customWidth="1"/>
    <col min="10" max="10" width="2.58203125" style="70" customWidth="1"/>
    <col min="11" max="11" width="18.58203125" style="70" bestFit="1" customWidth="1"/>
    <col min="12" max="12" width="1.58203125" style="70" customWidth="1"/>
    <col min="13" max="13" width="1.58203125" style="71" hidden="1" customWidth="1"/>
    <col min="14" max="16" width="11.08203125" style="70" hidden="1" customWidth="1"/>
    <col min="17" max="17" width="1.58203125" style="71" hidden="1" customWidth="1"/>
    <col min="18" max="27" width="0" style="8" hidden="1" customWidth="1"/>
    <col min="28" max="28" width="8.58203125" style="8" customWidth="1"/>
    <col min="29" max="29" width="4.08203125" style="483" customWidth="1"/>
    <col min="30" max="30" width="60.08203125" style="483" customWidth="1"/>
    <col min="31" max="31" width="1.08203125" style="483" hidden="1" customWidth="1"/>
    <col min="32" max="33" width="5.08203125" style="483" customWidth="1"/>
    <col min="34" max="34" width="14.5" style="483" customWidth="1"/>
    <col min="35" max="35" width="14.58203125" style="483" customWidth="1"/>
    <col min="36" max="36" width="14" style="8" bestFit="1" customWidth="1"/>
    <col min="37" max="37" width="2.58203125" style="8" customWidth="1"/>
    <col min="38" max="16384" width="8.58203125" style="8" hidden="1"/>
  </cols>
  <sheetData>
    <row r="1" spans="2:37" ht="20">
      <c r="B1" s="66" t="s">
        <v>2575</v>
      </c>
      <c r="C1" s="66"/>
      <c r="D1" s="66"/>
      <c r="E1" s="66"/>
      <c r="F1" s="66"/>
      <c r="G1" s="66"/>
      <c r="H1" s="66"/>
      <c r="I1" s="68" t="str">
        <f>Validation!B3</f>
        <v>Bristol Water</v>
      </c>
      <c r="J1" s="66"/>
      <c r="K1" s="69" t="s">
        <v>32</v>
      </c>
      <c r="R1" s="483"/>
      <c r="S1" s="483"/>
      <c r="T1" s="483"/>
      <c r="U1" s="483"/>
      <c r="V1" s="483"/>
      <c r="W1" s="483"/>
      <c r="X1" s="483"/>
      <c r="Y1" s="483"/>
      <c r="Z1" s="483"/>
      <c r="AA1" s="483"/>
      <c r="AB1" s="483"/>
      <c r="AC1" s="66" t="s">
        <v>33</v>
      </c>
      <c r="AD1" s="66"/>
      <c r="AE1" s="66"/>
      <c r="AF1" s="66"/>
      <c r="AG1" s="66"/>
      <c r="AH1" s="66"/>
      <c r="AI1" s="68"/>
      <c r="AJ1" s="68"/>
      <c r="AK1" s="483"/>
    </row>
    <row r="2" spans="2:37" ht="14.5" thickBot="1">
      <c r="B2" s="73" t="str">
        <f>'4B'!B2</f>
        <v>For the 12 months ended 31 March 2020</v>
      </c>
      <c r="C2" s="70"/>
      <c r="D2" s="70"/>
      <c r="E2" s="70"/>
      <c r="F2" s="70"/>
      <c r="G2" s="70"/>
      <c r="H2" s="70"/>
      <c r="I2" s="70"/>
      <c r="R2" s="483"/>
      <c r="S2" s="483"/>
      <c r="T2" s="483"/>
      <c r="U2" s="483"/>
      <c r="V2" s="483"/>
      <c r="W2" s="483"/>
      <c r="X2" s="483"/>
      <c r="Y2" s="483"/>
      <c r="Z2" s="483"/>
      <c r="AA2" s="483"/>
      <c r="AB2" s="483"/>
      <c r="AC2" s="73" t="str">
        <f>+B2</f>
        <v>For the 12 months ended 31 March 2020</v>
      </c>
      <c r="AD2" s="70"/>
      <c r="AE2" s="70"/>
      <c r="AF2" s="70"/>
      <c r="AG2" s="70"/>
      <c r="AH2" s="70"/>
      <c r="AI2" s="70"/>
      <c r="AJ2" s="70"/>
      <c r="AK2" s="483"/>
    </row>
    <row r="3" spans="2:37" ht="15" customHeight="1">
      <c r="B3" s="2894" t="s">
        <v>34</v>
      </c>
      <c r="C3" s="2895"/>
      <c r="D3" s="2820" t="s">
        <v>2462</v>
      </c>
      <c r="E3" s="2898" t="s">
        <v>36</v>
      </c>
      <c r="F3" s="2900" t="s">
        <v>37</v>
      </c>
      <c r="G3" s="3055" t="s">
        <v>1626</v>
      </c>
      <c r="H3" s="3057" t="s">
        <v>1627</v>
      </c>
      <c r="I3" s="2902" t="s">
        <v>911</v>
      </c>
      <c r="K3" s="2907" t="s">
        <v>41</v>
      </c>
      <c r="R3" s="483"/>
      <c r="S3" s="483"/>
      <c r="T3" s="483"/>
      <c r="U3" s="483"/>
      <c r="V3" s="483"/>
      <c r="W3" s="483"/>
      <c r="X3" s="483"/>
      <c r="Y3" s="483"/>
      <c r="Z3" s="483"/>
      <c r="AA3" s="483"/>
      <c r="AB3" s="483"/>
      <c r="AC3" s="2894" t="s">
        <v>34</v>
      </c>
      <c r="AD3" s="2895"/>
      <c r="AE3" s="2820" t="s">
        <v>2462</v>
      </c>
      <c r="AF3" s="2898" t="s">
        <v>36</v>
      </c>
      <c r="AG3" s="2900" t="s">
        <v>37</v>
      </c>
      <c r="AH3" s="2902" t="s">
        <v>1626</v>
      </c>
      <c r="AI3" s="2902" t="s">
        <v>1627</v>
      </c>
      <c r="AJ3" s="2902" t="s">
        <v>911</v>
      </c>
      <c r="AK3" s="483"/>
    </row>
    <row r="4" spans="2:37" ht="23.5" thickBot="1">
      <c r="B4" s="2896"/>
      <c r="C4" s="2897"/>
      <c r="D4" s="2821"/>
      <c r="E4" s="2899"/>
      <c r="F4" s="2901"/>
      <c r="G4" s="3056"/>
      <c r="H4" s="3058"/>
      <c r="I4" s="2903"/>
      <c r="K4" s="2908"/>
      <c r="N4" s="2822" t="s">
        <v>45</v>
      </c>
      <c r="O4" s="2822"/>
      <c r="P4" s="2822"/>
      <c r="R4" s="483"/>
      <c r="S4" s="483"/>
      <c r="T4" s="483"/>
      <c r="U4" s="483"/>
      <c r="V4" s="483"/>
      <c r="W4" s="483"/>
      <c r="X4" s="483"/>
      <c r="Y4" s="483"/>
      <c r="Z4" s="483"/>
      <c r="AA4" s="483"/>
      <c r="AB4" s="483"/>
      <c r="AC4" s="2896"/>
      <c r="AD4" s="2897"/>
      <c r="AE4" s="2821"/>
      <c r="AF4" s="2899"/>
      <c r="AG4" s="2901"/>
      <c r="AH4" s="2903"/>
      <c r="AI4" s="2903"/>
      <c r="AJ4" s="2903"/>
      <c r="AK4" s="483"/>
    </row>
    <row r="5" spans="2:37" ht="14.5" thickBot="1">
      <c r="B5" s="70"/>
      <c r="C5" s="70"/>
      <c r="D5" s="70"/>
      <c r="E5" s="70"/>
      <c r="F5" s="70"/>
      <c r="G5" s="70"/>
      <c r="H5" s="70"/>
      <c r="I5" s="70"/>
      <c r="K5" s="255"/>
      <c r="N5" s="164" t="s">
        <v>46</v>
      </c>
      <c r="O5" s="164"/>
      <c r="P5" s="164"/>
      <c r="R5" s="483"/>
      <c r="S5" s="483"/>
      <c r="T5" s="483"/>
      <c r="U5" s="483"/>
      <c r="V5" s="483"/>
      <c r="W5" s="483"/>
      <c r="X5" s="483"/>
      <c r="Y5" s="483"/>
      <c r="Z5" s="483"/>
      <c r="AA5" s="483"/>
      <c r="AB5" s="483"/>
      <c r="AC5" s="70"/>
      <c r="AD5" s="70"/>
      <c r="AE5" s="70"/>
      <c r="AF5" s="70"/>
      <c r="AG5" s="70"/>
      <c r="AH5" s="70"/>
      <c r="AI5" s="70"/>
      <c r="AJ5" s="70"/>
      <c r="AK5" s="483"/>
    </row>
    <row r="6" spans="2:37" s="483" customFormat="1">
      <c r="B6" s="86" t="s">
        <v>2576</v>
      </c>
      <c r="C6" s="117" t="s">
        <v>2577</v>
      </c>
      <c r="D6" s="117"/>
      <c r="E6" s="88" t="s">
        <v>49</v>
      </c>
      <c r="F6" s="89">
        <v>3</v>
      </c>
      <c r="G6" s="414">
        <v>10.058</v>
      </c>
      <c r="H6" s="425"/>
      <c r="I6" s="1567"/>
      <c r="J6" s="70"/>
      <c r="K6" s="24">
        <f xml:space="preserve"> IF( SUM( M6:Q6 ) = 0, 0, $N$5 )</f>
        <v>0</v>
      </c>
      <c r="L6" s="70"/>
      <c r="M6" s="71"/>
      <c r="N6" s="93">
        <f xml:space="preserve"> IF( ISNUMBER( G6 ), 0, 1 )</f>
        <v>0</v>
      </c>
      <c r="O6" s="93">
        <f>IF(Validation!$H$3=1,0,IF(ISNUMBER(H6),0,1))</f>
        <v>0</v>
      </c>
      <c r="P6" s="93">
        <f>IF( Validation!$H$3 = 1, 0, IF(Validation!$B$3 &lt;&gt; "Thames Water",0, (IF(ISNUMBER(I6),0,1))))</f>
        <v>0</v>
      </c>
      <c r="Q6" s="71"/>
      <c r="AC6" s="86" t="s">
        <v>2576</v>
      </c>
      <c r="AD6" s="117" t="s">
        <v>2577</v>
      </c>
      <c r="AE6" s="117"/>
      <c r="AF6" s="88" t="s">
        <v>49</v>
      </c>
      <c r="AG6" s="89">
        <v>3</v>
      </c>
      <c r="AH6" s="2218" t="s">
        <v>2578</v>
      </c>
      <c r="AI6" s="2520" t="s">
        <v>2579</v>
      </c>
      <c r="AJ6" s="2520" t="s">
        <v>2580</v>
      </c>
    </row>
    <row r="7" spans="2:37" s="483" customFormat="1">
      <c r="B7" s="94" t="s">
        <v>2581</v>
      </c>
      <c r="C7" s="87" t="s">
        <v>2582</v>
      </c>
      <c r="D7" s="87"/>
      <c r="E7" s="95" t="s">
        <v>49</v>
      </c>
      <c r="F7" s="96">
        <v>3</v>
      </c>
      <c r="G7" s="412">
        <v>-2.2250000000000001</v>
      </c>
      <c r="H7" s="413"/>
      <c r="I7" s="825"/>
      <c r="J7" s="70"/>
      <c r="K7" s="24">
        <f xml:space="preserve"> IF( SUM( M7:Q7 ) = 0, 0, $N$5 )</f>
        <v>0</v>
      </c>
      <c r="L7" s="70"/>
      <c r="M7" s="71"/>
      <c r="N7" s="93">
        <f t="shared" ref="N7:N10" si="0" xml:space="preserve"> IF( ISNUMBER( G7 ), 0, 1 )</f>
        <v>0</v>
      </c>
      <c r="O7" s="93">
        <f>IF(Validation!$H$3=1,0,IF(ISNUMBER(H7),0,1))</f>
        <v>0</v>
      </c>
      <c r="P7" s="93">
        <f>IF( Validation!$H$3 = 1, 0, IF(Validation!$B$3 &lt;&gt; "Thames Water",0, (IF(ISNUMBER(I7),0,1))))</f>
        <v>0</v>
      </c>
      <c r="Q7" s="71"/>
      <c r="AC7" s="94" t="s">
        <v>2581</v>
      </c>
      <c r="AD7" s="87" t="s">
        <v>2582</v>
      </c>
      <c r="AE7" s="87"/>
      <c r="AF7" s="95" t="s">
        <v>49</v>
      </c>
      <c r="AG7" s="96">
        <v>3</v>
      </c>
      <c r="AH7" s="2220" t="s">
        <v>2583</v>
      </c>
      <c r="AI7" s="2521" t="s">
        <v>2584</v>
      </c>
      <c r="AJ7" s="2521" t="s">
        <v>2585</v>
      </c>
    </row>
    <row r="8" spans="2:37" s="483" customFormat="1" ht="14.25" customHeight="1">
      <c r="B8" s="94" t="s">
        <v>2586</v>
      </c>
      <c r="C8" s="87" t="s">
        <v>2587</v>
      </c>
      <c r="D8" s="87"/>
      <c r="E8" s="95" t="s">
        <v>49</v>
      </c>
      <c r="F8" s="96">
        <v>3</v>
      </c>
      <c r="G8" s="412">
        <v>2.57</v>
      </c>
      <c r="H8" s="413"/>
      <c r="I8" s="823"/>
      <c r="J8" s="70"/>
      <c r="K8" s="24">
        <f xml:space="preserve"> IF( SUM( M8:Q8 ) = 0, 0, $N$5 )</f>
        <v>0</v>
      </c>
      <c r="L8" s="70"/>
      <c r="M8" s="71"/>
      <c r="N8" s="93">
        <f t="shared" si="0"/>
        <v>0</v>
      </c>
      <c r="O8" s="93">
        <f>IF(Validation!$H$3=1,0,IF(ISNUMBER(H8),0,1))</f>
        <v>0</v>
      </c>
      <c r="P8" s="93">
        <f>IF( Validation!$H$3 = 1, 0, IF(Validation!$B$3 &lt;&gt; "Thames Water",0, (IF(ISNUMBER(I8),0,1))))</f>
        <v>0</v>
      </c>
      <c r="Q8" s="71"/>
      <c r="AC8" s="94" t="s">
        <v>2586</v>
      </c>
      <c r="AD8" s="87" t="s">
        <v>2588</v>
      </c>
      <c r="AE8" s="87"/>
      <c r="AF8" s="95" t="s">
        <v>49</v>
      </c>
      <c r="AG8" s="96">
        <v>3</v>
      </c>
      <c r="AH8" s="2220" t="s">
        <v>2589</v>
      </c>
      <c r="AI8" s="2472" t="s">
        <v>2590</v>
      </c>
      <c r="AJ8" s="2472" t="s">
        <v>2591</v>
      </c>
    </row>
    <row r="9" spans="2:37" s="483" customFormat="1" ht="14.25" customHeight="1">
      <c r="B9" s="94" t="s">
        <v>2592</v>
      </c>
      <c r="C9" s="219" t="s">
        <v>2593</v>
      </c>
      <c r="D9" s="219"/>
      <c r="E9" s="95" t="s">
        <v>49</v>
      </c>
      <c r="F9" s="96">
        <v>3</v>
      </c>
      <c r="G9" s="465">
        <v>-0.81299999999999994</v>
      </c>
      <c r="H9" s="466"/>
      <c r="I9" s="825"/>
      <c r="J9" s="70"/>
      <c r="K9" s="24">
        <f xml:space="preserve"> IF( SUM( M9:Q9 ) = 0, 0, $N$5 )</f>
        <v>0</v>
      </c>
      <c r="L9" s="70"/>
      <c r="M9" s="71"/>
      <c r="N9" s="93">
        <f t="shared" si="0"/>
        <v>0</v>
      </c>
      <c r="O9" s="93">
        <f>IF(Validation!$H$3=1,0,IF(ISNUMBER(H9),0,1))</f>
        <v>0</v>
      </c>
      <c r="P9" s="93">
        <f>IF( Validation!$H$3 = 1, 0, IF(Validation!$B$3 &lt;&gt; "Thames Water",0, (IF(ISNUMBER(I9),0,1))))</f>
        <v>0</v>
      </c>
      <c r="Q9" s="71"/>
      <c r="AC9" s="94" t="s">
        <v>2592</v>
      </c>
      <c r="AD9" s="219" t="s">
        <v>2593</v>
      </c>
      <c r="AE9" s="219"/>
      <c r="AF9" s="95" t="s">
        <v>49</v>
      </c>
      <c r="AG9" s="96">
        <v>3</v>
      </c>
      <c r="AH9" s="2394" t="s">
        <v>2594</v>
      </c>
      <c r="AI9" s="2522" t="s">
        <v>2595</v>
      </c>
      <c r="AJ9" s="2522" t="s">
        <v>2596</v>
      </c>
    </row>
    <row r="10" spans="2:37" s="483" customFormat="1" ht="14.25" customHeight="1">
      <c r="B10" s="94" t="s">
        <v>2597</v>
      </c>
      <c r="C10" s="219" t="s">
        <v>2598</v>
      </c>
      <c r="D10" s="219"/>
      <c r="E10" s="95" t="s">
        <v>49</v>
      </c>
      <c r="F10" s="96">
        <v>3</v>
      </c>
      <c r="G10" s="465">
        <v>560.85</v>
      </c>
      <c r="H10" s="466"/>
      <c r="I10" s="825"/>
      <c r="J10" s="70"/>
      <c r="K10" s="24">
        <f xml:space="preserve"> IF( SUM( M10:Q10 ) = 0, 0, $N$5 )</f>
        <v>0</v>
      </c>
      <c r="L10" s="70"/>
      <c r="M10" s="71"/>
      <c r="N10" s="93">
        <f t="shared" si="0"/>
        <v>0</v>
      </c>
      <c r="O10" s="93">
        <f>IF(Validation!$H$3=1,0,IF(ISNUMBER(H10),0,1))</f>
        <v>0</v>
      </c>
      <c r="P10" s="93">
        <f>IF( Validation!$H$3 = 1, 0, IF(Validation!$B$3 &lt;&gt; "Thames Water",0, (IF(ISNUMBER(I10),0,1))))</f>
        <v>0</v>
      </c>
      <c r="Q10" s="71"/>
      <c r="AC10" s="94" t="s">
        <v>2597</v>
      </c>
      <c r="AD10" s="219" t="s">
        <v>2598</v>
      </c>
      <c r="AE10" s="219"/>
      <c r="AF10" s="95" t="s">
        <v>49</v>
      </c>
      <c r="AG10" s="96">
        <v>3</v>
      </c>
      <c r="AH10" s="2523" t="s">
        <v>2599</v>
      </c>
      <c r="AI10" s="2522" t="s">
        <v>2600</v>
      </c>
      <c r="AJ10" s="2522" t="s">
        <v>2601</v>
      </c>
    </row>
    <row r="11" spans="2:37" s="483" customFormat="1" ht="14.5" thickBot="1">
      <c r="B11" s="101" t="s">
        <v>2602</v>
      </c>
      <c r="C11" s="102" t="s">
        <v>2603</v>
      </c>
      <c r="D11" s="102"/>
      <c r="E11" s="103" t="s">
        <v>49</v>
      </c>
      <c r="F11" s="100">
        <v>3</v>
      </c>
      <c r="G11" s="193">
        <f xml:space="preserve"> SUM( G8:G10 )</f>
        <v>562.60699999999997</v>
      </c>
      <c r="H11" s="194">
        <f xml:space="preserve"> SUM( H8:H10 )</f>
        <v>0</v>
      </c>
      <c r="I11" s="335">
        <f xml:space="preserve"> SUM( I8:I10 )</f>
        <v>0</v>
      </c>
      <c r="J11" s="70"/>
      <c r="K11" s="70"/>
      <c r="L11" s="70"/>
      <c r="M11" s="71"/>
      <c r="N11" s="70"/>
      <c r="O11" s="70"/>
      <c r="P11" s="70"/>
      <c r="Q11" s="71"/>
      <c r="AC11" s="101" t="s">
        <v>2602</v>
      </c>
      <c r="AD11" s="102" t="s">
        <v>2603</v>
      </c>
      <c r="AE11" s="102"/>
      <c r="AF11" s="103" t="s">
        <v>49</v>
      </c>
      <c r="AG11" s="100">
        <v>3</v>
      </c>
      <c r="AH11" s="200" t="s">
        <v>2604</v>
      </c>
      <c r="AI11" s="335" t="s">
        <v>2605</v>
      </c>
      <c r="AJ11" s="335" t="s">
        <v>2606</v>
      </c>
    </row>
    <row r="12" spans="2:37">
      <c r="B12" s="483"/>
      <c r="C12" s="483"/>
      <c r="E12" s="483"/>
      <c r="F12" s="483"/>
      <c r="I12" s="483"/>
      <c r="R12" s="483"/>
      <c r="S12" s="483"/>
      <c r="T12" s="483"/>
      <c r="U12" s="483"/>
      <c r="V12" s="483"/>
      <c r="W12" s="483"/>
      <c r="X12" s="483"/>
      <c r="Y12" s="483"/>
      <c r="Z12" s="483"/>
      <c r="AA12" s="483"/>
      <c r="AB12" s="483"/>
      <c r="AJ12" s="483"/>
      <c r="AK12" s="483"/>
    </row>
    <row r="13" spans="2:37">
      <c r="B13" s="2914" t="s">
        <v>241</v>
      </c>
      <c r="C13" s="2914"/>
      <c r="D13" s="2823"/>
      <c r="E13" s="163"/>
      <c r="F13" s="163"/>
      <c r="G13" s="163"/>
      <c r="H13" s="163"/>
      <c r="I13" s="163"/>
      <c r="R13" s="483"/>
      <c r="S13" s="483"/>
      <c r="T13" s="483"/>
      <c r="U13" s="483"/>
      <c r="V13" s="483"/>
      <c r="W13" s="483"/>
      <c r="X13" s="483"/>
      <c r="Y13" s="483"/>
      <c r="Z13" s="483"/>
      <c r="AA13" s="483"/>
      <c r="AB13" s="483"/>
      <c r="AJ13" s="483"/>
      <c r="AK13" s="483"/>
    </row>
    <row r="14" spans="2:37">
      <c r="B14" s="141"/>
      <c r="C14" s="142"/>
      <c r="D14" s="142"/>
      <c r="E14" s="163"/>
      <c r="F14" s="163"/>
      <c r="G14" s="163"/>
      <c r="H14" s="163"/>
      <c r="I14" s="163"/>
      <c r="R14" s="483"/>
      <c r="S14" s="483"/>
      <c r="T14" s="483"/>
      <c r="U14" s="483"/>
      <c r="V14" s="483"/>
      <c r="W14" s="483"/>
      <c r="X14" s="483"/>
      <c r="Y14" s="483"/>
      <c r="Z14" s="483"/>
      <c r="AA14" s="483"/>
      <c r="AB14" s="483"/>
      <c r="AJ14" s="483"/>
      <c r="AK14" s="483"/>
    </row>
    <row r="15" spans="2:37">
      <c r="B15" s="25"/>
      <c r="C15" s="143" t="s">
        <v>188</v>
      </c>
      <c r="D15" s="143"/>
      <c r="E15" s="163"/>
      <c r="F15" s="163"/>
      <c r="G15" s="163"/>
      <c r="H15" s="163"/>
      <c r="I15" s="163"/>
      <c r="R15" s="483"/>
      <c r="S15" s="483"/>
      <c r="T15" s="483"/>
      <c r="U15" s="483"/>
      <c r="V15" s="483"/>
      <c r="W15" s="483"/>
      <c r="X15" s="483"/>
      <c r="Y15" s="483"/>
      <c r="Z15" s="483"/>
      <c r="AA15" s="483"/>
      <c r="AB15" s="483"/>
      <c r="AJ15" s="483"/>
      <c r="AK15" s="483"/>
    </row>
    <row r="16" spans="2:37">
      <c r="B16" s="141"/>
      <c r="C16" s="142"/>
      <c r="D16" s="142"/>
      <c r="E16" s="163"/>
      <c r="F16" s="163"/>
      <c r="G16" s="163"/>
      <c r="H16" s="163"/>
      <c r="I16" s="163"/>
      <c r="R16" s="483"/>
      <c r="S16" s="483"/>
      <c r="T16" s="483"/>
      <c r="U16" s="483"/>
      <c r="V16" s="483"/>
      <c r="W16" s="483"/>
      <c r="X16" s="483"/>
      <c r="Y16" s="483"/>
      <c r="Z16" s="483"/>
      <c r="AA16" s="483"/>
      <c r="AB16" s="483"/>
      <c r="AJ16" s="483"/>
      <c r="AK16" s="483"/>
    </row>
    <row r="17" spans="1:28">
      <c r="A17" s="483"/>
      <c r="B17" s="144"/>
      <c r="C17" s="143" t="s">
        <v>189</v>
      </c>
      <c r="D17" s="143"/>
      <c r="E17" s="163"/>
      <c r="F17" s="163"/>
      <c r="G17" s="163"/>
      <c r="H17" s="163"/>
      <c r="I17" s="163"/>
      <c r="R17" s="483"/>
      <c r="S17" s="483"/>
      <c r="T17" s="483"/>
      <c r="U17" s="483"/>
      <c r="V17" s="483"/>
      <c r="W17" s="483"/>
      <c r="X17" s="483"/>
      <c r="Y17" s="483"/>
      <c r="Z17" s="483"/>
      <c r="AA17" s="483"/>
      <c r="AB17" s="483"/>
    </row>
    <row r="18" spans="1:28">
      <c r="A18" s="483"/>
      <c r="B18" s="145"/>
      <c r="C18" s="143"/>
      <c r="D18" s="143"/>
      <c r="E18" s="163"/>
      <c r="F18" s="163"/>
      <c r="G18" s="163"/>
      <c r="H18" s="163"/>
      <c r="I18" s="163"/>
      <c r="R18" s="483"/>
      <c r="S18" s="483"/>
      <c r="T18" s="483"/>
      <c r="U18" s="483"/>
      <c r="V18" s="483"/>
      <c r="W18" s="483"/>
      <c r="X18" s="483"/>
      <c r="Y18" s="483"/>
      <c r="Z18" s="483"/>
      <c r="AA18" s="483"/>
      <c r="AB18" s="483"/>
    </row>
    <row r="19" spans="1:28" ht="14.5" thickBot="1">
      <c r="A19" s="483"/>
      <c r="B19" s="178"/>
      <c r="C19" s="179"/>
      <c r="D19" s="179"/>
      <c r="E19" s="178"/>
      <c r="F19" s="178"/>
      <c r="G19" s="178"/>
      <c r="H19" s="178"/>
      <c r="I19" s="178"/>
      <c r="R19" s="483"/>
      <c r="S19" s="483"/>
      <c r="T19" s="483"/>
      <c r="U19" s="483"/>
      <c r="V19" s="483"/>
      <c r="W19" s="483"/>
      <c r="X19" s="483"/>
      <c r="Y19" s="483"/>
      <c r="Z19" s="483"/>
      <c r="AA19" s="483"/>
      <c r="AB19" s="483"/>
    </row>
    <row r="20" spans="1:28" s="483" customFormat="1" ht="15.5" thickBot="1">
      <c r="B20" s="2886" t="str">
        <f>'4B'!B33</f>
        <v>Please refer to RAG 4.08 - Guideline for the table definitions in the annual performance report for the reporting year 2019-20</v>
      </c>
      <c r="C20" s="148"/>
      <c r="D20" s="148"/>
      <c r="E20" s="148"/>
      <c r="F20" s="148"/>
      <c r="G20" s="148"/>
      <c r="H20" s="148"/>
      <c r="I20" s="251"/>
      <c r="J20" s="70"/>
      <c r="K20" s="70"/>
      <c r="L20" s="70"/>
      <c r="M20" s="71"/>
      <c r="N20" s="70"/>
      <c r="O20" s="70"/>
      <c r="P20" s="70"/>
      <c r="Q20" s="71"/>
    </row>
    <row r="21" spans="1:28" s="483" customFormat="1">
      <c r="B21" s="178"/>
      <c r="C21" s="179"/>
      <c r="D21" s="179"/>
      <c r="E21" s="178"/>
      <c r="F21" s="178"/>
      <c r="G21" s="178"/>
      <c r="H21" s="178"/>
      <c r="I21" s="178"/>
      <c r="J21" s="70"/>
      <c r="K21" s="70"/>
      <c r="L21" s="70"/>
      <c r="M21" s="71"/>
      <c r="N21" s="70"/>
      <c r="O21" s="70"/>
      <c r="P21" s="70"/>
      <c r="Q21" s="71"/>
    </row>
    <row r="22" spans="1:28" ht="15.5" hidden="1" thickBot="1">
      <c r="A22" s="1534"/>
      <c r="B22" s="146" t="str">
        <f ca="1" xml:space="preserve"> RIGHT(CELL("filename", $A$1), LEN(CELL("filename", $A$1)) - SEARCH("]", CELL("filename", $A$1)))&amp;" - Line definitions"</f>
        <v>4C - Line definitions</v>
      </c>
      <c r="C22" s="147"/>
      <c r="D22" s="147"/>
      <c r="E22" s="148"/>
      <c r="F22" s="148"/>
      <c r="G22" s="148"/>
      <c r="H22" s="148"/>
      <c r="I22" s="251"/>
      <c r="R22" s="483"/>
      <c r="S22" s="483"/>
      <c r="T22" s="483"/>
      <c r="U22" s="483"/>
      <c r="V22" s="483"/>
      <c r="W22" s="483"/>
      <c r="X22" s="483"/>
      <c r="Y22" s="483"/>
      <c r="Z22" s="483"/>
      <c r="AA22" s="483"/>
      <c r="AB22" s="483"/>
    </row>
    <row r="23" spans="1:28" ht="14.5" hidden="1" thickBot="1">
      <c r="A23" s="1534"/>
      <c r="B23" s="74"/>
      <c r="C23" s="155"/>
      <c r="D23" s="155"/>
      <c r="E23" s="74"/>
      <c r="F23" s="74"/>
      <c r="G23" s="74"/>
      <c r="H23" s="74"/>
      <c r="I23" s="74"/>
      <c r="R23" s="483"/>
      <c r="S23" s="483"/>
      <c r="T23" s="483"/>
      <c r="U23" s="483"/>
      <c r="V23" s="483"/>
      <c r="W23" s="483"/>
      <c r="X23" s="483"/>
      <c r="Y23" s="483"/>
      <c r="Z23" s="483"/>
      <c r="AA23" s="483"/>
      <c r="AB23" s="483"/>
    </row>
    <row r="24" spans="1:28" ht="14.5" hidden="1" thickBot="1">
      <c r="A24" s="1534"/>
      <c r="B24" s="156" t="s">
        <v>191</v>
      </c>
      <c r="C24" s="3052" t="s">
        <v>192</v>
      </c>
      <c r="D24" s="3052"/>
      <c r="E24" s="3052"/>
      <c r="F24" s="3052"/>
      <c r="G24" s="3053"/>
      <c r="H24" s="3053"/>
      <c r="I24" s="3054"/>
      <c r="N24" s="85" t="s">
        <v>193</v>
      </c>
      <c r="O24" s="85"/>
      <c r="P24" s="85"/>
      <c r="R24" s="483"/>
      <c r="S24" s="483"/>
      <c r="T24" s="483"/>
      <c r="U24" s="483"/>
      <c r="V24" s="483"/>
      <c r="W24" s="483"/>
      <c r="X24" s="483"/>
      <c r="Y24" s="483"/>
      <c r="Z24" s="483"/>
      <c r="AA24" s="483"/>
      <c r="AB24" s="483"/>
    </row>
    <row r="25" spans="1:28" ht="87.75" hidden="1" customHeight="1">
      <c r="A25" s="1534"/>
      <c r="B25" s="181" t="str">
        <f>B6</f>
        <v>4C.1</v>
      </c>
      <c r="C25" s="2910" t="s">
        <v>2607</v>
      </c>
      <c r="D25" s="2910"/>
      <c r="E25" s="2910"/>
      <c r="F25" s="2910"/>
      <c r="G25" s="2928"/>
      <c r="H25" s="2928"/>
      <c r="I25" s="2911"/>
      <c r="J25" s="118"/>
      <c r="K25" s="120"/>
      <c r="L25" s="118"/>
      <c r="M25" s="124"/>
      <c r="N25" s="202">
        <v>1</v>
      </c>
      <c r="O25" s="202"/>
      <c r="P25" s="202"/>
      <c r="Q25" s="124"/>
      <c r="R25" s="483"/>
      <c r="S25" s="483"/>
      <c r="T25" s="483"/>
      <c r="U25" s="483"/>
      <c r="V25" s="483"/>
      <c r="W25" s="483"/>
      <c r="X25" s="483"/>
      <c r="Y25" s="483"/>
      <c r="Z25" s="483"/>
      <c r="AA25" s="483"/>
      <c r="AB25" s="483"/>
    </row>
    <row r="26" spans="1:28" ht="27.75" hidden="1" customHeight="1">
      <c r="A26" s="1534"/>
      <c r="B26" s="159" t="str">
        <f t="shared" ref="B26:B30" si="1">B7</f>
        <v>4C.2</v>
      </c>
      <c r="C26" s="2892" t="s">
        <v>2608</v>
      </c>
      <c r="D26" s="2892"/>
      <c r="E26" s="2892"/>
      <c r="F26" s="2892"/>
      <c r="G26" s="2919"/>
      <c r="H26" s="2919"/>
      <c r="I26" s="2893"/>
      <c r="J26" s="126"/>
      <c r="K26" s="126"/>
      <c r="L26" s="126"/>
      <c r="M26" s="119"/>
      <c r="N26" s="748" t="s">
        <v>195</v>
      </c>
      <c r="O26" s="202"/>
      <c r="P26" s="202"/>
      <c r="Q26" s="119"/>
      <c r="R26" s="483"/>
      <c r="S26" s="483"/>
      <c r="T26" s="483"/>
      <c r="U26" s="483"/>
      <c r="V26" s="483"/>
      <c r="W26" s="483"/>
      <c r="X26" s="483"/>
      <c r="Y26" s="483"/>
      <c r="Z26" s="483"/>
      <c r="AA26" s="483"/>
      <c r="AB26" s="483"/>
    </row>
    <row r="27" spans="1:28" s="751" customFormat="1" ht="114" hidden="1" customHeight="1">
      <c r="A27" s="1572"/>
      <c r="B27" s="565" t="str">
        <f t="shared" si="1"/>
        <v>4C.3</v>
      </c>
      <c r="C27" s="2892" t="s">
        <v>2609</v>
      </c>
      <c r="D27" s="2892"/>
      <c r="E27" s="2892"/>
      <c r="F27" s="2892"/>
      <c r="G27" s="2919"/>
      <c r="H27" s="2919"/>
      <c r="I27" s="2893"/>
      <c r="J27" s="749"/>
      <c r="K27" s="749"/>
      <c r="L27" s="749"/>
      <c r="M27" s="750"/>
      <c r="N27" s="748" t="s">
        <v>195</v>
      </c>
      <c r="O27" s="748"/>
      <c r="P27" s="748"/>
      <c r="Q27" s="750"/>
    </row>
    <row r="28" spans="1:28" ht="14.25" hidden="1" customHeight="1">
      <c r="A28" s="1534"/>
      <c r="B28" s="159" t="str">
        <f t="shared" si="1"/>
        <v>4C.4</v>
      </c>
      <c r="C28" s="2892" t="s">
        <v>2610</v>
      </c>
      <c r="D28" s="2892"/>
      <c r="E28" s="2892"/>
      <c r="F28" s="2892"/>
      <c r="G28" s="2919"/>
      <c r="H28" s="2919"/>
      <c r="I28" s="2893"/>
      <c r="J28" s="126"/>
      <c r="K28" s="126"/>
      <c r="L28" s="126"/>
      <c r="M28" s="119"/>
      <c r="N28" s="202">
        <v>1</v>
      </c>
      <c r="O28" s="202"/>
      <c r="P28" s="202"/>
      <c r="Q28" s="119"/>
      <c r="R28" s="483"/>
      <c r="S28" s="483"/>
      <c r="T28" s="483"/>
      <c r="U28" s="483"/>
      <c r="V28" s="483"/>
      <c r="W28" s="483"/>
      <c r="X28" s="483"/>
      <c r="Y28" s="483"/>
      <c r="Z28" s="483"/>
      <c r="AA28" s="483"/>
      <c r="AB28" s="483"/>
    </row>
    <row r="29" spans="1:28" ht="13.5" hidden="1" customHeight="1">
      <c r="A29" s="1534"/>
      <c r="B29" s="159" t="str">
        <f t="shared" si="1"/>
        <v>4C.5</v>
      </c>
      <c r="C29" s="2892" t="s">
        <v>2611</v>
      </c>
      <c r="D29" s="2892"/>
      <c r="E29" s="2892"/>
      <c r="F29" s="2892"/>
      <c r="G29" s="2919"/>
      <c r="H29" s="2919"/>
      <c r="I29" s="2893"/>
      <c r="J29" s="126"/>
      <c r="K29" s="126"/>
      <c r="L29" s="126"/>
      <c r="M29" s="119"/>
      <c r="N29" s="202">
        <v>1</v>
      </c>
      <c r="O29" s="202"/>
      <c r="P29" s="256"/>
      <c r="Q29" s="119"/>
      <c r="R29" s="483"/>
      <c r="S29" s="483"/>
      <c r="T29" s="483"/>
      <c r="U29" s="483"/>
      <c r="V29" s="483"/>
      <c r="W29" s="483"/>
      <c r="X29" s="483"/>
      <c r="Y29" s="483"/>
      <c r="Z29" s="483"/>
      <c r="AA29" s="483"/>
      <c r="AB29" s="483"/>
    </row>
    <row r="30" spans="1:28" ht="14.5" hidden="1" thickBot="1">
      <c r="A30" s="1534"/>
      <c r="B30" s="183" t="str">
        <f t="shared" si="1"/>
        <v>4C.6</v>
      </c>
      <c r="C30" s="2912" t="s">
        <v>2612</v>
      </c>
      <c r="D30" s="2912"/>
      <c r="E30" s="2912"/>
      <c r="F30" s="2912"/>
      <c r="G30" s="2922"/>
      <c r="H30" s="2922"/>
      <c r="I30" s="2913"/>
      <c r="J30" s="126"/>
      <c r="K30" s="126"/>
      <c r="L30" s="126"/>
      <c r="M30" s="119"/>
      <c r="N30" s="202">
        <v>1</v>
      </c>
      <c r="O30" s="202"/>
      <c r="P30" s="256"/>
      <c r="Q30" s="119"/>
      <c r="R30" s="483"/>
      <c r="S30" s="483"/>
      <c r="T30" s="483"/>
      <c r="U30" s="483"/>
      <c r="V30" s="483"/>
      <c r="W30" s="483"/>
      <c r="X30" s="483"/>
      <c r="Y30" s="483"/>
      <c r="Z30" s="483"/>
      <c r="AA30" s="483"/>
      <c r="AB30" s="483"/>
    </row>
    <row r="31" spans="1:28" hidden="1">
      <c r="A31" s="1534"/>
      <c r="B31" s="483"/>
      <c r="C31" s="483"/>
      <c r="E31" s="483"/>
      <c r="F31" s="483"/>
      <c r="I31" s="483"/>
      <c r="J31" s="126"/>
      <c r="K31" s="126"/>
      <c r="L31" s="126"/>
      <c r="M31" s="119"/>
      <c r="N31" s="256"/>
      <c r="O31" s="256"/>
      <c r="P31" s="256"/>
      <c r="Q31" s="119"/>
      <c r="R31" s="483"/>
      <c r="S31" s="483"/>
      <c r="T31" s="483"/>
      <c r="U31" s="483"/>
      <c r="V31" s="483"/>
      <c r="W31" s="483"/>
      <c r="X31" s="483"/>
      <c r="Y31" s="483"/>
      <c r="Z31" s="483"/>
      <c r="AA31" s="483"/>
      <c r="AB31" s="483"/>
    </row>
    <row r="32" spans="1:28" hidden="1">
      <c r="A32" s="483"/>
      <c r="B32" s="483"/>
      <c r="C32" s="483"/>
      <c r="E32" s="483"/>
      <c r="F32" s="483"/>
      <c r="I32" s="483"/>
      <c r="J32" s="126"/>
      <c r="K32" s="126"/>
      <c r="L32" s="126"/>
      <c r="M32" s="119"/>
      <c r="N32" s="203"/>
      <c r="O32" s="203"/>
      <c r="P32" s="203"/>
      <c r="Q32" s="119"/>
      <c r="R32" s="483"/>
      <c r="S32" s="483"/>
      <c r="T32" s="483"/>
      <c r="U32" s="483"/>
      <c r="V32" s="483"/>
      <c r="W32" s="483"/>
      <c r="X32" s="483"/>
      <c r="Y32" s="483"/>
      <c r="Z32" s="483"/>
      <c r="AA32" s="483"/>
      <c r="AB32" s="483"/>
    </row>
  </sheetData>
  <sheetProtection algorithmName="SHA-512" hashValue="BjJWjzzdBVEnm28kLk0+SNSu90gTy8nLTOGawL/WUHte6c4CQB89zMfjObEEeuxHoBKlE/bz5DDB/EUJPFugMw==" saltValue="EE9q2dmj5vNd5UHaw0iKog==" spinCount="100000" sheet="1" objects="1" scenarios="1"/>
  <mergeCells count="21">
    <mergeCell ref="AJ3:AJ4"/>
    <mergeCell ref="C29:I29"/>
    <mergeCell ref="C30:I30"/>
    <mergeCell ref="C28:I28"/>
    <mergeCell ref="K3:K4"/>
    <mergeCell ref="C24:I24"/>
    <mergeCell ref="C25:I25"/>
    <mergeCell ref="C26:I26"/>
    <mergeCell ref="C27:I27"/>
    <mergeCell ref="B13:C13"/>
    <mergeCell ref="B3:C4"/>
    <mergeCell ref="E3:E4"/>
    <mergeCell ref="F3:F4"/>
    <mergeCell ref="I3:I4"/>
    <mergeCell ref="G3:G4"/>
    <mergeCell ref="H3:H4"/>
    <mergeCell ref="AC3:AD4"/>
    <mergeCell ref="AF3:AF4"/>
    <mergeCell ref="AG3:AG4"/>
    <mergeCell ref="AH3:AH4"/>
    <mergeCell ref="AI3:AI4"/>
  </mergeCells>
  <conditionalFormatting sqref="K6:K10">
    <cfRule type="cellIs" dxfId="311" priority="9" operator="equal">
      <formula>0</formula>
    </cfRule>
  </conditionalFormatting>
  <conditionalFormatting sqref="I6:I11">
    <cfRule type="expression" dxfId="310" priority="1">
      <formula>$I$1&lt;&gt;"Thames Water"</formula>
    </cfRule>
  </conditionalFormatting>
  <printOptions horizontalCentered="1"/>
  <pageMargins left="0.39370078740157483" right="0.39370078740157483" top="0.78740157480314965" bottom="0.78740157480314965" header="0.31496062992125984" footer="0.31496062992125984"/>
  <pageSetup paperSize="9" scale="91" orientation="landscape"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 id="{020620BD-5DEA-44AA-B135-0E975CFF85DD}">
            <xm:f>Validation!$H$3=1</xm:f>
            <x14:dxf>
              <fill>
                <patternFill>
                  <bgColor rgb="FFE0DCD8"/>
                </patternFill>
              </fill>
            </x14:dxf>
          </x14:cfRule>
          <xm:sqref>I11</xm:sqref>
        </x14:conditionalFormatting>
        <x14:conditionalFormatting xmlns:xm="http://schemas.microsoft.com/office/excel/2006/main">
          <x14:cfRule type="expression" priority="8" id="{D915DD19-BBA1-4B00-A9B4-F740C29C75C5}">
            <xm:f>Validation!$H$3=1</xm:f>
            <x14:dxf>
              <fill>
                <patternFill>
                  <bgColor rgb="FFE0DCD8"/>
                </patternFill>
              </fill>
            </x14:dxf>
          </x14:cfRule>
          <xm:sqref>I6:I10</xm:sqref>
        </x14:conditionalFormatting>
        <x14:conditionalFormatting xmlns:xm="http://schemas.microsoft.com/office/excel/2006/main">
          <x14:cfRule type="expression" priority="5" id="{54B7EDE6-9517-4D7C-B4FA-2D5EAA57BE1D}">
            <xm:f>Validation!$H$3=1</xm:f>
            <x14:dxf>
              <fill>
                <patternFill>
                  <bgColor rgb="FFE0DCD8"/>
                </patternFill>
              </fill>
            </x14:dxf>
          </x14:cfRule>
          <xm:sqref>AI11</xm:sqref>
        </x14:conditionalFormatting>
        <x14:conditionalFormatting xmlns:xm="http://schemas.microsoft.com/office/excel/2006/main">
          <x14:cfRule type="expression" priority="6" id="{EB2AA05B-45BA-4959-B008-29BE54095FC9}">
            <xm:f>Validation!$H$3=1</xm:f>
            <x14:dxf>
              <fill>
                <patternFill>
                  <bgColor rgb="FFE0DCD8"/>
                </patternFill>
              </fill>
            </x14:dxf>
          </x14:cfRule>
          <xm:sqref>AI6:AI10</xm:sqref>
        </x14:conditionalFormatting>
        <x14:conditionalFormatting xmlns:xm="http://schemas.microsoft.com/office/excel/2006/main">
          <x14:cfRule type="expression" priority="3" id="{8D752325-A396-4B0F-95B5-BF4EC26D7027}">
            <xm:f>Validation!$H$3=1</xm:f>
            <x14:dxf>
              <fill>
                <patternFill>
                  <bgColor rgb="FFE0DCD8"/>
                </patternFill>
              </fill>
            </x14:dxf>
          </x14:cfRule>
          <xm:sqref>AJ11</xm:sqref>
        </x14:conditionalFormatting>
        <x14:conditionalFormatting xmlns:xm="http://schemas.microsoft.com/office/excel/2006/main">
          <x14:cfRule type="expression" priority="4" id="{3E292F2C-5E97-47B2-A360-79A3A78EF185}">
            <xm:f>Validation!$H$3=1</xm:f>
            <x14:dxf>
              <fill>
                <patternFill>
                  <bgColor rgb="FFE0DCD8"/>
                </patternFill>
              </fill>
            </x14:dxf>
          </x14:cfRule>
          <xm:sqref>AJ6:AJ10</xm:sqref>
        </x14:conditionalFormatting>
        <x14:conditionalFormatting xmlns:xm="http://schemas.microsoft.com/office/excel/2006/main">
          <x14:cfRule type="expression" priority="2" id="{1347093D-B56F-42BA-B3ED-3B3B7089CBED}">
            <xm:f>Validation!$H$3=1</xm:f>
            <x14:dxf>
              <fill>
                <patternFill>
                  <bgColor theme="2"/>
                </patternFill>
              </fill>
            </x14:dxf>
          </x14:cfRule>
          <xm:sqref>H6:H11</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tabColor rgb="FF92D050"/>
    <pageSetUpPr fitToPage="1"/>
  </sheetPr>
  <dimension ref="A1:BM92"/>
  <sheetViews>
    <sheetView topLeftCell="A21" workbookViewId="0">
      <selection activeCell="B1" sqref="B1:M50"/>
    </sheetView>
  </sheetViews>
  <sheetFormatPr defaultColWidth="0" defaultRowHeight="14" zeroHeight="1"/>
  <cols>
    <col min="1" max="1" width="0.58203125" style="8" customWidth="1"/>
    <col min="2" max="2" width="6" style="8" customWidth="1"/>
    <col min="3" max="3" width="59.5" style="8" bestFit="1" customWidth="1"/>
    <col min="4" max="4" width="1.08203125" style="483" hidden="1" customWidth="1"/>
    <col min="5" max="6" width="5.08203125" style="8" customWidth="1"/>
    <col min="7" max="12" width="12.08203125" style="8" customWidth="1"/>
    <col min="13" max="13" width="12.5" style="8" customWidth="1"/>
    <col min="14" max="14" width="1.75" style="70" customWidth="1"/>
    <col min="15" max="15" width="28" style="70" customWidth="1"/>
    <col min="16" max="16" width="30.83203125" style="70" customWidth="1"/>
    <col min="17" max="17" width="1.58203125" style="70" customWidth="1"/>
    <col min="18" max="18" width="1.58203125" style="71" hidden="1" customWidth="1"/>
    <col min="19" max="24" width="4.58203125" style="70" hidden="1" customWidth="1"/>
    <col min="25" max="25" width="1.58203125" style="71" hidden="1" customWidth="1"/>
    <col min="26" max="26" width="10.08203125" style="8" hidden="1" customWidth="1"/>
    <col min="27" max="27" width="1.58203125" style="71" hidden="1" customWidth="1"/>
    <col min="28" max="29" width="7.5" style="8" hidden="1" customWidth="1"/>
    <col min="30" max="30" width="64.08203125" style="8" hidden="1" customWidth="1"/>
    <col min="31" max="31" width="1.58203125" style="71" hidden="1" customWidth="1"/>
    <col min="32" max="51" width="8.58203125" style="8" hidden="1" customWidth="1"/>
    <col min="52" max="52" width="8.58203125" style="8" customWidth="1"/>
    <col min="53" max="53" width="6" style="483" customWidth="1"/>
    <col min="54" max="54" width="59.5" style="483" bestFit="1" customWidth="1"/>
    <col min="55" max="55" width="1.08203125" style="483" hidden="1" customWidth="1"/>
    <col min="56" max="57" width="5.08203125" style="483" customWidth="1"/>
    <col min="58" max="63" width="12.08203125" style="483" customWidth="1"/>
    <col min="64" max="64" width="12.5" style="483" customWidth="1"/>
    <col min="65" max="65" width="1.83203125" style="8" customWidth="1"/>
    <col min="66" max="16384" width="8.58203125" style="8" hidden="1"/>
  </cols>
  <sheetData>
    <row r="1" spans="2:64" ht="20">
      <c r="B1" s="66" t="s">
        <v>2613</v>
      </c>
      <c r="C1" s="66"/>
      <c r="D1" s="66"/>
      <c r="E1" s="66"/>
      <c r="F1" s="66"/>
      <c r="G1" s="66"/>
      <c r="H1" s="66"/>
      <c r="I1" s="66"/>
      <c r="J1" s="66"/>
      <c r="K1" s="66"/>
      <c r="L1" s="66"/>
      <c r="M1" s="68" t="str">
        <f>Validation!B3</f>
        <v>Bristol Water</v>
      </c>
      <c r="N1" s="66"/>
      <c r="O1" s="66"/>
      <c r="P1" s="69" t="s">
        <v>32</v>
      </c>
      <c r="Z1" s="483"/>
      <c r="AB1" s="483"/>
      <c r="AC1" s="483"/>
      <c r="AD1" s="483"/>
      <c r="AF1" s="483"/>
      <c r="AG1" s="483"/>
      <c r="AH1" s="483"/>
      <c r="AI1" s="483"/>
      <c r="AJ1" s="483"/>
      <c r="AK1" s="483"/>
      <c r="AL1" s="483"/>
      <c r="AM1" s="483"/>
      <c r="AN1" s="483"/>
      <c r="AO1" s="483"/>
      <c r="AP1" s="483"/>
      <c r="AQ1" s="483"/>
      <c r="AR1" s="483"/>
      <c r="AS1" s="483"/>
      <c r="AT1" s="483"/>
      <c r="AU1" s="483"/>
      <c r="AV1" s="483"/>
      <c r="AW1" s="483"/>
      <c r="AX1" s="483"/>
      <c r="AY1" s="483"/>
      <c r="AZ1" s="483"/>
      <c r="BA1" s="66" t="s">
        <v>33</v>
      </c>
      <c r="BB1" s="66"/>
      <c r="BC1" s="66"/>
      <c r="BD1" s="66"/>
      <c r="BE1" s="66"/>
      <c r="BF1" s="66"/>
      <c r="BG1" s="66"/>
      <c r="BH1" s="66"/>
      <c r="BI1" s="66"/>
      <c r="BJ1" s="66"/>
      <c r="BK1" s="66"/>
      <c r="BL1" s="68"/>
    </row>
    <row r="2" spans="2:64" ht="14.5" thickBot="1">
      <c r="B2" s="73" t="str">
        <f>'4C'!B2</f>
        <v>For the 12 months ended 31 March 2020</v>
      </c>
      <c r="C2" s="70"/>
      <c r="D2" s="70"/>
      <c r="E2" s="70"/>
      <c r="F2" s="70"/>
      <c r="G2" s="70"/>
      <c r="H2" s="70"/>
      <c r="I2" s="70"/>
      <c r="J2" s="70"/>
      <c r="K2" s="70"/>
      <c r="L2" s="70"/>
      <c r="M2" s="70"/>
      <c r="Z2" s="483"/>
      <c r="AB2" s="483"/>
      <c r="AC2" s="483"/>
      <c r="AD2" s="483"/>
      <c r="AF2" s="483"/>
      <c r="AG2" s="483"/>
      <c r="AH2" s="483"/>
      <c r="AI2" s="483"/>
      <c r="AJ2" s="483"/>
      <c r="AK2" s="483"/>
      <c r="AL2" s="483"/>
      <c r="AM2" s="483"/>
      <c r="AN2" s="483"/>
      <c r="AO2" s="483"/>
      <c r="AP2" s="483"/>
      <c r="AQ2" s="483"/>
      <c r="AR2" s="483"/>
      <c r="AS2" s="483"/>
      <c r="AT2" s="483"/>
      <c r="AU2" s="483"/>
      <c r="AV2" s="483"/>
      <c r="AW2" s="483"/>
      <c r="AX2" s="483"/>
      <c r="AY2" s="483"/>
      <c r="AZ2" s="483"/>
      <c r="BA2" s="73" t="str">
        <f>+B2</f>
        <v>For the 12 months ended 31 March 2020</v>
      </c>
      <c r="BB2" s="70"/>
      <c r="BC2" s="70"/>
      <c r="BD2" s="70"/>
      <c r="BE2" s="70"/>
      <c r="BF2" s="70"/>
      <c r="BG2" s="70"/>
      <c r="BH2" s="70"/>
      <c r="BI2" s="70"/>
      <c r="BJ2" s="70"/>
      <c r="BK2" s="70"/>
      <c r="BL2" s="70"/>
    </row>
    <row r="3" spans="2:64" ht="15" customHeight="1">
      <c r="B3" s="2981" t="s">
        <v>34</v>
      </c>
      <c r="C3" s="2982"/>
      <c r="D3" s="2843" t="s">
        <v>2462</v>
      </c>
      <c r="E3" s="2985" t="s">
        <v>36</v>
      </c>
      <c r="F3" s="2987" t="s">
        <v>37</v>
      </c>
      <c r="G3" s="3061" t="s">
        <v>905</v>
      </c>
      <c r="H3" s="3062"/>
      <c r="I3" s="3063" t="s">
        <v>2614</v>
      </c>
      <c r="J3" s="3064"/>
      <c r="K3" s="3068"/>
      <c r="L3" s="3069"/>
      <c r="M3" s="3059" t="s">
        <v>708</v>
      </c>
      <c r="O3" s="2907" t="s">
        <v>703</v>
      </c>
      <c r="P3" s="2907" t="s">
        <v>41</v>
      </c>
      <c r="Z3" s="483"/>
      <c r="AB3" s="483"/>
      <c r="AC3" s="483"/>
      <c r="AD3" s="483"/>
      <c r="AF3" s="483"/>
      <c r="AG3" s="483"/>
      <c r="AH3" s="483"/>
      <c r="AI3" s="483"/>
      <c r="AJ3" s="483"/>
      <c r="AK3" s="483"/>
      <c r="AL3" s="483"/>
      <c r="AM3" s="483"/>
      <c r="AN3" s="483"/>
      <c r="AO3" s="483"/>
      <c r="AP3" s="483"/>
      <c r="AQ3" s="483"/>
      <c r="AR3" s="483"/>
      <c r="AS3" s="483"/>
      <c r="AT3" s="483"/>
      <c r="AU3" s="483"/>
      <c r="AV3" s="483"/>
      <c r="AW3" s="483"/>
      <c r="AX3" s="483"/>
      <c r="AY3" s="483"/>
      <c r="AZ3" s="483"/>
      <c r="BA3" s="2981" t="s">
        <v>34</v>
      </c>
      <c r="BB3" s="2982"/>
      <c r="BC3" s="2843" t="s">
        <v>2462</v>
      </c>
      <c r="BD3" s="2985" t="s">
        <v>36</v>
      </c>
      <c r="BE3" s="2987" t="s">
        <v>37</v>
      </c>
      <c r="BF3" s="3061" t="s">
        <v>905</v>
      </c>
      <c r="BG3" s="3062"/>
      <c r="BH3" s="3063" t="s">
        <v>2614</v>
      </c>
      <c r="BI3" s="3064"/>
      <c r="BJ3" s="3065"/>
      <c r="BK3" s="3066"/>
      <c r="BL3" s="3059" t="s">
        <v>708</v>
      </c>
    </row>
    <row r="4" spans="2:64" ht="27.5" thickBot="1">
      <c r="B4" s="2983"/>
      <c r="C4" s="2984"/>
      <c r="D4" s="2844"/>
      <c r="E4" s="2986"/>
      <c r="F4" s="2988"/>
      <c r="G4" s="211" t="s">
        <v>2615</v>
      </c>
      <c r="H4" s="212" t="s">
        <v>2616</v>
      </c>
      <c r="I4" s="214" t="s">
        <v>2617</v>
      </c>
      <c r="J4" s="212" t="s">
        <v>2618</v>
      </c>
      <c r="K4" s="211" t="s">
        <v>2619</v>
      </c>
      <c r="L4" s="213" t="s">
        <v>2620</v>
      </c>
      <c r="M4" s="3060"/>
      <c r="O4" s="2908"/>
      <c r="P4" s="2908"/>
      <c r="S4" s="2909" t="s">
        <v>45</v>
      </c>
      <c r="T4" s="2909"/>
      <c r="U4" s="2909"/>
      <c r="V4" s="2909"/>
      <c r="W4" s="2909"/>
      <c r="X4" s="2909"/>
      <c r="Z4" s="2822" t="s">
        <v>24</v>
      </c>
      <c r="AB4" s="76" t="s">
        <v>902</v>
      </c>
      <c r="AC4" s="1526"/>
      <c r="AD4" s="1526"/>
      <c r="AF4" s="483"/>
      <c r="AG4" s="483"/>
      <c r="AH4" s="483"/>
      <c r="AI4" s="483"/>
      <c r="AJ4" s="483"/>
      <c r="AK4" s="483"/>
      <c r="AL4" s="483"/>
      <c r="AM4" s="483"/>
      <c r="AN4" s="483"/>
      <c r="AO4" s="483"/>
      <c r="AP4" s="483"/>
      <c r="AQ4" s="483"/>
      <c r="AR4" s="483"/>
      <c r="AS4" s="483"/>
      <c r="AT4" s="483"/>
      <c r="AU4" s="483"/>
      <c r="AV4" s="483"/>
      <c r="AW4" s="483"/>
      <c r="AX4" s="483"/>
      <c r="AY4" s="483"/>
      <c r="AZ4" s="483"/>
      <c r="BA4" s="2983"/>
      <c r="BB4" s="2984"/>
      <c r="BC4" s="2844"/>
      <c r="BD4" s="2986"/>
      <c r="BE4" s="2988"/>
      <c r="BF4" s="211" t="s">
        <v>2615</v>
      </c>
      <c r="BG4" s="212" t="s">
        <v>2616</v>
      </c>
      <c r="BH4" s="214" t="s">
        <v>2617</v>
      </c>
      <c r="BI4" s="212" t="s">
        <v>2618</v>
      </c>
      <c r="BJ4" s="211" t="s">
        <v>2619</v>
      </c>
      <c r="BK4" s="213" t="s">
        <v>2620</v>
      </c>
      <c r="BL4" s="3060"/>
    </row>
    <row r="5" spans="2:64" ht="14.5" thickBot="1">
      <c r="B5" s="70"/>
      <c r="C5" s="70"/>
      <c r="D5" s="70"/>
      <c r="E5" s="70"/>
      <c r="F5" s="70"/>
      <c r="G5" s="70"/>
      <c r="H5" s="70"/>
      <c r="I5" s="70"/>
      <c r="J5" s="70"/>
      <c r="K5" s="70"/>
      <c r="L5" s="70"/>
      <c r="M5" s="70"/>
      <c r="S5" s="3067"/>
      <c r="T5" s="3067"/>
      <c r="U5" s="3067"/>
      <c r="V5" s="3067"/>
      <c r="W5" s="3067"/>
      <c r="X5" s="3067"/>
      <c r="Z5" s="2855"/>
      <c r="AB5" s="2855"/>
      <c r="AC5" s="82"/>
      <c r="AD5" s="82"/>
      <c r="AF5" s="483"/>
      <c r="AG5" s="483"/>
      <c r="AH5" s="483"/>
      <c r="AI5" s="483"/>
      <c r="AJ5" s="483"/>
      <c r="AK5" s="483"/>
      <c r="AL5" s="483"/>
      <c r="AM5" s="483"/>
      <c r="AN5" s="483"/>
      <c r="AO5" s="483"/>
      <c r="AP5" s="483"/>
      <c r="AQ5" s="483"/>
      <c r="AR5" s="483"/>
      <c r="AS5" s="483"/>
      <c r="AT5" s="483"/>
      <c r="AU5" s="483"/>
      <c r="AV5" s="483"/>
      <c r="AW5" s="483"/>
      <c r="AX5" s="483"/>
      <c r="AY5" s="483"/>
      <c r="AZ5" s="483"/>
      <c r="BA5" s="70"/>
      <c r="BB5" s="70"/>
      <c r="BC5" s="70"/>
      <c r="BD5" s="70"/>
      <c r="BE5" s="70"/>
      <c r="BF5" s="70"/>
      <c r="BG5" s="70"/>
      <c r="BH5" s="70"/>
      <c r="BI5" s="70"/>
      <c r="BJ5" s="70"/>
      <c r="BK5" s="70"/>
      <c r="BL5" s="70"/>
    </row>
    <row r="6" spans="2:64" ht="14.5" thickBot="1">
      <c r="B6" s="113" t="s">
        <v>153</v>
      </c>
      <c r="C6" s="114" t="s">
        <v>939</v>
      </c>
      <c r="D6" s="1473"/>
      <c r="E6" s="70"/>
      <c r="F6" s="70"/>
      <c r="G6" s="70"/>
      <c r="H6" s="70"/>
      <c r="I6" s="70"/>
      <c r="J6" s="70"/>
      <c r="K6" s="70"/>
      <c r="L6" s="70"/>
      <c r="M6" s="70"/>
      <c r="P6" s="24">
        <f xml:space="preserve"> IF( SUM( R6:Y6 ) = 0, 0, $P$9 )</f>
        <v>0</v>
      </c>
      <c r="S6" s="164" t="s">
        <v>46</v>
      </c>
      <c r="T6" s="164"/>
      <c r="U6" s="164"/>
      <c r="V6" s="164"/>
      <c r="W6" s="164"/>
      <c r="X6" s="164"/>
      <c r="Z6" s="483"/>
      <c r="AB6" s="483"/>
      <c r="AC6" s="483"/>
      <c r="AD6" s="483"/>
      <c r="AF6" s="483"/>
      <c r="AG6" s="483"/>
      <c r="AH6" s="483"/>
      <c r="AI6" s="483"/>
      <c r="AJ6" s="483"/>
      <c r="AK6" s="483"/>
      <c r="AL6" s="483"/>
      <c r="AM6" s="483"/>
      <c r="AN6" s="483"/>
      <c r="AO6" s="483"/>
      <c r="AP6" s="483"/>
      <c r="AQ6" s="483"/>
      <c r="AR6" s="483"/>
      <c r="AS6" s="483"/>
      <c r="AT6" s="483"/>
      <c r="AU6" s="483"/>
      <c r="AV6" s="483"/>
      <c r="AW6" s="483"/>
      <c r="AX6" s="483"/>
      <c r="AY6" s="483"/>
      <c r="AZ6" s="483"/>
      <c r="BA6" s="113" t="s">
        <v>153</v>
      </c>
      <c r="BB6" s="114" t="s">
        <v>939</v>
      </c>
      <c r="BC6" s="1473"/>
      <c r="BD6" s="70"/>
      <c r="BE6" s="70"/>
      <c r="BF6" s="70"/>
      <c r="BG6" s="70"/>
      <c r="BH6" s="70"/>
      <c r="BI6" s="70"/>
      <c r="BJ6" s="70"/>
      <c r="BK6" s="70"/>
      <c r="BL6" s="70"/>
    </row>
    <row r="7" spans="2:64">
      <c r="B7" s="86" t="s">
        <v>2621</v>
      </c>
      <c r="C7" s="117" t="s">
        <v>1040</v>
      </c>
      <c r="D7" s="117"/>
      <c r="E7" s="88" t="s">
        <v>49</v>
      </c>
      <c r="F7" s="215">
        <v>3</v>
      </c>
      <c r="G7" s="414">
        <v>0</v>
      </c>
      <c r="H7" s="415">
        <v>1.6850000000000001</v>
      </c>
      <c r="I7" s="414">
        <v>3.1E-2</v>
      </c>
      <c r="J7" s="425">
        <v>0</v>
      </c>
      <c r="K7" s="424">
        <v>2.6970000000000001</v>
      </c>
      <c r="L7" s="415">
        <v>4.0510000000000002</v>
      </c>
      <c r="M7" s="199">
        <f t="shared" ref="M7:M15" si="0">SUM(G7:L7)</f>
        <v>8.4640000000000004</v>
      </c>
      <c r="P7" s="24">
        <f xml:space="preserve"> IF( SUM( R7:Y7 ) = 0, 0, $S$6 )</f>
        <v>0</v>
      </c>
      <c r="S7" s="93">
        <f t="shared" ref="S7:X14" si="1" xml:space="preserve"> IF( ISNUMBER( G7 ), 0, 1 )</f>
        <v>0</v>
      </c>
      <c r="T7" s="93">
        <f t="shared" si="1"/>
        <v>0</v>
      </c>
      <c r="U7" s="93">
        <f t="shared" si="1"/>
        <v>0</v>
      </c>
      <c r="V7" s="93">
        <f t="shared" si="1"/>
        <v>0</v>
      </c>
      <c r="W7" s="93">
        <f t="shared" si="1"/>
        <v>0</v>
      </c>
      <c r="X7" s="93">
        <f t="shared" si="1"/>
        <v>0</v>
      </c>
      <c r="Z7" s="483"/>
      <c r="AB7" s="483"/>
      <c r="AC7" s="483"/>
      <c r="AD7" s="483"/>
      <c r="AF7" s="483"/>
      <c r="AG7" s="483"/>
      <c r="AH7" s="483"/>
      <c r="AI7" s="483"/>
      <c r="AJ7" s="483"/>
      <c r="AK7" s="483"/>
      <c r="AL7" s="483"/>
      <c r="AM7" s="483"/>
      <c r="AN7" s="483"/>
      <c r="AO7" s="483"/>
      <c r="AP7" s="483"/>
      <c r="AQ7" s="483"/>
      <c r="AR7" s="483"/>
      <c r="AS7" s="483"/>
      <c r="AT7" s="483"/>
      <c r="AU7" s="483"/>
      <c r="AV7" s="483"/>
      <c r="AW7" s="483"/>
      <c r="AX7" s="483"/>
      <c r="AY7" s="483"/>
      <c r="AZ7" s="483"/>
      <c r="BA7" s="86" t="s">
        <v>2621</v>
      </c>
      <c r="BB7" s="117" t="s">
        <v>1040</v>
      </c>
      <c r="BC7" s="117"/>
      <c r="BD7" s="88" t="s">
        <v>49</v>
      </c>
      <c r="BE7" s="215">
        <v>3</v>
      </c>
      <c r="BF7" s="2380" t="s">
        <v>2622</v>
      </c>
      <c r="BG7" s="2524" t="s">
        <v>2623</v>
      </c>
      <c r="BH7" s="2380" t="s">
        <v>2624</v>
      </c>
      <c r="BI7" s="2381" t="s">
        <v>2625</v>
      </c>
      <c r="BJ7" s="2439" t="s">
        <v>2626</v>
      </c>
      <c r="BK7" s="2524" t="s">
        <v>2627</v>
      </c>
      <c r="BL7" s="199" t="s">
        <v>2628</v>
      </c>
    </row>
    <row r="8" spans="2:64">
      <c r="B8" s="94" t="s">
        <v>2629</v>
      </c>
      <c r="C8" s="87" t="s">
        <v>1048</v>
      </c>
      <c r="D8" s="87"/>
      <c r="E8" s="95" t="s">
        <v>49</v>
      </c>
      <c r="F8" s="217">
        <v>3</v>
      </c>
      <c r="G8" s="412">
        <v>0</v>
      </c>
      <c r="H8" s="416">
        <v>0</v>
      </c>
      <c r="I8" s="412">
        <v>0</v>
      </c>
      <c r="J8" s="413">
        <v>0</v>
      </c>
      <c r="K8" s="426">
        <v>0</v>
      </c>
      <c r="L8" s="416">
        <v>0</v>
      </c>
      <c r="M8" s="241">
        <f t="shared" si="0"/>
        <v>0</v>
      </c>
      <c r="P8" s="24">
        <f t="shared" ref="P8:P46" si="2" xml:space="preserve"> IF( SUM( R8:Y8 ) = 0, 0, $S$6 )</f>
        <v>0</v>
      </c>
      <c r="S8" s="93">
        <f t="shared" si="1"/>
        <v>0</v>
      </c>
      <c r="T8" s="93">
        <f t="shared" si="1"/>
        <v>0</v>
      </c>
      <c r="U8" s="93">
        <f t="shared" si="1"/>
        <v>0</v>
      </c>
      <c r="V8" s="93">
        <f t="shared" si="1"/>
        <v>0</v>
      </c>
      <c r="W8" s="93">
        <f t="shared" si="1"/>
        <v>0</v>
      </c>
      <c r="X8" s="93">
        <f t="shared" si="1"/>
        <v>0</v>
      </c>
      <c r="Z8" s="483"/>
      <c r="AB8" s="483"/>
      <c r="AC8" s="483"/>
      <c r="AD8" s="483"/>
      <c r="AF8" s="483"/>
      <c r="AG8" s="483"/>
      <c r="AH8" s="483"/>
      <c r="AI8" s="483"/>
      <c r="AJ8" s="483"/>
      <c r="AK8" s="483"/>
      <c r="AL8" s="483"/>
      <c r="AM8" s="483"/>
      <c r="AN8" s="483"/>
      <c r="AO8" s="483"/>
      <c r="AP8" s="483"/>
      <c r="AQ8" s="483"/>
      <c r="AR8" s="483"/>
      <c r="AS8" s="483"/>
      <c r="AT8" s="483"/>
      <c r="AU8" s="483"/>
      <c r="AV8" s="483"/>
      <c r="AW8" s="483"/>
      <c r="AX8" s="483"/>
      <c r="AY8" s="483"/>
      <c r="AZ8" s="483"/>
      <c r="BA8" s="94" t="s">
        <v>2629</v>
      </c>
      <c r="BB8" s="87" t="s">
        <v>1048</v>
      </c>
      <c r="BC8" s="87"/>
      <c r="BD8" s="95" t="s">
        <v>49</v>
      </c>
      <c r="BE8" s="217">
        <v>3</v>
      </c>
      <c r="BF8" s="2383" t="s">
        <v>2630</v>
      </c>
      <c r="BG8" s="2525" t="s">
        <v>2631</v>
      </c>
      <c r="BH8" s="2383" t="s">
        <v>2632</v>
      </c>
      <c r="BI8" s="2384" t="s">
        <v>2633</v>
      </c>
      <c r="BJ8" s="2396" t="s">
        <v>2634</v>
      </c>
      <c r="BK8" s="2525" t="s">
        <v>2635</v>
      </c>
      <c r="BL8" s="241" t="s">
        <v>2636</v>
      </c>
    </row>
    <row r="9" spans="2:64">
      <c r="B9" s="94" t="s">
        <v>2637</v>
      </c>
      <c r="C9" s="87" t="s">
        <v>1056</v>
      </c>
      <c r="D9" s="87"/>
      <c r="E9" s="95" t="s">
        <v>49</v>
      </c>
      <c r="F9" s="217">
        <v>3</v>
      </c>
      <c r="G9" s="412">
        <v>2.72</v>
      </c>
      <c r="H9" s="416">
        <v>0</v>
      </c>
      <c r="I9" s="412">
        <v>6.0000000000000001E-3</v>
      </c>
      <c r="J9" s="413">
        <v>0</v>
      </c>
      <c r="K9" s="426">
        <v>9.4E-2</v>
      </c>
      <c r="L9" s="416">
        <v>1E-3</v>
      </c>
      <c r="M9" s="241">
        <f t="shared" si="0"/>
        <v>2.8209999999999997</v>
      </c>
      <c r="P9" s="24">
        <f t="shared" si="2"/>
        <v>0</v>
      </c>
      <c r="S9" s="93">
        <f t="shared" si="1"/>
        <v>0</v>
      </c>
      <c r="T9" s="93">
        <f t="shared" si="1"/>
        <v>0</v>
      </c>
      <c r="U9" s="93">
        <f t="shared" si="1"/>
        <v>0</v>
      </c>
      <c r="V9" s="93">
        <f t="shared" si="1"/>
        <v>0</v>
      </c>
      <c r="W9" s="93">
        <f t="shared" si="1"/>
        <v>0</v>
      </c>
      <c r="X9" s="93">
        <f t="shared" si="1"/>
        <v>0</v>
      </c>
      <c r="Z9" s="483"/>
      <c r="AB9" s="483"/>
      <c r="AC9" s="483"/>
      <c r="AD9" s="483"/>
      <c r="AF9" s="483"/>
      <c r="AG9" s="483"/>
      <c r="AH9" s="483"/>
      <c r="AI9" s="483"/>
      <c r="AJ9" s="483"/>
      <c r="AK9" s="483"/>
      <c r="AL9" s="483"/>
      <c r="AM9" s="483"/>
      <c r="AN9" s="483"/>
      <c r="AO9" s="483"/>
      <c r="AP9" s="483"/>
      <c r="AQ9" s="483"/>
      <c r="AR9" s="483"/>
      <c r="AS9" s="483"/>
      <c r="AT9" s="483"/>
      <c r="AU9" s="483"/>
      <c r="AV9" s="483"/>
      <c r="AW9" s="483"/>
      <c r="AX9" s="483"/>
      <c r="AY9" s="483"/>
      <c r="AZ9" s="483"/>
      <c r="BA9" s="94" t="s">
        <v>2637</v>
      </c>
      <c r="BB9" s="87" t="s">
        <v>1056</v>
      </c>
      <c r="BC9" s="87"/>
      <c r="BD9" s="95" t="s">
        <v>49</v>
      </c>
      <c r="BE9" s="217">
        <v>3</v>
      </c>
      <c r="BF9" s="2383" t="s">
        <v>2638</v>
      </c>
      <c r="BG9" s="2525" t="s">
        <v>2639</v>
      </c>
      <c r="BH9" s="2383" t="s">
        <v>2640</v>
      </c>
      <c r="BI9" s="2384" t="s">
        <v>2641</v>
      </c>
      <c r="BJ9" s="2396" t="s">
        <v>2642</v>
      </c>
      <c r="BK9" s="2525" t="s">
        <v>2643</v>
      </c>
      <c r="BL9" s="241" t="s">
        <v>2644</v>
      </c>
    </row>
    <row r="10" spans="2:64">
      <c r="B10" s="94" t="s">
        <v>2645</v>
      </c>
      <c r="C10" s="87" t="s">
        <v>2646</v>
      </c>
      <c r="D10" s="87"/>
      <c r="E10" s="95" t="s">
        <v>49</v>
      </c>
      <c r="F10" s="217">
        <v>3</v>
      </c>
      <c r="G10" s="412">
        <v>4.0000000000000001E-3</v>
      </c>
      <c r="H10" s="416">
        <v>1.2E-2</v>
      </c>
      <c r="I10" s="412">
        <v>0</v>
      </c>
      <c r="J10" s="413">
        <v>0</v>
      </c>
      <c r="K10" s="426">
        <v>3.4000000000000002E-2</v>
      </c>
      <c r="L10" s="416">
        <v>0.08</v>
      </c>
      <c r="M10" s="241">
        <f t="shared" si="0"/>
        <v>0.13</v>
      </c>
      <c r="P10" s="24">
        <f t="shared" si="2"/>
        <v>0</v>
      </c>
      <c r="S10" s="93">
        <f t="shared" si="1"/>
        <v>0</v>
      </c>
      <c r="T10" s="93">
        <f t="shared" si="1"/>
        <v>0</v>
      </c>
      <c r="U10" s="93">
        <f t="shared" si="1"/>
        <v>0</v>
      </c>
      <c r="V10" s="93">
        <f t="shared" si="1"/>
        <v>0</v>
      </c>
      <c r="W10" s="93">
        <f t="shared" si="1"/>
        <v>0</v>
      </c>
      <c r="X10" s="93">
        <f t="shared" si="1"/>
        <v>0</v>
      </c>
      <c r="Z10" s="483"/>
      <c r="AB10" s="483"/>
      <c r="AC10" s="483"/>
      <c r="AD10" s="483"/>
      <c r="AF10" s="483"/>
      <c r="AG10" s="483"/>
      <c r="AH10" s="483"/>
      <c r="AI10" s="483"/>
      <c r="AJ10" s="483"/>
      <c r="AK10" s="483"/>
      <c r="AL10" s="483"/>
      <c r="AM10" s="483"/>
      <c r="AN10" s="483"/>
      <c r="AO10" s="483"/>
      <c r="AP10" s="483"/>
      <c r="AQ10" s="483"/>
      <c r="AR10" s="483"/>
      <c r="AS10" s="483"/>
      <c r="AT10" s="483"/>
      <c r="AU10" s="483"/>
      <c r="AV10" s="483"/>
      <c r="AW10" s="483"/>
      <c r="AX10" s="483"/>
      <c r="AY10" s="483"/>
      <c r="AZ10" s="483"/>
      <c r="BA10" s="94" t="s">
        <v>2645</v>
      </c>
      <c r="BB10" s="87" t="s">
        <v>2646</v>
      </c>
      <c r="BC10" s="87"/>
      <c r="BD10" s="95" t="s">
        <v>49</v>
      </c>
      <c r="BE10" s="217">
        <v>3</v>
      </c>
      <c r="BF10" s="2383" t="s">
        <v>2647</v>
      </c>
      <c r="BG10" s="2525" t="s">
        <v>2648</v>
      </c>
      <c r="BH10" s="2383" t="s">
        <v>2649</v>
      </c>
      <c r="BI10" s="2384" t="s">
        <v>2650</v>
      </c>
      <c r="BJ10" s="2396" t="s">
        <v>2651</v>
      </c>
      <c r="BK10" s="2525" t="s">
        <v>2652</v>
      </c>
      <c r="BL10" s="241" t="s">
        <v>2653</v>
      </c>
    </row>
    <row r="11" spans="2:64">
      <c r="B11" s="94" t="s">
        <v>2654</v>
      </c>
      <c r="C11" s="277" t="s">
        <v>1072</v>
      </c>
      <c r="D11" s="277"/>
      <c r="E11" s="301" t="s">
        <v>49</v>
      </c>
      <c r="F11" s="279">
        <v>3</v>
      </c>
      <c r="G11" s="412">
        <v>0</v>
      </c>
      <c r="H11" s="416">
        <v>0.11799999999999999</v>
      </c>
      <c r="I11" s="412">
        <v>2.8000000000000001E-2</v>
      </c>
      <c r="J11" s="413">
        <v>0</v>
      </c>
      <c r="K11" s="426">
        <v>3.0000000000000001E-3</v>
      </c>
      <c r="L11" s="416">
        <v>1.7350000000000001</v>
      </c>
      <c r="M11" s="241">
        <f t="shared" si="0"/>
        <v>1.8840000000000001</v>
      </c>
      <c r="P11" s="24">
        <f t="shared" si="2"/>
        <v>0</v>
      </c>
      <c r="S11" s="93">
        <f t="shared" si="1"/>
        <v>0</v>
      </c>
      <c r="T11" s="93">
        <f t="shared" si="1"/>
        <v>0</v>
      </c>
      <c r="U11" s="93">
        <f t="shared" si="1"/>
        <v>0</v>
      </c>
      <c r="V11" s="93">
        <f t="shared" si="1"/>
        <v>0</v>
      </c>
      <c r="W11" s="93">
        <f t="shared" si="1"/>
        <v>0</v>
      </c>
      <c r="X11" s="93">
        <f t="shared" si="1"/>
        <v>0</v>
      </c>
      <c r="Z11" s="483"/>
      <c r="AB11" s="483"/>
      <c r="AC11" s="483"/>
      <c r="AD11" s="483"/>
      <c r="AF11" s="483"/>
      <c r="AG11" s="483"/>
      <c r="AH11" s="483"/>
      <c r="AI11" s="483"/>
      <c r="AJ11" s="483"/>
      <c r="AK11" s="483"/>
      <c r="AL11" s="483"/>
      <c r="AM11" s="483"/>
      <c r="AN11" s="483"/>
      <c r="AO11" s="483"/>
      <c r="AP11" s="483"/>
      <c r="AQ11" s="483"/>
      <c r="AR11" s="483"/>
      <c r="AS11" s="483"/>
      <c r="AT11" s="483"/>
      <c r="AU11" s="483"/>
      <c r="AV11" s="483"/>
      <c r="AW11" s="483"/>
      <c r="AX11" s="483"/>
      <c r="AY11" s="483"/>
      <c r="AZ11" s="483"/>
      <c r="BA11" s="94" t="s">
        <v>2654</v>
      </c>
      <c r="BB11" s="277" t="s">
        <v>1072</v>
      </c>
      <c r="BC11" s="277"/>
      <c r="BD11" s="301" t="s">
        <v>49</v>
      </c>
      <c r="BE11" s="279">
        <v>3</v>
      </c>
      <c r="BF11" s="2219" t="s">
        <v>2655</v>
      </c>
      <c r="BG11" s="2526" t="s">
        <v>2656</v>
      </c>
      <c r="BH11" s="2219" t="s">
        <v>2657</v>
      </c>
      <c r="BI11" s="2393" t="s">
        <v>2658</v>
      </c>
      <c r="BJ11" s="2451" t="s">
        <v>2659</v>
      </c>
      <c r="BK11" s="2526" t="s">
        <v>2660</v>
      </c>
      <c r="BL11" s="1970" t="s">
        <v>2661</v>
      </c>
    </row>
    <row r="12" spans="2:64" s="483" customFormat="1">
      <c r="B12" s="94" t="s">
        <v>2662</v>
      </c>
      <c r="C12" s="277" t="s">
        <v>1080</v>
      </c>
      <c r="D12" s="277"/>
      <c r="E12" s="301" t="s">
        <v>49</v>
      </c>
      <c r="F12" s="279">
        <v>3</v>
      </c>
      <c r="G12" s="412">
        <v>0</v>
      </c>
      <c r="H12" s="416">
        <v>0</v>
      </c>
      <c r="I12" s="412">
        <v>0</v>
      </c>
      <c r="J12" s="413">
        <v>0</v>
      </c>
      <c r="K12" s="426">
        <v>0</v>
      </c>
      <c r="L12" s="416">
        <v>0</v>
      </c>
      <c r="M12" s="241">
        <f t="shared" si="0"/>
        <v>0</v>
      </c>
      <c r="N12" s="70"/>
      <c r="O12" s="70"/>
      <c r="P12" s="24">
        <f t="shared" ref="P12:P13" si="3" xml:space="preserve"> IF( SUM( R12:Y12 ) = 0, 0, $S$6 )</f>
        <v>0</v>
      </c>
      <c r="Q12" s="70"/>
      <c r="R12" s="71"/>
      <c r="S12" s="93">
        <f t="shared" si="1"/>
        <v>0</v>
      </c>
      <c r="T12" s="93">
        <f t="shared" si="1"/>
        <v>0</v>
      </c>
      <c r="U12" s="93">
        <f t="shared" si="1"/>
        <v>0</v>
      </c>
      <c r="V12" s="93">
        <f t="shared" si="1"/>
        <v>0</v>
      </c>
      <c r="W12" s="93">
        <f t="shared" si="1"/>
        <v>0</v>
      </c>
      <c r="X12" s="93">
        <f t="shared" si="1"/>
        <v>0</v>
      </c>
      <c r="Y12" s="71"/>
      <c r="AA12" s="71"/>
      <c r="AE12" s="71"/>
      <c r="BA12" s="94" t="s">
        <v>2662</v>
      </c>
      <c r="BB12" s="277" t="s">
        <v>1080</v>
      </c>
      <c r="BC12" s="277"/>
      <c r="BD12" s="301" t="s">
        <v>49</v>
      </c>
      <c r="BE12" s="279">
        <v>3</v>
      </c>
      <c r="BF12" s="2219" t="s">
        <v>2663</v>
      </c>
      <c r="BG12" s="2526" t="s">
        <v>2664</v>
      </c>
      <c r="BH12" s="2219" t="s">
        <v>2665</v>
      </c>
      <c r="BI12" s="2393" t="s">
        <v>2666</v>
      </c>
      <c r="BJ12" s="2451" t="s">
        <v>2667</v>
      </c>
      <c r="BK12" s="2526" t="s">
        <v>2668</v>
      </c>
      <c r="BL12" s="1970" t="s">
        <v>2669</v>
      </c>
    </row>
    <row r="13" spans="2:64" s="483" customFormat="1">
      <c r="B13" s="94" t="s">
        <v>2670</v>
      </c>
      <c r="C13" s="277" t="s">
        <v>1088</v>
      </c>
      <c r="D13" s="277"/>
      <c r="E13" s="301" t="s">
        <v>49</v>
      </c>
      <c r="F13" s="279">
        <v>3</v>
      </c>
      <c r="G13" s="412">
        <v>2.4740000000000002</v>
      </c>
      <c r="H13" s="416">
        <v>7.4779999999999998</v>
      </c>
      <c r="I13" s="412">
        <v>0.85</v>
      </c>
      <c r="J13" s="413">
        <v>0</v>
      </c>
      <c r="K13" s="426">
        <v>12.093999999999999</v>
      </c>
      <c r="L13" s="416">
        <v>21.78</v>
      </c>
      <c r="M13" s="241">
        <f t="shared" si="0"/>
        <v>44.676000000000002</v>
      </c>
      <c r="N13" s="70"/>
      <c r="O13" s="70"/>
      <c r="P13" s="24">
        <f t="shared" si="3"/>
        <v>0</v>
      </c>
      <c r="Q13" s="70"/>
      <c r="R13" s="71"/>
      <c r="S13" s="93">
        <f t="shared" si="1"/>
        <v>0</v>
      </c>
      <c r="T13" s="93">
        <f t="shared" si="1"/>
        <v>0</v>
      </c>
      <c r="U13" s="93">
        <f t="shared" si="1"/>
        <v>0</v>
      </c>
      <c r="V13" s="93">
        <f t="shared" si="1"/>
        <v>0</v>
      </c>
      <c r="W13" s="93">
        <f t="shared" si="1"/>
        <v>0</v>
      </c>
      <c r="X13" s="93">
        <f t="shared" si="1"/>
        <v>0</v>
      </c>
      <c r="Y13" s="71"/>
      <c r="AA13" s="71"/>
      <c r="AE13" s="71"/>
      <c r="BA13" s="94" t="s">
        <v>2670</v>
      </c>
      <c r="BB13" s="277" t="s">
        <v>1088</v>
      </c>
      <c r="BC13" s="277"/>
      <c r="BD13" s="301" t="s">
        <v>49</v>
      </c>
      <c r="BE13" s="279">
        <v>3</v>
      </c>
      <c r="BF13" s="2219" t="s">
        <v>2671</v>
      </c>
      <c r="BG13" s="2526" t="s">
        <v>2672</v>
      </c>
      <c r="BH13" s="2219" t="s">
        <v>2673</v>
      </c>
      <c r="BI13" s="2393" t="s">
        <v>2674</v>
      </c>
      <c r="BJ13" s="2451" t="s">
        <v>2675</v>
      </c>
      <c r="BK13" s="2526" t="s">
        <v>2676</v>
      </c>
      <c r="BL13" s="1970" t="s">
        <v>2677</v>
      </c>
    </row>
    <row r="14" spans="2:64">
      <c r="B14" s="94" t="s">
        <v>2678</v>
      </c>
      <c r="C14" s="87" t="s">
        <v>1096</v>
      </c>
      <c r="D14" s="87"/>
      <c r="E14" s="95" t="s">
        <v>49</v>
      </c>
      <c r="F14" s="217">
        <v>3</v>
      </c>
      <c r="G14" s="412">
        <v>0</v>
      </c>
      <c r="H14" s="416">
        <v>1.292</v>
      </c>
      <c r="I14" s="412">
        <v>0.16900000000000001</v>
      </c>
      <c r="J14" s="413">
        <v>0</v>
      </c>
      <c r="K14" s="426">
        <v>0.314</v>
      </c>
      <c r="L14" s="416">
        <v>3.2349999999999999</v>
      </c>
      <c r="M14" s="241">
        <f t="shared" si="0"/>
        <v>5.01</v>
      </c>
      <c r="P14" s="24">
        <f t="shared" si="2"/>
        <v>0</v>
      </c>
      <c r="S14" s="93">
        <f t="shared" si="1"/>
        <v>0</v>
      </c>
      <c r="T14" s="93">
        <f t="shared" si="1"/>
        <v>0</v>
      </c>
      <c r="U14" s="93">
        <f t="shared" si="1"/>
        <v>0</v>
      </c>
      <c r="V14" s="93">
        <f t="shared" si="1"/>
        <v>0</v>
      </c>
      <c r="W14" s="93">
        <f t="shared" si="1"/>
        <v>0</v>
      </c>
      <c r="X14" s="93">
        <f t="shared" si="1"/>
        <v>0</v>
      </c>
      <c r="Z14" s="483"/>
      <c r="AB14" s="483"/>
      <c r="AC14" s="483"/>
      <c r="AD14" s="483"/>
      <c r="AF14" s="483"/>
      <c r="AG14" s="483"/>
      <c r="AH14" s="483"/>
      <c r="AI14" s="483"/>
      <c r="AJ14" s="483"/>
      <c r="AK14" s="483"/>
      <c r="AL14" s="483"/>
      <c r="AM14" s="483"/>
      <c r="AN14" s="483"/>
      <c r="AO14" s="483"/>
      <c r="AP14" s="483"/>
      <c r="AQ14" s="483"/>
      <c r="AR14" s="483"/>
      <c r="AS14" s="483"/>
      <c r="AT14" s="483"/>
      <c r="AU14" s="483"/>
      <c r="AV14" s="483"/>
      <c r="AW14" s="483"/>
      <c r="AX14" s="483"/>
      <c r="AY14" s="483"/>
      <c r="AZ14" s="483"/>
      <c r="BA14" s="94" t="s">
        <v>2678</v>
      </c>
      <c r="BB14" s="87" t="s">
        <v>1096</v>
      </c>
      <c r="BC14" s="87"/>
      <c r="BD14" s="95" t="s">
        <v>49</v>
      </c>
      <c r="BE14" s="217">
        <v>3</v>
      </c>
      <c r="BF14" s="2219" t="s">
        <v>2679</v>
      </c>
      <c r="BG14" s="2526" t="s">
        <v>2680</v>
      </c>
      <c r="BH14" s="2219" t="s">
        <v>2681</v>
      </c>
      <c r="BI14" s="2393" t="s">
        <v>2682</v>
      </c>
      <c r="BJ14" s="2451" t="s">
        <v>2683</v>
      </c>
      <c r="BK14" s="2526" t="s">
        <v>2684</v>
      </c>
      <c r="BL14" s="1970" t="s">
        <v>2685</v>
      </c>
    </row>
    <row r="15" spans="2:64" ht="14.5" thickBot="1">
      <c r="B15" s="101" t="s">
        <v>2686</v>
      </c>
      <c r="C15" s="102" t="s">
        <v>1104</v>
      </c>
      <c r="D15" s="102"/>
      <c r="E15" s="103" t="s">
        <v>49</v>
      </c>
      <c r="F15" s="225">
        <v>3</v>
      </c>
      <c r="G15" s="193">
        <f t="shared" ref="G15:L15" si="4">SUM(G7:G14)</f>
        <v>5.1980000000000004</v>
      </c>
      <c r="H15" s="195">
        <f t="shared" si="4"/>
        <v>10.584999999999999</v>
      </c>
      <c r="I15" s="193">
        <f t="shared" si="4"/>
        <v>1.0840000000000001</v>
      </c>
      <c r="J15" s="194">
        <f t="shared" si="4"/>
        <v>0</v>
      </c>
      <c r="K15" s="242">
        <f t="shared" si="4"/>
        <v>15.235999999999999</v>
      </c>
      <c r="L15" s="195">
        <f t="shared" si="4"/>
        <v>30.882000000000001</v>
      </c>
      <c r="M15" s="200">
        <f t="shared" si="0"/>
        <v>62.984999999999999</v>
      </c>
      <c r="P15" s="483"/>
      <c r="Z15" s="483"/>
      <c r="AB15" s="483"/>
      <c r="AC15" s="483"/>
      <c r="AD15" s="483"/>
      <c r="AF15" s="483"/>
      <c r="AG15" s="483"/>
      <c r="AH15" s="483"/>
      <c r="AI15" s="483"/>
      <c r="AJ15" s="483"/>
      <c r="AK15" s="483"/>
      <c r="AL15" s="483"/>
      <c r="AM15" s="483"/>
      <c r="AN15" s="483"/>
      <c r="AO15" s="483"/>
      <c r="AP15" s="483"/>
      <c r="AQ15" s="483"/>
      <c r="AR15" s="483"/>
      <c r="AS15" s="483"/>
      <c r="AT15" s="483"/>
      <c r="AU15" s="483"/>
      <c r="AV15" s="483"/>
      <c r="AW15" s="483"/>
      <c r="AX15" s="483"/>
      <c r="AY15" s="483"/>
      <c r="AZ15" s="483"/>
      <c r="BA15" s="101" t="s">
        <v>2686</v>
      </c>
      <c r="BB15" s="102" t="s">
        <v>1104</v>
      </c>
      <c r="BC15" s="102"/>
      <c r="BD15" s="103" t="s">
        <v>49</v>
      </c>
      <c r="BE15" s="225">
        <v>3</v>
      </c>
      <c r="BF15" s="1971" t="s">
        <v>2687</v>
      </c>
      <c r="BG15" s="1887" t="s">
        <v>2688</v>
      </c>
      <c r="BH15" s="1971" t="s">
        <v>2689</v>
      </c>
      <c r="BI15" s="1889" t="s">
        <v>2690</v>
      </c>
      <c r="BJ15" s="1973" t="s">
        <v>2691</v>
      </c>
      <c r="BK15" s="1887" t="s">
        <v>2692</v>
      </c>
      <c r="BL15" s="1891" t="s">
        <v>2693</v>
      </c>
    </row>
    <row r="16" spans="2:64" ht="14.5" thickBot="1">
      <c r="B16" s="483"/>
      <c r="C16" s="483"/>
      <c r="E16" s="483"/>
      <c r="F16" s="483"/>
      <c r="G16" s="483"/>
      <c r="H16" s="483"/>
      <c r="I16" s="483"/>
      <c r="J16" s="483"/>
      <c r="K16" s="483"/>
      <c r="L16" s="483"/>
      <c r="M16" s="483"/>
      <c r="P16" s="483"/>
      <c r="Z16" s="483"/>
      <c r="AB16" s="483"/>
      <c r="AC16" s="483"/>
      <c r="AD16" s="483"/>
      <c r="AF16" s="483"/>
      <c r="AG16" s="483"/>
      <c r="AH16" s="483"/>
      <c r="AI16" s="483"/>
      <c r="AJ16" s="483"/>
      <c r="AK16" s="483"/>
      <c r="AL16" s="483"/>
      <c r="AM16" s="483"/>
      <c r="AN16" s="483"/>
      <c r="AO16" s="483"/>
      <c r="AP16" s="483"/>
      <c r="AQ16" s="483"/>
      <c r="AR16" s="483"/>
      <c r="AS16" s="483"/>
      <c r="AT16" s="483"/>
      <c r="AU16" s="483"/>
      <c r="AV16" s="483"/>
      <c r="AW16" s="483"/>
      <c r="AX16" s="483"/>
      <c r="AY16" s="483"/>
      <c r="AZ16" s="483"/>
      <c r="BF16" s="1979"/>
      <c r="BG16" s="1979"/>
      <c r="BH16" s="1979"/>
      <c r="BI16" s="1979"/>
      <c r="BJ16" s="1979"/>
      <c r="BK16" s="1979"/>
      <c r="BL16" s="1979"/>
    </row>
    <row r="17" spans="2:64">
      <c r="B17" s="86" t="s">
        <v>2694</v>
      </c>
      <c r="C17" s="117" t="s">
        <v>1112</v>
      </c>
      <c r="D17" s="117"/>
      <c r="E17" s="88" t="s">
        <v>49</v>
      </c>
      <c r="F17" s="89">
        <v>3</v>
      </c>
      <c r="G17" s="414">
        <v>9.5000000000000001E-2</v>
      </c>
      <c r="H17" s="415">
        <v>0.16300000000000001</v>
      </c>
      <c r="I17" s="414">
        <v>0</v>
      </c>
      <c r="J17" s="425">
        <v>0</v>
      </c>
      <c r="K17" s="424">
        <v>0.309</v>
      </c>
      <c r="L17" s="415">
        <v>0.65800000000000003</v>
      </c>
      <c r="M17" s="199">
        <f>SUM(G17:L17)</f>
        <v>1.2250000000000001</v>
      </c>
      <c r="P17" s="24">
        <f t="shared" si="2"/>
        <v>0</v>
      </c>
      <c r="S17" s="93">
        <f t="shared" ref="S17:X17" si="5" xml:space="preserve"> IF( ISNUMBER( G17 ), 0, 1 )</f>
        <v>0</v>
      </c>
      <c r="T17" s="93">
        <f t="shared" si="5"/>
        <v>0</v>
      </c>
      <c r="U17" s="93">
        <f t="shared" si="5"/>
        <v>0</v>
      </c>
      <c r="V17" s="93">
        <f t="shared" si="5"/>
        <v>0</v>
      </c>
      <c r="W17" s="93">
        <f t="shared" si="5"/>
        <v>0</v>
      </c>
      <c r="X17" s="93">
        <f t="shared" si="5"/>
        <v>0</v>
      </c>
      <c r="Z17" s="483"/>
      <c r="AB17" s="483"/>
      <c r="AC17" s="483"/>
      <c r="AD17" s="483"/>
      <c r="AF17" s="483"/>
      <c r="AG17" s="483"/>
      <c r="AH17" s="483"/>
      <c r="AI17" s="483"/>
      <c r="AJ17" s="483"/>
      <c r="AK17" s="483"/>
      <c r="AL17" s="483"/>
      <c r="AM17" s="483"/>
      <c r="AN17" s="483"/>
      <c r="AO17" s="483"/>
      <c r="AP17" s="483"/>
      <c r="AQ17" s="483"/>
      <c r="AR17" s="483"/>
      <c r="AS17" s="483"/>
      <c r="AT17" s="483"/>
      <c r="AU17" s="483"/>
      <c r="AV17" s="483"/>
      <c r="AW17" s="483"/>
      <c r="AX17" s="483"/>
      <c r="AY17" s="483"/>
      <c r="AZ17" s="483"/>
      <c r="BA17" s="86" t="s">
        <v>2694</v>
      </c>
      <c r="BB17" s="117" t="s">
        <v>1112</v>
      </c>
      <c r="BC17" s="117"/>
      <c r="BD17" s="88" t="s">
        <v>49</v>
      </c>
      <c r="BE17" s="89">
        <v>3</v>
      </c>
      <c r="BF17" s="2217" t="s">
        <v>2695</v>
      </c>
      <c r="BG17" s="2527" t="s">
        <v>2696</v>
      </c>
      <c r="BH17" s="2217" t="s">
        <v>2697</v>
      </c>
      <c r="BI17" s="2391" t="s">
        <v>2698</v>
      </c>
      <c r="BJ17" s="2448" t="s">
        <v>2699</v>
      </c>
      <c r="BK17" s="2527" t="s">
        <v>2700</v>
      </c>
      <c r="BL17" s="1976" t="s">
        <v>2701</v>
      </c>
    </row>
    <row r="18" spans="2:64" ht="14.5" thickBot="1">
      <c r="B18" s="101" t="s">
        <v>2702</v>
      </c>
      <c r="C18" s="102" t="s">
        <v>1120</v>
      </c>
      <c r="D18" s="102"/>
      <c r="E18" s="103" t="s">
        <v>49</v>
      </c>
      <c r="F18" s="100">
        <v>3</v>
      </c>
      <c r="G18" s="193">
        <f t="shared" ref="G18:L18" si="6">G15 + G17</f>
        <v>5.2930000000000001</v>
      </c>
      <c r="H18" s="195">
        <f t="shared" si="6"/>
        <v>10.747999999999999</v>
      </c>
      <c r="I18" s="193">
        <f t="shared" si="6"/>
        <v>1.0840000000000001</v>
      </c>
      <c r="J18" s="194">
        <f t="shared" si="6"/>
        <v>0</v>
      </c>
      <c r="K18" s="242">
        <f t="shared" si="6"/>
        <v>15.544999999999998</v>
      </c>
      <c r="L18" s="195">
        <f t="shared" si="6"/>
        <v>31.540000000000003</v>
      </c>
      <c r="M18" s="200">
        <f>SUM(G18:L18)</f>
        <v>64.210000000000008</v>
      </c>
      <c r="P18" s="483"/>
      <c r="Z18" s="483"/>
      <c r="AB18" s="483"/>
      <c r="AC18" s="483"/>
      <c r="AD18" s="483"/>
      <c r="AF18" s="483"/>
      <c r="AG18" s="483"/>
      <c r="AH18" s="483"/>
      <c r="AI18" s="483"/>
      <c r="AJ18" s="483"/>
      <c r="AK18" s="483"/>
      <c r="AL18" s="483"/>
      <c r="AM18" s="483"/>
      <c r="AN18" s="483"/>
      <c r="AO18" s="483"/>
      <c r="AP18" s="483"/>
      <c r="AQ18" s="483"/>
      <c r="AR18" s="483"/>
      <c r="AS18" s="483"/>
      <c r="AT18" s="483"/>
      <c r="AU18" s="483"/>
      <c r="AV18" s="483"/>
      <c r="AW18" s="483"/>
      <c r="AX18" s="483"/>
      <c r="AY18" s="483"/>
      <c r="AZ18" s="483"/>
      <c r="BA18" s="101" t="s">
        <v>2702</v>
      </c>
      <c r="BB18" s="102" t="s">
        <v>1120</v>
      </c>
      <c r="BC18" s="102"/>
      <c r="BD18" s="103" t="s">
        <v>49</v>
      </c>
      <c r="BE18" s="100">
        <v>3</v>
      </c>
      <c r="BF18" s="1971" t="s">
        <v>2703</v>
      </c>
      <c r="BG18" s="1887" t="s">
        <v>2704</v>
      </c>
      <c r="BH18" s="1971" t="s">
        <v>2705</v>
      </c>
      <c r="BI18" s="1889" t="s">
        <v>2706</v>
      </c>
      <c r="BJ18" s="1973" t="s">
        <v>2707</v>
      </c>
      <c r="BK18" s="1887" t="s">
        <v>2708</v>
      </c>
      <c r="BL18" s="1891" t="s">
        <v>2709</v>
      </c>
    </row>
    <row r="19" spans="2:64" ht="14.5" thickBot="1">
      <c r="B19" s="483"/>
      <c r="C19" s="483"/>
      <c r="E19" s="483"/>
      <c r="F19" s="483"/>
      <c r="G19" s="483"/>
      <c r="H19" s="483"/>
      <c r="I19" s="483"/>
      <c r="J19" s="483"/>
      <c r="K19" s="483"/>
      <c r="L19" s="483"/>
      <c r="M19" s="483"/>
      <c r="P19" s="483"/>
      <c r="Z19" s="483"/>
      <c r="AB19" s="483"/>
      <c r="AC19" s="483"/>
      <c r="AD19" s="483"/>
      <c r="AF19" s="483"/>
      <c r="AG19" s="483"/>
      <c r="AH19" s="483"/>
      <c r="AI19" s="483"/>
      <c r="AJ19" s="483"/>
      <c r="AK19" s="483"/>
      <c r="AL19" s="483"/>
      <c r="AM19" s="483"/>
      <c r="AN19" s="483"/>
      <c r="AO19" s="483"/>
      <c r="AP19" s="483"/>
      <c r="AQ19" s="483"/>
      <c r="AR19" s="483"/>
      <c r="AS19" s="483"/>
      <c r="AT19" s="483"/>
      <c r="AU19" s="483"/>
      <c r="AV19" s="483"/>
      <c r="AW19" s="483"/>
      <c r="AX19" s="483"/>
      <c r="AY19" s="483"/>
      <c r="AZ19" s="483"/>
      <c r="BF19" s="1979"/>
      <c r="BG19" s="1979"/>
      <c r="BH19" s="1979"/>
      <c r="BI19" s="1979"/>
      <c r="BJ19" s="1979"/>
      <c r="BK19" s="1979"/>
      <c r="BL19" s="1979"/>
    </row>
    <row r="20" spans="2:64" ht="14.5" thickBot="1">
      <c r="B20" s="113" t="s">
        <v>175</v>
      </c>
      <c r="C20" s="114" t="s">
        <v>1127</v>
      </c>
      <c r="D20" s="1473"/>
      <c r="E20" s="70"/>
      <c r="F20" s="70"/>
      <c r="G20" s="70"/>
      <c r="H20" s="70"/>
      <c r="I20" s="70"/>
      <c r="J20" s="70"/>
      <c r="K20" s="70"/>
      <c r="L20" s="70"/>
      <c r="M20" s="70"/>
      <c r="P20" s="483"/>
      <c r="Z20" s="483"/>
      <c r="AB20" s="483"/>
      <c r="AC20" s="483"/>
      <c r="AD20" s="483"/>
      <c r="AF20" s="483"/>
      <c r="AG20" s="483"/>
      <c r="AH20" s="483"/>
      <c r="AI20" s="483"/>
      <c r="AJ20" s="483"/>
      <c r="AK20" s="483"/>
      <c r="AL20" s="483"/>
      <c r="AM20" s="483"/>
      <c r="AN20" s="483"/>
      <c r="AO20" s="483"/>
      <c r="AP20" s="483"/>
      <c r="AQ20" s="483"/>
      <c r="AR20" s="483"/>
      <c r="AS20" s="483"/>
      <c r="AT20" s="483"/>
      <c r="AU20" s="483"/>
      <c r="AV20" s="483"/>
      <c r="AW20" s="483"/>
      <c r="AX20" s="483"/>
      <c r="AY20" s="483"/>
      <c r="AZ20" s="483"/>
      <c r="BA20" s="113" t="s">
        <v>175</v>
      </c>
      <c r="BB20" s="114" t="s">
        <v>1127</v>
      </c>
      <c r="BC20" s="1473"/>
      <c r="BD20" s="70"/>
      <c r="BE20" s="70"/>
      <c r="BF20" s="1975"/>
      <c r="BG20" s="1975"/>
      <c r="BH20" s="1975"/>
      <c r="BI20" s="1975"/>
      <c r="BJ20" s="1975"/>
      <c r="BK20" s="1975"/>
      <c r="BL20" s="1975"/>
    </row>
    <row r="21" spans="2:64">
      <c r="B21" s="86" t="s">
        <v>2710</v>
      </c>
      <c r="C21" s="117" t="s">
        <v>1129</v>
      </c>
      <c r="D21" s="117"/>
      <c r="E21" s="88" t="s">
        <v>49</v>
      </c>
      <c r="F21" s="215">
        <v>3</v>
      </c>
      <c r="G21" s="414">
        <v>0</v>
      </c>
      <c r="H21" s="415">
        <v>0.68243299999999996</v>
      </c>
      <c r="I21" s="414">
        <v>0</v>
      </c>
      <c r="J21" s="425">
        <v>1.1755</v>
      </c>
      <c r="K21" s="424">
        <v>0</v>
      </c>
      <c r="L21" s="415">
        <v>25.143280000000001</v>
      </c>
      <c r="M21" s="248">
        <f t="shared" ref="M21:M33" si="7">SUM(G21:L21)</f>
        <v>27.001213</v>
      </c>
      <c r="P21" s="24">
        <f t="shared" si="2"/>
        <v>0</v>
      </c>
      <c r="S21" s="93">
        <f t="shared" ref="S21:X24" si="8" xml:space="preserve"> IF( ISNUMBER( G21 ), 0, 1 )</f>
        <v>0</v>
      </c>
      <c r="T21" s="93">
        <f t="shared" si="8"/>
        <v>0</v>
      </c>
      <c r="U21" s="93">
        <f t="shared" si="8"/>
        <v>0</v>
      </c>
      <c r="V21" s="93">
        <f t="shared" si="8"/>
        <v>0</v>
      </c>
      <c r="W21" s="93">
        <f t="shared" si="8"/>
        <v>0</v>
      </c>
      <c r="X21" s="93">
        <f t="shared" si="8"/>
        <v>0</v>
      </c>
      <c r="Z21" s="483"/>
      <c r="AB21" s="483"/>
      <c r="AC21" s="483"/>
      <c r="AD21" s="483"/>
      <c r="AF21" s="483"/>
      <c r="AG21" s="483"/>
      <c r="AH21" s="483"/>
      <c r="AI21" s="483"/>
      <c r="AJ21" s="483"/>
      <c r="AK21" s="483"/>
      <c r="AL21" s="483"/>
      <c r="AM21" s="483"/>
      <c r="AN21" s="483"/>
      <c r="AO21" s="483"/>
      <c r="AP21" s="483"/>
      <c r="AQ21" s="483"/>
      <c r="AR21" s="483"/>
      <c r="AS21" s="483"/>
      <c r="AT21" s="483"/>
      <c r="AU21" s="483"/>
      <c r="AV21" s="483"/>
      <c r="AW21" s="483"/>
      <c r="AX21" s="483"/>
      <c r="AY21" s="483"/>
      <c r="AZ21" s="483"/>
      <c r="BA21" s="86" t="s">
        <v>2710</v>
      </c>
      <c r="BB21" s="117" t="s">
        <v>1129</v>
      </c>
      <c r="BC21" s="117"/>
      <c r="BD21" s="88" t="s">
        <v>49</v>
      </c>
      <c r="BE21" s="215">
        <v>3</v>
      </c>
      <c r="BF21" s="2217" t="s">
        <v>2711</v>
      </c>
      <c r="BG21" s="2527" t="s">
        <v>2712</v>
      </c>
      <c r="BH21" s="2217" t="s">
        <v>2713</v>
      </c>
      <c r="BI21" s="2391" t="s">
        <v>2714</v>
      </c>
      <c r="BJ21" s="2448" t="s">
        <v>2715</v>
      </c>
      <c r="BK21" s="2527" t="s">
        <v>2716</v>
      </c>
      <c r="BL21" s="1980" t="s">
        <v>2717</v>
      </c>
    </row>
    <row r="22" spans="2:64">
      <c r="B22" s="94" t="s">
        <v>2718</v>
      </c>
      <c r="C22" s="87" t="s">
        <v>2719</v>
      </c>
      <c r="D22" s="87"/>
      <c r="E22" s="95" t="s">
        <v>49</v>
      </c>
      <c r="F22" s="217">
        <v>3</v>
      </c>
      <c r="G22" s="412">
        <v>0</v>
      </c>
      <c r="H22" s="416">
        <v>1.4641093631228497</v>
      </c>
      <c r="I22" s="412">
        <v>6.7342240602281778E-2</v>
      </c>
      <c r="J22" s="413">
        <v>8.4159617957304533E-2</v>
      </c>
      <c r="K22" s="426">
        <v>8.4015495241730473</v>
      </c>
      <c r="L22" s="416">
        <v>12.5365</v>
      </c>
      <c r="M22" s="249">
        <f t="shared" si="7"/>
        <v>22.553660745855481</v>
      </c>
      <c r="P22" s="24">
        <f t="shared" si="2"/>
        <v>0</v>
      </c>
      <c r="S22" s="93">
        <f t="shared" si="8"/>
        <v>0</v>
      </c>
      <c r="T22" s="93">
        <f t="shared" si="8"/>
        <v>0</v>
      </c>
      <c r="U22" s="93">
        <f t="shared" si="8"/>
        <v>0</v>
      </c>
      <c r="V22" s="93">
        <f t="shared" si="8"/>
        <v>0</v>
      </c>
      <c r="W22" s="93">
        <f t="shared" si="8"/>
        <v>0</v>
      </c>
      <c r="X22" s="93">
        <f t="shared" si="8"/>
        <v>0</v>
      </c>
      <c r="Z22" s="483"/>
      <c r="AB22" s="483"/>
      <c r="AC22" s="483"/>
      <c r="AD22" s="483"/>
      <c r="AF22" s="483"/>
      <c r="AG22" s="483"/>
      <c r="AH22" s="483"/>
      <c r="AI22" s="483"/>
      <c r="AJ22" s="483"/>
      <c r="AK22" s="483"/>
      <c r="AL22" s="483"/>
      <c r="AM22" s="483"/>
      <c r="AN22" s="483"/>
      <c r="AO22" s="483"/>
      <c r="AP22" s="483"/>
      <c r="AQ22" s="483"/>
      <c r="AR22" s="483"/>
      <c r="AS22" s="483"/>
      <c r="AT22" s="483"/>
      <c r="AU22" s="483"/>
      <c r="AV22" s="483"/>
      <c r="AW22" s="483"/>
      <c r="AX22" s="483"/>
      <c r="AY22" s="483"/>
      <c r="AZ22" s="483"/>
      <c r="BA22" s="94" t="s">
        <v>2718</v>
      </c>
      <c r="BB22" s="87" t="s">
        <v>2719</v>
      </c>
      <c r="BC22" s="87"/>
      <c r="BD22" s="95" t="s">
        <v>49</v>
      </c>
      <c r="BE22" s="217">
        <v>3</v>
      </c>
      <c r="BF22" s="2219" t="s">
        <v>2720</v>
      </c>
      <c r="BG22" s="2526" t="s">
        <v>2721</v>
      </c>
      <c r="BH22" s="2219" t="s">
        <v>2722</v>
      </c>
      <c r="BI22" s="2393" t="s">
        <v>2723</v>
      </c>
      <c r="BJ22" s="2451" t="s">
        <v>2724</v>
      </c>
      <c r="BK22" s="2526" t="s">
        <v>2725</v>
      </c>
      <c r="BL22" s="1981" t="s">
        <v>2726</v>
      </c>
    </row>
    <row r="23" spans="2:64">
      <c r="B23" s="94" t="s">
        <v>2727</v>
      </c>
      <c r="C23" s="87" t="s">
        <v>1145</v>
      </c>
      <c r="D23" s="87"/>
      <c r="E23" s="95" t="s">
        <v>49</v>
      </c>
      <c r="F23" s="217">
        <v>3</v>
      </c>
      <c r="G23" s="412">
        <v>0</v>
      </c>
      <c r="H23" s="416">
        <v>0</v>
      </c>
      <c r="I23" s="412">
        <v>0</v>
      </c>
      <c r="J23" s="413">
        <v>0</v>
      </c>
      <c r="K23" s="426">
        <v>0</v>
      </c>
      <c r="L23" s="416">
        <v>10.2643</v>
      </c>
      <c r="M23" s="249">
        <f t="shared" si="7"/>
        <v>10.2643</v>
      </c>
      <c r="P23" s="24">
        <f t="shared" si="2"/>
        <v>0</v>
      </c>
      <c r="S23" s="93">
        <f t="shared" si="8"/>
        <v>0</v>
      </c>
      <c r="T23" s="93">
        <f t="shared" si="8"/>
        <v>0</v>
      </c>
      <c r="U23" s="93">
        <f t="shared" si="8"/>
        <v>0</v>
      </c>
      <c r="V23" s="93">
        <f t="shared" si="8"/>
        <v>0</v>
      </c>
      <c r="W23" s="93">
        <f t="shared" si="8"/>
        <v>0</v>
      </c>
      <c r="X23" s="93">
        <f t="shared" si="8"/>
        <v>0</v>
      </c>
      <c r="Z23" s="483"/>
      <c r="AB23" s="483"/>
      <c r="AC23" s="483"/>
      <c r="AD23" s="483"/>
      <c r="AF23" s="483"/>
      <c r="AG23" s="483"/>
      <c r="AH23" s="483"/>
      <c r="AI23" s="483"/>
      <c r="AJ23" s="483"/>
      <c r="AK23" s="483"/>
      <c r="AL23" s="483"/>
      <c r="AM23" s="483"/>
      <c r="AN23" s="483"/>
      <c r="AO23" s="483"/>
      <c r="AP23" s="483"/>
      <c r="AQ23" s="483"/>
      <c r="AR23" s="483"/>
      <c r="AS23" s="483"/>
      <c r="AT23" s="483"/>
      <c r="AU23" s="483"/>
      <c r="AV23" s="483"/>
      <c r="AW23" s="483"/>
      <c r="AX23" s="483"/>
      <c r="AY23" s="483"/>
      <c r="AZ23" s="483"/>
      <c r="BA23" s="94" t="s">
        <v>2727</v>
      </c>
      <c r="BB23" s="87" t="s">
        <v>1145</v>
      </c>
      <c r="BC23" s="87"/>
      <c r="BD23" s="95" t="s">
        <v>49</v>
      </c>
      <c r="BE23" s="217">
        <v>3</v>
      </c>
      <c r="BF23" s="2219" t="s">
        <v>2728</v>
      </c>
      <c r="BG23" s="2526" t="s">
        <v>2729</v>
      </c>
      <c r="BH23" s="2219" t="s">
        <v>2730</v>
      </c>
      <c r="BI23" s="2393" t="s">
        <v>2731</v>
      </c>
      <c r="BJ23" s="2451" t="s">
        <v>2732</v>
      </c>
      <c r="BK23" s="2526" t="s">
        <v>2733</v>
      </c>
      <c r="BL23" s="1981" t="s">
        <v>2734</v>
      </c>
    </row>
    <row r="24" spans="2:64">
      <c r="B24" s="94" t="s">
        <v>2735</v>
      </c>
      <c r="C24" s="87" t="s">
        <v>1153</v>
      </c>
      <c r="D24" s="87"/>
      <c r="E24" s="95" t="s">
        <v>49</v>
      </c>
      <c r="F24" s="217">
        <v>3</v>
      </c>
      <c r="G24" s="412">
        <v>0</v>
      </c>
      <c r="H24" s="416">
        <v>1.0701603409919898</v>
      </c>
      <c r="I24" s="412">
        <v>9.1184843960956505E-4</v>
      </c>
      <c r="J24" s="413">
        <v>0</v>
      </c>
      <c r="K24" s="426">
        <v>0.36069720525027521</v>
      </c>
      <c r="L24" s="416">
        <v>5.5111518528072203</v>
      </c>
      <c r="M24" s="249">
        <f t="shared" si="7"/>
        <v>6.9429212474890951</v>
      </c>
      <c r="P24" s="24">
        <f t="shared" si="2"/>
        <v>0</v>
      </c>
      <c r="S24" s="93">
        <f t="shared" si="8"/>
        <v>0</v>
      </c>
      <c r="T24" s="93">
        <f t="shared" si="8"/>
        <v>0</v>
      </c>
      <c r="U24" s="93">
        <f t="shared" si="8"/>
        <v>0</v>
      </c>
      <c r="V24" s="93">
        <f t="shared" si="8"/>
        <v>0</v>
      </c>
      <c r="W24" s="93">
        <f t="shared" si="8"/>
        <v>0</v>
      </c>
      <c r="X24" s="93">
        <f t="shared" si="8"/>
        <v>0</v>
      </c>
      <c r="Z24" s="483"/>
      <c r="AB24" s="483"/>
      <c r="AC24" s="483"/>
      <c r="AD24" s="483"/>
      <c r="AF24" s="483"/>
      <c r="AG24" s="483"/>
      <c r="AH24" s="483"/>
      <c r="AI24" s="483"/>
      <c r="AJ24" s="483"/>
      <c r="AK24" s="483"/>
      <c r="AL24" s="483"/>
      <c r="AM24" s="483"/>
      <c r="AN24" s="483"/>
      <c r="AO24" s="483"/>
      <c r="AP24" s="483"/>
      <c r="AQ24" s="483"/>
      <c r="AR24" s="483"/>
      <c r="AS24" s="483"/>
      <c r="AT24" s="483"/>
      <c r="AU24" s="483"/>
      <c r="AV24" s="483"/>
      <c r="AW24" s="483"/>
      <c r="AX24" s="483"/>
      <c r="AY24" s="483"/>
      <c r="AZ24" s="483"/>
      <c r="BA24" s="94" t="s">
        <v>2735</v>
      </c>
      <c r="BB24" s="87" t="s">
        <v>1153</v>
      </c>
      <c r="BC24" s="87"/>
      <c r="BD24" s="95" t="s">
        <v>49</v>
      </c>
      <c r="BE24" s="217">
        <v>3</v>
      </c>
      <c r="BF24" s="2219" t="s">
        <v>2736</v>
      </c>
      <c r="BG24" s="2526" t="s">
        <v>2737</v>
      </c>
      <c r="BH24" s="2219" t="s">
        <v>2738</v>
      </c>
      <c r="BI24" s="2393" t="s">
        <v>2739</v>
      </c>
      <c r="BJ24" s="2451" t="s">
        <v>2740</v>
      </c>
      <c r="BK24" s="2526" t="s">
        <v>2741</v>
      </c>
      <c r="BL24" s="1981" t="s">
        <v>2742</v>
      </c>
    </row>
    <row r="25" spans="2:64" s="483" customFormat="1">
      <c r="B25" s="94" t="s">
        <v>2743</v>
      </c>
      <c r="C25" s="384" t="s">
        <v>1161</v>
      </c>
      <c r="D25" s="384"/>
      <c r="E25" s="301" t="s">
        <v>49</v>
      </c>
      <c r="F25" s="279">
        <v>3</v>
      </c>
      <c r="G25" s="412">
        <v>0</v>
      </c>
      <c r="H25" s="416">
        <v>0</v>
      </c>
      <c r="I25" s="412">
        <v>0</v>
      </c>
      <c r="J25" s="413">
        <v>0</v>
      </c>
      <c r="K25" s="426">
        <v>0</v>
      </c>
      <c r="L25" s="416">
        <v>1.1260000000000001</v>
      </c>
      <c r="M25" s="249">
        <f t="shared" si="7"/>
        <v>1.1260000000000001</v>
      </c>
      <c r="N25" s="70"/>
      <c r="O25" s="70"/>
      <c r="P25" s="24">
        <f t="shared" si="2"/>
        <v>0</v>
      </c>
      <c r="Q25" s="70"/>
      <c r="R25" s="71"/>
      <c r="S25" s="93">
        <f t="shared" ref="S25" si="9" xml:space="preserve"> IF( ISNUMBER( G25 ), 0, 1 )</f>
        <v>0</v>
      </c>
      <c r="T25" s="93">
        <f t="shared" ref="T25" si="10" xml:space="preserve"> IF( ISNUMBER( H25 ), 0, 1 )</f>
        <v>0</v>
      </c>
      <c r="U25" s="93">
        <f t="shared" ref="U25" si="11" xml:space="preserve"> IF( ISNUMBER( I25 ), 0, 1 )</f>
        <v>0</v>
      </c>
      <c r="V25" s="93">
        <f t="shared" ref="V25" si="12" xml:space="preserve"> IF( ISNUMBER( J25 ), 0, 1 )</f>
        <v>0</v>
      </c>
      <c r="W25" s="93">
        <f t="shared" ref="W25" si="13" xml:space="preserve"> IF( ISNUMBER( K25 ), 0, 1 )</f>
        <v>0</v>
      </c>
      <c r="X25" s="93">
        <f t="shared" ref="X25" si="14" xml:space="preserve"> IF( ISNUMBER( L25 ), 0, 1 )</f>
        <v>0</v>
      </c>
      <c r="Y25" s="71"/>
      <c r="AA25" s="71"/>
      <c r="AE25" s="71"/>
      <c r="BA25" s="94" t="s">
        <v>2743</v>
      </c>
      <c r="BB25" s="384" t="s">
        <v>1161</v>
      </c>
      <c r="BC25" s="384"/>
      <c r="BD25" s="301" t="s">
        <v>49</v>
      </c>
      <c r="BE25" s="279">
        <v>3</v>
      </c>
      <c r="BF25" s="2219" t="s">
        <v>2744</v>
      </c>
      <c r="BG25" s="2526" t="s">
        <v>2745</v>
      </c>
      <c r="BH25" s="2219" t="s">
        <v>2746</v>
      </c>
      <c r="BI25" s="2393" t="s">
        <v>2747</v>
      </c>
      <c r="BJ25" s="2451" t="s">
        <v>2748</v>
      </c>
      <c r="BK25" s="2526" t="s">
        <v>2749</v>
      </c>
      <c r="BL25" s="1970" t="s">
        <v>2750</v>
      </c>
    </row>
    <row r="26" spans="2:64">
      <c r="B26" s="94" t="s">
        <v>2751</v>
      </c>
      <c r="C26" s="87" t="s">
        <v>2752</v>
      </c>
      <c r="D26" s="87"/>
      <c r="E26" s="95" t="s">
        <v>49</v>
      </c>
      <c r="F26" s="217">
        <v>3</v>
      </c>
      <c r="G26" s="245">
        <f t="shared" ref="G26:L26" si="15">SUM(G21:G25)</f>
        <v>0</v>
      </c>
      <c r="H26" s="191">
        <f t="shared" si="15"/>
        <v>3.2167027041148395</v>
      </c>
      <c r="I26" s="245">
        <f t="shared" si="15"/>
        <v>6.8254089041891342E-2</v>
      </c>
      <c r="J26" s="244">
        <f t="shared" si="15"/>
        <v>1.2596596179573045</v>
      </c>
      <c r="K26" s="243">
        <f t="shared" si="15"/>
        <v>8.7622467294233228</v>
      </c>
      <c r="L26" s="191">
        <f t="shared" si="15"/>
        <v>54.581231852807214</v>
      </c>
      <c r="M26" s="249">
        <f t="shared" si="7"/>
        <v>67.888094993344566</v>
      </c>
      <c r="N26" s="118"/>
      <c r="O26" s="118"/>
      <c r="P26" s="483"/>
      <c r="Q26" s="118"/>
      <c r="R26" s="124"/>
      <c r="T26" s="246"/>
      <c r="U26" s="246"/>
      <c r="V26" s="246"/>
      <c r="W26" s="246"/>
      <c r="X26" s="246"/>
      <c r="Y26" s="124"/>
      <c r="Z26" s="483"/>
      <c r="AA26" s="124"/>
      <c r="AB26" s="483"/>
      <c r="AC26" s="483"/>
      <c r="AD26" s="483"/>
      <c r="AE26" s="124"/>
      <c r="AF26" s="483"/>
      <c r="AG26" s="483"/>
      <c r="AH26" s="483"/>
      <c r="AI26" s="483"/>
      <c r="AJ26" s="483"/>
      <c r="AK26" s="483"/>
      <c r="AL26" s="483"/>
      <c r="AM26" s="483"/>
      <c r="AN26" s="483"/>
      <c r="AO26" s="483"/>
      <c r="AP26" s="483"/>
      <c r="AQ26" s="483"/>
      <c r="AR26" s="483"/>
      <c r="AS26" s="483"/>
      <c r="AT26" s="483"/>
      <c r="AU26" s="483"/>
      <c r="AV26" s="483"/>
      <c r="AW26" s="483"/>
      <c r="AX26" s="483"/>
      <c r="AY26" s="483"/>
      <c r="AZ26" s="483"/>
      <c r="BA26" s="94" t="s">
        <v>2751</v>
      </c>
      <c r="BB26" s="87" t="s">
        <v>2752</v>
      </c>
      <c r="BC26" s="87"/>
      <c r="BD26" s="95" t="s">
        <v>49</v>
      </c>
      <c r="BE26" s="217">
        <v>3</v>
      </c>
      <c r="BF26" s="1982" t="s">
        <v>2753</v>
      </c>
      <c r="BG26" s="1885" t="s">
        <v>2754</v>
      </c>
      <c r="BH26" s="1982" t="s">
        <v>2755</v>
      </c>
      <c r="BI26" s="1983" t="s">
        <v>2756</v>
      </c>
      <c r="BJ26" s="1984" t="s">
        <v>2757</v>
      </c>
      <c r="BK26" s="1885" t="s">
        <v>2758</v>
      </c>
      <c r="BL26" s="1981" t="s">
        <v>2759</v>
      </c>
    </row>
    <row r="27" spans="2:64">
      <c r="B27" s="94" t="s">
        <v>2760</v>
      </c>
      <c r="C27" s="87" t="s">
        <v>1112</v>
      </c>
      <c r="D27" s="87"/>
      <c r="E27" s="95" t="s">
        <v>49</v>
      </c>
      <c r="F27" s="217">
        <v>3</v>
      </c>
      <c r="G27" s="412">
        <v>0</v>
      </c>
      <c r="H27" s="416">
        <v>6.9999999999999999E-4</v>
      </c>
      <c r="I27" s="412">
        <v>0</v>
      </c>
      <c r="J27" s="413">
        <v>8.6999999999999994E-2</v>
      </c>
      <c r="K27" s="426">
        <v>0.26196000000000003</v>
      </c>
      <c r="L27" s="416">
        <v>2.5999999999999999E-2</v>
      </c>
      <c r="M27" s="249">
        <f t="shared" si="7"/>
        <v>0.37566000000000005</v>
      </c>
      <c r="N27" s="126"/>
      <c r="O27" s="126"/>
      <c r="P27" s="24">
        <f t="shared" si="2"/>
        <v>0</v>
      </c>
      <c r="S27" s="93">
        <f t="shared" ref="S27:X27" si="16" xml:space="preserve"> IF( ISNUMBER( G27 ), 0, 1 )</f>
        <v>0</v>
      </c>
      <c r="T27" s="93">
        <f t="shared" si="16"/>
        <v>0</v>
      </c>
      <c r="U27" s="93">
        <f t="shared" si="16"/>
        <v>0</v>
      </c>
      <c r="V27" s="93">
        <f t="shared" si="16"/>
        <v>0</v>
      </c>
      <c r="W27" s="93">
        <f t="shared" si="16"/>
        <v>0</v>
      </c>
      <c r="X27" s="93">
        <f t="shared" si="16"/>
        <v>0</v>
      </c>
      <c r="Z27" s="483"/>
      <c r="AB27" s="483"/>
      <c r="AC27" s="483"/>
      <c r="AD27" s="483"/>
      <c r="AF27" s="483"/>
      <c r="AG27" s="483"/>
      <c r="AH27" s="483"/>
      <c r="AI27" s="483"/>
      <c r="AJ27" s="483"/>
      <c r="AK27" s="483"/>
      <c r="AL27" s="483"/>
      <c r="AM27" s="483"/>
      <c r="AN27" s="483"/>
      <c r="AO27" s="483"/>
      <c r="AP27" s="483"/>
      <c r="AQ27" s="483"/>
      <c r="AR27" s="483"/>
      <c r="AS27" s="483"/>
      <c r="AT27" s="483"/>
      <c r="AU27" s="483"/>
      <c r="AV27" s="483"/>
      <c r="AW27" s="483"/>
      <c r="AX27" s="483"/>
      <c r="AY27" s="483"/>
      <c r="AZ27" s="483"/>
      <c r="BA27" s="94" t="s">
        <v>2760</v>
      </c>
      <c r="BB27" s="87" t="s">
        <v>1112</v>
      </c>
      <c r="BC27" s="87"/>
      <c r="BD27" s="95" t="s">
        <v>49</v>
      </c>
      <c r="BE27" s="217">
        <v>3</v>
      </c>
      <c r="BF27" s="2383" t="s">
        <v>2761</v>
      </c>
      <c r="BG27" s="2525" t="s">
        <v>2762</v>
      </c>
      <c r="BH27" s="2383" t="s">
        <v>2763</v>
      </c>
      <c r="BI27" s="2384" t="s">
        <v>2764</v>
      </c>
      <c r="BJ27" s="2396" t="s">
        <v>2765</v>
      </c>
      <c r="BK27" s="2525" t="s">
        <v>2766</v>
      </c>
      <c r="BL27" s="249" t="s">
        <v>2767</v>
      </c>
    </row>
    <row r="28" spans="2:64" ht="14.5" thickBot="1">
      <c r="B28" s="101" t="s">
        <v>2768</v>
      </c>
      <c r="C28" s="102" t="s">
        <v>1184</v>
      </c>
      <c r="D28" s="102"/>
      <c r="E28" s="103" t="s">
        <v>49</v>
      </c>
      <c r="F28" s="225">
        <v>3</v>
      </c>
      <c r="G28" s="193">
        <f>SUM(G26:G27)</f>
        <v>0</v>
      </c>
      <c r="H28" s="195">
        <f t="shared" ref="H28:L28" si="17">SUM(H26:H27)</f>
        <v>3.2174027041148396</v>
      </c>
      <c r="I28" s="193">
        <f t="shared" si="17"/>
        <v>6.8254089041891342E-2</v>
      </c>
      <c r="J28" s="194">
        <f t="shared" si="17"/>
        <v>1.3466596179573045</v>
      </c>
      <c r="K28" s="242">
        <f t="shared" si="17"/>
        <v>9.024206729423323</v>
      </c>
      <c r="L28" s="195">
        <f t="shared" si="17"/>
        <v>54.607231852807217</v>
      </c>
      <c r="M28" s="769">
        <f t="shared" si="7"/>
        <v>68.263754993344577</v>
      </c>
      <c r="N28" s="126"/>
      <c r="O28" s="126"/>
      <c r="P28" s="483"/>
      <c r="Q28" s="126"/>
      <c r="R28" s="119"/>
      <c r="T28" s="246"/>
      <c r="U28" s="246"/>
      <c r="V28" s="246"/>
      <c r="W28" s="246"/>
      <c r="X28" s="246"/>
      <c r="Y28" s="119"/>
      <c r="Z28" s="483"/>
      <c r="AA28" s="119"/>
      <c r="AB28" s="483"/>
      <c r="AC28" s="483"/>
      <c r="AD28" s="483"/>
      <c r="AE28" s="119"/>
      <c r="AF28" s="483"/>
      <c r="AG28" s="483"/>
      <c r="AH28" s="483"/>
      <c r="AI28" s="483"/>
      <c r="AJ28" s="483"/>
      <c r="AK28" s="483"/>
      <c r="AL28" s="483"/>
      <c r="AM28" s="483"/>
      <c r="AN28" s="483"/>
      <c r="AO28" s="483"/>
      <c r="AP28" s="483"/>
      <c r="AQ28" s="483"/>
      <c r="AR28" s="483"/>
      <c r="AS28" s="483"/>
      <c r="AT28" s="483"/>
      <c r="AU28" s="483"/>
      <c r="AV28" s="483"/>
      <c r="AW28" s="483"/>
      <c r="AX28" s="483"/>
      <c r="AY28" s="483"/>
      <c r="AZ28" s="483"/>
      <c r="BA28" s="101" t="s">
        <v>2768</v>
      </c>
      <c r="BB28" s="102" t="s">
        <v>1184</v>
      </c>
      <c r="BC28" s="102"/>
      <c r="BD28" s="103" t="s">
        <v>49</v>
      </c>
      <c r="BE28" s="225">
        <v>3</v>
      </c>
      <c r="BF28" s="193" t="s">
        <v>2769</v>
      </c>
      <c r="BG28" s="195" t="s">
        <v>2770</v>
      </c>
      <c r="BH28" s="193" t="s">
        <v>2771</v>
      </c>
      <c r="BI28" s="194" t="s">
        <v>2772</v>
      </c>
      <c r="BJ28" s="242" t="s">
        <v>2773</v>
      </c>
      <c r="BK28" s="195" t="s">
        <v>2774</v>
      </c>
      <c r="BL28" s="769" t="s">
        <v>2775</v>
      </c>
    </row>
    <row r="29" spans="2:64" s="2" customFormat="1" ht="14.5" thickBot="1">
      <c r="B29" s="385"/>
      <c r="E29" s="5"/>
      <c r="F29" s="5"/>
      <c r="G29" s="765"/>
      <c r="H29" s="765"/>
      <c r="I29" s="765"/>
      <c r="J29" s="765"/>
      <c r="K29" s="765"/>
      <c r="M29" s="120"/>
      <c r="N29" s="120"/>
      <c r="O29" s="120"/>
      <c r="P29" s="483"/>
      <c r="Q29" s="126"/>
      <c r="R29" s="119"/>
      <c r="S29" s="70"/>
      <c r="T29" s="246"/>
      <c r="U29" s="246"/>
      <c r="V29" s="246"/>
      <c r="W29" s="246"/>
      <c r="X29" s="246"/>
      <c r="Y29" s="119"/>
      <c r="AA29" s="119"/>
      <c r="AE29" s="119"/>
      <c r="BA29" s="385"/>
      <c r="BD29" s="5"/>
      <c r="BE29" s="5"/>
      <c r="BF29" s="765"/>
      <c r="BG29" s="765"/>
      <c r="BH29" s="765"/>
      <c r="BI29" s="765"/>
      <c r="BJ29" s="765"/>
      <c r="BL29" s="120"/>
    </row>
    <row r="30" spans="2:64" s="2" customFormat="1" ht="14.5" thickBot="1">
      <c r="B30" s="261" t="s">
        <v>333</v>
      </c>
      <c r="C30" s="27" t="s">
        <v>1191</v>
      </c>
      <c r="D30" s="1476"/>
      <c r="E30" s="5"/>
      <c r="F30" s="5"/>
      <c r="G30" s="765"/>
      <c r="H30" s="765"/>
      <c r="I30" s="765"/>
      <c r="J30" s="765"/>
      <c r="K30" s="765"/>
      <c r="M30" s="126"/>
      <c r="N30" s="120"/>
      <c r="O30" s="120"/>
      <c r="P30" s="483"/>
      <c r="Q30" s="126"/>
      <c r="R30" s="119"/>
      <c r="S30" s="70"/>
      <c r="T30" s="246"/>
      <c r="U30" s="246"/>
      <c r="V30" s="246"/>
      <c r="W30" s="246"/>
      <c r="X30" s="246"/>
      <c r="Y30" s="119"/>
      <c r="AA30" s="119"/>
      <c r="AE30" s="119"/>
      <c r="BA30" s="2851" t="s">
        <v>333</v>
      </c>
      <c r="BB30" s="298" t="s">
        <v>1191</v>
      </c>
      <c r="BC30" s="1476"/>
      <c r="BD30" s="5"/>
      <c r="BE30" s="5"/>
      <c r="BF30" s="765"/>
      <c r="BG30" s="765"/>
      <c r="BH30" s="765"/>
      <c r="BI30" s="765"/>
      <c r="BJ30" s="765"/>
      <c r="BL30" s="126"/>
    </row>
    <row r="31" spans="2:64" ht="15" thickBot="1">
      <c r="B31" s="174" t="s">
        <v>2776</v>
      </c>
      <c r="C31" s="391" t="s">
        <v>1191</v>
      </c>
      <c r="D31" s="391"/>
      <c r="E31" s="133" t="s">
        <v>49</v>
      </c>
      <c r="F31" s="770">
        <v>3</v>
      </c>
      <c r="G31" s="452">
        <v>0</v>
      </c>
      <c r="H31" s="771">
        <v>0</v>
      </c>
      <c r="I31" s="452">
        <v>0</v>
      </c>
      <c r="J31" s="460">
        <v>0</v>
      </c>
      <c r="K31" s="772">
        <v>0</v>
      </c>
      <c r="L31" s="771">
        <v>4.391</v>
      </c>
      <c r="M31" s="773">
        <f t="shared" si="7"/>
        <v>4.391</v>
      </c>
      <c r="N31" s="126"/>
      <c r="O31" s="1339">
        <f xml:space="preserve"> IF( SUM( Y31:AA31 ) = 0, 0, AD31 )</f>
        <v>0</v>
      </c>
      <c r="P31" s="24">
        <f xml:space="preserve"> IF( SUM( R31:Y31 ) = 0, 0, $S$6 )</f>
        <v>0</v>
      </c>
      <c r="S31" s="93">
        <f t="shared" ref="S31:X31" si="18" xml:space="preserve"> IF( ISNUMBER( G31 ), 0, 1 )</f>
        <v>0</v>
      </c>
      <c r="T31" s="93">
        <f t="shared" si="18"/>
        <v>0</v>
      </c>
      <c r="U31" s="93">
        <f t="shared" si="18"/>
        <v>0</v>
      </c>
      <c r="V31" s="93">
        <f t="shared" si="18"/>
        <v>0</v>
      </c>
      <c r="W31" s="93">
        <f t="shared" si="18"/>
        <v>0</v>
      </c>
      <c r="X31" s="93">
        <f t="shared" si="18"/>
        <v>0</v>
      </c>
      <c r="Z31" s="93">
        <f xml:space="preserve"> IF( (AB31 - AC31) = 0, 0, 1 )</f>
        <v>0</v>
      </c>
      <c r="AB31" s="165">
        <f xml:space="preserve"> M31</f>
        <v>4.391</v>
      </c>
      <c r="AC31" s="165">
        <f>'2E'!J13</f>
        <v>4.391</v>
      </c>
      <c r="AD31" s="1522" t="s">
        <v>2777</v>
      </c>
      <c r="AF31" s="483"/>
      <c r="AG31" s="483"/>
      <c r="AH31" s="483"/>
      <c r="AI31" s="483"/>
      <c r="AJ31" s="483"/>
      <c r="AK31" s="483"/>
      <c r="AL31" s="483"/>
      <c r="AM31" s="483"/>
      <c r="AN31" s="483"/>
      <c r="AO31" s="483"/>
      <c r="AP31" s="483"/>
      <c r="AQ31" s="483"/>
      <c r="AR31" s="483"/>
      <c r="AS31" s="483"/>
      <c r="AT31" s="483"/>
      <c r="AU31" s="483"/>
      <c r="AV31" s="483"/>
      <c r="AW31" s="483"/>
      <c r="AX31" s="483"/>
      <c r="AY31" s="483"/>
      <c r="AZ31" s="483"/>
      <c r="BA31" s="101" t="s">
        <v>2776</v>
      </c>
      <c r="BB31" s="102" t="s">
        <v>1191</v>
      </c>
      <c r="BC31" s="391"/>
      <c r="BD31" s="133" t="s">
        <v>49</v>
      </c>
      <c r="BE31" s="770">
        <v>3</v>
      </c>
      <c r="BF31" s="2388" t="s">
        <v>2778</v>
      </c>
      <c r="BG31" s="2456" t="s">
        <v>2779</v>
      </c>
      <c r="BH31" s="2388" t="s">
        <v>2780</v>
      </c>
      <c r="BI31" s="2389" t="s">
        <v>2781</v>
      </c>
      <c r="BJ31" s="2528" t="s">
        <v>2782</v>
      </c>
      <c r="BK31" s="2456" t="s">
        <v>2783</v>
      </c>
      <c r="BL31" s="773" t="s">
        <v>2784</v>
      </c>
    </row>
    <row r="32" spans="2:64" s="2" customFormat="1" ht="14.5" thickBot="1">
      <c r="B32" s="385"/>
      <c r="E32" s="5"/>
      <c r="F32" s="5"/>
      <c r="G32" s="765"/>
      <c r="H32" s="765"/>
      <c r="I32" s="765"/>
      <c r="J32" s="765"/>
      <c r="K32" s="765"/>
      <c r="M32" s="120"/>
      <c r="N32" s="120"/>
      <c r="O32" s="120"/>
      <c r="P32" s="483"/>
      <c r="Q32" s="126"/>
      <c r="R32" s="119"/>
      <c r="S32" s="70"/>
      <c r="T32" s="246"/>
      <c r="U32" s="246"/>
      <c r="V32" s="246"/>
      <c r="W32" s="246"/>
      <c r="X32" s="246"/>
      <c r="Y32" s="119"/>
      <c r="AA32" s="119"/>
      <c r="AE32" s="119"/>
      <c r="BA32" s="385"/>
      <c r="BD32" s="5"/>
      <c r="BE32" s="5"/>
      <c r="BF32" s="765"/>
      <c r="BG32" s="765"/>
      <c r="BH32" s="765"/>
      <c r="BI32" s="765"/>
      <c r="BJ32" s="765"/>
      <c r="BL32" s="120"/>
    </row>
    <row r="33" spans="2:64" ht="14.5" thickBot="1">
      <c r="B33" s="131" t="s">
        <v>2785</v>
      </c>
      <c r="C33" s="132" t="s">
        <v>1201</v>
      </c>
      <c r="D33" s="132"/>
      <c r="E33" s="133" t="s">
        <v>49</v>
      </c>
      <c r="F33" s="770">
        <v>3</v>
      </c>
      <c r="G33" s="744">
        <f>G18+G28-G31</f>
        <v>5.2930000000000001</v>
      </c>
      <c r="H33" s="247">
        <f t="shared" ref="H33:L33" si="19">H18+H28-H31</f>
        <v>13.965402704114839</v>
      </c>
      <c r="I33" s="744">
        <f t="shared" si="19"/>
        <v>1.1522540890418913</v>
      </c>
      <c r="J33" s="745">
        <f t="shared" si="19"/>
        <v>1.3466596179573045</v>
      </c>
      <c r="K33" s="774">
        <f t="shared" si="19"/>
        <v>24.569206729423321</v>
      </c>
      <c r="L33" s="247">
        <f t="shared" si="19"/>
        <v>81.756231852807218</v>
      </c>
      <c r="M33" s="773">
        <f t="shared" si="7"/>
        <v>128.08275499334457</v>
      </c>
      <c r="N33" s="126"/>
      <c r="O33" s="126"/>
      <c r="P33" s="483"/>
      <c r="Q33" s="126"/>
      <c r="R33" s="119"/>
      <c r="S33" s="203"/>
      <c r="T33" s="203"/>
      <c r="U33" s="203"/>
      <c r="V33" s="203"/>
      <c r="W33" s="203"/>
      <c r="X33" s="203"/>
      <c r="Y33" s="119"/>
      <c r="Z33" s="483"/>
      <c r="AA33" s="119"/>
      <c r="AB33" s="483"/>
      <c r="AC33" s="483"/>
      <c r="AD33" s="483"/>
      <c r="AE33" s="119"/>
      <c r="AF33" s="483"/>
      <c r="AG33" s="483"/>
      <c r="AH33" s="483"/>
      <c r="AI33" s="483"/>
      <c r="AJ33" s="483"/>
      <c r="AK33" s="483"/>
      <c r="AL33" s="483"/>
      <c r="AM33" s="483"/>
      <c r="AN33" s="483"/>
      <c r="AO33" s="483"/>
      <c r="AP33" s="483"/>
      <c r="AQ33" s="483"/>
      <c r="AR33" s="483"/>
      <c r="AS33" s="483"/>
      <c r="AT33" s="483"/>
      <c r="AU33" s="483"/>
      <c r="AV33" s="483"/>
      <c r="AW33" s="483"/>
      <c r="AX33" s="483"/>
      <c r="AY33" s="483"/>
      <c r="AZ33" s="483"/>
      <c r="BA33" s="131" t="s">
        <v>2785</v>
      </c>
      <c r="BB33" s="132" t="s">
        <v>1201</v>
      </c>
      <c r="BC33" s="132"/>
      <c r="BD33" s="133" t="s">
        <v>49</v>
      </c>
      <c r="BE33" s="770">
        <v>3</v>
      </c>
      <c r="BF33" s="744" t="s">
        <v>2786</v>
      </c>
      <c r="BG33" s="247" t="s">
        <v>2787</v>
      </c>
      <c r="BH33" s="744" t="s">
        <v>2788</v>
      </c>
      <c r="BI33" s="745" t="s">
        <v>2789</v>
      </c>
      <c r="BJ33" s="774" t="s">
        <v>2790</v>
      </c>
      <c r="BK33" s="247" t="s">
        <v>2791</v>
      </c>
      <c r="BL33" s="773" t="s">
        <v>2792</v>
      </c>
    </row>
    <row r="34" spans="2:64" ht="14.5" thickBot="1">
      <c r="B34" s="483"/>
      <c r="C34" s="483"/>
      <c r="E34" s="483"/>
      <c r="F34" s="483"/>
      <c r="G34" s="483"/>
      <c r="H34" s="483"/>
      <c r="I34" s="483"/>
      <c r="J34" s="483"/>
      <c r="K34" s="483"/>
      <c r="L34" s="483"/>
      <c r="M34" s="483"/>
      <c r="N34" s="126"/>
      <c r="O34" s="126"/>
      <c r="P34" s="483"/>
      <c r="Q34" s="126"/>
      <c r="R34" s="119"/>
      <c r="S34" s="203"/>
      <c r="T34" s="203"/>
      <c r="U34" s="203"/>
      <c r="V34" s="203"/>
      <c r="W34" s="203"/>
      <c r="X34" s="203"/>
      <c r="Y34" s="119"/>
      <c r="Z34" s="483"/>
      <c r="AA34" s="119"/>
      <c r="AB34" s="483"/>
      <c r="AC34" s="483"/>
      <c r="AD34" s="483"/>
      <c r="AE34" s="119"/>
      <c r="AF34" s="483"/>
      <c r="AG34" s="483"/>
      <c r="AH34" s="483"/>
      <c r="AI34" s="483"/>
      <c r="AJ34" s="483"/>
      <c r="AK34" s="483"/>
      <c r="AL34" s="483"/>
      <c r="AM34" s="483"/>
      <c r="AN34" s="483"/>
      <c r="AO34" s="483"/>
      <c r="AP34" s="483"/>
      <c r="AQ34" s="483"/>
      <c r="AR34" s="483"/>
      <c r="AS34" s="483"/>
      <c r="AT34" s="483"/>
      <c r="AU34" s="483"/>
      <c r="AV34" s="483"/>
      <c r="AW34" s="483"/>
      <c r="AX34" s="483"/>
      <c r="AY34" s="483"/>
      <c r="AZ34" s="483"/>
    </row>
    <row r="35" spans="2:64" ht="14.5" thickBot="1">
      <c r="B35" s="113" t="s">
        <v>390</v>
      </c>
      <c r="C35" s="114" t="s">
        <v>1208</v>
      </c>
      <c r="D35" s="1473"/>
      <c r="E35" s="70"/>
      <c r="F35" s="70"/>
      <c r="G35" s="70"/>
      <c r="H35" s="70"/>
      <c r="I35" s="70"/>
      <c r="J35" s="70"/>
      <c r="K35" s="70"/>
      <c r="L35" s="70"/>
      <c r="M35" s="70"/>
      <c r="N35" s="126"/>
      <c r="O35" s="126"/>
      <c r="P35" s="483"/>
      <c r="Q35" s="126"/>
      <c r="R35" s="119"/>
      <c r="S35" s="203"/>
      <c r="T35" s="203"/>
      <c r="U35" s="203"/>
      <c r="V35" s="203"/>
      <c r="W35" s="203"/>
      <c r="X35" s="203"/>
      <c r="Y35" s="119"/>
      <c r="Z35" s="483"/>
      <c r="AA35" s="119"/>
      <c r="AB35" s="483"/>
      <c r="AC35" s="483"/>
      <c r="AD35" s="483"/>
      <c r="AE35" s="119"/>
      <c r="AF35" s="483"/>
      <c r="AG35" s="483"/>
      <c r="AH35" s="483"/>
      <c r="AI35" s="483"/>
      <c r="AJ35" s="483"/>
      <c r="AK35" s="483"/>
      <c r="AL35" s="483"/>
      <c r="AM35" s="483"/>
      <c r="AN35" s="483"/>
      <c r="AO35" s="483"/>
      <c r="AP35" s="483"/>
      <c r="AQ35" s="483"/>
      <c r="AR35" s="483"/>
      <c r="AS35" s="483"/>
      <c r="AT35" s="483"/>
      <c r="AU35" s="483"/>
      <c r="AV35" s="483"/>
      <c r="AW35" s="483"/>
      <c r="AX35" s="483"/>
      <c r="AY35" s="483"/>
      <c r="AZ35" s="483"/>
      <c r="BA35" s="113" t="s">
        <v>390</v>
      </c>
      <c r="BB35" s="114" t="s">
        <v>1208</v>
      </c>
      <c r="BC35" s="1473"/>
      <c r="BD35" s="70"/>
      <c r="BE35" s="70"/>
      <c r="BF35" s="70"/>
      <c r="BG35" s="70"/>
      <c r="BH35" s="70"/>
      <c r="BI35" s="70"/>
      <c r="BJ35" s="70"/>
      <c r="BK35" s="70"/>
      <c r="BL35" s="70"/>
    </row>
    <row r="36" spans="2:64">
      <c r="B36" s="86" t="s">
        <v>2793</v>
      </c>
      <c r="C36" s="117" t="s">
        <v>1210</v>
      </c>
      <c r="D36" s="117"/>
      <c r="E36" s="88" t="s">
        <v>49</v>
      </c>
      <c r="F36" s="215">
        <v>3</v>
      </c>
      <c r="G36" s="414">
        <v>0</v>
      </c>
      <c r="H36" s="415">
        <v>0</v>
      </c>
      <c r="I36" s="414">
        <v>0</v>
      </c>
      <c r="J36" s="425">
        <v>0</v>
      </c>
      <c r="K36" s="424">
        <v>0</v>
      </c>
      <c r="L36" s="415">
        <v>0</v>
      </c>
      <c r="M36" s="248">
        <f>SUM(G36:L36)</f>
        <v>0</v>
      </c>
      <c r="N36" s="126"/>
      <c r="O36" s="126"/>
      <c r="P36" s="24">
        <f t="shared" si="2"/>
        <v>0</v>
      </c>
      <c r="S36" s="93">
        <f t="shared" ref="S36:X37" si="20" xml:space="preserve"> IF( ISNUMBER( G36 ), 0, 1 )</f>
        <v>0</v>
      </c>
      <c r="T36" s="93">
        <f t="shared" si="20"/>
        <v>0</v>
      </c>
      <c r="U36" s="93">
        <f t="shared" si="20"/>
        <v>0</v>
      </c>
      <c r="V36" s="93">
        <f t="shared" si="20"/>
        <v>0</v>
      </c>
      <c r="W36" s="93">
        <f t="shared" si="20"/>
        <v>0</v>
      </c>
      <c r="X36" s="93">
        <f t="shared" si="20"/>
        <v>0</v>
      </c>
      <c r="Z36" s="483"/>
      <c r="AB36" s="483"/>
      <c r="AC36" s="483"/>
      <c r="AD36" s="483"/>
      <c r="AF36" s="483"/>
      <c r="AG36" s="483"/>
      <c r="AH36" s="483"/>
      <c r="AI36" s="483"/>
      <c r="AJ36" s="483"/>
      <c r="AK36" s="483"/>
      <c r="AL36" s="483"/>
      <c r="AM36" s="483"/>
      <c r="AN36" s="483"/>
      <c r="AO36" s="483"/>
      <c r="AP36" s="483"/>
      <c r="AQ36" s="483"/>
      <c r="AR36" s="483"/>
      <c r="AS36" s="483"/>
      <c r="AT36" s="483"/>
      <c r="AU36" s="483"/>
      <c r="AV36" s="483"/>
      <c r="AW36" s="483"/>
      <c r="AX36" s="483"/>
      <c r="AY36" s="483"/>
      <c r="AZ36" s="483"/>
      <c r="BA36" s="86" t="s">
        <v>2793</v>
      </c>
      <c r="BB36" s="117" t="s">
        <v>1210</v>
      </c>
      <c r="BC36" s="117"/>
      <c r="BD36" s="88" t="s">
        <v>49</v>
      </c>
      <c r="BE36" s="215">
        <v>3</v>
      </c>
      <c r="BF36" s="2380" t="s">
        <v>2794</v>
      </c>
      <c r="BG36" s="2524" t="s">
        <v>2795</v>
      </c>
      <c r="BH36" s="2380" t="s">
        <v>2796</v>
      </c>
      <c r="BI36" s="2381" t="s">
        <v>2797</v>
      </c>
      <c r="BJ36" s="2439" t="s">
        <v>2798</v>
      </c>
      <c r="BK36" s="2524" t="s">
        <v>2799</v>
      </c>
      <c r="BL36" s="248" t="s">
        <v>2800</v>
      </c>
    </row>
    <row r="37" spans="2:64" ht="14.5" thickBot="1">
      <c r="B37" s="101" t="s">
        <v>2801</v>
      </c>
      <c r="C37" s="102" t="s">
        <v>1218</v>
      </c>
      <c r="D37" s="102"/>
      <c r="E37" s="103" t="s">
        <v>49</v>
      </c>
      <c r="F37" s="225">
        <v>3</v>
      </c>
      <c r="G37" s="461">
        <v>0</v>
      </c>
      <c r="H37" s="767">
        <v>0</v>
      </c>
      <c r="I37" s="461">
        <v>0</v>
      </c>
      <c r="J37" s="462">
        <v>0</v>
      </c>
      <c r="K37" s="768">
        <v>0</v>
      </c>
      <c r="L37" s="767">
        <v>0</v>
      </c>
      <c r="M37" s="769">
        <f>SUM(G37:L37)</f>
        <v>0</v>
      </c>
      <c r="N37" s="126"/>
      <c r="O37" s="126"/>
      <c r="P37" s="24">
        <f t="shared" si="2"/>
        <v>0</v>
      </c>
      <c r="S37" s="93">
        <f t="shared" si="20"/>
        <v>0</v>
      </c>
      <c r="T37" s="93">
        <f t="shared" si="20"/>
        <v>0</v>
      </c>
      <c r="U37" s="93">
        <f t="shared" si="20"/>
        <v>0</v>
      </c>
      <c r="V37" s="93">
        <f t="shared" si="20"/>
        <v>0</v>
      </c>
      <c r="W37" s="93">
        <f t="shared" si="20"/>
        <v>0</v>
      </c>
      <c r="X37" s="93">
        <f t="shared" si="20"/>
        <v>0</v>
      </c>
      <c r="Z37" s="483"/>
      <c r="AB37" s="483"/>
      <c r="AC37" s="483"/>
      <c r="AD37" s="483"/>
      <c r="AF37" s="483"/>
      <c r="AG37" s="483"/>
      <c r="AH37" s="483"/>
      <c r="AI37" s="483"/>
      <c r="AJ37" s="483"/>
      <c r="AK37" s="483"/>
      <c r="AL37" s="483"/>
      <c r="AM37" s="483"/>
      <c r="AN37" s="483"/>
      <c r="AO37" s="483"/>
      <c r="AP37" s="483"/>
      <c r="AQ37" s="483"/>
      <c r="AR37" s="483"/>
      <c r="AS37" s="483"/>
      <c r="AT37" s="483"/>
      <c r="AU37" s="483"/>
      <c r="AV37" s="483"/>
      <c r="AW37" s="483"/>
      <c r="AX37" s="483"/>
      <c r="AY37" s="483"/>
      <c r="AZ37" s="483"/>
      <c r="BA37" s="101" t="s">
        <v>2801</v>
      </c>
      <c r="BB37" s="102" t="s">
        <v>1218</v>
      </c>
      <c r="BC37" s="102"/>
      <c r="BD37" s="103" t="s">
        <v>49</v>
      </c>
      <c r="BE37" s="225">
        <v>3</v>
      </c>
      <c r="BF37" s="2406" t="s">
        <v>2802</v>
      </c>
      <c r="BG37" s="2529" t="s">
        <v>2803</v>
      </c>
      <c r="BH37" s="2406" t="s">
        <v>2804</v>
      </c>
      <c r="BI37" s="2407" t="s">
        <v>2805</v>
      </c>
      <c r="BJ37" s="2530" t="s">
        <v>2806</v>
      </c>
      <c r="BK37" s="2529" t="s">
        <v>2807</v>
      </c>
      <c r="BL37" s="769" t="s">
        <v>2808</v>
      </c>
    </row>
    <row r="38" spans="2:64" s="483" customFormat="1" ht="14.5" thickBot="1">
      <c r="N38" s="126"/>
      <c r="O38" s="126"/>
      <c r="Q38" s="126"/>
      <c r="R38" s="119"/>
      <c r="S38" s="203"/>
      <c r="T38" s="203"/>
      <c r="U38" s="203"/>
      <c r="V38" s="203"/>
      <c r="W38" s="203"/>
      <c r="X38" s="203"/>
      <c r="Y38" s="119"/>
      <c r="AA38" s="119"/>
      <c r="AE38" s="119"/>
    </row>
    <row r="39" spans="2:64" ht="14.5" thickBot="1">
      <c r="B39" s="131" t="s">
        <v>2809</v>
      </c>
      <c r="C39" s="132" t="s">
        <v>1226</v>
      </c>
      <c r="D39" s="132"/>
      <c r="E39" s="133" t="s">
        <v>49</v>
      </c>
      <c r="F39" s="770">
        <v>3</v>
      </c>
      <c r="G39" s="744">
        <f t="shared" ref="G39:L39" si="21">G33 + G36 + G37</f>
        <v>5.2930000000000001</v>
      </c>
      <c r="H39" s="247">
        <f t="shared" si="21"/>
        <v>13.965402704114839</v>
      </c>
      <c r="I39" s="744">
        <f t="shared" si="21"/>
        <v>1.1522540890418913</v>
      </c>
      <c r="J39" s="745">
        <f t="shared" si="21"/>
        <v>1.3466596179573045</v>
      </c>
      <c r="K39" s="774">
        <f t="shared" si="21"/>
        <v>24.569206729423321</v>
      </c>
      <c r="L39" s="247">
        <f t="shared" si="21"/>
        <v>81.756231852807218</v>
      </c>
      <c r="M39" s="775">
        <f>SUM(G39:L39)</f>
        <v>128.08275499334457</v>
      </c>
      <c r="N39" s="126"/>
      <c r="O39" s="126"/>
      <c r="P39" s="483"/>
      <c r="Q39" s="126"/>
      <c r="R39" s="119"/>
      <c r="S39" s="203"/>
      <c r="T39" s="203"/>
      <c r="U39" s="203"/>
      <c r="V39" s="203"/>
      <c r="W39" s="203"/>
      <c r="X39" s="203"/>
      <c r="Y39" s="119"/>
      <c r="Z39" s="483"/>
      <c r="AA39" s="119"/>
      <c r="AB39" s="483"/>
      <c r="AC39" s="483"/>
      <c r="AD39" s="483"/>
      <c r="AE39" s="119"/>
      <c r="AF39" s="483"/>
      <c r="AG39" s="483"/>
      <c r="AH39" s="483"/>
      <c r="AI39" s="483"/>
      <c r="AJ39" s="483"/>
      <c r="AK39" s="483"/>
      <c r="AL39" s="483"/>
      <c r="AM39" s="483"/>
      <c r="AN39" s="483"/>
      <c r="AO39" s="483"/>
      <c r="AP39" s="483"/>
      <c r="AQ39" s="483"/>
      <c r="AR39" s="483"/>
      <c r="AS39" s="483"/>
      <c r="AT39" s="483"/>
      <c r="AU39" s="483"/>
      <c r="AV39" s="483"/>
      <c r="AW39" s="483"/>
      <c r="AX39" s="483"/>
      <c r="AY39" s="483"/>
      <c r="AZ39" s="483"/>
      <c r="BA39" s="131" t="s">
        <v>2809</v>
      </c>
      <c r="BB39" s="132" t="s">
        <v>1226</v>
      </c>
      <c r="BC39" s="132"/>
      <c r="BD39" s="133" t="s">
        <v>49</v>
      </c>
      <c r="BE39" s="770">
        <v>3</v>
      </c>
      <c r="BF39" s="744" t="s">
        <v>2810</v>
      </c>
      <c r="BG39" s="247" t="s">
        <v>2811</v>
      </c>
      <c r="BH39" s="744" t="s">
        <v>2812</v>
      </c>
      <c r="BI39" s="745" t="s">
        <v>2813</v>
      </c>
      <c r="BJ39" s="774" t="s">
        <v>2814</v>
      </c>
      <c r="BK39" s="247" t="s">
        <v>2815</v>
      </c>
      <c r="BL39" s="775" t="s">
        <v>2816</v>
      </c>
    </row>
    <row r="40" spans="2:64" ht="14.5" thickBot="1">
      <c r="B40" s="483"/>
      <c r="C40" s="483"/>
      <c r="E40" s="483"/>
      <c r="F40" s="483"/>
      <c r="G40" s="483"/>
      <c r="H40" s="483"/>
      <c r="I40" s="483"/>
      <c r="J40" s="483"/>
      <c r="K40" s="483"/>
      <c r="L40" s="483"/>
      <c r="M40" s="483"/>
      <c r="N40" s="126"/>
      <c r="O40" s="126"/>
      <c r="P40" s="483"/>
      <c r="Q40" s="118"/>
      <c r="R40" s="124"/>
      <c r="S40" s="203"/>
      <c r="T40" s="203"/>
      <c r="U40" s="203"/>
      <c r="V40" s="203"/>
      <c r="W40" s="203"/>
      <c r="X40" s="203"/>
      <c r="Y40" s="124"/>
      <c r="Z40" s="483"/>
      <c r="AA40" s="124"/>
      <c r="AB40" s="483"/>
      <c r="AC40" s="483"/>
      <c r="AD40" s="483"/>
      <c r="AE40" s="124"/>
      <c r="AF40" s="483"/>
      <c r="AG40" s="483"/>
      <c r="AH40" s="483"/>
      <c r="AI40" s="483"/>
      <c r="AJ40" s="483"/>
      <c r="AK40" s="483"/>
      <c r="AL40" s="483"/>
      <c r="AM40" s="483"/>
      <c r="AN40" s="483"/>
      <c r="AO40" s="483"/>
      <c r="AP40" s="483"/>
      <c r="AQ40" s="483"/>
      <c r="AR40" s="483"/>
      <c r="AS40" s="483"/>
      <c r="AT40" s="483"/>
      <c r="AU40" s="483"/>
      <c r="AV40" s="483"/>
      <c r="AW40" s="483"/>
      <c r="AX40" s="483"/>
      <c r="AY40" s="483"/>
      <c r="AZ40" s="483"/>
    </row>
    <row r="41" spans="2:64" ht="14.5" thickBot="1">
      <c r="B41" s="113" t="s">
        <v>464</v>
      </c>
      <c r="C41" s="114" t="s">
        <v>2817</v>
      </c>
      <c r="D41" s="1473"/>
      <c r="E41" s="70"/>
      <c r="F41" s="70"/>
      <c r="G41" s="483"/>
      <c r="H41" s="483"/>
      <c r="I41" s="483"/>
      <c r="J41" s="483"/>
      <c r="K41" s="483"/>
      <c r="L41" s="483"/>
      <c r="M41" s="483"/>
      <c r="N41" s="126"/>
      <c r="O41" s="126"/>
      <c r="P41" s="483"/>
      <c r="Q41" s="118"/>
      <c r="R41" s="124"/>
      <c r="S41" s="203"/>
      <c r="T41" s="203"/>
      <c r="U41" s="203"/>
      <c r="V41" s="203"/>
      <c r="W41" s="203"/>
      <c r="X41" s="203"/>
      <c r="Y41" s="124"/>
      <c r="Z41" s="483"/>
      <c r="AA41" s="124"/>
      <c r="AB41" s="483"/>
      <c r="AC41" s="483"/>
      <c r="AD41" s="483"/>
      <c r="AE41" s="124"/>
      <c r="AF41" s="483"/>
      <c r="AG41" s="483"/>
      <c r="AH41" s="483"/>
      <c r="AI41" s="483"/>
      <c r="AJ41" s="483"/>
      <c r="AK41" s="483"/>
      <c r="AL41" s="483"/>
      <c r="AM41" s="483"/>
      <c r="AN41" s="483"/>
      <c r="AO41" s="483"/>
      <c r="AP41" s="483"/>
      <c r="AQ41" s="483"/>
      <c r="AR41" s="483"/>
      <c r="AS41" s="483"/>
      <c r="AT41" s="483"/>
      <c r="AU41" s="483"/>
      <c r="AV41" s="483"/>
      <c r="AW41" s="483"/>
      <c r="AX41" s="483"/>
      <c r="AY41" s="483"/>
      <c r="AZ41" s="483"/>
      <c r="BA41" s="113" t="s">
        <v>464</v>
      </c>
      <c r="BB41" s="114" t="s">
        <v>2817</v>
      </c>
      <c r="BC41" s="1473"/>
      <c r="BD41" s="70"/>
      <c r="BE41" s="70"/>
    </row>
    <row r="42" spans="2:64" ht="14.5" thickBot="1">
      <c r="B42" s="86" t="s">
        <v>2818</v>
      </c>
      <c r="C42" s="117" t="s">
        <v>2819</v>
      </c>
      <c r="D42" s="117"/>
      <c r="E42" s="88" t="s">
        <v>2820</v>
      </c>
      <c r="F42" s="215">
        <v>3</v>
      </c>
      <c r="G42" s="427">
        <v>176692</v>
      </c>
      <c r="H42" s="483"/>
      <c r="I42" s="483"/>
      <c r="J42" s="483"/>
      <c r="K42" s="483"/>
      <c r="L42" s="483"/>
      <c r="M42" s="483"/>
      <c r="N42" s="126"/>
      <c r="O42" s="126"/>
      <c r="P42" s="24">
        <f t="shared" si="2"/>
        <v>0</v>
      </c>
      <c r="Q42" s="118"/>
      <c r="R42" s="124"/>
      <c r="S42" s="93">
        <f xml:space="preserve"> IF( ISNUMBER( G42 ), 0, 1 )</f>
        <v>0</v>
      </c>
      <c r="T42" s="203"/>
      <c r="U42" s="203"/>
      <c r="V42" s="203"/>
      <c r="W42" s="203"/>
      <c r="X42" s="203"/>
      <c r="Y42" s="124"/>
      <c r="Z42" s="483"/>
      <c r="AA42" s="124"/>
      <c r="AB42" s="483"/>
      <c r="AC42" s="483"/>
      <c r="AD42" s="483"/>
      <c r="AE42" s="124"/>
      <c r="AF42" s="483"/>
      <c r="AG42" s="483"/>
      <c r="AH42" s="483"/>
      <c r="AI42" s="483"/>
      <c r="AJ42" s="483"/>
      <c r="AK42" s="483"/>
      <c r="AL42" s="483"/>
      <c r="AM42" s="483"/>
      <c r="AN42" s="483"/>
      <c r="AO42" s="483"/>
      <c r="AP42" s="483"/>
      <c r="AQ42" s="483"/>
      <c r="AR42" s="483"/>
      <c r="AS42" s="483"/>
      <c r="AT42" s="483"/>
      <c r="AU42" s="483"/>
      <c r="AV42" s="483"/>
      <c r="AW42" s="483"/>
      <c r="AX42" s="483"/>
      <c r="AY42" s="483"/>
      <c r="AZ42" s="483"/>
      <c r="BA42" s="86" t="s">
        <v>2818</v>
      </c>
      <c r="BB42" s="117" t="s">
        <v>2819</v>
      </c>
      <c r="BC42" s="117"/>
      <c r="BD42" s="88" t="s">
        <v>2820</v>
      </c>
      <c r="BE42" s="215">
        <v>3</v>
      </c>
      <c r="BF42" s="2387" t="s">
        <v>2821</v>
      </c>
    </row>
    <row r="43" spans="2:64" ht="14.5" thickBot="1">
      <c r="B43" s="94" t="s">
        <v>2818</v>
      </c>
      <c r="C43" s="87" t="s">
        <v>2822</v>
      </c>
      <c r="D43" s="87"/>
      <c r="E43" s="95" t="s">
        <v>2820</v>
      </c>
      <c r="F43" s="96">
        <v>3</v>
      </c>
      <c r="G43" s="483"/>
      <c r="H43" s="427">
        <v>98699</v>
      </c>
      <c r="I43" s="483"/>
      <c r="J43" s="483"/>
      <c r="K43" s="483"/>
      <c r="L43" s="483"/>
      <c r="M43" s="483"/>
      <c r="N43" s="126"/>
      <c r="O43" s="126"/>
      <c r="P43" s="24">
        <f t="shared" si="2"/>
        <v>0</v>
      </c>
      <c r="S43" s="203"/>
      <c r="T43" s="93">
        <f xml:space="preserve"> IF( ISNUMBER( H43 ), 0, 1 )</f>
        <v>0</v>
      </c>
      <c r="U43" s="203"/>
      <c r="V43" s="203"/>
      <c r="W43" s="203"/>
      <c r="X43" s="203"/>
      <c r="Z43" s="483"/>
      <c r="AB43" s="483"/>
      <c r="AC43" s="483"/>
      <c r="AD43" s="483"/>
      <c r="AF43" s="483"/>
      <c r="AG43" s="483"/>
      <c r="AH43" s="483"/>
      <c r="AI43" s="483"/>
      <c r="AJ43" s="483"/>
      <c r="AK43" s="483"/>
      <c r="AL43" s="483"/>
      <c r="AM43" s="483"/>
      <c r="AN43" s="483"/>
      <c r="AO43" s="483"/>
      <c r="AP43" s="483"/>
      <c r="AQ43" s="483"/>
      <c r="AR43" s="483"/>
      <c r="AS43" s="483"/>
      <c r="AT43" s="483"/>
      <c r="AU43" s="483"/>
      <c r="AV43" s="483"/>
      <c r="AW43" s="483"/>
      <c r="AX43" s="483"/>
      <c r="AY43" s="483"/>
      <c r="AZ43" s="483"/>
      <c r="BA43" s="94" t="s">
        <v>2818</v>
      </c>
      <c r="BB43" s="87" t="s">
        <v>2822</v>
      </c>
      <c r="BC43" s="87"/>
      <c r="BD43" s="95" t="s">
        <v>2820</v>
      </c>
      <c r="BE43" s="96">
        <v>3</v>
      </c>
      <c r="BG43" s="2387" t="s">
        <v>2823</v>
      </c>
    </row>
    <row r="44" spans="2:64" ht="14.5" thickBot="1">
      <c r="B44" s="94" t="s">
        <v>2818</v>
      </c>
      <c r="C44" s="87" t="s">
        <v>2824</v>
      </c>
      <c r="D44" s="87"/>
      <c r="E44" s="95" t="s">
        <v>2820</v>
      </c>
      <c r="F44" s="96">
        <v>3</v>
      </c>
      <c r="G44" s="483"/>
      <c r="H44" s="483"/>
      <c r="I44" s="427">
        <v>95548.5</v>
      </c>
      <c r="J44" s="483"/>
      <c r="K44" s="483"/>
      <c r="L44" s="483"/>
      <c r="M44" s="483"/>
      <c r="N44" s="126"/>
      <c r="O44" s="126"/>
      <c r="P44" s="24">
        <f t="shared" si="2"/>
        <v>0</v>
      </c>
      <c r="S44" s="203"/>
      <c r="T44" s="203"/>
      <c r="U44" s="93">
        <f xml:space="preserve"> IF( ISNUMBER( I44 ), 0, 1 )</f>
        <v>0</v>
      </c>
      <c r="V44" s="203"/>
      <c r="W44" s="203"/>
      <c r="X44" s="203"/>
      <c r="Z44" s="483"/>
      <c r="AB44" s="483"/>
      <c r="AC44" s="483"/>
      <c r="AD44" s="483"/>
      <c r="AF44" s="483"/>
      <c r="AG44" s="483"/>
      <c r="AH44" s="483"/>
      <c r="AI44" s="483"/>
      <c r="AJ44" s="483"/>
      <c r="AK44" s="483"/>
      <c r="AL44" s="483"/>
      <c r="AM44" s="483"/>
      <c r="AN44" s="483"/>
      <c r="AO44" s="483"/>
      <c r="AP44" s="483"/>
      <c r="AQ44" s="483"/>
      <c r="AR44" s="483"/>
      <c r="AS44" s="483"/>
      <c r="AT44" s="483"/>
      <c r="AU44" s="483"/>
      <c r="AV44" s="483"/>
      <c r="AW44" s="483"/>
      <c r="AX44" s="483"/>
      <c r="AY44" s="483"/>
      <c r="AZ44" s="483"/>
      <c r="BA44" s="94" t="s">
        <v>2818</v>
      </c>
      <c r="BB44" s="87" t="s">
        <v>2824</v>
      </c>
      <c r="BC44" s="87"/>
      <c r="BD44" s="95" t="s">
        <v>2820</v>
      </c>
      <c r="BE44" s="96">
        <v>3</v>
      </c>
      <c r="BH44" s="2387" t="s">
        <v>2825</v>
      </c>
    </row>
    <row r="45" spans="2:64" ht="14.5" thickBot="1">
      <c r="B45" s="94" t="s">
        <v>2818</v>
      </c>
      <c r="C45" s="87" t="s">
        <v>2826</v>
      </c>
      <c r="D45" s="87"/>
      <c r="E45" s="95" t="s">
        <v>2820</v>
      </c>
      <c r="F45" s="96">
        <v>3</v>
      </c>
      <c r="G45" s="483"/>
      <c r="H45" s="483"/>
      <c r="I45" s="483"/>
      <c r="J45" s="427">
        <v>34645</v>
      </c>
      <c r="K45" s="483"/>
      <c r="L45" s="483"/>
      <c r="M45" s="483"/>
      <c r="N45" s="130"/>
      <c r="O45" s="130"/>
      <c r="P45" s="24">
        <f t="shared" si="2"/>
        <v>0</v>
      </c>
      <c r="S45" s="203"/>
      <c r="T45" s="203"/>
      <c r="U45" s="203"/>
      <c r="V45" s="93">
        <f xml:space="preserve"> IF( ISNUMBER( J45 ), 0, 1 )</f>
        <v>0</v>
      </c>
      <c r="W45" s="203"/>
      <c r="X45" s="203"/>
      <c r="Z45" s="483"/>
      <c r="AB45" s="483"/>
      <c r="AC45" s="483"/>
      <c r="AD45" s="483"/>
      <c r="AF45" s="483"/>
      <c r="AG45" s="483"/>
      <c r="AH45" s="483"/>
      <c r="AI45" s="483"/>
      <c r="AJ45" s="483"/>
      <c r="AK45" s="483"/>
      <c r="AL45" s="483"/>
      <c r="AM45" s="483"/>
      <c r="AN45" s="483"/>
      <c r="AO45" s="483"/>
      <c r="AP45" s="483"/>
      <c r="AQ45" s="483"/>
      <c r="AR45" s="483"/>
      <c r="AS45" s="483"/>
      <c r="AT45" s="483"/>
      <c r="AU45" s="483"/>
      <c r="AV45" s="483"/>
      <c r="AW45" s="483"/>
      <c r="AX45" s="483"/>
      <c r="AY45" s="483"/>
      <c r="AZ45" s="483"/>
      <c r="BA45" s="94" t="s">
        <v>2818</v>
      </c>
      <c r="BB45" s="87" t="s">
        <v>2826</v>
      </c>
      <c r="BC45" s="87"/>
      <c r="BD45" s="95" t="s">
        <v>2820</v>
      </c>
      <c r="BE45" s="96">
        <v>3</v>
      </c>
      <c r="BI45" s="2387" t="s">
        <v>2827</v>
      </c>
    </row>
    <row r="46" spans="2:64" ht="14.5" thickBot="1">
      <c r="B46" s="94" t="s">
        <v>2818</v>
      </c>
      <c r="C46" s="87" t="s">
        <v>2828</v>
      </c>
      <c r="D46" s="87"/>
      <c r="E46" s="95" t="s">
        <v>2820</v>
      </c>
      <c r="F46" s="96">
        <v>3</v>
      </c>
      <c r="G46" s="483"/>
      <c r="H46" s="483"/>
      <c r="I46" s="483"/>
      <c r="J46" s="483"/>
      <c r="K46" s="427">
        <v>99178.68</v>
      </c>
      <c r="L46" s="483"/>
      <c r="M46" s="483"/>
      <c r="N46" s="130"/>
      <c r="O46" s="130"/>
      <c r="P46" s="24">
        <f t="shared" si="2"/>
        <v>0</v>
      </c>
      <c r="S46" s="203"/>
      <c r="T46" s="203"/>
      <c r="U46" s="203"/>
      <c r="V46" s="203"/>
      <c r="W46" s="93">
        <f xml:space="preserve"> IF( ISNUMBER( K46 ), 0, 1 )</f>
        <v>0</v>
      </c>
      <c r="X46" s="203"/>
      <c r="Z46" s="483"/>
      <c r="AB46" s="483"/>
      <c r="AC46" s="483"/>
      <c r="AD46" s="483"/>
      <c r="AF46" s="483"/>
      <c r="AG46" s="483"/>
      <c r="AH46" s="483"/>
      <c r="AI46" s="483"/>
      <c r="AJ46" s="483"/>
      <c r="AK46" s="483"/>
      <c r="AL46" s="483"/>
      <c r="AM46" s="483"/>
      <c r="AN46" s="483"/>
      <c r="AO46" s="483"/>
      <c r="AP46" s="483"/>
      <c r="AQ46" s="483"/>
      <c r="AR46" s="483"/>
      <c r="AS46" s="483"/>
      <c r="AT46" s="483"/>
      <c r="AU46" s="483"/>
      <c r="AV46" s="483"/>
      <c r="AW46" s="483"/>
      <c r="AX46" s="483"/>
      <c r="AY46" s="483"/>
      <c r="AZ46" s="483"/>
      <c r="BA46" s="94" t="s">
        <v>2818</v>
      </c>
      <c r="BB46" s="87" t="s">
        <v>2828</v>
      </c>
      <c r="BC46" s="87"/>
      <c r="BD46" s="95" t="s">
        <v>2820</v>
      </c>
      <c r="BE46" s="96">
        <v>3</v>
      </c>
      <c r="BJ46" s="2387" t="s">
        <v>2829</v>
      </c>
    </row>
    <row r="47" spans="2:64" ht="14.5" thickBot="1">
      <c r="B47" s="94" t="s">
        <v>2818</v>
      </c>
      <c r="C47" s="87" t="s">
        <v>2828</v>
      </c>
      <c r="D47" s="87"/>
      <c r="E47" s="95" t="s">
        <v>2820</v>
      </c>
      <c r="F47" s="96">
        <v>3</v>
      </c>
      <c r="G47" s="483"/>
      <c r="H47" s="483"/>
      <c r="I47" s="483"/>
      <c r="J47" s="483"/>
      <c r="K47" s="483"/>
      <c r="L47" s="428">
        <v>99178.68</v>
      </c>
      <c r="M47" s="483"/>
      <c r="N47" s="130"/>
      <c r="O47" s="130"/>
      <c r="P47" s="24">
        <f xml:space="preserve"> IF( SUM( R47:Y47 ) = 0, 0, $S$6 )</f>
        <v>0</v>
      </c>
      <c r="S47" s="203"/>
      <c r="T47" s="203"/>
      <c r="U47" s="203"/>
      <c r="V47" s="203"/>
      <c r="W47" s="203"/>
      <c r="X47" s="93">
        <f xml:space="preserve"> IF( ISNUMBER( L47 ), 0, 1 )</f>
        <v>0</v>
      </c>
      <c r="Z47" s="483"/>
      <c r="AB47" s="483"/>
      <c r="AC47" s="483"/>
      <c r="AD47" s="483"/>
      <c r="AF47" s="483"/>
      <c r="AG47" s="483"/>
      <c r="AH47" s="483"/>
      <c r="AI47" s="483"/>
      <c r="AJ47" s="483"/>
      <c r="AK47" s="483"/>
      <c r="AL47" s="483"/>
      <c r="AM47" s="483"/>
      <c r="AN47" s="483"/>
      <c r="AO47" s="483"/>
      <c r="AP47" s="483"/>
      <c r="AQ47" s="483"/>
      <c r="AR47" s="483"/>
      <c r="AS47" s="483"/>
      <c r="AT47" s="483"/>
      <c r="AU47" s="483"/>
      <c r="AV47" s="483"/>
      <c r="AW47" s="483"/>
      <c r="AX47" s="483"/>
      <c r="AY47" s="483"/>
      <c r="AZ47" s="483"/>
      <c r="BA47" s="94" t="s">
        <v>2818</v>
      </c>
      <c r="BB47" s="87" t="s">
        <v>2828</v>
      </c>
      <c r="BC47" s="87"/>
      <c r="BD47" s="95" t="s">
        <v>2820</v>
      </c>
      <c r="BE47" s="96">
        <v>3</v>
      </c>
      <c r="BK47" s="2400" t="s">
        <v>2830</v>
      </c>
    </row>
    <row r="48" spans="2:64">
      <c r="B48" s="94" t="s">
        <v>2831</v>
      </c>
      <c r="C48" s="87" t="s">
        <v>2832</v>
      </c>
      <c r="D48" s="87"/>
      <c r="E48" s="95" t="s">
        <v>2833</v>
      </c>
      <c r="F48" s="96">
        <v>3</v>
      </c>
      <c r="G48" s="188">
        <f xml:space="preserve"> IF( G42 = 0, 0, G18 * 1000000 / G42 )</f>
        <v>29.956081769406651</v>
      </c>
      <c r="H48" s="190">
        <f xml:space="preserve"> IF( H43 = 0, 0, H18 * 1000000 / H43 )</f>
        <v>108.89674667423175</v>
      </c>
      <c r="I48" s="636">
        <f xml:space="preserve"> IF( I44 = 0, 0, I18 * 1000000  / I44 )</f>
        <v>11.345023731403423</v>
      </c>
      <c r="J48" s="189">
        <f xml:space="preserve"> IF( J45 = 0, 0, J18 * 1000000  / J45 )</f>
        <v>0</v>
      </c>
      <c r="K48" s="189">
        <f xml:space="preserve"> IF( K46 = 0, 0, K18 * 1000000  / K46 )</f>
        <v>156.7373149148587</v>
      </c>
      <c r="L48" s="397">
        <f xml:space="preserve"> IF( L47 = 0, 0, L18 * 1000000  / L47 )</f>
        <v>318.01189529846539</v>
      </c>
      <c r="M48" s="483"/>
      <c r="N48" s="130"/>
      <c r="O48" s="130"/>
      <c r="P48" s="483"/>
      <c r="Q48" s="118"/>
      <c r="R48" s="124"/>
      <c r="S48" s="203"/>
      <c r="T48" s="203"/>
      <c r="U48" s="203"/>
      <c r="V48" s="203"/>
      <c r="W48" s="203"/>
      <c r="X48" s="203"/>
      <c r="Y48" s="124"/>
      <c r="Z48" s="483"/>
      <c r="AA48" s="124"/>
      <c r="AB48" s="483"/>
      <c r="AC48" s="483"/>
      <c r="AD48" s="483"/>
      <c r="AE48" s="124"/>
      <c r="AF48" s="483"/>
      <c r="AG48" s="483"/>
      <c r="AH48" s="483"/>
      <c r="AI48" s="483"/>
      <c r="AJ48" s="483"/>
      <c r="AK48" s="483"/>
      <c r="AL48" s="483"/>
      <c r="AM48" s="483"/>
      <c r="AN48" s="483"/>
      <c r="AO48" s="483"/>
      <c r="AP48" s="483"/>
      <c r="AQ48" s="483"/>
      <c r="AR48" s="483"/>
      <c r="AS48" s="483"/>
      <c r="AT48" s="483"/>
      <c r="AU48" s="483"/>
      <c r="AV48" s="483"/>
      <c r="AW48" s="483"/>
      <c r="AX48" s="483"/>
      <c r="AY48" s="483"/>
      <c r="AZ48" s="483"/>
      <c r="BA48" s="94" t="s">
        <v>2831</v>
      </c>
      <c r="BB48" s="87" t="s">
        <v>2832</v>
      </c>
      <c r="BC48" s="87"/>
      <c r="BD48" s="95" t="s">
        <v>2833</v>
      </c>
      <c r="BE48" s="96">
        <v>3</v>
      </c>
      <c r="BF48" s="188" t="s">
        <v>2834</v>
      </c>
      <c r="BG48" s="190" t="s">
        <v>2835</v>
      </c>
      <c r="BH48" s="636" t="s">
        <v>2836</v>
      </c>
      <c r="BI48" s="189" t="s">
        <v>2837</v>
      </c>
      <c r="BJ48" s="189" t="s">
        <v>2838</v>
      </c>
      <c r="BK48" s="397" t="s">
        <v>2839</v>
      </c>
    </row>
    <row r="49" spans="1:63" s="483" customFormat="1">
      <c r="B49" s="94" t="s">
        <v>2840</v>
      </c>
      <c r="C49" s="87" t="s">
        <v>2841</v>
      </c>
      <c r="D49" s="87"/>
      <c r="E49" s="95" t="s">
        <v>2465</v>
      </c>
      <c r="F49" s="96">
        <v>3</v>
      </c>
      <c r="G49" s="412">
        <v>1227.0360000000001</v>
      </c>
      <c r="H49" s="416">
        <v>1227.0360000000001</v>
      </c>
      <c r="I49" s="426">
        <v>1227.0360000000001</v>
      </c>
      <c r="J49" s="413">
        <v>1227.0360000000001</v>
      </c>
      <c r="K49" s="413">
        <v>1227.0360000000001</v>
      </c>
      <c r="L49" s="416">
        <v>1227.0360000000001</v>
      </c>
      <c r="N49" s="126"/>
      <c r="O49" s="126"/>
      <c r="P49" s="24">
        <f t="shared" ref="P49" si="22" xml:space="preserve"> IF( SUM( R49:Y49 ) = 0, 0, $S$6 )</f>
        <v>0</v>
      </c>
      <c r="Q49" s="70"/>
      <c r="R49" s="71"/>
      <c r="S49" s="93">
        <f t="shared" ref="S49" si="23" xml:space="preserve"> IF( ISNUMBER( G49 ), 0, 1 )</f>
        <v>0</v>
      </c>
      <c r="T49" s="93">
        <f t="shared" ref="T49" si="24" xml:space="preserve"> IF( ISNUMBER( H49 ), 0, 1 )</f>
        <v>0</v>
      </c>
      <c r="U49" s="93">
        <f t="shared" ref="U49" si="25" xml:space="preserve"> IF( ISNUMBER( I49 ), 0, 1 )</f>
        <v>0</v>
      </c>
      <c r="V49" s="93">
        <f t="shared" ref="V49" si="26" xml:space="preserve"> IF( ISNUMBER( J49 ), 0, 1 )</f>
        <v>0</v>
      </c>
      <c r="W49" s="93">
        <f t="shared" ref="W49" si="27" xml:space="preserve"> IF( ISNUMBER( K49 ), 0, 1 )</f>
        <v>0</v>
      </c>
      <c r="X49" s="93">
        <f t="shared" ref="X49" si="28" xml:space="preserve"> IF( ISNUMBER( L49 ), 0, 1 )</f>
        <v>0</v>
      </c>
      <c r="Y49" s="71"/>
      <c r="AA49" s="71"/>
      <c r="AE49" s="71"/>
      <c r="BA49" s="94" t="s">
        <v>2840</v>
      </c>
      <c r="BB49" s="87" t="s">
        <v>2841</v>
      </c>
      <c r="BC49" s="87"/>
      <c r="BD49" s="95" t="s">
        <v>2465</v>
      </c>
      <c r="BE49" s="96">
        <v>3</v>
      </c>
      <c r="BF49" s="2383" t="s">
        <v>2842</v>
      </c>
      <c r="BG49" s="2525" t="s">
        <v>2843</v>
      </c>
      <c r="BH49" s="2396" t="s">
        <v>2844</v>
      </c>
      <c r="BI49" s="2384" t="s">
        <v>2845</v>
      </c>
      <c r="BJ49" s="2384" t="s">
        <v>2846</v>
      </c>
      <c r="BK49" s="2525" t="s">
        <v>2847</v>
      </c>
    </row>
    <row r="50" spans="1:63" s="483" customFormat="1" ht="14.5" thickBot="1">
      <c r="B50" s="101" t="s">
        <v>2848</v>
      </c>
      <c r="C50" s="102" t="s">
        <v>2832</v>
      </c>
      <c r="D50" s="102"/>
      <c r="E50" s="103" t="s">
        <v>2849</v>
      </c>
      <c r="F50" s="225">
        <v>3</v>
      </c>
      <c r="G50" s="193">
        <f t="shared" ref="G50:L50" si="29" xml:space="preserve"> IF( G49 = 0, 0, G18 * 1000 / G49 )</f>
        <v>4.3136468693665053</v>
      </c>
      <c r="H50" s="195">
        <f t="shared" si="29"/>
        <v>8.7593192049785014</v>
      </c>
      <c r="I50" s="242">
        <f t="shared" si="29"/>
        <v>0.88342966302537163</v>
      </c>
      <c r="J50" s="194">
        <f t="shared" si="29"/>
        <v>0</v>
      </c>
      <c r="K50" s="194">
        <f t="shared" si="29"/>
        <v>12.668739955469928</v>
      </c>
      <c r="L50" s="195">
        <f t="shared" si="29"/>
        <v>25.704217317177331</v>
      </c>
      <c r="N50" s="126"/>
      <c r="O50" s="126"/>
      <c r="Q50" s="70"/>
      <c r="R50" s="71"/>
      <c r="S50" s="127"/>
      <c r="T50" s="127"/>
      <c r="U50" s="127"/>
      <c r="V50" s="127"/>
      <c r="W50" s="127"/>
      <c r="X50" s="127"/>
      <c r="Y50" s="71"/>
      <c r="AA50" s="71"/>
      <c r="AE50" s="71"/>
      <c r="BA50" s="101" t="s">
        <v>2848</v>
      </c>
      <c r="BB50" s="102" t="s">
        <v>2832</v>
      </c>
      <c r="BC50" s="102"/>
      <c r="BD50" s="103" t="s">
        <v>2849</v>
      </c>
      <c r="BE50" s="225">
        <v>3</v>
      </c>
      <c r="BF50" s="193" t="s">
        <v>2850</v>
      </c>
      <c r="BG50" s="195" t="s">
        <v>2851</v>
      </c>
      <c r="BH50" s="242" t="s">
        <v>2852</v>
      </c>
      <c r="BI50" s="194" t="s">
        <v>2853</v>
      </c>
      <c r="BJ50" s="194" t="s">
        <v>2854</v>
      </c>
      <c r="BK50" s="195" t="s">
        <v>2855</v>
      </c>
    </row>
    <row r="51" spans="1:63">
      <c r="A51" s="483"/>
      <c r="B51" s="483"/>
      <c r="C51" s="483"/>
      <c r="E51" s="483"/>
      <c r="F51" s="483"/>
      <c r="G51" s="483"/>
      <c r="H51" s="483"/>
      <c r="I51" s="483"/>
      <c r="J51" s="483"/>
      <c r="K51" s="483"/>
      <c r="L51" s="483"/>
      <c r="M51" s="483"/>
      <c r="N51" s="130"/>
      <c r="O51" s="130"/>
      <c r="P51" s="483"/>
      <c r="S51" s="203"/>
      <c r="T51" s="203"/>
      <c r="U51" s="203"/>
      <c r="V51" s="203"/>
      <c r="W51" s="203"/>
      <c r="X51" s="203"/>
      <c r="Z51" s="483"/>
      <c r="AB51" s="483"/>
      <c r="AC51" s="483"/>
      <c r="AD51" s="483"/>
      <c r="AF51" s="483"/>
      <c r="AG51" s="483"/>
      <c r="AH51" s="483"/>
      <c r="AI51" s="483"/>
      <c r="AJ51" s="483"/>
      <c r="AK51" s="483"/>
      <c r="AL51" s="483"/>
      <c r="AM51" s="483"/>
      <c r="AN51" s="483"/>
      <c r="AO51" s="483"/>
      <c r="AP51" s="483"/>
      <c r="AQ51" s="483"/>
      <c r="AR51" s="483"/>
      <c r="AS51" s="483"/>
      <c r="AT51" s="483"/>
      <c r="AU51" s="483"/>
      <c r="AV51" s="483"/>
      <c r="AW51" s="483"/>
      <c r="AX51" s="483"/>
      <c r="AY51" s="483"/>
      <c r="AZ51" s="483"/>
    </row>
    <row r="52" spans="1:63">
      <c r="A52" s="483"/>
      <c r="B52" s="2914" t="s">
        <v>241</v>
      </c>
      <c r="C52" s="2914"/>
      <c r="D52" s="2823"/>
      <c r="E52" s="163"/>
      <c r="F52" s="163"/>
      <c r="G52" s="163"/>
      <c r="H52" s="163"/>
      <c r="I52" s="483"/>
      <c r="J52" s="483"/>
      <c r="K52" s="483"/>
      <c r="L52" s="483"/>
      <c r="M52" s="483"/>
      <c r="N52" s="130"/>
      <c r="O52" s="130"/>
      <c r="P52" s="483"/>
      <c r="S52" s="203"/>
      <c r="T52" s="203"/>
      <c r="U52" s="203"/>
      <c r="V52" s="203"/>
      <c r="W52" s="203"/>
      <c r="X52" s="203"/>
      <c r="Z52" s="483"/>
      <c r="AB52" s="483"/>
      <c r="AC52" s="483"/>
      <c r="AD52" s="483"/>
      <c r="AF52" s="483"/>
      <c r="AG52" s="483"/>
      <c r="AH52" s="483"/>
      <c r="AI52" s="483"/>
      <c r="AJ52" s="483"/>
      <c r="AK52" s="483"/>
      <c r="AL52" s="483"/>
      <c r="AM52" s="483"/>
      <c r="AN52" s="483"/>
      <c r="AO52" s="483"/>
      <c r="AP52" s="483"/>
      <c r="AQ52" s="483"/>
      <c r="AR52" s="483"/>
      <c r="AS52" s="483"/>
      <c r="AT52" s="483"/>
      <c r="AU52" s="483"/>
      <c r="AV52" s="483"/>
      <c r="AW52" s="483"/>
      <c r="AX52" s="483"/>
      <c r="AY52" s="483"/>
      <c r="AZ52" s="483"/>
    </row>
    <row r="53" spans="1:63">
      <c r="A53" s="483"/>
      <c r="B53" s="141"/>
      <c r="C53" s="142"/>
      <c r="D53" s="142"/>
      <c r="E53" s="163"/>
      <c r="F53" s="163"/>
      <c r="G53" s="163"/>
      <c r="H53" s="163"/>
      <c r="I53" s="483"/>
      <c r="J53" s="483"/>
      <c r="K53" s="483"/>
      <c r="L53" s="483"/>
      <c r="M53" s="483"/>
      <c r="N53" s="130"/>
      <c r="O53" s="130"/>
      <c r="P53" s="483"/>
      <c r="S53" s="203"/>
      <c r="T53" s="203"/>
      <c r="U53" s="203"/>
      <c r="V53" s="203"/>
      <c r="W53" s="203"/>
      <c r="X53" s="203"/>
      <c r="Z53" s="483"/>
      <c r="AB53" s="483"/>
      <c r="AC53" s="483"/>
      <c r="AD53" s="483"/>
      <c r="AF53" s="483"/>
      <c r="AG53" s="483"/>
      <c r="AH53" s="483"/>
      <c r="AI53" s="483"/>
      <c r="AJ53" s="483"/>
      <c r="AK53" s="483"/>
      <c r="AL53" s="483"/>
      <c r="AM53" s="483"/>
      <c r="AN53" s="483"/>
      <c r="AO53" s="483"/>
      <c r="AP53" s="483"/>
      <c r="AQ53" s="483"/>
      <c r="AR53" s="483"/>
      <c r="AS53" s="483"/>
      <c r="AT53" s="483"/>
      <c r="AU53" s="483"/>
      <c r="AV53" s="483"/>
      <c r="AW53" s="483"/>
      <c r="AX53" s="483"/>
      <c r="AY53" s="483"/>
      <c r="AZ53" s="483"/>
    </row>
    <row r="54" spans="1:63">
      <c r="A54" s="483"/>
      <c r="B54" s="25"/>
      <c r="C54" s="143" t="s">
        <v>188</v>
      </c>
      <c r="D54" s="143"/>
      <c r="E54" s="163"/>
      <c r="F54" s="163"/>
      <c r="G54" s="163"/>
      <c r="H54" s="163"/>
      <c r="I54" s="483"/>
      <c r="J54" s="483"/>
      <c r="K54" s="483"/>
      <c r="L54" s="483"/>
      <c r="M54" s="483"/>
      <c r="N54" s="130"/>
      <c r="O54" s="130"/>
      <c r="P54" s="483"/>
      <c r="S54" s="203"/>
      <c r="T54" s="203"/>
      <c r="U54" s="203"/>
      <c r="V54" s="203"/>
      <c r="W54" s="203"/>
      <c r="X54" s="203"/>
      <c r="Z54" s="483"/>
      <c r="AB54" s="483"/>
      <c r="AC54" s="483"/>
      <c r="AD54" s="483"/>
      <c r="AF54" s="483"/>
      <c r="AG54" s="483"/>
      <c r="AH54" s="483"/>
      <c r="AI54" s="483"/>
      <c r="AJ54" s="483"/>
      <c r="AK54" s="483"/>
      <c r="AL54" s="483"/>
      <c r="AM54" s="483"/>
      <c r="AN54" s="483"/>
      <c r="AO54" s="483"/>
      <c r="AP54" s="483"/>
      <c r="AQ54" s="483"/>
      <c r="AR54" s="483"/>
      <c r="AS54" s="483"/>
      <c r="AT54" s="483"/>
      <c r="AU54" s="483"/>
      <c r="AV54" s="483"/>
      <c r="AW54" s="483"/>
      <c r="AX54" s="483"/>
      <c r="AY54" s="483"/>
      <c r="AZ54" s="483"/>
    </row>
    <row r="55" spans="1:63">
      <c r="A55" s="483"/>
      <c r="B55" s="141"/>
      <c r="C55" s="142"/>
      <c r="D55" s="142"/>
      <c r="E55" s="163"/>
      <c r="F55" s="163"/>
      <c r="G55" s="163"/>
      <c r="H55" s="163"/>
      <c r="I55" s="483"/>
      <c r="J55" s="483"/>
      <c r="K55" s="483"/>
      <c r="L55" s="483"/>
      <c r="M55" s="483"/>
      <c r="N55" s="130"/>
      <c r="O55" s="130"/>
      <c r="P55" s="483"/>
      <c r="S55" s="203"/>
      <c r="T55" s="203"/>
      <c r="U55" s="203"/>
      <c r="V55" s="203"/>
      <c r="W55" s="203"/>
      <c r="X55" s="203"/>
      <c r="Z55" s="483"/>
      <c r="AB55" s="483"/>
      <c r="AC55" s="483"/>
      <c r="AD55" s="483"/>
      <c r="AF55" s="483"/>
      <c r="AG55" s="483"/>
      <c r="AH55" s="483"/>
      <c r="AI55" s="483"/>
      <c r="AJ55" s="483"/>
      <c r="AK55" s="483"/>
      <c r="AL55" s="483"/>
      <c r="AM55" s="483"/>
      <c r="AN55" s="483"/>
      <c r="AO55" s="483"/>
      <c r="AP55" s="483"/>
      <c r="AQ55" s="483"/>
      <c r="AR55" s="483"/>
      <c r="AS55" s="483"/>
      <c r="AT55" s="483"/>
      <c r="AU55" s="483"/>
      <c r="AV55" s="483"/>
      <c r="AW55" s="483"/>
      <c r="AX55" s="483"/>
      <c r="AY55" s="483"/>
      <c r="AZ55" s="483"/>
    </row>
    <row r="56" spans="1:63">
      <c r="A56" s="483"/>
      <c r="B56" s="144"/>
      <c r="C56" s="143" t="s">
        <v>189</v>
      </c>
      <c r="D56" s="143"/>
      <c r="E56" s="163"/>
      <c r="F56" s="163"/>
      <c r="G56" s="163"/>
      <c r="H56" s="163"/>
      <c r="I56" s="483"/>
      <c r="J56" s="483"/>
      <c r="K56" s="483"/>
      <c r="L56" s="483"/>
      <c r="M56" s="483"/>
      <c r="N56" s="130"/>
      <c r="O56" s="130"/>
      <c r="P56" s="483"/>
      <c r="S56" s="203"/>
      <c r="T56" s="203"/>
      <c r="U56" s="203"/>
      <c r="V56" s="203"/>
      <c r="W56" s="203"/>
      <c r="X56" s="203"/>
      <c r="Z56" s="483"/>
      <c r="AB56" s="483"/>
      <c r="AC56" s="483"/>
      <c r="AD56" s="483"/>
      <c r="AF56" s="483"/>
      <c r="AG56" s="483"/>
      <c r="AH56" s="483"/>
      <c r="AI56" s="483"/>
      <c r="AJ56" s="483"/>
      <c r="AK56" s="483"/>
      <c r="AL56" s="483"/>
      <c r="AM56" s="483"/>
      <c r="AN56" s="483"/>
      <c r="AO56" s="483"/>
      <c r="AP56" s="483"/>
      <c r="AQ56" s="483"/>
      <c r="AR56" s="483"/>
      <c r="AS56" s="483"/>
      <c r="AT56" s="483"/>
      <c r="AU56" s="483"/>
      <c r="AV56" s="483"/>
      <c r="AW56" s="483"/>
      <c r="AX56" s="483"/>
      <c r="AY56" s="483"/>
      <c r="AZ56" s="483"/>
    </row>
    <row r="57" spans="1:63">
      <c r="A57" s="483"/>
      <c r="B57" s="145"/>
      <c r="C57" s="143"/>
      <c r="D57" s="143"/>
      <c r="E57" s="163"/>
      <c r="F57" s="163"/>
      <c r="G57" s="163"/>
      <c r="H57" s="163"/>
      <c r="I57" s="483"/>
      <c r="J57" s="483"/>
      <c r="K57" s="483"/>
      <c r="L57" s="483"/>
      <c r="M57" s="483"/>
      <c r="N57" s="130"/>
      <c r="O57" s="130"/>
      <c r="P57" s="483"/>
      <c r="S57" s="203"/>
      <c r="T57" s="203"/>
      <c r="U57" s="203"/>
      <c r="V57" s="203"/>
      <c r="W57" s="203"/>
      <c r="X57" s="203"/>
      <c r="Z57" s="483"/>
      <c r="AB57" s="483"/>
      <c r="AC57" s="483"/>
      <c r="AD57" s="483"/>
      <c r="AF57" s="483"/>
      <c r="AG57" s="483"/>
      <c r="AH57" s="483"/>
      <c r="AI57" s="483"/>
      <c r="AJ57" s="483"/>
      <c r="AK57" s="483"/>
      <c r="AL57" s="483"/>
      <c r="AM57" s="483"/>
      <c r="AN57" s="483"/>
      <c r="AO57" s="483"/>
      <c r="AP57" s="483"/>
      <c r="AQ57" s="483"/>
      <c r="AR57" s="483"/>
      <c r="AS57" s="483"/>
      <c r="AT57" s="483"/>
      <c r="AU57" s="483"/>
      <c r="AV57" s="483"/>
      <c r="AW57" s="483"/>
      <c r="AX57" s="483"/>
      <c r="AY57" s="483"/>
      <c r="AZ57" s="483"/>
    </row>
    <row r="58" spans="1:63" ht="14.5" thickBot="1">
      <c r="A58" s="483"/>
      <c r="B58" s="178"/>
      <c r="C58" s="179"/>
      <c r="D58" s="179"/>
      <c r="E58" s="178"/>
      <c r="F58" s="178"/>
      <c r="G58" s="178"/>
      <c r="H58" s="178"/>
      <c r="I58" s="483"/>
      <c r="J58" s="483"/>
      <c r="K58" s="483"/>
      <c r="L58" s="483"/>
      <c r="M58" s="483"/>
      <c r="N58" s="130"/>
      <c r="O58" s="130"/>
      <c r="P58" s="483"/>
      <c r="S58" s="203"/>
      <c r="T58" s="203"/>
      <c r="U58" s="203"/>
      <c r="V58" s="203"/>
      <c r="W58" s="203"/>
      <c r="X58" s="203"/>
      <c r="Z58" s="483"/>
      <c r="AB58" s="483"/>
      <c r="AC58" s="483"/>
      <c r="AD58" s="483"/>
      <c r="AF58" s="483"/>
      <c r="AG58" s="483"/>
      <c r="AH58" s="483"/>
      <c r="AI58" s="483"/>
      <c r="AJ58" s="483"/>
      <c r="AK58" s="483"/>
      <c r="AL58" s="483"/>
      <c r="AM58" s="483"/>
      <c r="AN58" s="483"/>
      <c r="AO58" s="483"/>
      <c r="AP58" s="483"/>
      <c r="AQ58" s="483"/>
      <c r="AR58" s="483"/>
      <c r="AS58" s="483"/>
      <c r="AT58" s="483"/>
      <c r="AU58" s="483"/>
      <c r="AV58" s="483"/>
      <c r="AW58" s="483"/>
      <c r="AX58" s="483"/>
      <c r="AY58" s="483"/>
      <c r="AZ58" s="483"/>
    </row>
    <row r="59" spans="1:63" s="483" customFormat="1" ht="14.65" customHeight="1" thickBot="1">
      <c r="B59" s="2886" t="str">
        <f>'4C'!B20</f>
        <v>Please refer to RAG 4.08 - Guideline for the table definitions in the annual performance report for the reporting year 2019-20</v>
      </c>
      <c r="C59" s="148"/>
      <c r="D59" s="148"/>
      <c r="E59" s="148"/>
      <c r="F59" s="148"/>
      <c r="G59" s="148"/>
      <c r="H59" s="148"/>
      <c r="I59" s="148"/>
      <c r="J59" s="148"/>
      <c r="K59" s="148"/>
      <c r="L59" s="148"/>
      <c r="M59" s="251"/>
      <c r="N59" s="130"/>
      <c r="O59" s="130"/>
      <c r="Q59" s="70"/>
      <c r="R59" s="71"/>
      <c r="S59" s="203"/>
      <c r="T59" s="203"/>
      <c r="U59" s="203"/>
      <c r="V59" s="203"/>
      <c r="W59" s="203"/>
      <c r="X59" s="203"/>
      <c r="Y59" s="71"/>
      <c r="AA59" s="71"/>
      <c r="AE59" s="71"/>
    </row>
    <row r="60" spans="1:63" s="483" customFormat="1">
      <c r="B60" s="178"/>
      <c r="C60" s="179"/>
      <c r="D60" s="179"/>
      <c r="E60" s="178"/>
      <c r="F60" s="178"/>
      <c r="G60" s="178"/>
      <c r="H60" s="178"/>
      <c r="N60" s="130"/>
      <c r="O60" s="130"/>
      <c r="Q60" s="70"/>
      <c r="R60" s="71"/>
      <c r="S60" s="203"/>
      <c r="T60" s="203"/>
      <c r="U60" s="203"/>
      <c r="V60" s="203"/>
      <c r="W60" s="203"/>
      <c r="X60" s="203"/>
      <c r="Y60" s="71"/>
      <c r="AA60" s="71"/>
      <c r="AE60" s="71"/>
    </row>
    <row r="61" spans="1:63" ht="15.5" hidden="1" thickBot="1">
      <c r="A61" s="1534"/>
      <c r="B61" s="34" t="str">
        <f ca="1" xml:space="preserve"> RIGHT(CELL("filename", $A$1), LEN(CELL("filename", $A$1)) - SEARCH("]", CELL("filename", $A$1)))&amp;" - Line definitions"</f>
        <v>4D - Line definitions</v>
      </c>
      <c r="C61" s="147"/>
      <c r="D61" s="147"/>
      <c r="E61" s="148"/>
      <c r="F61" s="148"/>
      <c r="G61" s="148"/>
      <c r="H61" s="148"/>
      <c r="I61" s="148"/>
      <c r="J61" s="148"/>
      <c r="K61" s="148"/>
      <c r="L61" s="148"/>
      <c r="M61" s="251"/>
      <c r="N61" s="130"/>
      <c r="O61" s="130"/>
      <c r="S61" s="203"/>
      <c r="T61" s="203"/>
      <c r="U61" s="203"/>
      <c r="V61" s="203"/>
      <c r="W61" s="203"/>
      <c r="X61" s="203"/>
      <c r="Z61" s="483"/>
      <c r="AB61" s="483"/>
      <c r="AC61" s="483"/>
      <c r="AD61" s="483"/>
      <c r="AF61" s="483"/>
      <c r="AG61" s="483"/>
      <c r="AH61" s="483"/>
      <c r="AI61" s="483"/>
      <c r="AJ61" s="483"/>
      <c r="AK61" s="483"/>
      <c r="AL61" s="483"/>
      <c r="AM61" s="483"/>
      <c r="AN61" s="483"/>
      <c r="AO61" s="483"/>
      <c r="AP61" s="483"/>
      <c r="AQ61" s="483"/>
      <c r="AR61" s="483"/>
      <c r="AS61" s="483"/>
      <c r="AT61" s="483"/>
      <c r="AU61" s="483"/>
      <c r="AV61" s="483"/>
      <c r="AW61" s="483"/>
      <c r="AX61" s="483"/>
      <c r="AY61" s="483"/>
      <c r="AZ61" s="483"/>
    </row>
    <row r="62" spans="1:63" ht="14.5" hidden="1" thickBot="1">
      <c r="A62" s="1534"/>
      <c r="B62" s="74"/>
      <c r="C62" s="155"/>
      <c r="D62" s="155"/>
      <c r="E62" s="74"/>
      <c r="F62" s="74"/>
      <c r="G62" s="74"/>
      <c r="H62" s="110"/>
      <c r="I62" s="483"/>
      <c r="J62" s="483"/>
      <c r="K62" s="483"/>
      <c r="L62" s="483"/>
      <c r="M62" s="483"/>
      <c r="N62" s="130"/>
      <c r="O62" s="130"/>
      <c r="S62" s="203"/>
      <c r="T62" s="203"/>
      <c r="U62" s="203"/>
      <c r="V62" s="203"/>
      <c r="W62" s="203"/>
      <c r="X62" s="203"/>
      <c r="Z62" s="483"/>
      <c r="AB62" s="483"/>
      <c r="AC62" s="483"/>
      <c r="AD62" s="483"/>
      <c r="AF62" s="483"/>
      <c r="AG62" s="483"/>
      <c r="AH62" s="483"/>
      <c r="AI62" s="483"/>
      <c r="AJ62" s="483"/>
      <c r="AK62" s="483"/>
      <c r="AL62" s="483"/>
      <c r="AM62" s="483"/>
      <c r="AN62" s="483"/>
      <c r="AO62" s="483"/>
      <c r="AP62" s="483"/>
      <c r="AQ62" s="483"/>
      <c r="AR62" s="483"/>
      <c r="AS62" s="483"/>
      <c r="AT62" s="483"/>
      <c r="AU62" s="483"/>
      <c r="AV62" s="483"/>
      <c r="AW62" s="483"/>
      <c r="AX62" s="483"/>
      <c r="AY62" s="483"/>
      <c r="AZ62" s="483"/>
    </row>
    <row r="63" spans="1:63" ht="14.5" hidden="1" thickBot="1">
      <c r="A63" s="1534"/>
      <c r="B63" s="252" t="s">
        <v>191</v>
      </c>
      <c r="C63" s="3073" t="s">
        <v>192</v>
      </c>
      <c r="D63" s="3074"/>
      <c r="E63" s="3074"/>
      <c r="F63" s="3074"/>
      <c r="G63" s="3074"/>
      <c r="H63" s="3074"/>
      <c r="I63" s="3074"/>
      <c r="J63" s="3074"/>
      <c r="K63" s="3074"/>
      <c r="L63" s="3074"/>
      <c r="M63" s="3075"/>
      <c r="N63" s="130"/>
      <c r="O63" s="130"/>
      <c r="S63" s="85" t="s">
        <v>193</v>
      </c>
      <c r="T63" s="203"/>
      <c r="U63" s="203"/>
      <c r="V63" s="203"/>
      <c r="W63" s="203"/>
      <c r="X63" s="203"/>
      <c r="Z63" s="483"/>
      <c r="AB63" s="483"/>
      <c r="AC63" s="483"/>
      <c r="AD63" s="483"/>
      <c r="AF63" s="483"/>
      <c r="AG63" s="483"/>
      <c r="AH63" s="483"/>
      <c r="AI63" s="483"/>
      <c r="AJ63" s="483"/>
      <c r="AK63" s="483"/>
      <c r="AL63" s="483"/>
      <c r="AM63" s="483"/>
      <c r="AN63" s="483"/>
      <c r="AO63" s="483"/>
      <c r="AP63" s="483"/>
      <c r="AQ63" s="483"/>
      <c r="AR63" s="483"/>
      <c r="AS63" s="483"/>
      <c r="AT63" s="483"/>
      <c r="AU63" s="483"/>
      <c r="AV63" s="483"/>
      <c r="AW63" s="483"/>
      <c r="AX63" s="483"/>
      <c r="AY63" s="483"/>
      <c r="AZ63" s="483"/>
    </row>
    <row r="64" spans="1:63" ht="14.25" hidden="1" customHeight="1">
      <c r="A64" s="1534"/>
      <c r="B64" s="781" t="str">
        <f>B7</f>
        <v>4D.1</v>
      </c>
      <c r="C64" s="3076" t="s">
        <v>1233</v>
      </c>
      <c r="D64" s="3077"/>
      <c r="E64" s="3077"/>
      <c r="F64" s="3077"/>
      <c r="G64" s="3077"/>
      <c r="H64" s="3077"/>
      <c r="I64" s="3077"/>
      <c r="J64" s="3077"/>
      <c r="K64" s="3077"/>
      <c r="L64" s="3077"/>
      <c r="M64" s="3078"/>
      <c r="N64" s="130"/>
      <c r="O64" s="130"/>
      <c r="S64" s="202">
        <v>1</v>
      </c>
      <c r="T64" s="203"/>
      <c r="U64" s="203"/>
      <c r="V64" s="203"/>
      <c r="W64" s="203"/>
      <c r="X64" s="203"/>
      <c r="Z64" s="483"/>
      <c r="AB64" s="483"/>
      <c r="AC64" s="483"/>
      <c r="AD64" s="483"/>
      <c r="AF64" s="483"/>
      <c r="AG64" s="483"/>
      <c r="AH64" s="483"/>
      <c r="AI64" s="483"/>
      <c r="AJ64" s="483"/>
      <c r="AK64" s="483"/>
      <c r="AL64" s="483"/>
      <c r="AM64" s="483"/>
      <c r="AN64" s="483"/>
      <c r="AO64" s="483"/>
      <c r="AP64" s="483"/>
      <c r="AQ64" s="483"/>
      <c r="AR64" s="483"/>
      <c r="AS64" s="483"/>
      <c r="AT64" s="483"/>
      <c r="AU64" s="483"/>
      <c r="AV64" s="483"/>
      <c r="AW64" s="483"/>
      <c r="AX64" s="483"/>
      <c r="AY64" s="483"/>
      <c r="AZ64" s="483"/>
    </row>
    <row r="65" spans="1:52" ht="35.25" hidden="1" customHeight="1">
      <c r="A65" s="1534"/>
      <c r="B65" s="782" t="str">
        <f>B8</f>
        <v>4D.2</v>
      </c>
      <c r="C65" s="3070" t="s">
        <v>2856</v>
      </c>
      <c r="D65" s="3071"/>
      <c r="E65" s="3071"/>
      <c r="F65" s="3071"/>
      <c r="G65" s="3071"/>
      <c r="H65" s="3071"/>
      <c r="I65" s="3071"/>
      <c r="J65" s="3071"/>
      <c r="K65" s="3071"/>
      <c r="L65" s="3071"/>
      <c r="M65" s="3072"/>
      <c r="N65" s="130"/>
      <c r="O65" s="130"/>
      <c r="S65" s="202" t="s">
        <v>778</v>
      </c>
      <c r="T65" s="203"/>
      <c r="U65" s="203"/>
      <c r="V65" s="203"/>
      <c r="W65" s="203"/>
      <c r="X65" s="203"/>
      <c r="Z65" s="483"/>
      <c r="AB65" s="483"/>
      <c r="AC65" s="483"/>
      <c r="AD65" s="483"/>
      <c r="AF65" s="483"/>
      <c r="AG65" s="483"/>
      <c r="AH65" s="483"/>
      <c r="AI65" s="483"/>
      <c r="AJ65" s="483"/>
      <c r="AK65" s="483"/>
      <c r="AL65" s="483"/>
      <c r="AM65" s="483"/>
      <c r="AN65" s="483"/>
      <c r="AO65" s="483"/>
      <c r="AP65" s="483"/>
      <c r="AQ65" s="483"/>
      <c r="AR65" s="483"/>
      <c r="AS65" s="483"/>
      <c r="AT65" s="483"/>
      <c r="AU65" s="483"/>
      <c r="AV65" s="483"/>
      <c r="AW65" s="483"/>
      <c r="AX65" s="483"/>
      <c r="AY65" s="483"/>
      <c r="AZ65" s="483"/>
    </row>
    <row r="66" spans="1:52" ht="14.25" hidden="1" customHeight="1">
      <c r="A66" s="1534"/>
      <c r="B66" s="782" t="str">
        <f>B9</f>
        <v>4D.3</v>
      </c>
      <c r="C66" s="3070" t="s">
        <v>2857</v>
      </c>
      <c r="D66" s="3071"/>
      <c r="E66" s="3071"/>
      <c r="F66" s="3071"/>
      <c r="G66" s="3071"/>
      <c r="H66" s="3071"/>
      <c r="I66" s="3071"/>
      <c r="J66" s="3071"/>
      <c r="K66" s="3071"/>
      <c r="L66" s="3071"/>
      <c r="M66" s="3072"/>
      <c r="N66" s="130"/>
      <c r="O66" s="130"/>
      <c r="S66" s="202">
        <v>1</v>
      </c>
      <c r="T66" s="203"/>
      <c r="U66" s="203"/>
      <c r="V66" s="203"/>
      <c r="W66" s="203"/>
      <c r="X66" s="203"/>
      <c r="Z66" s="483"/>
      <c r="AB66" s="483"/>
      <c r="AC66" s="483"/>
      <c r="AD66" s="483"/>
      <c r="AF66" s="483"/>
      <c r="AG66" s="483"/>
      <c r="AH66" s="483"/>
      <c r="AI66" s="483"/>
      <c r="AJ66" s="483"/>
      <c r="AK66" s="483"/>
      <c r="AL66" s="483"/>
      <c r="AM66" s="483"/>
      <c r="AN66" s="483"/>
      <c r="AO66" s="483"/>
      <c r="AP66" s="483"/>
      <c r="AQ66" s="483"/>
      <c r="AR66" s="483"/>
      <c r="AS66" s="483"/>
      <c r="AT66" s="483"/>
      <c r="AU66" s="483"/>
      <c r="AV66" s="483"/>
      <c r="AW66" s="483"/>
      <c r="AX66" s="483"/>
      <c r="AY66" s="483"/>
      <c r="AZ66" s="483"/>
    </row>
    <row r="67" spans="1:52" ht="13.5" hidden="1" customHeight="1">
      <c r="A67" s="1534"/>
      <c r="B67" s="782" t="str">
        <f>B10</f>
        <v>4D.4</v>
      </c>
      <c r="C67" s="3070" t="s">
        <v>2858</v>
      </c>
      <c r="D67" s="3071"/>
      <c r="E67" s="3071"/>
      <c r="F67" s="3071"/>
      <c r="G67" s="3071"/>
      <c r="H67" s="3071"/>
      <c r="I67" s="3071"/>
      <c r="J67" s="3071"/>
      <c r="K67" s="3071"/>
      <c r="L67" s="3071"/>
      <c r="M67" s="3072"/>
      <c r="N67" s="130"/>
      <c r="O67" s="130"/>
      <c r="S67" s="202">
        <v>1</v>
      </c>
      <c r="T67" s="203"/>
      <c r="U67" s="203"/>
      <c r="V67" s="203"/>
      <c r="W67" s="203"/>
      <c r="X67" s="203"/>
      <c r="Z67" s="483"/>
      <c r="AB67" s="483"/>
      <c r="AC67" s="483"/>
      <c r="AD67" s="483"/>
      <c r="AF67" s="483"/>
      <c r="AG67" s="483"/>
      <c r="AH67" s="483"/>
      <c r="AI67" s="483"/>
      <c r="AJ67" s="483"/>
      <c r="AK67" s="483"/>
      <c r="AL67" s="483"/>
      <c r="AM67" s="483"/>
      <c r="AN67" s="483"/>
      <c r="AO67" s="483"/>
      <c r="AP67" s="483"/>
      <c r="AQ67" s="483"/>
      <c r="AR67" s="483"/>
      <c r="AS67" s="483"/>
      <c r="AT67" s="483"/>
      <c r="AU67" s="483"/>
      <c r="AV67" s="483"/>
      <c r="AW67" s="483"/>
      <c r="AX67" s="483"/>
      <c r="AY67" s="483"/>
      <c r="AZ67" s="483"/>
    </row>
    <row r="68" spans="1:52" ht="13.5" hidden="1" customHeight="1">
      <c r="A68" s="1534"/>
      <c r="B68" s="782" t="str">
        <f t="shared" ref="B68:B72" si="30">B11</f>
        <v>4D.5</v>
      </c>
      <c r="C68" s="3070" t="s">
        <v>2859</v>
      </c>
      <c r="D68" s="3071"/>
      <c r="E68" s="3071"/>
      <c r="F68" s="3071"/>
      <c r="G68" s="3071"/>
      <c r="H68" s="3071"/>
      <c r="I68" s="3071"/>
      <c r="J68" s="3071"/>
      <c r="K68" s="3071"/>
      <c r="L68" s="3071"/>
      <c r="M68" s="3072"/>
      <c r="N68" s="130"/>
      <c r="O68" s="130"/>
      <c r="S68" s="202">
        <v>1</v>
      </c>
      <c r="T68" s="110"/>
      <c r="U68" s="110"/>
      <c r="V68" s="110"/>
      <c r="W68" s="110"/>
      <c r="X68" s="110"/>
      <c r="Z68" s="483"/>
      <c r="AB68" s="483"/>
      <c r="AC68" s="483"/>
      <c r="AD68" s="483"/>
      <c r="AF68" s="483"/>
      <c r="AG68" s="483"/>
      <c r="AH68" s="483"/>
      <c r="AI68" s="483"/>
      <c r="AJ68" s="483"/>
      <c r="AK68" s="483"/>
      <c r="AL68" s="483"/>
      <c r="AM68" s="483"/>
      <c r="AN68" s="483"/>
      <c r="AO68" s="483"/>
      <c r="AP68" s="483"/>
      <c r="AQ68" s="483"/>
      <c r="AR68" s="483"/>
      <c r="AS68" s="483"/>
      <c r="AT68" s="483"/>
      <c r="AU68" s="483"/>
      <c r="AV68" s="483"/>
      <c r="AW68" s="483"/>
      <c r="AX68" s="483"/>
      <c r="AY68" s="483"/>
      <c r="AZ68" s="483"/>
    </row>
    <row r="69" spans="1:52" s="483" customFormat="1" ht="14.25" hidden="1" customHeight="1">
      <c r="A69" s="1534"/>
      <c r="B69" s="782" t="str">
        <f t="shared" si="30"/>
        <v>4D.6</v>
      </c>
      <c r="C69" s="3070" t="s">
        <v>1238</v>
      </c>
      <c r="D69" s="3071"/>
      <c r="E69" s="3071"/>
      <c r="F69" s="3071"/>
      <c r="G69" s="3071"/>
      <c r="H69" s="3071"/>
      <c r="I69" s="3071"/>
      <c r="J69" s="3071"/>
      <c r="K69" s="3071"/>
      <c r="L69" s="3071"/>
      <c r="M69" s="3072"/>
      <c r="N69" s="130"/>
      <c r="O69" s="130"/>
      <c r="P69" s="70"/>
      <c r="Q69" s="70"/>
      <c r="R69" s="71"/>
      <c r="S69" s="202">
        <v>1</v>
      </c>
      <c r="T69" s="110"/>
      <c r="U69" s="110"/>
      <c r="V69" s="110"/>
      <c r="W69" s="110"/>
      <c r="X69" s="110"/>
      <c r="Y69" s="71"/>
      <c r="AA69" s="71"/>
      <c r="AE69" s="71"/>
    </row>
    <row r="70" spans="1:52" hidden="1">
      <c r="A70" s="1534"/>
      <c r="B70" s="782" t="str">
        <f t="shared" si="30"/>
        <v>4D.7</v>
      </c>
      <c r="C70" s="3070" t="s">
        <v>2860</v>
      </c>
      <c r="D70" s="3071"/>
      <c r="E70" s="3071"/>
      <c r="F70" s="3071"/>
      <c r="G70" s="3071"/>
      <c r="H70" s="3071"/>
      <c r="I70" s="3071"/>
      <c r="J70" s="3071"/>
      <c r="K70" s="3071"/>
      <c r="L70" s="3071"/>
      <c r="M70" s="3072"/>
      <c r="N70" s="130"/>
      <c r="O70" s="130"/>
      <c r="S70" s="253">
        <v>1</v>
      </c>
      <c r="T70" s="110"/>
      <c r="U70" s="110"/>
      <c r="V70" s="110"/>
      <c r="W70" s="110"/>
      <c r="X70" s="110"/>
      <c r="Z70" s="483"/>
      <c r="AB70" s="483"/>
      <c r="AC70" s="483"/>
      <c r="AD70" s="483"/>
      <c r="AF70" s="483"/>
      <c r="AG70" s="483"/>
      <c r="AH70" s="483"/>
      <c r="AI70" s="483"/>
      <c r="AJ70" s="483"/>
      <c r="AK70" s="483"/>
      <c r="AL70" s="483"/>
      <c r="AM70" s="483"/>
      <c r="AN70" s="483"/>
      <c r="AO70" s="483"/>
      <c r="AP70" s="483"/>
      <c r="AQ70" s="483"/>
      <c r="AR70" s="483"/>
      <c r="AS70" s="483"/>
      <c r="AT70" s="483"/>
      <c r="AU70" s="483"/>
      <c r="AV70" s="483"/>
      <c r="AW70" s="483"/>
      <c r="AX70" s="483"/>
      <c r="AY70" s="483"/>
      <c r="AZ70" s="483"/>
    </row>
    <row r="71" spans="1:52" ht="14.25" hidden="1" customHeight="1">
      <c r="A71" s="1534"/>
      <c r="B71" s="782" t="str">
        <f t="shared" si="30"/>
        <v>4D.8</v>
      </c>
      <c r="C71" s="3070" t="s">
        <v>2861</v>
      </c>
      <c r="D71" s="3071"/>
      <c r="E71" s="3071"/>
      <c r="F71" s="3071"/>
      <c r="G71" s="3071"/>
      <c r="H71" s="3071"/>
      <c r="I71" s="3071"/>
      <c r="J71" s="3071"/>
      <c r="K71" s="3071"/>
      <c r="L71" s="3071"/>
      <c r="M71" s="3072"/>
      <c r="S71" s="253">
        <v>1</v>
      </c>
      <c r="T71" s="110"/>
      <c r="U71" s="110"/>
      <c r="V71" s="110"/>
      <c r="W71" s="110"/>
      <c r="X71" s="110"/>
      <c r="Z71" s="483"/>
      <c r="AB71" s="483"/>
      <c r="AC71" s="483"/>
      <c r="AD71" s="483"/>
      <c r="AF71" s="483"/>
      <c r="AG71" s="483"/>
      <c r="AH71" s="483"/>
      <c r="AI71" s="483"/>
      <c r="AJ71" s="483"/>
      <c r="AK71" s="483"/>
      <c r="AL71" s="483"/>
      <c r="AM71" s="483"/>
      <c r="AN71" s="483"/>
      <c r="AO71" s="483"/>
      <c r="AP71" s="483"/>
      <c r="AQ71" s="483"/>
      <c r="AR71" s="483"/>
      <c r="AS71" s="483"/>
      <c r="AT71" s="483"/>
      <c r="AU71" s="483"/>
      <c r="AV71" s="483"/>
      <c r="AW71" s="483"/>
      <c r="AX71" s="483"/>
      <c r="AY71" s="483"/>
      <c r="AZ71" s="483"/>
    </row>
    <row r="72" spans="1:52" ht="13.5" hidden="1" customHeight="1">
      <c r="A72" s="1534"/>
      <c r="B72" s="782" t="str">
        <f t="shared" si="30"/>
        <v>4D.9</v>
      </c>
      <c r="C72" s="3070" t="s">
        <v>2862</v>
      </c>
      <c r="D72" s="3071"/>
      <c r="E72" s="3071"/>
      <c r="F72" s="3071"/>
      <c r="G72" s="3071"/>
      <c r="H72" s="3071"/>
      <c r="I72" s="3071"/>
      <c r="J72" s="3071"/>
      <c r="K72" s="3071"/>
      <c r="L72" s="3071"/>
      <c r="M72" s="3072"/>
      <c r="S72" s="253">
        <v>1</v>
      </c>
      <c r="T72" s="110"/>
      <c r="U72" s="110"/>
      <c r="V72" s="110"/>
      <c r="W72" s="110"/>
      <c r="X72" s="110"/>
      <c r="Z72" s="483"/>
      <c r="AB72" s="483"/>
      <c r="AC72" s="483"/>
      <c r="AD72" s="483"/>
      <c r="AF72" s="483"/>
      <c r="AG72" s="483"/>
      <c r="AH72" s="483"/>
      <c r="AI72" s="483"/>
      <c r="AJ72" s="483"/>
      <c r="AK72" s="483"/>
      <c r="AL72" s="483"/>
      <c r="AM72" s="483"/>
      <c r="AN72" s="483"/>
      <c r="AO72" s="483"/>
      <c r="AP72" s="483"/>
      <c r="AQ72" s="483"/>
      <c r="AR72" s="483"/>
      <c r="AS72" s="483"/>
      <c r="AT72" s="483"/>
      <c r="AU72" s="483"/>
      <c r="AV72" s="483"/>
      <c r="AW72" s="483"/>
      <c r="AX72" s="483"/>
      <c r="AY72" s="483"/>
      <c r="AZ72" s="483"/>
    </row>
    <row r="73" spans="1:52" hidden="1">
      <c r="A73" s="1534"/>
      <c r="B73" s="782" t="str">
        <f>B17</f>
        <v>4D.10</v>
      </c>
      <c r="C73" s="3070" t="s">
        <v>2863</v>
      </c>
      <c r="D73" s="3071"/>
      <c r="E73" s="3071"/>
      <c r="F73" s="3071"/>
      <c r="G73" s="3071"/>
      <c r="H73" s="3071"/>
      <c r="I73" s="3071"/>
      <c r="J73" s="3071"/>
      <c r="K73" s="3071"/>
      <c r="L73" s="3071"/>
      <c r="M73" s="3072"/>
      <c r="S73" s="202">
        <v>1</v>
      </c>
      <c r="Z73" s="483"/>
      <c r="AB73" s="483"/>
      <c r="AC73" s="483"/>
      <c r="AD73" s="483"/>
      <c r="AF73" s="483"/>
      <c r="AG73" s="483"/>
      <c r="AH73" s="483"/>
      <c r="AI73" s="483"/>
      <c r="AJ73" s="483"/>
      <c r="AK73" s="483"/>
      <c r="AL73" s="483"/>
      <c r="AM73" s="483"/>
      <c r="AN73" s="483"/>
      <c r="AO73" s="483"/>
      <c r="AP73" s="483"/>
      <c r="AQ73" s="483"/>
      <c r="AR73" s="483"/>
      <c r="AS73" s="483"/>
      <c r="AT73" s="483"/>
      <c r="AU73" s="483"/>
      <c r="AV73" s="483"/>
      <c r="AW73" s="483"/>
      <c r="AX73" s="483"/>
      <c r="AY73" s="483"/>
      <c r="AZ73" s="483"/>
    </row>
    <row r="74" spans="1:52" ht="13.5" hidden="1" customHeight="1">
      <c r="A74" s="1534"/>
      <c r="B74" s="782" t="str">
        <f>B18</f>
        <v>4D.11</v>
      </c>
      <c r="C74" s="3070" t="s">
        <v>2864</v>
      </c>
      <c r="D74" s="3071"/>
      <c r="E74" s="3071"/>
      <c r="F74" s="3071"/>
      <c r="G74" s="3071"/>
      <c r="H74" s="3071"/>
      <c r="I74" s="3071"/>
      <c r="J74" s="3071"/>
      <c r="K74" s="3071"/>
      <c r="L74" s="3071"/>
      <c r="M74" s="3072"/>
      <c r="S74" s="158">
        <v>1</v>
      </c>
      <c r="Z74" s="483"/>
      <c r="AB74" s="483"/>
      <c r="AC74" s="483"/>
      <c r="AD74" s="483"/>
      <c r="AF74" s="483"/>
      <c r="AG74" s="483"/>
      <c r="AH74" s="483"/>
      <c r="AI74" s="483"/>
      <c r="AJ74" s="483"/>
      <c r="AK74" s="483"/>
      <c r="AL74" s="483"/>
      <c r="AM74" s="483"/>
      <c r="AN74" s="483"/>
      <c r="AO74" s="483"/>
      <c r="AP74" s="483"/>
      <c r="AQ74" s="483"/>
      <c r="AR74" s="483"/>
      <c r="AS74" s="483"/>
      <c r="AT74" s="483"/>
      <c r="AU74" s="483"/>
      <c r="AV74" s="483"/>
      <c r="AW74" s="483"/>
      <c r="AX74" s="483"/>
      <c r="AY74" s="483"/>
      <c r="AZ74" s="483"/>
    </row>
    <row r="75" spans="1:52" ht="23.25" hidden="1" customHeight="1">
      <c r="A75" s="1534"/>
      <c r="B75" s="782" t="str">
        <f t="shared" ref="B75:B82" si="31">B21</f>
        <v>4D.12</v>
      </c>
      <c r="C75" s="3070" t="s">
        <v>1244</v>
      </c>
      <c r="D75" s="3071"/>
      <c r="E75" s="3071"/>
      <c r="F75" s="3071"/>
      <c r="G75" s="3071"/>
      <c r="H75" s="3071"/>
      <c r="I75" s="3071"/>
      <c r="J75" s="3071"/>
      <c r="K75" s="3071"/>
      <c r="L75" s="3071"/>
      <c r="M75" s="3072"/>
      <c r="S75" s="202" t="s">
        <v>195</v>
      </c>
      <c r="Z75" s="483"/>
      <c r="AB75" s="483"/>
      <c r="AC75" s="483"/>
      <c r="AD75" s="483"/>
      <c r="AF75" s="483"/>
      <c r="AG75" s="483"/>
      <c r="AH75" s="483"/>
      <c r="AI75" s="483"/>
      <c r="AJ75" s="483"/>
      <c r="AK75" s="483"/>
      <c r="AL75" s="483"/>
      <c r="AM75" s="483"/>
      <c r="AN75" s="483"/>
      <c r="AO75" s="483"/>
      <c r="AP75" s="483"/>
      <c r="AQ75" s="483"/>
      <c r="AR75" s="483"/>
      <c r="AS75" s="483"/>
      <c r="AT75" s="483"/>
      <c r="AU75" s="483"/>
      <c r="AV75" s="483"/>
      <c r="AW75" s="483"/>
      <c r="AX75" s="483"/>
      <c r="AY75" s="483"/>
      <c r="AZ75" s="483"/>
    </row>
    <row r="76" spans="1:52" ht="23.25" hidden="1" customHeight="1">
      <c r="A76" s="1534"/>
      <c r="B76" s="782" t="str">
        <f t="shared" si="31"/>
        <v>4D.13</v>
      </c>
      <c r="C76" s="3070" t="s">
        <v>1245</v>
      </c>
      <c r="D76" s="3071"/>
      <c r="E76" s="3071"/>
      <c r="F76" s="3071"/>
      <c r="G76" s="3071"/>
      <c r="H76" s="3071"/>
      <c r="I76" s="3071"/>
      <c r="J76" s="3071"/>
      <c r="K76" s="3071"/>
      <c r="L76" s="3071"/>
      <c r="M76" s="3072"/>
      <c r="S76" s="202" t="s">
        <v>195</v>
      </c>
      <c r="Z76" s="483"/>
      <c r="AB76" s="483"/>
      <c r="AC76" s="483"/>
      <c r="AD76" s="483"/>
      <c r="AF76" s="483"/>
      <c r="AG76" s="483"/>
      <c r="AH76" s="483"/>
      <c r="AI76" s="483"/>
      <c r="AJ76" s="483"/>
      <c r="AK76" s="483"/>
      <c r="AL76" s="483"/>
      <c r="AM76" s="483"/>
      <c r="AN76" s="483"/>
      <c r="AO76" s="483"/>
      <c r="AP76" s="483"/>
      <c r="AQ76" s="483"/>
      <c r="AR76" s="483"/>
      <c r="AS76" s="483"/>
      <c r="AT76" s="483"/>
      <c r="AU76" s="483"/>
      <c r="AV76" s="483"/>
      <c r="AW76" s="483"/>
      <c r="AX76" s="483"/>
      <c r="AY76" s="483"/>
      <c r="AZ76" s="483"/>
    </row>
    <row r="77" spans="1:52" ht="14.25" hidden="1" customHeight="1">
      <c r="A77" s="1534"/>
      <c r="B77" s="782" t="str">
        <f t="shared" si="31"/>
        <v>4D.14</v>
      </c>
      <c r="C77" s="3070" t="s">
        <v>2865</v>
      </c>
      <c r="D77" s="3071"/>
      <c r="E77" s="3071"/>
      <c r="F77" s="3071"/>
      <c r="G77" s="3071"/>
      <c r="H77" s="3071"/>
      <c r="I77" s="3071"/>
      <c r="J77" s="3071"/>
      <c r="K77" s="3071"/>
      <c r="L77" s="3071"/>
      <c r="M77" s="3072"/>
      <c r="S77" s="158">
        <v>1</v>
      </c>
      <c r="Z77" s="483"/>
      <c r="AB77" s="483"/>
      <c r="AC77" s="483"/>
      <c r="AD77" s="483"/>
      <c r="AF77" s="483"/>
      <c r="AG77" s="483"/>
      <c r="AH77" s="483"/>
      <c r="AI77" s="483"/>
      <c r="AJ77" s="483"/>
      <c r="AK77" s="483"/>
      <c r="AL77" s="483"/>
      <c r="AM77" s="483"/>
      <c r="AN77" s="483"/>
      <c r="AO77" s="483"/>
      <c r="AP77" s="483"/>
      <c r="AQ77" s="483"/>
      <c r="AR77" s="483"/>
      <c r="AS77" s="483"/>
      <c r="AT77" s="483"/>
      <c r="AU77" s="483"/>
      <c r="AV77" s="483"/>
      <c r="AW77" s="483"/>
      <c r="AX77" s="483"/>
      <c r="AY77" s="483"/>
      <c r="AZ77" s="483"/>
    </row>
    <row r="78" spans="1:52" ht="14.25" hidden="1" customHeight="1">
      <c r="A78" s="1534"/>
      <c r="B78" s="782" t="str">
        <f t="shared" si="31"/>
        <v>4D.15</v>
      </c>
      <c r="C78" s="3070" t="s">
        <v>2866</v>
      </c>
      <c r="D78" s="3071"/>
      <c r="E78" s="3071"/>
      <c r="F78" s="3071"/>
      <c r="G78" s="3071"/>
      <c r="H78" s="3071"/>
      <c r="I78" s="3071"/>
      <c r="J78" s="3071"/>
      <c r="K78" s="3071"/>
      <c r="L78" s="3071"/>
      <c r="M78" s="3072"/>
      <c r="S78" s="158">
        <v>1</v>
      </c>
      <c r="Z78" s="483"/>
      <c r="AB78" s="483"/>
      <c r="AC78" s="483"/>
      <c r="AD78" s="483"/>
      <c r="AF78" s="483"/>
      <c r="AG78" s="483"/>
      <c r="AH78" s="483"/>
      <c r="AI78" s="483"/>
      <c r="AJ78" s="483"/>
      <c r="AK78" s="483"/>
      <c r="AL78" s="483"/>
      <c r="AM78" s="483"/>
      <c r="AN78" s="483"/>
      <c r="AO78" s="483"/>
      <c r="AP78" s="483"/>
      <c r="AQ78" s="483"/>
      <c r="AR78" s="483"/>
      <c r="AS78" s="483"/>
      <c r="AT78" s="483"/>
      <c r="AU78" s="483"/>
      <c r="AV78" s="483"/>
      <c r="AW78" s="483"/>
      <c r="AX78" s="483"/>
      <c r="AY78" s="483"/>
      <c r="AZ78" s="483"/>
    </row>
    <row r="79" spans="1:52" s="483" customFormat="1" ht="46.5" hidden="1" customHeight="1">
      <c r="A79" s="1534"/>
      <c r="B79" s="782" t="str">
        <f t="shared" si="31"/>
        <v>4D.16</v>
      </c>
      <c r="C79" s="3070" t="s">
        <v>2867</v>
      </c>
      <c r="D79" s="3071"/>
      <c r="E79" s="3071"/>
      <c r="F79" s="3071"/>
      <c r="G79" s="3071"/>
      <c r="H79" s="3071"/>
      <c r="I79" s="3071"/>
      <c r="J79" s="3071"/>
      <c r="K79" s="3071"/>
      <c r="L79" s="3071"/>
      <c r="M79" s="3072"/>
      <c r="N79" s="70"/>
      <c r="O79" s="70"/>
      <c r="P79" s="70"/>
      <c r="Q79" s="70"/>
      <c r="R79" s="71"/>
      <c r="S79" s="202" t="s">
        <v>2212</v>
      </c>
      <c r="T79" s="70"/>
      <c r="U79" s="70"/>
      <c r="V79" s="70"/>
      <c r="W79" s="70"/>
      <c r="X79" s="70"/>
      <c r="Y79" s="71"/>
      <c r="AA79" s="71"/>
      <c r="AE79" s="71"/>
    </row>
    <row r="80" spans="1:52" ht="13.5" hidden="1" customHeight="1">
      <c r="A80" s="1534"/>
      <c r="B80" s="782" t="str">
        <f t="shared" si="31"/>
        <v>4D.17</v>
      </c>
      <c r="C80" s="3070" t="s">
        <v>2868</v>
      </c>
      <c r="D80" s="3071"/>
      <c r="E80" s="3071"/>
      <c r="F80" s="3071"/>
      <c r="G80" s="3071"/>
      <c r="H80" s="3071"/>
      <c r="I80" s="3071"/>
      <c r="J80" s="3071"/>
      <c r="K80" s="3071"/>
      <c r="L80" s="3071"/>
      <c r="M80" s="3072"/>
      <c r="S80" s="158">
        <v>1</v>
      </c>
      <c r="Z80" s="483"/>
      <c r="AB80" s="483"/>
      <c r="AC80" s="483"/>
      <c r="AD80" s="483"/>
      <c r="AF80" s="483"/>
      <c r="AG80" s="483"/>
      <c r="AH80" s="483"/>
      <c r="AI80" s="483"/>
      <c r="AJ80" s="483"/>
      <c r="AK80" s="483"/>
      <c r="AL80" s="483"/>
      <c r="AM80" s="483"/>
      <c r="AN80" s="483"/>
      <c r="AO80" s="483"/>
      <c r="AP80" s="483"/>
      <c r="AQ80" s="483"/>
      <c r="AR80" s="483"/>
      <c r="AS80" s="483"/>
      <c r="AT80" s="483"/>
      <c r="AU80" s="483"/>
      <c r="AV80" s="483"/>
      <c r="AW80" s="483"/>
      <c r="AX80" s="483"/>
      <c r="AY80" s="483"/>
      <c r="AZ80" s="483"/>
    </row>
    <row r="81" spans="1:52" hidden="1">
      <c r="A81" s="1534"/>
      <c r="B81" s="782" t="str">
        <f t="shared" si="31"/>
        <v>4D.18</v>
      </c>
      <c r="C81" s="3070" t="s">
        <v>2869</v>
      </c>
      <c r="D81" s="3071"/>
      <c r="E81" s="3071"/>
      <c r="F81" s="3071"/>
      <c r="G81" s="3071"/>
      <c r="H81" s="3071"/>
      <c r="I81" s="3071"/>
      <c r="J81" s="3071"/>
      <c r="K81" s="3071"/>
      <c r="L81" s="3071"/>
      <c r="M81" s="3072"/>
      <c r="S81" s="158">
        <v>1</v>
      </c>
      <c r="Z81" s="483"/>
      <c r="AB81" s="483"/>
      <c r="AC81" s="483"/>
      <c r="AD81" s="483"/>
      <c r="AF81" s="483"/>
      <c r="AG81" s="483"/>
      <c r="AH81" s="483"/>
      <c r="AI81" s="483"/>
      <c r="AJ81" s="483"/>
      <c r="AK81" s="483"/>
      <c r="AL81" s="483"/>
      <c r="AM81" s="483"/>
      <c r="AN81" s="483"/>
      <c r="AO81" s="483"/>
      <c r="AP81" s="483"/>
      <c r="AQ81" s="483"/>
      <c r="AR81" s="483"/>
      <c r="AS81" s="483"/>
      <c r="AT81" s="483"/>
      <c r="AU81" s="483"/>
      <c r="AV81" s="483"/>
      <c r="AW81" s="483"/>
      <c r="AX81" s="483"/>
      <c r="AY81" s="483"/>
      <c r="AZ81" s="483"/>
    </row>
    <row r="82" spans="1:52" ht="14.25" hidden="1" customHeight="1">
      <c r="A82" s="1534"/>
      <c r="B82" s="782" t="str">
        <f t="shared" si="31"/>
        <v>4D.19</v>
      </c>
      <c r="C82" s="3070" t="s">
        <v>2870</v>
      </c>
      <c r="D82" s="3071"/>
      <c r="E82" s="3071"/>
      <c r="F82" s="3071"/>
      <c r="G82" s="3071"/>
      <c r="H82" s="3071"/>
      <c r="I82" s="3071"/>
      <c r="J82" s="3071"/>
      <c r="K82" s="3071"/>
      <c r="L82" s="3071"/>
      <c r="M82" s="3072"/>
      <c r="S82" s="158">
        <v>1</v>
      </c>
      <c r="Z82" s="483"/>
      <c r="AB82" s="483"/>
      <c r="AC82" s="483"/>
      <c r="AD82" s="483"/>
      <c r="AF82" s="483"/>
      <c r="AG82" s="483"/>
      <c r="AH82" s="483"/>
      <c r="AI82" s="483"/>
      <c r="AJ82" s="483"/>
      <c r="AK82" s="483"/>
      <c r="AL82" s="483"/>
      <c r="AM82" s="483"/>
      <c r="AN82" s="483"/>
      <c r="AO82" s="483"/>
      <c r="AP82" s="483"/>
      <c r="AQ82" s="483"/>
      <c r="AR82" s="483"/>
      <c r="AS82" s="483"/>
      <c r="AT82" s="483"/>
      <c r="AU82" s="483"/>
      <c r="AV82" s="483"/>
      <c r="AW82" s="483"/>
      <c r="AX82" s="483"/>
      <c r="AY82" s="483"/>
      <c r="AZ82" s="483"/>
    </row>
    <row r="83" spans="1:52" ht="35.25" hidden="1" customHeight="1">
      <c r="A83" s="1534"/>
      <c r="B83" s="782" t="str">
        <f>B31</f>
        <v>4D.20</v>
      </c>
      <c r="C83" s="3070" t="s">
        <v>2871</v>
      </c>
      <c r="D83" s="3071"/>
      <c r="E83" s="3071"/>
      <c r="F83" s="3071"/>
      <c r="G83" s="3071"/>
      <c r="H83" s="3071"/>
      <c r="I83" s="3071"/>
      <c r="J83" s="3071"/>
      <c r="K83" s="3071"/>
      <c r="L83" s="3071"/>
      <c r="M83" s="3072"/>
      <c r="S83" s="202" t="s">
        <v>778</v>
      </c>
      <c r="Z83" s="483"/>
      <c r="AB83" s="483"/>
      <c r="AC83" s="483"/>
      <c r="AD83" s="483"/>
      <c r="AF83" s="483"/>
      <c r="AG83" s="483"/>
      <c r="AH83" s="483"/>
      <c r="AI83" s="483"/>
      <c r="AJ83" s="483"/>
      <c r="AK83" s="483"/>
      <c r="AL83" s="483"/>
      <c r="AM83" s="483"/>
      <c r="AN83" s="483"/>
      <c r="AO83" s="483"/>
      <c r="AP83" s="483"/>
      <c r="AQ83" s="483"/>
      <c r="AR83" s="483"/>
      <c r="AS83" s="483"/>
      <c r="AT83" s="483"/>
      <c r="AU83" s="483"/>
      <c r="AV83" s="483"/>
      <c r="AW83" s="483"/>
      <c r="AX83" s="483"/>
      <c r="AY83" s="483"/>
      <c r="AZ83" s="483"/>
    </row>
    <row r="84" spans="1:52" ht="14.25" hidden="1" customHeight="1">
      <c r="A84" s="1534"/>
      <c r="B84" s="782" t="str">
        <f t="shared" ref="B84" si="32">B33</f>
        <v>4D.21</v>
      </c>
      <c r="C84" s="3070" t="s">
        <v>2872</v>
      </c>
      <c r="D84" s="3071"/>
      <c r="E84" s="3071"/>
      <c r="F84" s="3071"/>
      <c r="G84" s="3071"/>
      <c r="H84" s="3071"/>
      <c r="I84" s="3071"/>
      <c r="J84" s="3071"/>
      <c r="K84" s="3071"/>
      <c r="L84" s="3071"/>
      <c r="M84" s="3072"/>
      <c r="S84" s="158">
        <v>1</v>
      </c>
      <c r="Z84" s="483"/>
      <c r="AB84" s="483"/>
      <c r="AC84" s="483"/>
      <c r="AD84" s="483"/>
      <c r="AF84" s="483"/>
      <c r="AG84" s="483"/>
      <c r="AH84" s="483"/>
      <c r="AI84" s="483"/>
      <c r="AJ84" s="483"/>
      <c r="AK84" s="483"/>
      <c r="AL84" s="483"/>
      <c r="AM84" s="483"/>
      <c r="AN84" s="483"/>
      <c r="AO84" s="483"/>
      <c r="AP84" s="483"/>
      <c r="AQ84" s="483"/>
      <c r="AR84" s="483"/>
      <c r="AS84" s="483"/>
      <c r="AT84" s="483"/>
      <c r="AU84" s="483"/>
      <c r="AV84" s="483"/>
      <c r="AW84" s="483"/>
      <c r="AX84" s="483"/>
      <c r="AY84" s="483"/>
      <c r="AZ84" s="483"/>
    </row>
    <row r="85" spans="1:52" ht="13.5" hidden="1" customHeight="1">
      <c r="A85" s="1534"/>
      <c r="B85" s="782" t="str">
        <f>B36</f>
        <v>4D.22</v>
      </c>
      <c r="C85" s="3070" t="s">
        <v>1254</v>
      </c>
      <c r="D85" s="3071"/>
      <c r="E85" s="3071"/>
      <c r="F85" s="3071"/>
      <c r="G85" s="3071"/>
      <c r="H85" s="3071"/>
      <c r="I85" s="3071"/>
      <c r="J85" s="3071"/>
      <c r="K85" s="3071"/>
      <c r="L85" s="3071"/>
      <c r="M85" s="3072"/>
      <c r="S85" s="158">
        <v>1</v>
      </c>
      <c r="Z85" s="483"/>
      <c r="AB85" s="483"/>
      <c r="AC85" s="483"/>
      <c r="AD85" s="483"/>
      <c r="AF85" s="483"/>
      <c r="AG85" s="483"/>
      <c r="AH85" s="483"/>
      <c r="AI85" s="483"/>
      <c r="AJ85" s="483"/>
      <c r="AK85" s="483"/>
      <c r="AL85" s="483"/>
      <c r="AM85" s="483"/>
      <c r="AN85" s="483"/>
      <c r="AO85" s="483"/>
      <c r="AP85" s="483"/>
      <c r="AQ85" s="483"/>
      <c r="AR85" s="483"/>
      <c r="AS85" s="483"/>
      <c r="AT85" s="483"/>
      <c r="AU85" s="483"/>
      <c r="AV85" s="483"/>
      <c r="AW85" s="483"/>
      <c r="AX85" s="483"/>
      <c r="AY85" s="483"/>
      <c r="AZ85" s="483"/>
    </row>
    <row r="86" spans="1:52" hidden="1">
      <c r="A86" s="1534"/>
      <c r="B86" s="782" t="str">
        <f>B37</f>
        <v>4D.23</v>
      </c>
      <c r="C86" s="3070" t="s">
        <v>2873</v>
      </c>
      <c r="D86" s="3071"/>
      <c r="E86" s="3071"/>
      <c r="F86" s="3071"/>
      <c r="G86" s="3071"/>
      <c r="H86" s="3071"/>
      <c r="I86" s="3071"/>
      <c r="J86" s="3071"/>
      <c r="K86" s="3071"/>
      <c r="L86" s="3071"/>
      <c r="M86" s="3072"/>
      <c r="S86" s="158">
        <v>1</v>
      </c>
      <c r="Z86" s="483"/>
      <c r="AB86" s="483"/>
      <c r="AC86" s="483"/>
      <c r="AD86" s="483"/>
      <c r="AF86" s="483"/>
      <c r="AG86" s="483"/>
      <c r="AH86" s="483"/>
      <c r="AI86" s="483"/>
      <c r="AJ86" s="483"/>
      <c r="AK86" s="483"/>
      <c r="AL86" s="483"/>
      <c r="AM86" s="483"/>
      <c r="AN86" s="483"/>
      <c r="AO86" s="483"/>
      <c r="AP86" s="483"/>
      <c r="AQ86" s="483"/>
      <c r="AR86" s="483"/>
      <c r="AS86" s="483"/>
      <c r="AT86" s="483"/>
      <c r="AU86" s="483"/>
      <c r="AV86" s="483"/>
      <c r="AW86" s="483"/>
      <c r="AX86" s="483"/>
      <c r="AY86" s="483"/>
      <c r="AZ86" s="483"/>
    </row>
    <row r="87" spans="1:52" ht="14.25" hidden="1" customHeight="1">
      <c r="A87" s="1534"/>
      <c r="B87" s="782" t="str">
        <f>B39</f>
        <v>4D.24</v>
      </c>
      <c r="C87" s="3070" t="s">
        <v>2874</v>
      </c>
      <c r="D87" s="3071"/>
      <c r="E87" s="3071"/>
      <c r="F87" s="3071"/>
      <c r="G87" s="3071"/>
      <c r="H87" s="3071"/>
      <c r="I87" s="3071"/>
      <c r="J87" s="3071"/>
      <c r="K87" s="3071"/>
      <c r="L87" s="3071"/>
      <c r="M87" s="3072"/>
      <c r="S87" s="158">
        <v>1</v>
      </c>
      <c r="Z87" s="483"/>
      <c r="AB87" s="483"/>
      <c r="AC87" s="483"/>
      <c r="AD87" s="483"/>
      <c r="AF87" s="483"/>
      <c r="AG87" s="483"/>
      <c r="AH87" s="483"/>
      <c r="AI87" s="483"/>
      <c r="AJ87" s="483"/>
      <c r="AK87" s="483"/>
      <c r="AL87" s="483"/>
      <c r="AM87" s="483"/>
      <c r="AN87" s="483"/>
      <c r="AO87" s="483"/>
      <c r="AP87" s="483"/>
      <c r="AQ87" s="483"/>
      <c r="AR87" s="483"/>
      <c r="AS87" s="483"/>
      <c r="AT87" s="483"/>
      <c r="AU87" s="483"/>
      <c r="AV87" s="483"/>
      <c r="AW87" s="483"/>
      <c r="AX87" s="483"/>
      <c r="AY87" s="483"/>
      <c r="AZ87" s="483"/>
    </row>
    <row r="88" spans="1:52" s="483" customFormat="1" ht="14.25" hidden="1" customHeight="1">
      <c r="A88" s="1534"/>
      <c r="B88" s="782" t="s">
        <v>2818</v>
      </c>
      <c r="C88" s="3070" t="s">
        <v>2875</v>
      </c>
      <c r="D88" s="3071"/>
      <c r="E88" s="3071"/>
      <c r="F88" s="3071"/>
      <c r="G88" s="3071"/>
      <c r="H88" s="3071"/>
      <c r="I88" s="3071"/>
      <c r="J88" s="3071"/>
      <c r="K88" s="3071"/>
      <c r="L88" s="3071"/>
      <c r="M88" s="3072"/>
      <c r="N88" s="70"/>
      <c r="O88" s="70"/>
      <c r="P88" s="70"/>
      <c r="Q88" s="70"/>
      <c r="R88" s="71"/>
      <c r="S88" s="158">
        <v>1</v>
      </c>
      <c r="T88" s="70"/>
      <c r="U88" s="70"/>
      <c r="V88" s="70"/>
      <c r="W88" s="70"/>
      <c r="X88" s="70"/>
      <c r="Y88" s="71"/>
      <c r="AA88" s="71"/>
      <c r="AE88" s="71"/>
    </row>
    <row r="89" spans="1:52" s="483" customFormat="1" ht="14.25" hidden="1" customHeight="1">
      <c r="A89" s="1534"/>
      <c r="B89" s="782" t="s">
        <v>2876</v>
      </c>
      <c r="C89" s="3070" t="s">
        <v>2877</v>
      </c>
      <c r="D89" s="3071"/>
      <c r="E89" s="3071"/>
      <c r="F89" s="3071"/>
      <c r="G89" s="3071"/>
      <c r="H89" s="3071"/>
      <c r="I89" s="3071"/>
      <c r="J89" s="3071"/>
      <c r="K89" s="3071"/>
      <c r="L89" s="3071"/>
      <c r="M89" s="3072"/>
      <c r="N89" s="70"/>
      <c r="O89" s="70"/>
      <c r="P89" s="70"/>
      <c r="Q89" s="70"/>
      <c r="R89" s="71"/>
      <c r="S89" s="158">
        <v>1</v>
      </c>
      <c r="T89" s="70"/>
      <c r="U89" s="70"/>
      <c r="V89" s="70"/>
      <c r="W89" s="70"/>
      <c r="X89" s="70"/>
      <c r="Y89" s="71"/>
      <c r="AA89" s="71"/>
      <c r="AE89" s="71"/>
    </row>
    <row r="90" spans="1:52" ht="13.5" hidden="1" customHeight="1">
      <c r="A90" s="1534"/>
      <c r="B90" s="782" t="s">
        <v>2878</v>
      </c>
      <c r="C90" s="3070" t="s">
        <v>2879</v>
      </c>
      <c r="D90" s="3071"/>
      <c r="E90" s="3071"/>
      <c r="F90" s="3071"/>
      <c r="G90" s="3071"/>
      <c r="H90" s="3071"/>
      <c r="I90" s="3071"/>
      <c r="J90" s="3071"/>
      <c r="K90" s="3071"/>
      <c r="L90" s="3071"/>
      <c r="M90" s="3072"/>
      <c r="S90" s="158">
        <v>1</v>
      </c>
      <c r="Z90" s="483"/>
      <c r="AB90" s="483"/>
      <c r="AC90" s="483"/>
      <c r="AD90" s="483"/>
      <c r="AF90" s="483"/>
      <c r="AG90" s="483"/>
      <c r="AH90" s="483"/>
      <c r="AI90" s="483"/>
      <c r="AJ90" s="483"/>
      <c r="AK90" s="483"/>
      <c r="AL90" s="483"/>
      <c r="AM90" s="483"/>
      <c r="AN90" s="483"/>
      <c r="AO90" s="483"/>
      <c r="AP90" s="483"/>
      <c r="AQ90" s="483"/>
      <c r="AR90" s="483"/>
      <c r="AS90" s="483"/>
      <c r="AT90" s="483"/>
      <c r="AU90" s="483"/>
      <c r="AV90" s="483"/>
      <c r="AW90" s="483"/>
      <c r="AX90" s="483"/>
      <c r="AY90" s="483"/>
      <c r="AZ90" s="483"/>
    </row>
    <row r="91" spans="1:52" ht="14.25" hidden="1" customHeight="1" thickBot="1">
      <c r="A91" s="1534"/>
      <c r="B91" s="783" t="s">
        <v>2880</v>
      </c>
      <c r="C91" s="3079" t="s">
        <v>2881</v>
      </c>
      <c r="D91" s="3080"/>
      <c r="E91" s="3080"/>
      <c r="F91" s="3080"/>
      <c r="G91" s="3080"/>
      <c r="H91" s="3080"/>
      <c r="I91" s="3080"/>
      <c r="J91" s="3080"/>
      <c r="K91" s="3080"/>
      <c r="L91" s="3080"/>
      <c r="M91" s="3081"/>
      <c r="S91" s="158"/>
      <c r="Z91" s="483"/>
      <c r="AB91" s="483"/>
      <c r="AC91" s="483"/>
      <c r="AD91" s="483"/>
      <c r="AF91" s="483"/>
      <c r="AG91" s="483"/>
      <c r="AH91" s="483"/>
      <c r="AI91" s="483"/>
      <c r="AJ91" s="483"/>
      <c r="AK91" s="483"/>
      <c r="AL91" s="483"/>
      <c r="AM91" s="483"/>
      <c r="AN91" s="483"/>
      <c r="AO91" s="483"/>
      <c r="AP91" s="483"/>
      <c r="AQ91" s="483"/>
      <c r="AR91" s="483"/>
      <c r="AS91" s="483"/>
      <c r="AT91" s="483"/>
      <c r="AU91" s="483"/>
      <c r="AV91" s="483"/>
      <c r="AW91" s="483"/>
      <c r="AX91" s="483"/>
      <c r="AY91" s="483"/>
      <c r="AZ91" s="483"/>
    </row>
    <row r="92" spans="1:52" hidden="1">
      <c r="A92" s="1534"/>
      <c r="B92" s="483"/>
      <c r="C92" s="483"/>
      <c r="E92" s="483"/>
      <c r="F92" s="483"/>
      <c r="G92" s="483"/>
      <c r="H92" s="483"/>
      <c r="I92" s="483"/>
      <c r="J92" s="483"/>
      <c r="K92" s="483"/>
      <c r="L92" s="483"/>
      <c r="M92" s="483"/>
      <c r="S92" s="254"/>
      <c r="Z92" s="483"/>
      <c r="AB92" s="483"/>
      <c r="AC92" s="483"/>
      <c r="AD92" s="483"/>
      <c r="AF92" s="483"/>
      <c r="AG92" s="483"/>
      <c r="AH92" s="483"/>
      <c r="AI92" s="483"/>
      <c r="AJ92" s="483"/>
      <c r="AK92" s="483"/>
      <c r="AL92" s="483"/>
      <c r="AM92" s="483"/>
      <c r="AN92" s="483"/>
      <c r="AO92" s="483"/>
      <c r="AP92" s="483"/>
      <c r="AQ92" s="483"/>
      <c r="AR92" s="483"/>
      <c r="AS92" s="483"/>
      <c r="AT92" s="483"/>
      <c r="AU92" s="483"/>
      <c r="AV92" s="483"/>
      <c r="AW92" s="483"/>
      <c r="AX92" s="483"/>
      <c r="AY92" s="483"/>
      <c r="AZ92" s="483"/>
    </row>
  </sheetData>
  <sheetProtection algorithmName="SHA-512" hashValue="bCaVNg9bfu6pSzX3EUeqhRVb738gKxfbqrZvjZlCTo71fP38j1ns8BIJpjxC4+63tyFL1fhs0oNSkivuOrZZrg==" saltValue="4ZzOMNSX+NoEWm0qWmRobQ==" spinCount="100000" sheet="1" objects="1" scenarios="1"/>
  <mergeCells count="46">
    <mergeCell ref="C91:M91"/>
    <mergeCell ref="C77:M77"/>
    <mergeCell ref="C78:M78"/>
    <mergeCell ref="C80:M80"/>
    <mergeCell ref="C81:M81"/>
    <mergeCell ref="C82:M82"/>
    <mergeCell ref="C83:M83"/>
    <mergeCell ref="C84:M84"/>
    <mergeCell ref="C85:M85"/>
    <mergeCell ref="C86:M86"/>
    <mergeCell ref="C87:M87"/>
    <mergeCell ref="C88:M88"/>
    <mergeCell ref="C89:M89"/>
    <mergeCell ref="C90:M90"/>
    <mergeCell ref="C79:M79"/>
    <mergeCell ref="C76:M76"/>
    <mergeCell ref="C63:M63"/>
    <mergeCell ref="C64:M64"/>
    <mergeCell ref="C65:M65"/>
    <mergeCell ref="C66:M66"/>
    <mergeCell ref="C67:M67"/>
    <mergeCell ref="C68:M68"/>
    <mergeCell ref="C71:M71"/>
    <mergeCell ref="C72:M72"/>
    <mergeCell ref="C73:M73"/>
    <mergeCell ref="C74:M74"/>
    <mergeCell ref="C75:M75"/>
    <mergeCell ref="C69:M69"/>
    <mergeCell ref="C70:M70"/>
    <mergeCell ref="M3:M4"/>
    <mergeCell ref="P3:P4"/>
    <mergeCell ref="S5:X5"/>
    <mergeCell ref="I3:L3"/>
    <mergeCell ref="B52:C52"/>
    <mergeCell ref="B3:C4"/>
    <mergeCell ref="E3:E4"/>
    <mergeCell ref="F3:F4"/>
    <mergeCell ref="G3:H3"/>
    <mergeCell ref="O3:O4"/>
    <mergeCell ref="S4:X4"/>
    <mergeCell ref="BL3:BL4"/>
    <mergeCell ref="BA3:BB4"/>
    <mergeCell ref="BD3:BD4"/>
    <mergeCell ref="BE3:BE4"/>
    <mergeCell ref="BF3:BG3"/>
    <mergeCell ref="BH3:BK3"/>
  </mergeCells>
  <conditionalFormatting sqref="P6:P14">
    <cfRule type="cellIs" dxfId="302" priority="12" operator="equal">
      <formula>0</formula>
    </cfRule>
  </conditionalFormatting>
  <conditionalFormatting sqref="P17">
    <cfRule type="cellIs" dxfId="301" priority="11" operator="equal">
      <formula>0</formula>
    </cfRule>
  </conditionalFormatting>
  <conditionalFormatting sqref="P21:P25">
    <cfRule type="cellIs" dxfId="300" priority="10" operator="equal">
      <formula>0</formula>
    </cfRule>
  </conditionalFormatting>
  <conditionalFormatting sqref="P27">
    <cfRule type="cellIs" dxfId="299" priority="9" operator="equal">
      <formula>0</formula>
    </cfRule>
  </conditionalFormatting>
  <conditionalFormatting sqref="P31">
    <cfRule type="cellIs" dxfId="298" priority="8" operator="equal">
      <formula>0</formula>
    </cfRule>
  </conditionalFormatting>
  <conditionalFormatting sqref="P36:P37">
    <cfRule type="cellIs" dxfId="297" priority="7" operator="equal">
      <formula>0</formula>
    </cfRule>
  </conditionalFormatting>
  <conditionalFormatting sqref="P42:P47">
    <cfRule type="cellIs" dxfId="296" priority="6" operator="equal">
      <formula>0</formula>
    </cfRule>
  </conditionalFormatting>
  <conditionalFormatting sqref="P49">
    <cfRule type="cellIs" dxfId="295" priority="4" operator="equal">
      <formula>0</formula>
    </cfRule>
  </conditionalFormatting>
  <conditionalFormatting sqref="O31">
    <cfRule type="cellIs" dxfId="29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tabColor theme="0" tint="-0.499984740745262"/>
    <pageSetUpPr fitToPage="1"/>
  </sheetPr>
  <dimension ref="A1:BO96"/>
  <sheetViews>
    <sheetView workbookViewId="0"/>
  </sheetViews>
  <sheetFormatPr defaultColWidth="0" defaultRowHeight="14" zeroHeight="1"/>
  <cols>
    <col min="1" max="1" width="0.58203125" style="8" customWidth="1"/>
    <col min="2" max="2" width="7.08203125" style="8" customWidth="1"/>
    <col min="3" max="3" width="59.58203125" style="8" customWidth="1"/>
    <col min="4" max="4" width="1.08203125" style="483" hidden="1" customWidth="1"/>
    <col min="5" max="6" width="5.08203125" style="8" customWidth="1"/>
    <col min="7" max="15" width="12.58203125" style="8" customWidth="1"/>
    <col min="16" max="16" width="2.58203125" style="70" customWidth="1"/>
    <col min="17" max="17" width="29.58203125" style="70" customWidth="1"/>
    <col min="18" max="18" width="26.75" style="70" customWidth="1"/>
    <col min="19" max="19" width="1.58203125" style="70" customWidth="1"/>
    <col min="20" max="20" width="1.58203125" style="71" hidden="1" customWidth="1"/>
    <col min="21" max="28" width="4.58203125" style="70" hidden="1" customWidth="1"/>
    <col min="29" max="29" width="1.58203125" style="71" hidden="1" customWidth="1"/>
    <col min="30" max="30" width="10.08203125" style="483" hidden="1" customWidth="1"/>
    <col min="31" max="31" width="1.58203125" style="71" hidden="1" customWidth="1"/>
    <col min="32" max="33" width="6.25" style="483" hidden="1" customWidth="1"/>
    <col min="34" max="34" width="64.08203125" style="483" hidden="1" customWidth="1"/>
    <col min="35" max="35" width="1.58203125" style="71" hidden="1" customWidth="1"/>
    <col min="36" max="51" width="8.58203125" style="8" hidden="1" customWidth="1"/>
    <col min="52" max="52" width="8.58203125" style="8" customWidth="1"/>
    <col min="53" max="53" width="7.08203125" style="483" customWidth="1"/>
    <col min="54" max="54" width="59.58203125" style="483" customWidth="1"/>
    <col min="55" max="55" width="1.08203125" style="483" hidden="1" customWidth="1"/>
    <col min="56" max="57" width="5.08203125" style="483" customWidth="1"/>
    <col min="58" max="66" width="12.58203125" style="483" customWidth="1"/>
    <col min="67" max="67" width="2.75" style="8" customWidth="1"/>
    <col min="68" max="16384" width="8.58203125" style="8" hidden="1"/>
  </cols>
  <sheetData>
    <row r="1" spans="2:66" ht="20">
      <c r="B1" s="66" t="s">
        <v>2882</v>
      </c>
      <c r="C1" s="66"/>
      <c r="D1" s="66"/>
      <c r="E1" s="66"/>
      <c r="F1" s="66"/>
      <c r="G1" s="66"/>
      <c r="H1" s="66"/>
      <c r="I1" s="66"/>
      <c r="J1" s="66"/>
      <c r="K1" s="66"/>
      <c r="L1" s="66"/>
      <c r="M1" s="66"/>
      <c r="N1" s="66"/>
      <c r="O1" s="68" t="str">
        <f>Validation!B3</f>
        <v>Bristol Water</v>
      </c>
      <c r="P1" s="66"/>
      <c r="Q1" s="66"/>
      <c r="R1" s="69" t="s">
        <v>32</v>
      </c>
      <c r="AJ1" s="483"/>
      <c r="AK1" s="483"/>
      <c r="AL1" s="483"/>
      <c r="AM1" s="483"/>
      <c r="AN1" s="483"/>
      <c r="AO1" s="483"/>
      <c r="AP1" s="483"/>
      <c r="AQ1" s="483"/>
      <c r="AR1" s="483"/>
      <c r="AS1" s="483"/>
      <c r="AT1" s="483"/>
      <c r="AU1" s="483"/>
      <c r="AV1" s="483"/>
      <c r="AW1" s="483"/>
      <c r="AX1" s="483"/>
      <c r="AY1" s="483"/>
      <c r="AZ1" s="483"/>
      <c r="BA1" s="66" t="s">
        <v>33</v>
      </c>
      <c r="BB1" s="66"/>
      <c r="BC1" s="66"/>
      <c r="BD1" s="66"/>
      <c r="BE1" s="66"/>
      <c r="BF1" s="66"/>
      <c r="BG1" s="66"/>
      <c r="BH1" s="66"/>
      <c r="BI1" s="66"/>
      <c r="BJ1" s="66"/>
      <c r="BK1" s="66"/>
      <c r="BL1" s="66"/>
      <c r="BM1" s="66"/>
      <c r="BN1" s="68"/>
    </row>
    <row r="2" spans="2:66" ht="14.5" thickBot="1">
      <c r="B2" s="73" t="str">
        <f>'4D'!B2</f>
        <v>For the 12 months ended 31 March 2020</v>
      </c>
      <c r="C2" s="70"/>
      <c r="D2" s="70"/>
      <c r="E2" s="70"/>
      <c r="F2" s="70"/>
      <c r="G2" s="70"/>
      <c r="H2" s="70"/>
      <c r="I2" s="70"/>
      <c r="J2" s="70"/>
      <c r="K2" s="70"/>
      <c r="L2" s="70"/>
      <c r="M2" s="70"/>
      <c r="N2" s="70"/>
      <c r="O2" s="70"/>
      <c r="AJ2" s="483"/>
      <c r="AK2" s="483"/>
      <c r="AL2" s="483"/>
      <c r="AM2" s="483"/>
      <c r="AN2" s="483"/>
      <c r="AO2" s="483"/>
      <c r="AP2" s="483"/>
      <c r="AQ2" s="483"/>
      <c r="AR2" s="483"/>
      <c r="AS2" s="483"/>
      <c r="AT2" s="483"/>
      <c r="AU2" s="483"/>
      <c r="AV2" s="483"/>
      <c r="AW2" s="483"/>
      <c r="AX2" s="483"/>
      <c r="AY2" s="483"/>
      <c r="AZ2" s="483"/>
      <c r="BA2" s="73" t="str">
        <f>+B2</f>
        <v>For the 12 months ended 31 March 2020</v>
      </c>
      <c r="BB2" s="70"/>
      <c r="BC2" s="70"/>
      <c r="BD2" s="70"/>
      <c r="BE2" s="70"/>
      <c r="BF2" s="70"/>
      <c r="BG2" s="70"/>
      <c r="BH2" s="70"/>
      <c r="BI2" s="70"/>
      <c r="BJ2" s="70"/>
      <c r="BK2" s="70"/>
      <c r="BL2" s="70"/>
      <c r="BM2" s="70"/>
      <c r="BN2" s="70"/>
    </row>
    <row r="3" spans="2:66" ht="15" customHeight="1">
      <c r="B3" s="2894" t="s">
        <v>34</v>
      </c>
      <c r="C3" s="2895"/>
      <c r="D3" s="2820" t="s">
        <v>2462</v>
      </c>
      <c r="E3" s="2898" t="s">
        <v>36</v>
      </c>
      <c r="F3" s="2900" t="s">
        <v>37</v>
      </c>
      <c r="G3" s="3061" t="s">
        <v>2883</v>
      </c>
      <c r="H3" s="3062"/>
      <c r="I3" s="3083"/>
      <c r="J3" s="3082" t="s">
        <v>2884</v>
      </c>
      <c r="K3" s="3083"/>
      <c r="L3" s="3082" t="s">
        <v>909</v>
      </c>
      <c r="M3" s="3062"/>
      <c r="N3" s="3083"/>
      <c r="O3" s="3059" t="s">
        <v>708</v>
      </c>
      <c r="Q3" s="2907" t="s">
        <v>703</v>
      </c>
      <c r="R3" s="2907" t="s">
        <v>41</v>
      </c>
      <c r="AJ3" s="483"/>
      <c r="AK3" s="483"/>
      <c r="AL3" s="483"/>
      <c r="AM3" s="483"/>
      <c r="AN3" s="483"/>
      <c r="AO3" s="483"/>
      <c r="AP3" s="483"/>
      <c r="AQ3" s="483"/>
      <c r="AR3" s="483"/>
      <c r="AS3" s="483"/>
      <c r="AT3" s="483"/>
      <c r="AU3" s="483"/>
      <c r="AV3" s="483"/>
      <c r="AW3" s="483"/>
      <c r="AX3" s="483"/>
      <c r="AY3" s="483"/>
      <c r="AZ3" s="483"/>
      <c r="BA3" s="2894" t="s">
        <v>34</v>
      </c>
      <c r="BB3" s="2895"/>
      <c r="BC3" s="2820" t="s">
        <v>2462</v>
      </c>
      <c r="BD3" s="2898" t="s">
        <v>36</v>
      </c>
      <c r="BE3" s="2900" t="s">
        <v>37</v>
      </c>
      <c r="BF3" s="3061" t="s">
        <v>2883</v>
      </c>
      <c r="BG3" s="3062"/>
      <c r="BH3" s="3083"/>
      <c r="BI3" s="3082" t="s">
        <v>2884</v>
      </c>
      <c r="BJ3" s="3083"/>
      <c r="BK3" s="3082" t="s">
        <v>909</v>
      </c>
      <c r="BL3" s="3062"/>
      <c r="BM3" s="3083"/>
      <c r="BN3" s="3059" t="s">
        <v>708</v>
      </c>
    </row>
    <row r="4" spans="2:66" ht="41.25" customHeight="1" thickBot="1">
      <c r="B4" s="2896"/>
      <c r="C4" s="2897"/>
      <c r="D4" s="2821"/>
      <c r="E4" s="2899"/>
      <c r="F4" s="2901"/>
      <c r="G4" s="211" t="s">
        <v>2885</v>
      </c>
      <c r="H4" s="212" t="s">
        <v>2886</v>
      </c>
      <c r="I4" s="213" t="s">
        <v>2887</v>
      </c>
      <c r="J4" s="214" t="s">
        <v>2888</v>
      </c>
      <c r="K4" s="213" t="s">
        <v>2889</v>
      </c>
      <c r="L4" s="214" t="s">
        <v>2890</v>
      </c>
      <c r="M4" s="212" t="s">
        <v>2891</v>
      </c>
      <c r="N4" s="213" t="s">
        <v>2892</v>
      </c>
      <c r="O4" s="3060"/>
      <c r="Q4" s="2908"/>
      <c r="R4" s="2908"/>
      <c r="U4" s="2909" t="s">
        <v>45</v>
      </c>
      <c r="V4" s="2909"/>
      <c r="W4" s="2909"/>
      <c r="X4" s="2909"/>
      <c r="Y4" s="2909"/>
      <c r="Z4" s="2909"/>
      <c r="AA4" s="2909"/>
      <c r="AB4" s="2909"/>
      <c r="AD4" s="2822" t="s">
        <v>24</v>
      </c>
      <c r="AF4" s="76" t="s">
        <v>902</v>
      </c>
      <c r="AG4" s="1526"/>
      <c r="AH4" s="1526"/>
      <c r="AJ4" s="483"/>
      <c r="AK4" s="483"/>
      <c r="AL4" s="483"/>
      <c r="AM4" s="483"/>
      <c r="AN4" s="483"/>
      <c r="AO4" s="483"/>
      <c r="AP4" s="483"/>
      <c r="AQ4" s="483"/>
      <c r="AR4" s="483"/>
      <c r="AS4" s="483"/>
      <c r="AT4" s="483"/>
      <c r="AU4" s="483"/>
      <c r="AV4" s="483"/>
      <c r="AW4" s="483"/>
      <c r="AX4" s="483"/>
      <c r="AY4" s="483"/>
      <c r="AZ4" s="483"/>
      <c r="BA4" s="2896"/>
      <c r="BB4" s="2897"/>
      <c r="BC4" s="2821"/>
      <c r="BD4" s="2899"/>
      <c r="BE4" s="2901"/>
      <c r="BF4" s="211" t="s">
        <v>2885</v>
      </c>
      <c r="BG4" s="212" t="s">
        <v>2886</v>
      </c>
      <c r="BH4" s="213" t="s">
        <v>2887</v>
      </c>
      <c r="BI4" s="214" t="s">
        <v>2888</v>
      </c>
      <c r="BJ4" s="213" t="s">
        <v>2889</v>
      </c>
      <c r="BK4" s="214" t="s">
        <v>2890</v>
      </c>
      <c r="BL4" s="212" t="s">
        <v>2891</v>
      </c>
      <c r="BM4" s="213" t="s">
        <v>2892</v>
      </c>
      <c r="BN4" s="3060"/>
    </row>
    <row r="5" spans="2:66" ht="15" customHeight="1" thickBot="1">
      <c r="B5" s="70"/>
      <c r="C5" s="70"/>
      <c r="D5" s="70"/>
      <c r="E5" s="70"/>
      <c r="F5" s="70"/>
      <c r="G5" s="70"/>
      <c r="H5" s="70"/>
      <c r="I5" s="70"/>
      <c r="J5" s="70"/>
      <c r="K5" s="70"/>
      <c r="L5" s="70"/>
      <c r="M5" s="70"/>
      <c r="N5" s="70"/>
      <c r="O5" s="70"/>
      <c r="U5" s="3067"/>
      <c r="V5" s="3067"/>
      <c r="W5" s="3067"/>
      <c r="X5" s="3067"/>
      <c r="Y5" s="3067"/>
      <c r="Z5" s="3067"/>
      <c r="AA5" s="3067"/>
      <c r="AB5" s="3067"/>
      <c r="AD5" s="2855"/>
      <c r="AF5" s="2855"/>
      <c r="AG5" s="82"/>
      <c r="AH5" s="82"/>
      <c r="AJ5" s="483"/>
      <c r="AK5" s="483"/>
      <c r="AL5" s="483"/>
      <c r="AM5" s="483"/>
      <c r="AN5" s="483"/>
      <c r="AO5" s="483"/>
      <c r="AP5" s="483"/>
      <c r="AQ5" s="483"/>
      <c r="AR5" s="483"/>
      <c r="AS5" s="483"/>
      <c r="AT5" s="483"/>
      <c r="AU5" s="483"/>
      <c r="AV5" s="483"/>
      <c r="AW5" s="483"/>
      <c r="AX5" s="483"/>
      <c r="AY5" s="483"/>
      <c r="AZ5" s="483"/>
      <c r="BA5" s="70"/>
      <c r="BB5" s="70"/>
      <c r="BC5" s="70"/>
      <c r="BD5" s="70"/>
      <c r="BE5" s="70"/>
      <c r="BF5" s="70"/>
      <c r="BG5" s="70"/>
      <c r="BH5" s="70"/>
      <c r="BI5" s="70"/>
      <c r="BJ5" s="70"/>
      <c r="BK5" s="70"/>
      <c r="BL5" s="70"/>
      <c r="BM5" s="70"/>
      <c r="BN5" s="70"/>
    </row>
    <row r="6" spans="2:66" s="70" customFormat="1" ht="14.5" thickBot="1">
      <c r="B6" s="113" t="s">
        <v>153</v>
      </c>
      <c r="C6" s="114" t="s">
        <v>939</v>
      </c>
      <c r="D6" s="1473"/>
      <c r="R6" s="24">
        <f xml:space="preserve"> IF( SUM( T6:AC6 ) = 0, 0, $O$9 )</f>
        <v>0</v>
      </c>
      <c r="T6" s="71"/>
      <c r="U6" s="164" t="s">
        <v>46</v>
      </c>
      <c r="V6" s="164"/>
      <c r="W6" s="164"/>
      <c r="X6" s="164"/>
      <c r="Y6" s="164"/>
      <c r="Z6" s="164"/>
      <c r="AA6" s="203"/>
      <c r="AB6" s="203"/>
      <c r="AC6" s="71"/>
      <c r="AD6" s="483"/>
      <c r="AE6" s="71"/>
      <c r="AF6" s="483"/>
      <c r="AG6" s="483"/>
      <c r="AH6" s="483"/>
      <c r="AI6" s="71"/>
      <c r="BA6" s="113" t="s">
        <v>153</v>
      </c>
      <c r="BB6" s="114" t="s">
        <v>939</v>
      </c>
      <c r="BC6" s="1473"/>
    </row>
    <row r="7" spans="2:66" ht="14.25" customHeight="1">
      <c r="B7" s="86" t="s">
        <v>2893</v>
      </c>
      <c r="C7" s="117" t="s">
        <v>1040</v>
      </c>
      <c r="D7" s="117"/>
      <c r="E7" s="88" t="s">
        <v>49</v>
      </c>
      <c r="F7" s="89">
        <v>3</v>
      </c>
      <c r="G7" s="424"/>
      <c r="H7" s="425"/>
      <c r="I7" s="415"/>
      <c r="J7" s="414"/>
      <c r="K7" s="415"/>
      <c r="L7" s="414"/>
      <c r="M7" s="425"/>
      <c r="N7" s="415"/>
      <c r="O7" s="199">
        <f t="shared" ref="O7:O15" si="0">SUM(G7:N7)</f>
        <v>0</v>
      </c>
      <c r="R7" s="24">
        <f xml:space="preserve"> IF( SUM( T7:AC7 ) = 0, 0, $U$6 )</f>
        <v>0</v>
      </c>
      <c r="U7" s="93">
        <f>IF(Validation!$H$3=1,0,IF(ISNUMBER(G7),0,1))</f>
        <v>0</v>
      </c>
      <c r="V7" s="93">
        <f>IF(Validation!$H$3=1,0,IF(ISNUMBER(H7),0,1))</f>
        <v>0</v>
      </c>
      <c r="W7" s="93">
        <f>IF(Validation!$H$3=1,0,IF(ISNUMBER(I7),0,1))</f>
        <v>0</v>
      </c>
      <c r="X7" s="93">
        <f>IF(Validation!$H$3=1,0,IF(ISNUMBER(J7),0,1))</f>
        <v>0</v>
      </c>
      <c r="Y7" s="93">
        <f>IF(Validation!$H$3=1,0,IF(ISNUMBER(K7),0,1))</f>
        <v>0</v>
      </c>
      <c r="Z7" s="93">
        <f>IF(Validation!$H$3=1,0,IF(ISNUMBER(L7),0,1))</f>
        <v>0</v>
      </c>
      <c r="AA7" s="93">
        <f>IF(Validation!$H$3=1,0,IF(ISNUMBER(M7),0,1))</f>
        <v>0</v>
      </c>
      <c r="AB7" s="93">
        <f>IF(Validation!$H$3=1,0,IF(ISNUMBER(N7),0,1))</f>
        <v>0</v>
      </c>
      <c r="AJ7" s="483"/>
      <c r="AK7" s="483"/>
      <c r="AL7" s="483"/>
      <c r="AM7" s="483"/>
      <c r="AN7" s="483"/>
      <c r="AO7" s="483"/>
      <c r="AP7" s="483"/>
      <c r="AQ7" s="483"/>
      <c r="AR7" s="483"/>
      <c r="AS7" s="483"/>
      <c r="AT7" s="483"/>
      <c r="AU7" s="483"/>
      <c r="AV7" s="483"/>
      <c r="AW7" s="483"/>
      <c r="AX7" s="483"/>
      <c r="AY7" s="483"/>
      <c r="AZ7" s="483"/>
      <c r="BA7" s="86" t="s">
        <v>2893</v>
      </c>
      <c r="BB7" s="117" t="s">
        <v>1040</v>
      </c>
      <c r="BC7" s="117"/>
      <c r="BD7" s="88" t="s">
        <v>49</v>
      </c>
      <c r="BE7" s="89">
        <v>3</v>
      </c>
      <c r="BF7" s="2439" t="s">
        <v>2894</v>
      </c>
      <c r="BG7" s="2381" t="s">
        <v>2895</v>
      </c>
      <c r="BH7" s="2524" t="s">
        <v>2896</v>
      </c>
      <c r="BI7" s="2380" t="s">
        <v>2897</v>
      </c>
      <c r="BJ7" s="2524" t="s">
        <v>2898</v>
      </c>
      <c r="BK7" s="2380" t="s">
        <v>2899</v>
      </c>
      <c r="BL7" s="2381" t="s">
        <v>2900</v>
      </c>
      <c r="BM7" s="2524" t="s">
        <v>2901</v>
      </c>
      <c r="BN7" s="199" t="s">
        <v>2902</v>
      </c>
    </row>
    <row r="8" spans="2:66" ht="14.25" customHeight="1">
      <c r="B8" s="94" t="s">
        <v>2903</v>
      </c>
      <c r="C8" s="87" t="s">
        <v>1048</v>
      </c>
      <c r="D8" s="87"/>
      <c r="E8" s="95" t="s">
        <v>49</v>
      </c>
      <c r="F8" s="96">
        <v>3</v>
      </c>
      <c r="G8" s="426"/>
      <c r="H8" s="413"/>
      <c r="I8" s="416"/>
      <c r="J8" s="412"/>
      <c r="K8" s="416"/>
      <c r="L8" s="412"/>
      <c r="M8" s="413"/>
      <c r="N8" s="416"/>
      <c r="O8" s="241">
        <f t="shared" si="0"/>
        <v>0</v>
      </c>
      <c r="R8" s="24">
        <f t="shared" ref="R8:R14" si="1" xml:space="preserve"> IF( SUM( T8:AC8 ) = 0, 0, $U$6 )</f>
        <v>0</v>
      </c>
      <c r="U8" s="93">
        <f>IF(Validation!$H$3=1,0,IF(ISNUMBER(G8),0,1))</f>
        <v>0</v>
      </c>
      <c r="V8" s="93">
        <f>IF(Validation!$H$3=1,0,IF(ISNUMBER(H8),0,1))</f>
        <v>0</v>
      </c>
      <c r="W8" s="93">
        <f>IF(Validation!$H$3=1,0,IF(ISNUMBER(I8),0,1))</f>
        <v>0</v>
      </c>
      <c r="X8" s="93">
        <f>IF(Validation!$H$3=1,0,IF(ISNUMBER(J8),0,1))</f>
        <v>0</v>
      </c>
      <c r="Y8" s="93">
        <f>IF(Validation!$H$3=1,0,IF(ISNUMBER(K8),0,1))</f>
        <v>0</v>
      </c>
      <c r="Z8" s="93">
        <f>IF(Validation!$H$3=1,0,IF(ISNUMBER(L8),0,1))</f>
        <v>0</v>
      </c>
      <c r="AA8" s="93">
        <f>IF(Validation!$H$3=1,0,IF(ISNUMBER(M8),0,1))</f>
        <v>0</v>
      </c>
      <c r="AB8" s="93">
        <f>IF(Validation!$H$3=1,0,IF(ISNUMBER(N8),0,1))</f>
        <v>0</v>
      </c>
      <c r="AJ8" s="483"/>
      <c r="AK8" s="483"/>
      <c r="AL8" s="483"/>
      <c r="AM8" s="483"/>
      <c r="AN8" s="483"/>
      <c r="AO8" s="483"/>
      <c r="AP8" s="483"/>
      <c r="AQ8" s="483"/>
      <c r="AR8" s="483"/>
      <c r="AS8" s="483"/>
      <c r="AT8" s="483"/>
      <c r="AU8" s="483"/>
      <c r="AV8" s="483"/>
      <c r="AW8" s="483"/>
      <c r="AX8" s="483"/>
      <c r="AY8" s="483"/>
      <c r="AZ8" s="483"/>
      <c r="BA8" s="94" t="s">
        <v>2903</v>
      </c>
      <c r="BB8" s="87" t="s">
        <v>1048</v>
      </c>
      <c r="BC8" s="87"/>
      <c r="BD8" s="95" t="s">
        <v>49</v>
      </c>
      <c r="BE8" s="96">
        <v>3</v>
      </c>
      <c r="BF8" s="2396" t="s">
        <v>2904</v>
      </c>
      <c r="BG8" s="2384" t="s">
        <v>2905</v>
      </c>
      <c r="BH8" s="2525" t="s">
        <v>2906</v>
      </c>
      <c r="BI8" s="2383" t="s">
        <v>2907</v>
      </c>
      <c r="BJ8" s="2525" t="s">
        <v>2908</v>
      </c>
      <c r="BK8" s="2383" t="s">
        <v>2909</v>
      </c>
      <c r="BL8" s="2384" t="s">
        <v>2910</v>
      </c>
      <c r="BM8" s="2525" t="s">
        <v>2911</v>
      </c>
      <c r="BN8" s="241" t="s">
        <v>2912</v>
      </c>
    </row>
    <row r="9" spans="2:66" ht="14.25" customHeight="1">
      <c r="B9" s="94" t="s">
        <v>2913</v>
      </c>
      <c r="C9" s="87" t="s">
        <v>2914</v>
      </c>
      <c r="D9" s="87"/>
      <c r="E9" s="95" t="s">
        <v>49</v>
      </c>
      <c r="F9" s="96">
        <v>3</v>
      </c>
      <c r="G9" s="426"/>
      <c r="H9" s="413"/>
      <c r="I9" s="416"/>
      <c r="J9" s="412"/>
      <c r="K9" s="416"/>
      <c r="L9" s="412"/>
      <c r="M9" s="413"/>
      <c r="N9" s="416"/>
      <c r="O9" s="241">
        <f t="shared" si="0"/>
        <v>0</v>
      </c>
      <c r="R9" s="24">
        <f t="shared" si="1"/>
        <v>0</v>
      </c>
      <c r="U9" s="93">
        <f>IF(Validation!$H$3=1,0,IF(ISNUMBER(G9),0,1))</f>
        <v>0</v>
      </c>
      <c r="V9" s="93">
        <f>IF(Validation!$H$3=1,0,IF(ISNUMBER(H9),0,1))</f>
        <v>0</v>
      </c>
      <c r="W9" s="93">
        <f>IF(Validation!$H$3=1,0,IF(ISNUMBER(I9),0,1))</f>
        <v>0</v>
      </c>
      <c r="X9" s="93">
        <f>IF(Validation!$H$3=1,0,IF(ISNUMBER(J9),0,1))</f>
        <v>0</v>
      </c>
      <c r="Y9" s="93">
        <f>IF(Validation!$H$3=1,0,IF(ISNUMBER(K9),0,1))</f>
        <v>0</v>
      </c>
      <c r="Z9" s="93">
        <f>IF(Validation!$H$3=1,0,IF(ISNUMBER(L9),0,1))</f>
        <v>0</v>
      </c>
      <c r="AA9" s="93">
        <f>IF(Validation!$H$3=1,0,IF(ISNUMBER(M9),0,1))</f>
        <v>0</v>
      </c>
      <c r="AB9" s="93">
        <f>IF(Validation!$H$3=1,0,IF(ISNUMBER(N9),0,1))</f>
        <v>0</v>
      </c>
      <c r="AJ9" s="483"/>
      <c r="AK9" s="483"/>
      <c r="AL9" s="483"/>
      <c r="AM9" s="483"/>
      <c r="AN9" s="483"/>
      <c r="AO9" s="483"/>
      <c r="AP9" s="483"/>
      <c r="AQ9" s="483"/>
      <c r="AR9" s="483"/>
      <c r="AS9" s="483"/>
      <c r="AT9" s="483"/>
      <c r="AU9" s="483"/>
      <c r="AV9" s="483"/>
      <c r="AW9" s="483"/>
      <c r="AX9" s="483"/>
      <c r="AY9" s="483"/>
      <c r="AZ9" s="483"/>
      <c r="BA9" s="94" t="s">
        <v>2913</v>
      </c>
      <c r="BB9" s="87" t="s">
        <v>2914</v>
      </c>
      <c r="BC9" s="87"/>
      <c r="BD9" s="95" t="s">
        <v>49</v>
      </c>
      <c r="BE9" s="96">
        <v>3</v>
      </c>
      <c r="BF9" s="2396" t="s">
        <v>2915</v>
      </c>
      <c r="BG9" s="2384" t="s">
        <v>2916</v>
      </c>
      <c r="BH9" s="2525" t="s">
        <v>2917</v>
      </c>
      <c r="BI9" s="2383" t="s">
        <v>2918</v>
      </c>
      <c r="BJ9" s="2525" t="s">
        <v>2919</v>
      </c>
      <c r="BK9" s="2383" t="s">
        <v>2920</v>
      </c>
      <c r="BL9" s="2384" t="s">
        <v>2921</v>
      </c>
      <c r="BM9" s="2525" t="s">
        <v>2922</v>
      </c>
      <c r="BN9" s="241" t="s">
        <v>2923</v>
      </c>
    </row>
    <row r="10" spans="2:66" ht="14.25" customHeight="1">
      <c r="B10" s="94" t="s">
        <v>2924</v>
      </c>
      <c r="C10" s="87" t="s">
        <v>2925</v>
      </c>
      <c r="D10" s="87"/>
      <c r="E10" s="95" t="s">
        <v>49</v>
      </c>
      <c r="F10" s="96">
        <v>3</v>
      </c>
      <c r="G10" s="426"/>
      <c r="H10" s="413"/>
      <c r="I10" s="416"/>
      <c r="J10" s="412"/>
      <c r="K10" s="416"/>
      <c r="L10" s="412"/>
      <c r="M10" s="413"/>
      <c r="N10" s="416"/>
      <c r="O10" s="241">
        <f t="shared" si="0"/>
        <v>0</v>
      </c>
      <c r="R10" s="24">
        <f t="shared" si="1"/>
        <v>0</v>
      </c>
      <c r="U10" s="93">
        <f>IF(Validation!$H$3=1,0,IF(ISNUMBER(G10),0,1))</f>
        <v>0</v>
      </c>
      <c r="V10" s="93">
        <f>IF(Validation!$H$3=1,0,IF(ISNUMBER(H10),0,1))</f>
        <v>0</v>
      </c>
      <c r="W10" s="93">
        <f>IF(Validation!$H$3=1,0,IF(ISNUMBER(I10),0,1))</f>
        <v>0</v>
      </c>
      <c r="X10" s="93">
        <f>IF(Validation!$H$3=1,0,IF(ISNUMBER(J10),0,1))</f>
        <v>0</v>
      </c>
      <c r="Y10" s="93">
        <f>IF(Validation!$H$3=1,0,IF(ISNUMBER(K10),0,1))</f>
        <v>0</v>
      </c>
      <c r="Z10" s="93">
        <f>IF(Validation!$H$3=1,0,IF(ISNUMBER(L10),0,1))</f>
        <v>0</v>
      </c>
      <c r="AA10" s="93">
        <f>IF(Validation!$H$3=1,0,IF(ISNUMBER(M10),0,1))</f>
        <v>0</v>
      </c>
      <c r="AB10" s="93">
        <f>IF(Validation!$H$3=1,0,IF(ISNUMBER(N10),0,1))</f>
        <v>0</v>
      </c>
      <c r="AJ10" s="483"/>
      <c r="AK10" s="483"/>
      <c r="AL10" s="483"/>
      <c r="AM10" s="483"/>
      <c r="AN10" s="483"/>
      <c r="AO10" s="483"/>
      <c r="AP10" s="483"/>
      <c r="AQ10" s="483"/>
      <c r="AR10" s="483"/>
      <c r="AS10" s="483"/>
      <c r="AT10" s="483"/>
      <c r="AU10" s="483"/>
      <c r="AV10" s="483"/>
      <c r="AW10" s="483"/>
      <c r="AX10" s="483"/>
      <c r="AY10" s="483"/>
      <c r="AZ10" s="483"/>
      <c r="BA10" s="94" t="s">
        <v>2924</v>
      </c>
      <c r="BB10" s="87" t="s">
        <v>2925</v>
      </c>
      <c r="BC10" s="87"/>
      <c r="BD10" s="95" t="s">
        <v>49</v>
      </c>
      <c r="BE10" s="96">
        <v>3</v>
      </c>
      <c r="BF10" s="2396" t="s">
        <v>2926</v>
      </c>
      <c r="BG10" s="2384" t="s">
        <v>2927</v>
      </c>
      <c r="BH10" s="2525" t="s">
        <v>2928</v>
      </c>
      <c r="BI10" s="2383" t="s">
        <v>2929</v>
      </c>
      <c r="BJ10" s="2525" t="s">
        <v>2930</v>
      </c>
      <c r="BK10" s="2383" t="s">
        <v>2931</v>
      </c>
      <c r="BL10" s="2384" t="s">
        <v>2932</v>
      </c>
      <c r="BM10" s="2525" t="s">
        <v>2933</v>
      </c>
      <c r="BN10" s="241" t="s">
        <v>2934</v>
      </c>
    </row>
    <row r="11" spans="2:66" ht="14.25" customHeight="1">
      <c r="B11" s="94" t="s">
        <v>2935</v>
      </c>
      <c r="C11" s="277" t="s">
        <v>1072</v>
      </c>
      <c r="D11" s="277"/>
      <c r="E11" s="301" t="s">
        <v>49</v>
      </c>
      <c r="F11" s="279">
        <v>3</v>
      </c>
      <c r="G11" s="426"/>
      <c r="H11" s="413"/>
      <c r="I11" s="416"/>
      <c r="J11" s="412"/>
      <c r="K11" s="416"/>
      <c r="L11" s="412"/>
      <c r="M11" s="413"/>
      <c r="N11" s="416"/>
      <c r="O11" s="241">
        <f t="shared" si="0"/>
        <v>0</v>
      </c>
      <c r="R11" s="24">
        <f t="shared" si="1"/>
        <v>0</v>
      </c>
      <c r="U11" s="93">
        <f>IF(Validation!$H$3=1,0,IF(ISNUMBER(G11),0,1))</f>
        <v>0</v>
      </c>
      <c r="V11" s="93">
        <f>IF(Validation!$H$3=1,0,IF(ISNUMBER(H11),0,1))</f>
        <v>0</v>
      </c>
      <c r="W11" s="93">
        <f>IF(Validation!$H$3=1,0,IF(ISNUMBER(I11),0,1))</f>
        <v>0</v>
      </c>
      <c r="X11" s="93">
        <f>IF(Validation!$H$3=1,0,IF(ISNUMBER(J11),0,1))</f>
        <v>0</v>
      </c>
      <c r="Y11" s="93">
        <f>IF(Validation!$H$3=1,0,IF(ISNUMBER(K11),0,1))</f>
        <v>0</v>
      </c>
      <c r="Z11" s="93">
        <f>IF(Validation!$H$3=1,0,IF(ISNUMBER(L11),0,1))</f>
        <v>0</v>
      </c>
      <c r="AA11" s="93">
        <f>IF(Validation!$H$3=1,0,IF(ISNUMBER(M11),0,1))</f>
        <v>0</v>
      </c>
      <c r="AB11" s="93">
        <f>IF(Validation!$H$3=1,0,IF(ISNUMBER(N11),0,1))</f>
        <v>0</v>
      </c>
      <c r="AJ11" s="483"/>
      <c r="AK11" s="483"/>
      <c r="AL11" s="483"/>
      <c r="AM11" s="483"/>
      <c r="AN11" s="483"/>
      <c r="AO11" s="483"/>
      <c r="AP11" s="483"/>
      <c r="AQ11" s="483"/>
      <c r="AR11" s="483"/>
      <c r="AS11" s="483"/>
      <c r="AT11" s="483"/>
      <c r="AU11" s="483"/>
      <c r="AV11" s="483"/>
      <c r="AW11" s="483"/>
      <c r="AX11" s="483"/>
      <c r="AY11" s="483"/>
      <c r="AZ11" s="483"/>
      <c r="BA11" s="94" t="s">
        <v>2935</v>
      </c>
      <c r="BB11" s="277" t="s">
        <v>1072</v>
      </c>
      <c r="BC11" s="277"/>
      <c r="BD11" s="301" t="s">
        <v>49</v>
      </c>
      <c r="BE11" s="279">
        <v>3</v>
      </c>
      <c r="BF11" s="2451" t="s">
        <v>2936</v>
      </c>
      <c r="BG11" s="2393" t="s">
        <v>2937</v>
      </c>
      <c r="BH11" s="2526" t="s">
        <v>2938</v>
      </c>
      <c r="BI11" s="2219" t="s">
        <v>2939</v>
      </c>
      <c r="BJ11" s="2526" t="s">
        <v>2940</v>
      </c>
      <c r="BK11" s="2219" t="s">
        <v>2941</v>
      </c>
      <c r="BL11" s="2393" t="s">
        <v>2942</v>
      </c>
      <c r="BM11" s="2526" t="s">
        <v>2943</v>
      </c>
      <c r="BN11" s="1970" t="s">
        <v>2944</v>
      </c>
    </row>
    <row r="12" spans="2:66" s="483" customFormat="1" ht="14.25" customHeight="1">
      <c r="B12" s="94" t="s">
        <v>2945</v>
      </c>
      <c r="C12" s="277" t="s">
        <v>1080</v>
      </c>
      <c r="D12" s="277"/>
      <c r="E12" s="301" t="s">
        <v>49</v>
      </c>
      <c r="F12" s="279">
        <v>3</v>
      </c>
      <c r="G12" s="426"/>
      <c r="H12" s="413"/>
      <c r="I12" s="416"/>
      <c r="J12" s="412"/>
      <c r="K12" s="416"/>
      <c r="L12" s="412"/>
      <c r="M12" s="413"/>
      <c r="N12" s="416"/>
      <c r="O12" s="241">
        <f t="shared" si="0"/>
        <v>0</v>
      </c>
      <c r="P12" s="70"/>
      <c r="Q12" s="70"/>
      <c r="R12" s="24">
        <f t="shared" si="1"/>
        <v>0</v>
      </c>
      <c r="S12" s="70"/>
      <c r="T12" s="71"/>
      <c r="U12" s="93">
        <f>IF(Validation!$H$3=1,0,IF(ISNUMBER(G12),0,1))</f>
        <v>0</v>
      </c>
      <c r="V12" s="93">
        <f>IF(Validation!$H$3=1,0,IF(ISNUMBER(H12),0,1))</f>
        <v>0</v>
      </c>
      <c r="W12" s="93">
        <f>IF(Validation!$H$3=1,0,IF(ISNUMBER(I12),0,1))</f>
        <v>0</v>
      </c>
      <c r="X12" s="93">
        <f>IF(Validation!$H$3=1,0,IF(ISNUMBER(J12),0,1))</f>
        <v>0</v>
      </c>
      <c r="Y12" s="93">
        <f>IF(Validation!$H$3=1,0,IF(ISNUMBER(K12),0,1))</f>
        <v>0</v>
      </c>
      <c r="Z12" s="93">
        <f>IF(Validation!$H$3=1,0,IF(ISNUMBER(L12),0,1))</f>
        <v>0</v>
      </c>
      <c r="AA12" s="93">
        <f>IF(Validation!$H$3=1,0,IF(ISNUMBER(M12),0,1))</f>
        <v>0</v>
      </c>
      <c r="AB12" s="93">
        <f>IF(Validation!$H$3=1,0,IF(ISNUMBER(N12),0,1))</f>
        <v>0</v>
      </c>
      <c r="AC12" s="71"/>
      <c r="AE12" s="71"/>
      <c r="AI12" s="71"/>
      <c r="BA12" s="94" t="s">
        <v>2945</v>
      </c>
      <c r="BB12" s="277" t="s">
        <v>1080</v>
      </c>
      <c r="BC12" s="277"/>
      <c r="BD12" s="301" t="s">
        <v>49</v>
      </c>
      <c r="BE12" s="279">
        <v>3</v>
      </c>
      <c r="BF12" s="2451" t="s">
        <v>2946</v>
      </c>
      <c r="BG12" s="2393" t="s">
        <v>2947</v>
      </c>
      <c r="BH12" s="2526" t="s">
        <v>2948</v>
      </c>
      <c r="BI12" s="2219" t="s">
        <v>2949</v>
      </c>
      <c r="BJ12" s="2526" t="s">
        <v>2950</v>
      </c>
      <c r="BK12" s="2219" t="s">
        <v>2951</v>
      </c>
      <c r="BL12" s="2393" t="s">
        <v>2952</v>
      </c>
      <c r="BM12" s="2526" t="s">
        <v>2953</v>
      </c>
      <c r="BN12" s="1970" t="s">
        <v>2954</v>
      </c>
    </row>
    <row r="13" spans="2:66" s="483" customFormat="1" ht="14.25" customHeight="1">
      <c r="B13" s="94" t="s">
        <v>2955</v>
      </c>
      <c r="C13" s="277" t="s">
        <v>1088</v>
      </c>
      <c r="D13" s="277"/>
      <c r="E13" s="301" t="s">
        <v>49</v>
      </c>
      <c r="F13" s="279">
        <v>3</v>
      </c>
      <c r="G13" s="426"/>
      <c r="H13" s="413"/>
      <c r="I13" s="416"/>
      <c r="J13" s="412"/>
      <c r="K13" s="416"/>
      <c r="L13" s="412"/>
      <c r="M13" s="413"/>
      <c r="N13" s="416"/>
      <c r="O13" s="241">
        <f t="shared" si="0"/>
        <v>0</v>
      </c>
      <c r="P13" s="70"/>
      <c r="Q13" s="70"/>
      <c r="R13" s="24">
        <f t="shared" si="1"/>
        <v>0</v>
      </c>
      <c r="S13" s="70"/>
      <c r="T13" s="71"/>
      <c r="U13" s="93">
        <f>IF(Validation!$H$3=1,0,IF(ISNUMBER(G13),0,1))</f>
        <v>0</v>
      </c>
      <c r="V13" s="93">
        <f>IF(Validation!$H$3=1,0,IF(ISNUMBER(H13),0,1))</f>
        <v>0</v>
      </c>
      <c r="W13" s="93">
        <f>IF(Validation!$H$3=1,0,IF(ISNUMBER(I13),0,1))</f>
        <v>0</v>
      </c>
      <c r="X13" s="93">
        <f>IF(Validation!$H$3=1,0,IF(ISNUMBER(J13),0,1))</f>
        <v>0</v>
      </c>
      <c r="Y13" s="93">
        <f>IF(Validation!$H$3=1,0,IF(ISNUMBER(K13),0,1))</f>
        <v>0</v>
      </c>
      <c r="Z13" s="93">
        <f>IF(Validation!$H$3=1,0,IF(ISNUMBER(L13),0,1))</f>
        <v>0</v>
      </c>
      <c r="AA13" s="93">
        <f>IF(Validation!$H$3=1,0,IF(ISNUMBER(M13),0,1))</f>
        <v>0</v>
      </c>
      <c r="AB13" s="93">
        <f>IF(Validation!$H$3=1,0,IF(ISNUMBER(N13),0,1))</f>
        <v>0</v>
      </c>
      <c r="AC13" s="71"/>
      <c r="AE13" s="71"/>
      <c r="AI13" s="71"/>
      <c r="BA13" s="94" t="s">
        <v>2955</v>
      </c>
      <c r="BB13" s="277" t="s">
        <v>1088</v>
      </c>
      <c r="BC13" s="277"/>
      <c r="BD13" s="301" t="s">
        <v>49</v>
      </c>
      <c r="BE13" s="279">
        <v>3</v>
      </c>
      <c r="BF13" s="2451" t="s">
        <v>2956</v>
      </c>
      <c r="BG13" s="2393" t="s">
        <v>2957</v>
      </c>
      <c r="BH13" s="2526" t="s">
        <v>2958</v>
      </c>
      <c r="BI13" s="2219" t="s">
        <v>2959</v>
      </c>
      <c r="BJ13" s="2526" t="s">
        <v>2960</v>
      </c>
      <c r="BK13" s="2219" t="s">
        <v>2961</v>
      </c>
      <c r="BL13" s="2393" t="s">
        <v>2962</v>
      </c>
      <c r="BM13" s="2526" t="s">
        <v>2963</v>
      </c>
      <c r="BN13" s="1970" t="s">
        <v>2964</v>
      </c>
    </row>
    <row r="14" spans="2:66" ht="14.25" customHeight="1">
      <c r="B14" s="94" t="s">
        <v>2965</v>
      </c>
      <c r="C14" s="87" t="s">
        <v>2966</v>
      </c>
      <c r="D14" s="87"/>
      <c r="E14" s="95" t="s">
        <v>49</v>
      </c>
      <c r="F14" s="96">
        <v>3</v>
      </c>
      <c r="G14" s="426"/>
      <c r="H14" s="413"/>
      <c r="I14" s="416"/>
      <c r="J14" s="412"/>
      <c r="K14" s="416"/>
      <c r="L14" s="412"/>
      <c r="M14" s="413"/>
      <c r="N14" s="416"/>
      <c r="O14" s="241">
        <f t="shared" si="0"/>
        <v>0</v>
      </c>
      <c r="R14" s="24">
        <f t="shared" si="1"/>
        <v>0</v>
      </c>
      <c r="U14" s="93">
        <f>IF(Validation!$H$3=1,0,IF(ISNUMBER(G14),0,1))</f>
        <v>0</v>
      </c>
      <c r="V14" s="93">
        <f>IF(Validation!$H$3=1,0,IF(ISNUMBER(H14),0,1))</f>
        <v>0</v>
      </c>
      <c r="W14" s="93">
        <f>IF(Validation!$H$3=1,0,IF(ISNUMBER(I14),0,1))</f>
        <v>0</v>
      </c>
      <c r="X14" s="93">
        <f>IF(Validation!$H$3=1,0,IF(ISNUMBER(J14),0,1))</f>
        <v>0</v>
      </c>
      <c r="Y14" s="93">
        <f>IF(Validation!$H$3=1,0,IF(ISNUMBER(K14),0,1))</f>
        <v>0</v>
      </c>
      <c r="Z14" s="93">
        <f>IF(Validation!$H$3=1,0,IF(ISNUMBER(L14),0,1))</f>
        <v>0</v>
      </c>
      <c r="AA14" s="93">
        <f>IF(Validation!$H$3=1,0,IF(ISNUMBER(M14),0,1))</f>
        <v>0</v>
      </c>
      <c r="AB14" s="93">
        <f>IF(Validation!$H$3=1,0,IF(ISNUMBER(N14),0,1))</f>
        <v>0</v>
      </c>
      <c r="AJ14" s="483"/>
      <c r="AK14" s="483"/>
      <c r="AL14" s="483"/>
      <c r="AM14" s="483"/>
      <c r="AN14" s="483"/>
      <c r="AO14" s="483"/>
      <c r="AP14" s="483"/>
      <c r="AQ14" s="483"/>
      <c r="AR14" s="483"/>
      <c r="AS14" s="483"/>
      <c r="AT14" s="483"/>
      <c r="AU14" s="483"/>
      <c r="AV14" s="483"/>
      <c r="AW14" s="483"/>
      <c r="AX14" s="483"/>
      <c r="AY14" s="483"/>
      <c r="AZ14" s="483"/>
      <c r="BA14" s="94" t="s">
        <v>2965</v>
      </c>
      <c r="BB14" s="87" t="s">
        <v>2966</v>
      </c>
      <c r="BC14" s="87"/>
      <c r="BD14" s="95" t="s">
        <v>49</v>
      </c>
      <c r="BE14" s="96">
        <v>3</v>
      </c>
      <c r="BF14" s="2451" t="s">
        <v>2967</v>
      </c>
      <c r="BG14" s="2393" t="s">
        <v>2968</v>
      </c>
      <c r="BH14" s="2526" t="s">
        <v>2969</v>
      </c>
      <c r="BI14" s="2219" t="s">
        <v>2970</v>
      </c>
      <c r="BJ14" s="2526" t="s">
        <v>2971</v>
      </c>
      <c r="BK14" s="2219" t="s">
        <v>2972</v>
      </c>
      <c r="BL14" s="2393" t="s">
        <v>2973</v>
      </c>
      <c r="BM14" s="2526" t="s">
        <v>2974</v>
      </c>
      <c r="BN14" s="1970" t="s">
        <v>2975</v>
      </c>
    </row>
    <row r="15" spans="2:66" ht="14.25" customHeight="1" thickBot="1">
      <c r="B15" s="101" t="s">
        <v>2976</v>
      </c>
      <c r="C15" s="102" t="s">
        <v>1104</v>
      </c>
      <c r="D15" s="102"/>
      <c r="E15" s="103" t="s">
        <v>49</v>
      </c>
      <c r="F15" s="100">
        <v>3</v>
      </c>
      <c r="G15" s="242">
        <f>SUM(G7:G14)</f>
        <v>0</v>
      </c>
      <c r="H15" s="194">
        <f>SUM(H7:H14)</f>
        <v>0</v>
      </c>
      <c r="I15" s="195">
        <f>SUM(I7:I14)</f>
        <v>0</v>
      </c>
      <c r="J15" s="193">
        <f>SUM(J7:J14)</f>
        <v>0</v>
      </c>
      <c r="K15" s="195">
        <f t="shared" ref="K15:N15" si="2">SUM(K7:K14)</f>
        <v>0</v>
      </c>
      <c r="L15" s="193">
        <f t="shared" si="2"/>
        <v>0</v>
      </c>
      <c r="M15" s="194">
        <f t="shared" si="2"/>
        <v>0</v>
      </c>
      <c r="N15" s="195">
        <f t="shared" si="2"/>
        <v>0</v>
      </c>
      <c r="O15" s="200">
        <f t="shared" si="0"/>
        <v>0</v>
      </c>
      <c r="AA15" s="203"/>
      <c r="AB15" s="203"/>
      <c r="AJ15" s="483"/>
      <c r="AK15" s="483"/>
      <c r="AL15" s="483"/>
      <c r="AM15" s="483"/>
      <c r="AN15" s="483"/>
      <c r="AO15" s="483"/>
      <c r="AP15" s="483"/>
      <c r="AQ15" s="483"/>
      <c r="AR15" s="483"/>
      <c r="AS15" s="483"/>
      <c r="AT15" s="483"/>
      <c r="AU15" s="483"/>
      <c r="AV15" s="483"/>
      <c r="AW15" s="483"/>
      <c r="AX15" s="483"/>
      <c r="AY15" s="483"/>
      <c r="AZ15" s="483"/>
      <c r="BA15" s="101" t="s">
        <v>2976</v>
      </c>
      <c r="BB15" s="102" t="s">
        <v>1104</v>
      </c>
      <c r="BC15" s="102"/>
      <c r="BD15" s="103" t="s">
        <v>49</v>
      </c>
      <c r="BE15" s="100">
        <v>3</v>
      </c>
      <c r="BF15" s="1973" t="s">
        <v>2977</v>
      </c>
      <c r="BG15" s="1889" t="s">
        <v>2978</v>
      </c>
      <c r="BH15" s="1887" t="s">
        <v>2979</v>
      </c>
      <c r="BI15" s="1971" t="s">
        <v>2980</v>
      </c>
      <c r="BJ15" s="1887" t="s">
        <v>2981</v>
      </c>
      <c r="BK15" s="1971" t="s">
        <v>2982</v>
      </c>
      <c r="BL15" s="1889" t="s">
        <v>2983</v>
      </c>
      <c r="BM15" s="1887" t="s">
        <v>2984</v>
      </c>
      <c r="BN15" s="1891" t="s">
        <v>2985</v>
      </c>
    </row>
    <row r="16" spans="2:66" ht="14.5" thickBot="1">
      <c r="B16" s="483"/>
      <c r="C16" s="483"/>
      <c r="E16" s="483"/>
      <c r="F16" s="483"/>
      <c r="G16" s="483"/>
      <c r="H16" s="483"/>
      <c r="I16" s="483"/>
      <c r="J16" s="483"/>
      <c r="K16" s="483"/>
      <c r="L16" s="483"/>
      <c r="M16" s="483"/>
      <c r="N16" s="483"/>
      <c r="O16" s="483"/>
      <c r="AA16" s="203"/>
      <c r="AB16" s="203"/>
      <c r="AJ16" s="483"/>
      <c r="AK16" s="483"/>
      <c r="AL16" s="483"/>
      <c r="AM16" s="483"/>
      <c r="AN16" s="483"/>
      <c r="AO16" s="483"/>
      <c r="AP16" s="483"/>
      <c r="AQ16" s="483"/>
      <c r="AR16" s="483"/>
      <c r="AS16" s="483"/>
      <c r="AT16" s="483"/>
      <c r="AU16" s="483"/>
      <c r="AV16" s="483"/>
      <c r="AW16" s="483"/>
      <c r="AX16" s="483"/>
      <c r="AY16" s="483"/>
      <c r="AZ16" s="483"/>
      <c r="BF16" s="1979"/>
      <c r="BG16" s="1979"/>
      <c r="BH16" s="1979"/>
      <c r="BI16" s="1979"/>
      <c r="BJ16" s="1979"/>
      <c r="BK16" s="1979"/>
      <c r="BL16" s="1979"/>
      <c r="BM16" s="1979"/>
      <c r="BN16" s="1979"/>
    </row>
    <row r="17" spans="2:66" ht="14.25" customHeight="1">
      <c r="B17" s="86" t="s">
        <v>2986</v>
      </c>
      <c r="C17" s="117" t="s">
        <v>1112</v>
      </c>
      <c r="D17" s="117"/>
      <c r="E17" s="88" t="s">
        <v>49</v>
      </c>
      <c r="F17" s="89">
        <v>3</v>
      </c>
      <c r="G17" s="424"/>
      <c r="H17" s="425"/>
      <c r="I17" s="415"/>
      <c r="J17" s="414"/>
      <c r="K17" s="415"/>
      <c r="L17" s="414"/>
      <c r="M17" s="425"/>
      <c r="N17" s="415"/>
      <c r="O17" s="199">
        <f>SUM(G17:N17)</f>
        <v>0</v>
      </c>
      <c r="R17" s="24">
        <f t="shared" ref="R17" si="3" xml:space="preserve"> IF( SUM( T17:AC17 ) = 0, 0, $U$6 )</f>
        <v>0</v>
      </c>
      <c r="U17" s="93">
        <f>IF(Validation!$H$3=1,0,IF(ISNUMBER(G17),0,1))</f>
        <v>0</v>
      </c>
      <c r="V17" s="93">
        <f>IF(Validation!$H$3=1,0,IF(ISNUMBER(H17),0,1))</f>
        <v>0</v>
      </c>
      <c r="W17" s="93">
        <f>IF(Validation!$H$3=1,0,IF(ISNUMBER(I17),0,1))</f>
        <v>0</v>
      </c>
      <c r="X17" s="93">
        <f>IF(Validation!$H$3=1,0,IF(ISNUMBER(J17),0,1))</f>
        <v>0</v>
      </c>
      <c r="Y17" s="93">
        <f>IF(Validation!$H$3=1,0,IF(ISNUMBER(K17),0,1))</f>
        <v>0</v>
      </c>
      <c r="Z17" s="93">
        <f>IF(Validation!$H$3=1,0,IF(ISNUMBER(L17),0,1))</f>
        <v>0</v>
      </c>
      <c r="AA17" s="93">
        <f>IF(Validation!$H$3=1,0,IF(ISNUMBER(M17),0,1))</f>
        <v>0</v>
      </c>
      <c r="AB17" s="93">
        <f>IF(Validation!$H$3=1,0,IF(ISNUMBER(N17),0,1))</f>
        <v>0</v>
      </c>
      <c r="AJ17" s="483"/>
      <c r="AK17" s="483"/>
      <c r="AL17" s="483"/>
      <c r="AM17" s="483"/>
      <c r="AN17" s="483"/>
      <c r="AO17" s="483"/>
      <c r="AP17" s="483"/>
      <c r="AQ17" s="483"/>
      <c r="AR17" s="483"/>
      <c r="AS17" s="483"/>
      <c r="AT17" s="483"/>
      <c r="AU17" s="483"/>
      <c r="AV17" s="483"/>
      <c r="AW17" s="483"/>
      <c r="AX17" s="483"/>
      <c r="AY17" s="483"/>
      <c r="AZ17" s="483"/>
      <c r="BA17" s="86" t="s">
        <v>2986</v>
      </c>
      <c r="BB17" s="117" t="s">
        <v>1112</v>
      </c>
      <c r="BC17" s="117"/>
      <c r="BD17" s="88" t="s">
        <v>49</v>
      </c>
      <c r="BE17" s="89">
        <v>3</v>
      </c>
      <c r="BF17" s="2448" t="s">
        <v>2987</v>
      </c>
      <c r="BG17" s="2391" t="s">
        <v>2988</v>
      </c>
      <c r="BH17" s="2527" t="s">
        <v>2989</v>
      </c>
      <c r="BI17" s="2217" t="s">
        <v>2990</v>
      </c>
      <c r="BJ17" s="2527" t="s">
        <v>2991</v>
      </c>
      <c r="BK17" s="2217" t="s">
        <v>2992</v>
      </c>
      <c r="BL17" s="2391" t="s">
        <v>2993</v>
      </c>
      <c r="BM17" s="2527" t="s">
        <v>2994</v>
      </c>
      <c r="BN17" s="1976" t="s">
        <v>2995</v>
      </c>
    </row>
    <row r="18" spans="2:66" ht="14.25" customHeight="1" thickBot="1">
      <c r="B18" s="101" t="s">
        <v>2996</v>
      </c>
      <c r="C18" s="102" t="s">
        <v>1120</v>
      </c>
      <c r="D18" s="102"/>
      <c r="E18" s="103" t="s">
        <v>49</v>
      </c>
      <c r="F18" s="100">
        <v>3</v>
      </c>
      <c r="G18" s="242">
        <f t="shared" ref="G18:N18" si="4">G15 + G17</f>
        <v>0</v>
      </c>
      <c r="H18" s="194">
        <f t="shared" si="4"/>
        <v>0</v>
      </c>
      <c r="I18" s="195">
        <f t="shared" si="4"/>
        <v>0</v>
      </c>
      <c r="J18" s="193">
        <f t="shared" si="4"/>
        <v>0</v>
      </c>
      <c r="K18" s="195">
        <f t="shared" si="4"/>
        <v>0</v>
      </c>
      <c r="L18" s="193">
        <f t="shared" si="4"/>
        <v>0</v>
      </c>
      <c r="M18" s="194">
        <f t="shared" si="4"/>
        <v>0</v>
      </c>
      <c r="N18" s="195">
        <f t="shared" si="4"/>
        <v>0</v>
      </c>
      <c r="O18" s="200">
        <f>SUM(G18:N18)</f>
        <v>0</v>
      </c>
      <c r="AA18" s="203"/>
      <c r="AB18" s="203"/>
      <c r="AJ18" s="483"/>
      <c r="AK18" s="483"/>
      <c r="AL18" s="483"/>
      <c r="AM18" s="483"/>
      <c r="AN18" s="483"/>
      <c r="AO18" s="483"/>
      <c r="AP18" s="483"/>
      <c r="AQ18" s="483"/>
      <c r="AR18" s="483"/>
      <c r="AS18" s="483"/>
      <c r="AT18" s="483"/>
      <c r="AU18" s="483"/>
      <c r="AV18" s="483"/>
      <c r="AW18" s="483"/>
      <c r="AX18" s="483"/>
      <c r="AY18" s="483"/>
      <c r="AZ18" s="483"/>
      <c r="BA18" s="101" t="s">
        <v>2996</v>
      </c>
      <c r="BB18" s="102" t="s">
        <v>1120</v>
      </c>
      <c r="BC18" s="102"/>
      <c r="BD18" s="103" t="s">
        <v>49</v>
      </c>
      <c r="BE18" s="100">
        <v>3</v>
      </c>
      <c r="BF18" s="1973" t="s">
        <v>2997</v>
      </c>
      <c r="BG18" s="1889" t="s">
        <v>2998</v>
      </c>
      <c r="BH18" s="1887" t="s">
        <v>2999</v>
      </c>
      <c r="BI18" s="1971" t="s">
        <v>3000</v>
      </c>
      <c r="BJ18" s="1887" t="s">
        <v>3001</v>
      </c>
      <c r="BK18" s="1971" t="s">
        <v>3002</v>
      </c>
      <c r="BL18" s="1889" t="s">
        <v>3003</v>
      </c>
      <c r="BM18" s="1887" t="s">
        <v>3004</v>
      </c>
      <c r="BN18" s="1891" t="s">
        <v>3005</v>
      </c>
    </row>
    <row r="19" spans="2:66" ht="14.5" thickBot="1">
      <c r="B19" s="483"/>
      <c r="C19" s="483"/>
      <c r="E19" s="483"/>
      <c r="F19" s="483"/>
      <c r="G19" s="483"/>
      <c r="H19" s="483"/>
      <c r="I19" s="483"/>
      <c r="J19" s="483"/>
      <c r="K19" s="483"/>
      <c r="L19" s="483"/>
      <c r="M19" s="483"/>
      <c r="N19" s="483"/>
      <c r="O19" s="483"/>
      <c r="AA19" s="203"/>
      <c r="AB19" s="203"/>
      <c r="AJ19" s="483"/>
      <c r="AK19" s="483"/>
      <c r="AL19" s="483"/>
      <c r="AM19" s="483"/>
      <c r="AN19" s="483"/>
      <c r="AO19" s="483"/>
      <c r="AP19" s="483"/>
      <c r="AQ19" s="483"/>
      <c r="AR19" s="483"/>
      <c r="AS19" s="483"/>
      <c r="AT19" s="483"/>
      <c r="AU19" s="483"/>
      <c r="AV19" s="483"/>
      <c r="AW19" s="483"/>
      <c r="AX19" s="483"/>
      <c r="AY19" s="483"/>
      <c r="AZ19" s="483"/>
      <c r="BF19" s="1979"/>
      <c r="BG19" s="1979"/>
      <c r="BH19" s="1979"/>
      <c r="BI19" s="1979"/>
      <c r="BJ19" s="1979"/>
      <c r="BK19" s="1979"/>
      <c r="BL19" s="1979"/>
      <c r="BM19" s="1979"/>
      <c r="BN19" s="1979"/>
    </row>
    <row r="20" spans="2:66" s="70" customFormat="1" ht="14.5" thickBot="1">
      <c r="B20" s="113" t="s">
        <v>175</v>
      </c>
      <c r="C20" s="114" t="s">
        <v>1127</v>
      </c>
      <c r="D20" s="1473"/>
      <c r="T20" s="71"/>
      <c r="AA20" s="203"/>
      <c r="AB20" s="203"/>
      <c r="AC20" s="71"/>
      <c r="AD20" s="483"/>
      <c r="AE20" s="71"/>
      <c r="AF20" s="483"/>
      <c r="AG20" s="483"/>
      <c r="AH20" s="483"/>
      <c r="AI20" s="71"/>
      <c r="BA20" s="113" t="s">
        <v>175</v>
      </c>
      <c r="BB20" s="114" t="s">
        <v>1127</v>
      </c>
      <c r="BC20" s="1473"/>
      <c r="BF20" s="1975"/>
      <c r="BG20" s="1975"/>
      <c r="BH20" s="1975"/>
      <c r="BI20" s="1975"/>
      <c r="BJ20" s="1975"/>
      <c r="BK20" s="1975"/>
      <c r="BL20" s="1975"/>
      <c r="BM20" s="1975"/>
      <c r="BN20" s="1975"/>
    </row>
    <row r="21" spans="2:66" ht="14.25" customHeight="1">
      <c r="B21" s="86" t="s">
        <v>3006</v>
      </c>
      <c r="C21" s="117" t="s">
        <v>1129</v>
      </c>
      <c r="D21" s="117"/>
      <c r="E21" s="88" t="s">
        <v>49</v>
      </c>
      <c r="F21" s="89">
        <v>3</v>
      </c>
      <c r="G21" s="424"/>
      <c r="H21" s="425"/>
      <c r="I21" s="415"/>
      <c r="J21" s="414"/>
      <c r="K21" s="415"/>
      <c r="L21" s="414"/>
      <c r="M21" s="425"/>
      <c r="N21" s="415"/>
      <c r="O21" s="199">
        <f t="shared" ref="O21:O33" si="5">SUM(G21:N21)</f>
        <v>0</v>
      </c>
      <c r="R21" s="24">
        <f t="shared" ref="R21:R31" si="6" xml:space="preserve"> IF( SUM( T21:AC21 ) = 0, 0, $U$6 )</f>
        <v>0</v>
      </c>
      <c r="U21" s="93">
        <f>IF(Validation!$H$3=1,0,IF(ISNUMBER(G21),0,1))</f>
        <v>0</v>
      </c>
      <c r="V21" s="93">
        <f>IF(Validation!$H$3=1,0,IF(ISNUMBER(H21),0,1))</f>
        <v>0</v>
      </c>
      <c r="W21" s="93">
        <f>IF(Validation!$H$3=1,0,IF(ISNUMBER(I21),0,1))</f>
        <v>0</v>
      </c>
      <c r="X21" s="93">
        <f>IF(Validation!$H$3=1,0,IF(ISNUMBER(J21),0,1))</f>
        <v>0</v>
      </c>
      <c r="Y21" s="93">
        <f>IF(Validation!$H$3=1,0,IF(ISNUMBER(K21),0,1))</f>
        <v>0</v>
      </c>
      <c r="Z21" s="93">
        <f>IF(Validation!$H$3=1,0,IF(ISNUMBER(L21),0,1))</f>
        <v>0</v>
      </c>
      <c r="AA21" s="93">
        <f>IF(Validation!$H$3=1,0,IF(ISNUMBER(M21),0,1))</f>
        <v>0</v>
      </c>
      <c r="AB21" s="93">
        <f>IF(Validation!$H$3=1,0,IF(ISNUMBER(N21),0,1))</f>
        <v>0</v>
      </c>
      <c r="AJ21" s="483"/>
      <c r="AK21" s="483"/>
      <c r="AL21" s="483"/>
      <c r="AM21" s="483"/>
      <c r="AN21" s="483"/>
      <c r="AO21" s="483"/>
      <c r="AP21" s="483"/>
      <c r="AQ21" s="483"/>
      <c r="AR21" s="483"/>
      <c r="AS21" s="483"/>
      <c r="AT21" s="483"/>
      <c r="AU21" s="483"/>
      <c r="AV21" s="483"/>
      <c r="AW21" s="483"/>
      <c r="AX21" s="483"/>
      <c r="AY21" s="483"/>
      <c r="AZ21" s="483"/>
      <c r="BA21" s="86" t="s">
        <v>3006</v>
      </c>
      <c r="BB21" s="117" t="s">
        <v>1129</v>
      </c>
      <c r="BC21" s="117"/>
      <c r="BD21" s="88" t="s">
        <v>49</v>
      </c>
      <c r="BE21" s="89">
        <v>3</v>
      </c>
      <c r="BF21" s="2448" t="s">
        <v>3007</v>
      </c>
      <c r="BG21" s="2391" t="s">
        <v>3008</v>
      </c>
      <c r="BH21" s="2527" t="s">
        <v>3009</v>
      </c>
      <c r="BI21" s="2217" t="s">
        <v>3010</v>
      </c>
      <c r="BJ21" s="2527" t="s">
        <v>3011</v>
      </c>
      <c r="BK21" s="2217" t="s">
        <v>3012</v>
      </c>
      <c r="BL21" s="2391" t="s">
        <v>3013</v>
      </c>
      <c r="BM21" s="2527" t="s">
        <v>3014</v>
      </c>
      <c r="BN21" s="1976" t="s">
        <v>3015</v>
      </c>
    </row>
    <row r="22" spans="2:66" ht="14.25" customHeight="1">
      <c r="B22" s="94" t="s">
        <v>3016</v>
      </c>
      <c r="C22" s="87" t="s">
        <v>2719</v>
      </c>
      <c r="D22" s="87"/>
      <c r="E22" s="95" t="s">
        <v>49</v>
      </c>
      <c r="F22" s="96">
        <v>3</v>
      </c>
      <c r="G22" s="426"/>
      <c r="H22" s="413"/>
      <c r="I22" s="416"/>
      <c r="J22" s="412"/>
      <c r="K22" s="416"/>
      <c r="L22" s="412"/>
      <c r="M22" s="413"/>
      <c r="N22" s="416"/>
      <c r="O22" s="241">
        <f t="shared" si="5"/>
        <v>0</v>
      </c>
      <c r="R22" s="24">
        <f t="shared" si="6"/>
        <v>0</v>
      </c>
      <c r="U22" s="93">
        <f>IF(Validation!$H$3=1,0,IF(ISNUMBER(G22),0,1))</f>
        <v>0</v>
      </c>
      <c r="V22" s="93">
        <f>IF(Validation!$H$3=1,0,IF(ISNUMBER(H22),0,1))</f>
        <v>0</v>
      </c>
      <c r="W22" s="93">
        <f>IF(Validation!$H$3=1,0,IF(ISNUMBER(I22),0,1))</f>
        <v>0</v>
      </c>
      <c r="X22" s="93">
        <f>IF(Validation!$H$3=1,0,IF(ISNUMBER(J22),0,1))</f>
        <v>0</v>
      </c>
      <c r="Y22" s="93">
        <f>IF(Validation!$H$3=1,0,IF(ISNUMBER(K22),0,1))</f>
        <v>0</v>
      </c>
      <c r="Z22" s="93">
        <f>IF(Validation!$H$3=1,0,IF(ISNUMBER(L22),0,1))</f>
        <v>0</v>
      </c>
      <c r="AA22" s="93">
        <f>IF(Validation!$H$3=1,0,IF(ISNUMBER(M22),0,1))</f>
        <v>0</v>
      </c>
      <c r="AB22" s="93">
        <f>IF(Validation!$H$3=1,0,IF(ISNUMBER(N22),0,1))</f>
        <v>0</v>
      </c>
      <c r="AJ22" s="483"/>
      <c r="AK22" s="483"/>
      <c r="AL22" s="483"/>
      <c r="AM22" s="483"/>
      <c r="AN22" s="483"/>
      <c r="AO22" s="483"/>
      <c r="AP22" s="483"/>
      <c r="AQ22" s="483"/>
      <c r="AR22" s="483"/>
      <c r="AS22" s="483"/>
      <c r="AT22" s="483"/>
      <c r="AU22" s="483"/>
      <c r="AV22" s="483"/>
      <c r="AW22" s="483"/>
      <c r="AX22" s="483"/>
      <c r="AY22" s="483"/>
      <c r="AZ22" s="483"/>
      <c r="BA22" s="94" t="s">
        <v>3016</v>
      </c>
      <c r="BB22" s="87" t="s">
        <v>2719</v>
      </c>
      <c r="BC22" s="87"/>
      <c r="BD22" s="95" t="s">
        <v>49</v>
      </c>
      <c r="BE22" s="96">
        <v>3</v>
      </c>
      <c r="BF22" s="2451" t="s">
        <v>3017</v>
      </c>
      <c r="BG22" s="2393" t="s">
        <v>3018</v>
      </c>
      <c r="BH22" s="2526" t="s">
        <v>3019</v>
      </c>
      <c r="BI22" s="2219" t="s">
        <v>3020</v>
      </c>
      <c r="BJ22" s="2526" t="s">
        <v>3021</v>
      </c>
      <c r="BK22" s="2219" t="s">
        <v>3022</v>
      </c>
      <c r="BL22" s="2393" t="s">
        <v>3023</v>
      </c>
      <c r="BM22" s="2526" t="s">
        <v>3024</v>
      </c>
      <c r="BN22" s="1970" t="s">
        <v>3025</v>
      </c>
    </row>
    <row r="23" spans="2:66" ht="14.25" customHeight="1">
      <c r="B23" s="94" t="s">
        <v>3026</v>
      </c>
      <c r="C23" s="87" t="s">
        <v>1145</v>
      </c>
      <c r="D23" s="87"/>
      <c r="E23" s="95" t="s">
        <v>49</v>
      </c>
      <c r="F23" s="96">
        <v>3</v>
      </c>
      <c r="G23" s="426"/>
      <c r="H23" s="413"/>
      <c r="I23" s="416"/>
      <c r="J23" s="412"/>
      <c r="K23" s="416"/>
      <c r="L23" s="412"/>
      <c r="M23" s="413"/>
      <c r="N23" s="416"/>
      <c r="O23" s="241">
        <f t="shared" si="5"/>
        <v>0</v>
      </c>
      <c r="R23" s="24">
        <f t="shared" si="6"/>
        <v>0</v>
      </c>
      <c r="U23" s="93">
        <f>IF(Validation!$H$3=1,0,IF(ISNUMBER(G23),0,1))</f>
        <v>0</v>
      </c>
      <c r="V23" s="93">
        <f>IF(Validation!$H$3=1,0,IF(ISNUMBER(H23),0,1))</f>
        <v>0</v>
      </c>
      <c r="W23" s="93">
        <f>IF(Validation!$H$3=1,0,IF(ISNUMBER(I23),0,1))</f>
        <v>0</v>
      </c>
      <c r="X23" s="93">
        <f>IF(Validation!$H$3=1,0,IF(ISNUMBER(J23),0,1))</f>
        <v>0</v>
      </c>
      <c r="Y23" s="93">
        <f>IF(Validation!$H$3=1,0,IF(ISNUMBER(K23),0,1))</f>
        <v>0</v>
      </c>
      <c r="Z23" s="93">
        <f>IF(Validation!$H$3=1,0,IF(ISNUMBER(L23),0,1))</f>
        <v>0</v>
      </c>
      <c r="AA23" s="93">
        <f>IF(Validation!$H$3=1,0,IF(ISNUMBER(M23),0,1))</f>
        <v>0</v>
      </c>
      <c r="AB23" s="93">
        <f>IF(Validation!$H$3=1,0,IF(ISNUMBER(N23),0,1))</f>
        <v>0</v>
      </c>
      <c r="AJ23" s="483"/>
      <c r="AK23" s="483"/>
      <c r="AL23" s="483"/>
      <c r="AM23" s="483"/>
      <c r="AN23" s="483"/>
      <c r="AO23" s="483"/>
      <c r="AP23" s="483"/>
      <c r="AQ23" s="483"/>
      <c r="AR23" s="483"/>
      <c r="AS23" s="483"/>
      <c r="AT23" s="483"/>
      <c r="AU23" s="483"/>
      <c r="AV23" s="483"/>
      <c r="AW23" s="483"/>
      <c r="AX23" s="483"/>
      <c r="AY23" s="483"/>
      <c r="AZ23" s="483"/>
      <c r="BA23" s="94" t="s">
        <v>3026</v>
      </c>
      <c r="BB23" s="87" t="s">
        <v>1145</v>
      </c>
      <c r="BC23" s="87"/>
      <c r="BD23" s="95" t="s">
        <v>49</v>
      </c>
      <c r="BE23" s="96">
        <v>3</v>
      </c>
      <c r="BF23" s="2451" t="s">
        <v>3027</v>
      </c>
      <c r="BG23" s="2393" t="s">
        <v>3028</v>
      </c>
      <c r="BH23" s="2526" t="s">
        <v>3029</v>
      </c>
      <c r="BI23" s="2219" t="s">
        <v>3030</v>
      </c>
      <c r="BJ23" s="2526" t="s">
        <v>3031</v>
      </c>
      <c r="BK23" s="2219" t="s">
        <v>3032</v>
      </c>
      <c r="BL23" s="2393" t="s">
        <v>3033</v>
      </c>
      <c r="BM23" s="2526" t="s">
        <v>3034</v>
      </c>
      <c r="BN23" s="1970" t="s">
        <v>3035</v>
      </c>
    </row>
    <row r="24" spans="2:66" ht="14.25" customHeight="1">
      <c r="B24" s="94" t="s">
        <v>3036</v>
      </c>
      <c r="C24" s="87" t="s">
        <v>1153</v>
      </c>
      <c r="D24" s="87"/>
      <c r="E24" s="95" t="s">
        <v>49</v>
      </c>
      <c r="F24" s="96">
        <v>3</v>
      </c>
      <c r="G24" s="426"/>
      <c r="H24" s="413"/>
      <c r="I24" s="416"/>
      <c r="J24" s="412"/>
      <c r="K24" s="416"/>
      <c r="L24" s="412"/>
      <c r="M24" s="413"/>
      <c r="N24" s="416"/>
      <c r="O24" s="241">
        <f t="shared" si="5"/>
        <v>0</v>
      </c>
      <c r="R24" s="24">
        <f t="shared" si="6"/>
        <v>0</v>
      </c>
      <c r="U24" s="93">
        <f>IF(Validation!$H$3=1,0,IF(ISNUMBER(G24),0,1))</f>
        <v>0</v>
      </c>
      <c r="V24" s="93">
        <f>IF(Validation!$H$3=1,0,IF(ISNUMBER(H24),0,1))</f>
        <v>0</v>
      </c>
      <c r="W24" s="93">
        <f>IF(Validation!$H$3=1,0,IF(ISNUMBER(I24),0,1))</f>
        <v>0</v>
      </c>
      <c r="X24" s="93">
        <f>IF(Validation!$H$3=1,0,IF(ISNUMBER(J24),0,1))</f>
        <v>0</v>
      </c>
      <c r="Y24" s="93">
        <f>IF(Validation!$H$3=1,0,IF(ISNUMBER(K24),0,1))</f>
        <v>0</v>
      </c>
      <c r="Z24" s="93">
        <f>IF(Validation!$H$3=1,0,IF(ISNUMBER(L24),0,1))</f>
        <v>0</v>
      </c>
      <c r="AA24" s="93">
        <f>IF(Validation!$H$3=1,0,IF(ISNUMBER(M24),0,1))</f>
        <v>0</v>
      </c>
      <c r="AB24" s="93">
        <f>IF(Validation!$H$3=1,0,IF(ISNUMBER(N24),0,1))</f>
        <v>0</v>
      </c>
      <c r="AJ24" s="483"/>
      <c r="AK24" s="483"/>
      <c r="AL24" s="483"/>
      <c r="AM24" s="483"/>
      <c r="AN24" s="483"/>
      <c r="AO24" s="483"/>
      <c r="AP24" s="483"/>
      <c r="AQ24" s="483"/>
      <c r="AR24" s="483"/>
      <c r="AS24" s="483"/>
      <c r="AT24" s="483"/>
      <c r="AU24" s="483"/>
      <c r="AV24" s="483"/>
      <c r="AW24" s="483"/>
      <c r="AX24" s="483"/>
      <c r="AY24" s="483"/>
      <c r="AZ24" s="483"/>
      <c r="BA24" s="94" t="s">
        <v>3036</v>
      </c>
      <c r="BB24" s="87" t="s">
        <v>1153</v>
      </c>
      <c r="BC24" s="87"/>
      <c r="BD24" s="95" t="s">
        <v>49</v>
      </c>
      <c r="BE24" s="96">
        <v>3</v>
      </c>
      <c r="BF24" s="2451" t="s">
        <v>3037</v>
      </c>
      <c r="BG24" s="2393" t="s">
        <v>3038</v>
      </c>
      <c r="BH24" s="2526" t="s">
        <v>3039</v>
      </c>
      <c r="BI24" s="2219" t="s">
        <v>3040</v>
      </c>
      <c r="BJ24" s="2526" t="s">
        <v>3041</v>
      </c>
      <c r="BK24" s="2219" t="s">
        <v>3042</v>
      </c>
      <c r="BL24" s="2393" t="s">
        <v>3043</v>
      </c>
      <c r="BM24" s="2526" t="s">
        <v>3044</v>
      </c>
      <c r="BN24" s="1970" t="s">
        <v>3045</v>
      </c>
    </row>
    <row r="25" spans="2:66" s="483" customFormat="1" ht="14.25" customHeight="1">
      <c r="B25" s="94" t="s">
        <v>3046</v>
      </c>
      <c r="C25" s="87" t="s">
        <v>1161</v>
      </c>
      <c r="D25" s="87"/>
      <c r="E25" s="301" t="s">
        <v>49</v>
      </c>
      <c r="F25" s="279">
        <v>3</v>
      </c>
      <c r="G25" s="426"/>
      <c r="H25" s="413"/>
      <c r="I25" s="416"/>
      <c r="J25" s="412"/>
      <c r="K25" s="416"/>
      <c r="L25" s="412"/>
      <c r="M25" s="413"/>
      <c r="N25" s="416"/>
      <c r="O25" s="241">
        <f t="shared" si="5"/>
        <v>0</v>
      </c>
      <c r="P25" s="70"/>
      <c r="Q25" s="70"/>
      <c r="R25" s="24">
        <f t="shared" si="6"/>
        <v>0</v>
      </c>
      <c r="S25" s="70"/>
      <c r="T25" s="71"/>
      <c r="U25" s="93">
        <f>IF(Validation!$H$3=1,0,IF(ISNUMBER(G25),0,1))</f>
        <v>0</v>
      </c>
      <c r="V25" s="93">
        <f>IF(Validation!$H$3=1,0,IF(ISNUMBER(H25),0,1))</f>
        <v>0</v>
      </c>
      <c r="W25" s="93">
        <f>IF(Validation!$H$3=1,0,IF(ISNUMBER(I25),0,1))</f>
        <v>0</v>
      </c>
      <c r="X25" s="93">
        <f>IF(Validation!$H$3=1,0,IF(ISNUMBER(J25),0,1))</f>
        <v>0</v>
      </c>
      <c r="Y25" s="93">
        <f>IF(Validation!$H$3=1,0,IF(ISNUMBER(K25),0,1))</f>
        <v>0</v>
      </c>
      <c r="Z25" s="93">
        <f>IF(Validation!$H$3=1,0,IF(ISNUMBER(L25),0,1))</f>
        <v>0</v>
      </c>
      <c r="AA25" s="93">
        <f>IF(Validation!$H$3=1,0,IF(ISNUMBER(M25),0,1))</f>
        <v>0</v>
      </c>
      <c r="AB25" s="93">
        <f>IF(Validation!$H$3=1,0,IF(ISNUMBER(N25),0,1))</f>
        <v>0</v>
      </c>
      <c r="AC25" s="71"/>
      <c r="AE25" s="71"/>
      <c r="AI25" s="71"/>
      <c r="BA25" s="94" t="s">
        <v>3046</v>
      </c>
      <c r="BB25" s="87" t="s">
        <v>1161</v>
      </c>
      <c r="BC25" s="87"/>
      <c r="BD25" s="301" t="s">
        <v>49</v>
      </c>
      <c r="BE25" s="279">
        <v>3</v>
      </c>
      <c r="BF25" s="2451" t="s">
        <v>3047</v>
      </c>
      <c r="BG25" s="2393" t="s">
        <v>3048</v>
      </c>
      <c r="BH25" s="2526" t="s">
        <v>3049</v>
      </c>
      <c r="BI25" s="2219" t="s">
        <v>3050</v>
      </c>
      <c r="BJ25" s="2526" t="s">
        <v>3051</v>
      </c>
      <c r="BK25" s="2219" t="s">
        <v>3052</v>
      </c>
      <c r="BL25" s="2393" t="s">
        <v>3053</v>
      </c>
      <c r="BM25" s="2526" t="s">
        <v>3054</v>
      </c>
      <c r="BN25" s="1970" t="s">
        <v>3055</v>
      </c>
    </row>
    <row r="26" spans="2:66" ht="14.25" customHeight="1">
      <c r="B26" s="94" t="s">
        <v>3056</v>
      </c>
      <c r="C26" s="87" t="s">
        <v>3057</v>
      </c>
      <c r="D26" s="87"/>
      <c r="E26" s="95" t="s">
        <v>49</v>
      </c>
      <c r="F26" s="96">
        <v>3</v>
      </c>
      <c r="G26" s="243">
        <f t="shared" ref="G26:N26" si="7">SUM(G21:G25)</f>
        <v>0</v>
      </c>
      <c r="H26" s="244">
        <f t="shared" si="7"/>
        <v>0</v>
      </c>
      <c r="I26" s="191">
        <f t="shared" si="7"/>
        <v>0</v>
      </c>
      <c r="J26" s="245">
        <f t="shared" si="7"/>
        <v>0</v>
      </c>
      <c r="K26" s="191">
        <f t="shared" si="7"/>
        <v>0</v>
      </c>
      <c r="L26" s="245">
        <f t="shared" si="7"/>
        <v>0</v>
      </c>
      <c r="M26" s="244">
        <f t="shared" si="7"/>
        <v>0</v>
      </c>
      <c r="N26" s="191">
        <f t="shared" si="7"/>
        <v>0</v>
      </c>
      <c r="O26" s="241">
        <f t="shared" si="5"/>
        <v>0</v>
      </c>
      <c r="P26" s="118"/>
      <c r="Q26" s="118"/>
      <c r="S26" s="118"/>
      <c r="T26" s="124"/>
      <c r="V26" s="246"/>
      <c r="W26" s="246"/>
      <c r="X26" s="246"/>
      <c r="Y26" s="246"/>
      <c r="Z26" s="246"/>
      <c r="AA26" s="203"/>
      <c r="AB26" s="203"/>
      <c r="AC26" s="124"/>
      <c r="AE26" s="124"/>
      <c r="AI26" s="124"/>
      <c r="AJ26" s="483"/>
      <c r="AK26" s="483"/>
      <c r="AL26" s="483"/>
      <c r="AM26" s="483"/>
      <c r="AN26" s="483"/>
      <c r="AO26" s="483"/>
      <c r="AP26" s="483"/>
      <c r="AQ26" s="483"/>
      <c r="AR26" s="483"/>
      <c r="AS26" s="483"/>
      <c r="AT26" s="483"/>
      <c r="AU26" s="483"/>
      <c r="AV26" s="483"/>
      <c r="AW26" s="483"/>
      <c r="AX26" s="483"/>
      <c r="AY26" s="483"/>
      <c r="AZ26" s="483"/>
      <c r="BA26" s="94" t="s">
        <v>3056</v>
      </c>
      <c r="BB26" s="87" t="s">
        <v>3057</v>
      </c>
      <c r="BC26" s="87"/>
      <c r="BD26" s="95" t="s">
        <v>49</v>
      </c>
      <c r="BE26" s="96">
        <v>3</v>
      </c>
      <c r="BF26" s="243" t="s">
        <v>3058</v>
      </c>
      <c r="BG26" s="244" t="s">
        <v>3059</v>
      </c>
      <c r="BH26" s="191" t="s">
        <v>3060</v>
      </c>
      <c r="BI26" s="245" t="s">
        <v>3061</v>
      </c>
      <c r="BJ26" s="191" t="s">
        <v>3062</v>
      </c>
      <c r="BK26" s="245" t="s">
        <v>3063</v>
      </c>
      <c r="BL26" s="244" t="s">
        <v>3064</v>
      </c>
      <c r="BM26" s="191" t="s">
        <v>3065</v>
      </c>
      <c r="BN26" s="241" t="s">
        <v>3066</v>
      </c>
    </row>
    <row r="27" spans="2:66" ht="14.25" customHeight="1">
      <c r="B27" s="94" t="s">
        <v>3067</v>
      </c>
      <c r="C27" s="87" t="s">
        <v>1112</v>
      </c>
      <c r="D27" s="87"/>
      <c r="E27" s="95" t="s">
        <v>49</v>
      </c>
      <c r="F27" s="96">
        <v>3</v>
      </c>
      <c r="G27" s="426"/>
      <c r="H27" s="413"/>
      <c r="I27" s="416"/>
      <c r="J27" s="412"/>
      <c r="K27" s="416"/>
      <c r="L27" s="412"/>
      <c r="M27" s="413"/>
      <c r="N27" s="416"/>
      <c r="O27" s="241">
        <f t="shared" si="5"/>
        <v>0</v>
      </c>
      <c r="P27" s="126"/>
      <c r="Q27" s="126"/>
      <c r="R27" s="24">
        <f t="shared" si="6"/>
        <v>0</v>
      </c>
      <c r="U27" s="93">
        <f>IF(Validation!$H$3=1,0,IF(ISNUMBER(G27),0,1))</f>
        <v>0</v>
      </c>
      <c r="V27" s="93">
        <f>IF(Validation!$H$3=1,0,IF(ISNUMBER(H27),0,1))</f>
        <v>0</v>
      </c>
      <c r="W27" s="93">
        <f>IF(Validation!$H$3=1,0,IF(ISNUMBER(I27),0,1))</f>
        <v>0</v>
      </c>
      <c r="X27" s="93">
        <f>IF(Validation!$H$3=1,0,IF(ISNUMBER(J27),0,1))</f>
        <v>0</v>
      </c>
      <c r="Y27" s="93">
        <f>IF(Validation!$H$3=1,0,IF(ISNUMBER(K27),0,1))</f>
        <v>0</v>
      </c>
      <c r="Z27" s="93">
        <f>IF(Validation!$H$3=1,0,IF(ISNUMBER(L27),0,1))</f>
        <v>0</v>
      </c>
      <c r="AA27" s="93">
        <f>IF(Validation!$H$3=1,0,IF(ISNUMBER(M27),0,1))</f>
        <v>0</v>
      </c>
      <c r="AB27" s="93">
        <f>IF(Validation!$H$3=1,0,IF(ISNUMBER(N27),0,1))</f>
        <v>0</v>
      </c>
      <c r="AJ27" s="483"/>
      <c r="AK27" s="483"/>
      <c r="AL27" s="483"/>
      <c r="AM27" s="483"/>
      <c r="AN27" s="483"/>
      <c r="AO27" s="483"/>
      <c r="AP27" s="483"/>
      <c r="AQ27" s="483"/>
      <c r="AR27" s="483"/>
      <c r="AS27" s="483"/>
      <c r="AT27" s="483"/>
      <c r="AU27" s="483"/>
      <c r="AV27" s="483"/>
      <c r="AW27" s="483"/>
      <c r="AX27" s="483"/>
      <c r="AY27" s="483"/>
      <c r="AZ27" s="483"/>
      <c r="BA27" s="94" t="s">
        <v>3067</v>
      </c>
      <c r="BB27" s="87" t="s">
        <v>1112</v>
      </c>
      <c r="BC27" s="87"/>
      <c r="BD27" s="95" t="s">
        <v>49</v>
      </c>
      <c r="BE27" s="96">
        <v>3</v>
      </c>
      <c r="BF27" s="2396" t="s">
        <v>3068</v>
      </c>
      <c r="BG27" s="2384" t="s">
        <v>3069</v>
      </c>
      <c r="BH27" s="2525" t="s">
        <v>3070</v>
      </c>
      <c r="BI27" s="2383" t="s">
        <v>3071</v>
      </c>
      <c r="BJ27" s="2525" t="s">
        <v>3072</v>
      </c>
      <c r="BK27" s="2383" t="s">
        <v>3073</v>
      </c>
      <c r="BL27" s="2384" t="s">
        <v>3074</v>
      </c>
      <c r="BM27" s="2525" t="s">
        <v>3075</v>
      </c>
      <c r="BN27" s="241" t="s">
        <v>3076</v>
      </c>
    </row>
    <row r="28" spans="2:66" ht="14.25" customHeight="1" thickBot="1">
      <c r="B28" s="101" t="s">
        <v>3077</v>
      </c>
      <c r="C28" s="102" t="s">
        <v>1184</v>
      </c>
      <c r="D28" s="102"/>
      <c r="E28" s="103" t="s">
        <v>49</v>
      </c>
      <c r="F28" s="100">
        <v>3</v>
      </c>
      <c r="G28" s="242">
        <f t="shared" ref="G28:N28" si="8">SUM(G26:G27)</f>
        <v>0</v>
      </c>
      <c r="H28" s="194">
        <f t="shared" si="8"/>
        <v>0</v>
      </c>
      <c r="I28" s="195">
        <f t="shared" si="8"/>
        <v>0</v>
      </c>
      <c r="J28" s="193">
        <f t="shared" si="8"/>
        <v>0</v>
      </c>
      <c r="K28" s="195">
        <f t="shared" si="8"/>
        <v>0</v>
      </c>
      <c r="L28" s="193">
        <f t="shared" si="8"/>
        <v>0</v>
      </c>
      <c r="M28" s="194">
        <f t="shared" si="8"/>
        <v>0</v>
      </c>
      <c r="N28" s="195">
        <f t="shared" si="8"/>
        <v>0</v>
      </c>
      <c r="O28" s="200">
        <f t="shared" si="5"/>
        <v>0</v>
      </c>
      <c r="P28" s="126"/>
      <c r="Q28" s="126"/>
      <c r="S28" s="126"/>
      <c r="T28" s="119"/>
      <c r="V28" s="246"/>
      <c r="W28" s="246"/>
      <c r="X28" s="246"/>
      <c r="Y28" s="246"/>
      <c r="Z28" s="246"/>
      <c r="AA28" s="203"/>
      <c r="AB28" s="203"/>
      <c r="AC28" s="119"/>
      <c r="AE28" s="119"/>
      <c r="AI28" s="119"/>
      <c r="AJ28" s="483"/>
      <c r="AK28" s="483"/>
      <c r="AL28" s="483"/>
      <c r="AM28" s="483"/>
      <c r="AN28" s="483"/>
      <c r="AO28" s="483"/>
      <c r="AP28" s="483"/>
      <c r="AQ28" s="483"/>
      <c r="AR28" s="483"/>
      <c r="AS28" s="483"/>
      <c r="AT28" s="483"/>
      <c r="AU28" s="483"/>
      <c r="AV28" s="483"/>
      <c r="AW28" s="483"/>
      <c r="AX28" s="483"/>
      <c r="AY28" s="483"/>
      <c r="AZ28" s="483"/>
      <c r="BA28" s="101" t="s">
        <v>3077</v>
      </c>
      <c r="BB28" s="102" t="s">
        <v>1184</v>
      </c>
      <c r="BC28" s="102"/>
      <c r="BD28" s="103" t="s">
        <v>49</v>
      </c>
      <c r="BE28" s="100">
        <v>3</v>
      </c>
      <c r="BF28" s="242" t="s">
        <v>3078</v>
      </c>
      <c r="BG28" s="194" t="s">
        <v>3079</v>
      </c>
      <c r="BH28" s="195" t="s">
        <v>3080</v>
      </c>
      <c r="BI28" s="193" t="s">
        <v>3081</v>
      </c>
      <c r="BJ28" s="195" t="s">
        <v>3082</v>
      </c>
      <c r="BK28" s="193" t="s">
        <v>3083</v>
      </c>
      <c r="BL28" s="194" t="s">
        <v>3084</v>
      </c>
      <c r="BM28" s="195" t="s">
        <v>3085</v>
      </c>
      <c r="BN28" s="200" t="s">
        <v>3086</v>
      </c>
    </row>
    <row r="29" spans="2:66" s="483" customFormat="1" ht="14.5" thickBot="1">
      <c r="P29" s="70"/>
      <c r="Q29" s="70"/>
      <c r="R29" s="70"/>
      <c r="S29" s="70"/>
      <c r="T29" s="71"/>
      <c r="U29" s="70"/>
      <c r="V29" s="70"/>
      <c r="W29" s="70"/>
      <c r="X29" s="70"/>
      <c r="Y29" s="70"/>
      <c r="Z29" s="70"/>
      <c r="AA29" s="203"/>
      <c r="AB29" s="203"/>
      <c r="AC29" s="71"/>
      <c r="AD29" s="2"/>
      <c r="AE29" s="119"/>
      <c r="AF29" s="2"/>
      <c r="AG29" s="2"/>
      <c r="AH29" s="2"/>
      <c r="AI29" s="119"/>
    </row>
    <row r="30" spans="2:66" s="70" customFormat="1" ht="14.5" thickBot="1">
      <c r="B30" s="2865" t="s">
        <v>333</v>
      </c>
      <c r="C30" s="83" t="s">
        <v>1191</v>
      </c>
      <c r="D30" s="1495"/>
      <c r="E30" s="780"/>
      <c r="F30" s="780"/>
      <c r="G30" s="780"/>
      <c r="H30" s="780"/>
      <c r="I30" s="780"/>
      <c r="J30" s="780"/>
      <c r="K30" s="780"/>
      <c r="L30" s="780"/>
      <c r="M30" s="780"/>
      <c r="N30" s="780"/>
      <c r="O30" s="780"/>
      <c r="T30" s="71"/>
      <c r="AA30" s="203"/>
      <c r="AB30" s="203"/>
      <c r="AC30" s="71"/>
      <c r="AD30" s="2"/>
      <c r="AE30" s="119"/>
      <c r="AF30" s="2"/>
      <c r="AG30" s="2"/>
      <c r="AH30" s="2"/>
      <c r="AI30" s="119"/>
      <c r="BA30" s="2865" t="s">
        <v>333</v>
      </c>
      <c r="BB30" s="83" t="s">
        <v>1191</v>
      </c>
      <c r="BC30" s="1495"/>
      <c r="BD30" s="780"/>
      <c r="BE30" s="780"/>
      <c r="BF30" s="780"/>
      <c r="BG30" s="780"/>
      <c r="BH30" s="780"/>
      <c r="BI30" s="780"/>
      <c r="BJ30" s="780"/>
      <c r="BK30" s="780"/>
      <c r="BL30" s="780"/>
      <c r="BM30" s="780"/>
      <c r="BN30" s="780"/>
    </row>
    <row r="31" spans="2:66" ht="15" thickBot="1">
      <c r="B31" s="174" t="s">
        <v>3087</v>
      </c>
      <c r="C31" s="391" t="s">
        <v>1191</v>
      </c>
      <c r="D31" s="391"/>
      <c r="E31" s="175" t="s">
        <v>49</v>
      </c>
      <c r="F31" s="176">
        <v>3</v>
      </c>
      <c r="G31" s="776"/>
      <c r="H31" s="777"/>
      <c r="I31" s="778"/>
      <c r="J31" s="779"/>
      <c r="K31" s="778"/>
      <c r="L31" s="779"/>
      <c r="M31" s="777"/>
      <c r="N31" s="778"/>
      <c r="O31" s="399">
        <f t="shared" si="5"/>
        <v>0</v>
      </c>
      <c r="P31" s="126"/>
      <c r="Q31" s="1339">
        <f xml:space="preserve"> IF( SUM( AC31:AE31 ) = 0, 0, AH31 )</f>
        <v>0</v>
      </c>
      <c r="R31" s="24">
        <f t="shared" si="6"/>
        <v>0</v>
      </c>
      <c r="U31" s="93">
        <f>IF(Validation!$H$3=1,0,IF(ISNUMBER(G31),0,1))</f>
        <v>0</v>
      </c>
      <c r="V31" s="93">
        <f>IF(Validation!$H$3=1,0,IF(ISNUMBER(H31),0,1))</f>
        <v>0</v>
      </c>
      <c r="W31" s="93">
        <f>IF(Validation!$H$3=1,0,IF(ISNUMBER(I31),0,1))</f>
        <v>0</v>
      </c>
      <c r="X31" s="93">
        <f>IF(Validation!$H$3=1,0,IF(ISNUMBER(J31),0,1))</f>
        <v>0</v>
      </c>
      <c r="Y31" s="93">
        <f>IF(Validation!$H$3=1,0,IF(ISNUMBER(K31),0,1))</f>
        <v>0</v>
      </c>
      <c r="Z31" s="93">
        <f>IF(Validation!$H$3=1,0,IF(ISNUMBER(L31),0,1))</f>
        <v>0</v>
      </c>
      <c r="AA31" s="93">
        <f>IF(Validation!$H$3=1,0,IF(ISNUMBER(M31),0,1))</f>
        <v>0</v>
      </c>
      <c r="AB31" s="93">
        <f>IF(Validation!$H$3=1,0,IF(ISNUMBER(N31),0,1))</f>
        <v>0</v>
      </c>
      <c r="AD31" s="93">
        <f xml:space="preserve"> IF( (AF31 - AG31) = 0, 0, 1 )</f>
        <v>0</v>
      </c>
      <c r="AF31" s="165">
        <f xml:space="preserve"> O31</f>
        <v>0</v>
      </c>
      <c r="AG31" s="165">
        <f>'2E'!J24</f>
        <v>0</v>
      </c>
      <c r="AH31" s="1522" t="s">
        <v>3088</v>
      </c>
      <c r="AJ31" s="483"/>
      <c r="AK31" s="483"/>
      <c r="AL31" s="483"/>
      <c r="AM31" s="483"/>
      <c r="AN31" s="483"/>
      <c r="AO31" s="483"/>
      <c r="AP31" s="483"/>
      <c r="AQ31" s="483"/>
      <c r="AR31" s="483"/>
      <c r="AS31" s="483"/>
      <c r="AT31" s="483"/>
      <c r="AU31" s="483"/>
      <c r="AV31" s="483"/>
      <c r="AW31" s="483"/>
      <c r="AX31" s="483"/>
      <c r="AY31" s="483"/>
      <c r="AZ31" s="483"/>
      <c r="BA31" s="174" t="s">
        <v>3087</v>
      </c>
      <c r="BB31" s="391" t="s">
        <v>1191</v>
      </c>
      <c r="BC31" s="391"/>
      <c r="BD31" s="175" t="s">
        <v>49</v>
      </c>
      <c r="BE31" s="176">
        <v>3</v>
      </c>
      <c r="BF31" s="2531" t="s">
        <v>3089</v>
      </c>
      <c r="BG31" s="2532" t="s">
        <v>3090</v>
      </c>
      <c r="BH31" s="2533" t="s">
        <v>3091</v>
      </c>
      <c r="BI31" s="2534" t="s">
        <v>3092</v>
      </c>
      <c r="BJ31" s="2533" t="s">
        <v>3093</v>
      </c>
      <c r="BK31" s="2534" t="s">
        <v>3094</v>
      </c>
      <c r="BL31" s="2532" t="s">
        <v>3095</v>
      </c>
      <c r="BM31" s="2533" t="s">
        <v>3096</v>
      </c>
      <c r="BN31" s="399" t="s">
        <v>3097</v>
      </c>
    </row>
    <row r="32" spans="2:66" s="483" customFormat="1" ht="14.5" thickBot="1">
      <c r="P32" s="70"/>
      <c r="Q32" s="70"/>
      <c r="R32" s="70"/>
      <c r="S32" s="70"/>
      <c r="T32" s="71"/>
      <c r="U32" s="70"/>
      <c r="V32" s="70"/>
      <c r="W32" s="70"/>
      <c r="X32" s="70"/>
      <c r="Y32" s="70"/>
      <c r="Z32" s="70"/>
      <c r="AA32" s="203"/>
      <c r="AB32" s="203"/>
      <c r="AC32" s="71"/>
      <c r="AD32" s="2"/>
      <c r="AE32" s="119"/>
      <c r="AF32" s="2"/>
      <c r="AG32" s="2"/>
      <c r="AH32" s="2"/>
      <c r="AI32" s="119"/>
    </row>
    <row r="33" spans="2:66" ht="14.25" customHeight="1" thickBot="1">
      <c r="B33" s="131" t="s">
        <v>3098</v>
      </c>
      <c r="C33" s="132" t="s">
        <v>1201</v>
      </c>
      <c r="D33" s="132"/>
      <c r="E33" s="133" t="s">
        <v>49</v>
      </c>
      <c r="F33" s="134">
        <v>3</v>
      </c>
      <c r="G33" s="774">
        <f>G18+G28-G31</f>
        <v>0</v>
      </c>
      <c r="H33" s="745">
        <f t="shared" ref="H33:N33" si="9">H18+H28-H31</f>
        <v>0</v>
      </c>
      <c r="I33" s="247">
        <f t="shared" si="9"/>
        <v>0</v>
      </c>
      <c r="J33" s="744">
        <f t="shared" si="9"/>
        <v>0</v>
      </c>
      <c r="K33" s="247">
        <f t="shared" si="9"/>
        <v>0</v>
      </c>
      <c r="L33" s="744">
        <f t="shared" si="9"/>
        <v>0</v>
      </c>
      <c r="M33" s="745">
        <f t="shared" si="9"/>
        <v>0</v>
      </c>
      <c r="N33" s="247">
        <f t="shared" si="9"/>
        <v>0</v>
      </c>
      <c r="O33" s="490">
        <f t="shared" si="5"/>
        <v>0</v>
      </c>
      <c r="P33" s="126"/>
      <c r="Q33" s="126"/>
      <c r="S33" s="126"/>
      <c r="T33" s="119"/>
      <c r="U33" s="203"/>
      <c r="V33" s="203"/>
      <c r="W33" s="203"/>
      <c r="X33" s="203"/>
      <c r="Y33" s="203"/>
      <c r="Z33" s="203"/>
      <c r="AA33" s="203"/>
      <c r="AB33" s="203"/>
      <c r="AC33" s="119"/>
      <c r="AE33" s="119"/>
      <c r="AI33" s="119"/>
      <c r="AJ33" s="483"/>
      <c r="AK33" s="483"/>
      <c r="AL33" s="483"/>
      <c r="AM33" s="483"/>
      <c r="AN33" s="483"/>
      <c r="AO33" s="483"/>
      <c r="AP33" s="483"/>
      <c r="AQ33" s="483"/>
      <c r="AR33" s="483"/>
      <c r="AS33" s="483"/>
      <c r="AT33" s="483"/>
      <c r="AU33" s="483"/>
      <c r="AV33" s="483"/>
      <c r="AW33" s="483"/>
      <c r="AX33" s="483"/>
      <c r="AY33" s="483"/>
      <c r="AZ33" s="483"/>
      <c r="BA33" s="131" t="s">
        <v>3098</v>
      </c>
      <c r="BB33" s="132" t="s">
        <v>1201</v>
      </c>
      <c r="BC33" s="132"/>
      <c r="BD33" s="133" t="s">
        <v>49</v>
      </c>
      <c r="BE33" s="134">
        <v>3</v>
      </c>
      <c r="BF33" s="774" t="s">
        <v>3099</v>
      </c>
      <c r="BG33" s="745" t="s">
        <v>3100</v>
      </c>
      <c r="BH33" s="247" t="s">
        <v>3101</v>
      </c>
      <c r="BI33" s="744" t="s">
        <v>3102</v>
      </c>
      <c r="BJ33" s="247" t="s">
        <v>3103</v>
      </c>
      <c r="BK33" s="744" t="s">
        <v>3104</v>
      </c>
      <c r="BL33" s="745" t="s">
        <v>3105</v>
      </c>
      <c r="BM33" s="247" t="s">
        <v>3106</v>
      </c>
      <c r="BN33" s="490" t="s">
        <v>3107</v>
      </c>
    </row>
    <row r="34" spans="2:66" ht="14.5" thickBot="1">
      <c r="B34" s="483"/>
      <c r="C34" s="483"/>
      <c r="E34" s="483"/>
      <c r="F34" s="483"/>
      <c r="G34" s="483"/>
      <c r="H34" s="483"/>
      <c r="I34" s="483"/>
      <c r="J34" s="483"/>
      <c r="K34" s="483"/>
      <c r="L34" s="483"/>
      <c r="M34" s="483"/>
      <c r="N34" s="483"/>
      <c r="O34" s="483"/>
      <c r="P34" s="126"/>
      <c r="Q34" s="126"/>
      <c r="S34" s="126"/>
      <c r="T34" s="119"/>
      <c r="U34" s="203"/>
      <c r="V34" s="203"/>
      <c r="W34" s="203"/>
      <c r="X34" s="203"/>
      <c r="Y34" s="203"/>
      <c r="Z34" s="203"/>
      <c r="AA34" s="203"/>
      <c r="AB34" s="203"/>
      <c r="AC34" s="119"/>
      <c r="AE34" s="119"/>
      <c r="AI34" s="119"/>
      <c r="AJ34" s="483"/>
      <c r="AK34" s="483"/>
      <c r="AL34" s="483"/>
      <c r="AM34" s="483"/>
      <c r="AN34" s="483"/>
      <c r="AO34" s="483"/>
      <c r="AP34" s="483"/>
      <c r="AQ34" s="483"/>
      <c r="AR34" s="483"/>
      <c r="AS34" s="483"/>
      <c r="AT34" s="483"/>
      <c r="AU34" s="483"/>
      <c r="AV34" s="483"/>
      <c r="AW34" s="483"/>
      <c r="AX34" s="483"/>
      <c r="AY34" s="483"/>
      <c r="AZ34" s="483"/>
    </row>
    <row r="35" spans="2:66" s="70" customFormat="1" ht="14.5" thickBot="1">
      <c r="B35" s="113" t="s">
        <v>333</v>
      </c>
      <c r="C35" s="114" t="s">
        <v>1208</v>
      </c>
      <c r="D35" s="1473"/>
      <c r="P35" s="126"/>
      <c r="Q35" s="126"/>
      <c r="S35" s="126"/>
      <c r="T35" s="119"/>
      <c r="U35" s="203"/>
      <c r="V35" s="203"/>
      <c r="W35" s="203"/>
      <c r="X35" s="203"/>
      <c r="Y35" s="203"/>
      <c r="Z35" s="203"/>
      <c r="AA35" s="203"/>
      <c r="AB35" s="203"/>
      <c r="AC35" s="119"/>
      <c r="AD35" s="483"/>
      <c r="AE35" s="119"/>
      <c r="AF35" s="483"/>
      <c r="AG35" s="483"/>
      <c r="AH35" s="483"/>
      <c r="AI35" s="119"/>
      <c r="BA35" s="113" t="s">
        <v>333</v>
      </c>
      <c r="BB35" s="114" t="s">
        <v>1208</v>
      </c>
      <c r="BC35" s="1473"/>
    </row>
    <row r="36" spans="2:66" ht="14.25" customHeight="1">
      <c r="B36" s="86" t="s">
        <v>3108</v>
      </c>
      <c r="C36" s="117" t="s">
        <v>1210</v>
      </c>
      <c r="D36" s="117"/>
      <c r="E36" s="88" t="s">
        <v>49</v>
      </c>
      <c r="F36" s="89">
        <v>3</v>
      </c>
      <c r="G36" s="424"/>
      <c r="H36" s="425"/>
      <c r="I36" s="415"/>
      <c r="J36" s="414"/>
      <c r="K36" s="415"/>
      <c r="L36" s="414"/>
      <c r="M36" s="425"/>
      <c r="N36" s="415"/>
      <c r="O36" s="199">
        <f>SUM(G36:N36)</f>
        <v>0</v>
      </c>
      <c r="P36" s="126"/>
      <c r="Q36" s="126"/>
      <c r="R36" s="24">
        <f t="shared" ref="R36:R37" si="10" xml:space="preserve"> IF( SUM( T36:AC36 ) = 0, 0, $U$6 )</f>
        <v>0</v>
      </c>
      <c r="U36" s="93">
        <f>IF(Validation!$H$3=1,0,IF(ISNUMBER(G36),0,1))</f>
        <v>0</v>
      </c>
      <c r="V36" s="93">
        <f>IF(Validation!$H$3=1,0,IF(ISNUMBER(H36),0,1))</f>
        <v>0</v>
      </c>
      <c r="W36" s="93">
        <f>IF(Validation!$H$3=1,0,IF(ISNUMBER(I36),0,1))</f>
        <v>0</v>
      </c>
      <c r="X36" s="93">
        <f>IF(Validation!$H$3=1,0,IF(ISNUMBER(J36),0,1))</f>
        <v>0</v>
      </c>
      <c r="Y36" s="93">
        <f>IF(Validation!$H$3=1,0,IF(ISNUMBER(K36),0,1))</f>
        <v>0</v>
      </c>
      <c r="Z36" s="93">
        <f>IF(Validation!$H$3=1,0,IF(ISNUMBER(L36),0,1))</f>
        <v>0</v>
      </c>
      <c r="AA36" s="93">
        <f>IF(Validation!$H$3=1,0,IF(ISNUMBER(M36),0,1))</f>
        <v>0</v>
      </c>
      <c r="AB36" s="93">
        <f>IF(Validation!$H$3=1,0,IF(ISNUMBER(N36),0,1))</f>
        <v>0</v>
      </c>
      <c r="AJ36" s="483"/>
      <c r="AK36" s="483"/>
      <c r="AL36" s="483"/>
      <c r="AM36" s="483"/>
      <c r="AN36" s="483"/>
      <c r="AO36" s="483"/>
      <c r="AP36" s="483"/>
      <c r="AQ36" s="483"/>
      <c r="AR36" s="483"/>
      <c r="AS36" s="483"/>
      <c r="AT36" s="483"/>
      <c r="AU36" s="483"/>
      <c r="AV36" s="483"/>
      <c r="AW36" s="483"/>
      <c r="AX36" s="483"/>
      <c r="AY36" s="483"/>
      <c r="AZ36" s="483"/>
      <c r="BA36" s="86" t="s">
        <v>3108</v>
      </c>
      <c r="BB36" s="117" t="s">
        <v>1210</v>
      </c>
      <c r="BC36" s="117"/>
      <c r="BD36" s="88" t="s">
        <v>49</v>
      </c>
      <c r="BE36" s="89">
        <v>3</v>
      </c>
      <c r="BF36" s="2439" t="s">
        <v>3109</v>
      </c>
      <c r="BG36" s="2381" t="s">
        <v>3110</v>
      </c>
      <c r="BH36" s="2524" t="s">
        <v>3111</v>
      </c>
      <c r="BI36" s="2380" t="s">
        <v>3112</v>
      </c>
      <c r="BJ36" s="2524" t="s">
        <v>3113</v>
      </c>
      <c r="BK36" s="2380" t="s">
        <v>3114</v>
      </c>
      <c r="BL36" s="2381" t="s">
        <v>3115</v>
      </c>
      <c r="BM36" s="2524" t="s">
        <v>3116</v>
      </c>
      <c r="BN36" s="199" t="s">
        <v>3117</v>
      </c>
    </row>
    <row r="37" spans="2:66" ht="14.25" customHeight="1" thickBot="1">
      <c r="B37" s="101" t="s">
        <v>3118</v>
      </c>
      <c r="C37" s="102" t="s">
        <v>1218</v>
      </c>
      <c r="D37" s="102"/>
      <c r="E37" s="103" t="s">
        <v>49</v>
      </c>
      <c r="F37" s="100">
        <v>3</v>
      </c>
      <c r="G37" s="768"/>
      <c r="H37" s="462"/>
      <c r="I37" s="767"/>
      <c r="J37" s="461"/>
      <c r="K37" s="767"/>
      <c r="L37" s="461"/>
      <c r="M37" s="462"/>
      <c r="N37" s="767"/>
      <c r="O37" s="200">
        <f>SUM(G37:N37)</f>
        <v>0</v>
      </c>
      <c r="P37" s="126"/>
      <c r="Q37" s="126"/>
      <c r="R37" s="24">
        <f t="shared" si="10"/>
        <v>0</v>
      </c>
      <c r="U37" s="93">
        <f>IF(Validation!$H$3=1,0,IF(ISNUMBER(G37),0,1))</f>
        <v>0</v>
      </c>
      <c r="V37" s="93">
        <f>IF(Validation!$H$3=1,0,IF(ISNUMBER(H37),0,1))</f>
        <v>0</v>
      </c>
      <c r="W37" s="93">
        <f>IF(Validation!$H$3=1,0,IF(ISNUMBER(I37),0,1))</f>
        <v>0</v>
      </c>
      <c r="X37" s="93">
        <f>IF(Validation!$H$3=1,0,IF(ISNUMBER(J37),0,1))</f>
        <v>0</v>
      </c>
      <c r="Y37" s="93">
        <f>IF(Validation!$H$3=1,0,IF(ISNUMBER(K37),0,1))</f>
        <v>0</v>
      </c>
      <c r="Z37" s="93">
        <f>IF(Validation!$H$3=1,0,IF(ISNUMBER(L37),0,1))</f>
        <v>0</v>
      </c>
      <c r="AA37" s="93">
        <f>IF(Validation!$H$3=1,0,IF(ISNUMBER(M37),0,1))</f>
        <v>0</v>
      </c>
      <c r="AB37" s="93">
        <f>IF(Validation!$H$3=1,0,IF(ISNUMBER(N37),0,1))</f>
        <v>0</v>
      </c>
      <c r="AJ37" s="483"/>
      <c r="AK37" s="483"/>
      <c r="AL37" s="483"/>
      <c r="AM37" s="483"/>
      <c r="AN37" s="483"/>
      <c r="AO37" s="483"/>
      <c r="AP37" s="483"/>
      <c r="AQ37" s="483"/>
      <c r="AR37" s="483"/>
      <c r="AS37" s="483"/>
      <c r="AT37" s="483"/>
      <c r="AU37" s="483"/>
      <c r="AV37" s="483"/>
      <c r="AW37" s="483"/>
      <c r="AX37" s="483"/>
      <c r="AY37" s="483"/>
      <c r="AZ37" s="483"/>
      <c r="BA37" s="101" t="s">
        <v>3118</v>
      </c>
      <c r="BB37" s="102" t="s">
        <v>1218</v>
      </c>
      <c r="BC37" s="102"/>
      <c r="BD37" s="103" t="s">
        <v>49</v>
      </c>
      <c r="BE37" s="100">
        <v>3</v>
      </c>
      <c r="BF37" s="2530" t="s">
        <v>3119</v>
      </c>
      <c r="BG37" s="2407" t="s">
        <v>3120</v>
      </c>
      <c r="BH37" s="2529" t="s">
        <v>3121</v>
      </c>
      <c r="BI37" s="2406" t="s">
        <v>3122</v>
      </c>
      <c r="BJ37" s="2529" t="s">
        <v>3123</v>
      </c>
      <c r="BK37" s="2406" t="s">
        <v>3124</v>
      </c>
      <c r="BL37" s="2407" t="s">
        <v>3125</v>
      </c>
      <c r="BM37" s="2529" t="s">
        <v>3126</v>
      </c>
      <c r="BN37" s="200" t="s">
        <v>3127</v>
      </c>
    </row>
    <row r="38" spans="2:66" s="483" customFormat="1" ht="14.5" thickBot="1">
      <c r="P38" s="126"/>
      <c r="Q38" s="126"/>
      <c r="R38" s="70"/>
      <c r="S38" s="126"/>
      <c r="T38" s="119"/>
      <c r="U38" s="203"/>
      <c r="V38" s="203"/>
      <c r="W38" s="203"/>
      <c r="X38" s="203"/>
      <c r="Y38" s="203"/>
      <c r="Z38" s="203"/>
      <c r="AA38" s="203"/>
      <c r="AB38" s="203"/>
      <c r="AC38" s="119"/>
      <c r="AE38" s="119"/>
      <c r="AI38" s="119"/>
    </row>
    <row r="39" spans="2:66" ht="14.25" customHeight="1" thickBot="1">
      <c r="B39" s="131" t="s">
        <v>3128</v>
      </c>
      <c r="C39" s="132" t="s">
        <v>1226</v>
      </c>
      <c r="D39" s="132"/>
      <c r="E39" s="133" t="s">
        <v>49</v>
      </c>
      <c r="F39" s="134">
        <v>3</v>
      </c>
      <c r="G39" s="774">
        <f t="shared" ref="G39:N39" si="11">G33 + G36 + G37</f>
        <v>0</v>
      </c>
      <c r="H39" s="745">
        <f t="shared" si="11"/>
        <v>0</v>
      </c>
      <c r="I39" s="247">
        <f t="shared" si="11"/>
        <v>0</v>
      </c>
      <c r="J39" s="744">
        <f t="shared" si="11"/>
        <v>0</v>
      </c>
      <c r="K39" s="247">
        <f t="shared" si="11"/>
        <v>0</v>
      </c>
      <c r="L39" s="744">
        <f t="shared" si="11"/>
        <v>0</v>
      </c>
      <c r="M39" s="745">
        <f t="shared" si="11"/>
        <v>0</v>
      </c>
      <c r="N39" s="247">
        <f t="shared" si="11"/>
        <v>0</v>
      </c>
      <c r="O39" s="490">
        <f>SUM(G39:N39)</f>
        <v>0</v>
      </c>
      <c r="P39" s="126"/>
      <c r="Q39" s="126"/>
      <c r="S39" s="126"/>
      <c r="T39" s="119"/>
      <c r="U39" s="203"/>
      <c r="V39" s="203"/>
      <c r="W39" s="203"/>
      <c r="X39" s="203"/>
      <c r="Y39" s="203"/>
      <c r="Z39" s="203"/>
      <c r="AA39" s="203"/>
      <c r="AB39" s="203"/>
      <c r="AC39" s="119"/>
      <c r="AE39" s="119"/>
      <c r="AI39" s="119"/>
      <c r="AJ39" s="483"/>
      <c r="AK39" s="483"/>
      <c r="AL39" s="483"/>
      <c r="AM39" s="483"/>
      <c r="AN39" s="483"/>
      <c r="AO39" s="483"/>
      <c r="AP39" s="483"/>
      <c r="AQ39" s="483"/>
      <c r="AR39" s="483"/>
      <c r="AS39" s="483"/>
      <c r="AT39" s="483"/>
      <c r="AU39" s="483"/>
      <c r="AV39" s="483"/>
      <c r="AW39" s="483"/>
      <c r="AX39" s="483"/>
      <c r="AY39" s="483"/>
      <c r="AZ39" s="483"/>
      <c r="BA39" s="131" t="s">
        <v>3128</v>
      </c>
      <c r="BB39" s="132" t="s">
        <v>1226</v>
      </c>
      <c r="BC39" s="132"/>
      <c r="BD39" s="133" t="s">
        <v>49</v>
      </c>
      <c r="BE39" s="134">
        <v>3</v>
      </c>
      <c r="BF39" s="774" t="s">
        <v>3129</v>
      </c>
      <c r="BG39" s="745" t="s">
        <v>3130</v>
      </c>
      <c r="BH39" s="247" t="s">
        <v>3131</v>
      </c>
      <c r="BI39" s="744" t="s">
        <v>3132</v>
      </c>
      <c r="BJ39" s="247" t="s">
        <v>3133</v>
      </c>
      <c r="BK39" s="744" t="s">
        <v>3134</v>
      </c>
      <c r="BL39" s="745" t="s">
        <v>3135</v>
      </c>
      <c r="BM39" s="247" t="s">
        <v>3136</v>
      </c>
      <c r="BN39" s="490" t="s">
        <v>3137</v>
      </c>
    </row>
    <row r="40" spans="2:66" ht="14.5" thickBot="1">
      <c r="B40" s="483"/>
      <c r="C40" s="483"/>
      <c r="E40" s="483"/>
      <c r="F40" s="483"/>
      <c r="G40" s="483"/>
      <c r="H40" s="483"/>
      <c r="I40" s="483"/>
      <c r="J40" s="483"/>
      <c r="K40" s="483"/>
      <c r="L40" s="483"/>
      <c r="M40" s="483"/>
      <c r="N40" s="483"/>
      <c r="O40" s="483"/>
      <c r="P40" s="126"/>
      <c r="Q40" s="126"/>
      <c r="S40" s="118"/>
      <c r="T40" s="124"/>
      <c r="U40" s="203"/>
      <c r="V40" s="203"/>
      <c r="W40" s="203"/>
      <c r="X40" s="203"/>
      <c r="Y40" s="203"/>
      <c r="Z40" s="203"/>
      <c r="AA40" s="203"/>
      <c r="AB40" s="203"/>
      <c r="AC40" s="124"/>
      <c r="AE40" s="124"/>
      <c r="AI40" s="124"/>
      <c r="AJ40" s="483"/>
      <c r="AK40" s="483"/>
      <c r="AL40" s="483"/>
      <c r="AM40" s="483"/>
      <c r="AN40" s="483"/>
      <c r="AO40" s="483"/>
      <c r="AP40" s="483"/>
      <c r="AQ40" s="483"/>
      <c r="AR40" s="483"/>
      <c r="AS40" s="483"/>
      <c r="AT40" s="483"/>
      <c r="AU40" s="483"/>
      <c r="AV40" s="483"/>
      <c r="AW40" s="483"/>
      <c r="AX40" s="483"/>
      <c r="AY40" s="483"/>
      <c r="AZ40" s="483"/>
    </row>
    <row r="41" spans="2:66" ht="14.5" thickBot="1">
      <c r="B41" s="113" t="s">
        <v>390</v>
      </c>
      <c r="C41" s="114" t="s">
        <v>2817</v>
      </c>
      <c r="D41" s="1473"/>
      <c r="E41" s="70"/>
      <c r="F41" s="70"/>
      <c r="G41" s="483"/>
      <c r="H41" s="483"/>
      <c r="I41" s="483"/>
      <c r="J41" s="483"/>
      <c r="K41" s="483"/>
      <c r="L41" s="483"/>
      <c r="M41" s="483"/>
      <c r="N41" s="483"/>
      <c r="O41" s="483"/>
      <c r="P41" s="126"/>
      <c r="Q41" s="126"/>
      <c r="S41" s="118"/>
      <c r="T41" s="124"/>
      <c r="U41" s="203"/>
      <c r="V41" s="203"/>
      <c r="W41" s="203"/>
      <c r="X41" s="203"/>
      <c r="Y41" s="203"/>
      <c r="Z41" s="203"/>
      <c r="AA41" s="203"/>
      <c r="AB41" s="203"/>
      <c r="AC41" s="124"/>
      <c r="AE41" s="124"/>
      <c r="AI41" s="124"/>
      <c r="AJ41" s="483"/>
      <c r="AK41" s="483"/>
      <c r="AL41" s="483"/>
      <c r="AM41" s="483"/>
      <c r="AN41" s="483"/>
      <c r="AO41" s="483"/>
      <c r="AP41" s="483"/>
      <c r="AQ41" s="483"/>
      <c r="AR41" s="483"/>
      <c r="AS41" s="483"/>
      <c r="AT41" s="483"/>
      <c r="AU41" s="483"/>
      <c r="AV41" s="483"/>
      <c r="AW41" s="483"/>
      <c r="AX41" s="483"/>
      <c r="AY41" s="483"/>
      <c r="AZ41" s="483"/>
      <c r="BA41" s="113" t="s">
        <v>390</v>
      </c>
      <c r="BB41" s="114" t="s">
        <v>2817</v>
      </c>
      <c r="BC41" s="1473"/>
      <c r="BD41" s="70"/>
      <c r="BE41" s="70"/>
    </row>
    <row r="42" spans="2:66" ht="14.25" customHeight="1" thickBot="1">
      <c r="B42" s="86" t="s">
        <v>3138</v>
      </c>
      <c r="C42" s="117" t="s">
        <v>3139</v>
      </c>
      <c r="D42" s="117"/>
      <c r="E42" s="88" t="s">
        <v>2820</v>
      </c>
      <c r="F42" s="215">
        <v>3</v>
      </c>
      <c r="G42" s="427"/>
      <c r="H42" s="483"/>
      <c r="I42" s="483"/>
      <c r="J42" s="483"/>
      <c r="K42" s="483"/>
      <c r="L42" s="483"/>
      <c r="M42" s="483"/>
      <c r="N42" s="483"/>
      <c r="O42" s="483"/>
      <c r="P42" s="126"/>
      <c r="Q42" s="126"/>
      <c r="R42" s="24">
        <f t="shared" ref="R42:R49" si="12" xml:space="preserve"> IF( SUM( T42:AC42 ) = 0, 0, $U$6 )</f>
        <v>0</v>
      </c>
      <c r="S42" s="118"/>
      <c r="T42" s="124"/>
      <c r="U42" s="93">
        <f>IF(Validation!$H$3=1,0,IF(ISNUMBER(G42),0,1))</f>
        <v>0</v>
      </c>
      <c r="V42" s="203"/>
      <c r="W42" s="203"/>
      <c r="X42" s="203"/>
      <c r="Y42" s="203"/>
      <c r="Z42" s="203"/>
      <c r="AA42" s="203"/>
      <c r="AB42" s="203"/>
      <c r="AC42" s="124"/>
      <c r="AE42" s="124"/>
      <c r="AI42" s="124"/>
      <c r="AJ42" s="483"/>
      <c r="AK42" s="483"/>
      <c r="AL42" s="483"/>
      <c r="AM42" s="483"/>
      <c r="AN42" s="483"/>
      <c r="AO42" s="483"/>
      <c r="AP42" s="483"/>
      <c r="AQ42" s="483"/>
      <c r="AR42" s="483"/>
      <c r="AS42" s="483"/>
      <c r="AT42" s="483"/>
      <c r="AU42" s="483"/>
      <c r="AV42" s="483"/>
      <c r="AW42" s="483"/>
      <c r="AX42" s="483"/>
      <c r="AY42" s="483"/>
      <c r="AZ42" s="483"/>
      <c r="BA42" s="86" t="s">
        <v>3138</v>
      </c>
      <c r="BB42" s="117" t="s">
        <v>3139</v>
      </c>
      <c r="BC42" s="117"/>
      <c r="BD42" s="88" t="s">
        <v>2820</v>
      </c>
      <c r="BE42" s="215">
        <v>3</v>
      </c>
      <c r="BF42" s="2387" t="s">
        <v>3140</v>
      </c>
    </row>
    <row r="43" spans="2:66" ht="14.25" customHeight="1" thickBot="1">
      <c r="B43" s="94" t="s">
        <v>3138</v>
      </c>
      <c r="C43" s="87" t="s">
        <v>3139</v>
      </c>
      <c r="D43" s="87"/>
      <c r="E43" s="95" t="s">
        <v>2820</v>
      </c>
      <c r="F43" s="96">
        <v>3</v>
      </c>
      <c r="G43" s="483"/>
      <c r="H43" s="427"/>
      <c r="I43" s="483"/>
      <c r="J43" s="483"/>
      <c r="K43" s="483"/>
      <c r="L43" s="483"/>
      <c r="M43" s="483"/>
      <c r="N43" s="483"/>
      <c r="O43" s="483"/>
      <c r="P43" s="126"/>
      <c r="Q43" s="126"/>
      <c r="R43" s="24">
        <f t="shared" si="12"/>
        <v>0</v>
      </c>
      <c r="U43" s="203"/>
      <c r="V43" s="93">
        <f>IF(Validation!$H$3=1,0,IF(ISNUMBER(H43),0,1))</f>
        <v>0</v>
      </c>
      <c r="W43" s="203"/>
      <c r="X43" s="203"/>
      <c r="Y43" s="203"/>
      <c r="Z43" s="203"/>
      <c r="AA43" s="203"/>
      <c r="AB43" s="203"/>
      <c r="AJ43" s="483"/>
      <c r="AK43" s="483"/>
      <c r="AL43" s="483"/>
      <c r="AM43" s="483"/>
      <c r="AN43" s="483"/>
      <c r="AO43" s="483"/>
      <c r="AP43" s="483"/>
      <c r="AQ43" s="483"/>
      <c r="AR43" s="483"/>
      <c r="AS43" s="483"/>
      <c r="AT43" s="483"/>
      <c r="AU43" s="483"/>
      <c r="AV43" s="483"/>
      <c r="AW43" s="483"/>
      <c r="AX43" s="483"/>
      <c r="AY43" s="483"/>
      <c r="AZ43" s="483"/>
      <c r="BA43" s="94" t="s">
        <v>3138</v>
      </c>
      <c r="BB43" s="87" t="s">
        <v>3139</v>
      </c>
      <c r="BC43" s="87"/>
      <c r="BD43" s="95" t="s">
        <v>2820</v>
      </c>
      <c r="BE43" s="96">
        <v>3</v>
      </c>
      <c r="BG43" s="2387" t="s">
        <v>3141</v>
      </c>
    </row>
    <row r="44" spans="2:66" ht="14.25" customHeight="1" thickBot="1">
      <c r="B44" s="94" t="s">
        <v>3138</v>
      </c>
      <c r="C44" s="87" t="s">
        <v>3139</v>
      </c>
      <c r="D44" s="87"/>
      <c r="E44" s="95" t="s">
        <v>2820</v>
      </c>
      <c r="F44" s="96">
        <v>3</v>
      </c>
      <c r="G44" s="483"/>
      <c r="H44" s="483"/>
      <c r="I44" s="427"/>
      <c r="J44" s="483"/>
      <c r="K44" s="483"/>
      <c r="L44" s="483"/>
      <c r="M44" s="483"/>
      <c r="N44" s="483"/>
      <c r="O44" s="483"/>
      <c r="P44" s="126"/>
      <c r="Q44" s="126"/>
      <c r="R44" s="24">
        <f t="shared" si="12"/>
        <v>0</v>
      </c>
      <c r="U44" s="203"/>
      <c r="V44" s="203"/>
      <c r="W44" s="93">
        <f>IF(Validation!$H$3=1,0,IF(ISNUMBER(I44),0,1))</f>
        <v>0</v>
      </c>
      <c r="X44" s="203"/>
      <c r="Y44" s="203"/>
      <c r="Z44" s="203"/>
      <c r="AA44" s="203"/>
      <c r="AB44" s="203"/>
      <c r="AJ44" s="483"/>
      <c r="AK44" s="483"/>
      <c r="AL44" s="483"/>
      <c r="AM44" s="483"/>
      <c r="AN44" s="483"/>
      <c r="AO44" s="483"/>
      <c r="AP44" s="483"/>
      <c r="AQ44" s="483"/>
      <c r="AR44" s="483"/>
      <c r="AS44" s="483"/>
      <c r="AT44" s="483"/>
      <c r="AU44" s="483"/>
      <c r="AV44" s="483"/>
      <c r="AW44" s="483"/>
      <c r="AX44" s="483"/>
      <c r="AY44" s="483"/>
      <c r="AZ44" s="483"/>
      <c r="BA44" s="94" t="s">
        <v>3138</v>
      </c>
      <c r="BB44" s="87" t="s">
        <v>3139</v>
      </c>
      <c r="BC44" s="87"/>
      <c r="BD44" s="95" t="s">
        <v>2820</v>
      </c>
      <c r="BE44" s="96">
        <v>3</v>
      </c>
      <c r="BH44" s="2387" t="s">
        <v>3142</v>
      </c>
    </row>
    <row r="45" spans="2:66" ht="14.25" customHeight="1" thickBot="1">
      <c r="B45" s="94" t="s">
        <v>3138</v>
      </c>
      <c r="C45" s="87" t="s">
        <v>3143</v>
      </c>
      <c r="D45" s="87"/>
      <c r="E45" s="95" t="s">
        <v>3144</v>
      </c>
      <c r="F45" s="96">
        <v>3</v>
      </c>
      <c r="G45" s="483"/>
      <c r="H45" s="483"/>
      <c r="I45" s="483"/>
      <c r="J45" s="427"/>
      <c r="K45" s="483"/>
      <c r="L45" s="483"/>
      <c r="M45" s="483"/>
      <c r="N45" s="483"/>
      <c r="O45" s="483"/>
      <c r="P45" s="130"/>
      <c r="Q45" s="130"/>
      <c r="R45" s="24">
        <f t="shared" si="12"/>
        <v>0</v>
      </c>
      <c r="U45" s="203"/>
      <c r="V45" s="203"/>
      <c r="W45" s="203"/>
      <c r="X45" s="93">
        <f>IF(Validation!$H$3=1,0,IF(ISNUMBER(J45),0,1))</f>
        <v>0</v>
      </c>
      <c r="Y45" s="203"/>
      <c r="Z45" s="203"/>
      <c r="AA45" s="203"/>
      <c r="AB45" s="203"/>
      <c r="AJ45" s="483"/>
      <c r="AK45" s="483"/>
      <c r="AL45" s="483"/>
      <c r="AM45" s="483"/>
      <c r="AN45" s="483"/>
      <c r="AO45" s="483"/>
      <c r="AP45" s="483"/>
      <c r="AQ45" s="483"/>
      <c r="AR45" s="483"/>
      <c r="AS45" s="483"/>
      <c r="AT45" s="483"/>
      <c r="AU45" s="483"/>
      <c r="AV45" s="483"/>
      <c r="AW45" s="483"/>
      <c r="AX45" s="483"/>
      <c r="AY45" s="483"/>
      <c r="AZ45" s="483"/>
      <c r="BA45" s="94" t="s">
        <v>3138</v>
      </c>
      <c r="BB45" s="87" t="s">
        <v>3143</v>
      </c>
      <c r="BC45" s="87"/>
      <c r="BD45" s="95" t="s">
        <v>3144</v>
      </c>
      <c r="BE45" s="96">
        <v>3</v>
      </c>
      <c r="BI45" s="2387" t="s">
        <v>3145</v>
      </c>
    </row>
    <row r="46" spans="2:66" ht="14.25" customHeight="1" thickBot="1">
      <c r="B46" s="94" t="s">
        <v>3138</v>
      </c>
      <c r="C46" s="87" t="s">
        <v>3143</v>
      </c>
      <c r="D46" s="87"/>
      <c r="E46" s="95" t="s">
        <v>3144</v>
      </c>
      <c r="F46" s="96">
        <v>3</v>
      </c>
      <c r="G46" s="483"/>
      <c r="H46" s="483"/>
      <c r="I46" s="483"/>
      <c r="J46" s="483"/>
      <c r="K46" s="427"/>
      <c r="L46" s="483"/>
      <c r="M46" s="483"/>
      <c r="N46" s="483"/>
      <c r="O46" s="483"/>
      <c r="P46" s="130"/>
      <c r="Q46" s="130"/>
      <c r="R46" s="24">
        <f t="shared" si="12"/>
        <v>0</v>
      </c>
      <c r="U46" s="203"/>
      <c r="V46" s="203"/>
      <c r="W46" s="203"/>
      <c r="X46" s="203"/>
      <c r="Y46" s="93">
        <f>IF(Validation!$H$3=1,0,IF(ISNUMBER(K46),0,1))</f>
        <v>0</v>
      </c>
      <c r="Z46" s="203"/>
      <c r="AA46" s="203"/>
      <c r="AB46" s="203"/>
      <c r="AJ46" s="483"/>
      <c r="AK46" s="483"/>
      <c r="AL46" s="483"/>
      <c r="AM46" s="483"/>
      <c r="AN46" s="483"/>
      <c r="AO46" s="483"/>
      <c r="AP46" s="483"/>
      <c r="AQ46" s="483"/>
      <c r="AR46" s="483"/>
      <c r="AS46" s="483"/>
      <c r="AT46" s="483"/>
      <c r="AU46" s="483"/>
      <c r="AV46" s="483"/>
      <c r="AW46" s="483"/>
      <c r="AX46" s="483"/>
      <c r="AY46" s="483"/>
      <c r="AZ46" s="483"/>
      <c r="BA46" s="94" t="s">
        <v>3138</v>
      </c>
      <c r="BB46" s="87" t="s">
        <v>3143</v>
      </c>
      <c r="BC46" s="87"/>
      <c r="BD46" s="95" t="s">
        <v>3144</v>
      </c>
      <c r="BE46" s="96">
        <v>3</v>
      </c>
      <c r="BJ46" s="2387" t="s">
        <v>3146</v>
      </c>
    </row>
    <row r="47" spans="2:66" ht="14.25" customHeight="1" thickBot="1">
      <c r="B47" s="94" t="s">
        <v>3138</v>
      </c>
      <c r="C47" s="87" t="s">
        <v>3147</v>
      </c>
      <c r="D47" s="87"/>
      <c r="E47" s="95" t="s">
        <v>3148</v>
      </c>
      <c r="F47" s="96">
        <v>3</v>
      </c>
      <c r="G47" s="483"/>
      <c r="H47" s="483"/>
      <c r="I47" s="483"/>
      <c r="J47" s="483"/>
      <c r="K47" s="483"/>
      <c r="L47" s="427"/>
      <c r="M47" s="483"/>
      <c r="N47" s="483"/>
      <c r="O47" s="483"/>
      <c r="P47" s="130"/>
      <c r="Q47" s="130"/>
      <c r="R47" s="24">
        <f t="shared" si="12"/>
        <v>0</v>
      </c>
      <c r="U47" s="203"/>
      <c r="V47" s="203"/>
      <c r="W47" s="203"/>
      <c r="X47" s="203"/>
      <c r="Y47" s="203"/>
      <c r="Z47" s="93">
        <f>IF(Validation!$H$3=1,0,IF(ISNUMBER(L47),0,1))</f>
        <v>0</v>
      </c>
      <c r="AA47" s="203"/>
      <c r="AB47" s="203"/>
      <c r="AJ47" s="483"/>
      <c r="AK47" s="483"/>
      <c r="AL47" s="483"/>
      <c r="AM47" s="483"/>
      <c r="AN47" s="483"/>
      <c r="AO47" s="483"/>
      <c r="AP47" s="483"/>
      <c r="AQ47" s="483"/>
      <c r="AR47" s="483"/>
      <c r="AS47" s="483"/>
      <c r="AT47" s="483"/>
      <c r="AU47" s="483"/>
      <c r="AV47" s="483"/>
      <c r="AW47" s="483"/>
      <c r="AX47" s="483"/>
      <c r="AY47" s="483"/>
      <c r="AZ47" s="483"/>
      <c r="BA47" s="94" t="s">
        <v>3138</v>
      </c>
      <c r="BB47" s="87" t="s">
        <v>3147</v>
      </c>
      <c r="BC47" s="87"/>
      <c r="BD47" s="95" t="s">
        <v>3148</v>
      </c>
      <c r="BE47" s="96">
        <v>3</v>
      </c>
      <c r="BK47" s="2387" t="s">
        <v>3149</v>
      </c>
    </row>
    <row r="48" spans="2:66" ht="14.25" customHeight="1" thickBot="1">
      <c r="B48" s="94" t="s">
        <v>3138</v>
      </c>
      <c r="C48" s="87" t="s">
        <v>3150</v>
      </c>
      <c r="D48" s="87"/>
      <c r="E48" s="95" t="s">
        <v>3151</v>
      </c>
      <c r="F48" s="96">
        <v>3</v>
      </c>
      <c r="G48" s="483"/>
      <c r="H48" s="483"/>
      <c r="I48" s="483"/>
      <c r="J48" s="483"/>
      <c r="K48" s="483"/>
      <c r="L48" s="483"/>
      <c r="M48" s="427"/>
      <c r="N48" s="483"/>
      <c r="O48" s="483"/>
      <c r="P48" s="130"/>
      <c r="Q48" s="130"/>
      <c r="R48" s="24">
        <f t="shared" si="12"/>
        <v>0</v>
      </c>
      <c r="S48" s="118"/>
      <c r="T48" s="124"/>
      <c r="U48" s="203"/>
      <c r="V48" s="203"/>
      <c r="W48" s="203"/>
      <c r="X48" s="203"/>
      <c r="Y48" s="203"/>
      <c r="Z48" s="203"/>
      <c r="AA48" s="93">
        <f>IF(Validation!$H$3=1,0,IF(ISNUMBER(M48),0,1))</f>
        <v>0</v>
      </c>
      <c r="AB48" s="203"/>
      <c r="AC48" s="124"/>
      <c r="AE48" s="124"/>
      <c r="AI48" s="124"/>
      <c r="AJ48" s="483"/>
      <c r="AK48" s="483"/>
      <c r="AL48" s="483"/>
      <c r="AM48" s="483"/>
      <c r="AN48" s="483"/>
      <c r="AO48" s="483"/>
      <c r="AP48" s="483"/>
      <c r="AQ48" s="483"/>
      <c r="AR48" s="483"/>
      <c r="AS48" s="483"/>
      <c r="AT48" s="483"/>
      <c r="AU48" s="483"/>
      <c r="AV48" s="483"/>
      <c r="AW48" s="483"/>
      <c r="AX48" s="483"/>
      <c r="AY48" s="483"/>
      <c r="AZ48" s="483"/>
      <c r="BA48" s="94" t="s">
        <v>3138</v>
      </c>
      <c r="BB48" s="87" t="s">
        <v>3150</v>
      </c>
      <c r="BC48" s="87"/>
      <c r="BD48" s="95" t="s">
        <v>3151</v>
      </c>
      <c r="BE48" s="96">
        <v>3</v>
      </c>
      <c r="BL48" s="2387" t="s">
        <v>3152</v>
      </c>
    </row>
    <row r="49" spans="1:65" ht="14.25" customHeight="1" thickBot="1">
      <c r="A49" s="483"/>
      <c r="B49" s="94" t="s">
        <v>3138</v>
      </c>
      <c r="C49" s="87" t="s">
        <v>3153</v>
      </c>
      <c r="D49" s="87"/>
      <c r="E49" s="95" t="s">
        <v>3151</v>
      </c>
      <c r="F49" s="96">
        <v>3</v>
      </c>
      <c r="G49" s="483"/>
      <c r="H49" s="483"/>
      <c r="I49" s="483"/>
      <c r="J49" s="483"/>
      <c r="K49" s="483"/>
      <c r="L49" s="483"/>
      <c r="M49" s="483"/>
      <c r="N49" s="428"/>
      <c r="O49" s="483"/>
      <c r="P49" s="130"/>
      <c r="Q49" s="130"/>
      <c r="R49" s="24">
        <f t="shared" si="12"/>
        <v>0</v>
      </c>
      <c r="U49" s="203"/>
      <c r="V49" s="203"/>
      <c r="W49" s="203"/>
      <c r="X49" s="203"/>
      <c r="Y49" s="203"/>
      <c r="Z49" s="203"/>
      <c r="AA49" s="203"/>
      <c r="AB49" s="93">
        <f>IF(Validation!$H$3=1,0,IF(ISNUMBER(N49),0,1))</f>
        <v>0</v>
      </c>
      <c r="AJ49" s="483"/>
      <c r="AK49" s="483"/>
      <c r="AL49" s="483"/>
      <c r="AM49" s="483"/>
      <c r="AN49" s="483"/>
      <c r="AO49" s="483"/>
      <c r="AP49" s="483"/>
      <c r="AQ49" s="483"/>
      <c r="AR49" s="483"/>
      <c r="AS49" s="483"/>
      <c r="AT49" s="483"/>
      <c r="AU49" s="483"/>
      <c r="AV49" s="483"/>
      <c r="AW49" s="483"/>
      <c r="AX49" s="483"/>
      <c r="AY49" s="483"/>
      <c r="AZ49" s="483"/>
      <c r="BA49" s="94" t="s">
        <v>3138</v>
      </c>
      <c r="BB49" s="87" t="s">
        <v>3153</v>
      </c>
      <c r="BC49" s="87"/>
      <c r="BD49" s="95" t="s">
        <v>3151</v>
      </c>
      <c r="BE49" s="96">
        <v>3</v>
      </c>
      <c r="BM49" s="2400" t="s">
        <v>3154</v>
      </c>
    </row>
    <row r="50" spans="1:65" ht="14.25" customHeight="1">
      <c r="A50" s="483"/>
      <c r="B50" s="94" t="s">
        <v>2876</v>
      </c>
      <c r="C50" s="87" t="s">
        <v>2832</v>
      </c>
      <c r="D50" s="87"/>
      <c r="E50" s="95" t="s">
        <v>3155</v>
      </c>
      <c r="F50" s="96">
        <v>3</v>
      </c>
      <c r="G50" s="188">
        <f xml:space="preserve"> IF( G42 = 0, 0, G18 *1000000 / G42 )</f>
        <v>0</v>
      </c>
      <c r="H50" s="189">
        <f xml:space="preserve"> IF( H43 = 0, 0, H18 *1000000 / H43 )</f>
        <v>0</v>
      </c>
      <c r="I50" s="189">
        <f xml:space="preserve"> IF( I44 = 0, 0, I18 *1000000 / I44 )</f>
        <v>0</v>
      </c>
      <c r="J50" s="189">
        <f xml:space="preserve"> IF( J45 = 0, 0, J18 *1000000 / J45 )</f>
        <v>0</v>
      </c>
      <c r="K50" s="189">
        <f xml:space="preserve"> IF( K46 = 0, 0, K18 *1000000 / K46 )</f>
        <v>0</v>
      </c>
      <c r="L50" s="189">
        <f xml:space="preserve"> IF( L47 = 0, 0, L18 *1000000 / L47 )</f>
        <v>0</v>
      </c>
      <c r="M50" s="189">
        <f xml:space="preserve"> IF( M48 = 0, 0, M18 *1000000 / M48 )</f>
        <v>0</v>
      </c>
      <c r="N50" s="397">
        <f xml:space="preserve"> IF( N49 = 0, 0, N18 *1000000 / N49 )</f>
        <v>0</v>
      </c>
      <c r="O50" s="483"/>
      <c r="P50" s="130"/>
      <c r="Q50" s="130"/>
      <c r="U50" s="203"/>
      <c r="V50" s="203"/>
      <c r="W50" s="203"/>
      <c r="X50" s="203"/>
      <c r="Y50" s="203"/>
      <c r="Z50" s="203"/>
      <c r="AA50" s="203"/>
      <c r="AB50" s="203"/>
      <c r="AJ50" s="483"/>
      <c r="AK50" s="483"/>
      <c r="AL50" s="483"/>
      <c r="AM50" s="483"/>
      <c r="AN50" s="483"/>
      <c r="AO50" s="483"/>
      <c r="AP50" s="483"/>
      <c r="AQ50" s="483"/>
      <c r="AR50" s="483"/>
      <c r="AS50" s="483"/>
      <c r="AT50" s="483"/>
      <c r="AU50" s="483"/>
      <c r="AV50" s="483"/>
      <c r="AW50" s="483"/>
      <c r="AX50" s="483"/>
      <c r="AY50" s="483"/>
      <c r="AZ50" s="483"/>
      <c r="BA50" s="94" t="s">
        <v>2876</v>
      </c>
      <c r="BB50" s="87" t="s">
        <v>2832</v>
      </c>
      <c r="BC50" s="87"/>
      <c r="BD50" s="95" t="s">
        <v>3155</v>
      </c>
      <c r="BE50" s="96">
        <v>3</v>
      </c>
      <c r="BF50" s="188" t="s">
        <v>3156</v>
      </c>
      <c r="BG50" s="189" t="s">
        <v>3157</v>
      </c>
      <c r="BH50" s="189" t="s">
        <v>3158</v>
      </c>
      <c r="BI50" s="189" t="s">
        <v>3159</v>
      </c>
      <c r="BJ50" s="189" t="s">
        <v>3160</v>
      </c>
      <c r="BK50" s="189" t="s">
        <v>3161</v>
      </c>
      <c r="BL50" s="189" t="s">
        <v>3162</v>
      </c>
      <c r="BM50" s="397" t="s">
        <v>3163</v>
      </c>
    </row>
    <row r="51" spans="1:65" s="483" customFormat="1">
      <c r="B51" s="94" t="s">
        <v>2878</v>
      </c>
      <c r="C51" s="87" t="s">
        <v>2841</v>
      </c>
      <c r="D51" s="87"/>
      <c r="E51" s="95" t="s">
        <v>2465</v>
      </c>
      <c r="F51" s="96">
        <v>3</v>
      </c>
      <c r="G51" s="426"/>
      <c r="H51" s="413"/>
      <c r="I51" s="416"/>
      <c r="J51" s="412"/>
      <c r="K51" s="416"/>
      <c r="L51" s="412"/>
      <c r="M51" s="413"/>
      <c r="N51" s="416"/>
      <c r="P51" s="130"/>
      <c r="Q51" s="130"/>
      <c r="R51" s="24">
        <f t="shared" ref="R51" si="13" xml:space="preserve"> IF( SUM( T51:AC51 ) = 0, 0, $U$6 )</f>
        <v>0</v>
      </c>
      <c r="S51" s="70"/>
      <c r="T51" s="71"/>
      <c r="U51" s="93">
        <f>IF(Validation!$H$3=1,0,IF(ISNUMBER(G51),0,1))</f>
        <v>0</v>
      </c>
      <c r="V51" s="93">
        <f>IF(Validation!$H$3=1,0,IF(ISNUMBER(H51),0,1))</f>
        <v>0</v>
      </c>
      <c r="W51" s="93">
        <f>IF(Validation!$H$3=1,0,IF(ISNUMBER(I51),0,1))</f>
        <v>0</v>
      </c>
      <c r="X51" s="93">
        <f>IF(Validation!$H$3=1,0,IF(ISNUMBER(J51),0,1))</f>
        <v>0</v>
      </c>
      <c r="Y51" s="93">
        <f>IF(Validation!$H$3=1,0,IF(ISNUMBER(K51),0,1))</f>
        <v>0</v>
      </c>
      <c r="Z51" s="93">
        <f>IF(Validation!$H$3=1,0,IF(ISNUMBER(L51),0,1))</f>
        <v>0</v>
      </c>
      <c r="AA51" s="93">
        <f>IF(Validation!$H$3=1,0,IF(ISNUMBER(M51),0,1))</f>
        <v>0</v>
      </c>
      <c r="AB51" s="93">
        <f>IF(Validation!$H$3=1,0,IF(ISNUMBER(N51),0,1))</f>
        <v>0</v>
      </c>
      <c r="AC51" s="71"/>
      <c r="AE51" s="71"/>
      <c r="AI51" s="71"/>
      <c r="BA51" s="94" t="s">
        <v>2878</v>
      </c>
      <c r="BB51" s="87" t="s">
        <v>2841</v>
      </c>
      <c r="BC51" s="87"/>
      <c r="BD51" s="95" t="s">
        <v>2465</v>
      </c>
      <c r="BE51" s="96">
        <v>3</v>
      </c>
      <c r="BF51" s="2396" t="s">
        <v>3164</v>
      </c>
      <c r="BG51" s="2384" t="s">
        <v>3165</v>
      </c>
      <c r="BH51" s="2525" t="s">
        <v>3166</v>
      </c>
      <c r="BI51" s="2383" t="s">
        <v>3167</v>
      </c>
      <c r="BJ51" s="2525" t="s">
        <v>3168</v>
      </c>
      <c r="BK51" s="2383" t="s">
        <v>3169</v>
      </c>
      <c r="BL51" s="2384" t="s">
        <v>3170</v>
      </c>
      <c r="BM51" s="2525" t="s">
        <v>3171</v>
      </c>
    </row>
    <row r="52" spans="1:65" s="483" customFormat="1" ht="14.5" thickBot="1">
      <c r="B52" s="101" t="s">
        <v>2880</v>
      </c>
      <c r="C52" s="102" t="s">
        <v>2832</v>
      </c>
      <c r="D52" s="102"/>
      <c r="E52" s="103" t="s">
        <v>2849</v>
      </c>
      <c r="F52" s="225">
        <v>3</v>
      </c>
      <c r="G52" s="193">
        <f xml:space="preserve"> IF( G51 = 0, 0, G18 * 1000 / G51 )</f>
        <v>0</v>
      </c>
      <c r="H52" s="194">
        <f t="shared" ref="H52:L52" si="14" xml:space="preserve"> IF( H51 = 0, 0, H18 * 1000 / H51 )</f>
        <v>0</v>
      </c>
      <c r="I52" s="195">
        <f t="shared" si="14"/>
        <v>0</v>
      </c>
      <c r="J52" s="193">
        <f t="shared" si="14"/>
        <v>0</v>
      </c>
      <c r="K52" s="195">
        <f t="shared" si="14"/>
        <v>0</v>
      </c>
      <c r="L52" s="193">
        <f t="shared" si="14"/>
        <v>0</v>
      </c>
      <c r="M52" s="194">
        <f t="shared" ref="M52" si="15" xml:space="preserve"> IF( M51 = 0, 0, M18 * 1000 / M51 )</f>
        <v>0</v>
      </c>
      <c r="N52" s="195">
        <f t="shared" ref="N52" si="16" xml:space="preserve"> IF( N51 = 0, 0, N18 * 1000 / N51 )</f>
        <v>0</v>
      </c>
      <c r="P52" s="130"/>
      <c r="Q52" s="130"/>
      <c r="R52" s="70"/>
      <c r="S52" s="70"/>
      <c r="T52" s="71"/>
      <c r="U52" s="127"/>
      <c r="V52" s="127"/>
      <c r="W52" s="127"/>
      <c r="X52" s="127"/>
      <c r="Y52" s="127"/>
      <c r="Z52" s="127"/>
      <c r="AA52" s="127"/>
      <c r="AB52" s="127"/>
      <c r="AC52" s="71"/>
      <c r="AE52" s="71"/>
      <c r="AI52" s="71"/>
      <c r="BA52" s="101" t="s">
        <v>2880</v>
      </c>
      <c r="BB52" s="102" t="s">
        <v>2832</v>
      </c>
      <c r="BC52" s="102"/>
      <c r="BD52" s="103" t="s">
        <v>2849</v>
      </c>
      <c r="BE52" s="225">
        <v>3</v>
      </c>
      <c r="BF52" s="193" t="s">
        <v>3172</v>
      </c>
      <c r="BG52" s="194" t="s">
        <v>3173</v>
      </c>
      <c r="BH52" s="195" t="s">
        <v>3174</v>
      </c>
      <c r="BI52" s="193" t="s">
        <v>3175</v>
      </c>
      <c r="BJ52" s="195" t="s">
        <v>3176</v>
      </c>
      <c r="BK52" s="193" t="s">
        <v>3177</v>
      </c>
      <c r="BL52" s="194" t="s">
        <v>3178</v>
      </c>
      <c r="BM52" s="195" t="s">
        <v>3179</v>
      </c>
    </row>
    <row r="53" spans="1:65">
      <c r="A53" s="483"/>
      <c r="B53" s="483"/>
      <c r="C53" s="483"/>
      <c r="E53" s="483"/>
      <c r="F53" s="483"/>
      <c r="G53" s="483"/>
      <c r="H53" s="483"/>
      <c r="I53" s="483"/>
      <c r="J53" s="483"/>
      <c r="K53" s="483"/>
      <c r="L53" s="483"/>
      <c r="M53" s="483"/>
      <c r="N53" s="483"/>
      <c r="O53" s="483"/>
      <c r="P53" s="130"/>
      <c r="Q53" s="130"/>
      <c r="U53" s="203"/>
      <c r="V53" s="203"/>
      <c r="W53" s="203"/>
      <c r="X53" s="203"/>
      <c r="Y53" s="203"/>
      <c r="Z53" s="203"/>
      <c r="AA53" s="203"/>
      <c r="AB53" s="203"/>
      <c r="AJ53" s="483"/>
      <c r="AK53" s="483"/>
      <c r="AL53" s="483"/>
      <c r="AM53" s="483"/>
      <c r="AN53" s="483"/>
      <c r="AO53" s="483"/>
      <c r="AP53" s="483"/>
      <c r="AQ53" s="483"/>
      <c r="AR53" s="483"/>
      <c r="AS53" s="483"/>
      <c r="AT53" s="483"/>
      <c r="AU53" s="483"/>
      <c r="AV53" s="483"/>
      <c r="AW53" s="483"/>
      <c r="AX53" s="483"/>
      <c r="AY53" s="483"/>
      <c r="AZ53" s="483"/>
    </row>
    <row r="54" spans="1:65">
      <c r="A54" s="483"/>
      <c r="B54" s="2914" t="s">
        <v>241</v>
      </c>
      <c r="C54" s="2914"/>
      <c r="D54" s="2823"/>
      <c r="E54" s="163"/>
      <c r="F54" s="163"/>
      <c r="G54" s="163"/>
      <c r="H54" s="163"/>
      <c r="I54" s="126"/>
      <c r="J54" s="483"/>
      <c r="K54" s="483"/>
      <c r="L54" s="483"/>
      <c r="M54" s="483"/>
      <c r="N54" s="483"/>
      <c r="O54" s="483"/>
      <c r="P54" s="130"/>
      <c r="Q54" s="130"/>
      <c r="U54" s="203"/>
      <c r="V54" s="203"/>
      <c r="W54" s="203"/>
      <c r="X54" s="203"/>
      <c r="Y54" s="203"/>
      <c r="Z54" s="203"/>
      <c r="AA54" s="203"/>
      <c r="AB54" s="203"/>
      <c r="AJ54" s="483"/>
      <c r="AK54" s="483"/>
      <c r="AL54" s="483"/>
      <c r="AM54" s="483"/>
      <c r="AN54" s="483"/>
      <c r="AO54" s="483"/>
      <c r="AP54" s="483"/>
      <c r="AQ54" s="483"/>
      <c r="AR54" s="483"/>
      <c r="AS54" s="483"/>
      <c r="AT54" s="483"/>
      <c r="AU54" s="483"/>
      <c r="AV54" s="483"/>
      <c r="AW54" s="483"/>
      <c r="AX54" s="483"/>
      <c r="AY54" s="483"/>
      <c r="AZ54" s="483"/>
    </row>
    <row r="55" spans="1:65">
      <c r="A55" s="483"/>
      <c r="B55" s="141"/>
      <c r="C55" s="142"/>
      <c r="D55" s="142"/>
      <c r="E55" s="163"/>
      <c r="F55" s="163"/>
      <c r="G55" s="163"/>
      <c r="H55" s="163"/>
      <c r="I55" s="126"/>
      <c r="J55" s="483"/>
      <c r="K55" s="483"/>
      <c r="L55" s="483"/>
      <c r="M55" s="483"/>
      <c r="N55" s="483"/>
      <c r="O55" s="483"/>
      <c r="P55" s="130"/>
      <c r="Q55" s="130"/>
      <c r="U55" s="203"/>
      <c r="V55" s="203"/>
      <c r="W55" s="203"/>
      <c r="X55" s="203"/>
      <c r="Y55" s="203"/>
      <c r="Z55" s="203"/>
      <c r="AA55" s="203"/>
      <c r="AB55" s="203"/>
      <c r="AJ55" s="483"/>
      <c r="AK55" s="483"/>
      <c r="AL55" s="483"/>
      <c r="AM55" s="483"/>
      <c r="AN55" s="483"/>
      <c r="AO55" s="483"/>
      <c r="AP55" s="483"/>
      <c r="AQ55" s="483"/>
      <c r="AR55" s="483"/>
      <c r="AS55" s="483"/>
      <c r="AT55" s="483"/>
      <c r="AU55" s="483"/>
      <c r="AV55" s="483"/>
      <c r="AW55" s="483"/>
      <c r="AX55" s="483"/>
      <c r="AY55" s="483"/>
      <c r="AZ55" s="483"/>
    </row>
    <row r="56" spans="1:65">
      <c r="A56" s="483"/>
      <c r="B56" s="25"/>
      <c r="C56" s="143" t="s">
        <v>188</v>
      </c>
      <c r="D56" s="143"/>
      <c r="E56" s="163"/>
      <c r="F56" s="163"/>
      <c r="G56" s="163"/>
      <c r="H56" s="163"/>
      <c r="I56" s="126"/>
      <c r="J56" s="483"/>
      <c r="K56" s="483"/>
      <c r="L56" s="483"/>
      <c r="M56" s="483"/>
      <c r="N56" s="483"/>
      <c r="O56" s="483"/>
      <c r="P56" s="130"/>
      <c r="Q56" s="130"/>
      <c r="U56" s="203"/>
      <c r="V56" s="203"/>
      <c r="W56" s="203"/>
      <c r="X56" s="203"/>
      <c r="Y56" s="203"/>
      <c r="Z56" s="203"/>
      <c r="AA56" s="203"/>
      <c r="AB56" s="203"/>
      <c r="AJ56" s="483"/>
      <c r="AK56" s="483"/>
      <c r="AL56" s="483"/>
      <c r="AM56" s="483"/>
      <c r="AN56" s="483"/>
      <c r="AO56" s="483"/>
      <c r="AP56" s="483"/>
      <c r="AQ56" s="483"/>
      <c r="AR56" s="483"/>
      <c r="AS56" s="483"/>
      <c r="AT56" s="483"/>
      <c r="AU56" s="483"/>
      <c r="AV56" s="483"/>
      <c r="AW56" s="483"/>
      <c r="AX56" s="483"/>
      <c r="AY56" s="483"/>
      <c r="AZ56" s="483"/>
    </row>
    <row r="57" spans="1:65">
      <c r="A57" s="483"/>
      <c r="B57" s="141"/>
      <c r="C57" s="142"/>
      <c r="D57" s="142"/>
      <c r="E57" s="163"/>
      <c r="F57" s="163"/>
      <c r="G57" s="163"/>
      <c r="H57" s="163"/>
      <c r="I57" s="126"/>
      <c r="J57" s="483"/>
      <c r="K57" s="483"/>
      <c r="L57" s="483"/>
      <c r="M57" s="483"/>
      <c r="N57" s="483"/>
      <c r="O57" s="483"/>
      <c r="P57" s="130"/>
      <c r="Q57" s="130"/>
      <c r="U57" s="203"/>
      <c r="V57" s="203"/>
      <c r="W57" s="203"/>
      <c r="X57" s="203"/>
      <c r="Y57" s="203"/>
      <c r="Z57" s="203"/>
      <c r="AA57" s="203"/>
      <c r="AB57" s="203"/>
      <c r="AJ57" s="483"/>
      <c r="AK57" s="483"/>
      <c r="AL57" s="483"/>
      <c r="AM57" s="483"/>
      <c r="AN57" s="483"/>
      <c r="AO57" s="483"/>
      <c r="AP57" s="483"/>
      <c r="AQ57" s="483"/>
      <c r="AR57" s="483"/>
      <c r="AS57" s="483"/>
      <c r="AT57" s="483"/>
      <c r="AU57" s="483"/>
      <c r="AV57" s="483"/>
      <c r="AW57" s="483"/>
      <c r="AX57" s="483"/>
      <c r="AY57" s="483"/>
      <c r="AZ57" s="483"/>
    </row>
    <row r="58" spans="1:65">
      <c r="A58" s="483"/>
      <c r="B58" s="144"/>
      <c r="C58" s="143" t="s">
        <v>189</v>
      </c>
      <c r="D58" s="143"/>
      <c r="E58" s="163"/>
      <c r="F58" s="163"/>
      <c r="G58" s="163"/>
      <c r="H58" s="163"/>
      <c r="I58" s="126"/>
      <c r="J58" s="483"/>
      <c r="K58" s="483"/>
      <c r="L58" s="483"/>
      <c r="M58" s="483"/>
      <c r="N58" s="483"/>
      <c r="O58" s="483"/>
      <c r="P58" s="130"/>
      <c r="Q58" s="130"/>
      <c r="U58" s="203"/>
      <c r="V58" s="203"/>
      <c r="W58" s="203"/>
      <c r="X58" s="203"/>
      <c r="Y58" s="203"/>
      <c r="Z58" s="203"/>
      <c r="AA58" s="203"/>
      <c r="AB58" s="203"/>
      <c r="AJ58" s="483"/>
      <c r="AK58" s="483"/>
      <c r="AL58" s="483"/>
      <c r="AM58" s="483"/>
      <c r="AN58" s="483"/>
      <c r="AO58" s="483"/>
      <c r="AP58" s="483"/>
      <c r="AQ58" s="483"/>
      <c r="AR58" s="483"/>
      <c r="AS58" s="483"/>
      <c r="AT58" s="483"/>
      <c r="AU58" s="483"/>
      <c r="AV58" s="483"/>
      <c r="AW58" s="483"/>
      <c r="AX58" s="483"/>
      <c r="AY58" s="483"/>
      <c r="AZ58" s="483"/>
    </row>
    <row r="59" spans="1:65">
      <c r="A59" s="483"/>
      <c r="B59" s="145"/>
      <c r="C59" s="143"/>
      <c r="D59" s="143"/>
      <c r="E59" s="163"/>
      <c r="F59" s="163"/>
      <c r="G59" s="163"/>
      <c r="H59" s="163"/>
      <c r="I59" s="126"/>
      <c r="J59" s="483"/>
      <c r="K59" s="483"/>
      <c r="L59" s="483"/>
      <c r="M59" s="483"/>
      <c r="N59" s="483"/>
      <c r="O59" s="483"/>
      <c r="P59" s="130"/>
      <c r="Q59" s="130"/>
      <c r="U59" s="203"/>
      <c r="V59" s="203"/>
      <c r="W59" s="203"/>
      <c r="X59" s="203"/>
      <c r="Y59" s="203"/>
      <c r="Z59" s="203"/>
      <c r="AA59" s="203"/>
      <c r="AB59" s="203"/>
      <c r="AJ59" s="483"/>
      <c r="AK59" s="483"/>
      <c r="AL59" s="483"/>
      <c r="AM59" s="483"/>
      <c r="AN59" s="483"/>
      <c r="AO59" s="483"/>
      <c r="AP59" s="483"/>
      <c r="AQ59" s="483"/>
      <c r="AR59" s="483"/>
      <c r="AS59" s="483"/>
      <c r="AT59" s="483"/>
      <c r="AU59" s="483"/>
      <c r="AV59" s="483"/>
      <c r="AW59" s="483"/>
      <c r="AX59" s="483"/>
      <c r="AY59" s="483"/>
      <c r="AZ59" s="483"/>
    </row>
    <row r="60" spans="1:65" ht="14.5" thickBot="1">
      <c r="A60" s="483"/>
      <c r="B60" s="178"/>
      <c r="C60" s="179"/>
      <c r="D60" s="179"/>
      <c r="E60" s="178"/>
      <c r="F60" s="178"/>
      <c r="G60" s="178"/>
      <c r="H60" s="178"/>
      <c r="I60" s="130"/>
      <c r="J60" s="483"/>
      <c r="K60" s="483"/>
      <c r="L60" s="483"/>
      <c r="M60" s="483"/>
      <c r="N60" s="483"/>
      <c r="O60" s="483"/>
      <c r="P60" s="130"/>
      <c r="Q60" s="130"/>
      <c r="U60" s="203"/>
      <c r="V60" s="203"/>
      <c r="W60" s="203"/>
      <c r="X60" s="203"/>
      <c r="Y60" s="203"/>
      <c r="Z60" s="203"/>
      <c r="AA60" s="203"/>
      <c r="AB60" s="203"/>
      <c r="AJ60" s="483"/>
      <c r="AK60" s="483"/>
      <c r="AL60" s="483"/>
      <c r="AM60" s="483"/>
      <c r="AN60" s="483"/>
      <c r="AO60" s="483"/>
      <c r="AP60" s="483"/>
      <c r="AQ60" s="483"/>
      <c r="AR60" s="483"/>
      <c r="AS60" s="483"/>
      <c r="AT60" s="483"/>
      <c r="AU60" s="483"/>
      <c r="AV60" s="483"/>
      <c r="AW60" s="483"/>
      <c r="AX60" s="483"/>
      <c r="AY60" s="483"/>
      <c r="AZ60" s="483"/>
    </row>
    <row r="61" spans="1:65" s="483" customFormat="1" ht="20.5" thickBot="1">
      <c r="B61" s="2886" t="str">
        <f>'4D'!B59</f>
        <v>Please refer to RAG 4.08 - Guideline for the table definitions in the annual performance report for the reporting year 2019-20</v>
      </c>
      <c r="C61" s="148"/>
      <c r="D61" s="148"/>
      <c r="E61" s="148"/>
      <c r="F61" s="148"/>
      <c r="G61" s="148"/>
      <c r="H61" s="148"/>
      <c r="I61" s="148"/>
      <c r="J61" s="148"/>
      <c r="K61" s="148"/>
      <c r="L61" s="148"/>
      <c r="M61" s="148"/>
      <c r="N61" s="148"/>
      <c r="O61" s="154"/>
      <c r="P61" s="130"/>
      <c r="Q61" s="130"/>
      <c r="R61" s="70"/>
      <c r="S61" s="70"/>
      <c r="T61" s="71"/>
      <c r="U61" s="203"/>
      <c r="V61" s="203"/>
      <c r="W61" s="203"/>
      <c r="X61" s="203"/>
      <c r="Y61" s="203"/>
      <c r="Z61" s="203"/>
      <c r="AA61" s="203"/>
      <c r="AB61" s="203"/>
      <c r="AC61" s="71"/>
      <c r="AE61" s="71"/>
      <c r="AI61" s="71"/>
    </row>
    <row r="62" spans="1:65" s="483" customFormat="1">
      <c r="B62" s="178"/>
      <c r="C62" s="179"/>
      <c r="D62" s="179"/>
      <c r="E62" s="178"/>
      <c r="F62" s="178"/>
      <c r="G62" s="178"/>
      <c r="H62" s="178"/>
      <c r="I62" s="130"/>
      <c r="P62" s="130"/>
      <c r="Q62" s="130"/>
      <c r="R62" s="70"/>
      <c r="S62" s="70"/>
      <c r="T62" s="71"/>
      <c r="U62" s="203"/>
      <c r="V62" s="203"/>
      <c r="W62" s="203"/>
      <c r="X62" s="203"/>
      <c r="Y62" s="203"/>
      <c r="Z62" s="203"/>
      <c r="AA62" s="203"/>
      <c r="AB62" s="203"/>
      <c r="AC62" s="71"/>
      <c r="AE62" s="71"/>
      <c r="AI62" s="71"/>
    </row>
    <row r="63" spans="1:65" ht="20.5" hidden="1" thickBot="1">
      <c r="A63" s="1534"/>
      <c r="B63" s="146" t="str">
        <f ca="1" xml:space="preserve"> RIGHT(CELL("filename", $A$1), LEN(CELL("filename", $A$1)) - SEARCH("]", CELL("filename", $A$1)))&amp;" - Line definitions"</f>
        <v>4E - Line definitions</v>
      </c>
      <c r="C63" s="147"/>
      <c r="D63" s="147"/>
      <c r="E63" s="148"/>
      <c r="F63" s="148"/>
      <c r="G63" s="148"/>
      <c r="H63" s="148"/>
      <c r="I63" s="148"/>
      <c r="J63" s="148"/>
      <c r="K63" s="148"/>
      <c r="L63" s="148"/>
      <c r="M63" s="148"/>
      <c r="N63" s="148"/>
      <c r="O63" s="154"/>
      <c r="P63" s="130"/>
      <c r="Q63" s="130"/>
      <c r="V63" s="203"/>
      <c r="W63" s="203"/>
      <c r="X63" s="203"/>
      <c r="Y63" s="203"/>
      <c r="Z63" s="203"/>
      <c r="AA63" s="203"/>
      <c r="AB63" s="203"/>
      <c r="AJ63" s="483"/>
      <c r="AK63" s="483"/>
      <c r="AL63" s="483"/>
      <c r="AM63" s="483"/>
      <c r="AN63" s="483"/>
      <c r="AO63" s="483"/>
      <c r="AP63" s="483"/>
      <c r="AQ63" s="483"/>
      <c r="AR63" s="483"/>
      <c r="AS63" s="483"/>
      <c r="AT63" s="483"/>
      <c r="AU63" s="483"/>
      <c r="AV63" s="483"/>
      <c r="AW63" s="483"/>
      <c r="AX63" s="483"/>
      <c r="AY63" s="483"/>
      <c r="AZ63" s="483"/>
    </row>
    <row r="64" spans="1:65" ht="14.5" hidden="1" thickBot="1">
      <c r="A64" s="1534"/>
      <c r="B64" s="74"/>
      <c r="C64" s="155"/>
      <c r="D64" s="155"/>
      <c r="E64" s="74"/>
      <c r="F64" s="74"/>
      <c r="G64" s="74"/>
      <c r="H64" s="110"/>
      <c r="I64" s="118"/>
      <c r="J64" s="483"/>
      <c r="K64" s="483"/>
      <c r="L64" s="483"/>
      <c r="M64" s="483"/>
      <c r="N64" s="483"/>
      <c r="O64" s="483"/>
      <c r="P64" s="130"/>
      <c r="Q64" s="130"/>
      <c r="V64" s="203"/>
      <c r="W64" s="203"/>
      <c r="X64" s="203"/>
      <c r="Y64" s="203"/>
      <c r="Z64" s="203"/>
      <c r="AA64" s="203"/>
      <c r="AB64" s="203"/>
      <c r="AJ64" s="483"/>
      <c r="AK64" s="483"/>
      <c r="AL64" s="483"/>
      <c r="AM64" s="483"/>
      <c r="AN64" s="483"/>
      <c r="AO64" s="483"/>
      <c r="AP64" s="483"/>
      <c r="AQ64" s="483"/>
      <c r="AR64" s="483"/>
      <c r="AS64" s="483"/>
      <c r="AT64" s="483"/>
      <c r="AU64" s="483"/>
      <c r="AV64" s="483"/>
      <c r="AW64" s="483"/>
      <c r="AX64" s="483"/>
      <c r="AY64" s="483"/>
      <c r="AZ64" s="483"/>
    </row>
    <row r="65" spans="1:52" ht="14.5" hidden="1" thickBot="1">
      <c r="A65" s="1534"/>
      <c r="B65" s="156" t="s">
        <v>191</v>
      </c>
      <c r="C65" s="3052" t="s">
        <v>192</v>
      </c>
      <c r="D65" s="3052"/>
      <c r="E65" s="3052"/>
      <c r="F65" s="3052"/>
      <c r="G65" s="3052"/>
      <c r="H65" s="3052"/>
      <c r="I65" s="3052"/>
      <c r="J65" s="3052"/>
      <c r="K65" s="3052"/>
      <c r="L65" s="3052"/>
      <c r="M65" s="3052"/>
      <c r="N65" s="3052"/>
      <c r="O65" s="3054"/>
      <c r="P65" s="130"/>
      <c r="Q65" s="130"/>
      <c r="V65" s="203"/>
      <c r="W65" s="203"/>
      <c r="X65" s="203"/>
      <c r="Y65" s="203"/>
      <c r="Z65" s="203"/>
      <c r="AA65" s="203"/>
      <c r="AB65" s="203"/>
      <c r="AJ65" s="483"/>
      <c r="AK65" s="483"/>
      <c r="AL65" s="483"/>
      <c r="AM65" s="483"/>
      <c r="AN65" s="483"/>
      <c r="AO65" s="483"/>
      <c r="AP65" s="483"/>
      <c r="AQ65" s="483"/>
      <c r="AR65" s="483"/>
      <c r="AS65" s="483"/>
      <c r="AT65" s="483"/>
      <c r="AU65" s="483"/>
      <c r="AV65" s="483"/>
      <c r="AW65" s="483"/>
      <c r="AX65" s="483"/>
      <c r="AY65" s="483"/>
      <c r="AZ65" s="483"/>
    </row>
    <row r="66" spans="1:52" ht="13.5" hidden="1" customHeight="1">
      <c r="A66" s="1534"/>
      <c r="B66" s="181" t="str">
        <f>B7</f>
        <v>4E.1</v>
      </c>
      <c r="C66" s="2910" t="s">
        <v>1233</v>
      </c>
      <c r="D66" s="2910"/>
      <c r="E66" s="2910"/>
      <c r="F66" s="2910"/>
      <c r="G66" s="2910"/>
      <c r="H66" s="2910"/>
      <c r="I66" s="2910"/>
      <c r="J66" s="2910"/>
      <c r="K66" s="2910"/>
      <c r="L66" s="2910"/>
      <c r="M66" s="2910"/>
      <c r="N66" s="2910"/>
      <c r="O66" s="2911"/>
      <c r="P66" s="130"/>
      <c r="Q66" s="130"/>
      <c r="U66" s="85" t="s">
        <v>193</v>
      </c>
      <c r="V66" s="203"/>
      <c r="W66" s="203"/>
      <c r="X66" s="203"/>
      <c r="Y66" s="203"/>
      <c r="Z66" s="203"/>
      <c r="AA66" s="203"/>
      <c r="AB66" s="203"/>
      <c r="AJ66" s="483"/>
      <c r="AK66" s="483"/>
      <c r="AL66" s="483"/>
      <c r="AM66" s="483"/>
      <c r="AN66" s="483"/>
      <c r="AO66" s="483"/>
      <c r="AP66" s="483"/>
      <c r="AQ66" s="483"/>
      <c r="AR66" s="483"/>
      <c r="AS66" s="483"/>
      <c r="AT66" s="483"/>
      <c r="AU66" s="483"/>
      <c r="AV66" s="483"/>
      <c r="AW66" s="483"/>
      <c r="AX66" s="483"/>
      <c r="AY66" s="483"/>
      <c r="AZ66" s="483"/>
    </row>
    <row r="67" spans="1:52" ht="58.5" hidden="1" customHeight="1">
      <c r="A67" s="1534"/>
      <c r="B67" s="159" t="str">
        <f>B8</f>
        <v>4E.2</v>
      </c>
      <c r="C67" s="2892" t="s">
        <v>3180</v>
      </c>
      <c r="D67" s="2892"/>
      <c r="E67" s="2892"/>
      <c r="F67" s="2892"/>
      <c r="G67" s="2892"/>
      <c r="H67" s="2892"/>
      <c r="I67" s="2892"/>
      <c r="J67" s="2892"/>
      <c r="K67" s="2892"/>
      <c r="L67" s="2892"/>
      <c r="M67" s="2892"/>
      <c r="N67" s="2892"/>
      <c r="O67" s="2893"/>
      <c r="P67" s="130"/>
      <c r="Q67" s="130"/>
      <c r="U67" s="202" t="s">
        <v>1338</v>
      </c>
      <c r="V67" s="203"/>
      <c r="W67" s="203"/>
      <c r="X67" s="203"/>
      <c r="Y67" s="203"/>
      <c r="Z67" s="203"/>
      <c r="AA67" s="203"/>
      <c r="AB67" s="203"/>
      <c r="AJ67" s="483"/>
      <c r="AK67" s="483"/>
      <c r="AL67" s="483"/>
      <c r="AM67" s="483"/>
      <c r="AN67" s="483"/>
      <c r="AO67" s="483"/>
      <c r="AP67" s="483"/>
      <c r="AQ67" s="483"/>
      <c r="AR67" s="483"/>
      <c r="AS67" s="483"/>
      <c r="AT67" s="483"/>
      <c r="AU67" s="483"/>
      <c r="AV67" s="483"/>
      <c r="AW67" s="483"/>
      <c r="AX67" s="483"/>
      <c r="AY67" s="483"/>
      <c r="AZ67" s="483"/>
    </row>
    <row r="68" spans="1:52" hidden="1">
      <c r="A68" s="1534"/>
      <c r="B68" s="159" t="str">
        <f>B9</f>
        <v>4E.3</v>
      </c>
      <c r="C68" s="2892" t="s">
        <v>3181</v>
      </c>
      <c r="D68" s="2892"/>
      <c r="E68" s="2892"/>
      <c r="F68" s="2892"/>
      <c r="G68" s="2892"/>
      <c r="H68" s="2892"/>
      <c r="I68" s="2892"/>
      <c r="J68" s="2892"/>
      <c r="K68" s="2892"/>
      <c r="L68" s="2892"/>
      <c r="M68" s="2892"/>
      <c r="N68" s="2892"/>
      <c r="O68" s="2893"/>
      <c r="P68" s="130"/>
      <c r="Q68" s="130"/>
      <c r="U68" s="202">
        <v>1</v>
      </c>
      <c r="V68" s="110"/>
      <c r="W68" s="110"/>
      <c r="X68" s="110"/>
      <c r="Y68" s="110"/>
      <c r="Z68" s="110"/>
      <c r="AA68" s="110"/>
      <c r="AB68" s="110"/>
      <c r="AJ68" s="483"/>
      <c r="AK68" s="483"/>
      <c r="AL68" s="483"/>
      <c r="AM68" s="483"/>
      <c r="AN68" s="483"/>
      <c r="AO68" s="483"/>
      <c r="AP68" s="483"/>
      <c r="AQ68" s="483"/>
      <c r="AR68" s="483"/>
      <c r="AS68" s="483"/>
      <c r="AT68" s="483"/>
      <c r="AU68" s="483"/>
      <c r="AV68" s="483"/>
      <c r="AW68" s="483"/>
      <c r="AX68" s="483"/>
      <c r="AY68" s="483"/>
      <c r="AZ68" s="483"/>
    </row>
    <row r="69" spans="1:52" hidden="1">
      <c r="A69" s="1534"/>
      <c r="B69" s="159" t="str">
        <f>B10</f>
        <v>4E.4</v>
      </c>
      <c r="C69" s="2892" t="s">
        <v>3182</v>
      </c>
      <c r="D69" s="2892"/>
      <c r="E69" s="2892"/>
      <c r="F69" s="2892"/>
      <c r="G69" s="2892"/>
      <c r="H69" s="2892"/>
      <c r="I69" s="2892"/>
      <c r="J69" s="2892"/>
      <c r="K69" s="2892"/>
      <c r="L69" s="2892"/>
      <c r="M69" s="2892"/>
      <c r="N69" s="2892"/>
      <c r="O69" s="2893"/>
      <c r="P69" s="130"/>
      <c r="Q69" s="130"/>
      <c r="U69" s="202">
        <v>1</v>
      </c>
      <c r="V69" s="110"/>
      <c r="W69" s="110"/>
      <c r="X69" s="110"/>
      <c r="Y69" s="110"/>
      <c r="Z69" s="110"/>
      <c r="AA69" s="110"/>
      <c r="AB69" s="110"/>
      <c r="AJ69" s="483"/>
      <c r="AK69" s="483"/>
      <c r="AL69" s="483"/>
      <c r="AM69" s="483"/>
      <c r="AN69" s="483"/>
      <c r="AO69" s="483"/>
      <c r="AP69" s="483"/>
      <c r="AQ69" s="483"/>
      <c r="AR69" s="483"/>
      <c r="AS69" s="483"/>
      <c r="AT69" s="483"/>
      <c r="AU69" s="483"/>
      <c r="AV69" s="483"/>
      <c r="AW69" s="483"/>
      <c r="AX69" s="483"/>
      <c r="AY69" s="483"/>
      <c r="AZ69" s="483"/>
    </row>
    <row r="70" spans="1:52" ht="23.25" hidden="1" customHeight="1">
      <c r="A70" s="1534"/>
      <c r="B70" s="159" t="str">
        <f>B11</f>
        <v>4E.5</v>
      </c>
      <c r="C70" s="2892" t="s">
        <v>3183</v>
      </c>
      <c r="D70" s="2892"/>
      <c r="E70" s="2892"/>
      <c r="F70" s="2892"/>
      <c r="G70" s="2892"/>
      <c r="H70" s="2892"/>
      <c r="I70" s="2892"/>
      <c r="J70" s="2892"/>
      <c r="K70" s="2892"/>
      <c r="L70" s="2892"/>
      <c r="M70" s="2892"/>
      <c r="N70" s="2892"/>
      <c r="O70" s="2893"/>
      <c r="U70" s="202" t="s">
        <v>195</v>
      </c>
      <c r="V70" s="110"/>
      <c r="W70" s="110"/>
      <c r="X70" s="110"/>
      <c r="Y70" s="110"/>
      <c r="Z70" s="110"/>
      <c r="AA70" s="110"/>
      <c r="AB70" s="110"/>
      <c r="AJ70" s="483"/>
      <c r="AK70" s="483"/>
      <c r="AL70" s="483"/>
      <c r="AM70" s="483"/>
      <c r="AN70" s="483"/>
      <c r="AO70" s="483"/>
      <c r="AP70" s="483"/>
      <c r="AQ70" s="483"/>
      <c r="AR70" s="483"/>
      <c r="AS70" s="483"/>
      <c r="AT70" s="483"/>
      <c r="AU70" s="483"/>
      <c r="AV70" s="483"/>
      <c r="AW70" s="483"/>
      <c r="AX70" s="483"/>
      <c r="AY70" s="483"/>
      <c r="AZ70" s="483"/>
    </row>
    <row r="71" spans="1:52" s="483" customFormat="1" ht="13.5" hidden="1" customHeight="1">
      <c r="A71" s="1534"/>
      <c r="B71" s="159" t="str">
        <f t="shared" ref="B71:B72" si="17">B12</f>
        <v>4E.6</v>
      </c>
      <c r="C71" s="2892" t="s">
        <v>1238</v>
      </c>
      <c r="D71" s="2892"/>
      <c r="E71" s="2892"/>
      <c r="F71" s="2892"/>
      <c r="G71" s="2892"/>
      <c r="H71" s="2892"/>
      <c r="I71" s="2892"/>
      <c r="J71" s="2892"/>
      <c r="K71" s="2892"/>
      <c r="L71" s="2892"/>
      <c r="M71" s="2892"/>
      <c r="N71" s="2892"/>
      <c r="O71" s="2893"/>
      <c r="P71" s="70"/>
      <c r="Q71" s="70"/>
      <c r="R71" s="70"/>
      <c r="S71" s="70"/>
      <c r="T71" s="71"/>
      <c r="U71" s="202">
        <v>1</v>
      </c>
      <c r="V71" s="110"/>
      <c r="W71" s="110"/>
      <c r="X71" s="110"/>
      <c r="Y71" s="110"/>
      <c r="Z71" s="110"/>
      <c r="AA71" s="110"/>
      <c r="AB71" s="110"/>
      <c r="AC71" s="71"/>
      <c r="AE71" s="71"/>
      <c r="AI71" s="71"/>
    </row>
    <row r="72" spans="1:52" s="483" customFormat="1" hidden="1">
      <c r="A72" s="1534"/>
      <c r="B72" s="159" t="str">
        <f t="shared" si="17"/>
        <v>4E.7</v>
      </c>
      <c r="C72" s="2892" t="s">
        <v>3184</v>
      </c>
      <c r="D72" s="2892"/>
      <c r="E72" s="2892"/>
      <c r="F72" s="2892"/>
      <c r="G72" s="2892"/>
      <c r="H72" s="2892"/>
      <c r="I72" s="2892"/>
      <c r="J72" s="2892"/>
      <c r="K72" s="2892"/>
      <c r="L72" s="2892"/>
      <c r="M72" s="2892"/>
      <c r="N72" s="2892"/>
      <c r="O72" s="2893"/>
      <c r="P72" s="70"/>
      <c r="Q72" s="70"/>
      <c r="R72" s="70"/>
      <c r="S72" s="70"/>
      <c r="T72" s="71"/>
      <c r="U72" s="202">
        <v>1</v>
      </c>
      <c r="V72" s="110"/>
      <c r="W72" s="110"/>
      <c r="X72" s="110"/>
      <c r="Y72" s="110"/>
      <c r="Z72" s="110"/>
      <c r="AA72" s="110"/>
      <c r="AB72" s="110"/>
      <c r="AC72" s="71"/>
      <c r="AE72" s="71"/>
      <c r="AI72" s="71"/>
    </row>
    <row r="73" spans="1:52" ht="13.5" hidden="1" customHeight="1">
      <c r="A73" s="1534"/>
      <c r="B73" s="159" t="str">
        <f>B14</f>
        <v>4E.8</v>
      </c>
      <c r="C73" s="2892" t="s">
        <v>1240</v>
      </c>
      <c r="D73" s="2892"/>
      <c r="E73" s="2892"/>
      <c r="F73" s="2892"/>
      <c r="G73" s="2892"/>
      <c r="H73" s="2892"/>
      <c r="I73" s="2892"/>
      <c r="J73" s="2892"/>
      <c r="K73" s="2892"/>
      <c r="L73" s="2892"/>
      <c r="M73" s="2892"/>
      <c r="N73" s="2892"/>
      <c r="O73" s="2893"/>
      <c r="U73" s="202">
        <v>1</v>
      </c>
      <c r="V73" s="110"/>
      <c r="W73" s="110"/>
      <c r="X73" s="110"/>
      <c r="Y73" s="110"/>
      <c r="Z73" s="110"/>
      <c r="AA73" s="110"/>
      <c r="AB73" s="110"/>
      <c r="AJ73" s="483"/>
      <c r="AK73" s="483"/>
      <c r="AL73" s="483"/>
      <c r="AM73" s="483"/>
      <c r="AN73" s="483"/>
      <c r="AO73" s="483"/>
      <c r="AP73" s="483"/>
      <c r="AQ73" s="483"/>
      <c r="AR73" s="483"/>
      <c r="AS73" s="483"/>
      <c r="AT73" s="483"/>
      <c r="AU73" s="483"/>
      <c r="AV73" s="483"/>
      <c r="AW73" s="483"/>
      <c r="AX73" s="483"/>
      <c r="AY73" s="483"/>
      <c r="AZ73" s="483"/>
    </row>
    <row r="74" spans="1:52" ht="13.5" hidden="1" customHeight="1">
      <c r="A74" s="1534"/>
      <c r="B74" s="159" t="str">
        <f>B15</f>
        <v>4E.9</v>
      </c>
      <c r="C74" s="2892" t="s">
        <v>3185</v>
      </c>
      <c r="D74" s="2892"/>
      <c r="E74" s="2892"/>
      <c r="F74" s="2892"/>
      <c r="G74" s="2892"/>
      <c r="H74" s="2892"/>
      <c r="I74" s="2892"/>
      <c r="J74" s="2892"/>
      <c r="K74" s="2892"/>
      <c r="L74" s="2892"/>
      <c r="M74" s="2892"/>
      <c r="N74" s="2892"/>
      <c r="O74" s="2893"/>
      <c r="U74" s="202">
        <v>1</v>
      </c>
      <c r="AJ74" s="483"/>
      <c r="AK74" s="483"/>
      <c r="AL74" s="483"/>
      <c r="AM74" s="483"/>
      <c r="AN74" s="483"/>
      <c r="AO74" s="483"/>
      <c r="AP74" s="483"/>
      <c r="AQ74" s="483"/>
      <c r="AR74" s="483"/>
      <c r="AS74" s="483"/>
      <c r="AT74" s="483"/>
      <c r="AU74" s="483"/>
      <c r="AV74" s="483"/>
      <c r="AW74" s="483"/>
      <c r="AX74" s="483"/>
      <c r="AY74" s="483"/>
      <c r="AZ74" s="483"/>
    </row>
    <row r="75" spans="1:52" hidden="1">
      <c r="A75" s="1534"/>
      <c r="B75" s="159" t="str">
        <f>B17</f>
        <v>4E.10</v>
      </c>
      <c r="C75" s="2892" t="s">
        <v>3186</v>
      </c>
      <c r="D75" s="2892"/>
      <c r="E75" s="2892"/>
      <c r="F75" s="2892"/>
      <c r="G75" s="2892"/>
      <c r="H75" s="2892"/>
      <c r="I75" s="2892"/>
      <c r="J75" s="2892"/>
      <c r="K75" s="2892"/>
      <c r="L75" s="2892"/>
      <c r="M75" s="2892"/>
      <c r="N75" s="2892"/>
      <c r="O75" s="2893"/>
      <c r="U75" s="202">
        <v>1</v>
      </c>
      <c r="AJ75" s="483"/>
      <c r="AK75" s="483"/>
      <c r="AL75" s="483"/>
      <c r="AM75" s="483"/>
      <c r="AN75" s="483"/>
      <c r="AO75" s="483"/>
      <c r="AP75" s="483"/>
      <c r="AQ75" s="483"/>
      <c r="AR75" s="483"/>
      <c r="AS75" s="483"/>
      <c r="AT75" s="483"/>
      <c r="AU75" s="483"/>
      <c r="AV75" s="483"/>
      <c r="AW75" s="483"/>
      <c r="AX75" s="483"/>
      <c r="AY75" s="483"/>
      <c r="AZ75" s="483"/>
    </row>
    <row r="76" spans="1:52" ht="13.5" hidden="1" customHeight="1">
      <c r="A76" s="1534"/>
      <c r="B76" s="159" t="str">
        <f>B18</f>
        <v>4E.11</v>
      </c>
      <c r="C76" s="2892" t="s">
        <v>3187</v>
      </c>
      <c r="D76" s="2892"/>
      <c r="E76" s="2892"/>
      <c r="F76" s="2892"/>
      <c r="G76" s="2892"/>
      <c r="H76" s="2892"/>
      <c r="I76" s="2892"/>
      <c r="J76" s="2892"/>
      <c r="K76" s="2892"/>
      <c r="L76" s="2892"/>
      <c r="M76" s="2892"/>
      <c r="N76" s="2892"/>
      <c r="O76" s="2893"/>
      <c r="U76" s="202">
        <v>1</v>
      </c>
      <c r="AJ76" s="483"/>
      <c r="AK76" s="483"/>
      <c r="AL76" s="483"/>
      <c r="AM76" s="483"/>
      <c r="AN76" s="483"/>
      <c r="AO76" s="483"/>
      <c r="AP76" s="483"/>
      <c r="AQ76" s="483"/>
      <c r="AR76" s="483"/>
      <c r="AS76" s="483"/>
      <c r="AT76" s="483"/>
      <c r="AU76" s="483"/>
      <c r="AV76" s="483"/>
      <c r="AW76" s="483"/>
      <c r="AX76" s="483"/>
      <c r="AY76" s="483"/>
      <c r="AZ76" s="483"/>
    </row>
    <row r="77" spans="1:52" ht="23.25" hidden="1" customHeight="1">
      <c r="A77" s="1534"/>
      <c r="B77" s="159" t="str">
        <f t="shared" ref="B77:B84" si="18">B21</f>
        <v>4E.12</v>
      </c>
      <c r="C77" s="2892" t="s">
        <v>1244</v>
      </c>
      <c r="D77" s="2892"/>
      <c r="E77" s="2892"/>
      <c r="F77" s="2892"/>
      <c r="G77" s="2892"/>
      <c r="H77" s="2892"/>
      <c r="I77" s="2892"/>
      <c r="J77" s="2892"/>
      <c r="K77" s="2892"/>
      <c r="L77" s="2892"/>
      <c r="M77" s="2892"/>
      <c r="N77" s="2892"/>
      <c r="O77" s="2893"/>
      <c r="U77" s="202" t="s">
        <v>195</v>
      </c>
      <c r="AJ77" s="483"/>
      <c r="AK77" s="483"/>
      <c r="AL77" s="483"/>
      <c r="AM77" s="483"/>
      <c r="AN77" s="483"/>
      <c r="AO77" s="483"/>
      <c r="AP77" s="483"/>
      <c r="AQ77" s="483"/>
      <c r="AR77" s="483"/>
      <c r="AS77" s="483"/>
      <c r="AT77" s="483"/>
      <c r="AU77" s="483"/>
      <c r="AV77" s="483"/>
      <c r="AW77" s="483"/>
      <c r="AX77" s="483"/>
      <c r="AY77" s="483"/>
      <c r="AZ77" s="483"/>
    </row>
    <row r="78" spans="1:52" ht="23.25" hidden="1" customHeight="1">
      <c r="A78" s="1534"/>
      <c r="B78" s="159" t="str">
        <f t="shared" si="18"/>
        <v>4E.13</v>
      </c>
      <c r="C78" s="2892" t="s">
        <v>1245</v>
      </c>
      <c r="D78" s="2892"/>
      <c r="E78" s="2892"/>
      <c r="F78" s="2892"/>
      <c r="G78" s="2892"/>
      <c r="H78" s="2892"/>
      <c r="I78" s="2892"/>
      <c r="J78" s="2892"/>
      <c r="K78" s="2892"/>
      <c r="L78" s="2892"/>
      <c r="M78" s="2892"/>
      <c r="N78" s="2892"/>
      <c r="O78" s="2893"/>
      <c r="U78" s="202" t="s">
        <v>195</v>
      </c>
      <c r="AJ78" s="483"/>
      <c r="AK78" s="483"/>
      <c r="AL78" s="483"/>
      <c r="AM78" s="483"/>
      <c r="AN78" s="483"/>
      <c r="AO78" s="483"/>
      <c r="AP78" s="483"/>
      <c r="AQ78" s="483"/>
      <c r="AR78" s="483"/>
      <c r="AS78" s="483"/>
      <c r="AT78" s="483"/>
      <c r="AU78" s="483"/>
      <c r="AV78" s="483"/>
      <c r="AW78" s="483"/>
      <c r="AX78" s="483"/>
      <c r="AY78" s="483"/>
      <c r="AZ78" s="483"/>
    </row>
    <row r="79" spans="1:52" ht="13.5" hidden="1" customHeight="1">
      <c r="A79" s="1534"/>
      <c r="B79" s="159" t="str">
        <f t="shared" si="18"/>
        <v>4E.14</v>
      </c>
      <c r="C79" s="2892" t="s">
        <v>3188</v>
      </c>
      <c r="D79" s="2892"/>
      <c r="E79" s="2892"/>
      <c r="F79" s="2892"/>
      <c r="G79" s="2892"/>
      <c r="H79" s="2892"/>
      <c r="I79" s="2892"/>
      <c r="J79" s="2892"/>
      <c r="K79" s="2892"/>
      <c r="L79" s="2892"/>
      <c r="M79" s="2892"/>
      <c r="N79" s="2892"/>
      <c r="O79" s="2893"/>
      <c r="U79" s="202">
        <v>1</v>
      </c>
      <c r="AJ79" s="483"/>
      <c r="AK79" s="483"/>
      <c r="AL79" s="483"/>
      <c r="AM79" s="483"/>
      <c r="AN79" s="483"/>
      <c r="AO79" s="483"/>
      <c r="AP79" s="483"/>
      <c r="AQ79" s="483"/>
      <c r="AR79" s="483"/>
      <c r="AS79" s="483"/>
      <c r="AT79" s="483"/>
      <c r="AU79" s="483"/>
      <c r="AV79" s="483"/>
      <c r="AW79" s="483"/>
      <c r="AX79" s="483"/>
      <c r="AY79" s="483"/>
      <c r="AZ79" s="483"/>
    </row>
    <row r="80" spans="1:52" ht="13.5" hidden="1" customHeight="1">
      <c r="A80" s="1534"/>
      <c r="B80" s="159" t="str">
        <f t="shared" si="18"/>
        <v>4E.15</v>
      </c>
      <c r="C80" s="2892" t="s">
        <v>3189</v>
      </c>
      <c r="D80" s="2892"/>
      <c r="E80" s="2892"/>
      <c r="F80" s="2892"/>
      <c r="G80" s="2892"/>
      <c r="H80" s="2892"/>
      <c r="I80" s="2892"/>
      <c r="J80" s="2892"/>
      <c r="K80" s="2892"/>
      <c r="L80" s="2892"/>
      <c r="M80" s="2892"/>
      <c r="N80" s="2892"/>
      <c r="O80" s="2893"/>
      <c r="U80" s="202">
        <v>1</v>
      </c>
      <c r="AJ80" s="483"/>
      <c r="AK80" s="483"/>
      <c r="AL80" s="483"/>
      <c r="AM80" s="483"/>
      <c r="AN80" s="483"/>
      <c r="AO80" s="483"/>
      <c r="AP80" s="483"/>
      <c r="AQ80" s="483"/>
      <c r="AR80" s="483"/>
      <c r="AS80" s="483"/>
      <c r="AT80" s="483"/>
      <c r="AU80" s="483"/>
      <c r="AV80" s="483"/>
      <c r="AW80" s="483"/>
      <c r="AX80" s="483"/>
      <c r="AY80" s="483"/>
      <c r="AZ80" s="483"/>
    </row>
    <row r="81" spans="1:52" s="483" customFormat="1" ht="35.25" hidden="1" customHeight="1">
      <c r="A81" s="1534"/>
      <c r="B81" s="159" t="str">
        <f t="shared" si="18"/>
        <v>4E.16</v>
      </c>
      <c r="C81" s="2892" t="s">
        <v>3190</v>
      </c>
      <c r="D81" s="2892"/>
      <c r="E81" s="2892"/>
      <c r="F81" s="2892"/>
      <c r="G81" s="2892"/>
      <c r="H81" s="2892"/>
      <c r="I81" s="2892"/>
      <c r="J81" s="2892"/>
      <c r="K81" s="2892"/>
      <c r="L81" s="2892"/>
      <c r="M81" s="2892"/>
      <c r="N81" s="2892"/>
      <c r="O81" s="2893"/>
      <c r="P81" s="70"/>
      <c r="Q81" s="70"/>
      <c r="R81" s="70"/>
      <c r="S81" s="70"/>
      <c r="T81" s="71"/>
      <c r="U81" s="202" t="s">
        <v>778</v>
      </c>
      <c r="V81" s="70"/>
      <c r="W81" s="70"/>
      <c r="X81" s="70"/>
      <c r="Y81" s="70"/>
      <c r="Z81" s="70"/>
      <c r="AA81" s="70"/>
      <c r="AB81" s="70"/>
      <c r="AC81" s="71"/>
      <c r="AE81" s="71"/>
      <c r="AI81" s="71"/>
    </row>
    <row r="82" spans="1:52" ht="13.5" hidden="1" customHeight="1">
      <c r="A82" s="1534"/>
      <c r="B82" s="159" t="str">
        <f t="shared" si="18"/>
        <v>4E.17</v>
      </c>
      <c r="C82" s="2892" t="s">
        <v>3191</v>
      </c>
      <c r="D82" s="2892"/>
      <c r="E82" s="2892"/>
      <c r="F82" s="2892"/>
      <c r="G82" s="2892"/>
      <c r="H82" s="2892"/>
      <c r="I82" s="2892"/>
      <c r="J82" s="2892"/>
      <c r="K82" s="2892"/>
      <c r="L82" s="2892"/>
      <c r="M82" s="2892"/>
      <c r="N82" s="2892"/>
      <c r="O82" s="2893"/>
      <c r="U82" s="202">
        <v>1</v>
      </c>
      <c r="AJ82" s="483"/>
      <c r="AK82" s="483"/>
      <c r="AL82" s="483"/>
      <c r="AM82" s="483"/>
      <c r="AN82" s="483"/>
      <c r="AO82" s="483"/>
      <c r="AP82" s="483"/>
      <c r="AQ82" s="483"/>
      <c r="AR82" s="483"/>
      <c r="AS82" s="483"/>
      <c r="AT82" s="483"/>
      <c r="AU82" s="483"/>
      <c r="AV82" s="483"/>
      <c r="AW82" s="483"/>
      <c r="AX82" s="483"/>
      <c r="AY82" s="483"/>
      <c r="AZ82" s="483"/>
    </row>
    <row r="83" spans="1:52" hidden="1">
      <c r="A83" s="1534"/>
      <c r="B83" s="159" t="str">
        <f t="shared" si="18"/>
        <v>4E.18</v>
      </c>
      <c r="C83" s="2892" t="s">
        <v>3192</v>
      </c>
      <c r="D83" s="2892"/>
      <c r="E83" s="2892"/>
      <c r="F83" s="2892"/>
      <c r="G83" s="2892"/>
      <c r="H83" s="2892"/>
      <c r="I83" s="2892"/>
      <c r="J83" s="2892"/>
      <c r="K83" s="2892"/>
      <c r="L83" s="2892"/>
      <c r="M83" s="2892"/>
      <c r="N83" s="2892"/>
      <c r="O83" s="2893"/>
      <c r="U83" s="202">
        <v>1</v>
      </c>
      <c r="AJ83" s="483"/>
      <c r="AK83" s="483"/>
      <c r="AL83" s="483"/>
      <c r="AM83" s="483"/>
      <c r="AN83" s="483"/>
      <c r="AO83" s="483"/>
      <c r="AP83" s="483"/>
      <c r="AQ83" s="483"/>
      <c r="AR83" s="483"/>
      <c r="AS83" s="483"/>
      <c r="AT83" s="483"/>
      <c r="AU83" s="483"/>
      <c r="AV83" s="483"/>
      <c r="AW83" s="483"/>
      <c r="AX83" s="483"/>
      <c r="AY83" s="483"/>
      <c r="AZ83" s="483"/>
    </row>
    <row r="84" spans="1:52" hidden="1">
      <c r="A84" s="1534"/>
      <c r="B84" s="159" t="str">
        <f t="shared" si="18"/>
        <v>4E.19</v>
      </c>
      <c r="C84" s="2892" t="s">
        <v>3193</v>
      </c>
      <c r="D84" s="2892"/>
      <c r="E84" s="2892"/>
      <c r="F84" s="2892"/>
      <c r="G84" s="2892"/>
      <c r="H84" s="2892"/>
      <c r="I84" s="2892"/>
      <c r="J84" s="2892"/>
      <c r="K84" s="2892"/>
      <c r="L84" s="2892"/>
      <c r="M84" s="2892"/>
      <c r="N84" s="2892"/>
      <c r="O84" s="2893"/>
      <c r="U84" s="202">
        <v>1</v>
      </c>
      <c r="AJ84" s="483"/>
      <c r="AK84" s="483"/>
      <c r="AL84" s="483"/>
      <c r="AM84" s="483"/>
      <c r="AN84" s="483"/>
      <c r="AO84" s="483"/>
      <c r="AP84" s="483"/>
      <c r="AQ84" s="483"/>
      <c r="AR84" s="483"/>
      <c r="AS84" s="483"/>
      <c r="AT84" s="483"/>
      <c r="AU84" s="483"/>
      <c r="AV84" s="483"/>
      <c r="AW84" s="483"/>
      <c r="AX84" s="483"/>
      <c r="AY84" s="483"/>
      <c r="AZ84" s="483"/>
    </row>
    <row r="85" spans="1:52" ht="13.5" hidden="1" customHeight="1">
      <c r="A85" s="1534"/>
      <c r="B85" s="159" t="str">
        <f>B31</f>
        <v>4E.20</v>
      </c>
      <c r="C85" s="2892" t="s">
        <v>3194</v>
      </c>
      <c r="D85" s="2892"/>
      <c r="E85" s="2892"/>
      <c r="F85" s="2892"/>
      <c r="G85" s="2892"/>
      <c r="H85" s="2892"/>
      <c r="I85" s="2892"/>
      <c r="J85" s="2892"/>
      <c r="K85" s="2892"/>
      <c r="L85" s="2892"/>
      <c r="M85" s="2892"/>
      <c r="N85" s="2892"/>
      <c r="O85" s="2893"/>
      <c r="U85" s="202">
        <v>1</v>
      </c>
      <c r="AJ85" s="483"/>
      <c r="AK85" s="483"/>
      <c r="AL85" s="483"/>
      <c r="AM85" s="483"/>
      <c r="AN85" s="483"/>
      <c r="AO85" s="483"/>
      <c r="AP85" s="483"/>
      <c r="AQ85" s="483"/>
      <c r="AR85" s="483"/>
      <c r="AS85" s="483"/>
      <c r="AT85" s="483"/>
      <c r="AU85" s="483"/>
      <c r="AV85" s="483"/>
      <c r="AW85" s="483"/>
      <c r="AX85" s="483"/>
      <c r="AY85" s="483"/>
      <c r="AZ85" s="483"/>
    </row>
    <row r="86" spans="1:52" hidden="1">
      <c r="A86" s="1534"/>
      <c r="B86" s="159" t="str">
        <f t="shared" ref="B86" si="19">B33</f>
        <v>4E.21</v>
      </c>
      <c r="C86" s="2892" t="s">
        <v>3195</v>
      </c>
      <c r="D86" s="2892"/>
      <c r="E86" s="2892"/>
      <c r="F86" s="2892"/>
      <c r="G86" s="2892"/>
      <c r="H86" s="2892"/>
      <c r="I86" s="2892"/>
      <c r="J86" s="2892"/>
      <c r="K86" s="2892"/>
      <c r="L86" s="2892"/>
      <c r="M86" s="2892"/>
      <c r="N86" s="2892"/>
      <c r="O86" s="2893"/>
      <c r="U86" s="202">
        <v>1</v>
      </c>
      <c r="AJ86" s="483"/>
      <c r="AK86" s="483"/>
      <c r="AL86" s="483"/>
      <c r="AM86" s="483"/>
      <c r="AN86" s="483"/>
      <c r="AO86" s="483"/>
      <c r="AP86" s="483"/>
      <c r="AQ86" s="483"/>
      <c r="AR86" s="483"/>
      <c r="AS86" s="483"/>
      <c r="AT86" s="483"/>
      <c r="AU86" s="483"/>
      <c r="AV86" s="483"/>
      <c r="AW86" s="483"/>
      <c r="AX86" s="483"/>
      <c r="AY86" s="483"/>
      <c r="AZ86" s="483"/>
    </row>
    <row r="87" spans="1:52" ht="13.5" hidden="1" customHeight="1">
      <c r="A87" s="1534"/>
      <c r="B87" s="159" t="str">
        <f>B36</f>
        <v>4E.22</v>
      </c>
      <c r="C87" s="2892" t="s">
        <v>1254</v>
      </c>
      <c r="D87" s="2892"/>
      <c r="E87" s="2892"/>
      <c r="F87" s="2892"/>
      <c r="G87" s="2892"/>
      <c r="H87" s="2892"/>
      <c r="I87" s="2892"/>
      <c r="J87" s="2892"/>
      <c r="K87" s="2892"/>
      <c r="L87" s="2892"/>
      <c r="M87" s="2892"/>
      <c r="N87" s="2892"/>
      <c r="O87" s="2893"/>
      <c r="U87" s="202">
        <v>1</v>
      </c>
      <c r="AJ87" s="483"/>
      <c r="AK87" s="483"/>
      <c r="AL87" s="483"/>
      <c r="AM87" s="483"/>
      <c r="AN87" s="483"/>
      <c r="AO87" s="483"/>
      <c r="AP87" s="483"/>
      <c r="AQ87" s="483"/>
      <c r="AR87" s="483"/>
      <c r="AS87" s="483"/>
      <c r="AT87" s="483"/>
      <c r="AU87" s="483"/>
      <c r="AV87" s="483"/>
      <c r="AW87" s="483"/>
      <c r="AX87" s="483"/>
      <c r="AY87" s="483"/>
      <c r="AZ87" s="483"/>
    </row>
    <row r="88" spans="1:52" hidden="1">
      <c r="A88" s="1534"/>
      <c r="B88" s="159" t="str">
        <f>B37</f>
        <v>4E.23</v>
      </c>
      <c r="C88" s="2892" t="s">
        <v>2873</v>
      </c>
      <c r="D88" s="2892"/>
      <c r="E88" s="2892"/>
      <c r="F88" s="2892"/>
      <c r="G88" s="2892"/>
      <c r="H88" s="2892"/>
      <c r="I88" s="2892"/>
      <c r="J88" s="2892"/>
      <c r="K88" s="2892"/>
      <c r="L88" s="2892"/>
      <c r="M88" s="2892"/>
      <c r="N88" s="2892"/>
      <c r="O88" s="2893"/>
      <c r="U88" s="202">
        <v>1</v>
      </c>
      <c r="AJ88" s="483"/>
      <c r="AK88" s="483"/>
      <c r="AL88" s="483"/>
      <c r="AM88" s="483"/>
      <c r="AN88" s="483"/>
      <c r="AO88" s="483"/>
      <c r="AP88" s="483"/>
      <c r="AQ88" s="483"/>
      <c r="AR88" s="483"/>
      <c r="AS88" s="483"/>
      <c r="AT88" s="483"/>
      <c r="AU88" s="483"/>
      <c r="AV88" s="483"/>
      <c r="AW88" s="483"/>
      <c r="AX88" s="483"/>
      <c r="AY88" s="483"/>
      <c r="AZ88" s="483"/>
    </row>
    <row r="89" spans="1:52" hidden="1">
      <c r="A89" s="1534"/>
      <c r="B89" s="159" t="str">
        <f>B39</f>
        <v>4E.24</v>
      </c>
      <c r="C89" s="2892" t="s">
        <v>3196</v>
      </c>
      <c r="D89" s="2892"/>
      <c r="E89" s="2892"/>
      <c r="F89" s="2892"/>
      <c r="G89" s="2892"/>
      <c r="H89" s="2892"/>
      <c r="I89" s="2892"/>
      <c r="J89" s="2892"/>
      <c r="K89" s="2892"/>
      <c r="L89" s="2892"/>
      <c r="M89" s="2892"/>
      <c r="N89" s="2892"/>
      <c r="O89" s="2893"/>
      <c r="U89" s="202">
        <v>1</v>
      </c>
      <c r="AJ89" s="483"/>
      <c r="AK89" s="483"/>
      <c r="AL89" s="483"/>
      <c r="AM89" s="483"/>
      <c r="AN89" s="483"/>
      <c r="AO89" s="483"/>
      <c r="AP89" s="483"/>
      <c r="AQ89" s="483"/>
      <c r="AR89" s="483"/>
      <c r="AS89" s="483"/>
      <c r="AT89" s="483"/>
      <c r="AU89" s="483"/>
      <c r="AV89" s="483"/>
      <c r="AW89" s="483"/>
      <c r="AX89" s="483"/>
      <c r="AY89" s="483"/>
      <c r="AZ89" s="483"/>
    </row>
    <row r="90" spans="1:52" ht="13.5" hidden="1" customHeight="1">
      <c r="A90" s="1534"/>
      <c r="B90" s="159" t="s">
        <v>3138</v>
      </c>
      <c r="C90" s="2892" t="s">
        <v>2875</v>
      </c>
      <c r="D90" s="2892"/>
      <c r="E90" s="2892"/>
      <c r="F90" s="2892"/>
      <c r="G90" s="2892"/>
      <c r="H90" s="2892"/>
      <c r="I90" s="2892"/>
      <c r="J90" s="2892"/>
      <c r="K90" s="2892"/>
      <c r="L90" s="2892"/>
      <c r="M90" s="2892"/>
      <c r="N90" s="2892"/>
      <c r="O90" s="2893"/>
      <c r="U90" s="202">
        <v>1</v>
      </c>
      <c r="AJ90" s="483"/>
      <c r="AK90" s="483"/>
      <c r="AL90" s="483"/>
      <c r="AM90" s="483"/>
      <c r="AN90" s="483"/>
      <c r="AO90" s="483"/>
      <c r="AP90" s="483"/>
      <c r="AQ90" s="483"/>
      <c r="AR90" s="483"/>
      <c r="AS90" s="483"/>
      <c r="AT90" s="483"/>
      <c r="AU90" s="483"/>
      <c r="AV90" s="483"/>
      <c r="AW90" s="483"/>
      <c r="AX90" s="483"/>
      <c r="AY90" s="483"/>
      <c r="AZ90" s="483"/>
    </row>
    <row r="91" spans="1:52" s="483" customFormat="1" ht="15" hidden="1" customHeight="1">
      <c r="A91" s="1534"/>
      <c r="B91" s="784" t="s">
        <v>2876</v>
      </c>
      <c r="C91" s="2892" t="s">
        <v>3197</v>
      </c>
      <c r="D91" s="2892"/>
      <c r="E91" s="2892"/>
      <c r="F91" s="2892"/>
      <c r="G91" s="2892"/>
      <c r="H91" s="2892"/>
      <c r="I91" s="2892"/>
      <c r="J91" s="2892"/>
      <c r="K91" s="2892"/>
      <c r="L91" s="2892"/>
      <c r="M91" s="2892"/>
      <c r="N91" s="2892"/>
      <c r="O91" s="2893"/>
      <c r="P91" s="70"/>
      <c r="Q91" s="70"/>
      <c r="R91" s="70"/>
      <c r="S91" s="70"/>
      <c r="T91" s="71"/>
      <c r="U91" s="202">
        <v>1</v>
      </c>
      <c r="V91" s="70"/>
      <c r="W91" s="70"/>
      <c r="X91" s="70"/>
      <c r="Y91" s="70"/>
      <c r="Z91" s="70"/>
      <c r="AA91" s="70"/>
      <c r="AB91" s="70"/>
      <c r="AC91" s="71"/>
      <c r="AE91" s="71"/>
      <c r="AI91" s="71"/>
    </row>
    <row r="92" spans="1:52" s="483" customFormat="1" ht="15" hidden="1" customHeight="1">
      <c r="A92" s="1534"/>
      <c r="B92" s="784" t="s">
        <v>2878</v>
      </c>
      <c r="C92" s="2892" t="s">
        <v>2879</v>
      </c>
      <c r="D92" s="2892"/>
      <c r="E92" s="2892"/>
      <c r="F92" s="2892"/>
      <c r="G92" s="2892"/>
      <c r="H92" s="2892"/>
      <c r="I92" s="2892"/>
      <c r="J92" s="2892"/>
      <c r="K92" s="2892"/>
      <c r="L92" s="2892"/>
      <c r="M92" s="2892"/>
      <c r="N92" s="2892"/>
      <c r="O92" s="2893"/>
      <c r="P92" s="70"/>
      <c r="Q92" s="70"/>
      <c r="R92" s="70"/>
      <c r="S92" s="70"/>
      <c r="T92" s="71"/>
      <c r="U92" s="202">
        <v>1</v>
      </c>
      <c r="V92" s="70"/>
      <c r="W92" s="70"/>
      <c r="X92" s="70"/>
      <c r="Y92" s="70"/>
      <c r="Z92" s="70"/>
      <c r="AA92" s="70"/>
      <c r="AB92" s="70"/>
      <c r="AC92" s="71"/>
      <c r="AE92" s="71"/>
      <c r="AI92" s="71"/>
    </row>
    <row r="93" spans="1:52" ht="15" hidden="1" customHeight="1" thickBot="1">
      <c r="A93" s="1534"/>
      <c r="B93" s="183" t="s">
        <v>2880</v>
      </c>
      <c r="C93" s="2912" t="s">
        <v>3198</v>
      </c>
      <c r="D93" s="2912"/>
      <c r="E93" s="2912"/>
      <c r="F93" s="2912"/>
      <c r="G93" s="2912"/>
      <c r="H93" s="2912"/>
      <c r="I93" s="2912"/>
      <c r="J93" s="2912"/>
      <c r="K93" s="2912"/>
      <c r="L93" s="2912"/>
      <c r="M93" s="2912"/>
      <c r="N93" s="2912"/>
      <c r="O93" s="2913"/>
      <c r="U93" s="202">
        <v>1</v>
      </c>
      <c r="AJ93" s="483"/>
      <c r="AK93" s="483"/>
      <c r="AL93" s="483"/>
      <c r="AM93" s="483"/>
      <c r="AN93" s="483"/>
      <c r="AO93" s="483"/>
      <c r="AP93" s="483"/>
      <c r="AQ93" s="483"/>
      <c r="AR93" s="483"/>
      <c r="AS93" s="483"/>
      <c r="AT93" s="483"/>
      <c r="AU93" s="483"/>
      <c r="AV93" s="483"/>
      <c r="AW93" s="483"/>
      <c r="AX93" s="483"/>
      <c r="AY93" s="483"/>
      <c r="AZ93" s="483"/>
    </row>
    <row r="94" spans="1:52" hidden="1">
      <c r="A94" s="1534"/>
      <c r="B94" s="483"/>
      <c r="C94" s="483"/>
      <c r="E94" s="483"/>
      <c r="F94" s="483"/>
      <c r="G94" s="483"/>
      <c r="H94" s="483"/>
      <c r="I94" s="483"/>
      <c r="J94" s="483"/>
      <c r="K94" s="483"/>
      <c r="L94" s="483"/>
      <c r="M94" s="483"/>
      <c r="N94" s="483"/>
      <c r="O94" s="483"/>
      <c r="AJ94" s="483"/>
      <c r="AK94" s="483"/>
      <c r="AL94" s="483"/>
      <c r="AM94" s="483"/>
      <c r="AN94" s="483"/>
      <c r="AO94" s="483"/>
      <c r="AP94" s="483"/>
      <c r="AQ94" s="483"/>
      <c r="AR94" s="483"/>
      <c r="AS94" s="483"/>
      <c r="AT94" s="483"/>
      <c r="AU94" s="483"/>
      <c r="AV94" s="483"/>
      <c r="AW94" s="483"/>
      <c r="AX94" s="483"/>
      <c r="AY94" s="483"/>
      <c r="AZ94" s="483"/>
    </row>
    <row r="95" spans="1:52" hidden="1">
      <c r="A95" s="1534"/>
      <c r="B95" s="483"/>
      <c r="C95" s="483"/>
      <c r="E95" s="483"/>
      <c r="F95" s="483"/>
      <c r="G95" s="483"/>
      <c r="H95" s="483"/>
      <c r="I95" s="483"/>
      <c r="J95" s="483"/>
      <c r="K95" s="483"/>
      <c r="L95" s="483"/>
      <c r="M95" s="483"/>
      <c r="N95" s="483"/>
      <c r="O95" s="483"/>
      <c r="AJ95" s="483"/>
      <c r="AK95" s="483"/>
      <c r="AL95" s="483"/>
      <c r="AM95" s="483"/>
      <c r="AN95" s="483"/>
      <c r="AO95" s="483"/>
      <c r="AP95" s="483"/>
      <c r="AQ95" s="483"/>
      <c r="AR95" s="483"/>
      <c r="AS95" s="483"/>
      <c r="AT95" s="483"/>
      <c r="AU95" s="483"/>
      <c r="AV95" s="483"/>
      <c r="AW95" s="483"/>
      <c r="AX95" s="483"/>
      <c r="AY95" s="483"/>
      <c r="AZ95" s="483"/>
    </row>
    <row r="96" spans="1:52" hidden="1">
      <c r="A96" s="483"/>
      <c r="B96" s="483"/>
      <c r="C96" s="483"/>
      <c r="E96" s="483"/>
      <c r="F96" s="483"/>
      <c r="G96" s="483"/>
      <c r="H96" s="483"/>
      <c r="I96" s="483"/>
      <c r="J96" s="483"/>
      <c r="K96" s="483"/>
      <c r="L96" s="483"/>
      <c r="M96" s="483"/>
      <c r="N96" s="483"/>
      <c r="O96" s="483"/>
      <c r="AJ96" s="483"/>
      <c r="AK96" s="483"/>
      <c r="AL96" s="483"/>
      <c r="AM96" s="483"/>
      <c r="AN96" s="483"/>
      <c r="AO96" s="483"/>
      <c r="AP96" s="483"/>
      <c r="AQ96" s="483"/>
      <c r="AR96" s="483"/>
      <c r="AS96" s="483"/>
      <c r="AT96" s="483"/>
      <c r="AU96" s="483"/>
      <c r="AV96" s="483"/>
      <c r="AW96" s="483"/>
      <c r="AX96" s="483"/>
      <c r="AY96" s="483"/>
      <c r="AZ96" s="483"/>
    </row>
  </sheetData>
  <sheetProtection algorithmName="SHA-512" hashValue="CAmSxxKw+ZzgEU5PZT4qNOwv3d260laVzZ4yu/u9gbwz+XhXiPzTkRcD35qXPQqQA3ICcSKizLspxb9dwFy5tw==" saltValue="/ER7j1zSLNT0Q4yIDEiebA==" spinCount="100000" sheet="1" objects="1" scenarios="1"/>
  <mergeCells count="48">
    <mergeCell ref="C87:O87"/>
    <mergeCell ref="C88:O88"/>
    <mergeCell ref="C82:O82"/>
    <mergeCell ref="C83:O83"/>
    <mergeCell ref="G3:I3"/>
    <mergeCell ref="J3:K3"/>
    <mergeCell ref="L3:N3"/>
    <mergeCell ref="O3:O4"/>
    <mergeCell ref="C81:O81"/>
    <mergeCell ref="C93:O93"/>
    <mergeCell ref="C91:O91"/>
    <mergeCell ref="C92:O92"/>
    <mergeCell ref="C70:O70"/>
    <mergeCell ref="C86:O86"/>
    <mergeCell ref="C74:O74"/>
    <mergeCell ref="C75:O75"/>
    <mergeCell ref="C76:O76"/>
    <mergeCell ref="C77:O77"/>
    <mergeCell ref="C78:O78"/>
    <mergeCell ref="C79:O79"/>
    <mergeCell ref="C80:O80"/>
    <mergeCell ref="C89:O89"/>
    <mergeCell ref="C90:O90"/>
    <mergeCell ref="C84:O84"/>
    <mergeCell ref="C85:O85"/>
    <mergeCell ref="U4:AB4"/>
    <mergeCell ref="Q3:Q4"/>
    <mergeCell ref="C73:O73"/>
    <mergeCell ref="C71:O71"/>
    <mergeCell ref="C72:O72"/>
    <mergeCell ref="R3:R4"/>
    <mergeCell ref="U5:AB5"/>
    <mergeCell ref="B54:C54"/>
    <mergeCell ref="C69:O69"/>
    <mergeCell ref="C66:O66"/>
    <mergeCell ref="C67:O67"/>
    <mergeCell ref="C68:O68"/>
    <mergeCell ref="C65:O65"/>
    <mergeCell ref="B3:C4"/>
    <mergeCell ref="E3:E4"/>
    <mergeCell ref="F3:F4"/>
    <mergeCell ref="BK3:BM3"/>
    <mergeCell ref="BN3:BN4"/>
    <mergeCell ref="BA3:BB4"/>
    <mergeCell ref="BD3:BD4"/>
    <mergeCell ref="BE3:BE4"/>
    <mergeCell ref="BF3:BH3"/>
    <mergeCell ref="BI3:BJ3"/>
  </mergeCells>
  <conditionalFormatting sqref="R17">
    <cfRule type="cellIs" dxfId="293" priority="18" operator="equal">
      <formula>0</formula>
    </cfRule>
  </conditionalFormatting>
  <conditionalFormatting sqref="R6:R14">
    <cfRule type="cellIs" dxfId="292" priority="19" operator="equal">
      <formula>0</formula>
    </cfRule>
  </conditionalFormatting>
  <conditionalFormatting sqref="R21:R25">
    <cfRule type="cellIs" dxfId="291" priority="17" operator="equal">
      <formula>0</formula>
    </cfRule>
  </conditionalFormatting>
  <conditionalFormatting sqref="R27">
    <cfRule type="cellIs" dxfId="290" priority="16" operator="equal">
      <formula>0</formula>
    </cfRule>
  </conditionalFormatting>
  <conditionalFormatting sqref="R31">
    <cfRule type="cellIs" dxfId="289" priority="15" operator="equal">
      <formula>0</formula>
    </cfRule>
  </conditionalFormatting>
  <conditionalFormatting sqref="R36:R37">
    <cfRule type="cellIs" dxfId="288" priority="14" operator="equal">
      <formula>0</formula>
    </cfRule>
  </conditionalFormatting>
  <conditionalFormatting sqref="R42:R49">
    <cfRule type="cellIs" dxfId="287" priority="13" operator="equal">
      <formula>0</formula>
    </cfRule>
  </conditionalFormatting>
  <conditionalFormatting sqref="R51">
    <cfRule type="cellIs" dxfId="286" priority="8" operator="equal">
      <formula>0</formula>
    </cfRule>
  </conditionalFormatting>
  <conditionalFormatting sqref="Q31">
    <cfRule type="cellIs" dxfId="285"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2" id="{8B0516F3-5DEF-49F1-A92B-448BF03645A0}">
            <xm:f>Validation!$H$3=1</xm:f>
            <x14:dxf>
              <fill>
                <patternFill>
                  <bgColor rgb="FFE0DCD8"/>
                </patternFill>
              </fill>
            </x14:dxf>
          </x14:cfRule>
          <xm:sqref>G17:O18 G36:O37 G42 H43 I44 J45 K46 L47 M48 N49 G50:N50 G31:O31 G33:O33 G39:O39 G21:O28 G7:O15</xm:sqref>
        </x14:conditionalFormatting>
        <x14:conditionalFormatting xmlns:xm="http://schemas.microsoft.com/office/excel/2006/main">
          <x14:cfRule type="expression" priority="6" id="{283AE99E-D1C5-4896-B99A-21828B1C5ACB}">
            <xm:f>Validation!$H$3=1</xm:f>
            <x14:dxf>
              <fill>
                <patternFill>
                  <bgColor rgb="FFE0DCD8"/>
                </patternFill>
              </fill>
            </x14:dxf>
          </x14:cfRule>
          <xm:sqref>G51:N51</xm:sqref>
        </x14:conditionalFormatting>
        <x14:conditionalFormatting xmlns:xm="http://schemas.microsoft.com/office/excel/2006/main">
          <x14:cfRule type="expression" priority="5" id="{CC718445-777C-4A24-86AC-D68655F7FC98}">
            <xm:f>Validation!$H$3=1</xm:f>
            <x14:dxf>
              <fill>
                <patternFill>
                  <bgColor rgb="FFE0DCD8"/>
                </patternFill>
              </fill>
            </x14:dxf>
          </x14:cfRule>
          <xm:sqref>G52:N52</xm:sqref>
        </x14:conditionalFormatting>
        <x14:conditionalFormatting xmlns:xm="http://schemas.microsoft.com/office/excel/2006/main">
          <x14:cfRule type="expression" priority="3" id="{CC5FC5CE-0071-4A8A-8DCA-61ACEE6A3858}">
            <xm:f>Validation!$H$3=1</xm:f>
            <x14:dxf>
              <fill>
                <patternFill>
                  <bgColor rgb="FFE0DCD8"/>
                </patternFill>
              </fill>
            </x14:dxf>
          </x14:cfRule>
          <xm:sqref>BF17:BN18 BF36:BN37 BF42 BG43 BH44 BI45 BJ46 BK47 BL48 BM49 BF50:BM50 BF31:BN31 BF33:BN33 BF39:BN39 BF21:BN28 BF7:BN15</xm:sqref>
        </x14:conditionalFormatting>
        <x14:conditionalFormatting xmlns:xm="http://schemas.microsoft.com/office/excel/2006/main">
          <x14:cfRule type="expression" priority="2" id="{E03F6E7A-10F9-43A2-92D9-84CDA2044E9D}">
            <xm:f>Validation!$H$3=1</xm:f>
            <x14:dxf>
              <fill>
                <patternFill>
                  <bgColor rgb="FFE0DCD8"/>
                </patternFill>
              </fill>
            </x14:dxf>
          </x14:cfRule>
          <xm:sqref>BF51:BM51</xm:sqref>
        </x14:conditionalFormatting>
        <x14:conditionalFormatting xmlns:xm="http://schemas.microsoft.com/office/excel/2006/main">
          <x14:cfRule type="expression" priority="1" id="{A1D38F96-5B67-4524-9CC5-D96930BE5C13}">
            <xm:f>Validation!$H$3=1</xm:f>
            <x14:dxf>
              <fill>
                <patternFill>
                  <bgColor rgb="FFE0DCD8"/>
                </patternFill>
              </fill>
            </x14:dxf>
          </x14:cfRule>
          <xm:sqref>BF52:BM52</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tabColor rgb="FF92D050"/>
    <pageSetUpPr fitToPage="1"/>
  </sheetPr>
  <dimension ref="A1:BN67"/>
  <sheetViews>
    <sheetView workbookViewId="0">
      <selection activeCell="B1" sqref="B1:O31"/>
    </sheetView>
  </sheetViews>
  <sheetFormatPr defaultColWidth="8.58203125" defaultRowHeight="14" zeroHeight="1"/>
  <cols>
    <col min="1" max="1" width="0.58203125" style="8" customWidth="1"/>
    <col min="2" max="2" width="6.08203125" style="8" customWidth="1"/>
    <col min="3" max="3" width="58.58203125" style="8" bestFit="1" customWidth="1"/>
    <col min="4" max="4" width="1.08203125" style="483" hidden="1" customWidth="1"/>
    <col min="5" max="6" width="5.08203125" style="8" customWidth="1"/>
    <col min="7" max="7" width="11.08203125" style="8" customWidth="1"/>
    <col min="8" max="8" width="12.58203125" style="8" customWidth="1"/>
    <col min="9" max="9" width="13.08203125" style="8" customWidth="1"/>
    <col min="10" max="10" width="13" style="8" customWidth="1"/>
    <col min="11" max="11" width="11.08203125" style="8" customWidth="1"/>
    <col min="12" max="12" width="12.58203125" style="8" customWidth="1"/>
    <col min="13" max="13" width="13.08203125" style="8" customWidth="1"/>
    <col min="14" max="14" width="13" style="8" customWidth="1"/>
    <col min="15" max="15" width="12.5" style="8" customWidth="1"/>
    <col min="16" max="16" width="2.58203125" style="70" customWidth="1"/>
    <col min="17" max="17" width="25.75" style="70" customWidth="1"/>
    <col min="18" max="18" width="22.75" style="70" customWidth="1"/>
    <col min="19" max="19" width="1.58203125" style="70" customWidth="1"/>
    <col min="20" max="20" width="1.58203125" style="71" hidden="1" customWidth="1"/>
    <col min="21" max="27" width="4.58203125" style="70" hidden="1" customWidth="1"/>
    <col min="28" max="28" width="1.58203125" style="71" hidden="1" customWidth="1"/>
    <col min="29" max="29" width="8.58203125" style="74" hidden="1" customWidth="1"/>
    <col min="30" max="30" width="1.58203125" style="71" hidden="1" customWidth="1"/>
    <col min="31" max="32" width="8.58203125" style="74" hidden="1" customWidth="1"/>
    <col min="33" max="33" width="38.08203125" style="74" hidden="1" customWidth="1"/>
    <col min="34" max="34" width="1.58203125" style="71" hidden="1" customWidth="1"/>
    <col min="35" max="51" width="0" style="8" hidden="1" customWidth="1"/>
    <col min="52" max="52" width="8.58203125" style="8"/>
    <col min="53" max="53" width="6.08203125" style="483" customWidth="1"/>
    <col min="54" max="54" width="58.58203125" style="483" bestFit="1" customWidth="1"/>
    <col min="55" max="55" width="1.08203125" style="483" hidden="1" customWidth="1"/>
    <col min="56" max="57" width="5.08203125" style="483" customWidth="1"/>
    <col min="58" max="58" width="11.08203125" style="483" customWidth="1"/>
    <col min="59" max="59" width="12.58203125" style="483" customWidth="1"/>
    <col min="60" max="60" width="13.08203125" style="483" customWidth="1"/>
    <col min="61" max="61" width="13" style="483" customWidth="1"/>
    <col min="62" max="62" width="11.08203125" style="483" customWidth="1"/>
    <col min="63" max="63" width="12.58203125" style="483" customWidth="1"/>
    <col min="64" max="64" width="13.08203125" style="483" customWidth="1"/>
    <col min="65" max="65" width="13" style="483" customWidth="1"/>
    <col min="66" max="66" width="12.5" style="483" customWidth="1"/>
    <col min="67" max="67" width="8.58203125" style="8"/>
    <col min="68" max="2128" width="0" style="8" hidden="1" customWidth="1"/>
    <col min="2129" max="16384" width="8.58203125" style="8"/>
  </cols>
  <sheetData>
    <row r="1" spans="2:66" ht="20">
      <c r="B1" s="66" t="s">
        <v>3199</v>
      </c>
      <c r="C1" s="66"/>
      <c r="D1" s="66"/>
      <c r="E1" s="66"/>
      <c r="F1" s="66"/>
      <c r="G1" s="66"/>
      <c r="H1" s="66"/>
      <c r="I1" s="66"/>
      <c r="J1" s="66"/>
      <c r="K1" s="66"/>
      <c r="L1" s="66"/>
      <c r="M1" s="66"/>
      <c r="N1" s="66"/>
      <c r="O1" s="68" t="str">
        <f>Validation!B3</f>
        <v>Bristol Water</v>
      </c>
      <c r="P1" s="66"/>
      <c r="Q1" s="69"/>
      <c r="R1" s="69" t="s">
        <v>32</v>
      </c>
      <c r="AC1" s="70"/>
      <c r="AE1" s="483"/>
      <c r="AF1" s="483"/>
      <c r="AG1" s="483"/>
      <c r="AI1" s="483"/>
      <c r="AJ1" s="483"/>
      <c r="AK1" s="483"/>
      <c r="AL1" s="483"/>
      <c r="AM1" s="483"/>
      <c r="AN1" s="483"/>
      <c r="AO1" s="483"/>
      <c r="AP1" s="483"/>
      <c r="AQ1" s="483"/>
      <c r="AR1" s="483"/>
      <c r="AS1" s="483"/>
      <c r="AT1" s="483"/>
      <c r="AU1" s="483"/>
      <c r="AV1" s="483"/>
      <c r="AW1" s="483"/>
      <c r="AX1" s="483"/>
      <c r="AY1" s="483"/>
      <c r="AZ1" s="483"/>
      <c r="BA1" s="66" t="s">
        <v>33</v>
      </c>
      <c r="BB1" s="66"/>
      <c r="BC1" s="66"/>
      <c r="BD1" s="66"/>
      <c r="BE1" s="66"/>
      <c r="BF1" s="66"/>
      <c r="BG1" s="66"/>
      <c r="BH1" s="66"/>
      <c r="BI1" s="66"/>
      <c r="BJ1" s="66"/>
      <c r="BK1" s="66"/>
      <c r="BL1" s="66"/>
      <c r="BM1" s="66"/>
      <c r="BN1" s="68"/>
    </row>
    <row r="2" spans="2:66" ht="14.5" thickBot="1">
      <c r="B2" s="73" t="str">
        <f>'4E'!B2</f>
        <v>For the 12 months ended 31 March 2020</v>
      </c>
      <c r="C2" s="70"/>
      <c r="D2" s="70"/>
      <c r="E2" s="70"/>
      <c r="F2" s="70"/>
      <c r="G2" s="208"/>
      <c r="H2" s="209"/>
      <c r="I2" s="209"/>
      <c r="J2" s="210"/>
      <c r="K2" s="208"/>
      <c r="L2" s="209"/>
      <c r="M2" s="209"/>
      <c r="N2" s="210"/>
      <c r="O2" s="70"/>
      <c r="AC2" s="70"/>
      <c r="AI2" s="483"/>
      <c r="AJ2" s="483"/>
      <c r="AK2" s="483"/>
      <c r="AL2" s="483"/>
      <c r="AM2" s="483"/>
      <c r="AN2" s="483"/>
      <c r="AO2" s="483"/>
      <c r="AP2" s="483"/>
      <c r="AQ2" s="483"/>
      <c r="AR2" s="483"/>
      <c r="AS2" s="483"/>
      <c r="AT2" s="483"/>
      <c r="AU2" s="483"/>
      <c r="AV2" s="483"/>
      <c r="AW2" s="483"/>
      <c r="AX2" s="483"/>
      <c r="AY2" s="483"/>
      <c r="AZ2" s="483"/>
      <c r="BA2" s="73" t="str">
        <f>+B2</f>
        <v>For the 12 months ended 31 March 2020</v>
      </c>
      <c r="BB2" s="70"/>
      <c r="BC2" s="70"/>
      <c r="BD2" s="70"/>
      <c r="BE2" s="70"/>
      <c r="BF2" s="208"/>
      <c r="BG2" s="209"/>
      <c r="BH2" s="209"/>
      <c r="BI2" s="210"/>
      <c r="BJ2" s="208"/>
      <c r="BK2" s="209"/>
      <c r="BL2" s="209"/>
      <c r="BM2" s="210"/>
      <c r="BN2" s="70"/>
    </row>
    <row r="3" spans="2:66" ht="15" customHeight="1">
      <c r="B3" s="2981" t="s">
        <v>34</v>
      </c>
      <c r="C3" s="2982"/>
      <c r="D3" s="2843" t="s">
        <v>2462</v>
      </c>
      <c r="E3" s="2985" t="s">
        <v>36</v>
      </c>
      <c r="F3" s="2987" t="s">
        <v>37</v>
      </c>
      <c r="G3" s="3061" t="s">
        <v>3200</v>
      </c>
      <c r="H3" s="3062"/>
      <c r="I3" s="3062"/>
      <c r="J3" s="3083"/>
      <c r="K3" s="3082" t="s">
        <v>3201</v>
      </c>
      <c r="L3" s="3062"/>
      <c r="M3" s="3062"/>
      <c r="N3" s="3083"/>
      <c r="O3" s="2907" t="s">
        <v>708</v>
      </c>
      <c r="Q3" s="2907" t="s">
        <v>703</v>
      </c>
      <c r="R3" s="2907" t="s">
        <v>41</v>
      </c>
      <c r="AI3" s="483"/>
      <c r="AJ3" s="483"/>
      <c r="AK3" s="483"/>
      <c r="AL3" s="483"/>
      <c r="AM3" s="483"/>
      <c r="AN3" s="483"/>
      <c r="AO3" s="483"/>
      <c r="AP3" s="483"/>
      <c r="AQ3" s="483"/>
      <c r="AR3" s="483"/>
      <c r="AS3" s="483"/>
      <c r="AT3" s="483"/>
      <c r="AU3" s="483"/>
      <c r="AV3" s="483"/>
      <c r="AW3" s="483"/>
      <c r="AX3" s="483"/>
      <c r="AY3" s="483"/>
      <c r="AZ3" s="483"/>
      <c r="BA3" s="2981" t="s">
        <v>34</v>
      </c>
      <c r="BB3" s="2982"/>
      <c r="BC3" s="2843" t="s">
        <v>2462</v>
      </c>
      <c r="BD3" s="2985" t="s">
        <v>36</v>
      </c>
      <c r="BE3" s="2987" t="s">
        <v>37</v>
      </c>
      <c r="BF3" s="3061" t="s">
        <v>3200</v>
      </c>
      <c r="BG3" s="3062"/>
      <c r="BH3" s="3062"/>
      <c r="BI3" s="3083"/>
      <c r="BJ3" s="3082" t="s">
        <v>3201</v>
      </c>
      <c r="BK3" s="3062"/>
      <c r="BL3" s="3062"/>
      <c r="BM3" s="3083"/>
      <c r="BN3" s="2907" t="s">
        <v>708</v>
      </c>
    </row>
    <row r="4" spans="2:66" ht="27.5" thickBot="1">
      <c r="B4" s="2983"/>
      <c r="C4" s="2984"/>
      <c r="D4" s="2844"/>
      <c r="E4" s="2986"/>
      <c r="F4" s="2988"/>
      <c r="G4" s="211" t="s">
        <v>3202</v>
      </c>
      <c r="H4" s="212" t="s">
        <v>3203</v>
      </c>
      <c r="I4" s="212" t="s">
        <v>3204</v>
      </c>
      <c r="J4" s="213" t="s">
        <v>708</v>
      </c>
      <c r="K4" s="214" t="s">
        <v>3202</v>
      </c>
      <c r="L4" s="212" t="s">
        <v>3203</v>
      </c>
      <c r="M4" s="212" t="s">
        <v>3204</v>
      </c>
      <c r="N4" s="213" t="s">
        <v>708</v>
      </c>
      <c r="O4" s="2908"/>
      <c r="Q4" s="3084"/>
      <c r="R4" s="2908"/>
      <c r="AI4" s="483"/>
      <c r="AJ4" s="483"/>
      <c r="AK4" s="483"/>
      <c r="AL4" s="483"/>
      <c r="AM4" s="483"/>
      <c r="AN4" s="483"/>
      <c r="AO4" s="483"/>
      <c r="AP4" s="483"/>
      <c r="AQ4" s="483"/>
      <c r="AR4" s="483"/>
      <c r="AS4" s="483"/>
      <c r="AT4" s="483"/>
      <c r="AU4" s="483"/>
      <c r="AV4" s="483"/>
      <c r="AW4" s="483"/>
      <c r="AX4" s="483"/>
      <c r="AY4" s="483"/>
      <c r="AZ4" s="483"/>
      <c r="BA4" s="2983"/>
      <c r="BB4" s="2984"/>
      <c r="BC4" s="2844"/>
      <c r="BD4" s="2986"/>
      <c r="BE4" s="2988"/>
      <c r="BF4" s="211" t="s">
        <v>3202</v>
      </c>
      <c r="BG4" s="212" t="s">
        <v>3203</v>
      </c>
      <c r="BH4" s="212" t="s">
        <v>3204</v>
      </c>
      <c r="BI4" s="213" t="s">
        <v>708</v>
      </c>
      <c r="BJ4" s="214" t="s">
        <v>3202</v>
      </c>
      <c r="BK4" s="212" t="s">
        <v>3203</v>
      </c>
      <c r="BL4" s="212" t="s">
        <v>3204</v>
      </c>
      <c r="BM4" s="213" t="s">
        <v>708</v>
      </c>
      <c r="BN4" s="2908"/>
    </row>
    <row r="5" spans="2:66" ht="23.5" thickBot="1">
      <c r="B5" s="70"/>
      <c r="C5" s="70"/>
      <c r="D5" s="70"/>
      <c r="E5" s="70"/>
      <c r="F5" s="70"/>
      <c r="G5" s="70"/>
      <c r="H5" s="70"/>
      <c r="I5" s="70"/>
      <c r="J5" s="70"/>
      <c r="K5" s="70"/>
      <c r="L5" s="70"/>
      <c r="M5" s="70"/>
      <c r="N5" s="70"/>
      <c r="O5" s="70"/>
      <c r="U5" s="2909" t="s">
        <v>45</v>
      </c>
      <c r="V5" s="2909"/>
      <c r="W5" s="2909"/>
      <c r="X5" s="2909"/>
      <c r="Y5" s="2909"/>
      <c r="Z5" s="2909"/>
      <c r="AA5" s="2909"/>
      <c r="AC5" s="2822" t="s">
        <v>24</v>
      </c>
      <c r="AE5" s="76" t="s">
        <v>902</v>
      </c>
      <c r="AF5" s="2822"/>
      <c r="AG5" s="2822"/>
      <c r="AI5" s="483"/>
      <c r="AJ5" s="483"/>
      <c r="AK5" s="483"/>
      <c r="AL5" s="483"/>
      <c r="AM5" s="483"/>
      <c r="AN5" s="483"/>
      <c r="AO5" s="483"/>
      <c r="AP5" s="483"/>
      <c r="AQ5" s="483"/>
      <c r="AR5" s="483"/>
      <c r="AS5" s="483"/>
      <c r="AT5" s="483"/>
      <c r="AU5" s="483"/>
      <c r="AV5" s="483"/>
      <c r="AW5" s="483"/>
      <c r="AX5" s="483"/>
      <c r="AY5" s="483"/>
      <c r="AZ5" s="483"/>
      <c r="BA5" s="70"/>
      <c r="BB5" s="70"/>
      <c r="BC5" s="70"/>
      <c r="BD5" s="70"/>
      <c r="BE5" s="70"/>
      <c r="BF5" s="70"/>
      <c r="BG5" s="70"/>
      <c r="BH5" s="70"/>
      <c r="BI5" s="70"/>
      <c r="BJ5" s="70"/>
      <c r="BK5" s="70"/>
      <c r="BL5" s="70"/>
      <c r="BM5" s="70"/>
      <c r="BN5" s="70"/>
    </row>
    <row r="6" spans="2:66" s="70" customFormat="1" ht="14.5" thickBot="1">
      <c r="B6" s="2865" t="s">
        <v>153</v>
      </c>
      <c r="C6" s="83" t="s">
        <v>939</v>
      </c>
      <c r="D6" s="1473"/>
      <c r="T6" s="71"/>
      <c r="U6" s="164" t="s">
        <v>46</v>
      </c>
      <c r="V6" s="164"/>
      <c r="W6" s="164"/>
      <c r="X6" s="164"/>
      <c r="Y6" s="164"/>
      <c r="Z6" s="164"/>
      <c r="AA6" s="203"/>
      <c r="AB6" s="71"/>
      <c r="AC6" s="483"/>
      <c r="AD6" s="71"/>
      <c r="AE6" s="74"/>
      <c r="AF6" s="74"/>
      <c r="AG6" s="74"/>
      <c r="AH6" s="71"/>
      <c r="BA6" s="2865" t="s">
        <v>153</v>
      </c>
      <c r="BB6" s="83" t="s">
        <v>939</v>
      </c>
      <c r="BC6" s="1473"/>
    </row>
    <row r="7" spans="2:66">
      <c r="B7" s="86" t="s">
        <v>3205</v>
      </c>
      <c r="C7" s="117" t="s">
        <v>1260</v>
      </c>
      <c r="D7" s="117"/>
      <c r="E7" s="88" t="s">
        <v>49</v>
      </c>
      <c r="F7" s="215">
        <v>3</v>
      </c>
      <c r="G7" s="478">
        <v>1.2589999999999999</v>
      </c>
      <c r="H7" s="417"/>
      <c r="I7" s="418"/>
      <c r="J7" s="216">
        <f>SUM(G7:I7)</f>
        <v>1.2589999999999999</v>
      </c>
      <c r="K7" s="478">
        <v>1.609</v>
      </c>
      <c r="L7" s="417"/>
      <c r="M7" s="418"/>
      <c r="N7" s="216">
        <f>SUM(K7:M7)</f>
        <v>1.609</v>
      </c>
      <c r="O7" s="216">
        <f>J7+N7</f>
        <v>2.8679999999999999</v>
      </c>
      <c r="Q7" s="1339">
        <f xml:space="preserve"> IF( SUM( AB7:AD7 ) = 0, 0, AG7 )</f>
        <v>0</v>
      </c>
      <c r="R7" s="24">
        <f xml:space="preserve"> IF( SUM( T7:AB7 ) = 0, 0, $U$6 )</f>
        <v>0</v>
      </c>
      <c r="U7" s="93">
        <f xml:space="preserve"> IF( ISNUMBER( G7 ), 0, 1 )</f>
        <v>0</v>
      </c>
      <c r="V7" s="93">
        <f>IF(Validation!$H$3=1,0,IF(ISNUMBER(H7),0,1))</f>
        <v>0</v>
      </c>
      <c r="W7" s="93">
        <f>IF(Validation!$H$3=1,0,IF(ISNUMBER(I7),0,1))</f>
        <v>0</v>
      </c>
      <c r="X7" s="93">
        <f xml:space="preserve"> IF( ISNUMBER( K7 ), 0, 1 )</f>
        <v>0</v>
      </c>
      <c r="Y7" s="93">
        <f>IF(Validation!$H$3=1,0,IF(ISNUMBER(L7),0,1))</f>
        <v>0</v>
      </c>
      <c r="Z7" s="93">
        <f>IF(Validation!$H$3=1,0,IF(ISNUMBER(M7),0,1))</f>
        <v>0</v>
      </c>
      <c r="AA7" s="203"/>
      <c r="AC7" s="127"/>
      <c r="AE7" s="165"/>
      <c r="AF7" s="165"/>
      <c r="AI7" s="483"/>
      <c r="AJ7" s="483"/>
      <c r="AK7" s="483"/>
      <c r="AL7" s="483"/>
      <c r="AM7" s="483"/>
      <c r="AN7" s="483"/>
      <c r="AO7" s="483"/>
      <c r="AP7" s="483"/>
      <c r="AQ7" s="483"/>
      <c r="AR7" s="483"/>
      <c r="AS7" s="483"/>
      <c r="AT7" s="483"/>
      <c r="AU7" s="483"/>
      <c r="AV7" s="483"/>
      <c r="AW7" s="483"/>
      <c r="AX7" s="483"/>
      <c r="AY7" s="483"/>
      <c r="AZ7" s="483"/>
      <c r="BA7" s="86" t="s">
        <v>3205</v>
      </c>
      <c r="BB7" s="117" t="s">
        <v>1260</v>
      </c>
      <c r="BC7" s="117"/>
      <c r="BD7" s="88" t="s">
        <v>49</v>
      </c>
      <c r="BE7" s="215">
        <v>3</v>
      </c>
      <c r="BF7" s="2535" t="s">
        <v>3206</v>
      </c>
      <c r="BG7" s="2536" t="s">
        <v>3207</v>
      </c>
      <c r="BH7" s="2537" t="s">
        <v>3208</v>
      </c>
      <c r="BI7" s="216" t="s">
        <v>3209</v>
      </c>
      <c r="BJ7" s="2535" t="s">
        <v>3210</v>
      </c>
      <c r="BK7" s="2536" t="s">
        <v>3211</v>
      </c>
      <c r="BL7" s="2537" t="s">
        <v>3212</v>
      </c>
      <c r="BM7" s="216" t="s">
        <v>3213</v>
      </c>
      <c r="BN7" s="216" t="s">
        <v>3214</v>
      </c>
    </row>
    <row r="8" spans="2:66">
      <c r="B8" s="94" t="s">
        <v>3215</v>
      </c>
      <c r="C8" s="87" t="s">
        <v>1264</v>
      </c>
      <c r="D8" s="87"/>
      <c r="E8" s="95" t="s">
        <v>49</v>
      </c>
      <c r="F8" s="217">
        <v>3</v>
      </c>
      <c r="G8" s="480">
        <v>0.182</v>
      </c>
      <c r="H8" s="419"/>
      <c r="I8" s="420"/>
      <c r="J8" s="218">
        <f t="shared" ref="J8:J20" si="0">SUM(G8:I8)</f>
        <v>0.182</v>
      </c>
      <c r="K8" s="480">
        <v>0.26800000000000002</v>
      </c>
      <c r="L8" s="419"/>
      <c r="M8" s="420"/>
      <c r="N8" s="218">
        <f>SUM(K8:M8)</f>
        <v>0.26800000000000002</v>
      </c>
      <c r="O8" s="218">
        <f>J8+N8</f>
        <v>0.45</v>
      </c>
      <c r="Q8" s="1339">
        <f t="shared" ref="Q8:Q21" si="1" xml:space="preserve"> IF( SUM( AB8:AD8 ) = 0, 0, AG8 )</f>
        <v>0</v>
      </c>
      <c r="R8" s="24">
        <f xml:space="preserve"> IF( SUM( T8:AB8 ) = 0, 0, $U$6 )</f>
        <v>0</v>
      </c>
      <c r="U8" s="93">
        <f t="shared" ref="U8:U20" si="2" xml:space="preserve"> IF( ISNUMBER( G8 ), 0, 1 )</f>
        <v>0</v>
      </c>
      <c r="V8" s="93">
        <f>IF(Validation!$H$3=1,0,IF(ISNUMBER(H8),0,1))</f>
        <v>0</v>
      </c>
      <c r="W8" s="93">
        <f>IF(Validation!$H$3=1,0,IF(ISNUMBER(I8),0,1))</f>
        <v>0</v>
      </c>
      <c r="X8" s="93">
        <f t="shared" ref="X8:X20" si="3" xml:space="preserve"> IF( ISNUMBER( K8 ), 0, 1 )</f>
        <v>0</v>
      </c>
      <c r="Y8" s="93">
        <f>IF(Validation!$H$3=1,0,IF(ISNUMBER(L8),0,1))</f>
        <v>0</v>
      </c>
      <c r="Z8" s="93">
        <f>IF(Validation!$H$3=1,0,IF(ISNUMBER(M8),0,1))</f>
        <v>0</v>
      </c>
      <c r="AA8" s="203"/>
      <c r="AC8" s="127"/>
      <c r="AE8" s="165"/>
      <c r="AF8" s="165"/>
      <c r="AI8" s="483"/>
      <c r="AJ8" s="483"/>
      <c r="AK8" s="483"/>
      <c r="AL8" s="483"/>
      <c r="AM8" s="483"/>
      <c r="AN8" s="483"/>
      <c r="AO8" s="483"/>
      <c r="AP8" s="483"/>
      <c r="AQ8" s="483"/>
      <c r="AR8" s="483"/>
      <c r="AS8" s="483"/>
      <c r="AT8" s="483"/>
      <c r="AU8" s="483"/>
      <c r="AV8" s="483"/>
      <c r="AW8" s="483"/>
      <c r="AX8" s="483"/>
      <c r="AY8" s="483"/>
      <c r="AZ8" s="483"/>
      <c r="BA8" s="94" t="s">
        <v>3215</v>
      </c>
      <c r="BB8" s="87" t="s">
        <v>1264</v>
      </c>
      <c r="BC8" s="87"/>
      <c r="BD8" s="95" t="s">
        <v>49</v>
      </c>
      <c r="BE8" s="217">
        <v>3</v>
      </c>
      <c r="BF8" s="2538" t="s">
        <v>3216</v>
      </c>
      <c r="BG8" s="2539" t="s">
        <v>3217</v>
      </c>
      <c r="BH8" s="2540" t="s">
        <v>3218</v>
      </c>
      <c r="BI8" s="218" t="s">
        <v>3219</v>
      </c>
      <c r="BJ8" s="2538" t="s">
        <v>3220</v>
      </c>
      <c r="BK8" s="2539" t="s">
        <v>3221</v>
      </c>
      <c r="BL8" s="2540" t="s">
        <v>3222</v>
      </c>
      <c r="BM8" s="218" t="s">
        <v>3223</v>
      </c>
      <c r="BN8" s="218" t="s">
        <v>3224</v>
      </c>
    </row>
    <row r="9" spans="2:66" ht="14.5" thickBot="1">
      <c r="B9" s="94" t="s">
        <v>3225</v>
      </c>
      <c r="C9" s="87" t="s">
        <v>1268</v>
      </c>
      <c r="D9" s="87"/>
      <c r="E9" s="95" t="s">
        <v>49</v>
      </c>
      <c r="F9" s="217">
        <v>3</v>
      </c>
      <c r="G9" s="477">
        <v>2.0390000000000001</v>
      </c>
      <c r="H9" s="421"/>
      <c r="I9" s="423"/>
      <c r="J9" s="222">
        <f t="shared" si="0"/>
        <v>2.0390000000000001</v>
      </c>
      <c r="K9" s="480">
        <v>2.496</v>
      </c>
      <c r="L9" s="419"/>
      <c r="M9" s="420"/>
      <c r="N9" s="218">
        <f>SUM(K9:M9)</f>
        <v>2.496</v>
      </c>
      <c r="O9" s="218">
        <f>J9+N9</f>
        <v>4.5350000000000001</v>
      </c>
      <c r="Q9" s="1339">
        <f t="shared" si="1"/>
        <v>0</v>
      </c>
      <c r="R9" s="24">
        <f xml:space="preserve"> IF( SUM( T9:AB9 ) = 0, 0, $U$6 )</f>
        <v>0</v>
      </c>
      <c r="U9" s="93">
        <f t="shared" si="2"/>
        <v>0</v>
      </c>
      <c r="V9" s="93">
        <f>IF(Validation!$H$3=1,0,IF(ISNUMBER(H9),0,1))</f>
        <v>0</v>
      </c>
      <c r="W9" s="93">
        <f>IF(Validation!$H$3=1,0,IF(ISNUMBER(I9),0,1))</f>
        <v>0</v>
      </c>
      <c r="X9" s="93">
        <f t="shared" si="3"/>
        <v>0</v>
      </c>
      <c r="Y9" s="93">
        <f>IF(Validation!$H$3=1,0,IF(ISNUMBER(L9),0,1))</f>
        <v>0</v>
      </c>
      <c r="Z9" s="93">
        <f>IF(Validation!$H$3=1,0,IF(ISNUMBER(M9),0,1))</f>
        <v>0</v>
      </c>
      <c r="AA9" s="203"/>
      <c r="AC9" s="127"/>
      <c r="AE9" s="165"/>
      <c r="AF9" s="165"/>
      <c r="AI9" s="483"/>
      <c r="AJ9" s="483"/>
      <c r="AK9" s="483"/>
      <c r="AL9" s="483"/>
      <c r="AM9" s="483"/>
      <c r="AN9" s="483"/>
      <c r="AO9" s="483"/>
      <c r="AP9" s="483"/>
      <c r="AQ9" s="483"/>
      <c r="AR9" s="483"/>
      <c r="AS9" s="483"/>
      <c r="AT9" s="483"/>
      <c r="AU9" s="483"/>
      <c r="AV9" s="483"/>
      <c r="AW9" s="483"/>
      <c r="AX9" s="483"/>
      <c r="AY9" s="483"/>
      <c r="AZ9" s="483"/>
      <c r="BA9" s="94" t="s">
        <v>3225</v>
      </c>
      <c r="BB9" s="87" t="s">
        <v>1268</v>
      </c>
      <c r="BC9" s="87"/>
      <c r="BD9" s="95" t="s">
        <v>49</v>
      </c>
      <c r="BE9" s="217">
        <v>3</v>
      </c>
      <c r="BF9" s="2541" t="s">
        <v>3226</v>
      </c>
      <c r="BG9" s="2542" t="s">
        <v>3227</v>
      </c>
      <c r="BH9" s="2543" t="s">
        <v>3228</v>
      </c>
      <c r="BI9" s="222" t="s">
        <v>3229</v>
      </c>
      <c r="BJ9" s="2538" t="s">
        <v>3230</v>
      </c>
      <c r="BK9" s="2539" t="s">
        <v>3231</v>
      </c>
      <c r="BL9" s="2540" t="s">
        <v>3232</v>
      </c>
      <c r="BM9" s="218" t="s">
        <v>3233</v>
      </c>
      <c r="BN9" s="218" t="s">
        <v>3234</v>
      </c>
    </row>
    <row r="10" spans="2:66" ht="14.5" thickBot="1">
      <c r="B10" s="94" t="s">
        <v>3235</v>
      </c>
      <c r="C10" s="219" t="s">
        <v>1272</v>
      </c>
      <c r="D10" s="219"/>
      <c r="E10" s="95" t="s">
        <v>49</v>
      </c>
      <c r="F10" s="217">
        <v>3</v>
      </c>
      <c r="G10" s="220"/>
      <c r="H10" s="221"/>
      <c r="I10" s="659"/>
      <c r="J10" s="660"/>
      <c r="K10" s="479">
        <v>0.30599999999999999</v>
      </c>
      <c r="L10" s="422"/>
      <c r="M10" s="423"/>
      <c r="N10" s="222">
        <f>SUM(K10:M10)</f>
        <v>0.30599999999999999</v>
      </c>
      <c r="O10" s="222">
        <f>N10</f>
        <v>0.30599999999999999</v>
      </c>
      <c r="Q10" s="1339">
        <f t="shared" si="1"/>
        <v>0</v>
      </c>
      <c r="R10" s="24">
        <f xml:space="preserve"> IF( SUM( T10:AB10 ) = 0, 0, $U$6 )</f>
        <v>0</v>
      </c>
      <c r="U10" s="127"/>
      <c r="V10" s="127"/>
      <c r="W10" s="127"/>
      <c r="X10" s="93">
        <f t="shared" si="3"/>
        <v>0</v>
      </c>
      <c r="Y10" s="93">
        <f>IF(Validation!$H$3=1,0,IF(ISNUMBER(L10),0,1))</f>
        <v>0</v>
      </c>
      <c r="Z10" s="93">
        <f>IF(Validation!$H$3=1,0,IF(ISNUMBER(M10),0,1))</f>
        <v>0</v>
      </c>
      <c r="AA10" s="203"/>
      <c r="AC10" s="127"/>
      <c r="AE10" s="165"/>
      <c r="AF10" s="165"/>
      <c r="AI10" s="483"/>
      <c r="AJ10" s="483"/>
      <c r="AK10" s="483"/>
      <c r="AL10" s="483"/>
      <c r="AM10" s="483"/>
      <c r="AN10" s="483"/>
      <c r="AO10" s="483"/>
      <c r="AP10" s="483"/>
      <c r="AQ10" s="483"/>
      <c r="AR10" s="483"/>
      <c r="AS10" s="483"/>
      <c r="AT10" s="483"/>
      <c r="AU10" s="483"/>
      <c r="AV10" s="483"/>
      <c r="AW10" s="483"/>
      <c r="AX10" s="483"/>
      <c r="AY10" s="483"/>
      <c r="AZ10" s="483"/>
      <c r="BA10" s="94" t="s">
        <v>3235</v>
      </c>
      <c r="BB10" s="219" t="s">
        <v>1272</v>
      </c>
      <c r="BC10" s="219"/>
      <c r="BD10" s="95" t="s">
        <v>49</v>
      </c>
      <c r="BE10" s="217">
        <v>3</v>
      </c>
      <c r="BF10" s="220"/>
      <c r="BG10" s="221"/>
      <c r="BH10" s="659"/>
      <c r="BI10" s="660"/>
      <c r="BJ10" s="2544" t="s">
        <v>3236</v>
      </c>
      <c r="BK10" s="2545" t="s">
        <v>3237</v>
      </c>
      <c r="BL10" s="2543" t="s">
        <v>3238</v>
      </c>
      <c r="BM10" s="222" t="s">
        <v>3239</v>
      </c>
      <c r="BN10" s="222" t="s">
        <v>3240</v>
      </c>
    </row>
    <row r="11" spans="2:66">
      <c r="B11" s="94" t="s">
        <v>3241</v>
      </c>
      <c r="C11" s="219" t="s">
        <v>1280</v>
      </c>
      <c r="D11" s="219"/>
      <c r="E11" s="95" t="s">
        <v>49</v>
      </c>
      <c r="F11" s="217">
        <v>3</v>
      </c>
      <c r="G11" s="478">
        <v>1.917</v>
      </c>
      <c r="H11" s="417"/>
      <c r="I11" s="657"/>
      <c r="J11" s="658">
        <f t="shared" si="0"/>
        <v>1.917</v>
      </c>
      <c r="K11" s="480">
        <v>2.5049999999999999</v>
      </c>
      <c r="L11" s="419"/>
      <c r="M11" s="420"/>
      <c r="N11" s="218">
        <f>SUM(K11:M11)</f>
        <v>2.5049999999999999</v>
      </c>
      <c r="O11" s="218">
        <f t="shared" ref="O11:O21" si="4">J11+N11</f>
        <v>4.4219999999999997</v>
      </c>
      <c r="Q11" s="1339">
        <f xml:space="preserve"> IF( SUM( AB11:AD11 ) = 0, 0, AG11 )</f>
        <v>0</v>
      </c>
      <c r="R11" s="24">
        <f xml:space="preserve"> IF( SUM( T11:AB11 ) = 0, 0, $U$6 )</f>
        <v>0</v>
      </c>
      <c r="U11" s="93">
        <f t="shared" si="2"/>
        <v>0</v>
      </c>
      <c r="V11" s="93">
        <f>IF(Validation!$H$3=1,0,IF(ISNUMBER(H11),0,1))</f>
        <v>0</v>
      </c>
      <c r="W11" s="93">
        <f>IF(Validation!$H$3=1,0,IF(ISNUMBER(I11),0,1))</f>
        <v>0</v>
      </c>
      <c r="X11" s="93">
        <f t="shared" si="3"/>
        <v>0</v>
      </c>
      <c r="Y11" s="93">
        <f>IF(Validation!$H$3=1,0,IF(ISNUMBER(L11),0,1))</f>
        <v>0</v>
      </c>
      <c r="Z11" s="93">
        <f>IF(Validation!$H$3=1,0,IF(ISNUMBER(M11),0,1))</f>
        <v>0</v>
      </c>
      <c r="AA11" s="203"/>
      <c r="AC11" s="127"/>
      <c r="AE11" s="165"/>
      <c r="AF11" s="165"/>
      <c r="AI11" s="483"/>
      <c r="AJ11" s="483"/>
      <c r="AK11" s="483"/>
      <c r="AL11" s="483"/>
      <c r="AM11" s="483"/>
      <c r="AN11" s="483"/>
      <c r="AO11" s="483"/>
      <c r="AP11" s="483"/>
      <c r="AQ11" s="483"/>
      <c r="AR11" s="483"/>
      <c r="AS11" s="483"/>
      <c r="AT11" s="483"/>
      <c r="AU11" s="483"/>
      <c r="AV11" s="483"/>
      <c r="AW11" s="483"/>
      <c r="AX11" s="483"/>
      <c r="AY11" s="483"/>
      <c r="AZ11" s="483"/>
      <c r="BA11" s="94" t="s">
        <v>3241</v>
      </c>
      <c r="BB11" s="219" t="s">
        <v>1280</v>
      </c>
      <c r="BC11" s="219"/>
      <c r="BD11" s="95" t="s">
        <v>49</v>
      </c>
      <c r="BE11" s="217">
        <v>3</v>
      </c>
      <c r="BF11" s="2535" t="s">
        <v>3242</v>
      </c>
      <c r="BG11" s="2536" t="s">
        <v>3243</v>
      </c>
      <c r="BH11" s="2546" t="s">
        <v>3244</v>
      </c>
      <c r="BI11" s="658" t="s">
        <v>3245</v>
      </c>
      <c r="BJ11" s="2538" t="s">
        <v>3246</v>
      </c>
      <c r="BK11" s="2539" t="s">
        <v>3247</v>
      </c>
      <c r="BL11" s="2540" t="s">
        <v>3248</v>
      </c>
      <c r="BM11" s="218" t="s">
        <v>3249</v>
      </c>
      <c r="BN11" s="218" t="s">
        <v>3250</v>
      </c>
    </row>
    <row r="12" spans="2:66" ht="14.5" thickBot="1">
      <c r="B12" s="101" t="s">
        <v>3251</v>
      </c>
      <c r="C12" s="102" t="s">
        <v>1104</v>
      </c>
      <c r="D12" s="102"/>
      <c r="E12" s="103" t="s">
        <v>49</v>
      </c>
      <c r="F12" s="225">
        <v>3</v>
      </c>
      <c r="G12" s="803">
        <f>SUM(G7:G9) + G11</f>
        <v>5.3970000000000002</v>
      </c>
      <c r="H12" s="809">
        <f>SUM(H7:H9) + H11</f>
        <v>0</v>
      </c>
      <c r="I12" s="810">
        <f>SUM(I7:I9) + I11</f>
        <v>0</v>
      </c>
      <c r="J12" s="804">
        <f>SUM(J7:J9) + J11</f>
        <v>5.3970000000000002</v>
      </c>
      <c r="K12" s="803">
        <f>SUM(K7:K11)</f>
        <v>7.1840000000000002</v>
      </c>
      <c r="L12" s="809">
        <f>SUM(L7:L11)</f>
        <v>0</v>
      </c>
      <c r="M12" s="810">
        <f>SUM(M7:M11)</f>
        <v>0</v>
      </c>
      <c r="N12" s="804">
        <f>SUM(N7:N11)</f>
        <v>7.1840000000000002</v>
      </c>
      <c r="O12" s="804">
        <f t="shared" si="4"/>
        <v>12.581</v>
      </c>
      <c r="Q12" s="1339">
        <f t="shared" si="1"/>
        <v>0</v>
      </c>
      <c r="AA12" s="203"/>
      <c r="AC12" s="93">
        <f t="shared" ref="AC12" si="5" xml:space="preserve"> IF( (AE12 - AF12) = 0, 0, 1 )</f>
        <v>0</v>
      </c>
      <c r="AE12" s="165">
        <f xml:space="preserve"> ROUND( O12, 3)</f>
        <v>12.581</v>
      </c>
      <c r="AF12" s="165">
        <f xml:space="preserve"> ROUND( '2C'!G12, 3)</f>
        <v>12.581</v>
      </c>
      <c r="AG12" s="74" t="s">
        <v>3252</v>
      </c>
      <c r="AI12" s="483"/>
      <c r="AJ12" s="483"/>
      <c r="AK12" s="483"/>
      <c r="AL12" s="483"/>
      <c r="AM12" s="483"/>
      <c r="AN12" s="483"/>
      <c r="AO12" s="483"/>
      <c r="AP12" s="483"/>
      <c r="AQ12" s="483"/>
      <c r="AR12" s="483"/>
      <c r="AS12" s="483"/>
      <c r="AT12" s="483"/>
      <c r="AU12" s="483"/>
      <c r="AV12" s="483"/>
      <c r="AW12" s="483"/>
      <c r="AX12" s="483"/>
      <c r="AY12" s="483"/>
      <c r="AZ12" s="483"/>
      <c r="BA12" s="101" t="s">
        <v>3251</v>
      </c>
      <c r="BB12" s="102" t="s">
        <v>1104</v>
      </c>
      <c r="BC12" s="102"/>
      <c r="BD12" s="103" t="s">
        <v>49</v>
      </c>
      <c r="BE12" s="225">
        <v>3</v>
      </c>
      <c r="BF12" s="803" t="s">
        <v>3253</v>
      </c>
      <c r="BG12" s="809" t="s">
        <v>3254</v>
      </c>
      <c r="BH12" s="810" t="s">
        <v>3255</v>
      </c>
      <c r="BI12" s="804" t="s">
        <v>3256</v>
      </c>
      <c r="BJ12" s="803" t="s">
        <v>3257</v>
      </c>
      <c r="BK12" s="809" t="s">
        <v>3258</v>
      </c>
      <c r="BL12" s="810" t="s">
        <v>3259</v>
      </c>
      <c r="BM12" s="804" t="s">
        <v>3260</v>
      </c>
      <c r="BN12" s="804" t="s">
        <v>3261</v>
      </c>
    </row>
    <row r="13" spans="2:66" s="483" customFormat="1" ht="14.5" thickBot="1">
      <c r="B13" s="70"/>
      <c r="C13" s="70"/>
      <c r="D13" s="70"/>
      <c r="E13" s="70"/>
      <c r="F13" s="70"/>
      <c r="G13" s="70"/>
      <c r="H13" s="70"/>
      <c r="I13" s="70"/>
      <c r="J13" s="70"/>
      <c r="K13" s="70"/>
      <c r="L13" s="70"/>
      <c r="M13" s="70"/>
      <c r="N13" s="70"/>
      <c r="O13" s="70"/>
      <c r="P13" s="70"/>
      <c r="Q13" s="70"/>
      <c r="R13" s="70"/>
      <c r="S13" s="70"/>
      <c r="T13" s="71"/>
      <c r="U13" s="70"/>
      <c r="V13" s="70"/>
      <c r="W13" s="70"/>
      <c r="X13" s="70"/>
      <c r="Y13" s="70"/>
      <c r="Z13" s="70"/>
      <c r="AA13" s="203"/>
      <c r="AB13" s="71"/>
      <c r="AC13" s="127"/>
      <c r="AD13" s="71"/>
      <c r="AE13" s="165"/>
      <c r="AF13" s="165"/>
      <c r="AG13" s="74"/>
      <c r="AH13" s="71"/>
      <c r="BA13" s="70"/>
      <c r="BB13" s="70"/>
      <c r="BC13" s="70"/>
      <c r="BD13" s="70"/>
      <c r="BE13" s="70"/>
      <c r="BF13" s="70"/>
      <c r="BG13" s="70"/>
      <c r="BH13" s="70"/>
      <c r="BI13" s="70"/>
      <c r="BJ13" s="70"/>
      <c r="BK13" s="70"/>
      <c r="BL13" s="70"/>
      <c r="BM13" s="70"/>
      <c r="BN13" s="70"/>
    </row>
    <row r="14" spans="2:66" s="483" customFormat="1">
      <c r="B14" s="86" t="s">
        <v>3262</v>
      </c>
      <c r="C14" s="802" t="s">
        <v>1287</v>
      </c>
      <c r="D14" s="802"/>
      <c r="E14" s="88" t="s">
        <v>49</v>
      </c>
      <c r="F14" s="215">
        <v>3</v>
      </c>
      <c r="G14" s="805">
        <v>0</v>
      </c>
      <c r="H14" s="806"/>
      <c r="I14" s="807"/>
      <c r="J14" s="808">
        <f t="shared" si="0"/>
        <v>0</v>
      </c>
      <c r="K14" s="805">
        <v>0</v>
      </c>
      <c r="L14" s="806"/>
      <c r="M14" s="807"/>
      <c r="N14" s="808">
        <f t="shared" ref="N14" si="6">SUM(K14:M14)</f>
        <v>0</v>
      </c>
      <c r="O14" s="808">
        <f t="shared" ref="O14" si="7">J14+N14</f>
        <v>0</v>
      </c>
      <c r="P14" s="70"/>
      <c r="Q14" s="1339">
        <f t="shared" si="1"/>
        <v>0</v>
      </c>
      <c r="R14" s="24">
        <f xml:space="preserve"> IF( SUM( T14:AB14 ) = 0, 0, $U$6 )</f>
        <v>0</v>
      </c>
      <c r="S14" s="70"/>
      <c r="T14" s="71"/>
      <c r="U14" s="93">
        <f t="shared" ref="U14" si="8" xml:space="preserve"> IF( ISNUMBER( G14 ), 0, 1 )</f>
        <v>0</v>
      </c>
      <c r="V14" s="93">
        <f>IF(Validation!$H$3=1,0,IF(ISNUMBER(H14),0,1))</f>
        <v>0</v>
      </c>
      <c r="W14" s="93">
        <f>IF(Validation!$H$3=1,0,IF(ISNUMBER(I14),0,1))</f>
        <v>0</v>
      </c>
      <c r="X14" s="93">
        <f t="shared" ref="X14" si="9" xml:space="preserve"> IF( ISNUMBER( K14 ), 0, 1 )</f>
        <v>0</v>
      </c>
      <c r="Y14" s="93">
        <f>IF(Validation!$H$3=1,0,IF(ISNUMBER(L14),0,1))</f>
        <v>0</v>
      </c>
      <c r="Z14" s="93">
        <f>IF(Validation!$H$3=1,0,IF(ISNUMBER(M14),0,1))</f>
        <v>0</v>
      </c>
      <c r="AA14" s="203"/>
      <c r="AB14" s="71"/>
      <c r="AC14" s="127"/>
      <c r="AD14" s="71"/>
      <c r="AE14" s="165"/>
      <c r="AF14" s="165"/>
      <c r="AG14" s="74"/>
      <c r="AH14" s="71"/>
      <c r="BA14" s="86" t="s">
        <v>3262</v>
      </c>
      <c r="BB14" s="802" t="s">
        <v>1287</v>
      </c>
      <c r="BC14" s="802"/>
      <c r="BD14" s="88" t="s">
        <v>49</v>
      </c>
      <c r="BE14" s="215">
        <v>3</v>
      </c>
      <c r="BF14" s="2547" t="s">
        <v>3263</v>
      </c>
      <c r="BG14" s="2548" t="s">
        <v>3264</v>
      </c>
      <c r="BH14" s="2549" t="s">
        <v>3265</v>
      </c>
      <c r="BI14" s="808" t="s">
        <v>3266</v>
      </c>
      <c r="BJ14" s="2547" t="s">
        <v>3267</v>
      </c>
      <c r="BK14" s="2548" t="s">
        <v>3268</v>
      </c>
      <c r="BL14" s="2549" t="s">
        <v>3269</v>
      </c>
      <c r="BM14" s="808" t="s">
        <v>3270</v>
      </c>
      <c r="BN14" s="808" t="s">
        <v>3271</v>
      </c>
    </row>
    <row r="15" spans="2:66" s="483" customFormat="1" ht="22" customHeight="1" thickBot="1">
      <c r="B15" s="101" t="s">
        <v>3272</v>
      </c>
      <c r="C15" s="102" t="s">
        <v>1120</v>
      </c>
      <c r="D15" s="102"/>
      <c r="E15" s="103" t="s">
        <v>49</v>
      </c>
      <c r="F15" s="225">
        <v>3</v>
      </c>
      <c r="G15" s="803">
        <f xml:space="preserve"> G12 +G14</f>
        <v>5.3970000000000002</v>
      </c>
      <c r="H15" s="809">
        <f xml:space="preserve"> H12 +H14</f>
        <v>0</v>
      </c>
      <c r="I15" s="810">
        <f xml:space="preserve"> I12 +I14</f>
        <v>0</v>
      </c>
      <c r="J15" s="803">
        <f xml:space="preserve"> J12 +J14</f>
        <v>5.3970000000000002</v>
      </c>
      <c r="K15" s="803">
        <f t="shared" ref="K15:N15" si="10" xml:space="preserve"> K12 +K14</f>
        <v>7.1840000000000002</v>
      </c>
      <c r="L15" s="809">
        <f t="shared" si="10"/>
        <v>0</v>
      </c>
      <c r="M15" s="810">
        <f t="shared" si="10"/>
        <v>0</v>
      </c>
      <c r="N15" s="803">
        <f t="shared" si="10"/>
        <v>7.1840000000000002</v>
      </c>
      <c r="O15" s="804">
        <f t="shared" ref="O15:O17" si="11">J15+N15</f>
        <v>12.581</v>
      </c>
      <c r="P15" s="70"/>
      <c r="Q15" s="1339">
        <f t="shared" si="1"/>
        <v>0</v>
      </c>
      <c r="R15" s="70"/>
      <c r="S15" s="70"/>
      <c r="T15" s="71"/>
      <c r="U15" s="70"/>
      <c r="V15" s="70"/>
      <c r="W15" s="70"/>
      <c r="X15" s="70"/>
      <c r="Y15" s="70"/>
      <c r="Z15" s="70"/>
      <c r="AA15" s="203"/>
      <c r="AB15" s="71"/>
      <c r="AC15" s="93">
        <f t="shared" ref="AC15" si="12" xml:space="preserve"> IF( (AE15 - AF15) = 0, 0, 1 )</f>
        <v>0</v>
      </c>
      <c r="AD15" s="71"/>
      <c r="AE15" s="165">
        <f t="shared" ref="AE15" si="13" xml:space="preserve"> ROUND( O15, 3)</f>
        <v>12.581</v>
      </c>
      <c r="AF15" s="165">
        <f xml:space="preserve"> ROUND( '2C'!G14, 3)</f>
        <v>12.581</v>
      </c>
      <c r="AG15" s="74" t="s">
        <v>3273</v>
      </c>
      <c r="AH15" s="71"/>
      <c r="BA15" s="101" t="s">
        <v>3272</v>
      </c>
      <c r="BB15" s="102" t="s">
        <v>1120</v>
      </c>
      <c r="BC15" s="102"/>
      <c r="BD15" s="103" t="s">
        <v>49</v>
      </c>
      <c r="BE15" s="225">
        <v>3</v>
      </c>
      <c r="BF15" s="803" t="s">
        <v>3274</v>
      </c>
      <c r="BG15" s="809" t="s">
        <v>3275</v>
      </c>
      <c r="BH15" s="810" t="s">
        <v>3276</v>
      </c>
      <c r="BI15" s="803" t="s">
        <v>3277</v>
      </c>
      <c r="BJ15" s="803" t="s">
        <v>3278</v>
      </c>
      <c r="BK15" s="809" t="s">
        <v>3279</v>
      </c>
      <c r="BL15" s="810" t="s">
        <v>3280</v>
      </c>
      <c r="BM15" s="803" t="s">
        <v>3281</v>
      </c>
      <c r="BN15" s="804" t="s">
        <v>3282</v>
      </c>
    </row>
    <row r="16" spans="2:66" s="483" customFormat="1" ht="14.5" thickBot="1">
      <c r="B16" s="70"/>
      <c r="C16" s="70"/>
      <c r="D16" s="70"/>
      <c r="E16" s="70"/>
      <c r="F16" s="70"/>
      <c r="G16" s="70"/>
      <c r="H16" s="70"/>
      <c r="I16" s="70"/>
      <c r="J16" s="70"/>
      <c r="K16" s="70"/>
      <c r="L16" s="70"/>
      <c r="M16" s="70"/>
      <c r="N16" s="70"/>
      <c r="O16" s="70"/>
      <c r="P16" s="70"/>
      <c r="Q16" s="70"/>
      <c r="R16" s="70"/>
      <c r="S16" s="70"/>
      <c r="T16" s="71"/>
      <c r="U16" s="70"/>
      <c r="V16" s="70"/>
      <c r="W16" s="70"/>
      <c r="X16" s="70"/>
      <c r="Y16" s="70"/>
      <c r="Z16" s="70"/>
      <c r="AA16" s="203"/>
      <c r="AB16" s="71"/>
      <c r="AC16" s="127"/>
      <c r="AD16" s="71"/>
      <c r="AE16" s="165"/>
      <c r="AF16" s="165"/>
      <c r="AG16" s="74"/>
      <c r="AH16" s="71"/>
      <c r="BA16" s="70"/>
      <c r="BB16" s="70"/>
      <c r="BC16" s="70"/>
      <c r="BD16" s="70"/>
      <c r="BE16" s="70"/>
      <c r="BF16" s="70"/>
      <c r="BG16" s="70"/>
      <c r="BH16" s="70"/>
      <c r="BI16" s="70"/>
      <c r="BJ16" s="70"/>
      <c r="BK16" s="70"/>
      <c r="BL16" s="70"/>
      <c r="BM16" s="70"/>
      <c r="BN16" s="70"/>
    </row>
    <row r="17" spans="2:66" s="483" customFormat="1">
      <c r="B17" s="227" t="s">
        <v>3283</v>
      </c>
      <c r="C17" s="117" t="s">
        <v>3284</v>
      </c>
      <c r="D17" s="117"/>
      <c r="E17" s="88" t="s">
        <v>49</v>
      </c>
      <c r="F17" s="215">
        <v>3</v>
      </c>
      <c r="G17" s="805">
        <v>3.8119080607436692E-4</v>
      </c>
      <c r="H17" s="806"/>
      <c r="I17" s="807"/>
      <c r="J17" s="216">
        <f t="shared" si="0"/>
        <v>3.8119080607436692E-4</v>
      </c>
      <c r="K17" s="1271">
        <v>8.4598919392563315E-4</v>
      </c>
      <c r="L17" s="806"/>
      <c r="M17" s="807"/>
      <c r="N17" s="216">
        <f t="shared" ref="N17" si="14">SUM(K17:M17)</f>
        <v>8.4598919392563315E-4</v>
      </c>
      <c r="O17" s="216">
        <f t="shared" si="11"/>
        <v>1.22718E-3</v>
      </c>
      <c r="P17" s="70"/>
      <c r="Q17" s="1339">
        <f t="shared" si="1"/>
        <v>0</v>
      </c>
      <c r="R17" s="24">
        <f xml:space="preserve"> IF( SUM( T17:AB17 ) = 0, 0, $U$6 )</f>
        <v>0</v>
      </c>
      <c r="S17" s="70"/>
      <c r="T17" s="71"/>
      <c r="U17" s="93">
        <f t="shared" ref="U17" si="15" xml:space="preserve"> IF( ISNUMBER( G17 ), 0, 1 )</f>
        <v>0</v>
      </c>
      <c r="V17" s="93">
        <f>IF(Validation!$H$3=1,0,IF(ISNUMBER(H17),0,1))</f>
        <v>0</v>
      </c>
      <c r="W17" s="93">
        <f>IF(Validation!$H$3=1,0,IF(ISNUMBER(I17),0,1))</f>
        <v>0</v>
      </c>
      <c r="X17" s="93">
        <f t="shared" ref="X17" si="16" xml:space="preserve"> IF( ISNUMBER( K17 ), 0, 1 )</f>
        <v>0</v>
      </c>
      <c r="Y17" s="93">
        <f>IF(Validation!$H$3=1,0,IF(ISNUMBER(L17),0,1))</f>
        <v>0</v>
      </c>
      <c r="Z17" s="93">
        <f>IF(Validation!$H$3=1,0,IF(ISNUMBER(M17),0,1))</f>
        <v>0</v>
      </c>
      <c r="AA17" s="203"/>
      <c r="AB17" s="71"/>
      <c r="AC17" s="127"/>
      <c r="AD17" s="71"/>
      <c r="AE17" s="165"/>
      <c r="AF17" s="165"/>
      <c r="AG17" s="74"/>
      <c r="AH17" s="71"/>
      <c r="BA17" s="227" t="s">
        <v>3283</v>
      </c>
      <c r="BB17" s="117" t="s">
        <v>3284</v>
      </c>
      <c r="BC17" s="117"/>
      <c r="BD17" s="88" t="s">
        <v>49</v>
      </c>
      <c r="BE17" s="215">
        <v>3</v>
      </c>
      <c r="BF17" s="2550" t="s">
        <v>3285</v>
      </c>
      <c r="BG17" s="2551" t="s">
        <v>3286</v>
      </c>
      <c r="BH17" s="2552" t="s">
        <v>3287</v>
      </c>
      <c r="BI17" s="1985" t="s">
        <v>3288</v>
      </c>
      <c r="BJ17" s="2550" t="s">
        <v>3289</v>
      </c>
      <c r="BK17" s="2551" t="s">
        <v>3290</v>
      </c>
      <c r="BL17" s="2552" t="s">
        <v>3291</v>
      </c>
      <c r="BM17" s="1985" t="s">
        <v>3292</v>
      </c>
      <c r="BN17" s="1985" t="s">
        <v>3293</v>
      </c>
    </row>
    <row r="18" spans="2:66" s="483" customFormat="1">
      <c r="B18" s="232" t="s">
        <v>3294</v>
      </c>
      <c r="C18" s="87" t="s">
        <v>3295</v>
      </c>
      <c r="D18" s="87"/>
      <c r="E18" s="95" t="s">
        <v>49</v>
      </c>
      <c r="F18" s="217">
        <v>3</v>
      </c>
      <c r="G18" s="811">
        <v>4.0133388604468294E-2</v>
      </c>
      <c r="H18" s="812"/>
      <c r="I18" s="657"/>
      <c r="J18" s="218">
        <f t="shared" si="0"/>
        <v>4.0133388604468294E-2</v>
      </c>
      <c r="K18" s="1271">
        <v>7.6036481395531708E-2</v>
      </c>
      <c r="L18" s="812"/>
      <c r="M18" s="657"/>
      <c r="N18" s="218">
        <f t="shared" ref="N18" si="17">SUM(K18:M18)</f>
        <v>7.6036481395531708E-2</v>
      </c>
      <c r="O18" s="218">
        <f t="shared" ref="O18" si="18">J18+N18</f>
        <v>0.11616987000000001</v>
      </c>
      <c r="P18" s="70"/>
      <c r="Q18" s="1339"/>
      <c r="R18" s="24">
        <f xml:space="preserve"> IF( SUM( T18:AB18 ) = 0, 0, $U$6 )</f>
        <v>0</v>
      </c>
      <c r="S18" s="70"/>
      <c r="T18" s="71"/>
      <c r="U18" s="93">
        <f t="shared" ref="U18" si="19" xml:space="preserve"> IF( ISNUMBER( G18 ), 0, 1 )</f>
        <v>0</v>
      </c>
      <c r="V18" s="93">
        <f>IF(Validation!$H$3=1,0,IF(ISNUMBER(H18),0,1))</f>
        <v>0</v>
      </c>
      <c r="W18" s="93">
        <f>IF(Validation!$H$3=1,0,IF(ISNUMBER(I18),0,1))</f>
        <v>0</v>
      </c>
      <c r="X18" s="93">
        <f t="shared" ref="X18" si="20" xml:space="preserve"> IF( ISNUMBER( K18 ), 0, 1 )</f>
        <v>0</v>
      </c>
      <c r="Y18" s="93">
        <f>IF(Validation!$H$3=1,0,IF(ISNUMBER(L18),0,1))</f>
        <v>0</v>
      </c>
      <c r="Z18" s="93">
        <f>IF(Validation!$H$3=1,0,IF(ISNUMBER(M18),0,1))</f>
        <v>0</v>
      </c>
      <c r="AA18" s="203"/>
      <c r="AB18" s="71"/>
      <c r="AC18" s="833"/>
      <c r="AD18" s="71"/>
      <c r="AE18" s="165"/>
      <c r="AF18" s="165"/>
      <c r="AG18" s="74"/>
      <c r="AH18" s="71"/>
      <c r="BA18" s="232" t="s">
        <v>3294</v>
      </c>
      <c r="BB18" s="87" t="s">
        <v>3295</v>
      </c>
      <c r="BC18" s="87"/>
      <c r="BD18" s="95" t="s">
        <v>49</v>
      </c>
      <c r="BE18" s="217">
        <v>3</v>
      </c>
      <c r="BF18" s="2553" t="s">
        <v>3296</v>
      </c>
      <c r="BG18" s="2554" t="s">
        <v>3297</v>
      </c>
      <c r="BH18" s="2555" t="s">
        <v>3298</v>
      </c>
      <c r="BI18" s="1986" t="s">
        <v>3299</v>
      </c>
      <c r="BJ18" s="2553" t="s">
        <v>3300</v>
      </c>
      <c r="BK18" s="2554" t="s">
        <v>3301</v>
      </c>
      <c r="BL18" s="2555" t="s">
        <v>3302</v>
      </c>
      <c r="BM18" s="1986" t="s">
        <v>3303</v>
      </c>
      <c r="BN18" s="1986" t="s">
        <v>3304</v>
      </c>
    </row>
    <row r="19" spans="2:66">
      <c r="B19" s="232" t="s">
        <v>3305</v>
      </c>
      <c r="C19" s="219" t="s">
        <v>3306</v>
      </c>
      <c r="D19" s="219"/>
      <c r="E19" s="95" t="s">
        <v>49</v>
      </c>
      <c r="F19" s="217">
        <v>3</v>
      </c>
      <c r="G19" s="480">
        <v>9.9368043305707345E-3</v>
      </c>
      <c r="H19" s="419"/>
      <c r="I19" s="420"/>
      <c r="J19" s="218">
        <f t="shared" si="0"/>
        <v>9.9368043305707345E-3</v>
      </c>
      <c r="K19" s="1271">
        <v>1.3506225669429267E-2</v>
      </c>
      <c r="L19" s="419"/>
      <c r="M19" s="420"/>
      <c r="N19" s="218">
        <f t="shared" ref="N19" si="21">SUM(K19:M19)</f>
        <v>1.3506225669429267E-2</v>
      </c>
      <c r="O19" s="218">
        <f t="shared" si="4"/>
        <v>2.3443030000000004E-2</v>
      </c>
      <c r="Q19" s="1339">
        <f t="shared" si="1"/>
        <v>0</v>
      </c>
      <c r="R19" s="24">
        <f xml:space="preserve"> IF( SUM( T19:AB19 ) = 0, 0, $U$6 )</f>
        <v>0</v>
      </c>
      <c r="U19" s="93">
        <f t="shared" si="2"/>
        <v>0</v>
      </c>
      <c r="V19" s="93">
        <f>IF(Validation!$H$3=1,0,IF(ISNUMBER(H19),0,1))</f>
        <v>0</v>
      </c>
      <c r="W19" s="93">
        <f>IF(Validation!$H$3=1,0,IF(ISNUMBER(I19),0,1))</f>
        <v>0</v>
      </c>
      <c r="X19" s="93">
        <f t="shared" si="3"/>
        <v>0</v>
      </c>
      <c r="Y19" s="93">
        <f>IF(Validation!$H$3=1,0,IF(ISNUMBER(L19),0,1))</f>
        <v>0</v>
      </c>
      <c r="Z19" s="93">
        <f>IF(Validation!$H$3=1,0,IF(ISNUMBER(M19),0,1))</f>
        <v>0</v>
      </c>
      <c r="AA19" s="203"/>
      <c r="AC19" s="127"/>
      <c r="AE19" s="165"/>
      <c r="AF19" s="165"/>
      <c r="AI19" s="483"/>
      <c r="AJ19" s="483"/>
      <c r="AK19" s="483"/>
      <c r="AL19" s="483"/>
      <c r="AM19" s="483"/>
      <c r="AN19" s="483"/>
      <c r="AO19" s="483"/>
      <c r="AP19" s="483"/>
      <c r="AQ19" s="483"/>
      <c r="AR19" s="483"/>
      <c r="AS19" s="483"/>
      <c r="AT19" s="483"/>
      <c r="AU19" s="483"/>
      <c r="AV19" s="483"/>
      <c r="AW19" s="483"/>
      <c r="AX19" s="483"/>
      <c r="AY19" s="483"/>
      <c r="AZ19" s="483"/>
      <c r="BA19" s="232" t="s">
        <v>3305</v>
      </c>
      <c r="BB19" s="219" t="s">
        <v>3306</v>
      </c>
      <c r="BC19" s="219"/>
      <c r="BD19" s="95" t="s">
        <v>49</v>
      </c>
      <c r="BE19" s="217">
        <v>3</v>
      </c>
      <c r="BF19" s="2556" t="s">
        <v>3307</v>
      </c>
      <c r="BG19" s="2557" t="s">
        <v>3308</v>
      </c>
      <c r="BH19" s="2558" t="s">
        <v>3309</v>
      </c>
      <c r="BI19" s="1986" t="s">
        <v>3310</v>
      </c>
      <c r="BJ19" s="2556" t="s">
        <v>3311</v>
      </c>
      <c r="BK19" s="2557" t="s">
        <v>3312</v>
      </c>
      <c r="BL19" s="2558" t="s">
        <v>3313</v>
      </c>
      <c r="BM19" s="1986" t="s">
        <v>3314</v>
      </c>
      <c r="BN19" s="1986" t="s">
        <v>3315</v>
      </c>
    </row>
    <row r="20" spans="2:66" s="483" customFormat="1">
      <c r="B20" s="232" t="s">
        <v>3316</v>
      </c>
      <c r="C20" s="219" t="s">
        <v>3317</v>
      </c>
      <c r="D20" s="219"/>
      <c r="E20" s="95" t="s">
        <v>49</v>
      </c>
      <c r="F20" s="217">
        <v>3</v>
      </c>
      <c r="G20" s="479">
        <v>7.083447179554217E-2</v>
      </c>
      <c r="H20" s="422"/>
      <c r="I20" s="423"/>
      <c r="J20" s="218">
        <f t="shared" si="0"/>
        <v>7.083447179554217E-2</v>
      </c>
      <c r="K20" s="1271">
        <v>9.7614668204457813E-2</v>
      </c>
      <c r="L20" s="422"/>
      <c r="M20" s="423"/>
      <c r="N20" s="218">
        <f t="shared" ref="N20" si="22">SUM(K20:M20)</f>
        <v>9.7614668204457813E-2</v>
      </c>
      <c r="O20" s="218">
        <f t="shared" ref="O20" si="23">J20+N20</f>
        <v>0.16844914</v>
      </c>
      <c r="P20" s="70"/>
      <c r="Q20" s="1339"/>
      <c r="R20" s="24">
        <f xml:space="preserve"> IF( SUM( T20:AB20 ) = 0, 0, $U$6 )</f>
        <v>0</v>
      </c>
      <c r="S20" s="70"/>
      <c r="T20" s="71"/>
      <c r="U20" s="93">
        <f t="shared" si="2"/>
        <v>0</v>
      </c>
      <c r="V20" s="93">
        <f>IF(Validation!$H$3=1,0,IF(ISNUMBER(H20),0,1))</f>
        <v>0</v>
      </c>
      <c r="W20" s="93">
        <f>IF(Validation!$H$3=1,0,IF(ISNUMBER(I20),0,1))</f>
        <v>0</v>
      </c>
      <c r="X20" s="93">
        <f t="shared" si="3"/>
        <v>0</v>
      </c>
      <c r="Y20" s="93">
        <f>IF(Validation!$H$3=1,0,IF(ISNUMBER(L20),0,1))</f>
        <v>0</v>
      </c>
      <c r="Z20" s="93">
        <f>IF(Validation!$H$3=1,0,IF(ISNUMBER(M20),0,1))</f>
        <v>0</v>
      </c>
      <c r="AA20" s="203"/>
      <c r="AB20" s="71"/>
      <c r="AC20" s="833"/>
      <c r="AD20" s="71"/>
      <c r="AE20" s="165"/>
      <c r="AF20" s="165"/>
      <c r="AG20" s="74"/>
      <c r="AH20" s="71"/>
      <c r="BA20" s="232" t="s">
        <v>3316</v>
      </c>
      <c r="BB20" s="219" t="s">
        <v>3317</v>
      </c>
      <c r="BC20" s="219"/>
      <c r="BD20" s="95" t="s">
        <v>49</v>
      </c>
      <c r="BE20" s="217">
        <v>3</v>
      </c>
      <c r="BF20" s="2559" t="s">
        <v>3318</v>
      </c>
      <c r="BG20" s="2560" t="s">
        <v>3319</v>
      </c>
      <c r="BH20" s="2561" t="s">
        <v>3320</v>
      </c>
      <c r="BI20" s="1986" t="s">
        <v>3321</v>
      </c>
      <c r="BJ20" s="2559" t="s">
        <v>3322</v>
      </c>
      <c r="BK20" s="2560" t="s">
        <v>3323</v>
      </c>
      <c r="BL20" s="2561" t="s">
        <v>3324</v>
      </c>
      <c r="BM20" s="1986" t="s">
        <v>3325</v>
      </c>
      <c r="BN20" s="1986" t="s">
        <v>3326</v>
      </c>
    </row>
    <row r="21" spans="2:66" ht="14.5" thickBot="1">
      <c r="B21" s="101" t="s">
        <v>3327</v>
      </c>
      <c r="C21" s="102" t="s">
        <v>1302</v>
      </c>
      <c r="D21" s="102"/>
      <c r="E21" s="103" t="s">
        <v>49</v>
      </c>
      <c r="F21" s="225">
        <v>3</v>
      </c>
      <c r="G21" s="803">
        <f xml:space="preserve"> G15 + SUM(G17:G20)</f>
        <v>5.5182858555366554</v>
      </c>
      <c r="H21" s="809">
        <f t="shared" ref="H21:I21" si="24" xml:space="preserve"> H15 + SUM(H17:H20)</f>
        <v>0</v>
      </c>
      <c r="I21" s="810">
        <f t="shared" si="24"/>
        <v>0</v>
      </c>
      <c r="J21" s="803">
        <f t="shared" ref="J21" si="25" xml:space="preserve"> J15 + SUM(J17:J20)</f>
        <v>5.5182858555366554</v>
      </c>
      <c r="K21" s="803">
        <f t="shared" ref="K21" si="26" xml:space="preserve"> K15 + SUM(K17:K20)</f>
        <v>7.3720033644633443</v>
      </c>
      <c r="L21" s="809">
        <f t="shared" ref="L21" si="27" xml:space="preserve"> L15 + SUM(L17:L20)</f>
        <v>0</v>
      </c>
      <c r="M21" s="810">
        <f t="shared" ref="M21" si="28" xml:space="preserve"> M15 + SUM(M17:M20)</f>
        <v>0</v>
      </c>
      <c r="N21" s="803">
        <f t="shared" ref="N21" si="29" xml:space="preserve"> N15 + SUM(N17:N20)</f>
        <v>7.3720033644633443</v>
      </c>
      <c r="O21" s="804">
        <f t="shared" si="4"/>
        <v>12.89028922</v>
      </c>
      <c r="Q21" s="1339">
        <f t="shared" si="1"/>
        <v>0</v>
      </c>
      <c r="AA21" s="203"/>
      <c r="AC21" s="93">
        <f t="shared" ref="AC21" si="30" xml:space="preserve"> IF( (AE21 - AF21) = 0, 0, 1 )</f>
        <v>0</v>
      </c>
      <c r="AE21" s="165">
        <f t="shared" ref="AE21" si="31" xml:space="preserve"> ROUND( O21, 3)</f>
        <v>12.89</v>
      </c>
      <c r="AF21" s="165">
        <f xml:space="preserve"> ROUND( '2C'!G19, 3)</f>
        <v>12.89</v>
      </c>
      <c r="AG21" s="74" t="s">
        <v>3328</v>
      </c>
      <c r="AI21" s="483"/>
      <c r="AJ21" s="483"/>
      <c r="AK21" s="483"/>
      <c r="AL21" s="483"/>
      <c r="AM21" s="483"/>
      <c r="AN21" s="483"/>
      <c r="AO21" s="483"/>
      <c r="AP21" s="483"/>
      <c r="AQ21" s="483"/>
      <c r="AR21" s="483"/>
      <c r="AS21" s="483"/>
      <c r="AT21" s="483"/>
      <c r="AU21" s="483"/>
      <c r="AV21" s="483"/>
      <c r="AW21" s="483"/>
      <c r="AX21" s="483"/>
      <c r="AY21" s="483"/>
      <c r="AZ21" s="483"/>
      <c r="BA21" s="101" t="s">
        <v>3327</v>
      </c>
      <c r="BB21" s="102" t="s">
        <v>1302</v>
      </c>
      <c r="BC21" s="102"/>
      <c r="BD21" s="103" t="s">
        <v>49</v>
      </c>
      <c r="BE21" s="225">
        <v>3</v>
      </c>
      <c r="BF21" s="1987" t="s">
        <v>3329</v>
      </c>
      <c r="BG21" s="1988" t="s">
        <v>3330</v>
      </c>
      <c r="BH21" s="1989" t="s">
        <v>3331</v>
      </c>
      <c r="BI21" s="1987" t="s">
        <v>3332</v>
      </c>
      <c r="BJ21" s="1987" t="s">
        <v>3333</v>
      </c>
      <c r="BK21" s="1988" t="s">
        <v>3334</v>
      </c>
      <c r="BL21" s="1989" t="s">
        <v>3335</v>
      </c>
      <c r="BM21" s="1987" t="s">
        <v>3336</v>
      </c>
      <c r="BN21" s="1990" t="s">
        <v>3337</v>
      </c>
    </row>
    <row r="22" spans="2:66" s="82" customFormat="1" ht="14.5" thickBot="1">
      <c r="B22" s="798"/>
      <c r="C22" s="799"/>
      <c r="D22" s="799"/>
      <c r="E22" s="800"/>
      <c r="F22" s="800"/>
      <c r="G22" s="238"/>
      <c r="H22" s="70"/>
      <c r="I22" s="70"/>
      <c r="J22" s="238"/>
      <c r="K22" s="238"/>
      <c r="L22" s="70"/>
      <c r="M22" s="70"/>
      <c r="N22" s="238"/>
      <c r="O22" s="238"/>
      <c r="P22" s="192"/>
      <c r="Q22" s="813"/>
      <c r="R22" s="192"/>
      <c r="S22" s="192"/>
      <c r="T22" s="71"/>
      <c r="U22" s="70"/>
      <c r="V22" s="70"/>
      <c r="W22" s="70"/>
      <c r="X22" s="70"/>
      <c r="Y22" s="70"/>
      <c r="Z22" s="70"/>
      <c r="AA22" s="203"/>
      <c r="AB22" s="71"/>
      <c r="AC22" s="127"/>
      <c r="AD22" s="71"/>
      <c r="AE22" s="223"/>
      <c r="AF22" s="223"/>
      <c r="AG22" s="74"/>
      <c r="AH22" s="71"/>
      <c r="BA22" s="798"/>
      <c r="BB22" s="799"/>
      <c r="BC22" s="799"/>
      <c r="BD22" s="800"/>
      <c r="BE22" s="800"/>
      <c r="BF22" s="1977"/>
      <c r="BG22" s="1975"/>
      <c r="BH22" s="1975"/>
      <c r="BI22" s="1977"/>
      <c r="BJ22" s="1977"/>
      <c r="BK22" s="1975"/>
      <c r="BL22" s="1975"/>
      <c r="BM22" s="1977"/>
      <c r="BN22" s="1977"/>
    </row>
    <row r="23" spans="2:66" s="483" customFormat="1" ht="14.5" thickBot="1">
      <c r="B23" s="131" t="s">
        <v>3338</v>
      </c>
      <c r="C23" s="132" t="s">
        <v>602</v>
      </c>
      <c r="D23" s="132"/>
      <c r="E23" s="133" t="s">
        <v>49</v>
      </c>
      <c r="F23" s="770">
        <v>3</v>
      </c>
      <c r="G23" s="814">
        <v>0.66163389218622093</v>
      </c>
      <c r="H23" s="815">
        <v>0</v>
      </c>
      <c r="I23" s="816">
        <v>0</v>
      </c>
      <c r="J23" s="817">
        <f t="shared" ref="J23" si="32">SUM(G23:I23)</f>
        <v>0.66163389218622093</v>
      </c>
      <c r="K23" s="814">
        <v>0.899300857813779</v>
      </c>
      <c r="L23" s="815">
        <v>0</v>
      </c>
      <c r="M23" s="816">
        <v>0</v>
      </c>
      <c r="N23" s="817">
        <f t="shared" ref="N23" si="33">SUM(K23:M23)</f>
        <v>0.899300857813779</v>
      </c>
      <c r="O23" s="817">
        <f t="shared" ref="O23" si="34">J23+N23</f>
        <v>1.5609347499999999</v>
      </c>
      <c r="P23" s="70"/>
      <c r="Q23" s="1339"/>
      <c r="R23" s="24">
        <f xml:space="preserve"> IF( SUM( T23:AB23 ) = 0, 0, $U$6 )</f>
        <v>0</v>
      </c>
      <c r="S23" s="70"/>
      <c r="T23" s="71"/>
      <c r="U23" s="93">
        <f t="shared" ref="U23" si="35" xml:space="preserve"> IF( ISNUMBER( G23 ), 0, 1 )</f>
        <v>0</v>
      </c>
      <c r="V23" s="93">
        <f>IF(Validation!$H$3=1,0,IF(ISNUMBER(H23),0,1))</f>
        <v>0</v>
      </c>
      <c r="W23" s="93">
        <f>IF(Validation!$H$3=1,0,IF(ISNUMBER(I23),0,1))</f>
        <v>0</v>
      </c>
      <c r="X23" s="93">
        <f t="shared" ref="X23" si="36" xml:space="preserve"> IF( ISNUMBER( K23 ), 0, 1 )</f>
        <v>0</v>
      </c>
      <c r="Y23" s="93">
        <f>IF(Validation!$H$3=1,0,IF(ISNUMBER(L23),0,1))</f>
        <v>0</v>
      </c>
      <c r="Z23" s="93">
        <f>IF(Validation!$H$3=1,0,IF(ISNUMBER(M23),0,1))</f>
        <v>0</v>
      </c>
      <c r="AA23" s="203"/>
      <c r="AB23" s="71"/>
      <c r="AC23" s="127"/>
      <c r="AD23" s="71"/>
      <c r="AE23" s="165"/>
      <c r="AF23" s="165"/>
      <c r="AG23" s="74"/>
      <c r="AH23" s="71"/>
      <c r="BA23" s="131" t="s">
        <v>3338</v>
      </c>
      <c r="BB23" s="132" t="s">
        <v>602</v>
      </c>
      <c r="BC23" s="132"/>
      <c r="BD23" s="133" t="s">
        <v>49</v>
      </c>
      <c r="BE23" s="770">
        <v>3</v>
      </c>
      <c r="BF23" s="2562" t="s">
        <v>3339</v>
      </c>
      <c r="BG23" s="2563" t="s">
        <v>3340</v>
      </c>
      <c r="BH23" s="2564" t="s">
        <v>3341</v>
      </c>
      <c r="BI23" s="1991" t="s">
        <v>3342</v>
      </c>
      <c r="BJ23" s="2562" t="s">
        <v>3343</v>
      </c>
      <c r="BK23" s="2563" t="s">
        <v>3344</v>
      </c>
      <c r="BL23" s="2564" t="s">
        <v>3345</v>
      </c>
      <c r="BM23" s="1991" t="s">
        <v>3346</v>
      </c>
      <c r="BN23" s="1991" t="s">
        <v>3347</v>
      </c>
    </row>
    <row r="24" spans="2:66" ht="14.5" thickBot="1">
      <c r="B24" s="70"/>
      <c r="C24" s="70"/>
      <c r="D24" s="70"/>
      <c r="E24" s="70"/>
      <c r="F24" s="70"/>
      <c r="G24" s="70"/>
      <c r="H24" s="70"/>
      <c r="I24" s="70"/>
      <c r="J24" s="70"/>
      <c r="K24" s="70"/>
      <c r="L24" s="70"/>
      <c r="M24" s="70"/>
      <c r="N24" s="70"/>
      <c r="O24" s="70"/>
      <c r="AA24" s="203"/>
      <c r="AC24" s="127"/>
      <c r="AE24" s="165"/>
      <c r="AF24" s="165"/>
      <c r="AI24" s="483"/>
      <c r="AJ24" s="483"/>
      <c r="AK24" s="483"/>
      <c r="AL24" s="483"/>
      <c r="AM24" s="483"/>
      <c r="AN24" s="483"/>
      <c r="AO24" s="483"/>
      <c r="AP24" s="483"/>
      <c r="AQ24" s="483"/>
      <c r="AR24" s="483"/>
      <c r="AS24" s="483"/>
      <c r="AT24" s="483"/>
      <c r="AU24" s="483"/>
      <c r="AV24" s="483"/>
      <c r="AW24" s="483"/>
      <c r="AX24" s="483"/>
      <c r="AY24" s="483"/>
      <c r="AZ24" s="483"/>
      <c r="BA24" s="70"/>
      <c r="BB24" s="70"/>
      <c r="BC24" s="70"/>
      <c r="BD24" s="70"/>
      <c r="BE24" s="70"/>
      <c r="BF24" s="70"/>
      <c r="BG24" s="70"/>
      <c r="BH24" s="70"/>
      <c r="BI24" s="70"/>
      <c r="BJ24" s="70"/>
      <c r="BK24" s="70"/>
      <c r="BL24" s="70"/>
      <c r="BM24" s="70"/>
      <c r="BN24" s="70"/>
    </row>
    <row r="25" spans="2:66" s="70" customFormat="1" ht="14.5" thickBot="1">
      <c r="B25" s="113" t="s">
        <v>175</v>
      </c>
      <c r="C25" s="114" t="s">
        <v>3348</v>
      </c>
      <c r="D25" s="1473"/>
      <c r="T25" s="71"/>
      <c r="AA25" s="203"/>
      <c r="AB25" s="71"/>
      <c r="AC25" s="127"/>
      <c r="AD25" s="71"/>
      <c r="AE25" s="165"/>
      <c r="AF25" s="165"/>
      <c r="AG25" s="74"/>
      <c r="AH25" s="71"/>
      <c r="BA25" s="113" t="s">
        <v>175</v>
      </c>
      <c r="BB25" s="114" t="s">
        <v>3348</v>
      </c>
      <c r="BC25" s="1473"/>
    </row>
    <row r="26" spans="2:66">
      <c r="B26" s="227" t="s">
        <v>3349</v>
      </c>
      <c r="C26" s="228" t="s">
        <v>3350</v>
      </c>
      <c r="D26" s="228"/>
      <c r="E26" s="229" t="s">
        <v>49</v>
      </c>
      <c r="F26" s="230">
        <v>3</v>
      </c>
      <c r="G26" s="231"/>
      <c r="H26" s="231"/>
      <c r="I26" s="231"/>
      <c r="J26" s="231"/>
      <c r="K26" s="231"/>
      <c r="L26" s="231"/>
      <c r="M26" s="231"/>
      <c r="N26" s="231"/>
      <c r="O26" s="481">
        <v>2.3E-2</v>
      </c>
      <c r="R26" s="24">
        <f xml:space="preserve"> IF( SUM( T26:AB26 ) = 0, 0, $U$6 )</f>
        <v>0</v>
      </c>
      <c r="AA26" s="93">
        <f t="shared" ref="AA26:AA30" si="37" xml:space="preserve"> IF( ISNUMBER( O26 ), 0, 1 )</f>
        <v>0</v>
      </c>
      <c r="AC26" s="127"/>
      <c r="AE26" s="165"/>
      <c r="AF26" s="165"/>
      <c r="AI26" s="483"/>
      <c r="AJ26" s="483"/>
      <c r="AK26" s="483"/>
      <c r="AL26" s="483"/>
      <c r="AM26" s="483"/>
      <c r="AN26" s="483"/>
      <c r="AO26" s="483"/>
      <c r="AP26" s="483"/>
      <c r="AQ26" s="483"/>
      <c r="AR26" s="483"/>
      <c r="AS26" s="483"/>
      <c r="AT26" s="483"/>
      <c r="AU26" s="483"/>
      <c r="AV26" s="483"/>
      <c r="AW26" s="483"/>
      <c r="AX26" s="483"/>
      <c r="AY26" s="483"/>
      <c r="AZ26" s="483"/>
      <c r="BA26" s="227" t="s">
        <v>3349</v>
      </c>
      <c r="BB26" s="228" t="s">
        <v>3350</v>
      </c>
      <c r="BC26" s="228"/>
      <c r="BD26" s="229" t="s">
        <v>49</v>
      </c>
      <c r="BE26" s="230">
        <v>3</v>
      </c>
      <c r="BF26" s="231"/>
      <c r="BG26" s="231"/>
      <c r="BH26" s="231"/>
      <c r="BI26" s="231"/>
      <c r="BJ26" s="231"/>
      <c r="BK26" s="231"/>
      <c r="BL26" s="231"/>
      <c r="BM26" s="231"/>
      <c r="BN26" s="2565" t="s">
        <v>3351</v>
      </c>
    </row>
    <row r="27" spans="2:66">
      <c r="B27" s="232" t="s">
        <v>3352</v>
      </c>
      <c r="C27" s="87" t="s">
        <v>3353</v>
      </c>
      <c r="D27" s="87"/>
      <c r="E27" s="95" t="s">
        <v>49</v>
      </c>
      <c r="F27" s="233">
        <v>3</v>
      </c>
      <c r="G27" s="231"/>
      <c r="H27" s="231"/>
      <c r="I27" s="231"/>
      <c r="J27" s="231"/>
      <c r="K27" s="231"/>
      <c r="L27" s="231"/>
      <c r="M27" s="231"/>
      <c r="N27" s="231"/>
      <c r="O27" s="482">
        <v>2.3E-2</v>
      </c>
      <c r="R27" s="24">
        <f xml:space="preserve"> IF( SUM( T27:AB27 ) = 0, 0, $U$6 )</f>
        <v>0</v>
      </c>
      <c r="AA27" s="93">
        <f t="shared" si="37"/>
        <v>0</v>
      </c>
      <c r="AC27" s="127"/>
      <c r="AE27" s="165"/>
      <c r="AF27" s="165"/>
      <c r="AI27" s="483"/>
      <c r="AJ27" s="483"/>
      <c r="AK27" s="483"/>
      <c r="AL27" s="483"/>
      <c r="AM27" s="483"/>
      <c r="AN27" s="483"/>
      <c r="AO27" s="483"/>
      <c r="AP27" s="483"/>
      <c r="AQ27" s="483"/>
      <c r="AR27" s="483"/>
      <c r="AS27" s="483"/>
      <c r="AT27" s="483"/>
      <c r="AU27" s="483"/>
      <c r="AV27" s="483"/>
      <c r="AW27" s="483"/>
      <c r="AX27" s="483"/>
      <c r="AY27" s="483"/>
      <c r="AZ27" s="483"/>
      <c r="BA27" s="232" t="s">
        <v>3352</v>
      </c>
      <c r="BB27" s="87" t="s">
        <v>3353</v>
      </c>
      <c r="BC27" s="87"/>
      <c r="BD27" s="95" t="s">
        <v>49</v>
      </c>
      <c r="BE27" s="233">
        <v>3</v>
      </c>
      <c r="BF27" s="231"/>
      <c r="BG27" s="231"/>
      <c r="BH27" s="231"/>
      <c r="BI27" s="231"/>
      <c r="BJ27" s="231"/>
      <c r="BK27" s="231"/>
      <c r="BL27" s="231"/>
      <c r="BM27" s="231"/>
      <c r="BN27" s="2566" t="s">
        <v>3354</v>
      </c>
    </row>
    <row r="28" spans="2:66">
      <c r="B28" s="232" t="s">
        <v>3355</v>
      </c>
      <c r="C28" s="87" t="s">
        <v>3356</v>
      </c>
      <c r="D28" s="87"/>
      <c r="E28" s="95" t="s">
        <v>49</v>
      </c>
      <c r="F28" s="233">
        <v>3</v>
      </c>
      <c r="G28" s="231"/>
      <c r="H28" s="231"/>
      <c r="I28" s="231"/>
      <c r="J28" s="231"/>
      <c r="K28" s="231"/>
      <c r="L28" s="231"/>
      <c r="M28" s="231"/>
      <c r="N28" s="231"/>
      <c r="O28" s="218">
        <f>O26-O27</f>
        <v>0</v>
      </c>
      <c r="S28" s="118"/>
      <c r="T28" s="124"/>
      <c r="AA28" s="203"/>
      <c r="AC28" s="127"/>
      <c r="AE28" s="165"/>
      <c r="AF28" s="165"/>
      <c r="AI28" s="483"/>
      <c r="AJ28" s="483"/>
      <c r="AK28" s="483"/>
      <c r="AL28" s="483"/>
      <c r="AM28" s="483"/>
      <c r="AN28" s="483"/>
      <c r="AO28" s="483"/>
      <c r="AP28" s="483"/>
      <c r="AQ28" s="483"/>
      <c r="AR28" s="483"/>
      <c r="AS28" s="483"/>
      <c r="AT28" s="483"/>
      <c r="AU28" s="483"/>
      <c r="AV28" s="483"/>
      <c r="AW28" s="483"/>
      <c r="AX28" s="483"/>
      <c r="AY28" s="483"/>
      <c r="AZ28" s="483"/>
      <c r="BA28" s="232" t="s">
        <v>3355</v>
      </c>
      <c r="BB28" s="87" t="s">
        <v>3356</v>
      </c>
      <c r="BC28" s="87"/>
      <c r="BD28" s="95" t="s">
        <v>49</v>
      </c>
      <c r="BE28" s="233">
        <v>3</v>
      </c>
      <c r="BF28" s="231"/>
      <c r="BG28" s="231"/>
      <c r="BH28" s="231"/>
      <c r="BI28" s="231"/>
      <c r="BJ28" s="231"/>
      <c r="BK28" s="231"/>
      <c r="BL28" s="231"/>
      <c r="BM28" s="231"/>
      <c r="BN28" s="218" t="s">
        <v>3357</v>
      </c>
    </row>
    <row r="29" spans="2:66">
      <c r="B29" s="232" t="s">
        <v>3358</v>
      </c>
      <c r="C29" s="87" t="s">
        <v>3359</v>
      </c>
      <c r="D29" s="87"/>
      <c r="E29" s="95" t="s">
        <v>49</v>
      </c>
      <c r="F29" s="233">
        <v>3</v>
      </c>
      <c r="G29" s="231"/>
      <c r="H29" s="231"/>
      <c r="I29" s="231"/>
      <c r="J29" s="231"/>
      <c r="K29" s="231"/>
      <c r="L29" s="231"/>
      <c r="M29" s="231"/>
      <c r="N29" s="231"/>
      <c r="O29" s="482">
        <v>0.25900000000000001</v>
      </c>
      <c r="R29" s="24">
        <f xml:space="preserve"> IF( SUM( T29:AB29 ) = 0, 0, $U$6 )</f>
        <v>0</v>
      </c>
      <c r="AA29" s="93">
        <f t="shared" si="37"/>
        <v>0</v>
      </c>
      <c r="AC29" s="127"/>
      <c r="AE29" s="165"/>
      <c r="AF29" s="165"/>
      <c r="AI29" s="483"/>
      <c r="AJ29" s="483"/>
      <c r="AK29" s="483"/>
      <c r="AL29" s="483"/>
      <c r="AM29" s="483"/>
      <c r="AN29" s="483"/>
      <c r="AO29" s="483"/>
      <c r="AP29" s="483"/>
      <c r="AQ29" s="483"/>
      <c r="AR29" s="483"/>
      <c r="AS29" s="483"/>
      <c r="AT29" s="483"/>
      <c r="AU29" s="483"/>
      <c r="AV29" s="483"/>
      <c r="AW29" s="483"/>
      <c r="AX29" s="483"/>
      <c r="AY29" s="483"/>
      <c r="AZ29" s="483"/>
      <c r="BA29" s="232" t="s">
        <v>3358</v>
      </c>
      <c r="BB29" s="87" t="s">
        <v>3359</v>
      </c>
      <c r="BC29" s="87"/>
      <c r="BD29" s="95" t="s">
        <v>49</v>
      </c>
      <c r="BE29" s="233">
        <v>3</v>
      </c>
      <c r="BF29" s="231"/>
      <c r="BG29" s="231"/>
      <c r="BH29" s="231"/>
      <c r="BI29" s="231"/>
      <c r="BJ29" s="231"/>
      <c r="BK29" s="231"/>
      <c r="BL29" s="231"/>
      <c r="BM29" s="231"/>
      <c r="BN29" s="2566" t="s">
        <v>3360</v>
      </c>
    </row>
    <row r="30" spans="2:66">
      <c r="B30" s="232" t="s">
        <v>3361</v>
      </c>
      <c r="C30" s="87" t="s">
        <v>3362</v>
      </c>
      <c r="D30" s="87"/>
      <c r="E30" s="95" t="s">
        <v>49</v>
      </c>
      <c r="F30" s="233">
        <v>3</v>
      </c>
      <c r="G30" s="231"/>
      <c r="H30" s="231"/>
      <c r="I30" s="231"/>
      <c r="J30" s="231"/>
      <c r="K30" s="231"/>
      <c r="L30" s="231"/>
      <c r="M30" s="231"/>
      <c r="N30" s="231"/>
      <c r="O30" s="482">
        <v>0.25900000000000001</v>
      </c>
      <c r="R30" s="24">
        <f xml:space="preserve"> IF( SUM( T30:AB30 ) = 0, 0, $U$6 )</f>
        <v>0</v>
      </c>
      <c r="AA30" s="93">
        <f t="shared" si="37"/>
        <v>0</v>
      </c>
      <c r="AC30" s="127"/>
      <c r="AE30" s="165"/>
      <c r="AF30" s="165"/>
      <c r="AI30" s="483"/>
      <c r="AJ30" s="483"/>
      <c r="AK30" s="483"/>
      <c r="AL30" s="483"/>
      <c r="AM30" s="483"/>
      <c r="AN30" s="483"/>
      <c r="AO30" s="483"/>
      <c r="AP30" s="483"/>
      <c r="AQ30" s="483"/>
      <c r="AR30" s="483"/>
      <c r="AS30" s="483"/>
      <c r="AT30" s="483"/>
      <c r="AU30" s="483"/>
      <c r="AV30" s="483"/>
      <c r="AW30" s="483"/>
      <c r="AX30" s="483"/>
      <c r="AY30" s="483"/>
      <c r="AZ30" s="483"/>
      <c r="BA30" s="232" t="s">
        <v>3361</v>
      </c>
      <c r="BB30" s="87" t="s">
        <v>3362</v>
      </c>
      <c r="BC30" s="87"/>
      <c r="BD30" s="95" t="s">
        <v>49</v>
      </c>
      <c r="BE30" s="233">
        <v>3</v>
      </c>
      <c r="BF30" s="231"/>
      <c r="BG30" s="231"/>
      <c r="BH30" s="231"/>
      <c r="BI30" s="231"/>
      <c r="BJ30" s="231"/>
      <c r="BK30" s="231"/>
      <c r="BL30" s="231"/>
      <c r="BM30" s="231"/>
      <c r="BN30" s="2566" t="s">
        <v>3363</v>
      </c>
    </row>
    <row r="31" spans="2:66" ht="14.5" thickBot="1">
      <c r="B31" s="234" t="s">
        <v>3364</v>
      </c>
      <c r="C31" s="235" t="s">
        <v>3365</v>
      </c>
      <c r="D31" s="235"/>
      <c r="E31" s="236" t="s">
        <v>49</v>
      </c>
      <c r="F31" s="237">
        <v>3</v>
      </c>
      <c r="G31" s="238"/>
      <c r="H31" s="238"/>
      <c r="I31" s="238"/>
      <c r="J31" s="238"/>
      <c r="K31" s="238"/>
      <c r="L31" s="238"/>
      <c r="M31" s="238"/>
      <c r="N31" s="238"/>
      <c r="O31" s="226">
        <f>O29-O30</f>
        <v>0</v>
      </c>
      <c r="S31" s="118"/>
      <c r="T31" s="124"/>
      <c r="AA31" s="203"/>
      <c r="AC31" s="127"/>
      <c r="AE31" s="165"/>
      <c r="AF31" s="165"/>
      <c r="AI31" s="483"/>
      <c r="AJ31" s="483"/>
      <c r="AK31" s="483"/>
      <c r="AL31" s="483"/>
      <c r="AM31" s="483"/>
      <c r="AN31" s="483"/>
      <c r="AO31" s="483"/>
      <c r="AP31" s="483"/>
      <c r="AQ31" s="483"/>
      <c r="AR31" s="483"/>
      <c r="AS31" s="483"/>
      <c r="AT31" s="483"/>
      <c r="AU31" s="483"/>
      <c r="AV31" s="483"/>
      <c r="AW31" s="483"/>
      <c r="AX31" s="483"/>
      <c r="AY31" s="483"/>
      <c r="AZ31" s="483"/>
      <c r="BA31" s="234" t="s">
        <v>3364</v>
      </c>
      <c r="BB31" s="235" t="s">
        <v>3365</v>
      </c>
      <c r="BC31" s="235"/>
      <c r="BD31" s="236" t="s">
        <v>49</v>
      </c>
      <c r="BE31" s="237">
        <v>3</v>
      </c>
      <c r="BF31" s="238"/>
      <c r="BG31" s="238"/>
      <c r="BH31" s="238"/>
      <c r="BI31" s="238"/>
      <c r="BJ31" s="238"/>
      <c r="BK31" s="238"/>
      <c r="BL31" s="238"/>
      <c r="BM31" s="238"/>
      <c r="BN31" s="226" t="s">
        <v>3366</v>
      </c>
    </row>
    <row r="32" spans="2:66">
      <c r="B32" s="70"/>
      <c r="C32" s="70"/>
      <c r="D32" s="70"/>
      <c r="E32" s="70"/>
      <c r="F32" s="70"/>
      <c r="G32" s="70"/>
      <c r="H32" s="70"/>
      <c r="I32" s="70"/>
      <c r="J32" s="70"/>
      <c r="K32" s="70"/>
      <c r="L32" s="70"/>
      <c r="M32" s="70"/>
      <c r="N32" s="70"/>
      <c r="O32" s="70"/>
      <c r="P32" s="118"/>
      <c r="S32" s="118"/>
      <c r="T32" s="124"/>
      <c r="AA32" s="203"/>
      <c r="AB32" s="124"/>
      <c r="AC32" s="127"/>
      <c r="AD32" s="124"/>
      <c r="AE32" s="165"/>
      <c r="AF32" s="165"/>
      <c r="AH32" s="124"/>
      <c r="AI32" s="483"/>
      <c r="AJ32" s="483"/>
      <c r="AK32" s="483"/>
      <c r="AL32" s="483"/>
      <c r="AM32" s="483"/>
      <c r="AN32" s="483"/>
      <c r="AO32" s="483"/>
      <c r="AP32" s="483"/>
      <c r="AQ32" s="483"/>
      <c r="AR32" s="483"/>
      <c r="AS32" s="483"/>
      <c r="AT32" s="483"/>
      <c r="AU32" s="483"/>
      <c r="AV32" s="483"/>
      <c r="AW32" s="483"/>
      <c r="AX32" s="483"/>
      <c r="AY32" s="483"/>
      <c r="AZ32" s="483"/>
      <c r="BA32" s="70"/>
      <c r="BB32" s="70"/>
      <c r="BC32" s="70"/>
      <c r="BD32" s="70"/>
      <c r="BE32" s="70"/>
      <c r="BF32" s="70"/>
      <c r="BG32" s="70"/>
      <c r="BH32" s="70"/>
      <c r="BI32" s="70"/>
      <c r="BJ32" s="70"/>
      <c r="BK32" s="70"/>
      <c r="BL32" s="70"/>
      <c r="BM32" s="70"/>
      <c r="BN32" s="70"/>
    </row>
    <row r="33" spans="1:52">
      <c r="A33" s="483"/>
      <c r="B33" s="2914" t="s">
        <v>241</v>
      </c>
      <c r="C33" s="2914"/>
      <c r="D33" s="2823"/>
      <c r="E33" s="163"/>
      <c r="F33" s="163"/>
      <c r="G33" s="163"/>
      <c r="H33" s="163"/>
      <c r="I33" s="163"/>
      <c r="J33" s="163"/>
      <c r="K33" s="163"/>
      <c r="L33" s="163"/>
      <c r="M33" s="163"/>
      <c r="N33" s="163"/>
      <c r="O33" s="126"/>
      <c r="P33" s="126"/>
      <c r="AA33" s="203"/>
      <c r="AC33" s="127"/>
      <c r="AD33" s="119"/>
      <c r="AE33" s="165"/>
      <c r="AF33" s="165"/>
      <c r="AH33" s="119"/>
      <c r="AI33" s="483"/>
      <c r="AJ33" s="483"/>
      <c r="AK33" s="483"/>
      <c r="AL33" s="483"/>
      <c r="AM33" s="483"/>
      <c r="AN33" s="483"/>
      <c r="AO33" s="483"/>
      <c r="AP33" s="483"/>
      <c r="AQ33" s="483"/>
      <c r="AR33" s="483"/>
      <c r="AS33" s="483"/>
      <c r="AT33" s="483"/>
      <c r="AU33" s="483"/>
      <c r="AV33" s="483"/>
      <c r="AW33" s="483"/>
      <c r="AX33" s="483"/>
      <c r="AY33" s="483"/>
      <c r="AZ33" s="483"/>
    </row>
    <row r="34" spans="1:52">
      <c r="A34" s="483"/>
      <c r="B34" s="141"/>
      <c r="C34" s="142"/>
      <c r="D34" s="142"/>
      <c r="E34" s="163"/>
      <c r="F34" s="163"/>
      <c r="G34" s="163"/>
      <c r="H34" s="163"/>
      <c r="I34" s="163"/>
      <c r="J34" s="163"/>
      <c r="K34" s="163"/>
      <c r="L34" s="163"/>
      <c r="M34" s="163"/>
      <c r="N34" s="163"/>
      <c r="O34" s="126"/>
      <c r="P34" s="126"/>
      <c r="S34" s="126"/>
      <c r="T34" s="119"/>
      <c r="AA34" s="203"/>
      <c r="AB34" s="119"/>
      <c r="AC34" s="127"/>
      <c r="AD34" s="119"/>
      <c r="AE34" s="165"/>
      <c r="AF34" s="165"/>
      <c r="AH34" s="119"/>
      <c r="AI34" s="483"/>
      <c r="AJ34" s="483"/>
      <c r="AK34" s="483"/>
      <c r="AL34" s="483"/>
      <c r="AM34" s="483"/>
      <c r="AN34" s="483"/>
      <c r="AO34" s="483"/>
      <c r="AP34" s="483"/>
      <c r="AQ34" s="483"/>
      <c r="AR34" s="483"/>
      <c r="AS34" s="483"/>
      <c r="AT34" s="483"/>
      <c r="AU34" s="483"/>
      <c r="AV34" s="483"/>
      <c r="AW34" s="483"/>
      <c r="AX34" s="483"/>
      <c r="AY34" s="483"/>
      <c r="AZ34" s="483"/>
    </row>
    <row r="35" spans="1:52">
      <c r="A35" s="483"/>
      <c r="B35" s="25"/>
      <c r="C35" s="143" t="s">
        <v>188</v>
      </c>
      <c r="D35" s="143"/>
      <c r="E35" s="163"/>
      <c r="F35" s="163"/>
      <c r="G35" s="163"/>
      <c r="H35" s="163"/>
      <c r="I35" s="163"/>
      <c r="J35" s="163"/>
      <c r="K35" s="163"/>
      <c r="L35" s="163"/>
      <c r="M35" s="163"/>
      <c r="N35" s="163"/>
      <c r="O35" s="126"/>
      <c r="P35" s="126"/>
      <c r="AA35" s="203"/>
      <c r="AC35" s="127"/>
      <c r="AD35" s="119"/>
      <c r="AE35" s="165"/>
      <c r="AF35" s="165"/>
      <c r="AH35" s="119"/>
      <c r="AI35" s="483"/>
      <c r="AJ35" s="483"/>
      <c r="AK35" s="483"/>
      <c r="AL35" s="483"/>
      <c r="AM35" s="483"/>
      <c r="AN35" s="483"/>
      <c r="AO35" s="483"/>
      <c r="AP35" s="483"/>
      <c r="AQ35" s="483"/>
      <c r="AR35" s="483"/>
      <c r="AS35" s="483"/>
      <c r="AT35" s="483"/>
      <c r="AU35" s="483"/>
      <c r="AV35" s="483"/>
      <c r="AW35" s="483"/>
      <c r="AX35" s="483"/>
      <c r="AY35" s="483"/>
      <c r="AZ35" s="483"/>
    </row>
    <row r="36" spans="1:52">
      <c r="A36" s="483"/>
      <c r="B36" s="141"/>
      <c r="C36" s="142"/>
      <c r="D36" s="142"/>
      <c r="E36" s="163"/>
      <c r="F36" s="163"/>
      <c r="G36" s="163"/>
      <c r="H36" s="163"/>
      <c r="I36" s="163"/>
      <c r="J36" s="163"/>
      <c r="K36" s="163"/>
      <c r="L36" s="163"/>
      <c r="M36" s="163"/>
      <c r="N36" s="163"/>
      <c r="O36" s="126"/>
      <c r="P36" s="126"/>
      <c r="S36" s="126"/>
      <c r="T36" s="119"/>
      <c r="AA36" s="203"/>
      <c r="AB36" s="119"/>
      <c r="AC36" s="127"/>
      <c r="AD36" s="119"/>
      <c r="AE36" s="165"/>
      <c r="AF36" s="165"/>
      <c r="AH36" s="119"/>
      <c r="AI36" s="483"/>
      <c r="AJ36" s="483"/>
      <c r="AK36" s="483"/>
      <c r="AL36" s="483"/>
      <c r="AM36" s="483"/>
      <c r="AN36" s="483"/>
      <c r="AO36" s="483"/>
      <c r="AP36" s="483"/>
      <c r="AQ36" s="483"/>
      <c r="AR36" s="483"/>
      <c r="AS36" s="483"/>
      <c r="AT36" s="483"/>
      <c r="AU36" s="483"/>
      <c r="AV36" s="483"/>
      <c r="AW36" s="483"/>
      <c r="AX36" s="483"/>
      <c r="AY36" s="483"/>
      <c r="AZ36" s="483"/>
    </row>
    <row r="37" spans="1:52">
      <c r="A37" s="483"/>
      <c r="B37" s="144"/>
      <c r="C37" s="143" t="s">
        <v>189</v>
      </c>
      <c r="D37" s="143"/>
      <c r="E37" s="163"/>
      <c r="F37" s="163"/>
      <c r="G37" s="163"/>
      <c r="H37" s="163"/>
      <c r="I37" s="163"/>
      <c r="J37" s="163"/>
      <c r="K37" s="163"/>
      <c r="L37" s="163"/>
      <c r="M37" s="163"/>
      <c r="N37" s="163"/>
      <c r="O37" s="126"/>
      <c r="P37" s="126"/>
      <c r="S37" s="126"/>
      <c r="T37" s="119"/>
      <c r="AA37" s="203"/>
      <c r="AB37" s="119"/>
      <c r="AC37" s="127"/>
      <c r="AD37" s="119"/>
      <c r="AE37" s="165"/>
      <c r="AF37" s="165"/>
      <c r="AH37" s="119"/>
      <c r="AI37" s="483"/>
      <c r="AJ37" s="483"/>
      <c r="AK37" s="483"/>
      <c r="AL37" s="483"/>
      <c r="AM37" s="483"/>
      <c r="AN37" s="483"/>
      <c r="AO37" s="483"/>
      <c r="AP37" s="483"/>
      <c r="AQ37" s="483"/>
      <c r="AR37" s="483"/>
      <c r="AS37" s="483"/>
      <c r="AT37" s="483"/>
      <c r="AU37" s="483"/>
      <c r="AV37" s="483"/>
      <c r="AW37" s="483"/>
      <c r="AX37" s="483"/>
      <c r="AY37" s="483"/>
      <c r="AZ37" s="483"/>
    </row>
    <row r="38" spans="1:52">
      <c r="A38" s="483"/>
      <c r="B38" s="145"/>
      <c r="C38" s="143"/>
      <c r="D38" s="143"/>
      <c r="E38" s="163"/>
      <c r="F38" s="163"/>
      <c r="G38" s="163"/>
      <c r="H38" s="163"/>
      <c r="I38" s="163"/>
      <c r="J38" s="163"/>
      <c r="K38" s="163"/>
      <c r="L38" s="163"/>
      <c r="M38" s="163"/>
      <c r="N38" s="163"/>
      <c r="O38" s="126"/>
      <c r="P38" s="126"/>
      <c r="S38" s="126"/>
      <c r="T38" s="119"/>
      <c r="AA38" s="203"/>
      <c r="AB38" s="119"/>
      <c r="AC38" s="127"/>
      <c r="AD38" s="119"/>
      <c r="AE38" s="165"/>
      <c r="AF38" s="165"/>
      <c r="AH38" s="119"/>
      <c r="AI38" s="483"/>
      <c r="AJ38" s="483"/>
      <c r="AK38" s="483"/>
      <c r="AL38" s="483"/>
      <c r="AM38" s="483"/>
      <c r="AN38" s="483"/>
      <c r="AO38" s="483"/>
      <c r="AP38" s="483"/>
      <c r="AQ38" s="483"/>
      <c r="AR38" s="483"/>
      <c r="AS38" s="483"/>
      <c r="AT38" s="483"/>
      <c r="AU38" s="483"/>
      <c r="AV38" s="483"/>
      <c r="AW38" s="483"/>
      <c r="AX38" s="483"/>
      <c r="AY38" s="483"/>
      <c r="AZ38" s="483"/>
    </row>
    <row r="39" spans="1:52" ht="14.5" thickBot="1">
      <c r="A39" s="483"/>
      <c r="B39" s="178"/>
      <c r="C39" s="179"/>
      <c r="D39" s="179"/>
      <c r="E39" s="178"/>
      <c r="F39" s="178"/>
      <c r="G39" s="178"/>
      <c r="H39" s="178"/>
      <c r="I39" s="178"/>
      <c r="J39" s="178"/>
      <c r="K39" s="178"/>
      <c r="L39" s="178"/>
      <c r="M39" s="178"/>
      <c r="N39" s="178"/>
      <c r="O39" s="130"/>
      <c r="P39" s="126"/>
      <c r="S39" s="126"/>
      <c r="T39" s="119"/>
      <c r="AA39" s="203"/>
      <c r="AB39" s="119"/>
      <c r="AC39" s="127"/>
      <c r="AD39" s="119"/>
      <c r="AE39" s="165"/>
      <c r="AF39" s="165"/>
      <c r="AH39" s="119"/>
      <c r="AI39" s="483"/>
      <c r="AJ39" s="483"/>
      <c r="AK39" s="483"/>
      <c r="AL39" s="483"/>
      <c r="AM39" s="483"/>
      <c r="AN39" s="483"/>
      <c r="AO39" s="483"/>
      <c r="AP39" s="483"/>
      <c r="AQ39" s="483"/>
      <c r="AR39" s="483"/>
      <c r="AS39" s="483"/>
      <c r="AT39" s="483"/>
      <c r="AU39" s="483"/>
      <c r="AV39" s="483"/>
      <c r="AW39" s="483"/>
      <c r="AX39" s="483"/>
      <c r="AY39" s="483"/>
      <c r="AZ39" s="483"/>
    </row>
    <row r="40" spans="1:52" s="483" customFormat="1" ht="20.65" customHeight="1" thickBot="1">
      <c r="B40" s="2886" t="str">
        <f>'4E'!B61</f>
        <v>Please refer to RAG 4.08 - Guideline for the table definitions in the annual performance report for the reporting year 2019-20</v>
      </c>
      <c r="C40" s="148"/>
      <c r="D40" s="148"/>
      <c r="E40" s="148"/>
      <c r="F40" s="148"/>
      <c r="G40" s="148"/>
      <c r="H40" s="148"/>
      <c r="I40" s="148"/>
      <c r="J40" s="148"/>
      <c r="K40" s="148"/>
      <c r="L40" s="148"/>
      <c r="M40" s="148"/>
      <c r="N40" s="148"/>
      <c r="O40" s="154"/>
      <c r="P40" s="126"/>
      <c r="Q40" s="70"/>
      <c r="R40" s="70"/>
      <c r="S40" s="126"/>
      <c r="T40" s="119"/>
      <c r="U40" s="70"/>
      <c r="V40" s="70"/>
      <c r="W40" s="70"/>
      <c r="X40" s="70"/>
      <c r="Y40" s="70"/>
      <c r="Z40" s="70"/>
      <c r="AA40" s="203"/>
      <c r="AB40" s="119"/>
      <c r="AC40" s="127"/>
      <c r="AD40" s="119"/>
      <c r="AE40" s="165"/>
      <c r="AF40" s="165"/>
      <c r="AG40" s="74"/>
      <c r="AH40" s="119"/>
    </row>
    <row r="41" spans="1:52" s="483" customFormat="1">
      <c r="B41" s="178"/>
      <c r="C41" s="179"/>
      <c r="D41" s="179"/>
      <c r="E41" s="178"/>
      <c r="F41" s="178"/>
      <c r="G41" s="178"/>
      <c r="H41" s="178"/>
      <c r="I41" s="178"/>
      <c r="J41" s="178"/>
      <c r="K41" s="178"/>
      <c r="L41" s="178"/>
      <c r="M41" s="178"/>
      <c r="N41" s="178"/>
      <c r="O41" s="130"/>
      <c r="P41" s="126"/>
      <c r="Q41" s="70"/>
      <c r="R41" s="70"/>
      <c r="S41" s="126"/>
      <c r="T41" s="119"/>
      <c r="U41" s="70"/>
      <c r="V41" s="70"/>
      <c r="W41" s="70"/>
      <c r="X41" s="70"/>
      <c r="Y41" s="70"/>
      <c r="Z41" s="70"/>
      <c r="AA41" s="203"/>
      <c r="AB41" s="119"/>
      <c r="AC41" s="127"/>
      <c r="AD41" s="119"/>
      <c r="AE41" s="165"/>
      <c r="AF41" s="165"/>
      <c r="AG41" s="74"/>
      <c r="AH41" s="119"/>
    </row>
    <row r="42" spans="1:52" ht="20.5" hidden="1" thickBot="1">
      <c r="A42" s="1534"/>
      <c r="B42" s="146" t="str">
        <f ca="1" xml:space="preserve"> RIGHT(CELL("filename", $A$1), LEN(CELL("filename", $A$1)) - SEARCH("]", CELL("filename", $A$1)))&amp;" - Line definitions"</f>
        <v>4F - Line definitions</v>
      </c>
      <c r="C42" s="147"/>
      <c r="D42" s="147"/>
      <c r="E42" s="148"/>
      <c r="F42" s="148"/>
      <c r="G42" s="148"/>
      <c r="H42" s="148"/>
      <c r="I42" s="148"/>
      <c r="J42" s="148"/>
      <c r="K42" s="148"/>
      <c r="L42" s="148"/>
      <c r="M42" s="148"/>
      <c r="N42" s="148"/>
      <c r="O42" s="154"/>
      <c r="P42" s="126"/>
      <c r="S42" s="118"/>
      <c r="T42" s="124"/>
      <c r="U42" s="203"/>
      <c r="V42" s="203"/>
      <c r="W42" s="203"/>
      <c r="X42" s="203"/>
      <c r="Y42" s="203"/>
      <c r="Z42" s="203"/>
      <c r="AA42" s="203"/>
      <c r="AB42" s="124"/>
      <c r="AC42" s="82"/>
      <c r="AD42" s="124"/>
      <c r="AH42" s="124"/>
      <c r="AI42" s="483"/>
      <c r="AJ42" s="483"/>
      <c r="AK42" s="483"/>
      <c r="AL42" s="483"/>
      <c r="AM42" s="483"/>
      <c r="AN42" s="483"/>
      <c r="AO42" s="483"/>
      <c r="AP42" s="483"/>
      <c r="AQ42" s="483"/>
      <c r="AR42" s="483"/>
      <c r="AS42" s="483"/>
      <c r="AT42" s="483"/>
      <c r="AU42" s="483"/>
      <c r="AV42" s="483"/>
      <c r="AW42" s="483"/>
      <c r="AX42" s="483"/>
      <c r="AY42" s="483"/>
      <c r="AZ42" s="483"/>
    </row>
    <row r="43" spans="1:52" ht="14.5" hidden="1" thickBot="1">
      <c r="A43" s="1534"/>
      <c r="B43" s="74"/>
      <c r="C43" s="155"/>
      <c r="D43" s="155"/>
      <c r="E43" s="74"/>
      <c r="F43" s="74"/>
      <c r="G43" s="74"/>
      <c r="H43" s="74"/>
      <c r="I43" s="74"/>
      <c r="J43" s="74"/>
      <c r="K43" s="74"/>
      <c r="L43" s="74"/>
      <c r="M43" s="74"/>
      <c r="N43" s="74"/>
      <c r="O43" s="118"/>
      <c r="P43" s="126"/>
      <c r="S43" s="118"/>
      <c r="T43" s="124"/>
      <c r="U43" s="203"/>
      <c r="V43" s="203"/>
      <c r="W43" s="203"/>
      <c r="X43" s="203"/>
      <c r="Y43" s="203"/>
      <c r="Z43" s="203"/>
      <c r="AA43" s="203"/>
      <c r="AB43" s="124"/>
      <c r="AC43" s="82"/>
      <c r="AD43" s="124"/>
      <c r="AH43" s="124"/>
      <c r="AI43" s="483"/>
      <c r="AJ43" s="483"/>
      <c r="AK43" s="483"/>
      <c r="AL43" s="483"/>
      <c r="AM43" s="483"/>
      <c r="AN43" s="483"/>
      <c r="AO43" s="483"/>
      <c r="AP43" s="483"/>
      <c r="AQ43" s="483"/>
      <c r="AR43" s="483"/>
      <c r="AS43" s="483"/>
      <c r="AT43" s="483"/>
      <c r="AU43" s="483"/>
      <c r="AV43" s="483"/>
      <c r="AW43" s="483"/>
      <c r="AX43" s="483"/>
      <c r="AY43" s="483"/>
      <c r="AZ43" s="483"/>
    </row>
    <row r="44" spans="1:52" ht="14.5" hidden="1" thickBot="1">
      <c r="A44" s="1534"/>
      <c r="B44" s="156" t="s">
        <v>191</v>
      </c>
      <c r="C44" s="3052" t="s">
        <v>3367</v>
      </c>
      <c r="D44" s="3052"/>
      <c r="E44" s="3052"/>
      <c r="F44" s="3052"/>
      <c r="G44" s="3052"/>
      <c r="H44" s="3054"/>
      <c r="I44" s="3085" t="s">
        <v>3368</v>
      </c>
      <c r="J44" s="3052"/>
      <c r="K44" s="3052"/>
      <c r="L44" s="3052"/>
      <c r="M44" s="3052"/>
      <c r="N44" s="3052"/>
      <c r="O44" s="3054"/>
      <c r="P44" s="126"/>
      <c r="S44" s="118"/>
      <c r="T44" s="124"/>
      <c r="U44" s="85" t="s">
        <v>193</v>
      </c>
      <c r="V44" s="203"/>
      <c r="W44" s="203"/>
      <c r="X44" s="203"/>
      <c r="Y44" s="203"/>
      <c r="Z44" s="203"/>
      <c r="AA44" s="203"/>
      <c r="AB44" s="124"/>
      <c r="AC44" s="483"/>
      <c r="AD44" s="124"/>
      <c r="AH44" s="124"/>
      <c r="AI44" s="483"/>
      <c r="AJ44" s="483"/>
      <c r="AK44" s="483"/>
      <c r="AL44" s="483"/>
      <c r="AM44" s="483"/>
      <c r="AN44" s="483"/>
      <c r="AO44" s="483"/>
      <c r="AP44" s="483"/>
      <c r="AQ44" s="483"/>
      <c r="AR44" s="483"/>
      <c r="AS44" s="483"/>
      <c r="AT44" s="483"/>
      <c r="AU44" s="483"/>
      <c r="AV44" s="483"/>
      <c r="AW44" s="483"/>
      <c r="AX44" s="483"/>
      <c r="AY44" s="483"/>
      <c r="AZ44" s="483"/>
    </row>
    <row r="45" spans="1:52" ht="46.5" hidden="1" customHeight="1">
      <c r="A45" s="1534"/>
      <c r="B45" s="181" t="str">
        <f t="shared" ref="B45:B50" si="38">B7</f>
        <v>4F.1</v>
      </c>
      <c r="C45" s="2910" t="s">
        <v>3369</v>
      </c>
      <c r="D45" s="2910"/>
      <c r="E45" s="2910"/>
      <c r="F45" s="2910"/>
      <c r="G45" s="2910"/>
      <c r="H45" s="2910"/>
      <c r="I45" s="2910" t="s">
        <v>3370</v>
      </c>
      <c r="J45" s="2910"/>
      <c r="K45" s="2910"/>
      <c r="L45" s="2910"/>
      <c r="M45" s="2910"/>
      <c r="N45" s="2910"/>
      <c r="O45" s="2911"/>
      <c r="P45" s="126"/>
      <c r="U45" s="202" t="s">
        <v>2212</v>
      </c>
      <c r="V45" s="203"/>
      <c r="W45" s="203"/>
      <c r="X45" s="203"/>
      <c r="Y45" s="203"/>
      <c r="Z45" s="203"/>
      <c r="AA45" s="203"/>
      <c r="AC45" s="110"/>
      <c r="AD45" s="124"/>
      <c r="AH45" s="124"/>
      <c r="AI45" s="483"/>
      <c r="AJ45" s="483"/>
      <c r="AK45" s="483"/>
      <c r="AL45" s="483"/>
      <c r="AM45" s="483"/>
      <c r="AN45" s="483"/>
      <c r="AO45" s="483"/>
      <c r="AP45" s="483"/>
      <c r="AQ45" s="483"/>
      <c r="AR45" s="483"/>
      <c r="AS45" s="483"/>
      <c r="AT45" s="483"/>
      <c r="AU45" s="483"/>
      <c r="AV45" s="483"/>
      <c r="AW45" s="483"/>
      <c r="AX45" s="483"/>
      <c r="AY45" s="483"/>
      <c r="AZ45" s="483"/>
    </row>
    <row r="46" spans="1:52" ht="46.5" hidden="1" customHeight="1">
      <c r="A46" s="1534"/>
      <c r="B46" s="159" t="str">
        <f t="shared" si="38"/>
        <v>4F.2</v>
      </c>
      <c r="C46" s="2892" t="s">
        <v>3371</v>
      </c>
      <c r="D46" s="2892"/>
      <c r="E46" s="2892"/>
      <c r="F46" s="2892"/>
      <c r="G46" s="2892"/>
      <c r="H46" s="2892"/>
      <c r="I46" s="2892" t="s">
        <v>3372</v>
      </c>
      <c r="J46" s="2892"/>
      <c r="K46" s="2892"/>
      <c r="L46" s="2892"/>
      <c r="M46" s="2892"/>
      <c r="N46" s="2892"/>
      <c r="O46" s="2893"/>
      <c r="P46" s="126"/>
      <c r="U46" s="202" t="s">
        <v>2212</v>
      </c>
      <c r="V46" s="203"/>
      <c r="W46" s="203"/>
      <c r="X46" s="203"/>
      <c r="Y46" s="203"/>
      <c r="Z46" s="203"/>
      <c r="AA46" s="203"/>
      <c r="AD46" s="124"/>
      <c r="AH46" s="124"/>
      <c r="AI46" s="483"/>
      <c r="AJ46" s="483"/>
      <c r="AK46" s="483"/>
      <c r="AL46" s="483"/>
      <c r="AM46" s="483"/>
      <c r="AN46" s="483"/>
      <c r="AO46" s="483"/>
      <c r="AP46" s="483"/>
      <c r="AQ46" s="483"/>
      <c r="AR46" s="483"/>
      <c r="AS46" s="483"/>
      <c r="AT46" s="483"/>
      <c r="AU46" s="483"/>
      <c r="AV46" s="483"/>
      <c r="AW46" s="483"/>
      <c r="AX46" s="483"/>
      <c r="AY46" s="483"/>
      <c r="AZ46" s="483"/>
    </row>
    <row r="47" spans="1:52" ht="23.25" hidden="1" customHeight="1">
      <c r="A47" s="1534"/>
      <c r="B47" s="159" t="str">
        <f t="shared" si="38"/>
        <v>4F.3</v>
      </c>
      <c r="C47" s="2892" t="s">
        <v>3373</v>
      </c>
      <c r="D47" s="2892"/>
      <c r="E47" s="2892"/>
      <c r="F47" s="2892"/>
      <c r="G47" s="2892"/>
      <c r="H47" s="2892"/>
      <c r="I47" s="2892" t="s">
        <v>3374</v>
      </c>
      <c r="J47" s="2892"/>
      <c r="K47" s="2892"/>
      <c r="L47" s="2892"/>
      <c r="M47" s="2892"/>
      <c r="N47" s="2892"/>
      <c r="O47" s="2893"/>
      <c r="P47" s="130"/>
      <c r="Q47" s="130"/>
      <c r="U47" s="202" t="s">
        <v>195</v>
      </c>
      <c r="V47" s="203"/>
      <c r="W47" s="203"/>
      <c r="X47" s="203"/>
      <c r="Y47" s="203"/>
      <c r="Z47" s="203"/>
      <c r="AA47" s="203"/>
      <c r="AD47" s="124"/>
      <c r="AH47" s="124"/>
      <c r="AI47" s="483"/>
      <c r="AJ47" s="483"/>
      <c r="AK47" s="483"/>
      <c r="AL47" s="483"/>
      <c r="AM47" s="483"/>
      <c r="AN47" s="483"/>
      <c r="AO47" s="483"/>
      <c r="AP47" s="483"/>
      <c r="AQ47" s="483"/>
      <c r="AR47" s="483"/>
      <c r="AS47" s="483"/>
      <c r="AT47" s="483"/>
      <c r="AU47" s="483"/>
      <c r="AV47" s="483"/>
      <c r="AW47" s="483"/>
      <c r="AX47" s="483"/>
      <c r="AY47" s="483"/>
      <c r="AZ47" s="483"/>
    </row>
    <row r="48" spans="1:52" ht="35.25" hidden="1" customHeight="1">
      <c r="A48" s="1534"/>
      <c r="B48" s="159" t="str">
        <f t="shared" si="38"/>
        <v>4F.4</v>
      </c>
      <c r="C48" s="2892" t="s">
        <v>3375</v>
      </c>
      <c r="D48" s="2892"/>
      <c r="E48" s="2892"/>
      <c r="F48" s="2892"/>
      <c r="G48" s="2892"/>
      <c r="H48" s="2892"/>
      <c r="I48" s="2892" t="s">
        <v>3376</v>
      </c>
      <c r="J48" s="2892"/>
      <c r="K48" s="2892"/>
      <c r="L48" s="2892"/>
      <c r="M48" s="2892"/>
      <c r="N48" s="2892"/>
      <c r="O48" s="2893"/>
      <c r="P48" s="130"/>
      <c r="Q48" s="130"/>
      <c r="U48" s="202" t="s">
        <v>778</v>
      </c>
      <c r="V48" s="203"/>
      <c r="W48" s="203"/>
      <c r="X48" s="203"/>
      <c r="Y48" s="203"/>
      <c r="Z48" s="203"/>
      <c r="AA48" s="203"/>
      <c r="AD48" s="124"/>
      <c r="AE48" s="70"/>
      <c r="AF48" s="70"/>
      <c r="AG48" s="70"/>
      <c r="AH48" s="124"/>
      <c r="AI48" s="483"/>
      <c r="AJ48" s="483"/>
      <c r="AK48" s="483"/>
      <c r="AL48" s="483"/>
      <c r="AM48" s="483"/>
      <c r="AN48" s="483"/>
      <c r="AO48" s="483"/>
      <c r="AP48" s="483"/>
      <c r="AQ48" s="483"/>
      <c r="AR48" s="483"/>
      <c r="AS48" s="483"/>
      <c r="AT48" s="483"/>
      <c r="AU48" s="483"/>
      <c r="AV48" s="483"/>
      <c r="AW48" s="483"/>
      <c r="AX48" s="483"/>
      <c r="AY48" s="483"/>
      <c r="AZ48" s="483"/>
    </row>
    <row r="49" spans="1:52" ht="35.25" hidden="1" customHeight="1">
      <c r="A49" s="1534"/>
      <c r="B49" s="159" t="str">
        <f t="shared" si="38"/>
        <v>4F.5</v>
      </c>
      <c r="C49" s="2892" t="s">
        <v>3377</v>
      </c>
      <c r="D49" s="2892"/>
      <c r="E49" s="2892"/>
      <c r="F49" s="2892"/>
      <c r="G49" s="2892"/>
      <c r="H49" s="2892"/>
      <c r="I49" s="2892" t="s">
        <v>3378</v>
      </c>
      <c r="J49" s="2892"/>
      <c r="K49" s="2892"/>
      <c r="L49" s="2892"/>
      <c r="M49" s="2892"/>
      <c r="N49" s="2892"/>
      <c r="O49" s="2893"/>
      <c r="P49" s="130"/>
      <c r="Q49" s="130"/>
      <c r="U49" s="202" t="s">
        <v>778</v>
      </c>
      <c r="V49" s="203"/>
      <c r="W49" s="203"/>
      <c r="X49" s="203"/>
      <c r="Y49" s="203"/>
      <c r="Z49" s="203"/>
      <c r="AA49" s="203"/>
      <c r="AD49" s="124"/>
      <c r="AE49" s="163"/>
      <c r="AF49" s="163"/>
      <c r="AG49" s="163"/>
      <c r="AH49" s="124"/>
      <c r="AI49" s="483"/>
      <c r="AJ49" s="483"/>
      <c r="AK49" s="483"/>
      <c r="AL49" s="483"/>
      <c r="AM49" s="483"/>
      <c r="AN49" s="483"/>
      <c r="AO49" s="483"/>
      <c r="AP49" s="483"/>
      <c r="AQ49" s="483"/>
      <c r="AR49" s="483"/>
      <c r="AS49" s="483"/>
      <c r="AT49" s="483"/>
      <c r="AU49" s="483"/>
      <c r="AV49" s="483"/>
      <c r="AW49" s="483"/>
      <c r="AX49" s="483"/>
      <c r="AY49" s="483"/>
      <c r="AZ49" s="483"/>
    </row>
    <row r="50" spans="1:52" ht="35.25" hidden="1" customHeight="1">
      <c r="A50" s="1534"/>
      <c r="B50" s="159" t="str">
        <f t="shared" si="38"/>
        <v>4F.6</v>
      </c>
      <c r="C50" s="2892" t="s">
        <v>3379</v>
      </c>
      <c r="D50" s="2892"/>
      <c r="E50" s="2892"/>
      <c r="F50" s="2892"/>
      <c r="G50" s="2892"/>
      <c r="H50" s="2892"/>
      <c r="I50" s="2892" t="s">
        <v>3380</v>
      </c>
      <c r="J50" s="2892"/>
      <c r="K50" s="2892"/>
      <c r="L50" s="2892"/>
      <c r="M50" s="2892"/>
      <c r="N50" s="2892"/>
      <c r="O50" s="2893"/>
      <c r="P50" s="130"/>
      <c r="Q50" s="130"/>
      <c r="S50" s="118"/>
      <c r="T50" s="124"/>
      <c r="U50" s="202" t="s">
        <v>778</v>
      </c>
      <c r="V50" s="203"/>
      <c r="W50" s="203"/>
      <c r="X50" s="203"/>
      <c r="Y50" s="203"/>
      <c r="Z50" s="203"/>
      <c r="AA50" s="203"/>
      <c r="AB50" s="124"/>
      <c r="AD50" s="124"/>
      <c r="AE50" s="163"/>
      <c r="AF50" s="163"/>
      <c r="AG50" s="163"/>
      <c r="AH50" s="124"/>
      <c r="AI50" s="483"/>
      <c r="AJ50" s="483"/>
      <c r="AK50" s="483"/>
      <c r="AL50" s="483"/>
      <c r="AM50" s="483"/>
      <c r="AN50" s="483"/>
      <c r="AO50" s="483"/>
      <c r="AP50" s="483"/>
      <c r="AQ50" s="483"/>
      <c r="AR50" s="483"/>
      <c r="AS50" s="483"/>
      <c r="AT50" s="483"/>
      <c r="AU50" s="483"/>
      <c r="AV50" s="483"/>
      <c r="AW50" s="483"/>
      <c r="AX50" s="483"/>
      <c r="AY50" s="483"/>
      <c r="AZ50" s="483"/>
    </row>
    <row r="51" spans="1:52" s="483" customFormat="1" ht="13.5" hidden="1" customHeight="1">
      <c r="A51" s="1534"/>
      <c r="B51" s="159" t="str">
        <f>B14</f>
        <v>4F.7</v>
      </c>
      <c r="C51" s="2892" t="s">
        <v>3381</v>
      </c>
      <c r="D51" s="2892"/>
      <c r="E51" s="2892"/>
      <c r="F51" s="2892"/>
      <c r="G51" s="2892"/>
      <c r="H51" s="2892"/>
      <c r="I51" s="2892" t="s">
        <v>3382</v>
      </c>
      <c r="J51" s="2892"/>
      <c r="K51" s="2892"/>
      <c r="L51" s="2892"/>
      <c r="M51" s="2892"/>
      <c r="N51" s="2892"/>
      <c r="O51" s="2893"/>
      <c r="P51" s="130"/>
      <c r="Q51" s="130"/>
      <c r="R51" s="70"/>
      <c r="S51" s="118"/>
      <c r="T51" s="124"/>
      <c r="U51" s="202">
        <v>1</v>
      </c>
      <c r="V51" s="203"/>
      <c r="W51" s="203"/>
      <c r="X51" s="203"/>
      <c r="Y51" s="203"/>
      <c r="Z51" s="203"/>
      <c r="AA51" s="203"/>
      <c r="AB51" s="124"/>
      <c r="AC51" s="74"/>
      <c r="AD51" s="124"/>
      <c r="AE51" s="163"/>
      <c r="AF51" s="163"/>
      <c r="AG51" s="163"/>
      <c r="AH51" s="124"/>
    </row>
    <row r="52" spans="1:52" s="483" customFormat="1" ht="23.25" hidden="1" customHeight="1">
      <c r="A52" s="1534"/>
      <c r="B52" s="159" t="str">
        <f>B15</f>
        <v>4F.8</v>
      </c>
      <c r="C52" s="2892" t="s">
        <v>3383</v>
      </c>
      <c r="D52" s="2892"/>
      <c r="E52" s="2892"/>
      <c r="F52" s="2892"/>
      <c r="G52" s="2892"/>
      <c r="H52" s="2892"/>
      <c r="I52" s="2892" t="s">
        <v>3384</v>
      </c>
      <c r="J52" s="2892"/>
      <c r="K52" s="2892"/>
      <c r="L52" s="2892"/>
      <c r="M52" s="2892"/>
      <c r="N52" s="2892"/>
      <c r="O52" s="2893"/>
      <c r="P52" s="130"/>
      <c r="Q52" s="130"/>
      <c r="R52" s="70"/>
      <c r="S52" s="118"/>
      <c r="T52" s="124"/>
      <c r="U52" s="202" t="s">
        <v>195</v>
      </c>
      <c r="V52" s="203"/>
      <c r="W52" s="203"/>
      <c r="X52" s="203"/>
      <c r="Y52" s="203"/>
      <c r="Z52" s="203"/>
      <c r="AA52" s="203"/>
      <c r="AB52" s="124"/>
      <c r="AC52" s="74"/>
      <c r="AD52" s="124"/>
      <c r="AE52" s="163"/>
      <c r="AF52" s="163"/>
      <c r="AG52" s="163"/>
      <c r="AH52" s="124"/>
    </row>
    <row r="53" spans="1:52" s="483" customFormat="1" ht="35.25" hidden="1" customHeight="1">
      <c r="A53" s="1534"/>
      <c r="B53" s="159" t="str">
        <f t="shared" ref="B53:B54" si="39">B17</f>
        <v>4F.9</v>
      </c>
      <c r="C53" s="2892" t="s">
        <v>3385</v>
      </c>
      <c r="D53" s="2892"/>
      <c r="E53" s="2892"/>
      <c r="F53" s="2892"/>
      <c r="G53" s="2892"/>
      <c r="H53" s="2892"/>
      <c r="I53" s="2892" t="s">
        <v>3386</v>
      </c>
      <c r="J53" s="2892"/>
      <c r="K53" s="2892"/>
      <c r="L53" s="2892"/>
      <c r="M53" s="2892"/>
      <c r="N53" s="2892"/>
      <c r="O53" s="2893"/>
      <c r="P53" s="130"/>
      <c r="Q53" s="130"/>
      <c r="R53" s="70"/>
      <c r="S53" s="118"/>
      <c r="T53" s="124"/>
      <c r="U53" s="202" t="s">
        <v>778</v>
      </c>
      <c r="V53" s="203"/>
      <c r="W53" s="203"/>
      <c r="X53" s="203"/>
      <c r="Y53" s="203"/>
      <c r="Z53" s="203"/>
      <c r="AA53" s="203"/>
      <c r="AB53" s="124"/>
      <c r="AC53" s="74"/>
      <c r="AD53" s="124"/>
      <c r="AE53" s="163"/>
      <c r="AF53" s="163"/>
      <c r="AG53" s="163"/>
      <c r="AH53" s="124"/>
    </row>
    <row r="54" spans="1:52" s="483" customFormat="1" ht="45.75" hidden="1" customHeight="1">
      <c r="A54" s="1534"/>
      <c r="B54" s="159" t="str">
        <f t="shared" si="39"/>
        <v>4F.10</v>
      </c>
      <c r="C54" s="2892" t="s">
        <v>3387</v>
      </c>
      <c r="D54" s="2892"/>
      <c r="E54" s="2892"/>
      <c r="F54" s="2892"/>
      <c r="G54" s="2892"/>
      <c r="H54" s="2892"/>
      <c r="I54" s="2892" t="s">
        <v>3388</v>
      </c>
      <c r="J54" s="2892"/>
      <c r="K54" s="2892"/>
      <c r="L54" s="2892"/>
      <c r="M54" s="2892"/>
      <c r="N54" s="2892"/>
      <c r="O54" s="2893"/>
      <c r="P54" s="130"/>
      <c r="Q54" s="130"/>
      <c r="R54" s="70"/>
      <c r="S54" s="118"/>
      <c r="T54" s="124"/>
      <c r="U54" s="202"/>
      <c r="V54" s="203"/>
      <c r="W54" s="203"/>
      <c r="X54" s="203"/>
      <c r="Y54" s="203"/>
      <c r="Z54" s="203"/>
      <c r="AA54" s="203"/>
      <c r="AB54" s="124"/>
      <c r="AC54" s="74"/>
      <c r="AD54" s="124"/>
      <c r="AE54" s="163"/>
      <c r="AF54" s="163"/>
      <c r="AG54" s="163"/>
      <c r="AH54" s="124"/>
    </row>
    <row r="55" spans="1:52" ht="35.25" hidden="1" customHeight="1">
      <c r="A55" s="1534"/>
      <c r="B55" s="159" t="str">
        <f>B19</f>
        <v>4F.11</v>
      </c>
      <c r="C55" s="2892" t="s">
        <v>3389</v>
      </c>
      <c r="D55" s="2892"/>
      <c r="E55" s="2892"/>
      <c r="F55" s="2892"/>
      <c r="G55" s="2892"/>
      <c r="H55" s="2892"/>
      <c r="I55" s="2892" t="s">
        <v>3390</v>
      </c>
      <c r="J55" s="2892"/>
      <c r="K55" s="2892"/>
      <c r="L55" s="2892"/>
      <c r="M55" s="2892"/>
      <c r="N55" s="2892"/>
      <c r="O55" s="2893"/>
      <c r="P55" s="130"/>
      <c r="Q55" s="130"/>
      <c r="U55" s="202" t="s">
        <v>778</v>
      </c>
      <c r="V55" s="203"/>
      <c r="W55" s="203"/>
      <c r="X55" s="203"/>
      <c r="Y55" s="203"/>
      <c r="Z55" s="203"/>
      <c r="AA55" s="203"/>
      <c r="AE55" s="163"/>
      <c r="AF55" s="163"/>
      <c r="AG55" s="163"/>
      <c r="AI55" s="483"/>
      <c r="AJ55" s="483"/>
      <c r="AK55" s="483"/>
      <c r="AL55" s="483"/>
      <c r="AM55" s="483"/>
      <c r="AN55" s="483"/>
      <c r="AO55" s="483"/>
      <c r="AP55" s="483"/>
      <c r="AQ55" s="483"/>
      <c r="AR55" s="483"/>
      <c r="AS55" s="483"/>
      <c r="AT55" s="483"/>
      <c r="AU55" s="483"/>
      <c r="AV55" s="483"/>
      <c r="AW55" s="483"/>
      <c r="AX55" s="483"/>
      <c r="AY55" s="483"/>
      <c r="AZ55" s="483"/>
    </row>
    <row r="56" spans="1:52" s="483" customFormat="1" ht="36" hidden="1" customHeight="1">
      <c r="A56" s="1534"/>
      <c r="B56" s="159" t="str">
        <f>B20</f>
        <v>4F.12</v>
      </c>
      <c r="C56" s="2892" t="s">
        <v>3391</v>
      </c>
      <c r="D56" s="2892"/>
      <c r="E56" s="2892"/>
      <c r="F56" s="2892"/>
      <c r="G56" s="2892"/>
      <c r="H56" s="2892"/>
      <c r="I56" s="2892" t="s">
        <v>3392</v>
      </c>
      <c r="J56" s="2892"/>
      <c r="K56" s="2892"/>
      <c r="L56" s="2892"/>
      <c r="M56" s="2892"/>
      <c r="N56" s="2892"/>
      <c r="O56" s="2893"/>
      <c r="P56" s="130"/>
      <c r="Q56" s="130"/>
      <c r="R56" s="70"/>
      <c r="S56" s="70"/>
      <c r="T56" s="71"/>
      <c r="U56" s="202"/>
      <c r="V56" s="203"/>
      <c r="W56" s="203"/>
      <c r="X56" s="203"/>
      <c r="Y56" s="203"/>
      <c r="Z56" s="203"/>
      <c r="AA56" s="203"/>
      <c r="AB56" s="71"/>
      <c r="AC56" s="74"/>
      <c r="AD56" s="71"/>
      <c r="AE56" s="163"/>
      <c r="AF56" s="163"/>
      <c r="AG56" s="163"/>
      <c r="AH56" s="71"/>
    </row>
    <row r="57" spans="1:52" s="483" customFormat="1" ht="36" hidden="1" customHeight="1">
      <c r="A57" s="1534"/>
      <c r="B57" s="159" t="str">
        <f t="shared" ref="B57" si="40">B21</f>
        <v>4F.13</v>
      </c>
      <c r="C57" s="2892" t="s">
        <v>3393</v>
      </c>
      <c r="D57" s="2892"/>
      <c r="E57" s="2892"/>
      <c r="F57" s="2892"/>
      <c r="G57" s="2892"/>
      <c r="H57" s="2892"/>
      <c r="I57" s="2892" t="s">
        <v>3394</v>
      </c>
      <c r="J57" s="2892"/>
      <c r="K57" s="2892"/>
      <c r="L57" s="2892"/>
      <c r="M57" s="2892"/>
      <c r="N57" s="2892"/>
      <c r="O57" s="2893"/>
      <c r="P57" s="130"/>
      <c r="Q57" s="130"/>
      <c r="R57" s="70"/>
      <c r="S57" s="70"/>
      <c r="T57" s="71"/>
      <c r="U57" s="202" t="s">
        <v>195</v>
      </c>
      <c r="V57" s="203"/>
      <c r="W57" s="203"/>
      <c r="X57" s="203"/>
      <c r="Y57" s="203"/>
      <c r="Z57" s="203"/>
      <c r="AA57" s="203"/>
      <c r="AB57" s="71"/>
      <c r="AC57" s="74"/>
      <c r="AD57" s="71"/>
      <c r="AE57" s="163"/>
      <c r="AF57" s="163"/>
      <c r="AG57" s="163"/>
      <c r="AH57" s="71"/>
    </row>
    <row r="58" spans="1:52" s="483" customFormat="1" ht="24.75" hidden="1" customHeight="1">
      <c r="A58" s="1534"/>
      <c r="B58" s="159" t="str">
        <f>B23</f>
        <v>4F.14</v>
      </c>
      <c r="C58" s="2892" t="s">
        <v>3395</v>
      </c>
      <c r="D58" s="2892"/>
      <c r="E58" s="2892"/>
      <c r="F58" s="2892"/>
      <c r="G58" s="2892"/>
      <c r="H58" s="2892"/>
      <c r="I58" s="2892" t="s">
        <v>3396</v>
      </c>
      <c r="J58" s="2892"/>
      <c r="K58" s="2892"/>
      <c r="L58" s="2892"/>
      <c r="M58" s="2892"/>
      <c r="N58" s="2892"/>
      <c r="O58" s="2893"/>
      <c r="P58" s="130"/>
      <c r="Q58" s="130"/>
      <c r="R58" s="70"/>
      <c r="S58" s="70"/>
      <c r="T58" s="71"/>
      <c r="U58" s="202"/>
      <c r="V58" s="203"/>
      <c r="W58" s="203"/>
      <c r="X58" s="203"/>
      <c r="Y58" s="203"/>
      <c r="Z58" s="203"/>
      <c r="AA58" s="203"/>
      <c r="AB58" s="71"/>
      <c r="AC58" s="74"/>
      <c r="AD58" s="71"/>
      <c r="AE58" s="163"/>
      <c r="AF58" s="163"/>
      <c r="AG58" s="163"/>
      <c r="AH58" s="71"/>
    </row>
    <row r="59" spans="1:52" s="240" customFormat="1" ht="14.25" hidden="1" customHeight="1" thickBot="1">
      <c r="A59" s="1573"/>
      <c r="B59" s="204"/>
      <c r="C59" s="2857"/>
      <c r="D59" s="2857"/>
      <c r="E59" s="2857"/>
      <c r="F59" s="2857"/>
      <c r="G59" s="2857"/>
      <c r="H59" s="2857"/>
      <c r="I59" s="2857"/>
      <c r="J59" s="2857"/>
      <c r="K59" s="2857"/>
      <c r="L59" s="2857"/>
      <c r="M59" s="2857"/>
      <c r="N59" s="2857"/>
      <c r="O59" s="2857"/>
      <c r="P59" s="625"/>
      <c r="Q59" s="625"/>
      <c r="R59" s="192"/>
      <c r="S59" s="192"/>
      <c r="T59" s="71"/>
      <c r="U59" s="818"/>
      <c r="V59" s="801"/>
      <c r="W59" s="801"/>
      <c r="X59" s="801"/>
      <c r="Y59" s="801"/>
      <c r="Z59" s="801"/>
      <c r="AA59" s="801"/>
      <c r="AB59" s="71"/>
      <c r="AC59" s="74"/>
      <c r="AD59" s="71"/>
      <c r="AE59" s="318"/>
      <c r="AF59" s="318"/>
      <c r="AG59" s="318"/>
      <c r="AH59" s="71"/>
    </row>
    <row r="60" spans="1:52" s="240" customFormat="1" ht="14.5" hidden="1" thickBot="1">
      <c r="A60" s="1573"/>
      <c r="B60" s="156" t="s">
        <v>191</v>
      </c>
      <c r="C60" s="3052" t="s">
        <v>192</v>
      </c>
      <c r="D60" s="3052"/>
      <c r="E60" s="3052"/>
      <c r="F60" s="3052"/>
      <c r="G60" s="3052"/>
      <c r="H60" s="3052"/>
      <c r="I60" s="3052"/>
      <c r="J60" s="3052"/>
      <c r="K60" s="3052"/>
      <c r="L60" s="3052"/>
      <c r="M60" s="3052"/>
      <c r="N60" s="3052"/>
      <c r="O60" s="3054"/>
      <c r="P60" s="625"/>
      <c r="Q60" s="625"/>
      <c r="R60" s="192"/>
      <c r="S60" s="192"/>
      <c r="T60" s="71"/>
      <c r="U60" s="818"/>
      <c r="V60" s="801"/>
      <c r="W60" s="801"/>
      <c r="X60" s="801"/>
      <c r="Y60" s="801"/>
      <c r="Z60" s="801"/>
      <c r="AA60" s="801"/>
      <c r="AB60" s="71"/>
      <c r="AC60" s="74"/>
      <c r="AD60" s="71"/>
      <c r="AE60" s="318"/>
      <c r="AF60" s="318"/>
      <c r="AG60" s="318"/>
      <c r="AH60" s="71"/>
    </row>
    <row r="61" spans="1:52" ht="58.5" hidden="1" customHeight="1">
      <c r="A61" s="1534"/>
      <c r="B61" s="181" t="str">
        <f>B26</f>
        <v>4F.15</v>
      </c>
      <c r="C61" s="2910" t="s">
        <v>3397</v>
      </c>
      <c r="D61" s="2910"/>
      <c r="E61" s="2910"/>
      <c r="F61" s="2910"/>
      <c r="G61" s="2910"/>
      <c r="H61" s="2910"/>
      <c r="I61" s="2910"/>
      <c r="J61" s="2910"/>
      <c r="K61" s="2910"/>
      <c r="L61" s="2910"/>
      <c r="M61" s="2910"/>
      <c r="N61" s="2910"/>
      <c r="O61" s="2911"/>
      <c r="P61" s="130"/>
      <c r="Q61" s="130"/>
      <c r="U61" s="202" t="s">
        <v>1338</v>
      </c>
      <c r="V61" s="203"/>
      <c r="W61" s="203"/>
      <c r="X61" s="203"/>
      <c r="Y61" s="203"/>
      <c r="Z61" s="203"/>
      <c r="AA61" s="203"/>
      <c r="AE61" s="163"/>
      <c r="AF61" s="163"/>
      <c r="AG61" s="163"/>
      <c r="AI61" s="483"/>
      <c r="AJ61" s="483"/>
      <c r="AK61" s="483"/>
      <c r="AL61" s="483"/>
      <c r="AM61" s="483"/>
      <c r="AN61" s="483"/>
      <c r="AO61" s="483"/>
      <c r="AP61" s="483"/>
      <c r="AQ61" s="483"/>
      <c r="AR61" s="483"/>
      <c r="AS61" s="483"/>
      <c r="AT61" s="483"/>
      <c r="AU61" s="483"/>
      <c r="AV61" s="483"/>
      <c r="AW61" s="483"/>
      <c r="AX61" s="483"/>
      <c r="AY61" s="483"/>
      <c r="AZ61" s="483"/>
    </row>
    <row r="62" spans="1:52" ht="13.5" hidden="1" customHeight="1">
      <c r="A62" s="1534"/>
      <c r="B62" s="159" t="str">
        <f t="shared" ref="B62:B66" si="41">B27</f>
        <v>4F.16</v>
      </c>
      <c r="C62" s="2892" t="s">
        <v>3398</v>
      </c>
      <c r="D62" s="2892"/>
      <c r="E62" s="2892"/>
      <c r="F62" s="2892"/>
      <c r="G62" s="2892"/>
      <c r="H62" s="2892"/>
      <c r="I62" s="2892"/>
      <c r="J62" s="2892"/>
      <c r="K62" s="2892"/>
      <c r="L62" s="2892"/>
      <c r="M62" s="2892"/>
      <c r="N62" s="2892"/>
      <c r="O62" s="2893"/>
      <c r="P62" s="130"/>
      <c r="Q62" s="130"/>
      <c r="U62" s="206">
        <v>1</v>
      </c>
      <c r="V62" s="203"/>
      <c r="W62" s="203"/>
      <c r="X62" s="203"/>
      <c r="Y62" s="203"/>
      <c r="Z62" s="203"/>
      <c r="AA62" s="203"/>
      <c r="AE62" s="178"/>
      <c r="AF62" s="178"/>
      <c r="AG62" s="178"/>
      <c r="AI62" s="483"/>
      <c r="AJ62" s="483"/>
      <c r="AK62" s="483"/>
      <c r="AL62" s="483"/>
      <c r="AM62" s="483"/>
      <c r="AN62" s="483"/>
      <c r="AO62" s="483"/>
      <c r="AP62" s="483"/>
      <c r="AQ62" s="483"/>
      <c r="AR62" s="483"/>
      <c r="AS62" s="483"/>
      <c r="AT62" s="483"/>
      <c r="AU62" s="483"/>
      <c r="AV62" s="483"/>
      <c r="AW62" s="483"/>
      <c r="AX62" s="483"/>
      <c r="AY62" s="483"/>
      <c r="AZ62" s="483"/>
    </row>
    <row r="63" spans="1:52" ht="13.5" hidden="1" customHeight="1">
      <c r="A63" s="1534"/>
      <c r="B63" s="159" t="str">
        <f t="shared" si="41"/>
        <v>4F.17</v>
      </c>
      <c r="C63" s="2892" t="s">
        <v>3399</v>
      </c>
      <c r="D63" s="2892"/>
      <c r="E63" s="2892"/>
      <c r="F63" s="2892"/>
      <c r="G63" s="2892"/>
      <c r="H63" s="2892"/>
      <c r="I63" s="2892"/>
      <c r="J63" s="2892"/>
      <c r="K63" s="2892"/>
      <c r="L63" s="2892"/>
      <c r="M63" s="2892"/>
      <c r="N63" s="2892"/>
      <c r="O63" s="2893"/>
      <c r="P63" s="130"/>
      <c r="Q63" s="130"/>
      <c r="U63" s="207">
        <v>1</v>
      </c>
      <c r="V63" s="203"/>
      <c r="W63" s="203"/>
      <c r="X63" s="203"/>
      <c r="Y63" s="203"/>
      <c r="Z63" s="203"/>
      <c r="AA63" s="203"/>
      <c r="AE63" s="178"/>
      <c r="AF63" s="178"/>
      <c r="AG63" s="178"/>
      <c r="AI63" s="483"/>
      <c r="AJ63" s="483"/>
      <c r="AK63" s="483"/>
      <c r="AL63" s="483"/>
      <c r="AM63" s="483"/>
      <c r="AN63" s="483"/>
      <c r="AO63" s="483"/>
      <c r="AP63" s="483"/>
      <c r="AQ63" s="483"/>
      <c r="AR63" s="483"/>
      <c r="AS63" s="483"/>
      <c r="AT63" s="483"/>
      <c r="AU63" s="483"/>
      <c r="AV63" s="483"/>
      <c r="AW63" s="483"/>
      <c r="AX63" s="483"/>
      <c r="AY63" s="483"/>
      <c r="AZ63" s="483"/>
    </row>
    <row r="64" spans="1:52" ht="46.5" hidden="1" customHeight="1">
      <c r="A64" s="1534"/>
      <c r="B64" s="159" t="str">
        <f t="shared" si="41"/>
        <v>4F.18</v>
      </c>
      <c r="C64" s="2892" t="s">
        <v>3400</v>
      </c>
      <c r="D64" s="2892"/>
      <c r="E64" s="2892"/>
      <c r="F64" s="2892"/>
      <c r="G64" s="2892"/>
      <c r="H64" s="2892"/>
      <c r="I64" s="2892"/>
      <c r="J64" s="2892"/>
      <c r="K64" s="2892"/>
      <c r="L64" s="2892"/>
      <c r="M64" s="2892"/>
      <c r="N64" s="2892"/>
      <c r="O64" s="2893"/>
      <c r="P64" s="130"/>
      <c r="Q64" s="130"/>
      <c r="U64" s="202" t="s">
        <v>2212</v>
      </c>
      <c r="V64" s="203"/>
      <c r="W64" s="203"/>
      <c r="X64" s="203"/>
      <c r="Y64" s="203"/>
      <c r="Z64" s="203"/>
      <c r="AA64" s="203"/>
      <c r="AE64" s="110"/>
      <c r="AF64" s="110"/>
      <c r="AG64" s="110"/>
      <c r="AI64" s="483"/>
      <c r="AJ64" s="483"/>
      <c r="AK64" s="483"/>
      <c r="AL64" s="483"/>
      <c r="AM64" s="483"/>
      <c r="AN64" s="483"/>
      <c r="AO64" s="483"/>
      <c r="AP64" s="483"/>
      <c r="AQ64" s="483"/>
      <c r="AR64" s="483"/>
      <c r="AS64" s="483"/>
      <c r="AT64" s="483"/>
      <c r="AU64" s="483"/>
      <c r="AV64" s="483"/>
      <c r="AW64" s="483"/>
      <c r="AX64" s="483"/>
      <c r="AY64" s="483"/>
      <c r="AZ64" s="483"/>
    </row>
    <row r="65" spans="1:52" ht="13.5" hidden="1" customHeight="1">
      <c r="A65" s="1534"/>
      <c r="B65" s="159" t="str">
        <f t="shared" si="41"/>
        <v>4F.19</v>
      </c>
      <c r="C65" s="2892" t="s">
        <v>3401</v>
      </c>
      <c r="D65" s="2892"/>
      <c r="E65" s="2892"/>
      <c r="F65" s="2892"/>
      <c r="G65" s="2892"/>
      <c r="H65" s="2892"/>
      <c r="I65" s="2892"/>
      <c r="J65" s="2892"/>
      <c r="K65" s="2892"/>
      <c r="L65" s="2892"/>
      <c r="M65" s="2892"/>
      <c r="N65" s="2892"/>
      <c r="O65" s="2893"/>
      <c r="P65" s="130"/>
      <c r="Q65" s="130"/>
      <c r="U65" s="206">
        <v>1</v>
      </c>
      <c r="V65" s="203"/>
      <c r="W65" s="203"/>
      <c r="X65" s="203"/>
      <c r="Y65" s="203"/>
      <c r="Z65" s="203"/>
      <c r="AA65" s="203"/>
      <c r="AE65" s="110"/>
      <c r="AF65" s="110"/>
      <c r="AG65" s="110"/>
      <c r="AI65" s="483"/>
      <c r="AJ65" s="483"/>
      <c r="AK65" s="483"/>
      <c r="AL65" s="483"/>
      <c r="AM65" s="483"/>
      <c r="AN65" s="483"/>
      <c r="AO65" s="483"/>
      <c r="AP65" s="483"/>
      <c r="AQ65" s="483"/>
      <c r="AR65" s="483"/>
      <c r="AS65" s="483"/>
      <c r="AT65" s="483"/>
      <c r="AU65" s="483"/>
      <c r="AV65" s="483"/>
      <c r="AW65" s="483"/>
      <c r="AX65" s="483"/>
      <c r="AY65" s="483"/>
      <c r="AZ65" s="483"/>
    </row>
    <row r="66" spans="1:52" ht="14.25" hidden="1" customHeight="1" thickBot="1">
      <c r="A66" s="1534"/>
      <c r="B66" s="183" t="str">
        <f t="shared" si="41"/>
        <v>4F.20</v>
      </c>
      <c r="C66" s="2912" t="s">
        <v>3402</v>
      </c>
      <c r="D66" s="2912"/>
      <c r="E66" s="2912"/>
      <c r="F66" s="2912"/>
      <c r="G66" s="2912"/>
      <c r="H66" s="2912"/>
      <c r="I66" s="2912"/>
      <c r="J66" s="2912"/>
      <c r="K66" s="2912"/>
      <c r="L66" s="2912"/>
      <c r="M66" s="2912"/>
      <c r="N66" s="2912"/>
      <c r="O66" s="2913"/>
      <c r="P66" s="130"/>
      <c r="Q66" s="130"/>
      <c r="U66" s="207">
        <v>1</v>
      </c>
      <c r="V66" s="203"/>
      <c r="W66" s="203"/>
      <c r="X66" s="203"/>
      <c r="Y66" s="203"/>
      <c r="Z66" s="203"/>
      <c r="AA66" s="203"/>
      <c r="AE66" s="178"/>
      <c r="AF66" s="178"/>
      <c r="AG66" s="178"/>
      <c r="AI66" s="483"/>
      <c r="AJ66" s="483"/>
      <c r="AK66" s="483"/>
      <c r="AL66" s="483"/>
      <c r="AM66" s="483"/>
      <c r="AN66" s="483"/>
      <c r="AO66" s="483"/>
      <c r="AP66" s="483"/>
      <c r="AQ66" s="483"/>
      <c r="AR66" s="483"/>
      <c r="AS66" s="483"/>
      <c r="AT66" s="483"/>
      <c r="AU66" s="483"/>
      <c r="AV66" s="483"/>
      <c r="AW66" s="483"/>
      <c r="AX66" s="483"/>
      <c r="AY66" s="483"/>
      <c r="AZ66" s="483"/>
    </row>
    <row r="67" spans="1:52" s="240" customFormat="1" hidden="1">
      <c r="A67" s="1573"/>
      <c r="B67" s="204"/>
      <c r="C67" s="3086"/>
      <c r="D67" s="3086"/>
      <c r="E67" s="3086"/>
      <c r="F67" s="3086"/>
      <c r="G67" s="3086"/>
      <c r="H67" s="3086"/>
      <c r="I67" s="3086"/>
      <c r="P67" s="130"/>
      <c r="Q67" s="130"/>
      <c r="R67" s="70"/>
      <c r="S67" s="70"/>
      <c r="T67" s="71"/>
      <c r="U67" s="203"/>
      <c r="V67" s="203"/>
      <c r="W67" s="203"/>
      <c r="X67" s="203"/>
      <c r="Y67" s="203"/>
      <c r="Z67" s="203"/>
      <c r="AA67" s="203"/>
      <c r="AB67" s="71"/>
      <c r="AC67" s="74"/>
      <c r="AD67" s="71"/>
      <c r="AE67" s="110"/>
      <c r="AF67" s="110"/>
      <c r="AG67" s="110"/>
      <c r="AH67" s="71"/>
    </row>
  </sheetData>
  <sheetProtection algorithmName="SHA-512" hashValue="OIvl4gj9zrmpLrblDsFKSKzPINaelhrYWzz6cVOyPY+O02Y1UlGNTnXDllNSxODzEKapHQc6oq/NT3it4zjFag==" saltValue="2S2lrA044nsqwmQOGXwwPA==" spinCount="100000" sheet="1" objects="1" scenarios="1"/>
  <mergeCells count="54">
    <mergeCell ref="C54:H54"/>
    <mergeCell ref="I54:O54"/>
    <mergeCell ref="C56:H56"/>
    <mergeCell ref="I56:O56"/>
    <mergeCell ref="C58:H58"/>
    <mergeCell ref="I58:O58"/>
    <mergeCell ref="C51:H51"/>
    <mergeCell ref="I51:O51"/>
    <mergeCell ref="C52:H52"/>
    <mergeCell ref="I52:O52"/>
    <mergeCell ref="C53:H53"/>
    <mergeCell ref="I53:O53"/>
    <mergeCell ref="C67:I67"/>
    <mergeCell ref="C55:H55"/>
    <mergeCell ref="I55:O55"/>
    <mergeCell ref="C57:H57"/>
    <mergeCell ref="I57:O57"/>
    <mergeCell ref="C60:O60"/>
    <mergeCell ref="C61:O61"/>
    <mergeCell ref="C62:O62"/>
    <mergeCell ref="C63:O63"/>
    <mergeCell ref="C64:O64"/>
    <mergeCell ref="C65:O65"/>
    <mergeCell ref="C66:O66"/>
    <mergeCell ref="C48:H48"/>
    <mergeCell ref="I48:O48"/>
    <mergeCell ref="C49:H49"/>
    <mergeCell ref="I49:O49"/>
    <mergeCell ref="C50:H50"/>
    <mergeCell ref="I50:O50"/>
    <mergeCell ref="C45:H45"/>
    <mergeCell ref="I45:O45"/>
    <mergeCell ref="C46:H46"/>
    <mergeCell ref="I46:O46"/>
    <mergeCell ref="C47:H47"/>
    <mergeCell ref="I47:O47"/>
    <mergeCell ref="Q3:Q4"/>
    <mergeCell ref="R3:R4"/>
    <mergeCell ref="U5:AA5"/>
    <mergeCell ref="B33:C33"/>
    <mergeCell ref="C44:H44"/>
    <mergeCell ref="I44:O44"/>
    <mergeCell ref="B3:C4"/>
    <mergeCell ref="E3:E4"/>
    <mergeCell ref="F3:F4"/>
    <mergeCell ref="G3:J3"/>
    <mergeCell ref="K3:N3"/>
    <mergeCell ref="O3:O4"/>
    <mergeCell ref="BN3:BN4"/>
    <mergeCell ref="BA3:BB4"/>
    <mergeCell ref="BD3:BD4"/>
    <mergeCell ref="BE3:BE4"/>
    <mergeCell ref="BF3:BI3"/>
    <mergeCell ref="BJ3:BM3"/>
  </mergeCells>
  <conditionalFormatting sqref="R7:R11">
    <cfRule type="cellIs" dxfId="278" priority="48" operator="equal">
      <formula>0</formula>
    </cfRule>
  </conditionalFormatting>
  <conditionalFormatting sqref="R26:R27 R29:R30">
    <cfRule type="cellIs" dxfId="277" priority="47" operator="equal">
      <formula>0</formula>
    </cfRule>
  </conditionalFormatting>
  <conditionalFormatting sqref="R19">
    <cfRule type="cellIs" dxfId="276" priority="46" operator="equal">
      <formula>0</formula>
    </cfRule>
  </conditionalFormatting>
  <conditionalFormatting sqref="Q7:Q12 Q17:Q22 Q14:Q15">
    <cfRule type="cellIs" dxfId="275" priority="45" operator="equal">
      <formula>0</formula>
    </cfRule>
  </conditionalFormatting>
  <conditionalFormatting sqref="R14">
    <cfRule type="cellIs" dxfId="274" priority="39" operator="equal">
      <formula>0</formula>
    </cfRule>
  </conditionalFormatting>
  <conditionalFormatting sqref="R17">
    <cfRule type="cellIs" dxfId="273" priority="38" operator="equal">
      <formula>0</formula>
    </cfRule>
  </conditionalFormatting>
  <conditionalFormatting sqref="Q23">
    <cfRule type="cellIs" dxfId="272" priority="27" operator="equal">
      <formula>0</formula>
    </cfRule>
  </conditionalFormatting>
  <conditionalFormatting sqref="R23">
    <cfRule type="cellIs" dxfId="271" priority="24" operator="equal">
      <formula>0</formula>
    </cfRule>
  </conditionalFormatting>
  <conditionalFormatting sqref="R18">
    <cfRule type="cellIs" dxfId="270" priority="23" operator="equal">
      <formula>0</formula>
    </cfRule>
  </conditionalFormatting>
  <conditionalFormatting sqref="R20">
    <cfRule type="cellIs" dxfId="269" priority="22"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landscape" r:id="rId1"/>
  <headerFooter>
    <oddHeader>&amp;L&amp;9&amp;K857362Page &amp;P of &amp;N&amp;C&amp;9 &amp;K8573622019-20 annual performance report tables&amp;R&amp;G</oddHeader>
    <oddFooter>&amp;L&amp;9&amp;K857362&amp;A&amp;R&amp;9&amp;K857362Printed: &amp;D &amp;T</oddFoot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88" id="{A27A2449-78A9-46CA-84AF-963CC7EFB43C}">
            <xm:f>Validation!$H$3=1</xm:f>
            <x14:dxf>
              <fill>
                <patternFill>
                  <bgColor rgb="FFE0DCD8"/>
                </patternFill>
              </fill>
            </x14:dxf>
          </x14:cfRule>
          <xm:sqref>H7:I9 H11:I12 L7:M12 H19:I20 L19:M20</xm:sqref>
        </x14:conditionalFormatting>
        <x14:conditionalFormatting xmlns:xm="http://schemas.microsoft.com/office/excel/2006/main">
          <x14:cfRule type="expression" priority="43" id="{70BEB36D-B457-4FBB-9ACF-886B306E1443}">
            <xm:f>Validation!$H$3=1</xm:f>
            <x14:dxf>
              <fill>
                <patternFill>
                  <bgColor rgb="FFE0DCD8"/>
                </patternFill>
              </fill>
            </x14:dxf>
          </x14:cfRule>
          <xm:sqref>H14:I14</xm:sqref>
        </x14:conditionalFormatting>
        <x14:conditionalFormatting xmlns:xm="http://schemas.microsoft.com/office/excel/2006/main">
          <x14:cfRule type="expression" priority="42" id="{E92D9CAA-9A1D-4158-B8D1-0A6A2658F2BA}">
            <xm:f>Validation!$H$3=1</xm:f>
            <x14:dxf>
              <fill>
                <patternFill>
                  <bgColor rgb="FFE0DCD8"/>
                </patternFill>
              </fill>
            </x14:dxf>
          </x14:cfRule>
          <xm:sqref>L14:M14</xm:sqref>
        </x14:conditionalFormatting>
        <x14:conditionalFormatting xmlns:xm="http://schemas.microsoft.com/office/excel/2006/main">
          <x14:cfRule type="expression" priority="41" id="{2440596B-EE25-488D-A59D-26FB79722B14}">
            <xm:f>Validation!$H$3=1</xm:f>
            <x14:dxf>
              <fill>
                <patternFill>
                  <bgColor rgb="FFE0DCD8"/>
                </patternFill>
              </fill>
            </x14:dxf>
          </x14:cfRule>
          <xm:sqref>H17:I18</xm:sqref>
        </x14:conditionalFormatting>
        <x14:conditionalFormatting xmlns:xm="http://schemas.microsoft.com/office/excel/2006/main">
          <x14:cfRule type="expression" priority="40" id="{31B9535A-F721-4B2C-BF91-6FBE5FCF7088}">
            <xm:f>Validation!$H$3=1</xm:f>
            <x14:dxf>
              <fill>
                <patternFill>
                  <bgColor rgb="FFE0DCD8"/>
                </patternFill>
              </fill>
            </x14:dxf>
          </x14:cfRule>
          <xm:sqref>L17:M18</xm:sqref>
        </x14:conditionalFormatting>
        <x14:conditionalFormatting xmlns:xm="http://schemas.microsoft.com/office/excel/2006/main">
          <x14:cfRule type="expression" priority="35" id="{2BC1EE0A-1451-4D8F-99CE-6F50BB86B83B}">
            <xm:f>Validation!$H$3=1</xm:f>
            <x14:dxf>
              <fill>
                <patternFill>
                  <bgColor rgb="FFE0DCD8"/>
                </patternFill>
              </fill>
            </x14:dxf>
          </x14:cfRule>
          <xm:sqref>H15:I15</xm:sqref>
        </x14:conditionalFormatting>
        <x14:conditionalFormatting xmlns:xm="http://schemas.microsoft.com/office/excel/2006/main">
          <x14:cfRule type="expression" priority="28" id="{DA9F2400-972B-4E48-B358-AC217E641D37}">
            <xm:f>Validation!$H$3=1</xm:f>
            <x14:dxf>
              <fill>
                <patternFill>
                  <bgColor rgb="FFE0DCD8"/>
                </patternFill>
              </fill>
            </x14:dxf>
          </x14:cfRule>
          <xm:sqref>L21:M21</xm:sqref>
        </x14:conditionalFormatting>
        <x14:conditionalFormatting xmlns:xm="http://schemas.microsoft.com/office/excel/2006/main">
          <x14:cfRule type="expression" priority="33" id="{C63392D3-CF87-4FAE-91E3-C255A6E68688}">
            <xm:f>Validation!$H$3=1</xm:f>
            <x14:dxf>
              <fill>
                <patternFill>
                  <bgColor rgb="FFE0DCD8"/>
                </patternFill>
              </fill>
            </x14:dxf>
          </x14:cfRule>
          <xm:sqref>L15:M15</xm:sqref>
        </x14:conditionalFormatting>
        <x14:conditionalFormatting xmlns:xm="http://schemas.microsoft.com/office/excel/2006/main">
          <x14:cfRule type="expression" priority="26" id="{65624470-799C-42EE-8A60-FDD427BD90B0}">
            <xm:f>Validation!$H$3=1</xm:f>
            <x14:dxf>
              <fill>
                <patternFill>
                  <bgColor rgb="FFE0DCD8"/>
                </patternFill>
              </fill>
            </x14:dxf>
          </x14:cfRule>
          <xm:sqref>H23:I23</xm:sqref>
        </x14:conditionalFormatting>
        <x14:conditionalFormatting xmlns:xm="http://schemas.microsoft.com/office/excel/2006/main">
          <x14:cfRule type="expression" priority="29" id="{25114A05-44B0-495E-94C5-E95864F77178}">
            <xm:f>Validation!$H$3=1</xm:f>
            <x14:dxf>
              <fill>
                <patternFill>
                  <bgColor rgb="FFE0DCD8"/>
                </patternFill>
              </fill>
            </x14:dxf>
          </x14:cfRule>
          <xm:sqref>H21:I21</xm:sqref>
        </x14:conditionalFormatting>
        <x14:conditionalFormatting xmlns:xm="http://schemas.microsoft.com/office/excel/2006/main">
          <x14:cfRule type="expression" priority="25" id="{EB53D5A5-999F-4C59-AC4D-9357037EB26A}">
            <xm:f>Validation!$H$3=1</xm:f>
            <x14:dxf>
              <fill>
                <patternFill>
                  <bgColor rgb="FFE0DCD8"/>
                </patternFill>
              </fill>
            </x14:dxf>
          </x14:cfRule>
          <xm:sqref>L23:M23</xm:sqref>
        </x14:conditionalFormatting>
        <x14:conditionalFormatting xmlns:xm="http://schemas.microsoft.com/office/excel/2006/main">
          <x14:cfRule type="expression" priority="21" id="{9B92C895-1D02-4289-89A5-78F8B3242406}">
            <xm:f>Validation!$H$3=1</xm:f>
            <x14:dxf>
              <fill>
                <patternFill>
                  <bgColor rgb="FFE0DCD8"/>
                </patternFill>
              </fill>
            </x14:dxf>
          </x14:cfRule>
          <xm:sqref>BG7:BH9 BG11:BH12 BK7:BL12</xm:sqref>
        </x14:conditionalFormatting>
        <x14:conditionalFormatting xmlns:xm="http://schemas.microsoft.com/office/excel/2006/main">
          <x14:cfRule type="expression" priority="20" id="{7B920EE8-923E-4779-A177-FB0D8DADA22F}">
            <xm:f>Validation!$H$3=1</xm:f>
            <x14:dxf>
              <fill>
                <patternFill>
                  <bgColor rgb="FFE0DCD8"/>
                </patternFill>
              </fill>
            </x14:dxf>
          </x14:cfRule>
          <xm:sqref>BG14:BH14</xm:sqref>
        </x14:conditionalFormatting>
        <x14:conditionalFormatting xmlns:xm="http://schemas.microsoft.com/office/excel/2006/main">
          <x14:cfRule type="expression" priority="19" id="{56A4B9C4-10B6-4406-A8C1-9175B9E32B16}">
            <xm:f>Validation!$H$3=1</xm:f>
            <x14:dxf>
              <fill>
                <patternFill>
                  <bgColor rgb="FFE0DCD8"/>
                </patternFill>
              </fill>
            </x14:dxf>
          </x14:cfRule>
          <xm:sqref>BK14:BL14</xm:sqref>
        </x14:conditionalFormatting>
        <x14:conditionalFormatting xmlns:xm="http://schemas.microsoft.com/office/excel/2006/main">
          <x14:cfRule type="expression" priority="16" id="{C149F81B-9D42-4BFC-9639-9970677A97D9}">
            <xm:f>Validation!$H$3=1</xm:f>
            <x14:dxf>
              <fill>
                <patternFill>
                  <bgColor rgb="FFE0DCD8"/>
                </patternFill>
              </fill>
            </x14:dxf>
          </x14:cfRule>
          <xm:sqref>BG15:BH15</xm:sqref>
        </x14:conditionalFormatting>
        <x14:conditionalFormatting xmlns:xm="http://schemas.microsoft.com/office/excel/2006/main">
          <x14:cfRule type="expression" priority="15" id="{1D57FE2A-DB85-4708-92E9-172B543FE2E1}">
            <xm:f>Validation!$H$3=1</xm:f>
            <x14:dxf>
              <fill>
                <patternFill>
                  <bgColor rgb="FFE0DCD8"/>
                </patternFill>
              </fill>
            </x14:dxf>
          </x14:cfRule>
          <xm:sqref>BK15:BL15</xm:sqref>
        </x14:conditionalFormatting>
        <x14:conditionalFormatting xmlns:xm="http://schemas.microsoft.com/office/excel/2006/main">
          <x14:cfRule type="expression" priority="7" id="{D1E8AC66-1914-4CA1-9CDC-CC82B258F98E}">
            <xm:f>Validation!$H$3=1</xm:f>
            <x14:dxf>
              <fill>
                <patternFill>
                  <bgColor rgb="FFE0DCD8"/>
                </patternFill>
              </fill>
            </x14:dxf>
          </x14:cfRule>
          <xm:sqref>BG19:BH20 BK19:BL20</xm:sqref>
        </x14:conditionalFormatting>
        <x14:conditionalFormatting xmlns:xm="http://schemas.microsoft.com/office/excel/2006/main">
          <x14:cfRule type="expression" priority="6" id="{75C461F6-C78F-42EA-944A-8701ED199A51}">
            <xm:f>Validation!$H$3=1</xm:f>
            <x14:dxf>
              <fill>
                <patternFill>
                  <bgColor rgb="FFE0DCD8"/>
                </patternFill>
              </fill>
            </x14:dxf>
          </x14:cfRule>
          <xm:sqref>BG17:BH18</xm:sqref>
        </x14:conditionalFormatting>
        <x14:conditionalFormatting xmlns:xm="http://schemas.microsoft.com/office/excel/2006/main">
          <x14:cfRule type="expression" priority="5" id="{DFEE5036-0727-4C4A-A707-2057D5DEF1B0}">
            <xm:f>Validation!$H$3=1</xm:f>
            <x14:dxf>
              <fill>
                <patternFill>
                  <bgColor rgb="FFE0DCD8"/>
                </patternFill>
              </fill>
            </x14:dxf>
          </x14:cfRule>
          <xm:sqref>BK17:BL18</xm:sqref>
        </x14:conditionalFormatting>
        <x14:conditionalFormatting xmlns:xm="http://schemas.microsoft.com/office/excel/2006/main">
          <x14:cfRule type="expression" priority="3" id="{B91BF3AB-55F8-4E5F-A1DA-301326FE88F1}">
            <xm:f>Validation!$H$3=1</xm:f>
            <x14:dxf>
              <fill>
                <patternFill>
                  <bgColor rgb="FFE0DCD8"/>
                </patternFill>
              </fill>
            </x14:dxf>
          </x14:cfRule>
          <xm:sqref>BK21:BL21</xm:sqref>
        </x14:conditionalFormatting>
        <x14:conditionalFormatting xmlns:xm="http://schemas.microsoft.com/office/excel/2006/main">
          <x14:cfRule type="expression" priority="2" id="{F17C1963-2684-4CBB-8C8B-78ECE53CB565}">
            <xm:f>Validation!$H$3=1</xm:f>
            <x14:dxf>
              <fill>
                <patternFill>
                  <bgColor rgb="FFE0DCD8"/>
                </patternFill>
              </fill>
            </x14:dxf>
          </x14:cfRule>
          <xm:sqref>BG23:BH23</xm:sqref>
        </x14:conditionalFormatting>
        <x14:conditionalFormatting xmlns:xm="http://schemas.microsoft.com/office/excel/2006/main">
          <x14:cfRule type="expression" priority="4" id="{64A441F4-14D6-4146-96F5-299D96CF636B}">
            <xm:f>Validation!$H$3=1</xm:f>
            <x14:dxf>
              <fill>
                <patternFill>
                  <bgColor rgb="FFE0DCD8"/>
                </patternFill>
              </fill>
            </x14:dxf>
          </x14:cfRule>
          <xm:sqref>BG21:BH21</xm:sqref>
        </x14:conditionalFormatting>
        <x14:conditionalFormatting xmlns:xm="http://schemas.microsoft.com/office/excel/2006/main">
          <x14:cfRule type="expression" priority="1" id="{68DAF1F0-C9D4-4C3A-9363-497123D53092}">
            <xm:f>Validation!$H$3=1</xm:f>
            <x14:dxf>
              <fill>
                <patternFill>
                  <bgColor rgb="FFE0DCD8"/>
                </patternFill>
              </fill>
            </x14:dxf>
          </x14:cfRule>
          <xm:sqref>BK23:BL23</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tabColor rgb="FF92D050"/>
    <pageSetUpPr fitToPage="1"/>
  </sheetPr>
  <dimension ref="A1:AL46"/>
  <sheetViews>
    <sheetView workbookViewId="0">
      <selection activeCell="B1" sqref="B1:J18"/>
    </sheetView>
  </sheetViews>
  <sheetFormatPr defaultColWidth="0" defaultRowHeight="14" zeroHeight="1"/>
  <cols>
    <col min="1" max="1" width="0.58203125" style="8" customWidth="1"/>
    <col min="2" max="2" width="5.08203125" style="8" customWidth="1"/>
    <col min="3" max="3" width="48.08203125" style="8" bestFit="1" customWidth="1"/>
    <col min="4" max="4" width="1.08203125" style="483" hidden="1" customWidth="1"/>
    <col min="5" max="6" width="5.08203125" style="8" customWidth="1"/>
    <col min="7" max="8" width="14.58203125" style="8" customWidth="1"/>
    <col min="9" max="9" width="14.58203125" style="483" customWidth="1"/>
    <col min="10" max="10" width="14.58203125" style="8" customWidth="1"/>
    <col min="11" max="11" width="2.58203125" style="70" customWidth="1"/>
    <col min="12" max="12" width="32" style="74" customWidth="1"/>
    <col min="13" max="13" width="28.25" style="70" customWidth="1"/>
    <col min="14" max="14" width="1.58203125" style="70" customWidth="1"/>
    <col min="15" max="15" width="1.58203125" style="71" hidden="1" customWidth="1"/>
    <col min="16" max="18" width="8.58203125" style="70" hidden="1" customWidth="1"/>
    <col min="19" max="19" width="1.58203125" style="71" hidden="1" customWidth="1"/>
    <col min="20" max="20" width="8.58203125" style="74" hidden="1" customWidth="1"/>
    <col min="21" max="21" width="1.58203125" style="71" hidden="1" customWidth="1"/>
    <col min="22" max="23" width="8.58203125" style="74" hidden="1" customWidth="1"/>
    <col min="24" max="24" width="80.58203125" style="74" hidden="1" customWidth="1"/>
    <col min="25" max="25" width="1.58203125" style="71" hidden="1" customWidth="1"/>
    <col min="26" max="27" width="8.58203125" style="8" hidden="1" customWidth="1"/>
    <col min="28" max="28" width="8.58203125" style="8" customWidth="1"/>
    <col min="29" max="29" width="5.08203125" style="483" customWidth="1"/>
    <col min="30" max="30" width="48.08203125" style="483" bestFit="1" customWidth="1"/>
    <col min="31" max="31" width="1.08203125" style="483" hidden="1" customWidth="1"/>
    <col min="32" max="33" width="5.08203125" style="483" customWidth="1"/>
    <col min="34" max="37" width="14.58203125" style="483" customWidth="1"/>
    <col min="38" max="38" width="2.58203125" style="8" customWidth="1"/>
    <col min="39" max="16384" width="8.58203125" style="8" hidden="1"/>
  </cols>
  <sheetData>
    <row r="1" spans="2:37" ht="20">
      <c r="B1" s="66" t="s">
        <v>3403</v>
      </c>
      <c r="C1" s="66"/>
      <c r="D1" s="66"/>
      <c r="E1" s="66"/>
      <c r="F1" s="66"/>
      <c r="G1" s="66"/>
      <c r="H1" s="66"/>
      <c r="I1" s="66"/>
      <c r="J1" s="68" t="str">
        <f>Validation!B3</f>
        <v>Bristol Water</v>
      </c>
      <c r="K1" s="66"/>
      <c r="L1" s="69"/>
      <c r="M1" s="69" t="s">
        <v>32</v>
      </c>
      <c r="T1" s="70"/>
      <c r="V1" s="483"/>
      <c r="W1" s="483"/>
      <c r="X1" s="483"/>
      <c r="Z1" s="483"/>
      <c r="AA1" s="483"/>
      <c r="AB1" s="483"/>
      <c r="AC1" s="66" t="s">
        <v>33</v>
      </c>
      <c r="AD1" s="66"/>
      <c r="AE1" s="66"/>
      <c r="AF1" s="66"/>
      <c r="AG1" s="66"/>
      <c r="AH1" s="66"/>
      <c r="AI1" s="66"/>
      <c r="AJ1" s="66"/>
      <c r="AK1" s="68"/>
    </row>
    <row r="2" spans="2:37" ht="14.5" thickBot="1">
      <c r="B2" s="73" t="str">
        <f>'4F'!B2</f>
        <v>For the 12 months ended 31 March 2020</v>
      </c>
      <c r="C2" s="70"/>
      <c r="D2" s="70"/>
      <c r="E2" s="70"/>
      <c r="F2" s="70"/>
      <c r="G2" s="70"/>
      <c r="H2" s="70"/>
      <c r="I2" s="70"/>
      <c r="J2" s="70"/>
      <c r="L2" s="70"/>
      <c r="T2" s="70"/>
      <c r="Z2" s="483"/>
      <c r="AA2" s="483"/>
      <c r="AB2" s="483"/>
      <c r="AC2" s="73" t="str">
        <f>+B2</f>
        <v>For the 12 months ended 31 March 2020</v>
      </c>
      <c r="AD2" s="70"/>
      <c r="AE2" s="70"/>
      <c r="AF2" s="70"/>
      <c r="AG2" s="70"/>
      <c r="AH2" s="70"/>
      <c r="AI2" s="70"/>
      <c r="AJ2" s="70"/>
      <c r="AK2" s="70"/>
    </row>
    <row r="3" spans="2:37" ht="23.5" thickBot="1">
      <c r="B3" s="3006" t="s">
        <v>34</v>
      </c>
      <c r="C3" s="3007"/>
      <c r="D3" s="2846" t="s">
        <v>2462</v>
      </c>
      <c r="E3" s="184" t="s">
        <v>36</v>
      </c>
      <c r="F3" s="185" t="s">
        <v>37</v>
      </c>
      <c r="G3" s="186" t="s">
        <v>1626</v>
      </c>
      <c r="H3" s="361" t="s">
        <v>1627</v>
      </c>
      <c r="I3" s="2826" t="s">
        <v>911</v>
      </c>
      <c r="J3" s="2824" t="s">
        <v>708</v>
      </c>
      <c r="L3" s="2824" t="s">
        <v>703</v>
      </c>
      <c r="M3" s="2824" t="s">
        <v>41</v>
      </c>
      <c r="P3" s="2909" t="s">
        <v>45</v>
      </c>
      <c r="Q3" s="2909"/>
      <c r="R3" s="2822"/>
      <c r="T3" s="2822" t="s">
        <v>24</v>
      </c>
      <c r="V3" s="76" t="s">
        <v>902</v>
      </c>
      <c r="W3" s="76"/>
      <c r="X3" s="2822"/>
      <c r="Z3" s="483"/>
      <c r="AA3" s="483"/>
      <c r="AB3" s="483"/>
      <c r="AC3" s="3006" t="s">
        <v>34</v>
      </c>
      <c r="AD3" s="3007"/>
      <c r="AE3" s="2846" t="s">
        <v>2462</v>
      </c>
      <c r="AF3" s="184" t="s">
        <v>36</v>
      </c>
      <c r="AG3" s="185" t="s">
        <v>37</v>
      </c>
      <c r="AH3" s="186" t="s">
        <v>1626</v>
      </c>
      <c r="AI3" s="187" t="s">
        <v>1627</v>
      </c>
      <c r="AJ3" s="2826" t="s">
        <v>911</v>
      </c>
      <c r="AK3" s="2824" t="s">
        <v>708</v>
      </c>
    </row>
    <row r="4" spans="2:37" ht="14.5" thickBot="1">
      <c r="B4" s="70"/>
      <c r="C4" s="70"/>
      <c r="D4" s="70"/>
      <c r="E4" s="70"/>
      <c r="F4" s="70"/>
      <c r="G4" s="70"/>
      <c r="H4" s="70"/>
      <c r="I4" s="70"/>
      <c r="J4" s="70"/>
      <c r="L4" s="70"/>
      <c r="P4" s="164" t="s">
        <v>46</v>
      </c>
      <c r="Z4" s="483"/>
      <c r="AA4" s="483"/>
      <c r="AB4" s="483"/>
      <c r="AC4" s="70"/>
      <c r="AD4" s="70"/>
      <c r="AE4" s="70"/>
      <c r="AF4" s="70"/>
      <c r="AG4" s="70"/>
      <c r="AH4" s="70"/>
      <c r="AI4" s="70"/>
      <c r="AJ4" s="70"/>
      <c r="AK4" s="70"/>
    </row>
    <row r="5" spans="2:37" ht="14.25" customHeight="1">
      <c r="B5" s="86" t="s">
        <v>3404</v>
      </c>
      <c r="C5" s="117" t="s">
        <v>48</v>
      </c>
      <c r="D5" s="117"/>
      <c r="E5" s="88" t="s">
        <v>49</v>
      </c>
      <c r="F5" s="89">
        <v>3</v>
      </c>
      <c r="G5" s="188">
        <f xml:space="preserve"> '2A'!K6 + '2A'!K7</f>
        <v>110.274</v>
      </c>
      <c r="H5" s="1841">
        <f xml:space="preserve"> '2A'!N6 + '2A'!N7</f>
        <v>0</v>
      </c>
      <c r="I5" s="190">
        <f xml:space="preserve"> '2A'!O6 + '2A'!O7</f>
        <v>0</v>
      </c>
      <c r="J5" s="196">
        <f>G5+H5+I5</f>
        <v>110.274</v>
      </c>
      <c r="L5" s="70"/>
      <c r="P5" s="127"/>
      <c r="Q5" s="127"/>
      <c r="R5" s="127"/>
      <c r="T5" s="2855"/>
      <c r="V5" s="165"/>
      <c r="Z5" s="483"/>
      <c r="AA5" s="483"/>
      <c r="AB5" s="483"/>
      <c r="AC5" s="86" t="s">
        <v>3404</v>
      </c>
      <c r="AD5" s="117" t="s">
        <v>48</v>
      </c>
      <c r="AE5" s="117"/>
      <c r="AF5" s="88" t="s">
        <v>49</v>
      </c>
      <c r="AG5" s="89">
        <v>3</v>
      </c>
      <c r="AH5" s="188" t="s">
        <v>3405</v>
      </c>
      <c r="AI5" s="190" t="s">
        <v>3406</v>
      </c>
      <c r="AJ5" s="196" t="s">
        <v>3407</v>
      </c>
      <c r="AK5" s="196" t="s">
        <v>3408</v>
      </c>
    </row>
    <row r="6" spans="2:37">
      <c r="B6" s="94" t="s">
        <v>3409</v>
      </c>
      <c r="C6" s="87" t="s">
        <v>939</v>
      </c>
      <c r="D6" s="87"/>
      <c r="E6" s="95" t="s">
        <v>49</v>
      </c>
      <c r="F6" s="96">
        <v>3</v>
      </c>
      <c r="G6" s="245">
        <f xml:space="preserve"> -1 * ('2B'!G17 + '2B'!H17)</f>
        <v>-64.209999999999994</v>
      </c>
      <c r="H6" s="1842">
        <f xml:space="preserve"> -1 * ('2B'!I17 + '2B'!J17)</f>
        <v>0</v>
      </c>
      <c r="I6" s="191">
        <f xml:space="preserve"> -1 * ( '2B'!K17)</f>
        <v>0</v>
      </c>
      <c r="J6" s="197">
        <f t="shared" ref="J6:J8" si="0">G6+H6+I6</f>
        <v>-64.209999999999994</v>
      </c>
      <c r="L6" s="70"/>
      <c r="M6" s="24"/>
      <c r="P6" s="127"/>
      <c r="Q6" s="127"/>
      <c r="R6" s="127"/>
      <c r="T6" s="82"/>
      <c r="Z6" s="483"/>
      <c r="AA6" s="483"/>
      <c r="AB6" s="483"/>
      <c r="AC6" s="94" t="s">
        <v>3409</v>
      </c>
      <c r="AD6" s="87" t="s">
        <v>939</v>
      </c>
      <c r="AE6" s="87"/>
      <c r="AF6" s="95" t="s">
        <v>49</v>
      </c>
      <c r="AG6" s="96">
        <v>3</v>
      </c>
      <c r="AH6" s="245" t="s">
        <v>3410</v>
      </c>
      <c r="AI6" s="191" t="s">
        <v>3411</v>
      </c>
      <c r="AJ6" s="197" t="s">
        <v>3412</v>
      </c>
      <c r="AK6" s="197" t="s">
        <v>3413</v>
      </c>
    </row>
    <row r="7" spans="2:37">
      <c r="B7" s="94" t="s">
        <v>3414</v>
      </c>
      <c r="C7" s="87" t="s">
        <v>3415</v>
      </c>
      <c r="D7" s="87"/>
      <c r="E7" s="95" t="s">
        <v>49</v>
      </c>
      <c r="F7" s="96">
        <v>3</v>
      </c>
      <c r="G7" s="412">
        <v>-39.723999999999997</v>
      </c>
      <c r="H7" s="451"/>
      <c r="I7" s="416"/>
      <c r="J7" s="197">
        <f t="shared" si="0"/>
        <v>-39.723999999999997</v>
      </c>
      <c r="L7" s="70"/>
      <c r="M7" s="24">
        <f t="shared" ref="M7" si="1" xml:space="preserve"> IF( SUM( O7:S7 ) = 0, 0, $P$4 )</f>
        <v>0</v>
      </c>
      <c r="P7" s="93">
        <f t="shared" ref="P7:P14" si="2" xml:space="preserve"> IF( ISNUMBER( G7 ), 0, 1 )</f>
        <v>0</v>
      </c>
      <c r="Q7" s="93">
        <f>IF(Validation!$H$3=1,0,IF(ISNUMBER(H7),0,1))</f>
        <v>0</v>
      </c>
      <c r="R7" s="93">
        <f>IF( Validation!$H$3=1, 0, IF(Validation!$B$3 &lt;&gt; "Thames Water", 0, (IF(ISNUMBER(I7), 0, 1))))</f>
        <v>0</v>
      </c>
      <c r="T7" s="127"/>
      <c r="V7" s="165"/>
      <c r="W7" s="165"/>
      <c r="Z7" s="483"/>
      <c r="AA7" s="483"/>
      <c r="AB7" s="483"/>
      <c r="AC7" s="94" t="s">
        <v>3414</v>
      </c>
      <c r="AD7" s="87" t="s">
        <v>3415</v>
      </c>
      <c r="AE7" s="87"/>
      <c r="AF7" s="95" t="s">
        <v>49</v>
      </c>
      <c r="AG7" s="96">
        <v>3</v>
      </c>
      <c r="AH7" s="2383" t="s">
        <v>3416</v>
      </c>
      <c r="AI7" s="2525" t="s">
        <v>3417</v>
      </c>
      <c r="AJ7" s="2382" t="s">
        <v>3418</v>
      </c>
      <c r="AK7" s="197" t="s">
        <v>3419</v>
      </c>
    </row>
    <row r="8" spans="2:37">
      <c r="B8" s="94" t="s">
        <v>3420</v>
      </c>
      <c r="C8" s="87" t="s">
        <v>63</v>
      </c>
      <c r="D8" s="87"/>
      <c r="E8" s="95" t="s">
        <v>49</v>
      </c>
      <c r="F8" s="96">
        <v>3</v>
      </c>
      <c r="G8" s="2037">
        <f xml:space="preserve"> '2A'!K11</f>
        <v>0.67100000000000004</v>
      </c>
      <c r="H8" s="2042">
        <f xml:space="preserve"> '2A'!N11</f>
        <v>0</v>
      </c>
      <c r="I8" s="2041">
        <f xml:space="preserve"> '2A'!O11</f>
        <v>0</v>
      </c>
      <c r="J8" s="197">
        <f t="shared" si="0"/>
        <v>0.67100000000000004</v>
      </c>
      <c r="L8" s="70"/>
      <c r="N8" s="192"/>
      <c r="P8" s="127"/>
      <c r="Q8" s="127"/>
      <c r="R8" s="127"/>
      <c r="T8" s="127"/>
      <c r="V8" s="165"/>
      <c r="W8" s="165"/>
      <c r="Z8" s="483"/>
      <c r="AA8" s="483"/>
      <c r="AB8" s="483"/>
      <c r="AC8" s="94" t="s">
        <v>3420</v>
      </c>
      <c r="AD8" s="87" t="s">
        <v>63</v>
      </c>
      <c r="AE8" s="87"/>
      <c r="AF8" s="95" t="s">
        <v>49</v>
      </c>
      <c r="AG8" s="96">
        <v>3</v>
      </c>
      <c r="AH8" s="2037" t="str">
        <f xml:space="preserve"> '2A'!BP11</f>
        <v>A19015WSW</v>
      </c>
      <c r="AI8" s="2037" t="str">
        <f xml:space="preserve"> '2A'!BS11</f>
        <v>A19015TAS</v>
      </c>
      <c r="AJ8" s="2040" t="str">
        <f>+'2A'!BT11</f>
        <v>A19015TTT</v>
      </c>
      <c r="AK8" s="197" t="s">
        <v>3421</v>
      </c>
    </row>
    <row r="9" spans="2:37" ht="14.5" thickBot="1">
      <c r="B9" s="101" t="s">
        <v>3422</v>
      </c>
      <c r="C9" s="102" t="s">
        <v>3423</v>
      </c>
      <c r="D9" s="102"/>
      <c r="E9" s="103" t="s">
        <v>49</v>
      </c>
      <c r="F9" s="100">
        <v>3</v>
      </c>
      <c r="G9" s="193">
        <f>SUM(G5:G8)</f>
        <v>7.0110000000000108</v>
      </c>
      <c r="H9" s="365">
        <f>SUM(H5:H8)</f>
        <v>0</v>
      </c>
      <c r="I9" s="195">
        <f>SUM(I5:I8)</f>
        <v>0</v>
      </c>
      <c r="J9" s="198">
        <f>G9+H9+I9</f>
        <v>7.0110000000000108</v>
      </c>
      <c r="L9" s="70"/>
      <c r="T9" s="127"/>
      <c r="V9" s="165"/>
      <c r="W9" s="165"/>
      <c r="Z9" s="483"/>
      <c r="AA9" s="483"/>
      <c r="AB9" s="483"/>
      <c r="AC9" s="101" t="s">
        <v>3422</v>
      </c>
      <c r="AD9" s="102" t="s">
        <v>3423</v>
      </c>
      <c r="AE9" s="102"/>
      <c r="AF9" s="103" t="s">
        <v>49</v>
      </c>
      <c r="AG9" s="100">
        <v>3</v>
      </c>
      <c r="AH9" s="193" t="s">
        <v>3424</v>
      </c>
      <c r="AI9" s="195" t="s">
        <v>3425</v>
      </c>
      <c r="AJ9" s="198" t="s">
        <v>3426</v>
      </c>
      <c r="AK9" s="198" t="s">
        <v>3427</v>
      </c>
    </row>
    <row r="10" spans="2:37" ht="14.5" thickBot="1">
      <c r="B10" s="70"/>
      <c r="C10" s="70"/>
      <c r="D10" s="70"/>
      <c r="E10" s="70"/>
      <c r="F10" s="70"/>
      <c r="G10" s="70"/>
      <c r="H10" s="70"/>
      <c r="I10" s="70"/>
      <c r="J10" s="70"/>
      <c r="L10" s="70"/>
      <c r="T10" s="127"/>
      <c r="V10" s="165"/>
      <c r="W10" s="165"/>
      <c r="Z10" s="483"/>
      <c r="AA10" s="483"/>
      <c r="AB10" s="483"/>
      <c r="AC10" s="70"/>
      <c r="AD10" s="70"/>
      <c r="AE10" s="70"/>
      <c r="AF10" s="70"/>
      <c r="AG10" s="70"/>
      <c r="AH10" s="70"/>
      <c r="AI10" s="70"/>
      <c r="AJ10" s="70"/>
      <c r="AK10" s="70"/>
    </row>
    <row r="11" spans="2:37">
      <c r="B11" s="86" t="s">
        <v>3428</v>
      </c>
      <c r="C11" s="117" t="s">
        <v>77</v>
      </c>
      <c r="D11" s="117"/>
      <c r="E11" s="88" t="s">
        <v>49</v>
      </c>
      <c r="F11" s="89">
        <v>3</v>
      </c>
      <c r="G11" s="414">
        <v>0</v>
      </c>
      <c r="H11" s="450"/>
      <c r="I11" s="415"/>
      <c r="J11" s="196">
        <f t="shared" ref="J11:J15" si="3">G11+H11+I11</f>
        <v>0</v>
      </c>
      <c r="L11" s="70"/>
      <c r="M11" s="24">
        <f t="shared" ref="M11:M14" si="4" xml:space="preserve"> IF( SUM( O11:S11 ) = 0, 0, $P$4 )</f>
        <v>0</v>
      </c>
      <c r="P11" s="93">
        <f t="shared" si="2"/>
        <v>0</v>
      </c>
      <c r="Q11" s="93">
        <f>IF(Validation!$H$3=1,0,IF(ISNUMBER(H11),0,1))</f>
        <v>0</v>
      </c>
      <c r="R11" s="93">
        <f>IF( Validation!$H$3=1, 0, IF(Validation!$B$3 &lt;&gt; "Thames Water", 0, (IF(ISNUMBER(I11), 0, 1))))</f>
        <v>0</v>
      </c>
      <c r="T11" s="93"/>
      <c r="V11" s="165"/>
      <c r="W11" s="165"/>
      <c r="Z11" s="483"/>
      <c r="AA11" s="483"/>
      <c r="AB11" s="483"/>
      <c r="AC11" s="86" t="s">
        <v>3428</v>
      </c>
      <c r="AD11" s="117" t="s">
        <v>77</v>
      </c>
      <c r="AE11" s="117"/>
      <c r="AF11" s="88" t="s">
        <v>49</v>
      </c>
      <c r="AG11" s="89">
        <v>3</v>
      </c>
      <c r="AH11" s="2380" t="s">
        <v>3429</v>
      </c>
      <c r="AI11" s="2524" t="s">
        <v>3430</v>
      </c>
      <c r="AJ11" s="2379" t="s">
        <v>3431</v>
      </c>
      <c r="AK11" s="196" t="s">
        <v>3432</v>
      </c>
    </row>
    <row r="12" spans="2:37">
      <c r="B12" s="94" t="s">
        <v>3433</v>
      </c>
      <c r="C12" s="87" t="s">
        <v>84</v>
      </c>
      <c r="D12" s="87"/>
      <c r="E12" s="95" t="s">
        <v>49</v>
      </c>
      <c r="F12" s="96">
        <v>3</v>
      </c>
      <c r="G12" s="412">
        <v>4.1130000000000004</v>
      </c>
      <c r="H12" s="451"/>
      <c r="I12" s="416"/>
      <c r="J12" s="197">
        <f t="shared" si="3"/>
        <v>4.1130000000000004</v>
      </c>
      <c r="L12" s="1339">
        <f t="shared" ref="L12:L14" si="5" xml:space="preserve"> IF( SUM( S12:U12 ) = 0, 0, X12 )</f>
        <v>0</v>
      </c>
      <c r="M12" s="24">
        <f t="shared" si="4"/>
        <v>0</v>
      </c>
      <c r="P12" s="93">
        <f t="shared" si="2"/>
        <v>0</v>
      </c>
      <c r="Q12" s="93">
        <f>IF(Validation!$H$3=1,0,IF(ISNUMBER(H12),0,1))</f>
        <v>0</v>
      </c>
      <c r="R12" s="93">
        <f>IF( Validation!$H$3=1, 0, IF(Validation!$B$3 &lt;&gt; "Thames Water", 0, (IF(ISNUMBER(I12), 0, 1))))</f>
        <v>0</v>
      </c>
      <c r="T12" s="93">
        <f t="shared" ref="T12:T14" si="6" xml:space="preserve"> IF( (V12 - W12) = 0, 0, 1 )</f>
        <v>0</v>
      </c>
      <c r="V12" s="165">
        <f t="shared" ref="V12:V14" si="7" xml:space="preserve"> ROUND( J12, 3)</f>
        <v>4.1130000000000004</v>
      </c>
      <c r="W12" s="165">
        <f xml:space="preserve"> ROUND( '1A'!K12, 3)</f>
        <v>4.1130000000000004</v>
      </c>
      <c r="X12" s="74" t="s">
        <v>3434</v>
      </c>
      <c r="Z12" s="483"/>
      <c r="AA12" s="483"/>
      <c r="AB12" s="483"/>
      <c r="AC12" s="94" t="s">
        <v>3433</v>
      </c>
      <c r="AD12" s="87" t="s">
        <v>84</v>
      </c>
      <c r="AE12" s="87"/>
      <c r="AF12" s="95" t="s">
        <v>49</v>
      </c>
      <c r="AG12" s="96">
        <v>3</v>
      </c>
      <c r="AH12" s="2383" t="s">
        <v>3435</v>
      </c>
      <c r="AI12" s="2525" t="s">
        <v>3436</v>
      </c>
      <c r="AJ12" s="2382" t="s">
        <v>3437</v>
      </c>
      <c r="AK12" s="197" t="s">
        <v>3438</v>
      </c>
    </row>
    <row r="13" spans="2:37">
      <c r="B13" s="94" t="s">
        <v>3439</v>
      </c>
      <c r="C13" s="87" t="s">
        <v>91</v>
      </c>
      <c r="D13" s="87"/>
      <c r="E13" s="95" t="s">
        <v>49</v>
      </c>
      <c r="F13" s="96">
        <v>3</v>
      </c>
      <c r="G13" s="412">
        <v>-18.315999999999999</v>
      </c>
      <c r="H13" s="451"/>
      <c r="I13" s="416"/>
      <c r="J13" s="197">
        <f t="shared" si="3"/>
        <v>-18.315999999999999</v>
      </c>
      <c r="L13" s="1339">
        <f t="shared" si="5"/>
        <v>0</v>
      </c>
      <c r="M13" s="24">
        <f t="shared" si="4"/>
        <v>0</v>
      </c>
      <c r="P13" s="93">
        <f t="shared" si="2"/>
        <v>0</v>
      </c>
      <c r="Q13" s="93">
        <f>IF(Validation!$H$3=1,0,IF(ISNUMBER(H13),0,1))</f>
        <v>0</v>
      </c>
      <c r="R13" s="93">
        <f>IF( Validation!$H$3=1, 0, IF(Validation!$B$3 &lt;&gt; "Thames Water", 0, (IF(ISNUMBER(I13), 0, 1))))</f>
        <v>0</v>
      </c>
      <c r="T13" s="93">
        <f t="shared" si="6"/>
        <v>0</v>
      </c>
      <c r="V13" s="165">
        <f t="shared" si="7"/>
        <v>-18.315999999999999</v>
      </c>
      <c r="W13" s="165">
        <f xml:space="preserve"> ROUND( '1A'!K13, 3)</f>
        <v>-18.315999999999999</v>
      </c>
      <c r="X13" s="74" t="s">
        <v>3440</v>
      </c>
      <c r="Z13" s="483"/>
      <c r="AA13" s="483"/>
      <c r="AB13" s="483"/>
      <c r="AC13" s="94" t="s">
        <v>3439</v>
      </c>
      <c r="AD13" s="87" t="s">
        <v>91</v>
      </c>
      <c r="AE13" s="87"/>
      <c r="AF13" s="95" t="s">
        <v>49</v>
      </c>
      <c r="AG13" s="96">
        <v>3</v>
      </c>
      <c r="AH13" s="2383" t="s">
        <v>3441</v>
      </c>
      <c r="AI13" s="2525" t="s">
        <v>3442</v>
      </c>
      <c r="AJ13" s="2382" t="s">
        <v>3443</v>
      </c>
      <c r="AK13" s="197" t="s">
        <v>3444</v>
      </c>
    </row>
    <row r="14" spans="2:37">
      <c r="B14" s="94" t="s">
        <v>3445</v>
      </c>
      <c r="C14" s="87" t="s">
        <v>3446</v>
      </c>
      <c r="D14" s="87"/>
      <c r="E14" s="95" t="s">
        <v>49</v>
      </c>
      <c r="F14" s="96">
        <v>3</v>
      </c>
      <c r="G14" s="412">
        <v>0.36</v>
      </c>
      <c r="H14" s="451"/>
      <c r="I14" s="416"/>
      <c r="J14" s="197">
        <f t="shared" si="3"/>
        <v>0.36</v>
      </c>
      <c r="L14" s="1339">
        <f t="shared" si="5"/>
        <v>0</v>
      </c>
      <c r="M14" s="24">
        <f t="shared" si="4"/>
        <v>0</v>
      </c>
      <c r="P14" s="93">
        <f t="shared" si="2"/>
        <v>0</v>
      </c>
      <c r="Q14" s="93">
        <f>IF(Validation!$H$3=1,0,IF(ISNUMBER(H14),0,1))</f>
        <v>0</v>
      </c>
      <c r="R14" s="93">
        <f>IF( Validation!$H$3=1, 0, IF(Validation!$B$3 &lt;&gt; "Thames Water", 0, (IF(ISNUMBER(I14), 0, 1))))</f>
        <v>0</v>
      </c>
      <c r="T14" s="93">
        <f t="shared" si="6"/>
        <v>0</v>
      </c>
      <c r="V14" s="165">
        <f t="shared" si="7"/>
        <v>0.36</v>
      </c>
      <c r="W14" s="165">
        <f xml:space="preserve"> ROUND( '1A'!K14, 3)</f>
        <v>0.36</v>
      </c>
      <c r="X14" s="74" t="s">
        <v>3447</v>
      </c>
      <c r="Z14" s="483"/>
      <c r="AA14" s="483"/>
      <c r="AB14" s="483"/>
      <c r="AC14" s="94" t="s">
        <v>3445</v>
      </c>
      <c r="AD14" s="87" t="s">
        <v>3446</v>
      </c>
      <c r="AE14" s="87"/>
      <c r="AF14" s="95" t="s">
        <v>49</v>
      </c>
      <c r="AG14" s="96">
        <v>3</v>
      </c>
      <c r="AH14" s="2383" t="s">
        <v>3448</v>
      </c>
      <c r="AI14" s="2525" t="s">
        <v>3449</v>
      </c>
      <c r="AJ14" s="2382" t="s">
        <v>3450</v>
      </c>
      <c r="AK14" s="197" t="s">
        <v>3451</v>
      </c>
    </row>
    <row r="15" spans="2:37" ht="14.5" thickBot="1">
      <c r="B15" s="101" t="s">
        <v>3452</v>
      </c>
      <c r="C15" s="102" t="s">
        <v>3453</v>
      </c>
      <c r="D15" s="102"/>
      <c r="E15" s="103" t="s">
        <v>49</v>
      </c>
      <c r="F15" s="100">
        <v>3</v>
      </c>
      <c r="G15" s="193">
        <f xml:space="preserve"> G9 + SUM( G11:G14 )</f>
        <v>-6.8319999999999892</v>
      </c>
      <c r="H15" s="365">
        <f xml:space="preserve"> H9 + SUM( H11:H14 )</f>
        <v>0</v>
      </c>
      <c r="I15" s="195">
        <f xml:space="preserve"> I9 + SUM( I11:I14 )</f>
        <v>0</v>
      </c>
      <c r="J15" s="198">
        <f t="shared" si="3"/>
        <v>-6.8319999999999892</v>
      </c>
      <c r="L15" s="70"/>
      <c r="T15" s="127"/>
      <c r="V15" s="165"/>
      <c r="W15" s="165"/>
      <c r="Z15" s="483"/>
      <c r="AA15" s="483"/>
      <c r="AB15" s="483"/>
      <c r="AC15" s="101" t="s">
        <v>3452</v>
      </c>
      <c r="AD15" s="102" t="s">
        <v>3453</v>
      </c>
      <c r="AE15" s="102"/>
      <c r="AF15" s="103" t="s">
        <v>49</v>
      </c>
      <c r="AG15" s="100">
        <v>3</v>
      </c>
      <c r="AH15" s="193" t="s">
        <v>3454</v>
      </c>
      <c r="AI15" s="195" t="s">
        <v>3455</v>
      </c>
      <c r="AJ15" s="198" t="s">
        <v>3456</v>
      </c>
      <c r="AK15" s="198" t="s">
        <v>3457</v>
      </c>
    </row>
    <row r="16" spans="2:37" ht="14.5" thickBot="1">
      <c r="B16" s="70"/>
      <c r="C16" s="70"/>
      <c r="D16" s="70"/>
      <c r="E16" s="70"/>
      <c r="F16" s="70"/>
      <c r="G16" s="70"/>
      <c r="H16" s="70"/>
      <c r="I16" s="70"/>
      <c r="J16" s="70"/>
      <c r="L16" s="70"/>
      <c r="T16" s="127"/>
      <c r="V16" s="165"/>
      <c r="W16" s="165"/>
      <c r="Z16" s="483"/>
      <c r="AA16" s="483"/>
      <c r="AB16" s="483"/>
      <c r="AC16" s="70"/>
      <c r="AD16" s="70"/>
      <c r="AE16" s="70"/>
      <c r="AF16" s="70"/>
      <c r="AG16" s="70"/>
      <c r="AH16" s="70"/>
      <c r="AI16" s="70"/>
      <c r="AJ16" s="70"/>
      <c r="AK16" s="70"/>
    </row>
    <row r="17" spans="1:37" ht="23.25" customHeight="1">
      <c r="A17" s="483"/>
      <c r="B17" s="86" t="s">
        <v>3458</v>
      </c>
      <c r="C17" s="117" t="s">
        <v>112</v>
      </c>
      <c r="D17" s="117"/>
      <c r="E17" s="88" t="s">
        <v>49</v>
      </c>
      <c r="F17" s="89">
        <v>3</v>
      </c>
      <c r="G17" s="414">
        <v>0</v>
      </c>
      <c r="H17" s="450"/>
      <c r="I17" s="415"/>
      <c r="J17" s="199">
        <f t="shared" ref="J17:J18" si="8">G17+H17+I17</f>
        <v>0</v>
      </c>
      <c r="L17" s="1339">
        <f t="shared" ref="L17" si="9" xml:space="preserve"> IF( SUM( S17:U17 ) = 0, 0, X17 )</f>
        <v>0</v>
      </c>
      <c r="M17" s="24">
        <f xml:space="preserve"> IF( SUM( O17:S17 ) = 0, 0, $P$4 )</f>
        <v>0</v>
      </c>
      <c r="P17" s="93">
        <f xml:space="preserve"> IF( ISNUMBER( G17 ), 0, 1 )</f>
        <v>0</v>
      </c>
      <c r="Q17" s="93">
        <f>IF(Validation!$H$3=1,0,IF(ISNUMBER(H17),0,1))</f>
        <v>0</v>
      </c>
      <c r="R17" s="93">
        <f>IF( Validation!$H$3=1, 0, IF(Validation!$B$3 &lt;&gt; "Thames Water", 0, (IF(ISNUMBER(I17), 0, 1))))</f>
        <v>0</v>
      </c>
      <c r="T17" s="93">
        <f xml:space="preserve"> IF( (V17 - W17) = 0, 0, 1 )</f>
        <v>0</v>
      </c>
      <c r="V17" s="165">
        <f t="shared" ref="V17" si="10" xml:space="preserve"> ROUND( J17, 3)</f>
        <v>0</v>
      </c>
      <c r="W17" s="165">
        <f xml:space="preserve"> ROUND( '1A'!K17, 3)</f>
        <v>0</v>
      </c>
      <c r="X17" s="74" t="s">
        <v>3459</v>
      </c>
      <c r="Z17" s="483"/>
      <c r="AA17" s="483"/>
      <c r="AB17" s="483"/>
      <c r="AC17" s="86" t="s">
        <v>3458</v>
      </c>
      <c r="AD17" s="117" t="s">
        <v>112</v>
      </c>
      <c r="AE17" s="117"/>
      <c r="AF17" s="88" t="s">
        <v>49</v>
      </c>
      <c r="AG17" s="89">
        <v>3</v>
      </c>
      <c r="AH17" s="2380" t="s">
        <v>3460</v>
      </c>
      <c r="AI17" s="2524" t="s">
        <v>3461</v>
      </c>
      <c r="AJ17" s="2379" t="s">
        <v>3462</v>
      </c>
      <c r="AK17" s="199" t="s">
        <v>3463</v>
      </c>
    </row>
    <row r="18" spans="1:37" ht="14.5" thickBot="1">
      <c r="A18" s="483"/>
      <c r="B18" s="101" t="s">
        <v>3464</v>
      </c>
      <c r="C18" s="102" t="s">
        <v>3465</v>
      </c>
      <c r="D18" s="102"/>
      <c r="E18" s="103" t="s">
        <v>49</v>
      </c>
      <c r="F18" s="100">
        <v>3</v>
      </c>
      <c r="G18" s="193">
        <f xml:space="preserve"> G15 + G17</f>
        <v>-6.8319999999999892</v>
      </c>
      <c r="H18" s="365">
        <f xml:space="preserve"> H15 + H17</f>
        <v>0</v>
      </c>
      <c r="I18" s="195">
        <f xml:space="preserve"> I15 + I17</f>
        <v>0</v>
      </c>
      <c r="J18" s="200">
        <f t="shared" si="8"/>
        <v>-6.8319999999999892</v>
      </c>
      <c r="L18" s="70"/>
      <c r="P18" s="127"/>
      <c r="Q18" s="127"/>
      <c r="R18" s="127"/>
      <c r="T18" s="127"/>
      <c r="V18" s="165"/>
      <c r="W18" s="165"/>
      <c r="Z18" s="483"/>
      <c r="AA18" s="483"/>
      <c r="AB18" s="483"/>
      <c r="AC18" s="101" t="s">
        <v>3464</v>
      </c>
      <c r="AD18" s="102" t="s">
        <v>3465</v>
      </c>
      <c r="AE18" s="102"/>
      <c r="AF18" s="103" t="s">
        <v>49</v>
      </c>
      <c r="AG18" s="100">
        <v>3</v>
      </c>
      <c r="AH18" s="193" t="s">
        <v>3466</v>
      </c>
      <c r="AI18" s="195" t="s">
        <v>3467</v>
      </c>
      <c r="AJ18" s="198" t="s">
        <v>3468</v>
      </c>
      <c r="AK18" s="200" t="s">
        <v>3469</v>
      </c>
    </row>
    <row r="19" spans="1:37">
      <c r="A19" s="483"/>
      <c r="B19" s="110"/>
      <c r="C19" s="152"/>
      <c r="D19" s="152"/>
      <c r="E19" s="110"/>
      <c r="F19" s="110"/>
      <c r="G19" s="110"/>
      <c r="H19" s="163"/>
      <c r="I19" s="163"/>
      <c r="J19" s="118"/>
      <c r="L19" s="70"/>
      <c r="N19" s="118"/>
      <c r="O19" s="124"/>
      <c r="T19" s="127"/>
      <c r="V19" s="165"/>
      <c r="W19" s="165"/>
      <c r="Z19" s="483"/>
      <c r="AA19" s="483"/>
      <c r="AB19" s="483"/>
      <c r="AC19" s="110"/>
      <c r="AD19" s="152"/>
      <c r="AE19" s="152"/>
      <c r="AF19" s="110"/>
      <c r="AG19" s="110"/>
      <c r="AH19" s="110"/>
      <c r="AI19" s="163"/>
      <c r="AJ19" s="163"/>
      <c r="AK19" s="118"/>
    </row>
    <row r="20" spans="1:37">
      <c r="A20" s="483"/>
      <c r="B20" s="2914" t="s">
        <v>241</v>
      </c>
      <c r="C20" s="2914"/>
      <c r="D20" s="2823"/>
      <c r="E20" s="163"/>
      <c r="F20" s="163"/>
      <c r="G20" s="163"/>
      <c r="H20" s="163"/>
      <c r="I20" s="163"/>
      <c r="J20" s="126"/>
      <c r="L20" s="70"/>
      <c r="T20" s="127"/>
      <c r="V20" s="165"/>
      <c r="W20" s="165"/>
      <c r="Z20" s="483"/>
      <c r="AA20" s="483"/>
      <c r="AB20" s="483"/>
    </row>
    <row r="21" spans="1:37">
      <c r="A21" s="483"/>
      <c r="B21" s="141"/>
      <c r="C21" s="142"/>
      <c r="D21" s="142"/>
      <c r="E21" s="163"/>
      <c r="F21" s="163"/>
      <c r="G21" s="163"/>
      <c r="H21" s="163"/>
      <c r="I21" s="163"/>
      <c r="J21" s="126"/>
      <c r="L21" s="70"/>
      <c r="T21" s="127"/>
      <c r="V21" s="165"/>
      <c r="W21" s="165"/>
      <c r="Z21" s="483"/>
      <c r="AA21" s="483"/>
      <c r="AB21" s="483"/>
    </row>
    <row r="22" spans="1:37">
      <c r="A22" s="483"/>
      <c r="B22" s="25"/>
      <c r="C22" s="143" t="s">
        <v>188</v>
      </c>
      <c r="D22" s="143"/>
      <c r="E22" s="163"/>
      <c r="F22" s="163"/>
      <c r="G22" s="163"/>
      <c r="H22" s="163"/>
      <c r="I22" s="163"/>
      <c r="J22" s="126"/>
      <c r="L22" s="127"/>
      <c r="N22" s="118"/>
      <c r="O22" s="124"/>
      <c r="T22" s="127"/>
      <c r="V22" s="165"/>
      <c r="W22" s="165"/>
      <c r="Z22" s="483"/>
      <c r="AA22" s="483"/>
      <c r="AB22" s="483"/>
    </row>
    <row r="23" spans="1:37">
      <c r="A23" s="483"/>
      <c r="B23" s="141"/>
      <c r="C23" s="142"/>
      <c r="D23" s="142"/>
      <c r="E23" s="163"/>
      <c r="F23" s="163"/>
      <c r="G23" s="163"/>
      <c r="H23" s="163"/>
      <c r="I23" s="163"/>
      <c r="J23" s="126"/>
      <c r="K23" s="118"/>
      <c r="L23" s="70"/>
      <c r="N23" s="118"/>
      <c r="O23" s="124"/>
      <c r="S23" s="124"/>
      <c r="T23" s="127"/>
      <c r="U23" s="124"/>
      <c r="V23" s="165"/>
      <c r="W23" s="165"/>
      <c r="Y23" s="124"/>
      <c r="Z23" s="483"/>
      <c r="AA23" s="483"/>
      <c r="AB23" s="483"/>
    </row>
    <row r="24" spans="1:37">
      <c r="A24" s="483"/>
      <c r="B24" s="144"/>
      <c r="C24" s="143" t="s">
        <v>189</v>
      </c>
      <c r="D24" s="143"/>
      <c r="E24" s="163"/>
      <c r="F24" s="163"/>
      <c r="G24" s="163"/>
      <c r="H24" s="163"/>
      <c r="I24" s="163"/>
      <c r="J24" s="126"/>
      <c r="K24" s="126"/>
      <c r="L24" s="70"/>
      <c r="T24" s="127"/>
      <c r="U24" s="119"/>
      <c r="V24" s="165"/>
      <c r="W24" s="165"/>
      <c r="Y24" s="119"/>
      <c r="Z24" s="483"/>
      <c r="AA24" s="483"/>
      <c r="AB24" s="483"/>
    </row>
    <row r="25" spans="1:37">
      <c r="A25" s="483"/>
      <c r="B25" s="145"/>
      <c r="C25" s="143"/>
      <c r="D25" s="143"/>
      <c r="E25" s="163"/>
      <c r="F25" s="163"/>
      <c r="G25" s="163"/>
      <c r="H25" s="163"/>
      <c r="I25" s="163"/>
      <c r="J25" s="126"/>
      <c r="K25" s="126"/>
      <c r="L25" s="70"/>
      <c r="N25" s="126"/>
      <c r="O25" s="119"/>
      <c r="S25" s="119"/>
      <c r="T25" s="127"/>
      <c r="U25" s="119"/>
      <c r="V25" s="165"/>
      <c r="W25" s="165"/>
      <c r="Y25" s="119"/>
      <c r="Z25" s="483"/>
      <c r="AA25" s="483"/>
      <c r="AB25" s="483"/>
    </row>
    <row r="26" spans="1:37" s="483" customFormat="1">
      <c r="B26" s="2188"/>
      <c r="C26" s="179" t="s">
        <v>242</v>
      </c>
      <c r="D26" s="143"/>
      <c r="E26" s="163"/>
      <c r="F26" s="163"/>
      <c r="G26" s="163"/>
      <c r="H26" s="163"/>
      <c r="I26" s="163"/>
      <c r="J26" s="126"/>
      <c r="K26" s="126"/>
      <c r="L26" s="70"/>
      <c r="M26" s="70"/>
      <c r="N26" s="126"/>
      <c r="O26" s="119"/>
      <c r="P26" s="70"/>
      <c r="Q26" s="70"/>
      <c r="R26" s="70"/>
      <c r="S26" s="119"/>
      <c r="T26" s="127"/>
      <c r="U26" s="119"/>
      <c r="V26" s="165"/>
      <c r="W26" s="165"/>
      <c r="X26" s="74"/>
      <c r="Y26" s="119"/>
    </row>
    <row r="27" spans="1:37" ht="14.5" thickBot="1">
      <c r="A27" s="483"/>
      <c r="B27" s="178"/>
      <c r="C27" s="179"/>
      <c r="D27" s="179"/>
      <c r="E27" s="178"/>
      <c r="F27" s="178"/>
      <c r="G27" s="178"/>
      <c r="H27" s="178"/>
      <c r="I27" s="178"/>
      <c r="J27" s="130"/>
      <c r="K27" s="126"/>
      <c r="L27" s="70"/>
      <c r="N27" s="126"/>
      <c r="O27" s="119"/>
      <c r="S27" s="119"/>
      <c r="T27" s="127"/>
      <c r="U27" s="119"/>
      <c r="V27" s="165"/>
      <c r="W27" s="165"/>
      <c r="Y27" s="119"/>
      <c r="Z27" s="483"/>
      <c r="AA27" s="483"/>
      <c r="AB27" s="483"/>
    </row>
    <row r="28" spans="1:37" s="483" customFormat="1" ht="20.65" customHeight="1" thickBot="1">
      <c r="B28" s="2886" t="str">
        <f>'4F'!B40</f>
        <v>Please refer to RAG 4.08 - Guideline for the table definitions in the annual performance report for the reporting year 2019-20</v>
      </c>
      <c r="C28" s="148"/>
      <c r="D28" s="148"/>
      <c r="E28" s="148"/>
      <c r="F28" s="148"/>
      <c r="G28" s="148"/>
      <c r="H28" s="148"/>
      <c r="I28" s="148"/>
      <c r="J28" s="154"/>
      <c r="K28" s="126"/>
      <c r="L28" s="70"/>
      <c r="M28" s="70"/>
      <c r="N28" s="126"/>
      <c r="O28" s="119"/>
      <c r="P28" s="70"/>
      <c r="Q28" s="70"/>
      <c r="R28" s="70"/>
      <c r="S28" s="119"/>
      <c r="T28" s="127"/>
      <c r="U28" s="119"/>
      <c r="V28" s="165"/>
      <c r="W28" s="165"/>
      <c r="X28" s="74"/>
      <c r="Y28" s="119"/>
    </row>
    <row r="29" spans="1:37" s="483" customFormat="1">
      <c r="B29" s="178"/>
      <c r="C29" s="179"/>
      <c r="D29" s="179"/>
      <c r="E29" s="178"/>
      <c r="F29" s="178"/>
      <c r="G29" s="178"/>
      <c r="H29" s="178"/>
      <c r="I29" s="178"/>
      <c r="J29" s="130"/>
      <c r="K29" s="126"/>
      <c r="L29" s="70"/>
      <c r="M29" s="70"/>
      <c r="N29" s="126"/>
      <c r="O29" s="119"/>
      <c r="P29" s="70"/>
      <c r="Q29" s="70"/>
      <c r="R29" s="70"/>
      <c r="S29" s="119"/>
      <c r="T29" s="127"/>
      <c r="U29" s="119"/>
      <c r="V29" s="165"/>
      <c r="W29" s="165"/>
      <c r="X29" s="74"/>
      <c r="Y29" s="119"/>
    </row>
    <row r="30" spans="1:37" ht="20.5" hidden="1" thickBot="1">
      <c r="A30" s="1534"/>
      <c r="B30" s="146" t="str">
        <f ca="1" xml:space="preserve"> RIGHT(CELL("filename", $A$1), LEN(CELL("filename", $A$1)) - SEARCH("]", CELL("filename", $A$1)))&amp;" - Line definitions"</f>
        <v>4G - Line definitions</v>
      </c>
      <c r="C30" s="147"/>
      <c r="D30" s="147"/>
      <c r="E30" s="148"/>
      <c r="F30" s="148"/>
      <c r="G30" s="148"/>
      <c r="H30" s="148"/>
      <c r="I30" s="148"/>
      <c r="J30" s="154"/>
      <c r="K30" s="126"/>
      <c r="L30" s="70"/>
      <c r="N30" s="126"/>
      <c r="O30" s="119"/>
      <c r="S30" s="119"/>
      <c r="T30" s="127"/>
      <c r="U30" s="119"/>
      <c r="V30" s="165"/>
      <c r="W30" s="165"/>
      <c r="Y30" s="119"/>
      <c r="Z30" s="483"/>
      <c r="AA30" s="483"/>
      <c r="AB30" s="483"/>
    </row>
    <row r="31" spans="1:37" ht="14.5" hidden="1" thickBot="1">
      <c r="A31" s="1534"/>
      <c r="B31" s="74"/>
      <c r="C31" s="155"/>
      <c r="D31" s="155"/>
      <c r="E31" s="74"/>
      <c r="F31" s="74"/>
      <c r="G31" s="74"/>
      <c r="H31" s="110"/>
      <c r="I31" s="110"/>
      <c r="J31" s="118"/>
      <c r="K31" s="126"/>
      <c r="L31" s="70"/>
      <c r="T31" s="127"/>
      <c r="U31" s="119"/>
      <c r="V31" s="165"/>
      <c r="W31" s="165"/>
      <c r="Y31" s="119"/>
      <c r="Z31" s="483"/>
      <c r="AA31" s="483"/>
      <c r="AB31" s="483"/>
    </row>
    <row r="32" spans="1:37" ht="14.5" hidden="1" thickBot="1">
      <c r="A32" s="1534"/>
      <c r="B32" s="156" t="s">
        <v>191</v>
      </c>
      <c r="C32" s="3052" t="s">
        <v>192</v>
      </c>
      <c r="D32" s="3052"/>
      <c r="E32" s="3052"/>
      <c r="F32" s="3052"/>
      <c r="G32" s="3052"/>
      <c r="H32" s="3052"/>
      <c r="I32" s="3053"/>
      <c r="J32" s="3054"/>
      <c r="K32" s="126"/>
      <c r="L32" s="70"/>
      <c r="P32" s="85" t="s">
        <v>193</v>
      </c>
      <c r="T32" s="127"/>
      <c r="U32" s="119"/>
      <c r="V32" s="165"/>
      <c r="W32" s="165"/>
      <c r="Y32" s="119"/>
      <c r="Z32" s="483"/>
      <c r="AA32" s="483"/>
      <c r="AB32" s="483"/>
    </row>
    <row r="33" spans="1:28" ht="26.25" hidden="1" customHeight="1">
      <c r="A33" s="1534"/>
      <c r="B33" s="181" t="str">
        <f>B5</f>
        <v>4G.1</v>
      </c>
      <c r="C33" s="2910" t="s">
        <v>3470</v>
      </c>
      <c r="D33" s="2910"/>
      <c r="E33" s="2910"/>
      <c r="F33" s="2910"/>
      <c r="G33" s="2910"/>
      <c r="H33" s="2910"/>
      <c r="I33" s="2928"/>
      <c r="J33" s="2911"/>
      <c r="K33" s="126"/>
      <c r="L33" s="70"/>
      <c r="N33" s="126"/>
      <c r="O33" s="119"/>
      <c r="P33" s="202" t="s">
        <v>195</v>
      </c>
      <c r="S33" s="119"/>
      <c r="T33" s="127"/>
      <c r="U33" s="119"/>
      <c r="V33" s="165"/>
      <c r="W33" s="165"/>
      <c r="Y33" s="119"/>
      <c r="Z33" s="483"/>
      <c r="AA33" s="483"/>
      <c r="AB33" s="483"/>
    </row>
    <row r="34" spans="1:28" ht="23.25" hidden="1" customHeight="1">
      <c r="A34" s="1534"/>
      <c r="B34" s="159" t="str">
        <f>B6</f>
        <v>4G.2</v>
      </c>
      <c r="C34" s="2892" t="s">
        <v>3471</v>
      </c>
      <c r="D34" s="2892"/>
      <c r="E34" s="2892"/>
      <c r="F34" s="2892"/>
      <c r="G34" s="2892"/>
      <c r="H34" s="2892"/>
      <c r="I34" s="2919"/>
      <c r="J34" s="2893"/>
      <c r="K34" s="126"/>
      <c r="L34" s="70"/>
      <c r="N34" s="118"/>
      <c r="O34" s="124"/>
      <c r="P34" s="202" t="s">
        <v>195</v>
      </c>
      <c r="Q34" s="203"/>
      <c r="R34" s="203"/>
      <c r="S34" s="124"/>
      <c r="T34" s="82"/>
      <c r="U34" s="124"/>
      <c r="Y34" s="124"/>
      <c r="Z34" s="483"/>
      <c r="AA34" s="483"/>
      <c r="AB34" s="483"/>
    </row>
    <row r="35" spans="1:28" ht="23.25" hidden="1" customHeight="1">
      <c r="A35" s="1534"/>
      <c r="B35" s="159" t="str">
        <f>B7</f>
        <v>4G.3</v>
      </c>
      <c r="C35" s="2892" t="s">
        <v>3472</v>
      </c>
      <c r="D35" s="2892"/>
      <c r="E35" s="2892"/>
      <c r="F35" s="2892"/>
      <c r="G35" s="2892"/>
      <c r="H35" s="2892"/>
      <c r="I35" s="2919"/>
      <c r="J35" s="2893"/>
      <c r="K35" s="126"/>
      <c r="L35" s="70"/>
      <c r="N35" s="118"/>
      <c r="O35" s="124"/>
      <c r="P35" s="202" t="s">
        <v>195</v>
      </c>
      <c r="Q35" s="203"/>
      <c r="R35" s="203"/>
      <c r="S35" s="124"/>
      <c r="T35" s="82"/>
      <c r="U35" s="124"/>
      <c r="Y35" s="124"/>
      <c r="Z35" s="483"/>
      <c r="AA35" s="483"/>
      <c r="AB35" s="483"/>
    </row>
    <row r="36" spans="1:28" ht="13.5" hidden="1" customHeight="1">
      <c r="A36" s="1534"/>
      <c r="B36" s="159" t="str">
        <f t="shared" ref="B36:B37" si="11">B8</f>
        <v>4G.4</v>
      </c>
      <c r="C36" s="2892" t="s">
        <v>3473</v>
      </c>
      <c r="D36" s="2892"/>
      <c r="E36" s="2892"/>
      <c r="F36" s="2892"/>
      <c r="G36" s="2892"/>
      <c r="H36" s="2892"/>
      <c r="I36" s="2919"/>
      <c r="J36" s="2893"/>
      <c r="K36" s="126"/>
      <c r="L36" s="70"/>
      <c r="N36" s="118"/>
      <c r="O36" s="124"/>
      <c r="P36" s="202">
        <v>1</v>
      </c>
      <c r="Q36" s="203"/>
      <c r="R36" s="203"/>
      <c r="S36" s="124"/>
      <c r="T36" s="82"/>
      <c r="U36" s="124"/>
      <c r="Y36" s="124"/>
      <c r="Z36" s="483"/>
      <c r="AA36" s="483"/>
      <c r="AB36" s="483"/>
    </row>
    <row r="37" spans="1:28" hidden="1">
      <c r="A37" s="1534"/>
      <c r="B37" s="159" t="str">
        <f t="shared" si="11"/>
        <v>4G.5</v>
      </c>
      <c r="C37" s="2892" t="s">
        <v>3474</v>
      </c>
      <c r="D37" s="2892"/>
      <c r="E37" s="2892"/>
      <c r="F37" s="2892"/>
      <c r="G37" s="2892"/>
      <c r="H37" s="2892"/>
      <c r="I37" s="2919"/>
      <c r="J37" s="2893"/>
      <c r="K37" s="126"/>
      <c r="L37" s="70"/>
      <c r="P37" s="202">
        <v>1</v>
      </c>
      <c r="Q37" s="203"/>
      <c r="R37" s="203"/>
      <c r="T37" s="286"/>
      <c r="U37" s="124"/>
      <c r="Y37" s="124"/>
      <c r="Z37" s="483"/>
      <c r="AA37" s="483"/>
      <c r="AB37" s="483"/>
    </row>
    <row r="38" spans="1:28" hidden="1">
      <c r="A38" s="1534"/>
      <c r="B38" s="159" t="str">
        <f>B11</f>
        <v>4G.6</v>
      </c>
      <c r="C38" s="2892" t="s">
        <v>3475</v>
      </c>
      <c r="D38" s="2892"/>
      <c r="E38" s="2892"/>
      <c r="F38" s="2892"/>
      <c r="G38" s="2892"/>
      <c r="H38" s="2892"/>
      <c r="I38" s="2919"/>
      <c r="J38" s="2893"/>
      <c r="K38" s="126"/>
      <c r="L38" s="70"/>
      <c r="P38" s="202">
        <v>1</v>
      </c>
      <c r="Q38" s="203"/>
      <c r="R38" s="203"/>
      <c r="U38" s="124"/>
      <c r="Y38" s="124"/>
      <c r="Z38" s="483"/>
      <c r="AA38" s="483"/>
      <c r="AB38" s="483"/>
    </row>
    <row r="39" spans="1:28" hidden="1">
      <c r="A39" s="1534"/>
      <c r="B39" s="159" t="str">
        <f t="shared" ref="B39:B42" si="12">B12</f>
        <v>4G.7</v>
      </c>
      <c r="C39" s="2892" t="s">
        <v>3476</v>
      </c>
      <c r="D39" s="2892"/>
      <c r="E39" s="2892"/>
      <c r="F39" s="2892"/>
      <c r="G39" s="2892"/>
      <c r="H39" s="2892"/>
      <c r="I39" s="2919"/>
      <c r="J39" s="2893"/>
      <c r="K39" s="130"/>
      <c r="L39" s="70"/>
      <c r="P39" s="202">
        <v>1</v>
      </c>
      <c r="Q39" s="203"/>
      <c r="R39" s="203"/>
      <c r="U39" s="124"/>
      <c r="Y39" s="124"/>
      <c r="Z39" s="483"/>
      <c r="AA39" s="483"/>
      <c r="AB39" s="483"/>
    </row>
    <row r="40" spans="1:28" hidden="1">
      <c r="A40" s="1534"/>
      <c r="B40" s="159" t="str">
        <f t="shared" si="12"/>
        <v>4G.8</v>
      </c>
      <c r="C40" s="2892" t="s">
        <v>3477</v>
      </c>
      <c r="D40" s="2892"/>
      <c r="E40" s="2892"/>
      <c r="F40" s="2892"/>
      <c r="G40" s="2892"/>
      <c r="H40" s="2892"/>
      <c r="I40" s="2919"/>
      <c r="J40" s="2893"/>
      <c r="K40" s="130"/>
      <c r="L40" s="70"/>
      <c r="P40" s="202">
        <v>1</v>
      </c>
      <c r="Q40" s="203"/>
      <c r="R40" s="203"/>
      <c r="U40" s="124"/>
      <c r="V40" s="70"/>
      <c r="W40" s="70"/>
      <c r="X40" s="70"/>
      <c r="Y40" s="124"/>
      <c r="Z40" s="483"/>
      <c r="AA40" s="483"/>
      <c r="AB40" s="483"/>
    </row>
    <row r="41" spans="1:28" hidden="1">
      <c r="A41" s="1534"/>
      <c r="B41" s="159" t="str">
        <f t="shared" si="12"/>
        <v>4G.9</v>
      </c>
      <c r="C41" s="2892" t="s">
        <v>3478</v>
      </c>
      <c r="D41" s="2892"/>
      <c r="E41" s="2892"/>
      <c r="F41" s="2892"/>
      <c r="G41" s="2892"/>
      <c r="H41" s="2892"/>
      <c r="I41" s="2919"/>
      <c r="J41" s="2893"/>
      <c r="K41" s="130"/>
      <c r="L41" s="70"/>
      <c r="P41" s="202">
        <v>1</v>
      </c>
      <c r="Q41" s="203"/>
      <c r="R41" s="203"/>
      <c r="U41" s="124"/>
      <c r="V41" s="163"/>
      <c r="W41" s="163"/>
      <c r="X41" s="163"/>
      <c r="Y41" s="124"/>
      <c r="Z41" s="483"/>
      <c r="AA41" s="483"/>
      <c r="AB41" s="483"/>
    </row>
    <row r="42" spans="1:28" hidden="1">
      <c r="A42" s="1534"/>
      <c r="B42" s="159" t="str">
        <f t="shared" si="12"/>
        <v>4G.10</v>
      </c>
      <c r="C42" s="2892" t="s">
        <v>3479</v>
      </c>
      <c r="D42" s="2892"/>
      <c r="E42" s="2892"/>
      <c r="F42" s="2892"/>
      <c r="G42" s="2892"/>
      <c r="H42" s="2892"/>
      <c r="I42" s="2919"/>
      <c r="J42" s="2893"/>
      <c r="K42" s="130"/>
      <c r="L42" s="70"/>
      <c r="N42" s="118"/>
      <c r="O42" s="124"/>
      <c r="P42" s="202">
        <v>1</v>
      </c>
      <c r="Q42" s="203"/>
      <c r="R42" s="203"/>
      <c r="S42" s="124"/>
      <c r="U42" s="124"/>
      <c r="V42" s="163"/>
      <c r="W42" s="163"/>
      <c r="X42" s="163"/>
      <c r="Y42" s="124"/>
      <c r="Z42" s="483"/>
      <c r="AA42" s="483"/>
      <c r="AB42" s="483"/>
    </row>
    <row r="43" spans="1:28" hidden="1">
      <c r="A43" s="1534"/>
      <c r="B43" s="159" t="str">
        <f>B17</f>
        <v>4G.11</v>
      </c>
      <c r="C43" s="2892" t="s">
        <v>3480</v>
      </c>
      <c r="D43" s="2892"/>
      <c r="E43" s="2892"/>
      <c r="F43" s="2892"/>
      <c r="G43" s="2892"/>
      <c r="H43" s="2892"/>
      <c r="I43" s="2919"/>
      <c r="J43" s="2893"/>
      <c r="K43" s="130"/>
      <c r="L43" s="70"/>
      <c r="P43" s="202">
        <v>1</v>
      </c>
      <c r="Q43" s="203"/>
      <c r="R43" s="203"/>
      <c r="V43" s="163"/>
      <c r="W43" s="163"/>
      <c r="X43" s="163"/>
      <c r="Z43" s="483"/>
      <c r="AA43" s="483"/>
      <c r="AB43" s="483"/>
    </row>
    <row r="44" spans="1:28" ht="14.5" hidden="1" thickBot="1">
      <c r="A44" s="1534"/>
      <c r="B44" s="183" t="str">
        <f>B18</f>
        <v>4G.12</v>
      </c>
      <c r="C44" s="2912" t="s">
        <v>3481</v>
      </c>
      <c r="D44" s="2912"/>
      <c r="E44" s="2912"/>
      <c r="F44" s="2912"/>
      <c r="G44" s="2912"/>
      <c r="H44" s="2912"/>
      <c r="I44" s="2922"/>
      <c r="J44" s="2913"/>
      <c r="K44" s="130"/>
      <c r="L44" s="70"/>
      <c r="P44" s="202">
        <v>1</v>
      </c>
      <c r="Q44" s="203"/>
      <c r="R44" s="203"/>
      <c r="V44" s="163"/>
      <c r="W44" s="163"/>
      <c r="X44" s="163"/>
      <c r="Z44" s="483"/>
      <c r="AA44" s="483"/>
      <c r="AB44" s="483"/>
    </row>
    <row r="45" spans="1:28" hidden="1">
      <c r="A45" s="1534"/>
      <c r="B45" s="204"/>
      <c r="C45" s="205"/>
      <c r="D45" s="205"/>
      <c r="E45" s="205"/>
      <c r="F45" s="205"/>
      <c r="G45" s="205"/>
      <c r="H45" s="205"/>
      <c r="I45" s="205"/>
      <c r="J45" s="205"/>
      <c r="K45" s="130"/>
      <c r="L45" s="70"/>
      <c r="P45" s="206"/>
      <c r="Q45" s="203"/>
      <c r="R45" s="203"/>
      <c r="T45" s="127"/>
      <c r="U45" s="119"/>
      <c r="V45" s="165"/>
      <c r="W45" s="483"/>
      <c r="X45" s="483"/>
      <c r="Y45" s="483"/>
      <c r="Z45" s="483"/>
      <c r="AA45" s="483"/>
      <c r="AB45" s="483"/>
    </row>
    <row r="46" spans="1:28" ht="14.25" hidden="1" customHeight="1">
      <c r="A46" s="1534"/>
      <c r="B46" s="204"/>
      <c r="C46" s="205"/>
      <c r="D46" s="205"/>
      <c r="E46" s="205"/>
      <c r="F46" s="205"/>
      <c r="G46" s="205"/>
      <c r="H46" s="205"/>
      <c r="I46" s="205"/>
      <c r="J46" s="205"/>
      <c r="K46" s="130"/>
      <c r="L46" s="70"/>
      <c r="P46" s="206"/>
      <c r="Q46" s="203"/>
      <c r="R46" s="203"/>
      <c r="T46" s="127"/>
      <c r="U46" s="119"/>
      <c r="V46" s="165"/>
      <c r="W46" s="483"/>
      <c r="X46" s="483"/>
      <c r="Y46" s="483"/>
      <c r="Z46" s="483"/>
      <c r="AA46" s="483"/>
      <c r="AB46" s="483"/>
    </row>
  </sheetData>
  <sheetProtection algorithmName="SHA-512" hashValue="DrxmfIsR3RI8vnElKzjRwrJcwfyKrrsA2yL6lwh9LuGZpoN6YBcZ+1RIHlBll8xOHAkWkdcRzzMbeq49FXe4/A==" saltValue="RN5D1aHj9Ei9iH3pBJ0zuA==" spinCount="100000" sheet="1" objects="1" scenarios="1"/>
  <mergeCells count="17">
    <mergeCell ref="C41:J41"/>
    <mergeCell ref="C42:J42"/>
    <mergeCell ref="C43:J43"/>
    <mergeCell ref="C44:J44"/>
    <mergeCell ref="C35:J35"/>
    <mergeCell ref="C36:J36"/>
    <mergeCell ref="C37:J37"/>
    <mergeCell ref="C38:J38"/>
    <mergeCell ref="C39:J39"/>
    <mergeCell ref="C40:J40"/>
    <mergeCell ref="AC3:AD3"/>
    <mergeCell ref="C34:J34"/>
    <mergeCell ref="B3:C3"/>
    <mergeCell ref="P3:Q3"/>
    <mergeCell ref="B20:C20"/>
    <mergeCell ref="C32:J32"/>
    <mergeCell ref="C33:J33"/>
  </mergeCells>
  <conditionalFormatting sqref="M17 M7 M11:M14">
    <cfRule type="cellIs" dxfId="245" priority="10" operator="equal">
      <formula>0</formula>
    </cfRule>
  </conditionalFormatting>
  <conditionalFormatting sqref="L12:L14 L17">
    <cfRule type="cellIs" dxfId="244" priority="8" operator="equal">
      <formula>0</formula>
    </cfRule>
  </conditionalFormatting>
  <conditionalFormatting sqref="L12:L14">
    <cfRule type="cellIs" dxfId="243" priority="7" operator="equal">
      <formula>0</formula>
    </cfRule>
  </conditionalFormatting>
  <conditionalFormatting sqref="L17">
    <cfRule type="cellIs" dxfId="242" priority="6" operator="equal">
      <formula>0</formula>
    </cfRule>
  </conditionalFormatting>
  <conditionalFormatting sqref="L17">
    <cfRule type="cellIs" dxfId="241" priority="5" operator="equal">
      <formula>0</formula>
    </cfRule>
  </conditionalFormatting>
  <conditionalFormatting sqref="M6">
    <cfRule type="cellIs" dxfId="240" priority="4" operator="equal">
      <formula>0</formula>
    </cfRule>
  </conditionalFormatting>
  <conditionalFormatting sqref="I5:I9 I11:I15 I17:I18">
    <cfRule type="expression" dxfId="239" priority="1">
      <formula>$J$1&lt;&gt;"Thames Water"</formula>
    </cfRule>
  </conditionalFormatting>
  <printOptions horizontalCentered="1"/>
  <pageMargins left="0.39370078740157483" right="0.39370078740157483" top="0.78740157480314965" bottom="0.78740157480314965" header="0.31496062992125984" footer="0.31496062992125984"/>
  <pageSetup paperSize="9" scale="69" orientation="landscape"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6" id="{1060D9B9-E3BE-40B9-B288-40E02451224C}">
            <xm:f>Validation!$H$3=1</xm:f>
            <x14:dxf>
              <fill>
                <patternFill>
                  <bgColor rgb="FFE0DCD8"/>
                </patternFill>
              </fill>
            </x14:dxf>
          </x14:cfRule>
          <xm:sqref>H5:H9 H11:H15 H17:H18</xm:sqref>
        </x14:conditionalFormatting>
        <x14:conditionalFormatting xmlns:xm="http://schemas.microsoft.com/office/excel/2006/main">
          <x14:cfRule type="expression" priority="3" id="{DA77CCA7-1ACB-482F-AB58-A0207A24CCD9}">
            <xm:f>Validation!$H$3=1</xm:f>
            <x14:dxf>
              <fill>
                <patternFill>
                  <bgColor rgb="FFE0DCD8"/>
                </patternFill>
              </fill>
            </x14:dxf>
          </x14:cfRule>
          <xm:sqref>AI5:AJ7 AI11:AJ15 AI17:AJ18 AI9:AJ9 AJ8</xm:sqref>
        </x14:conditionalFormatting>
        <x14:conditionalFormatting xmlns:xm="http://schemas.microsoft.com/office/excel/2006/main">
          <x14:cfRule type="expression" priority="2" id="{580B5DC1-D669-4CF6-972F-B3DAA7F8D6C8}">
            <xm:f>Validation!$H$3=1</xm:f>
            <x14:dxf>
              <fill>
                <patternFill>
                  <bgColor rgb="FFE0DCD8"/>
                </patternFill>
              </fill>
            </x14:dxf>
          </x14:cfRule>
          <xm:sqref>I5:I9 I11:I15 I17:I18</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tabColor rgb="FF92D050"/>
    <pageSetUpPr fitToPage="1"/>
  </sheetPr>
  <dimension ref="A1:AJ98"/>
  <sheetViews>
    <sheetView topLeftCell="A19" workbookViewId="0">
      <selection activeCell="B40" sqref="B40"/>
    </sheetView>
  </sheetViews>
  <sheetFormatPr defaultColWidth="0" defaultRowHeight="14" zeroHeight="1"/>
  <cols>
    <col min="1" max="1" width="0.58203125" style="70" customWidth="1"/>
    <col min="2" max="2" width="7.08203125" style="70" customWidth="1"/>
    <col min="3" max="3" width="60.58203125" style="70" customWidth="1"/>
    <col min="4" max="4" width="0.25" style="70" customWidth="1"/>
    <col min="5" max="6" width="5.08203125" style="70" customWidth="1"/>
    <col min="7" max="8" width="12.5" style="70" customWidth="1"/>
    <col min="9" max="9" width="2.58203125" style="70" customWidth="1"/>
    <col min="10" max="10" width="28.58203125" style="74" customWidth="1"/>
    <col min="11" max="11" width="26.5" style="70" customWidth="1"/>
    <col min="12" max="12" width="1.58203125" style="70" customWidth="1"/>
    <col min="13" max="13" width="1.58203125" style="71" hidden="1" customWidth="1"/>
    <col min="14" max="15" width="10.25" style="70" hidden="1" customWidth="1"/>
    <col min="16" max="16" width="1.58203125" style="71" hidden="1" customWidth="1"/>
    <col min="17" max="17" width="8.08203125" style="74" hidden="1" customWidth="1"/>
    <col min="18" max="18" width="1.58203125" style="71" hidden="1" customWidth="1"/>
    <col min="19" max="20" width="8.08203125" style="74" hidden="1" customWidth="1"/>
    <col min="21" max="21" width="118.5" style="74" hidden="1" customWidth="1"/>
    <col min="22" max="22" width="1.58203125" style="71" hidden="1" customWidth="1"/>
    <col min="23" max="23" width="3.58203125" style="70" hidden="1" customWidth="1"/>
    <col min="24" max="24" width="8.08203125" style="70" hidden="1" customWidth="1"/>
    <col min="25" max="27" width="8.58203125" style="70" hidden="1" customWidth="1"/>
    <col min="28" max="28" width="8.58203125" style="70" customWidth="1"/>
    <col min="29" max="29" width="7.08203125" style="70" customWidth="1"/>
    <col min="30" max="30" width="60.58203125" style="70" customWidth="1"/>
    <col min="31" max="31" width="1.08203125" style="70" hidden="1" customWidth="1"/>
    <col min="32" max="33" width="5.08203125" style="70" customWidth="1"/>
    <col min="34" max="34" width="12.5" style="70" customWidth="1"/>
    <col min="35" max="35" width="10.75" style="70" customWidth="1"/>
    <col min="36" max="36" width="2.25" style="70" customWidth="1"/>
    <col min="37" max="16384" width="8.08203125" style="70" hidden="1"/>
  </cols>
  <sheetData>
    <row r="1" spans="2:35" ht="20">
      <c r="B1" s="66" t="s">
        <v>3482</v>
      </c>
      <c r="C1" s="66"/>
      <c r="D1" s="66"/>
      <c r="E1" s="66"/>
      <c r="F1" s="66"/>
      <c r="G1" s="68" t="str">
        <f>Validation!B3</f>
        <v>Bristol Water</v>
      </c>
      <c r="H1" s="68"/>
      <c r="I1" s="66"/>
      <c r="J1" s="69"/>
      <c r="K1" s="69" t="s">
        <v>32</v>
      </c>
      <c r="Q1" s="70"/>
      <c r="S1" s="483"/>
      <c r="T1" s="483"/>
      <c r="U1" s="483"/>
      <c r="AC1" s="66" t="s">
        <v>33</v>
      </c>
      <c r="AD1" s="66"/>
      <c r="AE1" s="66"/>
      <c r="AF1" s="66"/>
      <c r="AG1" s="66"/>
      <c r="AH1" s="68"/>
      <c r="AI1" s="68"/>
    </row>
    <row r="2" spans="2:35" ht="14.5" thickBot="1">
      <c r="B2" s="73" t="str">
        <f>'4G'!B2</f>
        <v>For the 12 months ended 31 March 2020</v>
      </c>
      <c r="J2" s="70"/>
      <c r="Q2" s="70"/>
      <c r="AC2" s="73" t="str">
        <f>+B2</f>
        <v>For the 12 months ended 31 March 2020</v>
      </c>
    </row>
    <row r="3" spans="2:35" ht="15" customHeight="1">
      <c r="B3" s="2981" t="s">
        <v>34</v>
      </c>
      <c r="C3" s="2982"/>
      <c r="D3" s="2843" t="s">
        <v>2462</v>
      </c>
      <c r="E3" s="2985" t="s">
        <v>36</v>
      </c>
      <c r="F3" s="2987" t="s">
        <v>37</v>
      </c>
      <c r="G3" s="2902" t="s">
        <v>156</v>
      </c>
      <c r="H3" s="2902" t="s">
        <v>3483</v>
      </c>
      <c r="I3" s="163"/>
      <c r="J3" s="2907" t="s">
        <v>703</v>
      </c>
      <c r="K3" s="2907" t="s">
        <v>41</v>
      </c>
      <c r="L3" s="163"/>
      <c r="AC3" s="2981" t="s">
        <v>34</v>
      </c>
      <c r="AD3" s="2982"/>
      <c r="AE3" s="2843" t="s">
        <v>2462</v>
      </c>
      <c r="AF3" s="2985" t="s">
        <v>36</v>
      </c>
      <c r="AG3" s="2987" t="s">
        <v>37</v>
      </c>
      <c r="AH3" s="2902" t="s">
        <v>156</v>
      </c>
      <c r="AI3" s="2902" t="s">
        <v>3483</v>
      </c>
    </row>
    <row r="4" spans="2:35" ht="23.5" thickBot="1">
      <c r="B4" s="2983"/>
      <c r="C4" s="2984"/>
      <c r="D4" s="2844"/>
      <c r="E4" s="2986"/>
      <c r="F4" s="2988"/>
      <c r="G4" s="2903"/>
      <c r="H4" s="2903"/>
      <c r="I4" s="163"/>
      <c r="J4" s="3084"/>
      <c r="K4" s="2908"/>
      <c r="N4" s="93" t="s">
        <v>45</v>
      </c>
      <c r="O4" s="93"/>
      <c r="Q4" s="2822" t="s">
        <v>24</v>
      </c>
      <c r="S4" s="76" t="s">
        <v>902</v>
      </c>
      <c r="T4" s="2822"/>
      <c r="U4" s="2822"/>
      <c r="Z4" s="79"/>
      <c r="AC4" s="2983"/>
      <c r="AD4" s="2984"/>
      <c r="AE4" s="2844"/>
      <c r="AF4" s="2986"/>
      <c r="AG4" s="2988"/>
      <c r="AH4" s="2903"/>
      <c r="AI4" s="2903"/>
    </row>
    <row r="5" spans="2:35" ht="14.5" thickBot="1">
      <c r="I5" s="163"/>
      <c r="N5" s="164" t="s">
        <v>46</v>
      </c>
      <c r="O5" s="164"/>
      <c r="Q5" s="483"/>
    </row>
    <row r="6" spans="2:35" ht="14.5" thickBot="1">
      <c r="B6" s="113" t="s">
        <v>153</v>
      </c>
      <c r="C6" s="114" t="s">
        <v>3484</v>
      </c>
      <c r="D6" s="1473"/>
      <c r="I6" s="163"/>
      <c r="N6" s="164"/>
      <c r="O6" s="164"/>
      <c r="Q6" s="483"/>
      <c r="AC6" s="113" t="s">
        <v>153</v>
      </c>
      <c r="AD6" s="114" t="s">
        <v>3484</v>
      </c>
      <c r="AE6" s="1473"/>
    </row>
    <row r="7" spans="2:35">
      <c r="B7" s="86" t="s">
        <v>3485</v>
      </c>
      <c r="C7" s="117" t="s">
        <v>3486</v>
      </c>
      <c r="D7" s="117"/>
      <c r="E7" s="88" t="s">
        <v>49</v>
      </c>
      <c r="F7" s="89">
        <v>3</v>
      </c>
      <c r="G7" s="835">
        <f>'1E'!J11</f>
        <v>382.98700000000002</v>
      </c>
      <c r="I7" s="163"/>
      <c r="N7" s="127"/>
      <c r="O7" s="127"/>
      <c r="Q7" s="127"/>
      <c r="S7" s="165"/>
      <c r="T7" s="165"/>
      <c r="AC7" s="86" t="str">
        <f>+B7</f>
        <v>4H.1</v>
      </c>
      <c r="AD7" s="117" t="s">
        <v>3486</v>
      </c>
      <c r="AE7" s="117"/>
      <c r="AF7" s="88" t="s">
        <v>49</v>
      </c>
      <c r="AG7" s="89">
        <v>3</v>
      </c>
      <c r="AH7" s="2043" t="str">
        <f>'1E'!AI11</f>
        <v>BO4075</v>
      </c>
    </row>
    <row r="8" spans="2:35">
      <c r="B8" s="94" t="s">
        <v>3487</v>
      </c>
      <c r="C8" s="87" t="s">
        <v>3488</v>
      </c>
      <c r="D8" s="87"/>
      <c r="E8" s="95" t="s">
        <v>49</v>
      </c>
      <c r="F8" s="96">
        <v>3</v>
      </c>
      <c r="G8" s="380">
        <f>IF(Validation!$H$3=1, '4C'!G10 - '1E'!J11, '4C'!G10 +'4C'!H10 + '4C'!I10 - '1E'!J11)</f>
        <v>177.863</v>
      </c>
      <c r="I8" s="163"/>
      <c r="N8" s="127"/>
      <c r="O8" s="127"/>
      <c r="Q8" s="127"/>
      <c r="S8" s="165"/>
      <c r="T8" s="165"/>
      <c r="AC8" s="94" t="str">
        <f t="shared" ref="AC8:AC24" si="0">+B8</f>
        <v>4H.2</v>
      </c>
      <c r="AD8" s="87" t="s">
        <v>3488</v>
      </c>
      <c r="AE8" s="87"/>
      <c r="AF8" s="95" t="s">
        <v>49</v>
      </c>
      <c r="AG8" s="96">
        <v>3</v>
      </c>
      <c r="AH8" s="380" t="s">
        <v>3489</v>
      </c>
    </row>
    <row r="9" spans="2:35">
      <c r="B9" s="94" t="s">
        <v>3490</v>
      </c>
      <c r="C9" s="87" t="s">
        <v>3491</v>
      </c>
      <c r="D9" s="87"/>
      <c r="E9" s="95" t="s">
        <v>732</v>
      </c>
      <c r="F9" s="96">
        <v>2</v>
      </c>
      <c r="G9" s="836">
        <f>'1E'!J13</f>
        <v>0.68286885976642597</v>
      </c>
      <c r="I9" s="163"/>
      <c r="N9" s="127"/>
      <c r="O9" s="127"/>
      <c r="Q9" s="127"/>
      <c r="S9" s="165"/>
      <c r="T9" s="165"/>
      <c r="AC9" s="94" t="str">
        <f t="shared" si="0"/>
        <v>4H.3</v>
      </c>
      <c r="AD9" s="87" t="s">
        <v>3491</v>
      </c>
      <c r="AE9" s="87"/>
      <c r="AF9" s="95" t="s">
        <v>732</v>
      </c>
      <c r="AG9" s="96">
        <v>2</v>
      </c>
      <c r="AH9" s="2044" t="str">
        <f>'1E'!AI13</f>
        <v>FI00300</v>
      </c>
    </row>
    <row r="10" spans="2:35">
      <c r="B10" s="94" t="s">
        <v>3492</v>
      </c>
      <c r="C10" s="87" t="s">
        <v>3493</v>
      </c>
      <c r="D10" s="87"/>
      <c r="E10" s="95" t="s">
        <v>732</v>
      </c>
      <c r="F10" s="96">
        <v>2</v>
      </c>
      <c r="G10" s="662">
        <v>4.047604951524137E-2</v>
      </c>
      <c r="I10" s="163"/>
      <c r="K10" s="24">
        <f xml:space="preserve"> IF( SUM( M10:P10 ) = 0, 0, $N$5 )</f>
        <v>0</v>
      </c>
      <c r="N10" s="93">
        <f t="shared" ref="N10:O16" si="1" xml:space="preserve"> IF( ISNUMBER( G10 ), 0, 1 )</f>
        <v>0</v>
      </c>
      <c r="O10" s="93"/>
      <c r="Q10" s="127"/>
      <c r="S10" s="165"/>
      <c r="T10" s="165"/>
      <c r="AC10" s="94" t="str">
        <f t="shared" si="0"/>
        <v>4H.4</v>
      </c>
      <c r="AD10" s="87" t="s">
        <v>3493</v>
      </c>
      <c r="AE10" s="87"/>
      <c r="AF10" s="95" t="s">
        <v>732</v>
      </c>
      <c r="AG10" s="96">
        <v>2</v>
      </c>
      <c r="AH10" s="2567" t="s">
        <v>3494</v>
      </c>
    </row>
    <row r="11" spans="2:35">
      <c r="B11" s="94" t="s">
        <v>3495</v>
      </c>
      <c r="C11" s="87" t="s">
        <v>3496</v>
      </c>
      <c r="D11" s="87"/>
      <c r="E11" s="95" t="s">
        <v>732</v>
      </c>
      <c r="F11" s="96">
        <v>2</v>
      </c>
      <c r="G11" s="2377">
        <v>3.2500000000000001E-2</v>
      </c>
      <c r="H11" s="2375">
        <v>4.7E-2</v>
      </c>
      <c r="I11" s="163"/>
      <c r="K11" s="24">
        <f xml:space="preserve"> IF( SUM( M11:P11 ) = 0, 0, $N$5 )</f>
        <v>0</v>
      </c>
      <c r="N11" s="93">
        <f t="shared" si="1"/>
        <v>0</v>
      </c>
      <c r="O11" s="93">
        <f t="shared" si="1"/>
        <v>0</v>
      </c>
      <c r="Q11" s="127"/>
      <c r="S11" s="165"/>
      <c r="T11" s="165"/>
      <c r="AC11" s="94" t="str">
        <f t="shared" si="0"/>
        <v>4H.5</v>
      </c>
      <c r="AD11" s="87" t="s">
        <v>3496</v>
      </c>
      <c r="AE11" s="87"/>
      <c r="AF11" s="95" t="s">
        <v>732</v>
      </c>
      <c r="AG11" s="96">
        <v>2</v>
      </c>
      <c r="AH11" s="2567" t="s">
        <v>3497</v>
      </c>
      <c r="AI11" s="2568" t="s">
        <v>3498</v>
      </c>
    </row>
    <row r="12" spans="2:35">
      <c r="B12" s="94" t="s">
        <v>3499</v>
      </c>
      <c r="C12" s="87" t="s">
        <v>3500</v>
      </c>
      <c r="D12" s="87"/>
      <c r="E12" s="95" t="s">
        <v>732</v>
      </c>
      <c r="F12" s="96">
        <v>2</v>
      </c>
      <c r="G12" s="662">
        <v>1.7845607840304058E-2</v>
      </c>
      <c r="I12" s="163"/>
      <c r="K12" s="24">
        <f xml:space="preserve"> IF( SUM( M12:P12 ) = 0, 0, $N$5 )</f>
        <v>0</v>
      </c>
      <c r="N12" s="93">
        <f t="shared" si="1"/>
        <v>0</v>
      </c>
      <c r="O12" s="93"/>
      <c r="Q12" s="127"/>
      <c r="S12" s="165"/>
      <c r="T12" s="165"/>
      <c r="AC12" s="94" t="str">
        <f t="shared" si="0"/>
        <v>4H.6</v>
      </c>
      <c r="AD12" s="87" t="s">
        <v>3500</v>
      </c>
      <c r="AE12" s="87"/>
      <c r="AF12" s="95" t="s">
        <v>732</v>
      </c>
      <c r="AG12" s="96">
        <v>2</v>
      </c>
      <c r="AH12" s="2567" t="s">
        <v>3501</v>
      </c>
    </row>
    <row r="13" spans="2:35" ht="14.25" customHeight="1">
      <c r="B13" s="94" t="s">
        <v>3502</v>
      </c>
      <c r="C13" s="87" t="s">
        <v>3503</v>
      </c>
      <c r="D13" s="87"/>
      <c r="E13" s="95" t="s">
        <v>732</v>
      </c>
      <c r="F13" s="96">
        <v>2</v>
      </c>
      <c r="G13" s="836">
        <f xml:space="preserve"> IF( ( '2I'!G23 + '2I'!G29 = 0 ), 0, ( '2I'!G23 + '2I'!G29 - '2C'!G19 - '2I'!G9 - '2I'!G15 - '2I'!G21 ) / ( '2I'!G23 + '2I'!G29 ) )</f>
        <v>-9.6651117505281801E-3</v>
      </c>
      <c r="I13" s="163"/>
      <c r="N13" s="127"/>
      <c r="O13" s="127"/>
      <c r="Q13" s="127"/>
      <c r="S13" s="165" t="s">
        <v>3504</v>
      </c>
      <c r="T13" s="165" t="s">
        <v>3504</v>
      </c>
      <c r="U13" s="166" t="s">
        <v>3505</v>
      </c>
      <c r="AC13" s="94" t="str">
        <f t="shared" si="0"/>
        <v>4H.7</v>
      </c>
      <c r="AD13" s="87" t="s">
        <v>3503</v>
      </c>
      <c r="AE13" s="87"/>
      <c r="AF13" s="95" t="s">
        <v>732</v>
      </c>
      <c r="AG13" s="96">
        <v>2</v>
      </c>
      <c r="AH13" s="836" t="s">
        <v>3506</v>
      </c>
    </row>
    <row r="14" spans="2:35" ht="14.25" customHeight="1">
      <c r="B14" s="94" t="s">
        <v>3507</v>
      </c>
      <c r="C14" s="87" t="s">
        <v>3508</v>
      </c>
      <c r="D14" s="87"/>
      <c r="E14" s="95" t="s">
        <v>732</v>
      </c>
      <c r="F14" s="96">
        <v>2</v>
      </c>
      <c r="G14" s="836">
        <f xml:space="preserve"> IF( ( '2I'!H23 + '2I'!H29 = 0 ), 0, ( '2I'!H23 + '2I'!H29 - '2C'!H19 - '2I'!H9 - '2I'!H15  - '2I'!H21) / ( '2I'!H23 + '2I'!H29 ) )</f>
        <v>-3.3461284944360417E-2</v>
      </c>
      <c r="I14" s="163"/>
      <c r="N14" s="127"/>
      <c r="O14" s="127"/>
      <c r="S14" s="165" t="s">
        <v>3504</v>
      </c>
      <c r="T14" s="1949" t="s">
        <v>3504</v>
      </c>
      <c r="U14" s="166" t="s">
        <v>3509</v>
      </c>
      <c r="AC14" s="94" t="str">
        <f t="shared" si="0"/>
        <v>4H.8</v>
      </c>
      <c r="AD14" s="87" t="s">
        <v>3508</v>
      </c>
      <c r="AE14" s="87"/>
      <c r="AF14" s="95" t="s">
        <v>732</v>
      </c>
      <c r="AG14" s="96">
        <v>2</v>
      </c>
      <c r="AH14" s="836" t="s">
        <v>3510</v>
      </c>
    </row>
    <row r="15" spans="2:35">
      <c r="B15" s="94" t="s">
        <v>3511</v>
      </c>
      <c r="C15" s="87" t="s">
        <v>3512</v>
      </c>
      <c r="D15" s="87"/>
      <c r="E15" s="95" t="s">
        <v>3513</v>
      </c>
      <c r="F15" s="96" t="s">
        <v>3514</v>
      </c>
      <c r="G15" s="411" t="s">
        <v>12902</v>
      </c>
      <c r="I15" s="163"/>
      <c r="K15" s="24">
        <f xml:space="preserve"> IF( SUM( M15:P15 ) = 0, 0, $N$5 )</f>
        <v>0</v>
      </c>
      <c r="N15" s="93">
        <f xml:space="preserve"> IF( ISTEXT( G15 ), 0, 1 )</f>
        <v>0</v>
      </c>
      <c r="O15" s="93"/>
      <c r="Q15" s="127"/>
      <c r="S15" s="165"/>
      <c r="T15" s="165"/>
      <c r="AC15" s="94" t="str">
        <f t="shared" si="0"/>
        <v>4H.9</v>
      </c>
      <c r="AD15" s="87" t="s">
        <v>3512</v>
      </c>
      <c r="AE15" s="87"/>
      <c r="AF15" s="95" t="s">
        <v>3513</v>
      </c>
      <c r="AG15" s="96" t="s">
        <v>3514</v>
      </c>
      <c r="AH15" s="2395" t="s">
        <v>3515</v>
      </c>
    </row>
    <row r="16" spans="2:35">
      <c r="B16" s="94" t="s">
        <v>3516</v>
      </c>
      <c r="C16" s="87" t="s">
        <v>3517</v>
      </c>
      <c r="D16" s="87"/>
      <c r="E16" s="95" t="s">
        <v>732</v>
      </c>
      <c r="F16" s="96">
        <v>2</v>
      </c>
      <c r="G16" s="662">
        <v>3.8825628843641505E-2</v>
      </c>
      <c r="I16" s="163"/>
      <c r="K16" s="24">
        <f xml:space="preserve"> IF( SUM( M16:P16 ) = 0, 0, $N$5 )</f>
        <v>0</v>
      </c>
      <c r="N16" s="93">
        <f t="shared" si="1"/>
        <v>0</v>
      </c>
      <c r="O16" s="93"/>
      <c r="Q16" s="127"/>
      <c r="S16" s="165"/>
      <c r="T16" s="165"/>
      <c r="AC16" s="94" t="str">
        <f t="shared" si="0"/>
        <v>4H.10</v>
      </c>
      <c r="AD16" s="87" t="s">
        <v>3517</v>
      </c>
      <c r="AE16" s="87"/>
      <c r="AF16" s="95" t="s">
        <v>732</v>
      </c>
      <c r="AG16" s="96">
        <v>2</v>
      </c>
      <c r="AH16" s="2567" t="s">
        <v>3518</v>
      </c>
    </row>
    <row r="17" spans="2:35">
      <c r="B17" s="94" t="s">
        <v>3519</v>
      </c>
      <c r="C17" s="87" t="s">
        <v>3520</v>
      </c>
      <c r="D17" s="87"/>
      <c r="E17" s="95" t="s">
        <v>3521</v>
      </c>
      <c r="F17" s="96">
        <v>2</v>
      </c>
      <c r="G17" s="410">
        <v>-5.3191630725233884E-2</v>
      </c>
      <c r="I17" s="163"/>
      <c r="K17" s="24">
        <f xml:space="preserve"> IF( SUM( M17:P17 ) = 0, 0, $N$5 )</f>
        <v>0</v>
      </c>
      <c r="N17" s="93">
        <f xml:space="preserve"> IF( ISNUMBER( G17 ), 0, 1 )</f>
        <v>0</v>
      </c>
      <c r="O17" s="93"/>
      <c r="Q17" s="127"/>
      <c r="S17" s="165"/>
      <c r="T17" s="165"/>
      <c r="AC17" s="94" t="str">
        <f t="shared" si="0"/>
        <v>4H.11</v>
      </c>
      <c r="AD17" s="87" t="s">
        <v>3520</v>
      </c>
      <c r="AE17" s="87"/>
      <c r="AF17" s="95" t="s">
        <v>3521</v>
      </c>
      <c r="AG17" s="96">
        <v>2</v>
      </c>
      <c r="AH17" s="2569" t="s">
        <v>3522</v>
      </c>
    </row>
    <row r="18" spans="2:35">
      <c r="B18" s="94" t="s">
        <v>3523</v>
      </c>
      <c r="C18" s="87" t="s">
        <v>3524</v>
      </c>
      <c r="D18" s="171"/>
      <c r="E18" s="167" t="s">
        <v>49</v>
      </c>
      <c r="F18" s="168">
        <v>3</v>
      </c>
      <c r="G18" s="380">
        <f>'1D'!K19 - '1D'!K11</f>
        <v>36.745999999999995</v>
      </c>
      <c r="I18" s="163"/>
      <c r="N18" s="127"/>
      <c r="O18" s="127"/>
      <c r="Q18" s="127"/>
      <c r="S18" s="165"/>
      <c r="T18" s="165"/>
      <c r="AC18" s="94" t="str">
        <f t="shared" si="0"/>
        <v>4H.12</v>
      </c>
      <c r="AD18" s="87" t="s">
        <v>3524</v>
      </c>
      <c r="AE18" s="171"/>
      <c r="AF18" s="167" t="s">
        <v>49</v>
      </c>
      <c r="AG18" s="168">
        <v>3</v>
      </c>
      <c r="AH18" s="380" t="s">
        <v>3525</v>
      </c>
    </row>
    <row r="19" spans="2:35">
      <c r="B19" s="94" t="s">
        <v>3526</v>
      </c>
      <c r="C19" s="87" t="s">
        <v>3527</v>
      </c>
      <c r="D19" s="87"/>
      <c r="E19" s="95" t="s">
        <v>3521</v>
      </c>
      <c r="F19" s="96">
        <v>2</v>
      </c>
      <c r="G19" s="410">
        <v>4.0578347341266534</v>
      </c>
      <c r="I19" s="163"/>
      <c r="K19" s="24">
        <f xml:space="preserve"> IF( SUM( M19:P19 ) = 0, 0, $N$5 )</f>
        <v>0</v>
      </c>
      <c r="N19" s="93">
        <f xml:space="preserve"> IF( ISNUMBER( G19 ), 0, 1 )</f>
        <v>0</v>
      </c>
      <c r="O19" s="93"/>
      <c r="Q19" s="127"/>
      <c r="S19" s="165"/>
      <c r="T19" s="165"/>
      <c r="AC19" s="94" t="str">
        <f t="shared" si="0"/>
        <v>4H.13</v>
      </c>
      <c r="AD19" s="87" t="s">
        <v>3527</v>
      </c>
      <c r="AE19" s="87"/>
      <c r="AF19" s="95" t="s">
        <v>3521</v>
      </c>
      <c r="AG19" s="96">
        <v>2</v>
      </c>
      <c r="AH19" s="2569" t="s">
        <v>3528</v>
      </c>
    </row>
    <row r="20" spans="2:35">
      <c r="B20" s="94" t="s">
        <v>3529</v>
      </c>
      <c r="C20" s="87" t="s">
        <v>3530</v>
      </c>
      <c r="D20" s="87"/>
      <c r="E20" s="95" t="s">
        <v>3521</v>
      </c>
      <c r="F20" s="96">
        <v>2</v>
      </c>
      <c r="G20" s="410">
        <v>1.6128271748464349</v>
      </c>
      <c r="I20" s="163"/>
      <c r="K20" s="24">
        <f xml:space="preserve"> IF( SUM( M20:P20 ) = 0, 0, $N$5 )</f>
        <v>0</v>
      </c>
      <c r="L20" s="163"/>
      <c r="M20" s="124"/>
      <c r="N20" s="93">
        <f xml:space="preserve"> IF( ISNUMBER( G20 ), 0, 1 )</f>
        <v>0</v>
      </c>
      <c r="O20" s="93"/>
      <c r="P20" s="124"/>
      <c r="Q20" s="127"/>
      <c r="S20" s="165"/>
      <c r="T20" s="165"/>
      <c r="V20" s="124"/>
      <c r="AC20" s="94" t="str">
        <f t="shared" si="0"/>
        <v>4H.14</v>
      </c>
      <c r="AD20" s="87" t="s">
        <v>3530</v>
      </c>
      <c r="AE20" s="87"/>
      <c r="AF20" s="95" t="s">
        <v>3521</v>
      </c>
      <c r="AG20" s="96">
        <v>2</v>
      </c>
      <c r="AH20" s="2569" t="s">
        <v>3531</v>
      </c>
    </row>
    <row r="21" spans="2:35">
      <c r="B21" s="94" t="s">
        <v>3532</v>
      </c>
      <c r="C21" s="87" t="s">
        <v>3533</v>
      </c>
      <c r="D21" s="87"/>
      <c r="E21" s="95" t="s">
        <v>3521</v>
      </c>
      <c r="F21" s="96">
        <v>2</v>
      </c>
      <c r="G21" s="837">
        <f>IF(G7 = 0, 0, +G18 / G7)</f>
        <v>9.5945815393211759E-2</v>
      </c>
      <c r="I21" s="163"/>
      <c r="L21" s="163"/>
      <c r="N21" s="127"/>
      <c r="O21" s="127"/>
      <c r="Q21" s="127"/>
      <c r="S21" s="165"/>
      <c r="T21" s="165"/>
      <c r="AC21" s="94" t="str">
        <f t="shared" si="0"/>
        <v>4H.15</v>
      </c>
      <c r="AD21" s="87" t="s">
        <v>3533</v>
      </c>
      <c r="AE21" s="87"/>
      <c r="AF21" s="95" t="s">
        <v>3521</v>
      </c>
      <c r="AG21" s="96">
        <v>2</v>
      </c>
      <c r="AH21" s="837" t="s">
        <v>3534</v>
      </c>
    </row>
    <row r="22" spans="2:35">
      <c r="B22" s="94" t="s">
        <v>3535</v>
      </c>
      <c r="C22" s="87" t="s">
        <v>3536</v>
      </c>
      <c r="D22" s="87"/>
      <c r="E22" s="95" t="s">
        <v>732</v>
      </c>
      <c r="F22" s="96">
        <v>2</v>
      </c>
      <c r="G22" s="662">
        <v>0.13663007219955636</v>
      </c>
      <c r="I22" s="163"/>
      <c r="K22" s="24">
        <f xml:space="preserve"> IF( SUM( M22:P22 ) = 0, 0, $N$5 )</f>
        <v>0</v>
      </c>
      <c r="L22" s="163"/>
      <c r="M22" s="124"/>
      <c r="N22" s="93">
        <f xml:space="preserve"> IF( ISNUMBER( G22 ), 0, 1 )</f>
        <v>0</v>
      </c>
      <c r="O22" s="93"/>
      <c r="P22" s="124"/>
      <c r="Q22" s="127"/>
      <c r="S22" s="165"/>
      <c r="T22" s="165"/>
      <c r="AC22" s="94" t="str">
        <f t="shared" si="0"/>
        <v>4H.16</v>
      </c>
      <c r="AD22" s="87" t="s">
        <v>3536</v>
      </c>
      <c r="AE22" s="87"/>
      <c r="AF22" s="95" t="s">
        <v>732</v>
      </c>
      <c r="AG22" s="96">
        <v>2</v>
      </c>
      <c r="AH22" s="2567" t="s">
        <v>3537</v>
      </c>
    </row>
    <row r="23" spans="2:35">
      <c r="B23" s="94" t="s">
        <v>3538</v>
      </c>
      <c r="C23" s="87" t="s">
        <v>3539</v>
      </c>
      <c r="D23" s="87"/>
      <c r="E23" s="95" t="s">
        <v>49</v>
      </c>
      <c r="F23" s="96">
        <v>3</v>
      </c>
      <c r="G23" s="380">
        <f xml:space="preserve"> +G18 - ( -1 * '1D'!K31 )</f>
        <v>30.653999999999996</v>
      </c>
      <c r="I23" s="163"/>
      <c r="K23" s="35"/>
      <c r="L23" s="163"/>
      <c r="M23" s="124"/>
      <c r="N23" s="127"/>
      <c r="O23" s="127"/>
      <c r="P23" s="124"/>
      <c r="Q23" s="127"/>
      <c r="S23" s="165"/>
      <c r="T23" s="165"/>
      <c r="V23" s="124"/>
      <c r="AC23" s="94" t="str">
        <f t="shared" si="0"/>
        <v>4H.17</v>
      </c>
      <c r="AD23" s="87" t="s">
        <v>3539</v>
      </c>
      <c r="AE23" s="87"/>
      <c r="AF23" s="95" t="s">
        <v>49</v>
      </c>
      <c r="AG23" s="96">
        <v>3</v>
      </c>
      <c r="AH23" s="380" t="s">
        <v>3540</v>
      </c>
    </row>
    <row r="24" spans="2:35" ht="14.5" thickBot="1">
      <c r="B24" s="101" t="s">
        <v>3541</v>
      </c>
      <c r="C24" s="102" t="s">
        <v>3542</v>
      </c>
      <c r="D24" s="102"/>
      <c r="E24" s="103" t="s">
        <v>3521</v>
      </c>
      <c r="F24" s="100">
        <v>2</v>
      </c>
      <c r="G24" s="838">
        <f>IF( '1D'!K22 = 0, 0, G23 / ( -1 * '1D'!K22 ) )</f>
        <v>0.42979725750820219</v>
      </c>
      <c r="I24" s="163"/>
      <c r="L24" s="163"/>
      <c r="M24" s="124"/>
      <c r="N24" s="127"/>
      <c r="O24" s="127"/>
      <c r="P24" s="124"/>
      <c r="Q24" s="127"/>
      <c r="R24" s="124"/>
      <c r="S24" s="165"/>
      <c r="T24" s="165"/>
      <c r="V24" s="124"/>
      <c r="AC24" s="101" t="str">
        <f t="shared" si="0"/>
        <v>4H.18</v>
      </c>
      <c r="AD24" s="102" t="s">
        <v>3542</v>
      </c>
      <c r="AE24" s="102"/>
      <c r="AF24" s="103" t="s">
        <v>3521</v>
      </c>
      <c r="AG24" s="100">
        <v>2</v>
      </c>
      <c r="AH24" s="838" t="s">
        <v>3543</v>
      </c>
    </row>
    <row r="25" spans="2:35" ht="14.5" thickBot="1">
      <c r="L25" s="163"/>
      <c r="N25" s="127"/>
      <c r="O25" s="127"/>
      <c r="Q25" s="127"/>
      <c r="R25" s="119"/>
      <c r="S25" s="165"/>
      <c r="T25" s="165"/>
    </row>
    <row r="26" spans="2:35" ht="14.5" thickBot="1">
      <c r="B26" s="113" t="s">
        <v>175</v>
      </c>
      <c r="C26" s="114" t="s">
        <v>3544</v>
      </c>
      <c r="D26" s="1473"/>
      <c r="L26" s="163"/>
      <c r="N26" s="127"/>
      <c r="O26" s="127"/>
      <c r="Q26" s="127"/>
      <c r="R26" s="119"/>
      <c r="S26" s="165"/>
      <c r="T26" s="165"/>
      <c r="AC26" s="113" t="s">
        <v>175</v>
      </c>
      <c r="AD26" s="114" t="s">
        <v>3544</v>
      </c>
      <c r="AE26" s="1473"/>
    </row>
    <row r="27" spans="2:35">
      <c r="B27" s="86" t="s">
        <v>3545</v>
      </c>
      <c r="C27" s="117" t="s">
        <v>3546</v>
      </c>
      <c r="D27" s="117"/>
      <c r="E27" s="88" t="s">
        <v>49</v>
      </c>
      <c r="F27" s="89">
        <v>3</v>
      </c>
      <c r="G27" s="835">
        <f>'2A'!P6</f>
        <v>119.974</v>
      </c>
      <c r="I27" s="163"/>
      <c r="L27" s="163"/>
      <c r="M27" s="119"/>
      <c r="N27" s="127"/>
      <c r="O27" s="127"/>
      <c r="P27" s="119"/>
      <c r="Q27" s="127"/>
      <c r="R27" s="119"/>
      <c r="S27" s="165"/>
      <c r="T27" s="165"/>
      <c r="V27" s="119"/>
      <c r="Y27" s="126"/>
      <c r="AC27" s="86" t="str">
        <f t="shared" ref="AC27:AC28" si="2">+B27</f>
        <v>4H.19</v>
      </c>
      <c r="AD27" s="117" t="s">
        <v>3546</v>
      </c>
      <c r="AE27" s="117"/>
      <c r="AF27" s="88" t="s">
        <v>49</v>
      </c>
      <c r="AG27" s="89">
        <v>3</v>
      </c>
      <c r="AH27" s="2043" t="str">
        <f>'2A'!BU6</f>
        <v>A1931PC</v>
      </c>
    </row>
    <row r="28" spans="2:35" ht="14.5" thickBot="1">
      <c r="B28" s="101" t="s">
        <v>3547</v>
      </c>
      <c r="C28" s="102" t="s">
        <v>3548</v>
      </c>
      <c r="D28" s="102"/>
      <c r="E28" s="103" t="s">
        <v>49</v>
      </c>
      <c r="F28" s="100">
        <v>3</v>
      </c>
      <c r="G28" s="344">
        <f>'2A'!P6 - ( -1 * '2A'!P8 )</f>
        <v>42.320000000000007</v>
      </c>
      <c r="I28" s="163"/>
      <c r="L28" s="163"/>
      <c r="N28" s="127"/>
      <c r="O28" s="127"/>
      <c r="Q28" s="127"/>
      <c r="R28" s="119"/>
      <c r="S28" s="165"/>
      <c r="T28" s="165"/>
      <c r="Y28" s="126"/>
      <c r="AC28" s="101" t="str">
        <f t="shared" si="2"/>
        <v>4H.20</v>
      </c>
      <c r="AD28" s="102" t="s">
        <v>3548</v>
      </c>
      <c r="AE28" s="102"/>
      <c r="AF28" s="103" t="s">
        <v>49</v>
      </c>
      <c r="AG28" s="100">
        <v>3</v>
      </c>
      <c r="AH28" s="344" t="s">
        <v>3549</v>
      </c>
    </row>
    <row r="29" spans="2:35" ht="14.5" thickBot="1">
      <c r="I29" s="163"/>
      <c r="L29" s="163"/>
      <c r="M29" s="119"/>
      <c r="N29" s="127"/>
      <c r="O29" s="127"/>
      <c r="P29" s="119"/>
      <c r="Q29" s="127"/>
      <c r="R29" s="119"/>
      <c r="S29" s="165"/>
      <c r="T29" s="165"/>
      <c r="V29" s="119"/>
      <c r="Y29" s="120"/>
    </row>
    <row r="30" spans="2:35" ht="14.5" thickBot="1">
      <c r="B30" s="113" t="s">
        <v>333</v>
      </c>
      <c r="C30" s="114" t="s">
        <v>3550</v>
      </c>
      <c r="D30" s="1473"/>
      <c r="I30" s="163"/>
      <c r="L30" s="163"/>
      <c r="M30" s="119"/>
      <c r="N30" s="127"/>
      <c r="O30" s="127"/>
      <c r="P30" s="119"/>
      <c r="Q30" s="127"/>
      <c r="R30" s="119"/>
      <c r="S30" s="165"/>
      <c r="T30" s="165"/>
      <c r="V30" s="119"/>
      <c r="Y30" s="120"/>
      <c r="AC30" s="113" t="s">
        <v>333</v>
      </c>
      <c r="AD30" s="114" t="s">
        <v>3550</v>
      </c>
    </row>
    <row r="31" spans="2:35">
      <c r="B31" s="1964" t="s">
        <v>3551</v>
      </c>
      <c r="C31" s="2255" t="s">
        <v>3552</v>
      </c>
      <c r="D31" s="1961"/>
      <c r="E31" s="2259" t="s">
        <v>732</v>
      </c>
      <c r="F31" s="2260">
        <v>2</v>
      </c>
      <c r="G31" s="1966">
        <v>5.8000000000000003E-2</v>
      </c>
      <c r="H31" s="1967">
        <v>5.8000000000000003E-2</v>
      </c>
      <c r="I31" s="163"/>
      <c r="K31" s="24">
        <f t="shared" ref="K31:K35" si="3" xml:space="preserve"> IF( SUM( M31:P31 ) = 0, 0, $N$5 )</f>
        <v>0</v>
      </c>
      <c r="L31" s="163"/>
      <c r="M31" s="124"/>
      <c r="N31" s="93">
        <f t="shared" ref="N31:O35" si="4" xml:space="preserve"> IF( ISNUMBER( G31 ), 0, 1 )</f>
        <v>0</v>
      </c>
      <c r="O31" s="93">
        <f t="shared" si="4"/>
        <v>0</v>
      </c>
      <c r="P31" s="119"/>
      <c r="Q31" s="127"/>
      <c r="R31" s="119"/>
      <c r="S31" s="165"/>
      <c r="T31" s="165"/>
      <c r="V31" s="119"/>
      <c r="Y31" s="120"/>
      <c r="AC31" s="1964" t="str">
        <f t="shared" ref="AC31:AC37" si="5">+B31</f>
        <v>4H.21</v>
      </c>
      <c r="AD31" s="2255" t="s">
        <v>3552</v>
      </c>
      <c r="AE31" s="1975"/>
      <c r="AF31" s="2259" t="s">
        <v>732</v>
      </c>
      <c r="AG31" s="2260">
        <v>2</v>
      </c>
      <c r="AH31" s="2570" t="s">
        <v>3553</v>
      </c>
      <c r="AI31" s="2571" t="s">
        <v>3554</v>
      </c>
    </row>
    <row r="32" spans="2:35">
      <c r="B32" s="1965" t="s">
        <v>3555</v>
      </c>
      <c r="C32" s="2256" t="s">
        <v>839</v>
      </c>
      <c r="D32" s="1962"/>
      <c r="E32" s="2261" t="s">
        <v>732</v>
      </c>
      <c r="F32" s="2262">
        <v>2</v>
      </c>
      <c r="G32" s="2376">
        <v>-2.7199999999999998E-2</v>
      </c>
      <c r="H32" s="2375">
        <v>-1.9E-3</v>
      </c>
      <c r="I32" s="163"/>
      <c r="K32" s="24">
        <f t="shared" si="3"/>
        <v>0</v>
      </c>
      <c r="L32" s="163"/>
      <c r="M32" s="124"/>
      <c r="N32" s="93">
        <f t="shared" si="4"/>
        <v>0</v>
      </c>
      <c r="O32" s="93">
        <f t="shared" si="4"/>
        <v>0</v>
      </c>
      <c r="P32" s="119"/>
      <c r="Q32" s="127"/>
      <c r="R32" s="119"/>
      <c r="S32" s="165"/>
      <c r="T32" s="165"/>
      <c r="V32" s="119"/>
      <c r="Y32" s="120"/>
      <c r="AC32" s="1965" t="str">
        <f t="shared" si="5"/>
        <v>4H.22</v>
      </c>
      <c r="AD32" s="2256" t="s">
        <v>839</v>
      </c>
      <c r="AE32" s="1975"/>
      <c r="AF32" s="2261" t="s">
        <v>732</v>
      </c>
      <c r="AG32" s="2262">
        <v>2</v>
      </c>
      <c r="AH32" s="2572" t="s">
        <v>3556</v>
      </c>
      <c r="AI32" s="2572" t="s">
        <v>3557</v>
      </c>
    </row>
    <row r="33" spans="2:35">
      <c r="B33" s="1965" t="s">
        <v>3558</v>
      </c>
      <c r="C33" s="2256" t="s">
        <v>3559</v>
      </c>
      <c r="D33" s="1962"/>
      <c r="E33" s="2261" t="s">
        <v>732</v>
      </c>
      <c r="F33" s="2262">
        <v>2</v>
      </c>
      <c r="G33" s="2376">
        <v>-7.6E-3</v>
      </c>
      <c r="H33" s="2375">
        <v>-2E-3</v>
      </c>
      <c r="I33" s="163"/>
      <c r="K33" s="24">
        <f t="shared" si="3"/>
        <v>0</v>
      </c>
      <c r="L33" s="163"/>
      <c r="M33" s="124"/>
      <c r="N33" s="93">
        <f t="shared" si="4"/>
        <v>0</v>
      </c>
      <c r="O33" s="93">
        <f t="shared" si="4"/>
        <v>0</v>
      </c>
      <c r="P33" s="119"/>
      <c r="Q33" s="127"/>
      <c r="R33" s="119"/>
      <c r="S33" s="165"/>
      <c r="T33" s="165"/>
      <c r="V33" s="119"/>
      <c r="Y33" s="120"/>
      <c r="AC33" s="1965" t="str">
        <f t="shared" si="5"/>
        <v>4H.23</v>
      </c>
      <c r="AD33" s="2256" t="s">
        <v>3559</v>
      </c>
      <c r="AE33" s="1975"/>
      <c r="AF33" s="2261" t="s">
        <v>732</v>
      </c>
      <c r="AG33" s="2262">
        <v>2</v>
      </c>
      <c r="AH33" s="2572" t="s">
        <v>3560</v>
      </c>
      <c r="AI33" s="2572" t="s">
        <v>3561</v>
      </c>
    </row>
    <row r="34" spans="2:35">
      <c r="B34" s="1965" t="s">
        <v>3562</v>
      </c>
      <c r="C34" s="2256" t="s">
        <v>842</v>
      </c>
      <c r="D34" s="1962"/>
      <c r="E34" s="2261" t="s">
        <v>732</v>
      </c>
      <c r="F34" s="2262">
        <v>2</v>
      </c>
      <c r="G34" s="2376">
        <v>7.1999999999999998E-3</v>
      </c>
      <c r="H34" s="2375">
        <v>-4.5999999999999999E-3</v>
      </c>
      <c r="I34" s="163"/>
      <c r="K34" s="24">
        <f t="shared" si="3"/>
        <v>0</v>
      </c>
      <c r="L34" s="163"/>
      <c r="M34" s="124"/>
      <c r="N34" s="93">
        <f t="shared" si="4"/>
        <v>0</v>
      </c>
      <c r="O34" s="93">
        <f t="shared" si="4"/>
        <v>0</v>
      </c>
      <c r="P34" s="119"/>
      <c r="Q34" s="127"/>
      <c r="R34" s="119"/>
      <c r="S34" s="165"/>
      <c r="T34" s="165"/>
      <c r="V34" s="119"/>
      <c r="Y34" s="120"/>
      <c r="AC34" s="1965" t="str">
        <f t="shared" si="5"/>
        <v>4H.24</v>
      </c>
      <c r="AD34" s="2256" t="s">
        <v>842</v>
      </c>
      <c r="AE34" s="1975"/>
      <c r="AF34" s="2261" t="s">
        <v>732</v>
      </c>
      <c r="AG34" s="2262">
        <v>2</v>
      </c>
      <c r="AH34" s="2572" t="s">
        <v>3563</v>
      </c>
      <c r="AI34" s="2572" t="s">
        <v>3564</v>
      </c>
    </row>
    <row r="35" spans="2:35">
      <c r="B35" s="1965" t="s">
        <v>3565</v>
      </c>
      <c r="C35" s="2256" t="s">
        <v>3566</v>
      </c>
      <c r="D35" s="1963"/>
      <c r="E35" s="2261" t="s">
        <v>732</v>
      </c>
      <c r="F35" s="2262">
        <v>2</v>
      </c>
      <c r="G35" s="2376">
        <v>5.4999999999999997E-3</v>
      </c>
      <c r="H35" s="2375">
        <v>-5.9999999999999995E-4</v>
      </c>
      <c r="I35" s="163"/>
      <c r="K35" s="24">
        <f t="shared" si="3"/>
        <v>0</v>
      </c>
      <c r="L35" s="163"/>
      <c r="M35" s="124"/>
      <c r="N35" s="93">
        <f t="shared" si="4"/>
        <v>0</v>
      </c>
      <c r="O35" s="93">
        <f t="shared" si="4"/>
        <v>0</v>
      </c>
      <c r="P35" s="119"/>
      <c r="Q35" s="127"/>
      <c r="R35" s="119"/>
      <c r="S35" s="165"/>
      <c r="T35" s="165"/>
      <c r="V35" s="119"/>
      <c r="Y35" s="120"/>
      <c r="AC35" s="1965" t="str">
        <f t="shared" si="5"/>
        <v>4H.25</v>
      </c>
      <c r="AD35" s="2256" t="s">
        <v>3566</v>
      </c>
      <c r="AE35" s="1975"/>
      <c r="AF35" s="2261" t="s">
        <v>732</v>
      </c>
      <c r="AG35" s="2262">
        <v>2</v>
      </c>
      <c r="AH35" s="2572" t="s">
        <v>3567</v>
      </c>
      <c r="AI35" s="2572" t="s">
        <v>3568</v>
      </c>
    </row>
    <row r="36" spans="2:35">
      <c r="B36" s="2194" t="s">
        <v>3569</v>
      </c>
      <c r="C36" s="2257" t="s">
        <v>3570</v>
      </c>
      <c r="D36" s="2195"/>
      <c r="E36" s="2261" t="s">
        <v>732</v>
      </c>
      <c r="F36" s="2262">
        <v>2</v>
      </c>
      <c r="G36" s="2376">
        <v>-3.3999999999999998E-3</v>
      </c>
      <c r="H36" s="2375">
        <v>-1.9E-3</v>
      </c>
      <c r="I36" s="163"/>
      <c r="K36" s="24">
        <f t="shared" ref="K36" si="6" xml:space="preserve"> IF( SUM( M36:P36 ) = 0, 0, $N$5 )</f>
        <v>0</v>
      </c>
      <c r="L36" s="163"/>
      <c r="M36" s="124"/>
      <c r="N36" s="93">
        <f t="shared" ref="N36" si="7" xml:space="preserve"> IF( ISNUMBER( G36 ), 0, 1 )</f>
        <v>0</v>
      </c>
      <c r="O36" s="93">
        <f t="shared" ref="O36" si="8" xml:space="preserve"> IF( ISNUMBER( H36 ), 0, 1 )</f>
        <v>0</v>
      </c>
      <c r="P36" s="119"/>
      <c r="Q36" s="127"/>
      <c r="R36" s="119"/>
      <c r="S36" s="165"/>
      <c r="T36" s="165"/>
      <c r="V36" s="119"/>
      <c r="Y36" s="120"/>
      <c r="AC36" s="1965" t="str">
        <f t="shared" si="5"/>
        <v>4H.26</v>
      </c>
      <c r="AD36" s="2257" t="s">
        <v>3570</v>
      </c>
      <c r="AE36" s="1975"/>
      <c r="AF36" s="2261" t="s">
        <v>732</v>
      </c>
      <c r="AG36" s="2262">
        <v>2</v>
      </c>
      <c r="AH36" s="2573" t="s">
        <v>3571</v>
      </c>
      <c r="AI36" s="2574" t="s">
        <v>3572</v>
      </c>
    </row>
    <row r="37" spans="2:35" ht="14.5" thickBot="1">
      <c r="B37" s="2115" t="s">
        <v>3573</v>
      </c>
      <c r="C37" s="2258" t="s">
        <v>3574</v>
      </c>
      <c r="D37" s="2116"/>
      <c r="E37" s="2263" t="s">
        <v>732</v>
      </c>
      <c r="F37" s="2264">
        <v>2</v>
      </c>
      <c r="G37" s="1968">
        <f>SUM(G31:G36)</f>
        <v>3.2500000000000001E-2</v>
      </c>
      <c r="H37" s="1969">
        <f>SUM(H31:H36)</f>
        <v>4.7E-2</v>
      </c>
      <c r="I37" s="163"/>
      <c r="J37" s="1339" t="str">
        <f xml:space="preserve"> IF( Q37 = 0, "", U37 )</f>
        <v/>
      </c>
      <c r="L37" s="163"/>
      <c r="M37" s="119"/>
      <c r="N37" s="127"/>
      <c r="O37" s="127"/>
      <c r="P37" s="119"/>
      <c r="Q37" s="93">
        <f xml:space="preserve"> IF( (S37 = T37), 0, 1 )</f>
        <v>0</v>
      </c>
      <c r="R37" s="119"/>
      <c r="S37" s="165">
        <f>+G37</f>
        <v>3.2500000000000001E-2</v>
      </c>
      <c r="T37" s="165">
        <f>+G11</f>
        <v>3.2500000000000001E-2</v>
      </c>
      <c r="U37" s="74" t="s">
        <v>3575</v>
      </c>
      <c r="V37" s="119"/>
      <c r="Y37" s="120"/>
      <c r="AC37" s="1965" t="str">
        <f t="shared" si="5"/>
        <v>4H.27</v>
      </c>
      <c r="AD37" s="2265" t="s">
        <v>3574</v>
      </c>
      <c r="AE37" s="1975"/>
      <c r="AF37" s="2261" t="s">
        <v>732</v>
      </c>
      <c r="AG37" s="2262">
        <v>2</v>
      </c>
      <c r="AH37" s="2575" t="s">
        <v>3576</v>
      </c>
      <c r="AI37" s="2576" t="s">
        <v>3577</v>
      </c>
    </row>
    <row r="38" spans="2:35" ht="14.5" thickBot="1">
      <c r="I38" s="163"/>
      <c r="L38" s="163"/>
      <c r="M38" s="119"/>
      <c r="N38" s="127"/>
      <c r="O38" s="127"/>
      <c r="P38" s="119"/>
      <c r="Q38" s="127"/>
      <c r="R38" s="119"/>
      <c r="S38" s="165"/>
      <c r="T38" s="165"/>
      <c r="V38" s="119"/>
      <c r="Y38" s="120"/>
    </row>
    <row r="39" spans="2:35" ht="14.5" thickBot="1">
      <c r="B39" s="113" t="s">
        <v>390</v>
      </c>
      <c r="C39" s="114" t="s">
        <v>350</v>
      </c>
      <c r="D39" s="1473"/>
      <c r="I39" s="163"/>
      <c r="L39" s="163"/>
      <c r="M39" s="119"/>
      <c r="N39" s="127"/>
      <c r="O39" s="127"/>
      <c r="P39" s="119"/>
      <c r="Q39" s="127"/>
      <c r="R39" s="119"/>
      <c r="S39" s="165"/>
      <c r="T39" s="165"/>
      <c r="V39" s="119"/>
      <c r="Y39" s="120"/>
      <c r="AC39" s="113" t="s">
        <v>333</v>
      </c>
      <c r="AD39" s="114" t="s">
        <v>350</v>
      </c>
      <c r="AE39" s="1473"/>
    </row>
    <row r="40" spans="2:35">
      <c r="B40" s="86" t="s">
        <v>3578</v>
      </c>
      <c r="C40" s="117" t="s">
        <v>3579</v>
      </c>
      <c r="D40" s="117"/>
      <c r="E40" s="88" t="s">
        <v>732</v>
      </c>
      <c r="F40" s="88">
        <v>2</v>
      </c>
      <c r="G40" s="2112">
        <f>IF( '1E'!J8 = 0, 0, ('1E'!G6+'1E'!J7) / '1E'!J8 )</f>
        <v>0.24566955574946131</v>
      </c>
      <c r="I40" s="163"/>
      <c r="M40" s="119"/>
      <c r="N40" s="127"/>
      <c r="O40" s="127"/>
      <c r="P40" s="119"/>
      <c r="Q40" s="127"/>
      <c r="R40" s="119"/>
      <c r="S40" s="165"/>
      <c r="T40" s="165"/>
      <c r="V40" s="119"/>
      <c r="Y40" s="169"/>
      <c r="AC40" s="86" t="str">
        <f t="shared" ref="AC40:AC47" si="9">+B40</f>
        <v>4H.28</v>
      </c>
      <c r="AD40" s="117" t="s">
        <v>3579</v>
      </c>
      <c r="AE40" s="117"/>
      <c r="AF40" s="88" t="s">
        <v>732</v>
      </c>
      <c r="AG40" s="89">
        <v>2</v>
      </c>
      <c r="AH40" s="834" t="s">
        <v>3580</v>
      </c>
    </row>
    <row r="41" spans="2:35">
      <c r="B41" s="94" t="s">
        <v>3581</v>
      </c>
      <c r="C41" s="87" t="s">
        <v>3582</v>
      </c>
      <c r="D41" s="87"/>
      <c r="E41" s="95" t="s">
        <v>732</v>
      </c>
      <c r="F41" s="95">
        <v>2</v>
      </c>
      <c r="G41" s="2113">
        <f>IF( '1E'!J8 = 0, 0, '1E'!H6 / '1E'!J8 )</f>
        <v>0.26137083459471011</v>
      </c>
      <c r="I41" s="163"/>
      <c r="L41" s="163"/>
      <c r="M41" s="119"/>
      <c r="N41" s="127"/>
      <c r="O41" s="127"/>
      <c r="P41" s="119"/>
      <c r="Q41" s="127"/>
      <c r="R41" s="119"/>
      <c r="S41" s="165"/>
      <c r="T41" s="165"/>
      <c r="V41" s="119"/>
      <c r="Y41" s="169"/>
      <c r="AC41" s="170" t="str">
        <f t="shared" si="9"/>
        <v>4H.29</v>
      </c>
      <c r="AD41" s="171" t="s">
        <v>3582</v>
      </c>
      <c r="AE41" s="171"/>
      <c r="AF41" s="167" t="s">
        <v>732</v>
      </c>
      <c r="AG41" s="168">
        <v>2</v>
      </c>
      <c r="AH41" s="836" t="s">
        <v>3583</v>
      </c>
    </row>
    <row r="42" spans="2:35" ht="22.5" customHeight="1">
      <c r="B42" s="94" t="s">
        <v>3584</v>
      </c>
      <c r="C42" s="87" t="s">
        <v>3585</v>
      </c>
      <c r="D42" s="87"/>
      <c r="E42" s="95" t="s">
        <v>732</v>
      </c>
      <c r="F42" s="95">
        <v>2</v>
      </c>
      <c r="G42" s="2113">
        <f>IF('1E'!J8 = 0, 0, '1E'!I6 / '1E'!J8 )</f>
        <v>0.49295960965582852</v>
      </c>
      <c r="I42" s="163"/>
      <c r="J42" s="1339" t="str">
        <f xml:space="preserve"> IF( SUM( P42:R42 ) = 0, 0, U42 )</f>
        <v>The total of lines 4H.21 to 4H.23 should equal 100%</v>
      </c>
      <c r="L42" s="163"/>
      <c r="N42" s="127"/>
      <c r="O42" s="127"/>
      <c r="Q42" s="93">
        <f xml:space="preserve"> IF( (S42 - T42) = 0, 0, 1 )</f>
        <v>1</v>
      </c>
      <c r="R42" s="119"/>
      <c r="S42" s="165">
        <f xml:space="preserve"> G40 + G41 + G42</f>
        <v>0.99999999999999989</v>
      </c>
      <c r="T42" s="223">
        <v>1</v>
      </c>
      <c r="U42" s="166" t="s">
        <v>3586</v>
      </c>
      <c r="Y42" s="169"/>
      <c r="AC42" s="170" t="str">
        <f t="shared" si="9"/>
        <v>4H.30</v>
      </c>
      <c r="AD42" s="171" t="s">
        <v>3585</v>
      </c>
      <c r="AE42" s="171"/>
      <c r="AF42" s="167" t="s">
        <v>732</v>
      </c>
      <c r="AG42" s="168">
        <v>2</v>
      </c>
      <c r="AH42" s="836" t="s">
        <v>3587</v>
      </c>
    </row>
    <row r="43" spans="2:35">
      <c r="B43" s="94" t="s">
        <v>3588</v>
      </c>
      <c r="C43" s="87" t="s">
        <v>3589</v>
      </c>
      <c r="D43" s="87"/>
      <c r="E43" s="95" t="s">
        <v>732</v>
      </c>
      <c r="F43" s="95">
        <v>2</v>
      </c>
      <c r="G43" s="2114">
        <v>2.2000000000000001E-3</v>
      </c>
      <c r="I43" s="163"/>
      <c r="K43" s="24">
        <f xml:space="preserve"> IF( SUM( M43:P43 ) = 0, 0, $N$5 )</f>
        <v>0</v>
      </c>
      <c r="L43" s="163"/>
      <c r="N43" s="93">
        <f xml:space="preserve"> IF( ISNUMBER( G43 ), 0, 1 )</f>
        <v>0</v>
      </c>
      <c r="O43" s="93"/>
      <c r="Q43" s="127"/>
      <c r="R43" s="119"/>
      <c r="S43" s="165"/>
      <c r="T43" s="165"/>
      <c r="Y43" s="169"/>
      <c r="AC43" s="170" t="str">
        <f t="shared" si="9"/>
        <v>4H.31</v>
      </c>
      <c r="AD43" s="171" t="s">
        <v>3589</v>
      </c>
      <c r="AE43" s="171"/>
      <c r="AF43" s="167" t="s">
        <v>732</v>
      </c>
      <c r="AG43" s="168">
        <v>2</v>
      </c>
      <c r="AH43" s="2567" t="s">
        <v>3590</v>
      </c>
    </row>
    <row r="44" spans="2:35">
      <c r="B44" s="94" t="s">
        <v>3591</v>
      </c>
      <c r="C44" s="173" t="s">
        <v>3592</v>
      </c>
      <c r="D44" s="173"/>
      <c r="E44" s="95" t="s">
        <v>732</v>
      </c>
      <c r="F44" s="95">
        <v>2</v>
      </c>
      <c r="G44" s="2114">
        <v>2.7699999999999999E-2</v>
      </c>
      <c r="I44" s="163"/>
      <c r="K44" s="24">
        <f xml:space="preserve"> IF( SUM( M44:P44 ) = 0, 0, $N$5 )</f>
        <v>0</v>
      </c>
      <c r="L44" s="163"/>
      <c r="M44" s="119"/>
      <c r="N44" s="93">
        <f xml:space="preserve"> IF( ISNUMBER( G44 ), 0, 1 )</f>
        <v>0</v>
      </c>
      <c r="O44" s="93"/>
      <c r="P44" s="119"/>
      <c r="Q44" s="127"/>
      <c r="R44" s="119"/>
      <c r="S44" s="165"/>
      <c r="T44" s="165"/>
      <c r="V44" s="119"/>
      <c r="Y44" s="169"/>
      <c r="AC44" s="170" t="str">
        <f t="shared" si="9"/>
        <v>4H.32</v>
      </c>
      <c r="AD44" s="172" t="s">
        <v>3592</v>
      </c>
      <c r="AE44" s="172"/>
      <c r="AF44" s="167" t="s">
        <v>732</v>
      </c>
      <c r="AG44" s="168">
        <v>2</v>
      </c>
      <c r="AH44" s="2567" t="s">
        <v>3593</v>
      </c>
    </row>
    <row r="45" spans="2:35" ht="14.25" customHeight="1">
      <c r="B45" s="94" t="s">
        <v>3594</v>
      </c>
      <c r="C45" s="173" t="s">
        <v>3595</v>
      </c>
      <c r="D45" s="173"/>
      <c r="E45" s="95" t="s">
        <v>732</v>
      </c>
      <c r="F45" s="95">
        <v>2</v>
      </c>
      <c r="G45" s="2114">
        <v>0.1043</v>
      </c>
      <c r="I45" s="163"/>
      <c r="K45" s="24">
        <f xml:space="preserve"> IF( SUM( M45:P45 ) = 0, 0, $N$5 )</f>
        <v>0</v>
      </c>
      <c r="L45" s="163"/>
      <c r="M45" s="124"/>
      <c r="N45" s="93">
        <f xml:space="preserve"> IF( ISNUMBER( G45 ), 0, 1 )</f>
        <v>0</v>
      </c>
      <c r="O45" s="93"/>
      <c r="P45" s="124"/>
      <c r="Q45" s="82"/>
      <c r="R45" s="124"/>
      <c r="S45" s="165"/>
      <c r="V45" s="124"/>
      <c r="Y45" s="169"/>
      <c r="AC45" s="170" t="str">
        <f t="shared" si="9"/>
        <v>4H.33</v>
      </c>
      <c r="AD45" s="173" t="s">
        <v>3595</v>
      </c>
      <c r="AE45" s="172"/>
      <c r="AF45" s="167" t="s">
        <v>732</v>
      </c>
      <c r="AG45" s="168">
        <v>2</v>
      </c>
      <c r="AH45" s="2567" t="s">
        <v>3596</v>
      </c>
    </row>
    <row r="46" spans="2:35">
      <c r="B46" s="94" t="s">
        <v>3597</v>
      </c>
      <c r="C46" s="173" t="s">
        <v>3598</v>
      </c>
      <c r="D46" s="173"/>
      <c r="E46" s="95" t="s">
        <v>732</v>
      </c>
      <c r="F46" s="95">
        <v>2</v>
      </c>
      <c r="G46" s="2114">
        <v>0.70109999999999995</v>
      </c>
      <c r="I46" s="163"/>
      <c r="K46" s="24">
        <f xml:space="preserve"> IF( SUM( M46:P46 ) = 0, 0, $N$5 )</f>
        <v>0</v>
      </c>
      <c r="L46" s="163"/>
      <c r="M46" s="124"/>
      <c r="N46" s="93">
        <f xml:space="preserve"> IF( ISNUMBER( G46 ), 0, 1 )</f>
        <v>0</v>
      </c>
      <c r="O46" s="93"/>
      <c r="P46" s="124"/>
      <c r="Q46" s="82"/>
      <c r="R46" s="124"/>
      <c r="S46" s="165"/>
      <c r="V46" s="124"/>
      <c r="Y46" s="169"/>
      <c r="AC46" s="170" t="str">
        <f t="shared" si="9"/>
        <v>4H.34</v>
      </c>
      <c r="AD46" s="173" t="s">
        <v>3598</v>
      </c>
      <c r="AE46" s="172"/>
      <c r="AF46" s="167" t="s">
        <v>732</v>
      </c>
      <c r="AG46" s="168">
        <v>2</v>
      </c>
      <c r="AH46" s="2577" t="s">
        <v>3599</v>
      </c>
    </row>
    <row r="47" spans="2:35" ht="23.25" customHeight="1" thickBot="1">
      <c r="B47" s="101" t="s">
        <v>3600</v>
      </c>
      <c r="C47" s="102" t="s">
        <v>3601</v>
      </c>
      <c r="D47" s="102"/>
      <c r="E47" s="103" t="s">
        <v>732</v>
      </c>
      <c r="F47" s="103">
        <v>2</v>
      </c>
      <c r="G47" s="730">
        <v>0.16470000000000001</v>
      </c>
      <c r="I47" s="163"/>
      <c r="J47" s="1339">
        <f xml:space="preserve"> IF( SUM( P47:R47 ) = 0, 0, U47 )</f>
        <v>0</v>
      </c>
      <c r="K47" s="24">
        <f xml:space="preserve"> IF( SUM( M47:P47 ) = 0, 0, $N$5 )</f>
        <v>0</v>
      </c>
      <c r="L47" s="163"/>
      <c r="M47" s="124"/>
      <c r="N47" s="93">
        <f xml:space="preserve"> IF( ISNUMBER( G47 ), 0, 1 )</f>
        <v>0</v>
      </c>
      <c r="O47" s="93"/>
      <c r="P47" s="124"/>
      <c r="Q47" s="93">
        <f xml:space="preserve"> IF( (S47 - T47) = 0, 0, 1 )</f>
        <v>0</v>
      </c>
      <c r="R47" s="119"/>
      <c r="S47" s="165">
        <f xml:space="preserve"> SUM( G43:G47 )</f>
        <v>1</v>
      </c>
      <c r="T47" s="223">
        <v>1</v>
      </c>
      <c r="U47" s="166" t="s">
        <v>3602</v>
      </c>
      <c r="V47" s="124"/>
      <c r="Y47" s="169"/>
      <c r="AC47" s="174" t="str">
        <f t="shared" si="9"/>
        <v>4H.35</v>
      </c>
      <c r="AD47" s="102" t="s">
        <v>3601</v>
      </c>
      <c r="AE47" s="391"/>
      <c r="AF47" s="175" t="s">
        <v>732</v>
      </c>
      <c r="AG47" s="176">
        <v>2</v>
      </c>
      <c r="AH47" s="2405" t="s">
        <v>3603</v>
      </c>
    </row>
    <row r="48" spans="2:35">
      <c r="I48" s="163"/>
      <c r="L48" s="163"/>
      <c r="N48" s="120"/>
      <c r="O48" s="120"/>
      <c r="Q48" s="110"/>
      <c r="R48" s="124"/>
    </row>
    <row r="49" spans="1:23" s="163" customFormat="1">
      <c r="B49" s="2914" t="s">
        <v>241</v>
      </c>
      <c r="C49" s="2914"/>
      <c r="D49" s="2823"/>
      <c r="J49" s="74"/>
      <c r="L49" s="126"/>
      <c r="M49" s="71"/>
      <c r="N49" s="70"/>
      <c r="O49" s="70"/>
      <c r="P49" s="71"/>
      <c r="Q49" s="74"/>
      <c r="R49" s="124"/>
      <c r="S49" s="74"/>
      <c r="T49" s="74"/>
      <c r="U49" s="74"/>
      <c r="V49" s="71"/>
      <c r="W49" s="126"/>
    </row>
    <row r="50" spans="1:23" s="163" customFormat="1">
      <c r="B50" s="141"/>
      <c r="C50" s="142"/>
      <c r="D50" s="142"/>
      <c r="J50" s="74"/>
      <c r="L50" s="126"/>
      <c r="M50" s="71"/>
      <c r="N50" s="70"/>
      <c r="O50" s="70"/>
      <c r="P50" s="71"/>
      <c r="Q50" s="74"/>
      <c r="R50" s="124"/>
      <c r="S50" s="70"/>
      <c r="T50" s="70"/>
      <c r="U50" s="70"/>
      <c r="V50" s="71"/>
      <c r="W50" s="126"/>
    </row>
    <row r="51" spans="1:23" s="163" customFormat="1">
      <c r="B51" s="25"/>
      <c r="C51" s="143" t="s">
        <v>188</v>
      </c>
      <c r="D51" s="143"/>
      <c r="J51" s="74"/>
      <c r="L51" s="126"/>
      <c r="M51" s="71"/>
      <c r="N51" s="70"/>
      <c r="O51" s="70"/>
      <c r="P51" s="71"/>
      <c r="Q51" s="74"/>
      <c r="R51" s="124"/>
      <c r="V51" s="71"/>
      <c r="W51" s="126"/>
    </row>
    <row r="52" spans="1:23" s="163" customFormat="1">
      <c r="B52" s="141"/>
      <c r="C52" s="142"/>
      <c r="D52" s="142"/>
      <c r="J52" s="74"/>
      <c r="L52" s="126"/>
      <c r="M52" s="124"/>
      <c r="N52" s="70"/>
      <c r="O52" s="70"/>
      <c r="P52" s="124"/>
      <c r="Q52" s="74"/>
      <c r="R52" s="124"/>
      <c r="V52" s="124"/>
      <c r="W52" s="126"/>
    </row>
    <row r="53" spans="1:23" s="163" customFormat="1">
      <c r="B53" s="144"/>
      <c r="C53" s="143" t="s">
        <v>189</v>
      </c>
      <c r="D53" s="143"/>
      <c r="J53" s="74"/>
      <c r="L53" s="126"/>
      <c r="M53" s="71"/>
      <c r="N53" s="70"/>
      <c r="O53" s="70"/>
      <c r="P53" s="71"/>
      <c r="Q53" s="74"/>
      <c r="R53" s="71"/>
      <c r="V53" s="71"/>
      <c r="W53" s="126"/>
    </row>
    <row r="54" spans="1:23" s="163" customFormat="1">
      <c r="B54" s="145"/>
      <c r="C54" s="143"/>
      <c r="D54" s="143"/>
      <c r="J54" s="74"/>
      <c r="L54" s="126"/>
      <c r="M54" s="71"/>
      <c r="N54" s="70"/>
      <c r="O54" s="70"/>
      <c r="P54" s="71"/>
      <c r="Q54" s="74"/>
      <c r="R54" s="71"/>
      <c r="V54" s="71"/>
      <c r="W54" s="126"/>
    </row>
    <row r="55" spans="1:23" s="178" customFormat="1" ht="14.5" thickBot="1">
      <c r="C55" s="179"/>
      <c r="D55" s="179"/>
      <c r="J55" s="74"/>
      <c r="L55" s="130"/>
      <c r="M55" s="71"/>
      <c r="N55" s="70"/>
      <c r="O55" s="70"/>
      <c r="P55" s="71"/>
      <c r="Q55" s="74"/>
      <c r="R55" s="71"/>
      <c r="S55" s="163"/>
      <c r="T55" s="163"/>
      <c r="U55" s="163"/>
      <c r="V55" s="71"/>
      <c r="W55" s="126"/>
    </row>
    <row r="56" spans="1:23" s="178" customFormat="1" ht="23.65" customHeight="1" thickBot="1">
      <c r="B56" s="2886" t="str">
        <f>'4G'!B28</f>
        <v>Please refer to RAG 4.08 - Guideline for the table definitions in the annual performance report for the reporting year 2019-20</v>
      </c>
      <c r="C56" s="2886"/>
      <c r="D56" s="2886"/>
      <c r="E56" s="2886"/>
      <c r="F56" s="2886"/>
      <c r="G56" s="2886"/>
      <c r="H56" s="1924"/>
      <c r="J56" s="74"/>
      <c r="L56" s="130"/>
      <c r="M56" s="71"/>
      <c r="N56" s="182" t="s">
        <v>778</v>
      </c>
      <c r="O56" s="182"/>
      <c r="P56" s="71"/>
      <c r="Q56" s="74"/>
      <c r="R56" s="71"/>
      <c r="S56" s="163"/>
      <c r="T56" s="163"/>
      <c r="U56" s="163"/>
      <c r="V56" s="71"/>
      <c r="W56" s="126"/>
    </row>
    <row r="57" spans="1:23" s="178" customFormat="1" ht="14.5" thickBot="1">
      <c r="C57" s="179"/>
      <c r="D57" s="179"/>
      <c r="J57" s="74"/>
      <c r="L57" s="130"/>
      <c r="M57" s="71"/>
      <c r="N57" s="70"/>
      <c r="O57" s="70"/>
      <c r="P57" s="71"/>
      <c r="Q57" s="74"/>
      <c r="R57" s="71"/>
      <c r="S57" s="163"/>
      <c r="T57" s="163"/>
      <c r="U57" s="163"/>
      <c r="V57" s="71"/>
      <c r="W57" s="126"/>
    </row>
    <row r="58" spans="1:23" s="178" customFormat="1" ht="36" customHeight="1" thickBot="1">
      <c r="B58" s="3088" t="s">
        <v>3604</v>
      </c>
      <c r="C58" s="3089"/>
      <c r="D58" s="3089"/>
      <c r="E58" s="3089"/>
      <c r="F58" s="3089"/>
      <c r="G58" s="3090"/>
      <c r="H58" s="1905"/>
      <c r="J58" s="74"/>
      <c r="L58" s="130"/>
      <c r="M58" s="71"/>
      <c r="N58" s="182" t="s">
        <v>778</v>
      </c>
      <c r="O58" s="182"/>
      <c r="P58" s="71"/>
      <c r="Q58" s="74"/>
      <c r="R58" s="71"/>
      <c r="S58" s="163"/>
      <c r="T58" s="163"/>
      <c r="U58" s="163"/>
      <c r="V58" s="71"/>
      <c r="W58" s="126"/>
    </row>
    <row r="59" spans="1:23" s="178" customFormat="1" ht="14.5" thickBot="1">
      <c r="C59" s="179"/>
      <c r="D59" s="179"/>
      <c r="J59" s="74"/>
      <c r="L59" s="130"/>
      <c r="M59" s="71"/>
      <c r="N59" s="70"/>
      <c r="O59" s="70"/>
      <c r="P59" s="71"/>
      <c r="Q59" s="74"/>
      <c r="R59" s="71"/>
      <c r="S59" s="163"/>
      <c r="T59" s="163"/>
      <c r="U59" s="163"/>
      <c r="V59" s="71"/>
      <c r="W59" s="126"/>
    </row>
    <row r="60" spans="1:23" ht="20.5" thickBot="1">
      <c r="B60" s="146" t="s">
        <v>3605</v>
      </c>
      <c r="C60" s="147"/>
      <c r="D60" s="147"/>
      <c r="E60" s="148"/>
      <c r="F60" s="148"/>
      <c r="G60" s="149"/>
      <c r="H60" s="178"/>
      <c r="J60" s="70"/>
    </row>
    <row r="61" spans="1:23" ht="14.5" thickBot="1">
      <c r="B61" s="74"/>
      <c r="C61" s="155"/>
      <c r="D61" s="155"/>
      <c r="E61" s="74"/>
      <c r="F61" s="74"/>
      <c r="G61" s="110"/>
      <c r="H61" s="110"/>
    </row>
    <row r="62" spans="1:23" ht="117" customHeight="1" thickBot="1">
      <c r="B62" s="3088" t="s">
        <v>3606</v>
      </c>
      <c r="C62" s="3089"/>
      <c r="D62" s="3089"/>
      <c r="E62" s="3089"/>
      <c r="F62" s="3089"/>
      <c r="G62" s="3090"/>
      <c r="H62" s="1905"/>
      <c r="I62" s="74"/>
      <c r="N62" s="182" t="s">
        <v>200</v>
      </c>
      <c r="O62" s="182"/>
    </row>
    <row r="63" spans="1:23" s="178" customFormat="1">
      <c r="C63" s="179"/>
      <c r="D63" s="179"/>
      <c r="J63" s="74"/>
      <c r="L63" s="130"/>
      <c r="M63" s="71"/>
      <c r="N63" s="70"/>
      <c r="O63" s="70"/>
      <c r="P63" s="71"/>
      <c r="Q63" s="74"/>
      <c r="R63" s="71"/>
      <c r="S63" s="163"/>
      <c r="T63" s="163"/>
      <c r="U63" s="163"/>
      <c r="V63" s="71"/>
      <c r="W63" s="126"/>
    </row>
    <row r="64" spans="1:23" s="110" customFormat="1" ht="20.5" hidden="1" thickBot="1">
      <c r="A64" s="1528"/>
      <c r="B64" s="146" t="str">
        <f ca="1" xml:space="preserve"> RIGHT(CELL("filename", $A$1), LEN(CELL("filename", $A$1)) - SEARCH("]", CELL("filename", $A$1)))&amp;" - Line definitions"</f>
        <v>4H - Line definitions</v>
      </c>
      <c r="C64" s="147"/>
      <c r="D64" s="147"/>
      <c r="E64" s="148"/>
      <c r="F64" s="148"/>
      <c r="G64" s="149"/>
      <c r="H64" s="178"/>
      <c r="I64" s="178"/>
      <c r="J64" s="74"/>
      <c r="K64" s="178"/>
      <c r="M64" s="71"/>
      <c r="N64" s="70"/>
      <c r="O64" s="70"/>
      <c r="P64" s="71"/>
      <c r="Q64" s="74"/>
      <c r="R64" s="71"/>
      <c r="S64" s="178"/>
      <c r="T64" s="178"/>
      <c r="U64" s="178"/>
      <c r="V64" s="71"/>
      <c r="W64" s="126"/>
    </row>
    <row r="65" spans="1:23" s="110" customFormat="1" ht="14.5" hidden="1" thickBot="1">
      <c r="A65" s="1528"/>
      <c r="B65" s="150"/>
      <c r="C65" s="151"/>
      <c r="D65" s="151"/>
      <c r="E65" s="74"/>
      <c r="F65" s="74"/>
      <c r="G65" s="74"/>
      <c r="H65" s="74"/>
      <c r="J65" s="74"/>
      <c r="M65" s="71"/>
      <c r="N65" s="70"/>
      <c r="O65" s="70"/>
      <c r="P65" s="71"/>
      <c r="Q65" s="74"/>
      <c r="R65" s="71"/>
      <c r="S65" s="178"/>
      <c r="T65" s="178"/>
      <c r="U65" s="178"/>
      <c r="V65" s="71"/>
      <c r="W65" s="126"/>
    </row>
    <row r="66" spans="1:23" s="178" customFormat="1" ht="14.5" hidden="1" thickBot="1">
      <c r="A66" s="1529"/>
      <c r="B66" s="156" t="s">
        <v>191</v>
      </c>
      <c r="C66" s="3087" t="s">
        <v>192</v>
      </c>
      <c r="D66" s="3009"/>
      <c r="E66" s="3009"/>
      <c r="F66" s="3009"/>
      <c r="G66" s="3010"/>
      <c r="H66" s="1906"/>
      <c r="I66" s="110"/>
      <c r="J66" s="74"/>
      <c r="K66" s="110"/>
      <c r="L66" s="110"/>
      <c r="M66" s="71"/>
      <c r="N66" s="180">
        <v>1</v>
      </c>
      <c r="O66" s="180"/>
      <c r="P66" s="71"/>
      <c r="Q66" s="74"/>
      <c r="R66" s="71"/>
      <c r="S66" s="110"/>
      <c r="T66" s="110"/>
      <c r="U66" s="110"/>
      <c r="V66" s="71"/>
      <c r="W66" s="118"/>
    </row>
    <row r="67" spans="1:23" s="178" customFormat="1" ht="14.25" hidden="1" customHeight="1">
      <c r="A67" s="1529"/>
      <c r="B67" s="181" t="s">
        <v>3485</v>
      </c>
      <c r="C67" s="2965" t="s">
        <v>3607</v>
      </c>
      <c r="D67" s="2966"/>
      <c r="E67" s="2966"/>
      <c r="F67" s="2966"/>
      <c r="G67" s="2967"/>
      <c r="H67" s="1905"/>
      <c r="I67" s="110"/>
      <c r="J67" s="74"/>
      <c r="K67" s="110"/>
      <c r="L67" s="110"/>
      <c r="M67" s="71"/>
      <c r="N67" s="180">
        <v>1</v>
      </c>
      <c r="O67" s="180"/>
      <c r="P67" s="71"/>
      <c r="Q67" s="74"/>
      <c r="R67" s="71"/>
      <c r="S67" s="110"/>
      <c r="T67" s="110"/>
      <c r="U67" s="110"/>
      <c r="V67" s="71"/>
      <c r="W67" s="118"/>
    </row>
    <row r="68" spans="1:23" ht="25.5" hidden="1" customHeight="1">
      <c r="A68" s="1531"/>
      <c r="B68" s="159" t="s">
        <v>3487</v>
      </c>
      <c r="C68" s="2962" t="s">
        <v>3608</v>
      </c>
      <c r="D68" s="2963"/>
      <c r="E68" s="2963"/>
      <c r="F68" s="2963"/>
      <c r="G68" s="2964"/>
      <c r="H68" s="1905"/>
      <c r="I68" s="110"/>
      <c r="K68" s="110"/>
      <c r="L68" s="110"/>
      <c r="N68" s="182">
        <v>1</v>
      </c>
      <c r="O68" s="182"/>
      <c r="S68" s="110"/>
      <c r="T68" s="110"/>
      <c r="U68" s="110"/>
    </row>
    <row r="69" spans="1:23" s="110" customFormat="1" ht="13.5" hidden="1" customHeight="1">
      <c r="A69" s="1528"/>
      <c r="B69" s="159" t="s">
        <v>3490</v>
      </c>
      <c r="C69" s="2962" t="s">
        <v>3609</v>
      </c>
      <c r="D69" s="2963"/>
      <c r="E69" s="2963"/>
      <c r="F69" s="2963"/>
      <c r="G69" s="2964"/>
      <c r="H69" s="1905"/>
      <c r="J69" s="74"/>
      <c r="M69" s="71"/>
      <c r="N69" s="182">
        <v>1</v>
      </c>
      <c r="O69" s="182"/>
      <c r="P69" s="71"/>
      <c r="Q69" s="74"/>
      <c r="R69" s="71"/>
      <c r="V69" s="71"/>
      <c r="W69" s="118"/>
    </row>
    <row r="70" spans="1:23" s="110" customFormat="1" ht="63.75" hidden="1" customHeight="1">
      <c r="A70" s="1528"/>
      <c r="B70" s="159" t="s">
        <v>3492</v>
      </c>
      <c r="C70" s="2962" t="s">
        <v>3610</v>
      </c>
      <c r="D70" s="2963"/>
      <c r="E70" s="2963"/>
      <c r="F70" s="2963"/>
      <c r="G70" s="2964"/>
      <c r="H70" s="1905"/>
      <c r="J70" s="74"/>
      <c r="M70" s="71"/>
      <c r="N70" s="182" t="s">
        <v>3611</v>
      </c>
      <c r="O70" s="182"/>
      <c r="P70" s="71"/>
      <c r="Q70" s="74"/>
      <c r="R70" s="71"/>
      <c r="V70" s="71"/>
      <c r="W70" s="118"/>
    </row>
    <row r="71" spans="1:23" s="110" customFormat="1" ht="272.25" hidden="1" customHeight="1">
      <c r="A71" s="1528"/>
      <c r="B71" s="159" t="s">
        <v>3495</v>
      </c>
      <c r="C71" s="2962" t="s">
        <v>3612</v>
      </c>
      <c r="D71" s="2963"/>
      <c r="E71" s="2963"/>
      <c r="F71" s="2963"/>
      <c r="G71" s="2964"/>
      <c r="H71" s="1905"/>
      <c r="J71" s="74"/>
      <c r="M71" s="71"/>
      <c r="N71" s="182" t="s">
        <v>3613</v>
      </c>
      <c r="O71" s="182"/>
      <c r="P71" s="71"/>
      <c r="Q71" s="74"/>
      <c r="R71" s="71"/>
      <c r="V71" s="71"/>
      <c r="W71" s="118"/>
    </row>
    <row r="72" spans="1:23" s="120" customFormat="1" ht="35.25" hidden="1" customHeight="1">
      <c r="A72" s="1530"/>
      <c r="B72" s="159" t="s">
        <v>3499</v>
      </c>
      <c r="C72" s="2962" t="s">
        <v>3614</v>
      </c>
      <c r="D72" s="2963"/>
      <c r="E72" s="2963"/>
      <c r="F72" s="2963"/>
      <c r="G72" s="2964"/>
      <c r="H72" s="1905"/>
      <c r="I72" s="110"/>
      <c r="J72" s="74"/>
      <c r="K72" s="110"/>
      <c r="L72" s="110"/>
      <c r="M72" s="71"/>
      <c r="N72" s="182" t="s">
        <v>778</v>
      </c>
      <c r="O72" s="182"/>
      <c r="P72" s="71"/>
      <c r="Q72" s="74"/>
      <c r="R72" s="71"/>
      <c r="S72" s="110"/>
      <c r="T72" s="110"/>
      <c r="U72" s="110"/>
      <c r="V72" s="71"/>
      <c r="W72" s="118"/>
    </row>
    <row r="73" spans="1:23" s="120" customFormat="1" ht="23.25" hidden="1" customHeight="1">
      <c r="A73" s="1530"/>
      <c r="B73" s="159" t="s">
        <v>3502</v>
      </c>
      <c r="C73" s="2962" t="s">
        <v>3615</v>
      </c>
      <c r="D73" s="2963"/>
      <c r="E73" s="2963"/>
      <c r="F73" s="2963"/>
      <c r="G73" s="2964"/>
      <c r="H73" s="1905"/>
      <c r="I73" s="110"/>
      <c r="J73" s="74"/>
      <c r="K73" s="110"/>
      <c r="L73" s="110"/>
      <c r="M73" s="71"/>
      <c r="N73" s="182" t="s">
        <v>195</v>
      </c>
      <c r="O73" s="182"/>
      <c r="P73" s="71"/>
      <c r="Q73" s="74"/>
      <c r="R73" s="71"/>
      <c r="S73" s="110"/>
      <c r="T73" s="110"/>
      <c r="U73" s="110"/>
      <c r="V73" s="71"/>
      <c r="W73" s="118"/>
    </row>
    <row r="74" spans="1:23" s="120" customFormat="1" ht="23.25" hidden="1" customHeight="1">
      <c r="A74" s="1530"/>
      <c r="B74" s="159" t="s">
        <v>3507</v>
      </c>
      <c r="C74" s="2962" t="s">
        <v>3615</v>
      </c>
      <c r="D74" s="2963"/>
      <c r="E74" s="2963"/>
      <c r="F74" s="2963"/>
      <c r="G74" s="2964"/>
      <c r="H74" s="1905"/>
      <c r="I74" s="110"/>
      <c r="J74" s="74"/>
      <c r="K74" s="110"/>
      <c r="L74" s="110"/>
      <c r="M74" s="71"/>
      <c r="N74" s="182" t="s">
        <v>195</v>
      </c>
      <c r="O74" s="182"/>
      <c r="P74" s="71"/>
      <c r="Q74" s="74"/>
      <c r="R74" s="71"/>
      <c r="S74" s="110"/>
      <c r="T74" s="110"/>
      <c r="U74" s="110"/>
      <c r="V74" s="71"/>
      <c r="W74" s="118"/>
    </row>
    <row r="75" spans="1:23" s="120" customFormat="1" ht="60.75" hidden="1" customHeight="1">
      <c r="A75" s="1530"/>
      <c r="B75" s="159" t="s">
        <v>3511</v>
      </c>
      <c r="C75" s="2962" t="s">
        <v>3616</v>
      </c>
      <c r="D75" s="2963"/>
      <c r="E75" s="2963"/>
      <c r="F75" s="2963"/>
      <c r="G75" s="2964"/>
      <c r="H75" s="1905"/>
      <c r="I75" s="110"/>
      <c r="J75" s="74"/>
      <c r="K75" s="110"/>
      <c r="L75" s="110"/>
      <c r="M75" s="71"/>
      <c r="N75" s="182" t="s">
        <v>1338</v>
      </c>
      <c r="O75" s="182"/>
      <c r="P75" s="71"/>
      <c r="Q75" s="74"/>
      <c r="R75" s="71"/>
      <c r="S75" s="110"/>
      <c r="T75" s="110"/>
      <c r="U75" s="110"/>
      <c r="V75" s="71"/>
      <c r="W75" s="118"/>
    </row>
    <row r="76" spans="1:23" ht="52.15" hidden="1" customHeight="1">
      <c r="A76" s="1531"/>
      <c r="B76" s="159" t="s">
        <v>3516</v>
      </c>
      <c r="C76" s="2962" t="s">
        <v>3617</v>
      </c>
      <c r="D76" s="2963"/>
      <c r="E76" s="2963"/>
      <c r="F76" s="2963"/>
      <c r="G76" s="2964"/>
      <c r="H76" s="1905"/>
      <c r="I76" s="110"/>
      <c r="K76" s="110"/>
      <c r="L76" s="110"/>
      <c r="N76" s="182" t="s">
        <v>1338</v>
      </c>
      <c r="O76" s="182"/>
      <c r="S76" s="110"/>
      <c r="T76" s="110"/>
      <c r="U76" s="110"/>
    </row>
    <row r="77" spans="1:23" ht="35.25" hidden="1" customHeight="1">
      <c r="A77" s="1531"/>
      <c r="B77" s="159" t="s">
        <v>3519</v>
      </c>
      <c r="C77" s="2962" t="s">
        <v>3618</v>
      </c>
      <c r="D77" s="2963"/>
      <c r="E77" s="2963"/>
      <c r="F77" s="2963"/>
      <c r="G77" s="2964"/>
      <c r="H77" s="1905"/>
      <c r="I77" s="110"/>
      <c r="K77" s="110"/>
      <c r="L77" s="110"/>
      <c r="N77" s="182" t="s">
        <v>778</v>
      </c>
      <c r="O77" s="182"/>
      <c r="S77" s="110"/>
      <c r="T77" s="110"/>
      <c r="U77" s="110"/>
    </row>
    <row r="78" spans="1:23" ht="35.25" hidden="1" customHeight="1">
      <c r="A78" s="1531"/>
      <c r="B78" s="159" t="s">
        <v>3523</v>
      </c>
      <c r="C78" s="2962" t="s">
        <v>3619</v>
      </c>
      <c r="D78" s="2963"/>
      <c r="E78" s="2963"/>
      <c r="F78" s="2963"/>
      <c r="G78" s="2964"/>
      <c r="H78" s="1905"/>
      <c r="I78" s="110"/>
      <c r="K78" s="110"/>
      <c r="L78" s="110"/>
      <c r="N78" s="182" t="s">
        <v>778</v>
      </c>
      <c r="O78" s="182"/>
      <c r="S78" s="110"/>
      <c r="T78" s="110"/>
      <c r="U78" s="110"/>
    </row>
    <row r="79" spans="1:23" ht="23.25" hidden="1" customHeight="1">
      <c r="A79" s="1531"/>
      <c r="B79" s="159" t="s">
        <v>3526</v>
      </c>
      <c r="C79" s="2962" t="s">
        <v>3620</v>
      </c>
      <c r="D79" s="2963"/>
      <c r="E79" s="2963"/>
      <c r="F79" s="2963"/>
      <c r="G79" s="2964"/>
      <c r="H79" s="1905"/>
      <c r="I79" s="110"/>
      <c r="K79" s="110"/>
      <c r="L79" s="110"/>
      <c r="N79" s="182" t="s">
        <v>195</v>
      </c>
      <c r="O79" s="182"/>
      <c r="S79" s="110"/>
      <c r="T79" s="110"/>
      <c r="U79" s="110"/>
    </row>
    <row r="80" spans="1:23" ht="58.5" hidden="1" customHeight="1">
      <c r="A80" s="1531"/>
      <c r="B80" s="159" t="s">
        <v>3529</v>
      </c>
      <c r="C80" s="2962" t="s">
        <v>3621</v>
      </c>
      <c r="D80" s="2963"/>
      <c r="E80" s="2963"/>
      <c r="F80" s="2963"/>
      <c r="G80" s="2964"/>
      <c r="H80" s="1905"/>
      <c r="I80" s="110"/>
      <c r="K80" s="110"/>
      <c r="L80" s="110"/>
      <c r="N80" s="182" t="s">
        <v>1338</v>
      </c>
      <c r="O80" s="182"/>
      <c r="S80" s="110"/>
      <c r="T80" s="110"/>
      <c r="U80" s="110"/>
    </row>
    <row r="81" spans="1:21" ht="25.5" hidden="1" customHeight="1">
      <c r="A81" s="1531"/>
      <c r="B81" s="159" t="s">
        <v>3532</v>
      </c>
      <c r="C81" s="2962" t="s">
        <v>3622</v>
      </c>
      <c r="D81" s="2963"/>
      <c r="E81" s="2963"/>
      <c r="F81" s="2963"/>
      <c r="G81" s="2964"/>
      <c r="H81" s="1905"/>
      <c r="I81" s="110"/>
      <c r="K81" s="110"/>
      <c r="L81" s="110"/>
      <c r="N81" s="182">
        <v>1</v>
      </c>
      <c r="O81" s="182"/>
      <c r="S81" s="110"/>
      <c r="T81" s="110"/>
      <c r="U81" s="110"/>
    </row>
    <row r="82" spans="1:21" ht="23.25" hidden="1" customHeight="1">
      <c r="A82" s="1531"/>
      <c r="B82" s="159" t="s">
        <v>3535</v>
      </c>
      <c r="C82" s="2962" t="s">
        <v>3623</v>
      </c>
      <c r="D82" s="2963"/>
      <c r="E82" s="2963"/>
      <c r="F82" s="2963"/>
      <c r="G82" s="2964"/>
      <c r="H82" s="1905"/>
      <c r="I82" s="110"/>
      <c r="K82" s="110"/>
      <c r="L82" s="110"/>
      <c r="N82" s="182" t="s">
        <v>195</v>
      </c>
      <c r="O82" s="182"/>
      <c r="S82" s="110"/>
      <c r="T82" s="110"/>
      <c r="U82" s="110"/>
    </row>
    <row r="83" spans="1:21" ht="17.25" hidden="1" customHeight="1">
      <c r="A83" s="1531"/>
      <c r="B83" s="159" t="s">
        <v>3538</v>
      </c>
      <c r="C83" s="2962" t="s">
        <v>3624</v>
      </c>
      <c r="D83" s="2963"/>
      <c r="E83" s="2963"/>
      <c r="F83" s="2963"/>
      <c r="G83" s="2964"/>
      <c r="H83" s="1905"/>
      <c r="I83" s="110"/>
      <c r="K83" s="110"/>
      <c r="L83" s="110"/>
      <c r="N83" s="180">
        <v>1</v>
      </c>
      <c r="O83" s="180"/>
      <c r="S83" s="110"/>
      <c r="T83" s="110"/>
      <c r="U83" s="110"/>
    </row>
    <row r="84" spans="1:21" ht="17.25" hidden="1" customHeight="1">
      <c r="A84" s="1531"/>
      <c r="B84" s="159" t="s">
        <v>3541</v>
      </c>
      <c r="C84" s="2962" t="s">
        <v>3625</v>
      </c>
      <c r="D84" s="2963"/>
      <c r="E84" s="2963"/>
      <c r="F84" s="2963"/>
      <c r="G84" s="2964"/>
      <c r="H84" s="1905"/>
      <c r="I84" s="110"/>
      <c r="K84" s="110"/>
      <c r="L84" s="110"/>
      <c r="N84" s="180">
        <v>1</v>
      </c>
      <c r="O84" s="180"/>
      <c r="S84" s="110"/>
      <c r="T84" s="110"/>
      <c r="U84" s="110"/>
    </row>
    <row r="85" spans="1:21" ht="17.25" hidden="1" customHeight="1">
      <c r="A85" s="1531"/>
      <c r="B85" s="159" t="s">
        <v>3545</v>
      </c>
      <c r="C85" s="2962" t="s">
        <v>3626</v>
      </c>
      <c r="D85" s="2963"/>
      <c r="E85" s="2963"/>
      <c r="F85" s="2963"/>
      <c r="G85" s="2964"/>
      <c r="H85" s="1905"/>
      <c r="I85" s="110"/>
      <c r="K85" s="110"/>
      <c r="L85" s="110"/>
      <c r="N85" s="180">
        <v>1</v>
      </c>
      <c r="O85" s="180"/>
      <c r="S85" s="110"/>
      <c r="T85" s="110"/>
      <c r="U85" s="110"/>
    </row>
    <row r="86" spans="1:21" ht="36" hidden="1">
      <c r="A86" s="1531"/>
      <c r="B86" s="159" t="s">
        <v>3547</v>
      </c>
      <c r="C86" s="2962" t="s">
        <v>3627</v>
      </c>
      <c r="D86" s="2963"/>
      <c r="E86" s="2963"/>
      <c r="F86" s="2963"/>
      <c r="G86" s="2964"/>
      <c r="H86" s="1905"/>
      <c r="I86" s="110"/>
      <c r="K86" s="110"/>
      <c r="L86" s="110"/>
      <c r="N86" s="182" t="s">
        <v>778</v>
      </c>
      <c r="O86" s="182"/>
      <c r="S86" s="110"/>
      <c r="T86" s="110"/>
      <c r="U86" s="110"/>
    </row>
    <row r="87" spans="1:21" ht="40.15" hidden="1" customHeight="1">
      <c r="A87" s="1531"/>
      <c r="B87" s="159" t="s">
        <v>3551</v>
      </c>
      <c r="C87" s="2962" t="s">
        <v>3628</v>
      </c>
      <c r="D87" s="2963"/>
      <c r="E87" s="2963"/>
      <c r="F87" s="2963"/>
      <c r="G87" s="2964"/>
      <c r="H87" s="1905"/>
      <c r="I87" s="110"/>
      <c r="K87" s="110"/>
      <c r="L87" s="110"/>
      <c r="N87" s="182" t="s">
        <v>195</v>
      </c>
      <c r="O87" s="182"/>
    </row>
    <row r="88" spans="1:21" ht="69.75" hidden="1" customHeight="1">
      <c r="A88" s="1531"/>
      <c r="B88" s="159" t="s">
        <v>3555</v>
      </c>
      <c r="C88" s="2962" t="s">
        <v>3629</v>
      </c>
      <c r="D88" s="2963"/>
      <c r="E88" s="2963"/>
      <c r="F88" s="2963"/>
      <c r="G88" s="2964"/>
      <c r="H88" s="1905"/>
      <c r="I88" s="110"/>
      <c r="K88" s="110"/>
      <c r="L88" s="110"/>
      <c r="N88" s="182"/>
      <c r="O88" s="182"/>
    </row>
    <row r="89" spans="1:21" ht="40.15" hidden="1" customHeight="1">
      <c r="A89" s="1531"/>
      <c r="B89" s="159" t="s">
        <v>3558</v>
      </c>
      <c r="C89" s="2962" t="s">
        <v>3630</v>
      </c>
      <c r="D89" s="2963"/>
      <c r="E89" s="2963"/>
      <c r="F89" s="2963"/>
      <c r="G89" s="2964"/>
      <c r="H89" s="1905"/>
      <c r="I89" s="110"/>
      <c r="K89" s="110"/>
      <c r="L89" s="110"/>
      <c r="N89" s="182"/>
      <c r="O89" s="182"/>
    </row>
    <row r="90" spans="1:21" ht="48" hidden="1" customHeight="1">
      <c r="A90" s="1531"/>
      <c r="B90" s="159" t="s">
        <v>3562</v>
      </c>
      <c r="C90" s="2962" t="s">
        <v>3631</v>
      </c>
      <c r="D90" s="2963"/>
      <c r="E90" s="2963"/>
      <c r="F90" s="2963"/>
      <c r="G90" s="2964"/>
      <c r="H90" s="1905"/>
      <c r="I90" s="110"/>
      <c r="K90" s="110"/>
      <c r="L90" s="110"/>
      <c r="N90" s="182"/>
      <c r="O90" s="182"/>
    </row>
    <row r="91" spans="1:21" ht="104.25" hidden="1" customHeight="1">
      <c r="A91" s="1531"/>
      <c r="B91" s="159" t="s">
        <v>3565</v>
      </c>
      <c r="C91" s="2962" t="s">
        <v>3632</v>
      </c>
      <c r="D91" s="2963"/>
      <c r="E91" s="2963"/>
      <c r="F91" s="2963"/>
      <c r="G91" s="2964"/>
      <c r="H91" s="1905"/>
      <c r="I91" s="110"/>
      <c r="K91" s="110"/>
      <c r="L91" s="110"/>
      <c r="N91" s="182"/>
      <c r="O91" s="182"/>
    </row>
    <row r="92" spans="1:21" ht="13.5" hidden="1" customHeight="1">
      <c r="A92" s="1531"/>
      <c r="B92" s="159" t="s">
        <v>3569</v>
      </c>
      <c r="C92" s="2837" t="s">
        <v>3633</v>
      </c>
      <c r="D92" s="2838"/>
      <c r="E92" s="2838"/>
      <c r="F92" s="2838"/>
      <c r="G92" s="2839"/>
      <c r="H92" s="1905"/>
      <c r="I92" s="110"/>
      <c r="K92" s="110"/>
      <c r="L92" s="110"/>
      <c r="N92" s="182"/>
      <c r="O92" s="182"/>
    </row>
    <row r="93" spans="1:21" ht="18.75" hidden="1" customHeight="1">
      <c r="A93" s="1531"/>
      <c r="B93" s="159" t="s">
        <v>3573</v>
      </c>
      <c r="C93" s="2837" t="s">
        <v>3634</v>
      </c>
      <c r="D93" s="2838"/>
      <c r="E93" s="2838"/>
      <c r="F93" s="2838"/>
      <c r="G93" s="2839"/>
      <c r="H93" s="1905"/>
      <c r="I93" s="110"/>
      <c r="K93" s="110"/>
      <c r="L93" s="110"/>
      <c r="N93" s="182"/>
      <c r="O93" s="182"/>
    </row>
    <row r="94" spans="1:21" ht="17.25" hidden="1" customHeight="1">
      <c r="A94" s="1531"/>
      <c r="B94" s="159" t="s">
        <v>3578</v>
      </c>
      <c r="C94" s="2837" t="s">
        <v>3634</v>
      </c>
      <c r="D94" s="2838"/>
      <c r="E94" s="2838"/>
      <c r="F94" s="2838"/>
      <c r="G94" s="2839"/>
      <c r="H94" s="1905"/>
      <c r="I94" s="110"/>
      <c r="K94" s="110"/>
      <c r="L94" s="110"/>
      <c r="N94" s="180">
        <v>1</v>
      </c>
      <c r="O94" s="180"/>
    </row>
    <row r="95" spans="1:21" ht="17.25" hidden="1" customHeight="1">
      <c r="A95" s="1531"/>
      <c r="B95" s="159" t="s">
        <v>3581</v>
      </c>
      <c r="C95" s="2837" t="s">
        <v>3634</v>
      </c>
      <c r="D95" s="2838"/>
      <c r="E95" s="2838"/>
      <c r="F95" s="2838"/>
      <c r="G95" s="2839"/>
      <c r="H95" s="1905"/>
      <c r="I95" s="110"/>
      <c r="K95" s="110"/>
      <c r="L95" s="110"/>
      <c r="N95" s="180">
        <v>1</v>
      </c>
      <c r="O95" s="180"/>
    </row>
    <row r="96" spans="1:21" ht="14.25" hidden="1" customHeight="1" thickBot="1">
      <c r="A96" s="1531"/>
      <c r="B96" s="183" t="s">
        <v>3635</v>
      </c>
      <c r="C96" s="2968" t="s">
        <v>3636</v>
      </c>
      <c r="D96" s="2969"/>
      <c r="E96" s="2969"/>
      <c r="F96" s="2969"/>
      <c r="G96" s="2970"/>
      <c r="H96" s="1905"/>
      <c r="I96" s="110"/>
      <c r="K96" s="110"/>
      <c r="L96" s="110"/>
      <c r="N96" s="182">
        <v>1</v>
      </c>
      <c r="O96" s="182"/>
    </row>
    <row r="97" spans="1:12" hidden="1">
      <c r="A97" s="1531"/>
      <c r="I97" s="110"/>
      <c r="K97" s="110"/>
      <c r="L97" s="110"/>
    </row>
    <row r="98" spans="1:12" hidden="1">
      <c r="A98" s="1531"/>
    </row>
  </sheetData>
  <mergeCells count="42">
    <mergeCell ref="AI3:AI4"/>
    <mergeCell ref="C88:G88"/>
    <mergeCell ref="C89:G89"/>
    <mergeCell ref="C90:G90"/>
    <mergeCell ref="C91:G91"/>
    <mergeCell ref="H3:H4"/>
    <mergeCell ref="C83:G83"/>
    <mergeCell ref="C71:G71"/>
    <mergeCell ref="C72:G72"/>
    <mergeCell ref="C73:G73"/>
    <mergeCell ref="C75:G75"/>
    <mergeCell ref="C76:G76"/>
    <mergeCell ref="C77:G77"/>
    <mergeCell ref="C78:G78"/>
    <mergeCell ref="C79:G79"/>
    <mergeCell ref="C80:G80"/>
    <mergeCell ref="C81:G81"/>
    <mergeCell ref="C82:G82"/>
    <mergeCell ref="C74:G74"/>
    <mergeCell ref="C70:G70"/>
    <mergeCell ref="B3:C4"/>
    <mergeCell ref="E3:E4"/>
    <mergeCell ref="F3:F4"/>
    <mergeCell ref="G3:G4"/>
    <mergeCell ref="B49:C49"/>
    <mergeCell ref="C66:G66"/>
    <mergeCell ref="C67:G67"/>
    <mergeCell ref="C68:G68"/>
    <mergeCell ref="C69:G69"/>
    <mergeCell ref="B58:G58"/>
    <mergeCell ref="B62:G62"/>
    <mergeCell ref="C96:G96"/>
    <mergeCell ref="C84:G84"/>
    <mergeCell ref="C85:G85"/>
    <mergeCell ref="C86:G86"/>
    <mergeCell ref="C87:G87"/>
    <mergeCell ref="AC3:AD4"/>
    <mergeCell ref="AF3:AF4"/>
    <mergeCell ref="AG3:AG4"/>
    <mergeCell ref="AH3:AH4"/>
    <mergeCell ref="J3:J4"/>
    <mergeCell ref="K3:K4"/>
  </mergeCells>
  <conditionalFormatting sqref="K10:K12 K43:K47 K17 K19:K20 K15">
    <cfRule type="cellIs" dxfId="235" priority="8" operator="equal">
      <formula>0</formula>
    </cfRule>
  </conditionalFormatting>
  <conditionalFormatting sqref="J42 J47">
    <cfRule type="cellIs" dxfId="234" priority="7" operator="equal">
      <formula>0</formula>
    </cfRule>
  </conditionalFormatting>
  <conditionalFormatting sqref="K16">
    <cfRule type="cellIs" dxfId="233" priority="5" operator="equal">
      <formula>0</formula>
    </cfRule>
  </conditionalFormatting>
  <conditionalFormatting sqref="K22">
    <cfRule type="cellIs" dxfId="232" priority="4" operator="equal">
      <formula>0</formula>
    </cfRule>
  </conditionalFormatting>
  <conditionalFormatting sqref="K31:K35">
    <cfRule type="cellIs" dxfId="231" priority="3" operator="equal">
      <formula>0</formula>
    </cfRule>
  </conditionalFormatting>
  <conditionalFormatting sqref="J37">
    <cfRule type="cellIs" dxfId="230" priority="2" operator="equal">
      <formula>""</formula>
    </cfRule>
  </conditionalFormatting>
  <conditionalFormatting sqref="K36">
    <cfRule type="cellIs" dxfId="22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63" max="9" man="1"/>
  </row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5">
    <tabColor theme="0" tint="-0.499984740745262"/>
    <pageSetUpPr fitToPage="1"/>
  </sheetPr>
  <dimension ref="A1:BP90"/>
  <sheetViews>
    <sheetView topLeftCell="A12" workbookViewId="0">
      <selection activeCell="Q41" sqref="Q41"/>
    </sheetView>
  </sheetViews>
  <sheetFormatPr defaultColWidth="0" defaultRowHeight="14" zeroHeight="1"/>
  <cols>
    <col min="1" max="1" width="0.58203125" style="8" customWidth="1"/>
    <col min="2" max="2" width="5.08203125" style="8" customWidth="1"/>
    <col min="3" max="3" width="36.5" style="8" customWidth="1"/>
    <col min="4" max="4" width="1.08203125" style="483" hidden="1" customWidth="1"/>
    <col min="5" max="6" width="5.08203125" style="8" customWidth="1"/>
    <col min="7" max="12" width="10.58203125" style="8" customWidth="1"/>
    <col min="13" max="14" width="5.08203125" style="8" customWidth="1"/>
    <col min="15" max="16" width="10.58203125" style="8" customWidth="1"/>
    <col min="17" max="17" width="2.58203125" style="162" customWidth="1"/>
    <col min="18" max="18" width="37.08203125" style="74" customWidth="1"/>
    <col min="19" max="19" width="1.58203125" style="70" customWidth="1"/>
    <col min="20" max="20" width="1.58203125" style="71" hidden="1" customWidth="1"/>
    <col min="21" max="27" width="4.58203125" style="70" hidden="1" customWidth="1"/>
    <col min="28" max="28" width="1.58203125" style="71" hidden="1" customWidth="1"/>
    <col min="29" max="29" width="8.58203125" style="72" hidden="1" customWidth="1"/>
    <col min="30" max="30" width="1.58203125" style="71" hidden="1" customWidth="1"/>
    <col min="31" max="32" width="8.58203125" style="8" hidden="1" customWidth="1"/>
    <col min="33" max="33" width="77" style="8" hidden="1" customWidth="1"/>
    <col min="34" max="34" width="1.58203125" style="71" hidden="1" customWidth="1"/>
    <col min="35" max="51" width="0" style="8" hidden="1" customWidth="1"/>
    <col min="52" max="52" width="8.58203125" style="8" customWidth="1"/>
    <col min="53" max="53" width="5.08203125" style="483" customWidth="1"/>
    <col min="54" max="54" width="36.5" style="483" customWidth="1"/>
    <col min="55" max="55" width="0.25" style="483" customWidth="1"/>
    <col min="56" max="57" width="5.08203125" style="483" customWidth="1"/>
    <col min="58" max="63" width="10.58203125" style="483" customWidth="1"/>
    <col min="64" max="65" width="5.08203125" style="483" customWidth="1"/>
    <col min="66" max="67" width="10.58203125" style="483" customWidth="1"/>
    <col min="68" max="68" width="8.58203125" style="8" customWidth="1"/>
    <col min="69" max="16384" width="8.58203125" style="8" hidden="1"/>
  </cols>
  <sheetData>
    <row r="1" spans="2:67" ht="20">
      <c r="B1" s="66" t="s">
        <v>6757</v>
      </c>
      <c r="C1" s="66"/>
      <c r="D1" s="66"/>
      <c r="E1" s="66"/>
      <c r="F1" s="66"/>
      <c r="G1" s="66"/>
      <c r="H1" s="66"/>
      <c r="I1" s="66"/>
      <c r="J1" s="66"/>
      <c r="K1" s="66"/>
      <c r="L1" s="67"/>
      <c r="M1" s="66"/>
      <c r="N1" s="66"/>
      <c r="O1" s="66"/>
      <c r="P1" s="68" t="str">
        <f>Validation!B3</f>
        <v>Bristol Water</v>
      </c>
      <c r="Q1" s="66"/>
      <c r="R1" s="69" t="s">
        <v>32</v>
      </c>
      <c r="AE1" s="483"/>
      <c r="AF1" s="483"/>
      <c r="AG1" s="483"/>
      <c r="AI1" s="483"/>
      <c r="AJ1" s="483"/>
      <c r="AK1" s="483"/>
      <c r="AL1" s="483"/>
      <c r="AM1" s="483"/>
      <c r="AN1" s="483"/>
      <c r="AO1" s="483"/>
      <c r="AP1" s="483"/>
      <c r="AQ1" s="483"/>
      <c r="AR1" s="483"/>
      <c r="AS1" s="483"/>
      <c r="AT1" s="483"/>
      <c r="AU1" s="483"/>
      <c r="AV1" s="483"/>
      <c r="AW1" s="483"/>
      <c r="AX1" s="483"/>
      <c r="AY1" s="483"/>
      <c r="AZ1" s="483"/>
      <c r="BA1" s="66" t="s">
        <v>33</v>
      </c>
      <c r="BB1" s="66"/>
      <c r="BC1" s="66"/>
      <c r="BD1" s="66"/>
      <c r="BE1" s="66"/>
      <c r="BF1" s="66"/>
      <c r="BG1" s="66"/>
      <c r="BH1" s="66"/>
      <c r="BI1" s="66"/>
      <c r="BJ1" s="66"/>
      <c r="BK1" s="67"/>
      <c r="BL1" s="66"/>
      <c r="BM1" s="66"/>
      <c r="BN1" s="66"/>
      <c r="BO1" s="68"/>
    </row>
    <row r="2" spans="2:67" ht="14.5" thickBot="1">
      <c r="B2" s="73" t="str">
        <f>'4H'!B2</f>
        <v>For the 12 months ended 31 March 2020</v>
      </c>
      <c r="C2" s="483"/>
      <c r="E2" s="483"/>
      <c r="F2" s="483"/>
      <c r="G2" s="483"/>
      <c r="H2" s="483"/>
      <c r="I2" s="483"/>
      <c r="J2" s="483"/>
      <c r="K2" s="483"/>
      <c r="L2" s="483"/>
      <c r="M2" s="483"/>
      <c r="N2" s="483"/>
      <c r="O2" s="483"/>
      <c r="P2" s="483"/>
      <c r="Q2" s="74"/>
      <c r="R2" s="70"/>
      <c r="AE2" s="483"/>
      <c r="AF2" s="483"/>
      <c r="AG2" s="483"/>
      <c r="AI2" s="483"/>
      <c r="AJ2" s="483"/>
      <c r="AK2" s="483"/>
      <c r="AL2" s="483"/>
      <c r="AM2" s="483"/>
      <c r="AN2" s="483"/>
      <c r="AO2" s="483"/>
      <c r="AP2" s="483"/>
      <c r="AQ2" s="483"/>
      <c r="AR2" s="483"/>
      <c r="AS2" s="483"/>
      <c r="AT2" s="483"/>
      <c r="AU2" s="483"/>
      <c r="AV2" s="483"/>
      <c r="AW2" s="483"/>
      <c r="AX2" s="483"/>
      <c r="AY2" s="483"/>
      <c r="AZ2" s="483"/>
      <c r="BA2" s="73" t="str">
        <f>+B2</f>
        <v>For the 12 months ended 31 March 2020</v>
      </c>
    </row>
    <row r="3" spans="2:67" s="70" customFormat="1" ht="45" customHeight="1">
      <c r="B3" s="2894" t="s">
        <v>34</v>
      </c>
      <c r="C3" s="2895"/>
      <c r="D3" s="2820" t="s">
        <v>6758</v>
      </c>
      <c r="E3" s="2898" t="s">
        <v>36</v>
      </c>
      <c r="F3" s="2900" t="s">
        <v>37</v>
      </c>
      <c r="G3" s="2904" t="s">
        <v>6759</v>
      </c>
      <c r="H3" s="2905"/>
      <c r="I3" s="2906"/>
      <c r="J3" s="2904" t="s">
        <v>6760</v>
      </c>
      <c r="K3" s="3094"/>
      <c r="L3" s="2907" t="s">
        <v>6761</v>
      </c>
      <c r="M3" s="3091" t="s">
        <v>36</v>
      </c>
      <c r="N3" s="2900" t="s">
        <v>37</v>
      </c>
      <c r="O3" s="2904" t="s">
        <v>6762</v>
      </c>
      <c r="P3" s="3094"/>
      <c r="Q3" s="75"/>
      <c r="R3" s="2907" t="s">
        <v>6763</v>
      </c>
      <c r="T3" s="71"/>
      <c r="U3" s="76" t="s">
        <v>45</v>
      </c>
      <c r="V3" s="77"/>
      <c r="W3" s="77"/>
      <c r="X3" s="77"/>
      <c r="Y3" s="77"/>
      <c r="Z3" s="77"/>
      <c r="AA3" s="77"/>
      <c r="AB3" s="71"/>
      <c r="AC3" s="2822" t="s">
        <v>24</v>
      </c>
      <c r="AD3" s="71"/>
      <c r="AE3" s="76" t="s">
        <v>902</v>
      </c>
      <c r="AF3" s="2822"/>
      <c r="AG3" s="2822"/>
      <c r="AH3" s="71"/>
      <c r="BA3" s="2894" t="s">
        <v>34</v>
      </c>
      <c r="BB3" s="2895"/>
      <c r="BC3" s="2820" t="s">
        <v>6758</v>
      </c>
      <c r="BD3" s="2898" t="s">
        <v>36</v>
      </c>
      <c r="BE3" s="2900" t="s">
        <v>37</v>
      </c>
      <c r="BF3" s="2904" t="s">
        <v>6759</v>
      </c>
      <c r="BG3" s="2905"/>
      <c r="BH3" s="2906"/>
      <c r="BI3" s="2904" t="s">
        <v>6760</v>
      </c>
      <c r="BJ3" s="3094"/>
      <c r="BK3" s="2907" t="s">
        <v>6761</v>
      </c>
      <c r="BL3" s="3091" t="s">
        <v>36</v>
      </c>
      <c r="BM3" s="2900" t="s">
        <v>37</v>
      </c>
      <c r="BN3" s="2904" t="s">
        <v>6762</v>
      </c>
      <c r="BO3" s="3094"/>
    </row>
    <row r="4" spans="2:67" s="70" customFormat="1" ht="27.5" thickBot="1">
      <c r="B4" s="2896"/>
      <c r="C4" s="2897"/>
      <c r="D4" s="2821"/>
      <c r="E4" s="3095"/>
      <c r="F4" s="2901"/>
      <c r="G4" s="2832" t="s">
        <v>6764</v>
      </c>
      <c r="H4" s="78" t="s">
        <v>6765</v>
      </c>
      <c r="I4" s="2833" t="s">
        <v>6766</v>
      </c>
      <c r="J4" s="2832" t="s">
        <v>6767</v>
      </c>
      <c r="K4" s="2833" t="s">
        <v>6768</v>
      </c>
      <c r="L4" s="3084"/>
      <c r="M4" s="3092"/>
      <c r="N4" s="3093"/>
      <c r="O4" s="2832" t="s">
        <v>6769</v>
      </c>
      <c r="P4" s="2833" t="s">
        <v>6770</v>
      </c>
      <c r="Q4" s="74"/>
      <c r="R4" s="2908"/>
      <c r="S4" s="79"/>
      <c r="T4" s="71"/>
      <c r="AB4" s="71"/>
      <c r="AD4" s="71"/>
      <c r="AH4" s="71"/>
      <c r="BA4" s="2896"/>
      <c r="BB4" s="2897"/>
      <c r="BC4" s="2821"/>
      <c r="BD4" s="3095"/>
      <c r="BE4" s="2901"/>
      <c r="BF4" s="2832" t="s">
        <v>6764</v>
      </c>
      <c r="BG4" s="78" t="s">
        <v>6765</v>
      </c>
      <c r="BH4" s="2833" t="s">
        <v>6766</v>
      </c>
      <c r="BI4" s="2832" t="s">
        <v>6767</v>
      </c>
      <c r="BJ4" s="2833" t="s">
        <v>6768</v>
      </c>
      <c r="BK4" s="3084"/>
      <c r="BL4" s="3092"/>
      <c r="BM4" s="3093"/>
      <c r="BN4" s="2832" t="s">
        <v>6769</v>
      </c>
      <c r="BO4" s="2833" t="s">
        <v>6770</v>
      </c>
    </row>
    <row r="5" spans="2:67" ht="14.5" thickBot="1">
      <c r="B5" s="483"/>
      <c r="C5" s="483"/>
      <c r="E5" s="483"/>
      <c r="F5" s="483"/>
      <c r="G5" s="483"/>
      <c r="H5" s="483"/>
      <c r="I5" s="483"/>
      <c r="J5" s="483"/>
      <c r="K5" s="483"/>
      <c r="L5" s="483"/>
      <c r="M5" s="483"/>
      <c r="N5" s="483"/>
      <c r="O5" s="483"/>
      <c r="P5" s="483"/>
      <c r="Q5" s="74"/>
      <c r="AE5" s="483"/>
      <c r="AF5" s="483"/>
      <c r="AG5" s="483"/>
      <c r="AI5" s="483"/>
      <c r="AJ5" s="483"/>
      <c r="AK5" s="483"/>
      <c r="AL5" s="483"/>
      <c r="AM5" s="483"/>
      <c r="AN5" s="483"/>
      <c r="AO5" s="483"/>
      <c r="AP5" s="483"/>
      <c r="AQ5" s="483"/>
      <c r="AR5" s="483"/>
      <c r="AS5" s="483"/>
      <c r="AT5" s="483"/>
      <c r="AU5" s="483"/>
      <c r="AV5" s="483"/>
      <c r="AW5" s="483"/>
      <c r="AX5" s="483"/>
      <c r="AY5" s="483"/>
      <c r="AZ5" s="483"/>
      <c r="BF5" s="2346" t="s">
        <v>6771</v>
      </c>
      <c r="BG5" s="2346" t="s">
        <v>6772</v>
      </c>
      <c r="BH5" s="2346" t="s">
        <v>6773</v>
      </c>
      <c r="BI5" s="2346" t="s">
        <v>6774</v>
      </c>
      <c r="BJ5" s="2346" t="s">
        <v>6775</v>
      </c>
      <c r="BK5" s="2346" t="s">
        <v>6776</v>
      </c>
      <c r="BL5" s="2346"/>
      <c r="BM5" s="2346"/>
      <c r="BN5" s="2346" t="s">
        <v>6777</v>
      </c>
      <c r="BO5" s="2346" t="s">
        <v>6778</v>
      </c>
    </row>
    <row r="6" spans="2:67" ht="14.5" thickBot="1">
      <c r="B6" s="80" t="s">
        <v>6779</v>
      </c>
      <c r="C6" s="81"/>
      <c r="D6" s="1494"/>
      <c r="E6" s="82"/>
      <c r="F6" s="82"/>
      <c r="G6" s="82"/>
      <c r="H6" s="82"/>
      <c r="I6" s="82"/>
      <c r="J6" s="82"/>
      <c r="K6" s="82"/>
      <c r="L6" s="82"/>
      <c r="M6" s="82"/>
      <c r="N6" s="82"/>
      <c r="O6" s="82"/>
      <c r="P6" s="82"/>
      <c r="Q6" s="74"/>
      <c r="AE6" s="483"/>
      <c r="AF6" s="483"/>
      <c r="AG6" s="483"/>
      <c r="AI6" s="483"/>
      <c r="AJ6" s="483"/>
      <c r="AK6" s="483"/>
      <c r="AL6" s="483"/>
      <c r="AM6" s="483"/>
      <c r="AN6" s="483"/>
      <c r="AO6" s="483"/>
      <c r="AP6" s="483"/>
      <c r="AQ6" s="483"/>
      <c r="AR6" s="483"/>
      <c r="AS6" s="483"/>
      <c r="AT6" s="483"/>
      <c r="AU6" s="483"/>
      <c r="AV6" s="483"/>
      <c r="AW6" s="483"/>
      <c r="AX6" s="483"/>
      <c r="AY6" s="483"/>
      <c r="AZ6" s="483"/>
      <c r="BA6" s="80" t="s">
        <v>6779</v>
      </c>
      <c r="BB6" s="81"/>
      <c r="BC6" s="82"/>
      <c r="BD6" s="82"/>
      <c r="BE6" s="82"/>
      <c r="BF6" s="82"/>
      <c r="BG6" s="82"/>
      <c r="BH6" s="82"/>
      <c r="BI6" s="82"/>
      <c r="BJ6" s="82"/>
      <c r="BK6" s="82"/>
      <c r="BL6" s="82"/>
      <c r="BM6" s="82"/>
      <c r="BN6" s="82"/>
      <c r="BO6" s="82"/>
    </row>
    <row r="7" spans="2:67" ht="14.5" thickBot="1">
      <c r="B7" s="2865" t="s">
        <v>153</v>
      </c>
      <c r="C7" s="83" t="s">
        <v>6780</v>
      </c>
      <c r="D7" s="1473"/>
      <c r="E7" s="84"/>
      <c r="F7" s="84"/>
      <c r="G7" s="84"/>
      <c r="H7" s="84"/>
      <c r="I7" s="84"/>
      <c r="J7" s="82"/>
      <c r="K7" s="82"/>
      <c r="L7" s="82"/>
      <c r="M7" s="84"/>
      <c r="N7" s="84"/>
      <c r="O7" s="82"/>
      <c r="P7" s="82"/>
      <c r="Q7" s="74"/>
      <c r="U7" s="85" t="s">
        <v>46</v>
      </c>
      <c r="AE7" s="483"/>
      <c r="AF7" s="483"/>
      <c r="AG7" s="483"/>
      <c r="AI7" s="483"/>
      <c r="AJ7" s="483"/>
      <c r="AK7" s="483"/>
      <c r="AL7" s="483"/>
      <c r="AM7" s="483"/>
      <c r="AN7" s="483"/>
      <c r="AO7" s="483"/>
      <c r="AP7" s="483"/>
      <c r="AQ7" s="483"/>
      <c r="AR7" s="483"/>
      <c r="AS7" s="483"/>
      <c r="AT7" s="483"/>
      <c r="AU7" s="483"/>
      <c r="AV7" s="483"/>
      <c r="AW7" s="483"/>
      <c r="AX7" s="483"/>
      <c r="AY7" s="483"/>
      <c r="AZ7" s="483"/>
      <c r="BA7" s="2865" t="s">
        <v>153</v>
      </c>
      <c r="BB7" s="83" t="s">
        <v>6780</v>
      </c>
      <c r="BC7" s="2268"/>
      <c r="BD7" s="84"/>
      <c r="BE7" s="84"/>
      <c r="BF7" s="84"/>
      <c r="BG7" s="84"/>
      <c r="BH7" s="84"/>
      <c r="BI7" s="82"/>
      <c r="BJ7" s="82"/>
      <c r="BK7" s="82"/>
      <c r="BL7" s="84"/>
      <c r="BM7" s="84"/>
      <c r="BN7" s="82"/>
      <c r="BO7" s="82"/>
    </row>
    <row r="8" spans="2:67">
      <c r="B8" s="86" t="s">
        <v>6781</v>
      </c>
      <c r="C8" s="87" t="s">
        <v>6782</v>
      </c>
      <c r="D8" s="171"/>
      <c r="E8" s="88" t="s">
        <v>49</v>
      </c>
      <c r="F8" s="89">
        <v>3</v>
      </c>
      <c r="G8" s="36">
        <v>0</v>
      </c>
      <c r="H8" s="37">
        <v>0</v>
      </c>
      <c r="I8" s="38">
        <v>0</v>
      </c>
      <c r="J8" s="90">
        <f>SUM(G8:I8)</f>
        <v>0</v>
      </c>
      <c r="K8" s="38">
        <v>0</v>
      </c>
      <c r="L8" s="39">
        <v>0</v>
      </c>
      <c r="M8" s="91" t="s">
        <v>732</v>
      </c>
      <c r="N8" s="89">
        <v>2</v>
      </c>
      <c r="O8" s="839">
        <v>0</v>
      </c>
      <c r="P8" s="840">
        <v>0</v>
      </c>
      <c r="Q8" s="92"/>
      <c r="R8" s="24">
        <f xml:space="preserve"> IF( SUM( T8:AB8 ) = 0, 0, $U$7 )</f>
        <v>0</v>
      </c>
      <c r="U8" s="93">
        <f xml:space="preserve"> IF( ISNUMBER( G8 ), 0, 1 )</f>
        <v>0</v>
      </c>
      <c r="V8" s="93">
        <f t="shared" ref="V8:W8" si="0" xml:space="preserve"> IF( ISNUMBER( H8 ), 0, 1 )</f>
        <v>0</v>
      </c>
      <c r="W8" s="93">
        <f t="shared" si="0"/>
        <v>0</v>
      </c>
      <c r="X8" s="93">
        <f xml:space="preserve"> IF( ISNUMBER( K8 ), 0, 1 )</f>
        <v>0</v>
      </c>
      <c r="Y8" s="93">
        <f xml:space="preserve"> IF( ISNUMBER( L8 ), 0, 1 )</f>
        <v>0</v>
      </c>
      <c r="Z8" s="93">
        <f xml:space="preserve"> IF( ISNUMBER( O8 ), 0, 1 )</f>
        <v>0</v>
      </c>
      <c r="AA8" s="93">
        <f xml:space="preserve"> IF( ISNUMBER( P8 ), 0, 1 )</f>
        <v>0</v>
      </c>
      <c r="AE8" s="23"/>
      <c r="AF8" s="23"/>
      <c r="AG8" s="23"/>
      <c r="AI8" s="483"/>
      <c r="AJ8" s="483"/>
      <c r="AK8" s="483"/>
      <c r="AL8" s="483"/>
      <c r="AM8" s="483"/>
      <c r="AN8" s="483"/>
      <c r="AO8" s="483"/>
      <c r="AP8" s="483"/>
      <c r="AQ8" s="483"/>
      <c r="AR8" s="483"/>
      <c r="AS8" s="483"/>
      <c r="AT8" s="483"/>
      <c r="AU8" s="483"/>
      <c r="AV8" s="483"/>
      <c r="AW8" s="483"/>
      <c r="AX8" s="483"/>
      <c r="AY8" s="483"/>
      <c r="AZ8" s="483"/>
      <c r="BA8" s="86" t="s">
        <v>6781</v>
      </c>
      <c r="BB8" s="87" t="s">
        <v>6782</v>
      </c>
      <c r="BC8" s="171"/>
      <c r="BD8" s="88" t="s">
        <v>49</v>
      </c>
      <c r="BE8" s="89">
        <v>3</v>
      </c>
      <c r="BF8" s="2578" t="s">
        <v>6783</v>
      </c>
      <c r="BG8" s="2579" t="s">
        <v>6784</v>
      </c>
      <c r="BH8" s="2580" t="s">
        <v>6785</v>
      </c>
      <c r="BI8" s="90" t="s">
        <v>6786</v>
      </c>
      <c r="BJ8" s="2580" t="s">
        <v>6787</v>
      </c>
      <c r="BK8" s="2581" t="s">
        <v>6788</v>
      </c>
      <c r="BL8" s="91" t="s">
        <v>732</v>
      </c>
      <c r="BM8" s="89">
        <v>2</v>
      </c>
      <c r="BN8" s="2582" t="s">
        <v>6789</v>
      </c>
      <c r="BO8" s="2583" t="s">
        <v>6790</v>
      </c>
    </row>
    <row r="9" spans="2:67" s="483" customFormat="1">
      <c r="B9" s="170" t="s">
        <v>6791</v>
      </c>
      <c r="C9" s="87" t="s">
        <v>6792</v>
      </c>
      <c r="D9" s="87"/>
      <c r="E9" s="95" t="s">
        <v>49</v>
      </c>
      <c r="F9" s="96">
        <v>3</v>
      </c>
      <c r="G9" s="639">
        <v>0</v>
      </c>
      <c r="H9" s="640">
        <v>0</v>
      </c>
      <c r="I9" s="641">
        <v>0</v>
      </c>
      <c r="J9" s="97">
        <f t="shared" ref="J9:J13" si="1">SUM(G9:I9)</f>
        <v>0</v>
      </c>
      <c r="K9" s="641">
        <v>0</v>
      </c>
      <c r="L9" s="642">
        <v>0</v>
      </c>
      <c r="M9" s="98" t="s">
        <v>732</v>
      </c>
      <c r="N9" s="96">
        <v>2</v>
      </c>
      <c r="O9" s="841">
        <v>0</v>
      </c>
      <c r="P9" s="842">
        <v>0</v>
      </c>
      <c r="Q9" s="92"/>
      <c r="R9" s="24">
        <f t="shared" ref="R9:R13" si="2" xml:space="preserve"> IF( SUM( T9:AB9 ) = 0, 0, $U$7 )</f>
        <v>0</v>
      </c>
      <c r="S9" s="70"/>
      <c r="T9" s="71"/>
      <c r="U9" s="93">
        <f t="shared" ref="U9:U13" si="3" xml:space="preserve"> IF( ISNUMBER( G9 ), 0, 1 )</f>
        <v>0</v>
      </c>
      <c r="V9" s="93">
        <f t="shared" ref="V9:V13" si="4" xml:space="preserve"> IF( ISNUMBER( H9 ), 0, 1 )</f>
        <v>0</v>
      </c>
      <c r="W9" s="93">
        <f t="shared" ref="W9:W13" si="5" xml:space="preserve"> IF( ISNUMBER( I9 ), 0, 1 )</f>
        <v>0</v>
      </c>
      <c r="X9" s="93">
        <f t="shared" ref="X9:X13" si="6" xml:space="preserve"> IF( ISNUMBER( K9 ), 0, 1 )</f>
        <v>0</v>
      </c>
      <c r="Y9" s="93">
        <f t="shared" ref="Y9:Y13" si="7" xml:space="preserve"> IF( ISNUMBER( L9 ), 0, 1 )</f>
        <v>0</v>
      </c>
      <c r="Z9" s="93">
        <f t="shared" ref="Z9:Z13" si="8" xml:space="preserve"> IF( ISNUMBER( O9 ), 0, 1 )</f>
        <v>0</v>
      </c>
      <c r="AA9" s="93">
        <f t="shared" ref="AA9:AA13" si="9" xml:space="preserve"> IF( ISNUMBER( P9 ), 0, 1 )</f>
        <v>0</v>
      </c>
      <c r="AB9" s="71"/>
      <c r="AC9" s="72"/>
      <c r="AD9" s="71"/>
      <c r="AE9" s="23"/>
      <c r="AF9" s="23"/>
      <c r="AG9" s="23"/>
      <c r="AH9" s="71"/>
      <c r="BA9" s="170" t="s">
        <v>6791</v>
      </c>
      <c r="BB9" s="87" t="s">
        <v>6792</v>
      </c>
      <c r="BC9" s="87"/>
      <c r="BD9" s="95" t="s">
        <v>49</v>
      </c>
      <c r="BE9" s="96">
        <v>3</v>
      </c>
      <c r="BF9" s="2584" t="s">
        <v>6793</v>
      </c>
      <c r="BG9" s="2585" t="s">
        <v>6794</v>
      </c>
      <c r="BH9" s="2586" t="s">
        <v>6795</v>
      </c>
      <c r="BI9" s="97" t="s">
        <v>6796</v>
      </c>
      <c r="BJ9" s="2586" t="s">
        <v>6797</v>
      </c>
      <c r="BK9" s="2587" t="s">
        <v>6798</v>
      </c>
      <c r="BL9" s="98" t="s">
        <v>732</v>
      </c>
      <c r="BM9" s="96">
        <v>2</v>
      </c>
      <c r="BN9" s="2588" t="s">
        <v>6799</v>
      </c>
      <c r="BO9" s="2589" t="s">
        <v>6800</v>
      </c>
    </row>
    <row r="10" spans="2:67">
      <c r="B10" s="94" t="s">
        <v>6801</v>
      </c>
      <c r="C10" s="87" t="s">
        <v>6802</v>
      </c>
      <c r="D10" s="87"/>
      <c r="E10" s="95" t="s">
        <v>49</v>
      </c>
      <c r="F10" s="96">
        <v>3</v>
      </c>
      <c r="G10" s="40">
        <v>0</v>
      </c>
      <c r="H10" s="41">
        <v>0</v>
      </c>
      <c r="I10" s="42">
        <v>0</v>
      </c>
      <c r="J10" s="97">
        <f t="shared" si="1"/>
        <v>0</v>
      </c>
      <c r="K10" s="42">
        <v>0</v>
      </c>
      <c r="L10" s="43">
        <v>0</v>
      </c>
      <c r="M10" s="98" t="s">
        <v>732</v>
      </c>
      <c r="N10" s="96">
        <v>2</v>
      </c>
      <c r="O10" s="843">
        <v>0</v>
      </c>
      <c r="P10" s="844">
        <v>0</v>
      </c>
      <c r="Q10" s="92"/>
      <c r="R10" s="24">
        <f t="shared" si="2"/>
        <v>0</v>
      </c>
      <c r="U10" s="93">
        <f t="shared" si="3"/>
        <v>0</v>
      </c>
      <c r="V10" s="93">
        <f t="shared" si="4"/>
        <v>0</v>
      </c>
      <c r="W10" s="93">
        <f t="shared" si="5"/>
        <v>0</v>
      </c>
      <c r="X10" s="93">
        <f t="shared" si="6"/>
        <v>0</v>
      </c>
      <c r="Y10" s="93">
        <f t="shared" si="7"/>
        <v>0</v>
      </c>
      <c r="Z10" s="93">
        <f t="shared" si="8"/>
        <v>0</v>
      </c>
      <c r="AA10" s="93">
        <f t="shared" si="9"/>
        <v>0</v>
      </c>
      <c r="AE10" s="23"/>
      <c r="AF10" s="23"/>
      <c r="AG10" s="23"/>
      <c r="AI10" s="483"/>
      <c r="AJ10" s="483"/>
      <c r="AK10" s="483"/>
      <c r="AL10" s="483"/>
      <c r="AM10" s="483"/>
      <c r="AN10" s="483"/>
      <c r="AO10" s="483"/>
      <c r="AP10" s="483"/>
      <c r="AQ10" s="483"/>
      <c r="AR10" s="483"/>
      <c r="AS10" s="483"/>
      <c r="AT10" s="483"/>
      <c r="AU10" s="483"/>
      <c r="AV10" s="483"/>
      <c r="AW10" s="483"/>
      <c r="AX10" s="483"/>
      <c r="AY10" s="483"/>
      <c r="AZ10" s="483"/>
      <c r="BA10" s="94" t="s">
        <v>6801</v>
      </c>
      <c r="BB10" s="87" t="s">
        <v>6802</v>
      </c>
      <c r="BC10" s="87"/>
      <c r="BD10" s="95" t="s">
        <v>49</v>
      </c>
      <c r="BE10" s="96">
        <v>3</v>
      </c>
      <c r="BF10" s="2590" t="s">
        <v>6803</v>
      </c>
      <c r="BG10" s="2591" t="s">
        <v>6804</v>
      </c>
      <c r="BH10" s="2592" t="s">
        <v>6805</v>
      </c>
      <c r="BI10" s="97" t="s">
        <v>6806</v>
      </c>
      <c r="BJ10" s="2592" t="s">
        <v>6807</v>
      </c>
      <c r="BK10" s="2593" t="s">
        <v>6808</v>
      </c>
      <c r="BL10" s="98" t="s">
        <v>732</v>
      </c>
      <c r="BM10" s="96">
        <v>2</v>
      </c>
      <c r="BN10" s="2594" t="s">
        <v>6809</v>
      </c>
      <c r="BO10" s="2595" t="s">
        <v>6810</v>
      </c>
    </row>
    <row r="11" spans="2:67" s="483" customFormat="1">
      <c r="B11" s="94" t="s">
        <v>6811</v>
      </c>
      <c r="C11" s="87" t="s">
        <v>6812</v>
      </c>
      <c r="D11" s="87"/>
      <c r="E11" s="95" t="s">
        <v>49</v>
      </c>
      <c r="F11" s="96">
        <v>3</v>
      </c>
      <c r="G11" s="40">
        <v>0</v>
      </c>
      <c r="H11" s="41">
        <v>0</v>
      </c>
      <c r="I11" s="42">
        <v>0</v>
      </c>
      <c r="J11" s="97">
        <f t="shared" si="1"/>
        <v>0</v>
      </c>
      <c r="K11" s="42">
        <v>0</v>
      </c>
      <c r="L11" s="43">
        <v>0</v>
      </c>
      <c r="M11" s="98" t="s">
        <v>732</v>
      </c>
      <c r="N11" s="96">
        <v>2</v>
      </c>
      <c r="O11" s="845">
        <v>0</v>
      </c>
      <c r="P11" s="846">
        <v>0</v>
      </c>
      <c r="Q11" s="92"/>
      <c r="R11" s="24">
        <f t="shared" si="2"/>
        <v>0</v>
      </c>
      <c r="S11" s="70"/>
      <c r="T11" s="71"/>
      <c r="U11" s="93">
        <f t="shared" si="3"/>
        <v>0</v>
      </c>
      <c r="V11" s="93">
        <f t="shared" si="4"/>
        <v>0</v>
      </c>
      <c r="W11" s="93">
        <f t="shared" si="5"/>
        <v>0</v>
      </c>
      <c r="X11" s="93">
        <f t="shared" si="6"/>
        <v>0</v>
      </c>
      <c r="Y11" s="93">
        <f t="shared" si="7"/>
        <v>0</v>
      </c>
      <c r="Z11" s="93">
        <f t="shared" si="8"/>
        <v>0</v>
      </c>
      <c r="AA11" s="93">
        <f t="shared" si="9"/>
        <v>0</v>
      </c>
      <c r="AB11" s="71"/>
      <c r="AC11" s="72"/>
      <c r="AD11" s="71"/>
      <c r="AE11" s="23"/>
      <c r="AF11" s="23"/>
      <c r="AG11" s="23"/>
      <c r="AH11" s="71"/>
      <c r="BA11" s="94" t="s">
        <v>6811</v>
      </c>
      <c r="BB11" s="87" t="s">
        <v>6812</v>
      </c>
      <c r="BC11" s="87"/>
      <c r="BD11" s="95" t="s">
        <v>49</v>
      </c>
      <c r="BE11" s="96">
        <v>3</v>
      </c>
      <c r="BF11" s="2590" t="s">
        <v>6813</v>
      </c>
      <c r="BG11" s="2591" t="s">
        <v>6814</v>
      </c>
      <c r="BH11" s="2592" t="s">
        <v>6815</v>
      </c>
      <c r="BI11" s="97" t="s">
        <v>6816</v>
      </c>
      <c r="BJ11" s="2592" t="s">
        <v>6817</v>
      </c>
      <c r="BK11" s="2593" t="s">
        <v>6818</v>
      </c>
      <c r="BL11" s="98" t="s">
        <v>732</v>
      </c>
      <c r="BM11" s="96">
        <v>2</v>
      </c>
      <c r="BN11" s="2596" t="s">
        <v>6819</v>
      </c>
      <c r="BO11" s="2597" t="s">
        <v>6820</v>
      </c>
    </row>
    <row r="12" spans="2:67" ht="15" customHeight="1">
      <c r="B12" s="94" t="s">
        <v>6821</v>
      </c>
      <c r="C12" s="87" t="s">
        <v>6822</v>
      </c>
      <c r="D12" s="87"/>
      <c r="E12" s="95" t="s">
        <v>49</v>
      </c>
      <c r="F12" s="96">
        <v>3</v>
      </c>
      <c r="G12" s="40">
        <v>0</v>
      </c>
      <c r="H12" s="41">
        <v>0</v>
      </c>
      <c r="I12" s="42">
        <v>0</v>
      </c>
      <c r="J12" s="97">
        <f t="shared" si="1"/>
        <v>0</v>
      </c>
      <c r="K12" s="42">
        <v>0</v>
      </c>
      <c r="L12" s="43">
        <v>0</v>
      </c>
      <c r="M12" s="98" t="s">
        <v>732</v>
      </c>
      <c r="N12" s="96">
        <v>2</v>
      </c>
      <c r="O12" s="845">
        <v>0</v>
      </c>
      <c r="P12" s="846">
        <v>0</v>
      </c>
      <c r="Q12" s="92"/>
      <c r="R12" s="24">
        <f t="shared" si="2"/>
        <v>0</v>
      </c>
      <c r="U12" s="93">
        <f t="shared" si="3"/>
        <v>0</v>
      </c>
      <c r="V12" s="93">
        <f t="shared" si="4"/>
        <v>0</v>
      </c>
      <c r="W12" s="93">
        <f t="shared" si="5"/>
        <v>0</v>
      </c>
      <c r="X12" s="93">
        <f t="shared" si="6"/>
        <v>0</v>
      </c>
      <c r="Y12" s="93">
        <f t="shared" si="7"/>
        <v>0</v>
      </c>
      <c r="Z12" s="93">
        <f t="shared" si="8"/>
        <v>0</v>
      </c>
      <c r="AA12" s="93">
        <f t="shared" si="9"/>
        <v>0</v>
      </c>
      <c r="AE12" s="23"/>
      <c r="AF12" s="23"/>
      <c r="AG12" s="23"/>
      <c r="AI12" s="483"/>
      <c r="AJ12" s="483"/>
      <c r="AK12" s="483"/>
      <c r="AL12" s="483"/>
      <c r="AM12" s="483"/>
      <c r="AN12" s="483"/>
      <c r="AO12" s="483"/>
      <c r="AP12" s="483"/>
      <c r="AQ12" s="483"/>
      <c r="AR12" s="483"/>
      <c r="AS12" s="483"/>
      <c r="AT12" s="483"/>
      <c r="AU12" s="483"/>
      <c r="AV12" s="483"/>
      <c r="AW12" s="483"/>
      <c r="AX12" s="483"/>
      <c r="AY12" s="483"/>
      <c r="AZ12" s="483"/>
      <c r="BA12" s="94" t="s">
        <v>6821</v>
      </c>
      <c r="BB12" s="87" t="s">
        <v>6822</v>
      </c>
      <c r="BC12" s="87"/>
      <c r="BD12" s="95" t="s">
        <v>49</v>
      </c>
      <c r="BE12" s="96">
        <v>3</v>
      </c>
      <c r="BF12" s="2590" t="s">
        <v>6823</v>
      </c>
      <c r="BG12" s="2591" t="s">
        <v>6824</v>
      </c>
      <c r="BH12" s="2592" t="s">
        <v>6825</v>
      </c>
      <c r="BI12" s="97" t="s">
        <v>6826</v>
      </c>
      <c r="BJ12" s="2592" t="s">
        <v>6827</v>
      </c>
      <c r="BK12" s="2593" t="s">
        <v>6828</v>
      </c>
      <c r="BL12" s="98" t="s">
        <v>732</v>
      </c>
      <c r="BM12" s="96">
        <v>2</v>
      </c>
      <c r="BN12" s="2596" t="s">
        <v>6829</v>
      </c>
      <c r="BO12" s="2597" t="s">
        <v>6830</v>
      </c>
    </row>
    <row r="13" spans="2:67" s="483" customFormat="1" ht="15" customHeight="1" thickBot="1">
      <c r="B13" s="366" t="s">
        <v>6831</v>
      </c>
      <c r="C13" s="87" t="s">
        <v>6832</v>
      </c>
      <c r="D13" s="87"/>
      <c r="E13" s="95" t="s">
        <v>49</v>
      </c>
      <c r="F13" s="96">
        <v>3</v>
      </c>
      <c r="G13" s="643">
        <v>0</v>
      </c>
      <c r="H13" s="644">
        <v>0</v>
      </c>
      <c r="I13" s="645">
        <v>0</v>
      </c>
      <c r="J13" s="97">
        <f t="shared" si="1"/>
        <v>0</v>
      </c>
      <c r="K13" s="645">
        <v>0</v>
      </c>
      <c r="L13" s="646">
        <v>0</v>
      </c>
      <c r="M13" s="99" t="s">
        <v>732</v>
      </c>
      <c r="N13" s="100">
        <v>2</v>
      </c>
      <c r="O13" s="847">
        <v>0</v>
      </c>
      <c r="P13" s="848">
        <v>0</v>
      </c>
      <c r="Q13" s="92"/>
      <c r="R13" s="24">
        <f t="shared" si="2"/>
        <v>0</v>
      </c>
      <c r="S13" s="70"/>
      <c r="T13" s="71"/>
      <c r="U13" s="93">
        <f t="shared" si="3"/>
        <v>0</v>
      </c>
      <c r="V13" s="93">
        <f t="shared" si="4"/>
        <v>0</v>
      </c>
      <c r="W13" s="93">
        <f t="shared" si="5"/>
        <v>0</v>
      </c>
      <c r="X13" s="93">
        <f t="shared" si="6"/>
        <v>0</v>
      </c>
      <c r="Y13" s="93">
        <f t="shared" si="7"/>
        <v>0</v>
      </c>
      <c r="Z13" s="93">
        <f t="shared" si="8"/>
        <v>0</v>
      </c>
      <c r="AA13" s="93">
        <f t="shared" si="9"/>
        <v>0</v>
      </c>
      <c r="AB13" s="71"/>
      <c r="AC13" s="72"/>
      <c r="AD13" s="71"/>
      <c r="AE13" s="23"/>
      <c r="AF13" s="23"/>
      <c r="AG13" s="23"/>
      <c r="AH13" s="71"/>
      <c r="BA13" s="366" t="s">
        <v>6831</v>
      </c>
      <c r="BB13" s="87" t="s">
        <v>6832</v>
      </c>
      <c r="BC13" s="87"/>
      <c r="BD13" s="95" t="s">
        <v>49</v>
      </c>
      <c r="BE13" s="96">
        <v>3</v>
      </c>
      <c r="BF13" s="2598" t="s">
        <v>6833</v>
      </c>
      <c r="BG13" s="2599" t="s">
        <v>6834</v>
      </c>
      <c r="BH13" s="2600" t="s">
        <v>6835</v>
      </c>
      <c r="BI13" s="97" t="s">
        <v>6836</v>
      </c>
      <c r="BJ13" s="2600" t="s">
        <v>6837</v>
      </c>
      <c r="BK13" s="2601" t="s">
        <v>6838</v>
      </c>
      <c r="BL13" s="99" t="s">
        <v>732</v>
      </c>
      <c r="BM13" s="100">
        <v>2</v>
      </c>
      <c r="BN13" s="2602" t="s">
        <v>6839</v>
      </c>
      <c r="BO13" s="2603" t="s">
        <v>6840</v>
      </c>
    </row>
    <row r="14" spans="2:67" ht="15" customHeight="1" thickBot="1">
      <c r="B14" s="101" t="s">
        <v>6841</v>
      </c>
      <c r="C14" s="102" t="s">
        <v>708</v>
      </c>
      <c r="D14" s="102"/>
      <c r="E14" s="103" t="s">
        <v>49</v>
      </c>
      <c r="F14" s="100">
        <v>3</v>
      </c>
      <c r="G14" s="104">
        <f t="shared" ref="G14:L14" si="10">SUM(G8:G13)</f>
        <v>0</v>
      </c>
      <c r="H14" s="105">
        <f t="shared" si="10"/>
        <v>0</v>
      </c>
      <c r="I14" s="106">
        <f t="shared" si="10"/>
        <v>0</v>
      </c>
      <c r="J14" s="104">
        <f t="shared" si="10"/>
        <v>0</v>
      </c>
      <c r="K14" s="106">
        <f t="shared" si="10"/>
        <v>0</v>
      </c>
      <c r="L14" s="107">
        <f t="shared" si="10"/>
        <v>0</v>
      </c>
      <c r="M14" s="483"/>
      <c r="N14" s="483"/>
      <c r="O14" s="108"/>
      <c r="P14" s="108"/>
      <c r="Q14" s="92"/>
      <c r="AE14" s="23"/>
      <c r="AF14" s="23"/>
      <c r="AG14" s="23"/>
      <c r="AI14" s="483"/>
      <c r="AJ14" s="483"/>
      <c r="AK14" s="483"/>
      <c r="AL14" s="483"/>
      <c r="AM14" s="483"/>
      <c r="AN14" s="483"/>
      <c r="AO14" s="483"/>
      <c r="AP14" s="483"/>
      <c r="AQ14" s="483"/>
      <c r="AR14" s="483"/>
      <c r="AS14" s="483"/>
      <c r="AT14" s="483"/>
      <c r="AU14" s="483"/>
      <c r="AV14" s="483"/>
      <c r="AW14" s="483"/>
      <c r="AX14" s="483"/>
      <c r="AY14" s="483"/>
      <c r="AZ14" s="483"/>
      <c r="BA14" s="101" t="s">
        <v>6841</v>
      </c>
      <c r="BB14" s="102" t="s">
        <v>708</v>
      </c>
      <c r="BC14" s="102"/>
      <c r="BD14" s="103" t="s">
        <v>49</v>
      </c>
      <c r="BE14" s="100">
        <v>3</v>
      </c>
      <c r="BF14" s="104" t="s">
        <v>6842</v>
      </c>
      <c r="BG14" s="105" t="s">
        <v>6843</v>
      </c>
      <c r="BH14" s="106" t="s">
        <v>6844</v>
      </c>
      <c r="BI14" s="104" t="s">
        <v>6845</v>
      </c>
      <c r="BJ14" s="106" t="s">
        <v>6846</v>
      </c>
      <c r="BK14" s="107" t="s">
        <v>6847</v>
      </c>
      <c r="BN14" s="108"/>
      <c r="BO14" s="108"/>
    </row>
    <row r="15" spans="2:67" ht="15" customHeight="1" thickBot="1">
      <c r="B15" s="483"/>
      <c r="C15" s="483"/>
      <c r="E15" s="110"/>
      <c r="F15" s="110"/>
      <c r="G15" s="111"/>
      <c r="H15" s="111"/>
      <c r="I15" s="111"/>
      <c r="J15" s="111"/>
      <c r="K15" s="112"/>
      <c r="L15" s="112"/>
      <c r="M15" s="110"/>
      <c r="N15" s="110"/>
      <c r="O15" s="108"/>
      <c r="P15" s="108"/>
      <c r="Q15" s="92"/>
      <c r="AE15" s="23"/>
      <c r="AF15" s="23"/>
      <c r="AG15" s="23"/>
      <c r="AI15" s="483"/>
      <c r="AJ15" s="483"/>
      <c r="AK15" s="483"/>
      <c r="AL15" s="483"/>
      <c r="AM15" s="483"/>
      <c r="AN15" s="483"/>
      <c r="AO15" s="483"/>
      <c r="AP15" s="483"/>
      <c r="AQ15" s="483"/>
      <c r="AR15" s="483"/>
      <c r="AS15" s="483"/>
      <c r="AT15" s="483"/>
      <c r="AU15" s="483"/>
      <c r="AV15" s="483"/>
      <c r="AW15" s="483"/>
      <c r="AX15" s="483"/>
      <c r="AY15" s="483"/>
      <c r="AZ15" s="483"/>
      <c r="BD15" s="110"/>
      <c r="BE15" s="110"/>
      <c r="BF15" s="111"/>
      <c r="BG15" s="111"/>
      <c r="BH15" s="111"/>
      <c r="BI15" s="111"/>
      <c r="BJ15" s="112"/>
      <c r="BK15" s="112"/>
      <c r="BL15" s="110"/>
      <c r="BM15" s="110"/>
      <c r="BN15" s="108"/>
      <c r="BO15" s="108"/>
    </row>
    <row r="16" spans="2:67" ht="15" customHeight="1" thickBot="1">
      <c r="B16" s="113" t="s">
        <v>175</v>
      </c>
      <c r="C16" s="114" t="s">
        <v>6848</v>
      </c>
      <c r="D16" s="1473"/>
      <c r="E16" s="115"/>
      <c r="F16" s="115"/>
      <c r="G16" s="116"/>
      <c r="H16" s="116"/>
      <c r="I16" s="116"/>
      <c r="J16" s="116"/>
      <c r="K16" s="116"/>
      <c r="L16" s="112"/>
      <c r="M16" s="115"/>
      <c r="N16" s="115"/>
      <c r="O16" s="108"/>
      <c r="P16" s="108"/>
      <c r="Q16" s="2"/>
      <c r="AE16" s="23"/>
      <c r="AF16" s="23"/>
      <c r="AG16" s="23"/>
      <c r="AI16" s="483"/>
      <c r="AJ16" s="483"/>
      <c r="AK16" s="483"/>
      <c r="AL16" s="483"/>
      <c r="AM16" s="483"/>
      <c r="AN16" s="483"/>
      <c r="AO16" s="483"/>
      <c r="AP16" s="483"/>
      <c r="AQ16" s="483"/>
      <c r="AR16" s="483"/>
      <c r="AS16" s="483"/>
      <c r="AT16" s="483"/>
      <c r="AU16" s="483"/>
      <c r="AV16" s="483"/>
      <c r="AW16" s="483"/>
      <c r="AX16" s="483"/>
      <c r="AY16" s="483"/>
      <c r="AZ16" s="483"/>
      <c r="BA16" s="113" t="s">
        <v>175</v>
      </c>
      <c r="BB16" s="114" t="s">
        <v>6848</v>
      </c>
      <c r="BC16" s="2268"/>
      <c r="BD16" s="115"/>
      <c r="BE16" s="115"/>
      <c r="BF16" s="116"/>
      <c r="BG16" s="116"/>
      <c r="BH16" s="116"/>
      <c r="BI16" s="116"/>
      <c r="BJ16" s="116"/>
      <c r="BK16" s="112"/>
      <c r="BL16" s="115"/>
      <c r="BM16" s="115"/>
      <c r="BN16" s="108"/>
      <c r="BO16" s="108"/>
    </row>
    <row r="17" spans="2:67" ht="15" customHeight="1">
      <c r="B17" s="86" t="s">
        <v>6849</v>
      </c>
      <c r="C17" s="117" t="s">
        <v>6850</v>
      </c>
      <c r="D17" s="117"/>
      <c r="E17" s="88" t="s">
        <v>6851</v>
      </c>
      <c r="F17" s="89">
        <v>3</v>
      </c>
      <c r="G17" s="36">
        <v>0</v>
      </c>
      <c r="H17" s="37">
        <v>0</v>
      </c>
      <c r="I17" s="38">
        <v>0</v>
      </c>
      <c r="J17" s="90">
        <f>SUM(G17:I17)</f>
        <v>0</v>
      </c>
      <c r="K17" s="38">
        <v>0</v>
      </c>
      <c r="L17" s="44">
        <v>0</v>
      </c>
      <c r="M17" s="91" t="s">
        <v>732</v>
      </c>
      <c r="N17" s="89">
        <v>2</v>
      </c>
      <c r="O17" s="839">
        <v>0</v>
      </c>
      <c r="P17" s="840">
        <v>0</v>
      </c>
      <c r="Q17" s="92"/>
      <c r="R17" s="24">
        <f xml:space="preserve"> IF( SUM( T17:AB17 ) = 0, 0, $U$7 )</f>
        <v>0</v>
      </c>
      <c r="U17" s="93">
        <f xml:space="preserve"> IF( ISNUMBER( G17 ), 0, 1 )</f>
        <v>0</v>
      </c>
      <c r="V17" s="93">
        <f t="shared" ref="V17:W20" si="11" xml:space="preserve"> IF( ISNUMBER( H17 ), 0, 1 )</f>
        <v>0</v>
      </c>
      <c r="W17" s="93">
        <f t="shared" si="11"/>
        <v>0</v>
      </c>
      <c r="X17" s="93">
        <f xml:space="preserve"> IF( ISNUMBER( K17 ), 0, 1 )</f>
        <v>0</v>
      </c>
      <c r="Y17" s="93">
        <f xml:space="preserve"> IF( ISNUMBER( L17 ), 0, 1 )</f>
        <v>0</v>
      </c>
      <c r="Z17" s="93">
        <f xml:space="preserve"> IF( ISNUMBER( O17 ), 0, 1 )</f>
        <v>0</v>
      </c>
      <c r="AA17" s="93">
        <f xml:space="preserve"> IF( ISNUMBER( P17 ), 0, 1 )</f>
        <v>0</v>
      </c>
      <c r="AE17" s="23"/>
      <c r="AF17" s="23"/>
      <c r="AG17" s="23"/>
      <c r="AI17" s="483"/>
      <c r="AJ17" s="483"/>
      <c r="AK17" s="483"/>
      <c r="AL17" s="483"/>
      <c r="AM17" s="483"/>
      <c r="AN17" s="483"/>
      <c r="AO17" s="483"/>
      <c r="AP17" s="483"/>
      <c r="AQ17" s="483"/>
      <c r="AR17" s="483"/>
      <c r="AS17" s="483"/>
      <c r="AT17" s="483"/>
      <c r="AU17" s="483"/>
      <c r="AV17" s="483"/>
      <c r="AW17" s="483"/>
      <c r="AX17" s="483"/>
      <c r="AY17" s="483"/>
      <c r="AZ17" s="483"/>
      <c r="BA17" s="86" t="s">
        <v>6849</v>
      </c>
      <c r="BB17" s="117" t="s">
        <v>6850</v>
      </c>
      <c r="BC17" s="84"/>
      <c r="BD17" s="88" t="s">
        <v>6851</v>
      </c>
      <c r="BE17" s="89">
        <v>3</v>
      </c>
      <c r="BF17" s="2578" t="s">
        <v>6852</v>
      </c>
      <c r="BG17" s="2579" t="s">
        <v>6853</v>
      </c>
      <c r="BH17" s="2580" t="s">
        <v>6854</v>
      </c>
      <c r="BI17" s="90" t="s">
        <v>6855</v>
      </c>
      <c r="BJ17" s="2580" t="s">
        <v>6856</v>
      </c>
      <c r="BK17" s="2604" t="s">
        <v>6857</v>
      </c>
      <c r="BL17" s="91" t="s">
        <v>732</v>
      </c>
      <c r="BM17" s="89">
        <v>2</v>
      </c>
      <c r="BN17" s="2582" t="s">
        <v>6858</v>
      </c>
      <c r="BO17" s="2583" t="s">
        <v>6859</v>
      </c>
    </row>
    <row r="18" spans="2:67" ht="15" customHeight="1">
      <c r="B18" s="94" t="s">
        <v>6860</v>
      </c>
      <c r="C18" s="87" t="s">
        <v>6861</v>
      </c>
      <c r="D18" s="87"/>
      <c r="E18" s="95" t="s">
        <v>6851</v>
      </c>
      <c r="F18" s="96">
        <v>3</v>
      </c>
      <c r="G18" s="40">
        <v>0</v>
      </c>
      <c r="H18" s="41">
        <v>0</v>
      </c>
      <c r="I18" s="42">
        <v>0</v>
      </c>
      <c r="J18" s="97">
        <f t="shared" ref="J18" si="12">SUM(G18:I18)</f>
        <v>0</v>
      </c>
      <c r="K18" s="42">
        <v>0</v>
      </c>
      <c r="L18" s="45">
        <v>0</v>
      </c>
      <c r="M18" s="98" t="s">
        <v>732</v>
      </c>
      <c r="N18" s="96">
        <v>2</v>
      </c>
      <c r="O18" s="843">
        <v>0</v>
      </c>
      <c r="P18" s="844">
        <v>0</v>
      </c>
      <c r="Q18" s="92"/>
      <c r="R18" s="24">
        <f t="shared" ref="R18:R20" si="13" xml:space="preserve"> IF( SUM( T18:AB18 ) = 0, 0, $U$7 )</f>
        <v>0</v>
      </c>
      <c r="U18" s="93">
        <f t="shared" ref="U18:U20" si="14" xml:space="preserve"> IF( ISNUMBER( G18 ), 0, 1 )</f>
        <v>0</v>
      </c>
      <c r="V18" s="93">
        <f t="shared" si="11"/>
        <v>0</v>
      </c>
      <c r="W18" s="93">
        <f t="shared" si="11"/>
        <v>0</v>
      </c>
      <c r="X18" s="93">
        <f t="shared" ref="X18:Y20" si="15" xml:space="preserve"> IF( ISNUMBER( K18 ), 0, 1 )</f>
        <v>0</v>
      </c>
      <c r="Y18" s="93">
        <f t="shared" si="15"/>
        <v>0</v>
      </c>
      <c r="Z18" s="93">
        <f t="shared" ref="Z18:AA20" si="16" xml:space="preserve"> IF( ISNUMBER( O18 ), 0, 1 )</f>
        <v>0</v>
      </c>
      <c r="AA18" s="93">
        <f t="shared" si="16"/>
        <v>0</v>
      </c>
      <c r="AE18" s="23"/>
      <c r="AF18" s="23"/>
      <c r="AG18" s="23"/>
      <c r="AI18" s="483"/>
      <c r="AJ18" s="483"/>
      <c r="AK18" s="483"/>
      <c r="AL18" s="483"/>
      <c r="AM18" s="483"/>
      <c r="AN18" s="483"/>
      <c r="AO18" s="483"/>
      <c r="AP18" s="483"/>
      <c r="AQ18" s="483"/>
      <c r="AR18" s="483"/>
      <c r="AS18" s="483"/>
      <c r="AT18" s="483"/>
      <c r="AU18" s="483"/>
      <c r="AV18" s="483"/>
      <c r="AW18" s="483"/>
      <c r="AX18" s="483"/>
      <c r="AY18" s="483"/>
      <c r="AZ18" s="483"/>
      <c r="BA18" s="94" t="s">
        <v>6860</v>
      </c>
      <c r="BB18" s="87" t="s">
        <v>6861</v>
      </c>
      <c r="BC18" s="87"/>
      <c r="BD18" s="95" t="s">
        <v>6851</v>
      </c>
      <c r="BE18" s="96">
        <v>3</v>
      </c>
      <c r="BF18" s="2590" t="s">
        <v>6862</v>
      </c>
      <c r="BG18" s="2591" t="s">
        <v>6863</v>
      </c>
      <c r="BH18" s="2592" t="s">
        <v>6864</v>
      </c>
      <c r="BI18" s="97" t="s">
        <v>6865</v>
      </c>
      <c r="BJ18" s="2592" t="s">
        <v>6866</v>
      </c>
      <c r="BK18" s="2605" t="s">
        <v>6867</v>
      </c>
      <c r="BL18" s="98" t="s">
        <v>732</v>
      </c>
      <c r="BM18" s="96">
        <v>2</v>
      </c>
      <c r="BN18" s="2594" t="s">
        <v>6868</v>
      </c>
      <c r="BO18" s="2595" t="s">
        <v>6869</v>
      </c>
    </row>
    <row r="19" spans="2:67" ht="15" customHeight="1">
      <c r="B19" s="94" t="s">
        <v>6870</v>
      </c>
      <c r="C19" s="87" t="s">
        <v>6871</v>
      </c>
      <c r="D19" s="87"/>
      <c r="E19" s="95" t="s">
        <v>6851</v>
      </c>
      <c r="F19" s="96">
        <v>3</v>
      </c>
      <c r="G19" s="40">
        <v>0</v>
      </c>
      <c r="H19" s="41">
        <v>0</v>
      </c>
      <c r="I19" s="42">
        <v>0</v>
      </c>
      <c r="J19" s="97">
        <f>SUM(G19:I19)</f>
        <v>0</v>
      </c>
      <c r="K19" s="42">
        <v>0</v>
      </c>
      <c r="L19" s="45">
        <v>0</v>
      </c>
      <c r="M19" s="98" t="s">
        <v>732</v>
      </c>
      <c r="N19" s="96">
        <v>2</v>
      </c>
      <c r="O19" s="843">
        <v>0</v>
      </c>
      <c r="P19" s="844">
        <v>0</v>
      </c>
      <c r="Q19" s="2"/>
      <c r="R19" s="24">
        <f t="shared" si="13"/>
        <v>0</v>
      </c>
      <c r="U19" s="93">
        <f t="shared" si="14"/>
        <v>0</v>
      </c>
      <c r="V19" s="93">
        <f t="shared" si="11"/>
        <v>0</v>
      </c>
      <c r="W19" s="93">
        <f t="shared" si="11"/>
        <v>0</v>
      </c>
      <c r="X19" s="93">
        <f t="shared" si="15"/>
        <v>0</v>
      </c>
      <c r="Y19" s="93">
        <f t="shared" si="15"/>
        <v>0</v>
      </c>
      <c r="Z19" s="93">
        <f t="shared" si="16"/>
        <v>0</v>
      </c>
      <c r="AA19" s="93">
        <f t="shared" si="16"/>
        <v>0</v>
      </c>
      <c r="AE19" s="23"/>
      <c r="AF19" s="23"/>
      <c r="AG19" s="23"/>
      <c r="AI19" s="483"/>
      <c r="AJ19" s="483"/>
      <c r="AK19" s="483"/>
      <c r="AL19" s="483"/>
      <c r="AM19" s="483"/>
      <c r="AN19" s="483"/>
      <c r="AO19" s="483"/>
      <c r="AP19" s="483"/>
      <c r="AQ19" s="483"/>
      <c r="AR19" s="483"/>
      <c r="AS19" s="483"/>
      <c r="AT19" s="483"/>
      <c r="AU19" s="483"/>
      <c r="AV19" s="483"/>
      <c r="AW19" s="483"/>
      <c r="AX19" s="483"/>
      <c r="AY19" s="483"/>
      <c r="AZ19" s="483"/>
      <c r="BA19" s="94" t="s">
        <v>6870</v>
      </c>
      <c r="BB19" s="87" t="s">
        <v>6871</v>
      </c>
      <c r="BC19" s="87"/>
      <c r="BD19" s="95" t="s">
        <v>6851</v>
      </c>
      <c r="BE19" s="96">
        <v>3</v>
      </c>
      <c r="BF19" s="2590" t="s">
        <v>6872</v>
      </c>
      <c r="BG19" s="2591" t="s">
        <v>6873</v>
      </c>
      <c r="BH19" s="2592" t="s">
        <v>6874</v>
      </c>
      <c r="BI19" s="97" t="s">
        <v>6875</v>
      </c>
      <c r="BJ19" s="2592" t="s">
        <v>6876</v>
      </c>
      <c r="BK19" s="2605" t="s">
        <v>6877</v>
      </c>
      <c r="BL19" s="98" t="s">
        <v>732</v>
      </c>
      <c r="BM19" s="96">
        <v>2</v>
      </c>
      <c r="BN19" s="2594" t="s">
        <v>6878</v>
      </c>
      <c r="BO19" s="2595" t="s">
        <v>6879</v>
      </c>
    </row>
    <row r="20" spans="2:67" ht="15" customHeight="1" thickBot="1">
      <c r="B20" s="94" t="s">
        <v>6880</v>
      </c>
      <c r="C20" s="87" t="s">
        <v>6881</v>
      </c>
      <c r="D20" s="87"/>
      <c r="E20" s="95" t="s">
        <v>6851</v>
      </c>
      <c r="F20" s="96">
        <v>3</v>
      </c>
      <c r="G20" s="40">
        <v>0</v>
      </c>
      <c r="H20" s="41">
        <v>0</v>
      </c>
      <c r="I20" s="42">
        <v>0</v>
      </c>
      <c r="J20" s="97">
        <f t="shared" ref="J20" si="17">SUM(G20:I20)</f>
        <v>0</v>
      </c>
      <c r="K20" s="42">
        <v>0</v>
      </c>
      <c r="L20" s="45">
        <v>0</v>
      </c>
      <c r="M20" s="99" t="s">
        <v>732</v>
      </c>
      <c r="N20" s="100">
        <v>2</v>
      </c>
      <c r="O20" s="847">
        <v>0</v>
      </c>
      <c r="P20" s="848">
        <v>0</v>
      </c>
      <c r="Q20" s="2"/>
      <c r="R20" s="24">
        <f t="shared" si="13"/>
        <v>0</v>
      </c>
      <c r="U20" s="93">
        <f t="shared" si="14"/>
        <v>0</v>
      </c>
      <c r="V20" s="93">
        <f t="shared" si="11"/>
        <v>0</v>
      </c>
      <c r="W20" s="93">
        <f t="shared" si="11"/>
        <v>0</v>
      </c>
      <c r="X20" s="93">
        <f t="shared" si="15"/>
        <v>0</v>
      </c>
      <c r="Y20" s="93">
        <f t="shared" si="15"/>
        <v>0</v>
      </c>
      <c r="Z20" s="93">
        <f t="shared" si="16"/>
        <v>0</v>
      </c>
      <c r="AA20" s="93">
        <f t="shared" si="16"/>
        <v>0</v>
      </c>
      <c r="AE20" s="23"/>
      <c r="AF20" s="23"/>
      <c r="AG20" s="23"/>
      <c r="AI20" s="483"/>
      <c r="AJ20" s="483"/>
      <c r="AK20" s="483"/>
      <c r="AL20" s="483"/>
      <c r="AM20" s="483"/>
      <c r="AN20" s="483"/>
      <c r="AO20" s="483"/>
      <c r="AP20" s="483"/>
      <c r="AQ20" s="483"/>
      <c r="AR20" s="483"/>
      <c r="AS20" s="483"/>
      <c r="AT20" s="483"/>
      <c r="AU20" s="483"/>
      <c r="AV20" s="483"/>
      <c r="AW20" s="483"/>
      <c r="AX20" s="483"/>
      <c r="AY20" s="483"/>
      <c r="AZ20" s="483"/>
      <c r="BA20" s="94" t="s">
        <v>6880</v>
      </c>
      <c r="BB20" s="87" t="s">
        <v>6881</v>
      </c>
      <c r="BC20" s="87"/>
      <c r="BD20" s="95" t="s">
        <v>6851</v>
      </c>
      <c r="BE20" s="96">
        <v>3</v>
      </c>
      <c r="BF20" s="2590" t="s">
        <v>6882</v>
      </c>
      <c r="BG20" s="2591" t="s">
        <v>6883</v>
      </c>
      <c r="BH20" s="2592" t="s">
        <v>6884</v>
      </c>
      <c r="BI20" s="97" t="s">
        <v>6885</v>
      </c>
      <c r="BJ20" s="2592" t="s">
        <v>6886</v>
      </c>
      <c r="BK20" s="2605" t="s">
        <v>6887</v>
      </c>
      <c r="BL20" s="99" t="s">
        <v>732</v>
      </c>
      <c r="BM20" s="100">
        <v>2</v>
      </c>
      <c r="BN20" s="2602" t="s">
        <v>6888</v>
      </c>
      <c r="BO20" s="2603" t="s">
        <v>6889</v>
      </c>
    </row>
    <row r="21" spans="2:67" ht="15.75" customHeight="1" thickBot="1">
      <c r="B21" s="101" t="s">
        <v>6890</v>
      </c>
      <c r="C21" s="102" t="s">
        <v>708</v>
      </c>
      <c r="D21" s="102"/>
      <c r="E21" s="103" t="s">
        <v>6851</v>
      </c>
      <c r="F21" s="100">
        <v>3</v>
      </c>
      <c r="G21" s="104">
        <f>SUM(G17:G20)</f>
        <v>0</v>
      </c>
      <c r="H21" s="105">
        <f t="shared" ref="H21:K21" si="18">SUM(H17:H20)</f>
        <v>0</v>
      </c>
      <c r="I21" s="106">
        <f t="shared" si="18"/>
        <v>0</v>
      </c>
      <c r="J21" s="104">
        <f t="shared" si="18"/>
        <v>0</v>
      </c>
      <c r="K21" s="106">
        <f t="shared" si="18"/>
        <v>0</v>
      </c>
      <c r="L21" s="107">
        <f>SUM(L17:L20)</f>
        <v>0</v>
      </c>
      <c r="M21" s="115"/>
      <c r="N21" s="115"/>
      <c r="O21" s="108"/>
      <c r="P21" s="108"/>
      <c r="Q21" s="92"/>
      <c r="S21" s="118"/>
      <c r="T21" s="119"/>
      <c r="U21" s="120"/>
      <c r="V21" s="118"/>
      <c r="W21" s="118"/>
      <c r="X21" s="118"/>
      <c r="Y21" s="118"/>
      <c r="Z21" s="118"/>
      <c r="AA21" s="118"/>
      <c r="AB21" s="119"/>
      <c r="AD21" s="119"/>
      <c r="AE21" s="23"/>
      <c r="AF21" s="23"/>
      <c r="AG21" s="23"/>
      <c r="AH21" s="119"/>
      <c r="AI21" s="483"/>
      <c r="AJ21" s="483"/>
      <c r="AK21" s="483"/>
      <c r="AL21" s="483"/>
      <c r="AM21" s="483"/>
      <c r="AN21" s="483"/>
      <c r="AO21" s="483"/>
      <c r="AP21" s="483"/>
      <c r="AQ21" s="483"/>
      <c r="AR21" s="483"/>
      <c r="AS21" s="483"/>
      <c r="AT21" s="483"/>
      <c r="AU21" s="483"/>
      <c r="AV21" s="483"/>
      <c r="AW21" s="483"/>
      <c r="AX21" s="483"/>
      <c r="AY21" s="483"/>
      <c r="AZ21" s="483"/>
      <c r="BA21" s="101" t="s">
        <v>6890</v>
      </c>
      <c r="BB21" s="102" t="s">
        <v>708</v>
      </c>
      <c r="BC21" s="102"/>
      <c r="BD21" s="103" t="s">
        <v>6851</v>
      </c>
      <c r="BE21" s="100">
        <v>3</v>
      </c>
      <c r="BF21" s="104" t="s">
        <v>6891</v>
      </c>
      <c r="BG21" s="105" t="s">
        <v>6892</v>
      </c>
      <c r="BH21" s="106" t="s">
        <v>6893</v>
      </c>
      <c r="BI21" s="104" t="s">
        <v>6894</v>
      </c>
      <c r="BJ21" s="106" t="s">
        <v>6895</v>
      </c>
      <c r="BK21" s="107" t="s">
        <v>6896</v>
      </c>
      <c r="BL21" s="115"/>
      <c r="BM21" s="115"/>
      <c r="BN21" s="108"/>
      <c r="BO21" s="108"/>
    </row>
    <row r="22" spans="2:67" ht="15.75" customHeight="1" thickBot="1">
      <c r="B22" s="121"/>
      <c r="C22" s="122"/>
      <c r="D22" s="122"/>
      <c r="E22" s="115"/>
      <c r="F22" s="115"/>
      <c r="G22" s="116"/>
      <c r="H22" s="116"/>
      <c r="I22" s="116"/>
      <c r="J22" s="116"/>
      <c r="K22" s="116"/>
      <c r="L22" s="116"/>
      <c r="M22" s="115"/>
      <c r="N22" s="115"/>
      <c r="O22" s="123"/>
      <c r="P22" s="123"/>
      <c r="Q22" s="92"/>
      <c r="S22" s="118"/>
      <c r="T22" s="119"/>
      <c r="U22" s="120"/>
      <c r="V22" s="118"/>
      <c r="W22" s="118"/>
      <c r="X22" s="118"/>
      <c r="Y22" s="118"/>
      <c r="Z22" s="118"/>
      <c r="AA22" s="118"/>
      <c r="AB22" s="119"/>
      <c r="AD22" s="119"/>
      <c r="AE22" s="23"/>
      <c r="AF22" s="23"/>
      <c r="AG22" s="23"/>
      <c r="AH22" s="119"/>
      <c r="AI22" s="483"/>
      <c r="AJ22" s="483"/>
      <c r="AK22" s="483"/>
      <c r="AL22" s="483"/>
      <c r="AM22" s="483"/>
      <c r="AN22" s="483"/>
      <c r="AO22" s="483"/>
      <c r="AP22" s="483"/>
      <c r="AQ22" s="483"/>
      <c r="AR22" s="483"/>
      <c r="AS22" s="483"/>
      <c r="AT22" s="483"/>
      <c r="AU22" s="483"/>
      <c r="AV22" s="483"/>
      <c r="AW22" s="483"/>
      <c r="AX22" s="483"/>
      <c r="AY22" s="483"/>
      <c r="AZ22" s="483"/>
      <c r="BA22" s="121"/>
      <c r="BB22" s="122"/>
      <c r="BC22" s="122"/>
      <c r="BD22" s="115"/>
      <c r="BE22" s="115"/>
      <c r="BF22" s="116"/>
      <c r="BG22" s="116"/>
      <c r="BH22" s="116"/>
      <c r="BI22" s="116"/>
      <c r="BJ22" s="116"/>
      <c r="BK22" s="116"/>
      <c r="BL22" s="115"/>
      <c r="BM22" s="115"/>
      <c r="BN22" s="123"/>
      <c r="BO22" s="123"/>
    </row>
    <row r="23" spans="2:67" ht="14.5" thickBot="1">
      <c r="B23" s="113" t="s">
        <v>333</v>
      </c>
      <c r="C23" s="114" t="s">
        <v>6897</v>
      </c>
      <c r="D23" s="1473"/>
      <c r="E23" s="115"/>
      <c r="F23" s="115"/>
      <c r="G23" s="116"/>
      <c r="H23" s="116"/>
      <c r="I23" s="116"/>
      <c r="J23" s="116"/>
      <c r="K23" s="116"/>
      <c r="L23" s="112"/>
      <c r="M23" s="115"/>
      <c r="N23" s="115"/>
      <c r="O23" s="108"/>
      <c r="P23" s="108"/>
      <c r="Q23" s="92"/>
      <c r="S23" s="118"/>
      <c r="T23" s="119"/>
      <c r="U23" s="120"/>
      <c r="V23" s="118"/>
      <c r="W23" s="118"/>
      <c r="X23" s="118"/>
      <c r="Y23" s="118"/>
      <c r="Z23" s="118"/>
      <c r="AA23" s="118"/>
      <c r="AB23" s="119"/>
      <c r="AD23" s="119"/>
      <c r="AE23" s="23"/>
      <c r="AF23" s="23"/>
      <c r="AG23" s="23"/>
      <c r="AH23" s="119"/>
      <c r="AI23" s="483"/>
      <c r="AJ23" s="483"/>
      <c r="AK23" s="483"/>
      <c r="AL23" s="483"/>
      <c r="AM23" s="483"/>
      <c r="AN23" s="483"/>
      <c r="AO23" s="483"/>
      <c r="AP23" s="483"/>
      <c r="AQ23" s="483"/>
      <c r="AR23" s="483"/>
      <c r="AS23" s="483"/>
      <c r="AT23" s="483"/>
      <c r="AU23" s="483"/>
      <c r="AV23" s="483"/>
      <c r="AW23" s="483"/>
      <c r="AX23" s="483"/>
      <c r="AY23" s="483"/>
      <c r="AZ23" s="483"/>
      <c r="BA23" s="113" t="s">
        <v>333</v>
      </c>
      <c r="BB23" s="114" t="s">
        <v>6897</v>
      </c>
      <c r="BC23" s="2268"/>
      <c r="BD23" s="115"/>
      <c r="BE23" s="115"/>
      <c r="BF23" s="116"/>
      <c r="BG23" s="116"/>
      <c r="BH23" s="116"/>
      <c r="BI23" s="116"/>
      <c r="BJ23" s="116"/>
      <c r="BK23" s="112"/>
      <c r="BL23" s="115"/>
      <c r="BM23" s="115"/>
      <c r="BN23" s="108"/>
      <c r="BO23" s="108"/>
    </row>
    <row r="24" spans="2:67">
      <c r="B24" s="86" t="s">
        <v>6898</v>
      </c>
      <c r="C24" s="117" t="s">
        <v>6899</v>
      </c>
      <c r="D24" s="117"/>
      <c r="E24" s="88" t="s">
        <v>6851</v>
      </c>
      <c r="F24" s="89">
        <v>3</v>
      </c>
      <c r="G24" s="36">
        <v>0</v>
      </c>
      <c r="H24" s="37">
        <v>0</v>
      </c>
      <c r="I24" s="38">
        <v>0</v>
      </c>
      <c r="J24" s="90">
        <f>SUM(G24:I24)</f>
        <v>0</v>
      </c>
      <c r="K24" s="38">
        <v>0</v>
      </c>
      <c r="L24" s="46">
        <v>0</v>
      </c>
      <c r="M24" s="91" t="s">
        <v>732</v>
      </c>
      <c r="N24" s="89">
        <v>2</v>
      </c>
      <c r="O24" s="839">
        <v>0</v>
      </c>
      <c r="P24" s="840">
        <v>0</v>
      </c>
      <c r="Q24" s="92"/>
      <c r="R24" s="24">
        <f t="shared" ref="R24:R27" si="19" xml:space="preserve"> IF( SUM( T24:AB24 ) = 0, 0, $U$7 )</f>
        <v>0</v>
      </c>
      <c r="U24" s="93">
        <f t="shared" ref="U24:W27" si="20" xml:space="preserve"> IF( ISNUMBER( G24 ), 0, 1 )</f>
        <v>0</v>
      </c>
      <c r="V24" s="93">
        <f t="shared" si="20"/>
        <v>0</v>
      </c>
      <c r="W24" s="93">
        <f t="shared" si="20"/>
        <v>0</v>
      </c>
      <c r="X24" s="93">
        <f t="shared" ref="X24:Y27" si="21" xml:space="preserve"> IF( ISNUMBER( K24 ), 0, 1 )</f>
        <v>0</v>
      </c>
      <c r="Y24" s="93">
        <f t="shared" si="21"/>
        <v>0</v>
      </c>
      <c r="Z24" s="93">
        <f t="shared" ref="Z24:AA27" si="22" xml:space="preserve"> IF( ISNUMBER( O24 ), 0, 1 )</f>
        <v>0</v>
      </c>
      <c r="AA24" s="93">
        <f t="shared" si="22"/>
        <v>0</v>
      </c>
      <c r="AE24" s="23"/>
      <c r="AF24" s="23"/>
      <c r="AG24" s="23"/>
      <c r="AI24" s="483"/>
      <c r="AJ24" s="483"/>
      <c r="AK24" s="483"/>
      <c r="AL24" s="483"/>
      <c r="AM24" s="483"/>
      <c r="AN24" s="483"/>
      <c r="AO24" s="483"/>
      <c r="AP24" s="483"/>
      <c r="AQ24" s="483"/>
      <c r="AR24" s="483"/>
      <c r="AS24" s="483"/>
      <c r="AT24" s="483"/>
      <c r="AU24" s="483"/>
      <c r="AV24" s="483"/>
      <c r="AW24" s="483"/>
      <c r="AX24" s="483"/>
      <c r="AY24" s="483"/>
      <c r="AZ24" s="483"/>
      <c r="BA24" s="86" t="s">
        <v>6898</v>
      </c>
      <c r="BB24" s="117" t="s">
        <v>6899</v>
      </c>
      <c r="BC24" s="117"/>
      <c r="BD24" s="88" t="s">
        <v>6851</v>
      </c>
      <c r="BE24" s="89">
        <v>3</v>
      </c>
      <c r="BF24" s="2578" t="s">
        <v>6900</v>
      </c>
      <c r="BG24" s="2579" t="s">
        <v>6901</v>
      </c>
      <c r="BH24" s="2580" t="s">
        <v>6902</v>
      </c>
      <c r="BI24" s="90" t="s">
        <v>6903</v>
      </c>
      <c r="BJ24" s="2580" t="s">
        <v>6904</v>
      </c>
      <c r="BK24" s="2606" t="s">
        <v>6905</v>
      </c>
      <c r="BL24" s="91" t="s">
        <v>732</v>
      </c>
      <c r="BM24" s="89">
        <v>2</v>
      </c>
      <c r="BN24" s="2582" t="s">
        <v>6906</v>
      </c>
      <c r="BO24" s="2583" t="s">
        <v>6907</v>
      </c>
    </row>
    <row r="25" spans="2:67">
      <c r="B25" s="94" t="s">
        <v>6908</v>
      </c>
      <c r="C25" s="87" t="s">
        <v>6909</v>
      </c>
      <c r="D25" s="87"/>
      <c r="E25" s="95" t="s">
        <v>6851</v>
      </c>
      <c r="F25" s="96">
        <v>3</v>
      </c>
      <c r="G25" s="40">
        <v>0</v>
      </c>
      <c r="H25" s="41">
        <v>0</v>
      </c>
      <c r="I25" s="42">
        <v>0</v>
      </c>
      <c r="J25" s="97">
        <f t="shared" ref="J25:J27" si="23">SUM(G25:I25)</f>
        <v>0</v>
      </c>
      <c r="K25" s="42">
        <v>0</v>
      </c>
      <c r="L25" s="47">
        <v>0</v>
      </c>
      <c r="M25" s="98" t="s">
        <v>732</v>
      </c>
      <c r="N25" s="96">
        <v>2</v>
      </c>
      <c r="O25" s="843">
        <v>0</v>
      </c>
      <c r="P25" s="844">
        <v>0</v>
      </c>
      <c r="Q25" s="92"/>
      <c r="R25" s="24">
        <f t="shared" si="19"/>
        <v>0</v>
      </c>
      <c r="U25" s="93">
        <f t="shared" si="20"/>
        <v>0</v>
      </c>
      <c r="V25" s="93">
        <f t="shared" si="20"/>
        <v>0</v>
      </c>
      <c r="W25" s="93">
        <f t="shared" si="20"/>
        <v>0</v>
      </c>
      <c r="X25" s="93">
        <f t="shared" si="21"/>
        <v>0</v>
      </c>
      <c r="Y25" s="93">
        <f t="shared" si="21"/>
        <v>0</v>
      </c>
      <c r="Z25" s="93">
        <f t="shared" si="22"/>
        <v>0</v>
      </c>
      <c r="AA25" s="93">
        <f t="shared" si="22"/>
        <v>0</v>
      </c>
      <c r="AE25" s="23"/>
      <c r="AF25" s="23"/>
      <c r="AG25" s="23"/>
      <c r="AI25" s="483"/>
      <c r="AJ25" s="483"/>
      <c r="AK25" s="483"/>
      <c r="AL25" s="483"/>
      <c r="AM25" s="483"/>
      <c r="AN25" s="483"/>
      <c r="AO25" s="483"/>
      <c r="AP25" s="483"/>
      <c r="AQ25" s="483"/>
      <c r="AR25" s="483"/>
      <c r="AS25" s="483"/>
      <c r="AT25" s="483"/>
      <c r="AU25" s="483"/>
      <c r="AV25" s="483"/>
      <c r="AW25" s="483"/>
      <c r="AX25" s="483"/>
      <c r="AY25" s="483"/>
      <c r="AZ25" s="483"/>
      <c r="BA25" s="94" t="s">
        <v>6908</v>
      </c>
      <c r="BB25" s="87" t="s">
        <v>6909</v>
      </c>
      <c r="BC25" s="87"/>
      <c r="BD25" s="95" t="s">
        <v>6851</v>
      </c>
      <c r="BE25" s="96">
        <v>3</v>
      </c>
      <c r="BF25" s="2590" t="s">
        <v>6910</v>
      </c>
      <c r="BG25" s="2591" t="s">
        <v>6911</v>
      </c>
      <c r="BH25" s="2592" t="s">
        <v>6912</v>
      </c>
      <c r="BI25" s="97" t="s">
        <v>6913</v>
      </c>
      <c r="BJ25" s="2592" t="s">
        <v>6914</v>
      </c>
      <c r="BK25" s="2607" t="s">
        <v>6915</v>
      </c>
      <c r="BL25" s="98" t="s">
        <v>732</v>
      </c>
      <c r="BM25" s="96">
        <v>2</v>
      </c>
      <c r="BN25" s="2594" t="s">
        <v>6916</v>
      </c>
      <c r="BO25" s="2595" t="s">
        <v>6917</v>
      </c>
    </row>
    <row r="26" spans="2:67">
      <c r="B26" s="94" t="s">
        <v>6918</v>
      </c>
      <c r="C26" s="87" t="s">
        <v>6919</v>
      </c>
      <c r="D26" s="87"/>
      <c r="E26" s="95" t="s">
        <v>6851</v>
      </c>
      <c r="F26" s="96">
        <v>3</v>
      </c>
      <c r="G26" s="40">
        <v>0</v>
      </c>
      <c r="H26" s="41">
        <v>0</v>
      </c>
      <c r="I26" s="42">
        <v>0</v>
      </c>
      <c r="J26" s="97">
        <f>SUM(G26:I26)</f>
        <v>0</v>
      </c>
      <c r="K26" s="42">
        <v>0</v>
      </c>
      <c r="L26" s="47">
        <v>0</v>
      </c>
      <c r="M26" s="98" t="s">
        <v>732</v>
      </c>
      <c r="N26" s="96">
        <v>2</v>
      </c>
      <c r="O26" s="843">
        <v>0</v>
      </c>
      <c r="P26" s="844">
        <v>0</v>
      </c>
      <c r="Q26" s="92"/>
      <c r="R26" s="24">
        <f t="shared" si="19"/>
        <v>0</v>
      </c>
      <c r="U26" s="93">
        <f t="shared" si="20"/>
        <v>0</v>
      </c>
      <c r="V26" s="93">
        <f t="shared" si="20"/>
        <v>0</v>
      </c>
      <c r="W26" s="93">
        <f t="shared" si="20"/>
        <v>0</v>
      </c>
      <c r="X26" s="93">
        <f t="shared" si="21"/>
        <v>0</v>
      </c>
      <c r="Y26" s="93">
        <f t="shared" si="21"/>
        <v>0</v>
      </c>
      <c r="Z26" s="93">
        <f t="shared" si="22"/>
        <v>0</v>
      </c>
      <c r="AA26" s="93">
        <f t="shared" si="22"/>
        <v>0</v>
      </c>
      <c r="AB26" s="124"/>
      <c r="AD26" s="124"/>
      <c r="AE26" s="23"/>
      <c r="AF26" s="23"/>
      <c r="AG26" s="23"/>
      <c r="AH26" s="124"/>
      <c r="AI26" s="483"/>
      <c r="AJ26" s="483"/>
      <c r="AK26" s="483"/>
      <c r="AL26" s="483"/>
      <c r="AM26" s="483"/>
      <c r="AN26" s="483"/>
      <c r="AO26" s="483"/>
      <c r="AP26" s="483"/>
      <c r="AQ26" s="483"/>
      <c r="AR26" s="483"/>
      <c r="AS26" s="483"/>
      <c r="AT26" s="483"/>
      <c r="AU26" s="483"/>
      <c r="AV26" s="483"/>
      <c r="AW26" s="483"/>
      <c r="AX26" s="483"/>
      <c r="AY26" s="483"/>
      <c r="AZ26" s="483"/>
      <c r="BA26" s="94" t="s">
        <v>6918</v>
      </c>
      <c r="BB26" s="87" t="s">
        <v>6919</v>
      </c>
      <c r="BC26" s="87"/>
      <c r="BD26" s="95" t="s">
        <v>6851</v>
      </c>
      <c r="BE26" s="96">
        <v>3</v>
      </c>
      <c r="BF26" s="2590" t="s">
        <v>6920</v>
      </c>
      <c r="BG26" s="2591" t="s">
        <v>6921</v>
      </c>
      <c r="BH26" s="2592" t="s">
        <v>6922</v>
      </c>
      <c r="BI26" s="97" t="s">
        <v>6923</v>
      </c>
      <c r="BJ26" s="2592" t="s">
        <v>6924</v>
      </c>
      <c r="BK26" s="2607" t="s">
        <v>6925</v>
      </c>
      <c r="BL26" s="98" t="s">
        <v>732</v>
      </c>
      <c r="BM26" s="96">
        <v>2</v>
      </c>
      <c r="BN26" s="2594" t="s">
        <v>6926</v>
      </c>
      <c r="BO26" s="2595" t="s">
        <v>6927</v>
      </c>
    </row>
    <row r="27" spans="2:67" ht="14.5" thickBot="1">
      <c r="B27" s="94" t="s">
        <v>6928</v>
      </c>
      <c r="C27" s="87" t="s">
        <v>6929</v>
      </c>
      <c r="D27" s="87"/>
      <c r="E27" s="95" t="s">
        <v>6851</v>
      </c>
      <c r="F27" s="96">
        <v>3</v>
      </c>
      <c r="G27" s="40">
        <v>0</v>
      </c>
      <c r="H27" s="41">
        <v>0</v>
      </c>
      <c r="I27" s="42">
        <v>0</v>
      </c>
      <c r="J27" s="97">
        <f t="shared" si="23"/>
        <v>0</v>
      </c>
      <c r="K27" s="42">
        <v>0</v>
      </c>
      <c r="L27" s="48">
        <v>0</v>
      </c>
      <c r="M27" s="99" t="s">
        <v>732</v>
      </c>
      <c r="N27" s="100">
        <v>2</v>
      </c>
      <c r="O27" s="847">
        <v>0</v>
      </c>
      <c r="P27" s="848">
        <v>0</v>
      </c>
      <c r="Q27" s="92"/>
      <c r="R27" s="24">
        <f t="shared" si="19"/>
        <v>0</v>
      </c>
      <c r="U27" s="93">
        <f t="shared" si="20"/>
        <v>0</v>
      </c>
      <c r="V27" s="93">
        <f t="shared" si="20"/>
        <v>0</v>
      </c>
      <c r="W27" s="93">
        <f t="shared" si="20"/>
        <v>0</v>
      </c>
      <c r="X27" s="93">
        <f t="shared" si="21"/>
        <v>0</v>
      </c>
      <c r="Y27" s="93">
        <f t="shared" si="21"/>
        <v>0</v>
      </c>
      <c r="Z27" s="93">
        <f t="shared" si="22"/>
        <v>0</v>
      </c>
      <c r="AA27" s="93">
        <f t="shared" si="22"/>
        <v>0</v>
      </c>
      <c r="AB27" s="119"/>
      <c r="AD27" s="119"/>
      <c r="AE27" s="23"/>
      <c r="AF27" s="23"/>
      <c r="AG27" s="23"/>
      <c r="AH27" s="119"/>
      <c r="AI27" s="483"/>
      <c r="AJ27" s="483"/>
      <c r="AK27" s="483"/>
      <c r="AL27" s="483"/>
      <c r="AM27" s="483"/>
      <c r="AN27" s="483"/>
      <c r="AO27" s="483"/>
      <c r="AP27" s="483"/>
      <c r="AQ27" s="483"/>
      <c r="AR27" s="483"/>
      <c r="AS27" s="483"/>
      <c r="AT27" s="483"/>
      <c r="AU27" s="483"/>
      <c r="AV27" s="483"/>
      <c r="AW27" s="483"/>
      <c r="AX27" s="483"/>
      <c r="AY27" s="483"/>
      <c r="AZ27" s="483"/>
      <c r="BA27" s="94" t="s">
        <v>6928</v>
      </c>
      <c r="BB27" s="87" t="s">
        <v>6929</v>
      </c>
      <c r="BC27" s="87"/>
      <c r="BD27" s="95" t="s">
        <v>6851</v>
      </c>
      <c r="BE27" s="96">
        <v>3</v>
      </c>
      <c r="BF27" s="2590" t="s">
        <v>6930</v>
      </c>
      <c r="BG27" s="2591" t="s">
        <v>6931</v>
      </c>
      <c r="BH27" s="2592" t="s">
        <v>6932</v>
      </c>
      <c r="BI27" s="97" t="s">
        <v>6933</v>
      </c>
      <c r="BJ27" s="2592" t="s">
        <v>6934</v>
      </c>
      <c r="BK27" s="2608" t="s">
        <v>6935</v>
      </c>
      <c r="BL27" s="99" t="s">
        <v>732</v>
      </c>
      <c r="BM27" s="100">
        <v>2</v>
      </c>
      <c r="BN27" s="2602" t="s">
        <v>6936</v>
      </c>
      <c r="BO27" s="2603" t="s">
        <v>6937</v>
      </c>
    </row>
    <row r="28" spans="2:67" ht="14.5" thickBot="1">
      <c r="B28" s="101" t="s">
        <v>6938</v>
      </c>
      <c r="C28" s="102" t="s">
        <v>708</v>
      </c>
      <c r="D28" s="102"/>
      <c r="E28" s="103" t="s">
        <v>6851</v>
      </c>
      <c r="F28" s="100">
        <v>3</v>
      </c>
      <c r="G28" s="104">
        <f>SUM(G24:G27)</f>
        <v>0</v>
      </c>
      <c r="H28" s="105">
        <f t="shared" ref="H28:K28" si="24">SUM(H24:H27)</f>
        <v>0</v>
      </c>
      <c r="I28" s="106">
        <f t="shared" si="24"/>
        <v>0</v>
      </c>
      <c r="J28" s="104">
        <f t="shared" si="24"/>
        <v>0</v>
      </c>
      <c r="K28" s="106">
        <f t="shared" si="24"/>
        <v>0</v>
      </c>
      <c r="L28" s="125">
        <f>SUM(L24:L27)</f>
        <v>0</v>
      </c>
      <c r="M28" s="115"/>
      <c r="N28" s="115"/>
      <c r="O28" s="108"/>
      <c r="P28" s="108"/>
      <c r="Q28" s="92"/>
      <c r="S28" s="118"/>
      <c r="T28" s="119"/>
      <c r="U28" s="120"/>
      <c r="V28" s="118"/>
      <c r="W28" s="118"/>
      <c r="X28" s="118"/>
      <c r="Y28" s="118"/>
      <c r="Z28" s="118"/>
      <c r="AA28" s="118"/>
      <c r="AB28" s="119"/>
      <c r="AD28" s="119"/>
      <c r="AE28" s="23"/>
      <c r="AF28" s="23"/>
      <c r="AG28" s="23"/>
      <c r="AH28" s="119"/>
      <c r="AI28" s="483"/>
      <c r="AJ28" s="483"/>
      <c r="AK28" s="483"/>
      <c r="AL28" s="483"/>
      <c r="AM28" s="483"/>
      <c r="AN28" s="483"/>
      <c r="AO28" s="483"/>
      <c r="AP28" s="483"/>
      <c r="AQ28" s="483"/>
      <c r="AR28" s="483"/>
      <c r="AS28" s="483"/>
      <c r="AT28" s="483"/>
      <c r="AU28" s="483"/>
      <c r="AV28" s="483"/>
      <c r="AW28" s="483"/>
      <c r="AX28" s="483"/>
      <c r="AY28" s="483"/>
      <c r="AZ28" s="483"/>
      <c r="BA28" s="101" t="s">
        <v>6938</v>
      </c>
      <c r="BB28" s="102" t="s">
        <v>708</v>
      </c>
      <c r="BC28" s="102"/>
      <c r="BD28" s="103" t="s">
        <v>6851</v>
      </c>
      <c r="BE28" s="100">
        <v>3</v>
      </c>
      <c r="BF28" s="104" t="s">
        <v>6939</v>
      </c>
      <c r="BG28" s="105" t="s">
        <v>6940</v>
      </c>
      <c r="BH28" s="106" t="s">
        <v>6941</v>
      </c>
      <c r="BI28" s="104" t="s">
        <v>6942</v>
      </c>
      <c r="BJ28" s="106" t="s">
        <v>6943</v>
      </c>
      <c r="BK28" s="125" t="s">
        <v>6944</v>
      </c>
      <c r="BL28" s="115"/>
      <c r="BM28" s="115"/>
      <c r="BN28" s="108"/>
      <c r="BO28" s="108"/>
    </row>
    <row r="29" spans="2:67" ht="14.5" thickBot="1">
      <c r="B29" s="121"/>
      <c r="C29" s="122"/>
      <c r="D29" s="122"/>
      <c r="E29" s="115"/>
      <c r="F29" s="115"/>
      <c r="G29" s="116"/>
      <c r="H29" s="116"/>
      <c r="I29" s="116"/>
      <c r="J29" s="116"/>
      <c r="K29" s="116"/>
      <c r="L29" s="116"/>
      <c r="M29" s="115"/>
      <c r="N29" s="115"/>
      <c r="O29" s="123"/>
      <c r="P29" s="123"/>
      <c r="Q29" s="92"/>
      <c r="S29" s="126"/>
      <c r="T29" s="119"/>
      <c r="U29" s="126"/>
      <c r="V29" s="126"/>
      <c r="W29" s="126"/>
      <c r="X29" s="126"/>
      <c r="Y29" s="126"/>
      <c r="Z29" s="126"/>
      <c r="AA29" s="126"/>
      <c r="AB29" s="119"/>
      <c r="AD29" s="119"/>
      <c r="AE29" s="483"/>
      <c r="AF29" s="483"/>
      <c r="AG29" s="483"/>
      <c r="AH29" s="119"/>
      <c r="AI29" s="483"/>
      <c r="AJ29" s="483"/>
      <c r="AK29" s="483"/>
      <c r="AL29" s="483"/>
      <c r="AM29" s="483"/>
      <c r="AN29" s="483"/>
      <c r="AO29" s="483"/>
      <c r="AP29" s="483"/>
      <c r="AQ29" s="483"/>
      <c r="AR29" s="483"/>
      <c r="AS29" s="483"/>
      <c r="AT29" s="483"/>
      <c r="AU29" s="483"/>
      <c r="AV29" s="483"/>
      <c r="AW29" s="483"/>
      <c r="AX29" s="483"/>
      <c r="AY29" s="483"/>
      <c r="AZ29" s="483"/>
      <c r="BA29" s="121"/>
      <c r="BB29" s="122"/>
      <c r="BC29" s="122"/>
      <c r="BD29" s="115"/>
      <c r="BE29" s="115"/>
      <c r="BF29" s="116"/>
      <c r="BG29" s="116"/>
      <c r="BH29" s="116"/>
      <c r="BI29" s="116"/>
      <c r="BJ29" s="116"/>
      <c r="BK29" s="116"/>
      <c r="BL29" s="115"/>
      <c r="BM29" s="115"/>
      <c r="BN29" s="123"/>
      <c r="BO29" s="123"/>
    </row>
    <row r="30" spans="2:67" ht="14.5" thickBot="1">
      <c r="B30" s="113" t="s">
        <v>390</v>
      </c>
      <c r="C30" s="114" t="s">
        <v>6945</v>
      </c>
      <c r="D30" s="1473"/>
      <c r="E30" s="115"/>
      <c r="F30" s="115"/>
      <c r="G30" s="116"/>
      <c r="H30" s="116"/>
      <c r="I30" s="116"/>
      <c r="J30" s="116"/>
      <c r="K30" s="116"/>
      <c r="L30" s="112"/>
      <c r="M30" s="115"/>
      <c r="N30" s="115"/>
      <c r="O30" s="108"/>
      <c r="P30" s="108"/>
      <c r="Q30" s="2"/>
      <c r="S30" s="126"/>
      <c r="T30" s="119"/>
      <c r="U30" s="126"/>
      <c r="V30" s="126"/>
      <c r="W30" s="126"/>
      <c r="X30" s="126"/>
      <c r="Y30" s="126"/>
      <c r="Z30" s="126"/>
      <c r="AA30" s="126"/>
      <c r="AB30" s="119"/>
      <c r="AD30" s="119"/>
      <c r="AE30" s="483"/>
      <c r="AF30" s="483"/>
      <c r="AG30" s="483"/>
      <c r="AH30" s="119"/>
      <c r="AI30" s="483"/>
      <c r="AJ30" s="483"/>
      <c r="AK30" s="483"/>
      <c r="AL30" s="483"/>
      <c r="AM30" s="483"/>
      <c r="AN30" s="483"/>
      <c r="AO30" s="483"/>
      <c r="AP30" s="483"/>
      <c r="AQ30" s="483"/>
      <c r="AR30" s="483"/>
      <c r="AS30" s="483"/>
      <c r="AT30" s="483"/>
      <c r="AU30" s="483"/>
      <c r="AV30" s="483"/>
      <c r="AW30" s="483"/>
      <c r="AX30" s="483"/>
      <c r="AY30" s="483"/>
      <c r="AZ30" s="483"/>
      <c r="BA30" s="113" t="s">
        <v>390</v>
      </c>
      <c r="BB30" s="114" t="s">
        <v>6945</v>
      </c>
      <c r="BC30" s="2268"/>
      <c r="BD30" s="115"/>
      <c r="BE30" s="115"/>
      <c r="BF30" s="116"/>
      <c r="BG30" s="116"/>
      <c r="BH30" s="116"/>
      <c r="BI30" s="116"/>
      <c r="BJ30" s="116"/>
      <c r="BK30" s="112"/>
      <c r="BL30" s="115"/>
      <c r="BM30" s="115"/>
      <c r="BN30" s="108"/>
      <c r="BO30" s="108"/>
    </row>
    <row r="31" spans="2:67">
      <c r="B31" s="86" t="s">
        <v>6946</v>
      </c>
      <c r="C31" s="117" t="s">
        <v>6947</v>
      </c>
      <c r="D31" s="117"/>
      <c r="E31" s="88" t="s">
        <v>49</v>
      </c>
      <c r="F31" s="89">
        <v>3</v>
      </c>
      <c r="G31" s="36">
        <v>0</v>
      </c>
      <c r="H31" s="37">
        <v>0</v>
      </c>
      <c r="I31" s="38">
        <v>0</v>
      </c>
      <c r="J31" s="90">
        <f>SUM(G31:I31)</f>
        <v>0</v>
      </c>
      <c r="K31" s="38">
        <v>0</v>
      </c>
      <c r="L31" s="46">
        <v>0</v>
      </c>
      <c r="M31" s="91" t="s">
        <v>732</v>
      </c>
      <c r="N31" s="89">
        <v>2</v>
      </c>
      <c r="O31" s="839">
        <v>0</v>
      </c>
      <c r="P31" s="840">
        <v>0</v>
      </c>
      <c r="Q31" s="2"/>
      <c r="R31" s="24">
        <f t="shared" ref="R31:R37" si="25" xml:space="preserve"> IF( SUM( T31:AB31 ) = 0, 0, $U$7 )</f>
        <v>0</v>
      </c>
      <c r="U31" s="93">
        <f t="shared" ref="U31:W37" si="26" xml:space="preserve"> IF( ISNUMBER( G31 ), 0, 1 )</f>
        <v>0</v>
      </c>
      <c r="V31" s="93">
        <f t="shared" si="26"/>
        <v>0</v>
      </c>
      <c r="W31" s="93">
        <f t="shared" si="26"/>
        <v>0</v>
      </c>
      <c r="X31" s="93">
        <f t="shared" ref="X31:Y37" si="27" xml:space="preserve"> IF( ISNUMBER( K31 ), 0, 1 )</f>
        <v>0</v>
      </c>
      <c r="Y31" s="93">
        <f t="shared" si="27"/>
        <v>0</v>
      </c>
      <c r="Z31" s="93">
        <f t="shared" ref="Z31:AA37" si="28" xml:space="preserve"> IF( ISNUMBER( O31 ), 0, 1 )</f>
        <v>0</v>
      </c>
      <c r="AA31" s="93">
        <f t="shared" si="28"/>
        <v>0</v>
      </c>
      <c r="AE31" s="483"/>
      <c r="AF31" s="483"/>
      <c r="AG31" s="483"/>
      <c r="AI31" s="483"/>
      <c r="AJ31" s="483"/>
      <c r="AK31" s="483"/>
      <c r="AL31" s="483"/>
      <c r="AM31" s="483"/>
      <c r="AN31" s="483"/>
      <c r="AO31" s="483"/>
      <c r="AP31" s="483"/>
      <c r="AQ31" s="483"/>
      <c r="AR31" s="483"/>
      <c r="AS31" s="483"/>
      <c r="AT31" s="483"/>
      <c r="AU31" s="483"/>
      <c r="AV31" s="483"/>
      <c r="AW31" s="483"/>
      <c r="AX31" s="483"/>
      <c r="AY31" s="483"/>
      <c r="AZ31" s="483"/>
      <c r="BA31" s="86" t="s">
        <v>6946</v>
      </c>
      <c r="BB31" s="117" t="s">
        <v>6947</v>
      </c>
      <c r="BC31" s="117"/>
      <c r="BD31" s="88" t="s">
        <v>49</v>
      </c>
      <c r="BE31" s="89">
        <v>3</v>
      </c>
      <c r="BF31" s="2578" t="s">
        <v>6948</v>
      </c>
      <c r="BG31" s="2579" t="s">
        <v>6949</v>
      </c>
      <c r="BH31" s="2580" t="s">
        <v>6950</v>
      </c>
      <c r="BI31" s="90" t="s">
        <v>6951</v>
      </c>
      <c r="BJ31" s="2580" t="s">
        <v>6952</v>
      </c>
      <c r="BK31" s="2606" t="s">
        <v>6953</v>
      </c>
      <c r="BL31" s="91" t="s">
        <v>732</v>
      </c>
      <c r="BM31" s="89">
        <v>2</v>
      </c>
      <c r="BN31" s="2582" t="s">
        <v>6954</v>
      </c>
      <c r="BO31" s="2583" t="s">
        <v>6955</v>
      </c>
    </row>
    <row r="32" spans="2:67">
      <c r="B32" s="94" t="s">
        <v>6956</v>
      </c>
      <c r="C32" s="87" t="s">
        <v>6957</v>
      </c>
      <c r="D32" s="87"/>
      <c r="E32" s="95" t="s">
        <v>49</v>
      </c>
      <c r="F32" s="96">
        <v>3</v>
      </c>
      <c r="G32" s="40">
        <v>0</v>
      </c>
      <c r="H32" s="41">
        <v>0</v>
      </c>
      <c r="I32" s="42">
        <v>0</v>
      </c>
      <c r="J32" s="97">
        <f t="shared" ref="J32" si="29">SUM(G32:I32)</f>
        <v>0</v>
      </c>
      <c r="K32" s="42">
        <v>0</v>
      </c>
      <c r="L32" s="47">
        <v>0</v>
      </c>
      <c r="M32" s="98" t="s">
        <v>732</v>
      </c>
      <c r="N32" s="96">
        <v>2</v>
      </c>
      <c r="O32" s="843">
        <v>0</v>
      </c>
      <c r="P32" s="844">
        <v>0</v>
      </c>
      <c r="Q32" s="92"/>
      <c r="R32" s="24">
        <f t="shared" si="25"/>
        <v>0</v>
      </c>
      <c r="U32" s="93">
        <f t="shared" si="26"/>
        <v>0</v>
      </c>
      <c r="V32" s="93">
        <f t="shared" si="26"/>
        <v>0</v>
      </c>
      <c r="W32" s="93">
        <f t="shared" si="26"/>
        <v>0</v>
      </c>
      <c r="X32" s="93">
        <f t="shared" si="27"/>
        <v>0</v>
      </c>
      <c r="Y32" s="93">
        <f t="shared" si="27"/>
        <v>0</v>
      </c>
      <c r="Z32" s="93">
        <f t="shared" si="28"/>
        <v>0</v>
      </c>
      <c r="AA32" s="93">
        <f t="shared" si="28"/>
        <v>0</v>
      </c>
      <c r="AE32" s="483"/>
      <c r="AF32" s="483"/>
      <c r="AG32" s="483"/>
      <c r="AI32" s="483"/>
      <c r="AJ32" s="483"/>
      <c r="AK32" s="483"/>
      <c r="AL32" s="483"/>
      <c r="AM32" s="483"/>
      <c r="AN32" s="483"/>
      <c r="AO32" s="483"/>
      <c r="AP32" s="483"/>
      <c r="AQ32" s="483"/>
      <c r="AR32" s="483"/>
      <c r="AS32" s="483"/>
      <c r="AT32" s="483"/>
      <c r="AU32" s="483"/>
      <c r="AV32" s="483"/>
      <c r="AW32" s="483"/>
      <c r="AX32" s="483"/>
      <c r="AY32" s="483"/>
      <c r="AZ32" s="483"/>
      <c r="BA32" s="94" t="s">
        <v>6956</v>
      </c>
      <c r="BB32" s="87" t="s">
        <v>6957</v>
      </c>
      <c r="BC32" s="87"/>
      <c r="BD32" s="95" t="s">
        <v>49</v>
      </c>
      <c r="BE32" s="96">
        <v>3</v>
      </c>
      <c r="BF32" s="2590" t="s">
        <v>6958</v>
      </c>
      <c r="BG32" s="2591" t="s">
        <v>6959</v>
      </c>
      <c r="BH32" s="2592" t="s">
        <v>6960</v>
      </c>
      <c r="BI32" s="97" t="s">
        <v>6961</v>
      </c>
      <c r="BJ32" s="2592" t="s">
        <v>6962</v>
      </c>
      <c r="BK32" s="2607" t="s">
        <v>6963</v>
      </c>
      <c r="BL32" s="98" t="s">
        <v>732</v>
      </c>
      <c r="BM32" s="96">
        <v>2</v>
      </c>
      <c r="BN32" s="2594" t="s">
        <v>6964</v>
      </c>
      <c r="BO32" s="2595" t="s">
        <v>6965</v>
      </c>
    </row>
    <row r="33" spans="2:67">
      <c r="B33" s="94" t="s">
        <v>6966</v>
      </c>
      <c r="C33" s="87" t="s">
        <v>6967</v>
      </c>
      <c r="D33" s="87"/>
      <c r="E33" s="95" t="s">
        <v>49</v>
      </c>
      <c r="F33" s="96">
        <v>3</v>
      </c>
      <c r="G33" s="40">
        <v>0</v>
      </c>
      <c r="H33" s="41">
        <v>0</v>
      </c>
      <c r="I33" s="42">
        <v>0</v>
      </c>
      <c r="J33" s="97">
        <f>SUM(G33:I33)</f>
        <v>0</v>
      </c>
      <c r="K33" s="42">
        <v>0</v>
      </c>
      <c r="L33" s="47">
        <v>0</v>
      </c>
      <c r="M33" s="98" t="s">
        <v>732</v>
      </c>
      <c r="N33" s="96">
        <v>2</v>
      </c>
      <c r="O33" s="843">
        <v>0</v>
      </c>
      <c r="P33" s="844">
        <v>0</v>
      </c>
      <c r="Q33" s="92"/>
      <c r="R33" s="24">
        <f t="shared" si="25"/>
        <v>0</v>
      </c>
      <c r="U33" s="93">
        <f t="shared" si="26"/>
        <v>0</v>
      </c>
      <c r="V33" s="93">
        <f t="shared" si="26"/>
        <v>0</v>
      </c>
      <c r="W33" s="93">
        <f t="shared" si="26"/>
        <v>0</v>
      </c>
      <c r="X33" s="93">
        <f t="shared" si="27"/>
        <v>0</v>
      </c>
      <c r="Y33" s="93">
        <f t="shared" si="27"/>
        <v>0</v>
      </c>
      <c r="Z33" s="93">
        <f t="shared" si="28"/>
        <v>0</v>
      </c>
      <c r="AA33" s="93">
        <f t="shared" si="28"/>
        <v>0</v>
      </c>
      <c r="AC33" s="127"/>
      <c r="AE33" s="483"/>
      <c r="AF33" s="483"/>
      <c r="AG33" s="483"/>
      <c r="AI33" s="483"/>
      <c r="AJ33" s="483"/>
      <c r="AK33" s="483"/>
      <c r="AL33" s="483"/>
      <c r="AM33" s="483"/>
      <c r="AN33" s="483"/>
      <c r="AO33" s="483"/>
      <c r="AP33" s="483"/>
      <c r="AQ33" s="483"/>
      <c r="AR33" s="483"/>
      <c r="AS33" s="483"/>
      <c r="AT33" s="483"/>
      <c r="AU33" s="483"/>
      <c r="AV33" s="483"/>
      <c r="AW33" s="483"/>
      <c r="AX33" s="483"/>
      <c r="AY33" s="483"/>
      <c r="AZ33" s="483"/>
      <c r="BA33" s="94" t="s">
        <v>6966</v>
      </c>
      <c r="BB33" s="87" t="s">
        <v>6967</v>
      </c>
      <c r="BC33" s="87"/>
      <c r="BD33" s="95" t="s">
        <v>49</v>
      </c>
      <c r="BE33" s="96">
        <v>3</v>
      </c>
      <c r="BF33" s="2590" t="s">
        <v>6968</v>
      </c>
      <c r="BG33" s="2591" t="s">
        <v>6969</v>
      </c>
      <c r="BH33" s="2592" t="s">
        <v>6970</v>
      </c>
      <c r="BI33" s="97" t="s">
        <v>6971</v>
      </c>
      <c r="BJ33" s="2592" t="s">
        <v>6972</v>
      </c>
      <c r="BK33" s="2607" t="s">
        <v>6973</v>
      </c>
      <c r="BL33" s="98" t="s">
        <v>732</v>
      </c>
      <c r="BM33" s="96">
        <v>2</v>
      </c>
      <c r="BN33" s="2594" t="s">
        <v>6974</v>
      </c>
      <c r="BO33" s="2595" t="s">
        <v>6975</v>
      </c>
    </row>
    <row r="34" spans="2:67" s="483" customFormat="1">
      <c r="B34" s="94" t="s">
        <v>6976</v>
      </c>
      <c r="C34" s="87" t="s">
        <v>6977</v>
      </c>
      <c r="D34" s="87"/>
      <c r="E34" s="95" t="s">
        <v>49</v>
      </c>
      <c r="F34" s="96">
        <v>3</v>
      </c>
      <c r="G34" s="40">
        <v>0</v>
      </c>
      <c r="H34" s="41">
        <v>0</v>
      </c>
      <c r="I34" s="42">
        <v>0</v>
      </c>
      <c r="J34" s="97">
        <f t="shared" ref="J34:J36" si="30">SUM(G34:I34)</f>
        <v>0</v>
      </c>
      <c r="K34" s="42">
        <v>0</v>
      </c>
      <c r="L34" s="47">
        <v>0</v>
      </c>
      <c r="M34" s="98" t="s">
        <v>732</v>
      </c>
      <c r="N34" s="96">
        <v>2</v>
      </c>
      <c r="O34" s="843">
        <v>0</v>
      </c>
      <c r="P34" s="844">
        <v>0</v>
      </c>
      <c r="Q34" s="92"/>
      <c r="R34" s="24">
        <f t="shared" ref="R34:R36" si="31" xml:space="preserve"> IF( SUM( T34:AB34 ) = 0, 0, $U$7 )</f>
        <v>0</v>
      </c>
      <c r="S34" s="70"/>
      <c r="T34" s="71"/>
      <c r="U34" s="93">
        <f t="shared" ref="U34:U36" si="32" xml:space="preserve"> IF( ISNUMBER( G34 ), 0, 1 )</f>
        <v>0</v>
      </c>
      <c r="V34" s="93">
        <f t="shared" ref="V34:V36" si="33" xml:space="preserve"> IF( ISNUMBER( H34 ), 0, 1 )</f>
        <v>0</v>
      </c>
      <c r="W34" s="93">
        <f t="shared" ref="W34:W36" si="34" xml:space="preserve"> IF( ISNUMBER( I34 ), 0, 1 )</f>
        <v>0</v>
      </c>
      <c r="X34" s="93">
        <f t="shared" ref="X34:X36" si="35" xml:space="preserve"> IF( ISNUMBER( K34 ), 0, 1 )</f>
        <v>0</v>
      </c>
      <c r="Y34" s="93">
        <f t="shared" ref="Y34:Y36" si="36" xml:space="preserve"> IF( ISNUMBER( L34 ), 0, 1 )</f>
        <v>0</v>
      </c>
      <c r="Z34" s="93">
        <f t="shared" ref="Z34:Z36" si="37" xml:space="preserve"> IF( ISNUMBER( O34 ), 0, 1 )</f>
        <v>0</v>
      </c>
      <c r="AA34" s="93">
        <f t="shared" ref="AA34:AA36" si="38" xml:space="preserve"> IF( ISNUMBER( P34 ), 0, 1 )</f>
        <v>0</v>
      </c>
      <c r="AB34" s="71"/>
      <c r="AC34" s="127"/>
      <c r="AD34" s="71"/>
      <c r="AH34" s="71"/>
      <c r="BA34" s="94" t="s">
        <v>6976</v>
      </c>
      <c r="BB34" s="87" t="s">
        <v>6977</v>
      </c>
      <c r="BC34" s="2267" t="s">
        <v>6978</v>
      </c>
      <c r="BD34" s="1239" t="s">
        <v>49</v>
      </c>
      <c r="BE34" s="1240">
        <v>3</v>
      </c>
      <c r="BF34" s="2590" t="str">
        <f>+$BC34&amp;BF5</f>
        <v>CR2029N1</v>
      </c>
      <c r="BG34" s="2591" t="str">
        <f t="shared" ref="BG34:BK34" si="39">+$BC34&amp;BG5</f>
        <v>CR2029N2</v>
      </c>
      <c r="BH34" s="2592" t="str">
        <f t="shared" si="39"/>
        <v>CR2029N5</v>
      </c>
      <c r="BI34" s="97" t="str">
        <f t="shared" si="39"/>
        <v>CR2029N6</v>
      </c>
      <c r="BJ34" s="2592" t="str">
        <f t="shared" si="39"/>
        <v>CR2029MM</v>
      </c>
      <c r="BK34" s="2607" t="str">
        <f t="shared" si="39"/>
        <v>CR2029TA</v>
      </c>
      <c r="BL34" s="2266" t="s">
        <v>732</v>
      </c>
      <c r="BM34" s="1240">
        <v>2</v>
      </c>
      <c r="BN34" s="2594" t="str">
        <f t="shared" ref="BN34:BO34" si="40">+$BC34&amp;BN5</f>
        <v>CR2029RP</v>
      </c>
      <c r="BO34" s="2595" t="str">
        <f t="shared" si="40"/>
        <v>CR2029RR</v>
      </c>
    </row>
    <row r="35" spans="2:67" s="483" customFormat="1">
      <c r="B35" s="94" t="s">
        <v>6979</v>
      </c>
      <c r="C35" s="87" t="s">
        <v>6980</v>
      </c>
      <c r="D35" s="87"/>
      <c r="E35" s="95" t="s">
        <v>49</v>
      </c>
      <c r="F35" s="96">
        <v>3</v>
      </c>
      <c r="G35" s="40">
        <v>0</v>
      </c>
      <c r="H35" s="41">
        <v>0</v>
      </c>
      <c r="I35" s="42">
        <v>0</v>
      </c>
      <c r="J35" s="97">
        <f t="shared" si="30"/>
        <v>0</v>
      </c>
      <c r="K35" s="42">
        <v>0</v>
      </c>
      <c r="L35" s="47">
        <v>0</v>
      </c>
      <c r="M35" s="98" t="s">
        <v>732</v>
      </c>
      <c r="N35" s="96">
        <v>2</v>
      </c>
      <c r="O35" s="843">
        <v>0</v>
      </c>
      <c r="P35" s="844">
        <v>0</v>
      </c>
      <c r="Q35" s="92"/>
      <c r="R35" s="24">
        <f t="shared" si="31"/>
        <v>0</v>
      </c>
      <c r="S35" s="70"/>
      <c r="T35" s="71"/>
      <c r="U35" s="93">
        <f t="shared" si="32"/>
        <v>0</v>
      </c>
      <c r="V35" s="93">
        <f t="shared" si="33"/>
        <v>0</v>
      </c>
      <c r="W35" s="93">
        <f t="shared" si="34"/>
        <v>0</v>
      </c>
      <c r="X35" s="93">
        <f t="shared" si="35"/>
        <v>0</v>
      </c>
      <c r="Y35" s="93">
        <f t="shared" si="36"/>
        <v>0</v>
      </c>
      <c r="Z35" s="93">
        <f t="shared" si="37"/>
        <v>0</v>
      </c>
      <c r="AA35" s="93">
        <f t="shared" si="38"/>
        <v>0</v>
      </c>
      <c r="AB35" s="71"/>
      <c r="AC35" s="127"/>
      <c r="AD35" s="71"/>
      <c r="AH35" s="71"/>
      <c r="BA35" s="94" t="s">
        <v>6979</v>
      </c>
      <c r="BB35" s="87" t="s">
        <v>6980</v>
      </c>
      <c r="BC35" s="2267" t="s">
        <v>6981</v>
      </c>
      <c r="BD35" s="1239" t="s">
        <v>49</v>
      </c>
      <c r="BE35" s="1240">
        <v>3</v>
      </c>
      <c r="BF35" s="2590" t="str">
        <f>+$BC35&amp;BF5</f>
        <v>CR2030N1</v>
      </c>
      <c r="BG35" s="2591" t="str">
        <f t="shared" ref="BG35:BK35" si="41">+$BC35&amp;BG5</f>
        <v>CR2030N2</v>
      </c>
      <c r="BH35" s="2592" t="str">
        <f t="shared" si="41"/>
        <v>CR2030N5</v>
      </c>
      <c r="BI35" s="97" t="str">
        <f t="shared" si="41"/>
        <v>CR2030N6</v>
      </c>
      <c r="BJ35" s="2592" t="str">
        <f t="shared" si="41"/>
        <v>CR2030MM</v>
      </c>
      <c r="BK35" s="2607" t="str">
        <f t="shared" si="41"/>
        <v>CR2030TA</v>
      </c>
      <c r="BL35" s="2266" t="s">
        <v>732</v>
      </c>
      <c r="BM35" s="1240">
        <v>2</v>
      </c>
      <c r="BN35" s="2594" t="str">
        <f t="shared" ref="BN35:BO35" si="42">+$BC35&amp;BN5</f>
        <v>CR2030RP</v>
      </c>
      <c r="BO35" s="2595" t="str">
        <f t="shared" si="42"/>
        <v>CR2030RR</v>
      </c>
    </row>
    <row r="36" spans="2:67" s="483" customFormat="1">
      <c r="B36" s="94" t="s">
        <v>6982</v>
      </c>
      <c r="C36" s="87" t="s">
        <v>6983</v>
      </c>
      <c r="D36" s="87"/>
      <c r="E36" s="95" t="s">
        <v>49</v>
      </c>
      <c r="F36" s="96">
        <v>3</v>
      </c>
      <c r="G36" s="40">
        <v>0</v>
      </c>
      <c r="H36" s="41">
        <v>0</v>
      </c>
      <c r="I36" s="42">
        <v>0</v>
      </c>
      <c r="J36" s="97">
        <f t="shared" si="30"/>
        <v>0</v>
      </c>
      <c r="K36" s="42">
        <v>0</v>
      </c>
      <c r="L36" s="47">
        <v>0</v>
      </c>
      <c r="M36" s="98" t="s">
        <v>732</v>
      </c>
      <c r="N36" s="96">
        <v>2</v>
      </c>
      <c r="O36" s="843">
        <v>0</v>
      </c>
      <c r="P36" s="844">
        <v>0</v>
      </c>
      <c r="Q36" s="92"/>
      <c r="R36" s="24">
        <f t="shared" si="31"/>
        <v>0</v>
      </c>
      <c r="S36" s="70"/>
      <c r="T36" s="71"/>
      <c r="U36" s="93">
        <f t="shared" si="32"/>
        <v>0</v>
      </c>
      <c r="V36" s="93">
        <f t="shared" si="33"/>
        <v>0</v>
      </c>
      <c r="W36" s="93">
        <f t="shared" si="34"/>
        <v>0</v>
      </c>
      <c r="X36" s="93">
        <f t="shared" si="35"/>
        <v>0</v>
      </c>
      <c r="Y36" s="93">
        <f t="shared" si="36"/>
        <v>0</v>
      </c>
      <c r="Z36" s="93">
        <f t="shared" si="37"/>
        <v>0</v>
      </c>
      <c r="AA36" s="93">
        <f t="shared" si="38"/>
        <v>0</v>
      </c>
      <c r="AB36" s="71"/>
      <c r="AC36" s="127"/>
      <c r="AD36" s="71"/>
      <c r="AH36" s="71"/>
      <c r="BA36" s="94" t="s">
        <v>6982</v>
      </c>
      <c r="BB36" s="87" t="s">
        <v>6983</v>
      </c>
      <c r="BC36" s="2267" t="s">
        <v>6984</v>
      </c>
      <c r="BD36" s="1239" t="s">
        <v>49</v>
      </c>
      <c r="BE36" s="1240">
        <v>3</v>
      </c>
      <c r="BF36" s="2590" t="str">
        <f>+$BC36&amp;BF5</f>
        <v>CR2031N1</v>
      </c>
      <c r="BG36" s="2591" t="str">
        <f t="shared" ref="BG36:BK36" si="43">+$BC36&amp;BG5</f>
        <v>CR2031N2</v>
      </c>
      <c r="BH36" s="2592" t="str">
        <f t="shared" si="43"/>
        <v>CR2031N5</v>
      </c>
      <c r="BI36" s="97" t="str">
        <f t="shared" si="43"/>
        <v>CR2031N6</v>
      </c>
      <c r="BJ36" s="2592" t="str">
        <f t="shared" si="43"/>
        <v>CR2031MM</v>
      </c>
      <c r="BK36" s="2607" t="str">
        <f t="shared" si="43"/>
        <v>CR2031TA</v>
      </c>
      <c r="BL36" s="2266" t="s">
        <v>732</v>
      </c>
      <c r="BM36" s="1240">
        <v>2</v>
      </c>
      <c r="BN36" s="2594" t="str">
        <f t="shared" ref="BN36:BO36" si="44">+$BC36&amp;BN5</f>
        <v>CR2031RP</v>
      </c>
      <c r="BO36" s="2595" t="str">
        <f t="shared" si="44"/>
        <v>CR2031RR</v>
      </c>
    </row>
    <row r="37" spans="2:67" ht="14.5" thickBot="1">
      <c r="B37" s="94" t="s">
        <v>6985</v>
      </c>
      <c r="C37" s="87" t="s">
        <v>6986</v>
      </c>
      <c r="D37" s="87"/>
      <c r="E37" s="95" t="s">
        <v>49</v>
      </c>
      <c r="F37" s="96">
        <v>3</v>
      </c>
      <c r="G37" s="40">
        <v>0</v>
      </c>
      <c r="H37" s="41">
        <v>0</v>
      </c>
      <c r="I37" s="42">
        <v>0</v>
      </c>
      <c r="J37" s="97">
        <f t="shared" ref="J37" si="45">SUM(G37:I37)</f>
        <v>0</v>
      </c>
      <c r="K37" s="42">
        <v>0</v>
      </c>
      <c r="L37" s="47">
        <v>0</v>
      </c>
      <c r="M37" s="99" t="s">
        <v>732</v>
      </c>
      <c r="N37" s="100">
        <v>2</v>
      </c>
      <c r="O37" s="847">
        <v>0</v>
      </c>
      <c r="P37" s="848">
        <v>0</v>
      </c>
      <c r="Q37" s="92"/>
      <c r="R37" s="24">
        <f t="shared" si="25"/>
        <v>0</v>
      </c>
      <c r="U37" s="93">
        <f t="shared" si="26"/>
        <v>0</v>
      </c>
      <c r="V37" s="93">
        <f t="shared" si="26"/>
        <v>0</v>
      </c>
      <c r="W37" s="93">
        <f t="shared" si="26"/>
        <v>0</v>
      </c>
      <c r="X37" s="93">
        <f t="shared" si="27"/>
        <v>0</v>
      </c>
      <c r="Y37" s="93">
        <f t="shared" si="27"/>
        <v>0</v>
      </c>
      <c r="Z37" s="93">
        <f t="shared" si="28"/>
        <v>0</v>
      </c>
      <c r="AA37" s="93">
        <f t="shared" si="28"/>
        <v>0</v>
      </c>
      <c r="AE37" s="483"/>
      <c r="AF37" s="483"/>
      <c r="AG37" s="483"/>
      <c r="AI37" s="483"/>
      <c r="AJ37" s="483"/>
      <c r="AK37" s="483"/>
      <c r="AL37" s="483"/>
      <c r="AM37" s="483"/>
      <c r="AN37" s="483"/>
      <c r="AO37" s="483"/>
      <c r="AP37" s="483"/>
      <c r="AQ37" s="483"/>
      <c r="AR37" s="483"/>
      <c r="AS37" s="483"/>
      <c r="AT37" s="483"/>
      <c r="AU37" s="483"/>
      <c r="AV37" s="483"/>
      <c r="AW37" s="483"/>
      <c r="AX37" s="483"/>
      <c r="AY37" s="483"/>
      <c r="AZ37" s="483"/>
      <c r="BA37" s="94" t="s">
        <v>6985</v>
      </c>
      <c r="BB37" s="87" t="s">
        <v>6986</v>
      </c>
      <c r="BC37" s="87"/>
      <c r="BD37" s="95" t="s">
        <v>49</v>
      </c>
      <c r="BE37" s="96">
        <v>3</v>
      </c>
      <c r="BF37" s="2590" t="s">
        <v>6987</v>
      </c>
      <c r="BG37" s="2591" t="s">
        <v>6988</v>
      </c>
      <c r="BH37" s="2592" t="s">
        <v>6989</v>
      </c>
      <c r="BI37" s="97" t="s">
        <v>6990</v>
      </c>
      <c r="BJ37" s="2592" t="s">
        <v>6991</v>
      </c>
      <c r="BK37" s="2607" t="s">
        <v>6992</v>
      </c>
      <c r="BL37" s="99" t="s">
        <v>732</v>
      </c>
      <c r="BM37" s="100">
        <v>2</v>
      </c>
      <c r="BN37" s="2602" t="s">
        <v>6993</v>
      </c>
      <c r="BO37" s="2603" t="s">
        <v>6994</v>
      </c>
    </row>
    <row r="38" spans="2:67" ht="14.5" thickBot="1">
      <c r="B38" s="101" t="s">
        <v>6995</v>
      </c>
      <c r="C38" s="102" t="s">
        <v>708</v>
      </c>
      <c r="D38" s="102"/>
      <c r="E38" s="103" t="s">
        <v>6851</v>
      </c>
      <c r="F38" s="100">
        <v>3</v>
      </c>
      <c r="G38" s="104">
        <f xml:space="preserve"> SUM( G31:G37 )</f>
        <v>0</v>
      </c>
      <c r="H38" s="105">
        <f t="shared" ref="H38:L38" si="46" xml:space="preserve"> SUM( H31:H37 )</f>
        <v>0</v>
      </c>
      <c r="I38" s="106">
        <f t="shared" si="46"/>
        <v>0</v>
      </c>
      <c r="J38" s="104">
        <f t="shared" si="46"/>
        <v>0</v>
      </c>
      <c r="K38" s="106">
        <f t="shared" si="46"/>
        <v>0</v>
      </c>
      <c r="L38" s="128">
        <f t="shared" si="46"/>
        <v>0</v>
      </c>
      <c r="M38" s="115"/>
      <c r="N38" s="115"/>
      <c r="O38" s="108"/>
      <c r="P38" s="108"/>
      <c r="Q38" s="92"/>
      <c r="S38" s="118"/>
      <c r="T38" s="119"/>
      <c r="U38" s="120"/>
      <c r="V38" s="118"/>
      <c r="W38" s="118"/>
      <c r="X38" s="118"/>
      <c r="Y38" s="118"/>
      <c r="Z38" s="118"/>
      <c r="AA38" s="118"/>
      <c r="AB38" s="119"/>
      <c r="AD38" s="119"/>
      <c r="AE38" s="483"/>
      <c r="AF38" s="483"/>
      <c r="AG38" s="483"/>
      <c r="AH38" s="119"/>
      <c r="AI38" s="483"/>
      <c r="AJ38" s="483"/>
      <c r="AK38" s="483"/>
      <c r="AL38" s="483"/>
      <c r="AM38" s="483"/>
      <c r="AN38" s="483"/>
      <c r="AO38" s="483"/>
      <c r="AP38" s="483"/>
      <c r="AQ38" s="483"/>
      <c r="AR38" s="483"/>
      <c r="AS38" s="483"/>
      <c r="AT38" s="483"/>
      <c r="AU38" s="483"/>
      <c r="AV38" s="483"/>
      <c r="AW38" s="483"/>
      <c r="AX38" s="483"/>
      <c r="AY38" s="483"/>
      <c r="AZ38" s="483"/>
      <c r="BA38" s="101" t="s">
        <v>6995</v>
      </c>
      <c r="BB38" s="102" t="s">
        <v>708</v>
      </c>
      <c r="BC38" s="102"/>
      <c r="BD38" s="103" t="s">
        <v>6851</v>
      </c>
      <c r="BE38" s="100">
        <v>3</v>
      </c>
      <c r="BF38" s="104" t="s">
        <v>6996</v>
      </c>
      <c r="BG38" s="105" t="s">
        <v>6997</v>
      </c>
      <c r="BH38" s="106" t="s">
        <v>6998</v>
      </c>
      <c r="BI38" s="104" t="s">
        <v>6999</v>
      </c>
      <c r="BJ38" s="106" t="s">
        <v>7000</v>
      </c>
      <c r="BK38" s="128" t="s">
        <v>7001</v>
      </c>
      <c r="BL38" s="115"/>
      <c r="BM38" s="115"/>
      <c r="BN38" s="108"/>
      <c r="BO38" s="108"/>
    </row>
    <row r="39" spans="2:67" ht="14.5" thickBot="1">
      <c r="B39" s="121"/>
      <c r="C39" s="122"/>
      <c r="D39" s="122"/>
      <c r="E39" s="115"/>
      <c r="F39" s="115"/>
      <c r="G39" s="116"/>
      <c r="H39" s="116"/>
      <c r="I39" s="129"/>
      <c r="J39" s="116"/>
      <c r="K39" s="116"/>
      <c r="L39" s="116"/>
      <c r="M39" s="115"/>
      <c r="N39" s="115"/>
      <c r="O39" s="123"/>
      <c r="P39" s="123"/>
      <c r="Q39" s="92"/>
      <c r="S39" s="118"/>
      <c r="T39" s="124"/>
      <c r="U39" s="120"/>
      <c r="V39" s="118"/>
      <c r="W39" s="118"/>
      <c r="X39" s="118"/>
      <c r="Y39" s="118"/>
      <c r="Z39" s="118"/>
      <c r="AA39" s="118"/>
      <c r="AB39" s="124"/>
      <c r="AD39" s="124"/>
      <c r="AE39" s="483"/>
      <c r="AF39" s="483"/>
      <c r="AG39" s="483"/>
      <c r="AH39" s="124"/>
      <c r="AI39" s="483"/>
      <c r="AJ39" s="483"/>
      <c r="AK39" s="483"/>
      <c r="AL39" s="483"/>
      <c r="AM39" s="483"/>
      <c r="AN39" s="483"/>
      <c r="AO39" s="483"/>
      <c r="AP39" s="483"/>
      <c r="AQ39" s="483"/>
      <c r="AR39" s="483"/>
      <c r="AS39" s="483"/>
      <c r="AT39" s="483"/>
      <c r="AU39" s="483"/>
      <c r="AV39" s="483"/>
      <c r="AW39" s="483"/>
      <c r="AX39" s="483"/>
      <c r="AY39" s="483"/>
      <c r="AZ39" s="483"/>
      <c r="BA39" s="121"/>
      <c r="BB39" s="122"/>
      <c r="BC39" s="122"/>
      <c r="BD39" s="115"/>
      <c r="BE39" s="115"/>
      <c r="BF39" s="116"/>
      <c r="BG39" s="116"/>
      <c r="BH39" s="129"/>
      <c r="BI39" s="116"/>
      <c r="BJ39" s="116"/>
      <c r="BK39" s="116"/>
      <c r="BL39" s="115"/>
      <c r="BM39" s="115"/>
      <c r="BN39" s="123"/>
      <c r="BO39" s="123"/>
    </row>
    <row r="40" spans="2:67" s="483" customFormat="1" ht="14.5" thickBot="1">
      <c r="B40" s="113" t="s">
        <v>464</v>
      </c>
      <c r="C40" s="114" t="s">
        <v>7002</v>
      </c>
      <c r="D40" s="1473"/>
      <c r="E40" s="115"/>
      <c r="F40" s="115"/>
      <c r="G40" s="116"/>
      <c r="H40" s="116"/>
      <c r="I40" s="129"/>
      <c r="J40" s="116"/>
      <c r="K40" s="116"/>
      <c r="L40" s="116"/>
      <c r="M40" s="115"/>
      <c r="N40" s="115"/>
      <c r="O40" s="123"/>
      <c r="P40" s="123"/>
      <c r="Q40" s="92"/>
      <c r="R40" s="74"/>
      <c r="S40" s="118"/>
      <c r="T40" s="124"/>
      <c r="U40" s="120"/>
      <c r="V40" s="118"/>
      <c r="W40" s="118"/>
      <c r="X40" s="118"/>
      <c r="Y40" s="118"/>
      <c r="Z40" s="118"/>
      <c r="AA40" s="118"/>
      <c r="AB40" s="124"/>
      <c r="AC40" s="72"/>
      <c r="AD40" s="124"/>
      <c r="AH40" s="124"/>
      <c r="BA40" s="113" t="s">
        <v>464</v>
      </c>
      <c r="BB40" s="114" t="s">
        <v>7002</v>
      </c>
      <c r="BC40" s="2268"/>
      <c r="BD40" s="115"/>
      <c r="BE40" s="115"/>
      <c r="BF40" s="116"/>
      <c r="BG40" s="116"/>
      <c r="BH40" s="129"/>
      <c r="BI40" s="116"/>
      <c r="BJ40" s="116"/>
      <c r="BK40" s="116"/>
      <c r="BL40" s="115"/>
      <c r="BM40" s="115"/>
      <c r="BN40" s="123"/>
      <c r="BO40" s="123"/>
    </row>
    <row r="41" spans="2:67" s="483" customFormat="1" ht="14.5" thickBot="1">
      <c r="B41" s="597" t="s">
        <v>7003</v>
      </c>
      <c r="C41" s="598" t="s">
        <v>7002</v>
      </c>
      <c r="D41" s="598"/>
      <c r="E41" s="133" t="s">
        <v>49</v>
      </c>
      <c r="F41" s="134">
        <v>3</v>
      </c>
      <c r="G41" s="485">
        <v>0</v>
      </c>
      <c r="H41" s="486">
        <v>0</v>
      </c>
      <c r="I41" s="487">
        <v>0</v>
      </c>
      <c r="J41" s="135">
        <f>SUM(G41:I41)</f>
        <v>0</v>
      </c>
      <c r="K41" s="487">
        <v>0</v>
      </c>
      <c r="L41" s="488">
        <v>0</v>
      </c>
      <c r="M41" s="489" t="s">
        <v>732</v>
      </c>
      <c r="N41" s="134">
        <v>2</v>
      </c>
      <c r="O41" s="849">
        <v>0</v>
      </c>
      <c r="P41" s="850">
        <v>0</v>
      </c>
      <c r="Q41" s="92"/>
      <c r="R41" s="24">
        <f t="shared" ref="R41" si="47" xml:space="preserve"> IF( SUM( T41:AB41 ) = 0, 0, $U$7 )</f>
        <v>0</v>
      </c>
      <c r="S41" s="118"/>
      <c r="T41" s="124"/>
      <c r="U41" s="93">
        <f t="shared" ref="U41" si="48" xml:space="preserve"> IF( ISNUMBER( G41 ), 0, 1 )</f>
        <v>0</v>
      </c>
      <c r="V41" s="93">
        <f t="shared" ref="V41" si="49" xml:space="preserve"> IF( ISNUMBER( H41 ), 0, 1 )</f>
        <v>0</v>
      </c>
      <c r="W41" s="93">
        <f t="shared" ref="W41" si="50" xml:space="preserve"> IF( ISNUMBER( I41 ), 0, 1 )</f>
        <v>0</v>
      </c>
      <c r="X41" s="93">
        <f t="shared" ref="X41" si="51" xml:space="preserve"> IF( ISNUMBER( K41 ), 0, 1 )</f>
        <v>0</v>
      </c>
      <c r="Y41" s="93">
        <f t="shared" ref="Y41" si="52" xml:space="preserve"> IF( ISNUMBER( L41 ), 0, 1 )</f>
        <v>0</v>
      </c>
      <c r="Z41" s="93">
        <f t="shared" ref="Z41" si="53" xml:space="preserve"> IF( ISNUMBER( O41 ), 0, 1 )</f>
        <v>0</v>
      </c>
      <c r="AA41" s="93">
        <f t="shared" ref="AA41" si="54" xml:space="preserve"> IF( ISNUMBER( P41 ), 0, 1 )</f>
        <v>0</v>
      </c>
      <c r="AB41" s="124"/>
      <c r="AC41" s="72"/>
      <c r="AD41" s="124"/>
      <c r="AH41" s="124"/>
      <c r="BA41" s="597" t="s">
        <v>7003</v>
      </c>
      <c r="BB41" s="598" t="s">
        <v>7002</v>
      </c>
      <c r="BC41" s="598"/>
      <c r="BD41" s="133" t="s">
        <v>49</v>
      </c>
      <c r="BE41" s="134">
        <v>3</v>
      </c>
      <c r="BF41" s="2609" t="s">
        <v>7004</v>
      </c>
      <c r="BG41" s="2610" t="s">
        <v>7005</v>
      </c>
      <c r="BH41" s="2611" t="s">
        <v>7006</v>
      </c>
      <c r="BI41" s="135" t="s">
        <v>7007</v>
      </c>
      <c r="BJ41" s="2611" t="s">
        <v>7008</v>
      </c>
      <c r="BK41" s="2612" t="s">
        <v>7009</v>
      </c>
      <c r="BL41" s="489" t="s">
        <v>732</v>
      </c>
      <c r="BM41" s="134">
        <v>2</v>
      </c>
      <c r="BN41" s="2613" t="s">
        <v>7010</v>
      </c>
      <c r="BO41" s="2614" t="s">
        <v>7011</v>
      </c>
    </row>
    <row r="42" spans="2:67" s="483" customFormat="1" ht="14.5" thickBot="1">
      <c r="B42" s="121"/>
      <c r="C42" s="122"/>
      <c r="D42" s="122"/>
      <c r="E42" s="115"/>
      <c r="F42" s="115"/>
      <c r="G42" s="116"/>
      <c r="H42" s="116"/>
      <c r="I42" s="129"/>
      <c r="J42" s="116"/>
      <c r="K42" s="116"/>
      <c r="L42" s="116"/>
      <c r="M42" s="115"/>
      <c r="N42" s="115"/>
      <c r="O42" s="123"/>
      <c r="P42" s="123"/>
      <c r="Q42" s="92"/>
      <c r="R42" s="484"/>
      <c r="S42" s="118"/>
      <c r="T42" s="124"/>
      <c r="U42" s="120"/>
      <c r="V42" s="118"/>
      <c r="W42" s="118"/>
      <c r="X42" s="118"/>
      <c r="Y42" s="118"/>
      <c r="Z42" s="118"/>
      <c r="AA42" s="118"/>
      <c r="AB42" s="124"/>
      <c r="AC42" s="72"/>
      <c r="AD42" s="124"/>
      <c r="AH42" s="124"/>
      <c r="BA42" s="121"/>
      <c r="BB42" s="122"/>
      <c r="BC42" s="122"/>
      <c r="BD42" s="115"/>
      <c r="BE42" s="115"/>
      <c r="BF42" s="116"/>
      <c r="BG42" s="116"/>
      <c r="BH42" s="129"/>
      <c r="BI42" s="116"/>
      <c r="BJ42" s="116"/>
      <c r="BK42" s="116"/>
      <c r="BL42" s="115"/>
      <c r="BM42" s="115"/>
      <c r="BN42" s="123"/>
      <c r="BO42" s="123"/>
    </row>
    <row r="43" spans="2:67" ht="14.5" thickBot="1">
      <c r="B43" s="113" t="s">
        <v>2323</v>
      </c>
      <c r="C43" s="114" t="s">
        <v>708</v>
      </c>
      <c r="D43" s="1473"/>
      <c r="E43" s="115"/>
      <c r="F43" s="115"/>
      <c r="G43" s="116"/>
      <c r="H43" s="116"/>
      <c r="I43" s="116"/>
      <c r="J43" s="116"/>
      <c r="K43" s="116"/>
      <c r="L43" s="116"/>
      <c r="M43" s="115"/>
      <c r="N43" s="115"/>
      <c r="O43" s="123"/>
      <c r="P43" s="123"/>
      <c r="Q43" s="118"/>
      <c r="S43" s="118"/>
      <c r="T43" s="124"/>
      <c r="U43" s="130"/>
      <c r="V43" s="118"/>
      <c r="W43" s="118"/>
      <c r="X43" s="118"/>
      <c r="Y43" s="118"/>
      <c r="Z43" s="118"/>
      <c r="AA43" s="118"/>
      <c r="AB43" s="124"/>
      <c r="AD43" s="124"/>
      <c r="AE43" s="483"/>
      <c r="AF43" s="483"/>
      <c r="AG43" s="483"/>
      <c r="AH43" s="124"/>
      <c r="AI43" s="483"/>
      <c r="AJ43" s="483"/>
      <c r="AK43" s="483"/>
      <c r="AL43" s="483"/>
      <c r="AM43" s="483"/>
      <c r="AN43" s="483"/>
      <c r="AO43" s="483"/>
      <c r="AP43" s="483"/>
      <c r="AQ43" s="483"/>
      <c r="AR43" s="483"/>
      <c r="AS43" s="483"/>
      <c r="AT43" s="483"/>
      <c r="AU43" s="483"/>
      <c r="AV43" s="483"/>
      <c r="AW43" s="483"/>
      <c r="AX43" s="483"/>
      <c r="AY43" s="483"/>
      <c r="AZ43" s="483"/>
      <c r="BA43" s="113" t="s">
        <v>2323</v>
      </c>
      <c r="BB43" s="114" t="s">
        <v>708</v>
      </c>
      <c r="BC43" s="2268"/>
      <c r="BD43" s="115"/>
      <c r="BE43" s="115"/>
      <c r="BF43" s="116"/>
      <c r="BG43" s="116"/>
      <c r="BH43" s="116"/>
      <c r="BI43" s="116"/>
      <c r="BJ43" s="116"/>
      <c r="BK43" s="116"/>
      <c r="BL43" s="115"/>
      <c r="BM43" s="115"/>
      <c r="BN43" s="123"/>
      <c r="BO43" s="123"/>
    </row>
    <row r="44" spans="2:67" ht="14.5" thickBot="1">
      <c r="B44" s="131" t="s">
        <v>7012</v>
      </c>
      <c r="C44" s="132" t="s">
        <v>7013</v>
      </c>
      <c r="D44" s="132"/>
      <c r="E44" s="133" t="s">
        <v>49</v>
      </c>
      <c r="F44" s="134">
        <v>3</v>
      </c>
      <c r="G44" s="135">
        <f xml:space="preserve"> G14 + G21 + G28 + G38 + G41</f>
        <v>0</v>
      </c>
      <c r="H44" s="136">
        <f t="shared" ref="H44:L44" si="55" xml:space="preserve"> H14 + H21 + H28 + H38 + H41</f>
        <v>0</v>
      </c>
      <c r="I44" s="137">
        <f t="shared" si="55"/>
        <v>0</v>
      </c>
      <c r="J44" s="135">
        <f t="shared" si="55"/>
        <v>0</v>
      </c>
      <c r="K44" s="137">
        <f t="shared" si="55"/>
        <v>0</v>
      </c>
      <c r="L44" s="138">
        <f t="shared" si="55"/>
        <v>0</v>
      </c>
      <c r="M44" s="115"/>
      <c r="N44" s="115"/>
      <c r="O44" s="108"/>
      <c r="P44" s="108"/>
      <c r="Q44" s="126"/>
      <c r="R44" s="1339">
        <f xml:space="preserve"> IF( SUM( AB44:AD44 ) = 0, 0, AG44 )</f>
        <v>0</v>
      </c>
      <c r="S44" s="118"/>
      <c r="T44" s="124"/>
      <c r="U44" s="120"/>
      <c r="V44" s="118"/>
      <c r="W44" s="118"/>
      <c r="X44" s="118"/>
      <c r="Y44" s="118"/>
      <c r="Z44" s="118"/>
      <c r="AA44" s="118"/>
      <c r="AB44" s="124"/>
      <c r="AC44" s="93">
        <f xml:space="preserve"> IF( (AE44 - AF44) = 0, 0, 1 )</f>
        <v>0</v>
      </c>
      <c r="AD44" s="124"/>
      <c r="AE44" s="112">
        <f xml:space="preserve"> ROUND( K44, 3 )</f>
        <v>0</v>
      </c>
      <c r="AF44" s="112">
        <f xml:space="preserve"> ROUND( ('1C'!K11 + '1C'!K18 + '1C'!K26 + '1C'!K36), 3 )</f>
        <v>0</v>
      </c>
      <c r="AG44" s="139" t="s">
        <v>7014</v>
      </c>
      <c r="AH44" s="124"/>
      <c r="AI44" s="483"/>
      <c r="AJ44" s="483"/>
      <c r="AK44" s="483"/>
      <c r="AL44" s="483"/>
      <c r="AM44" s="483"/>
      <c r="AN44" s="483"/>
      <c r="AO44" s="483"/>
      <c r="AP44" s="483"/>
      <c r="AQ44" s="483"/>
      <c r="AR44" s="483"/>
      <c r="AS44" s="483"/>
      <c r="AT44" s="483"/>
      <c r="AU44" s="483"/>
      <c r="AV44" s="483"/>
      <c r="AW44" s="483"/>
      <c r="AX44" s="483"/>
      <c r="AY44" s="483"/>
      <c r="AZ44" s="483"/>
      <c r="BA44" s="131" t="s">
        <v>7012</v>
      </c>
      <c r="BB44" s="132" t="s">
        <v>7013</v>
      </c>
      <c r="BC44" s="132"/>
      <c r="BD44" s="133" t="s">
        <v>49</v>
      </c>
      <c r="BE44" s="134">
        <v>3</v>
      </c>
      <c r="BF44" s="135" t="s">
        <v>7015</v>
      </c>
      <c r="BG44" s="136" t="s">
        <v>7016</v>
      </c>
      <c r="BH44" s="137" t="s">
        <v>7017</v>
      </c>
      <c r="BI44" s="135" t="s">
        <v>7018</v>
      </c>
      <c r="BJ44" s="137" t="s">
        <v>7019</v>
      </c>
      <c r="BK44" s="138" t="s">
        <v>7020</v>
      </c>
      <c r="BL44" s="115"/>
      <c r="BM44" s="115"/>
      <c r="BN44" s="108"/>
      <c r="BO44" s="108"/>
    </row>
    <row r="45" spans="2:67">
      <c r="B45" s="121"/>
      <c r="C45" s="122"/>
      <c r="D45" s="122"/>
      <c r="E45" s="115"/>
      <c r="F45" s="115"/>
      <c r="G45" s="140"/>
      <c r="H45" s="140"/>
      <c r="I45" s="140"/>
      <c r="J45" s="140"/>
      <c r="K45" s="140"/>
      <c r="L45" s="140"/>
      <c r="M45" s="115"/>
      <c r="N45" s="115"/>
      <c r="O45" s="123"/>
      <c r="P45" s="123"/>
      <c r="Q45" s="126"/>
      <c r="S45" s="110"/>
      <c r="T45" s="124"/>
      <c r="U45" s="110"/>
      <c r="V45" s="110"/>
      <c r="W45" s="110"/>
      <c r="X45" s="110"/>
      <c r="Y45" s="110"/>
      <c r="Z45" s="110"/>
      <c r="AA45" s="110"/>
      <c r="AB45" s="124"/>
      <c r="AD45" s="124"/>
      <c r="AE45" s="483"/>
      <c r="AF45" s="483"/>
      <c r="AG45" s="483"/>
      <c r="AH45" s="124"/>
      <c r="AI45" s="483"/>
      <c r="AJ45" s="483"/>
      <c r="AK45" s="483"/>
      <c r="AL45" s="483"/>
      <c r="AM45" s="483"/>
      <c r="AN45" s="483"/>
      <c r="AO45" s="483"/>
      <c r="AP45" s="483"/>
      <c r="AQ45" s="483"/>
      <c r="AR45" s="483"/>
      <c r="AS45" s="483"/>
      <c r="AT45" s="483"/>
      <c r="AU45" s="483"/>
      <c r="AV45" s="483"/>
      <c r="AW45" s="483"/>
      <c r="AX45" s="483"/>
      <c r="AY45" s="483"/>
      <c r="AZ45" s="483"/>
      <c r="BA45" s="121"/>
      <c r="BB45" s="122"/>
      <c r="BC45" s="122"/>
      <c r="BD45" s="115"/>
      <c r="BE45" s="115"/>
      <c r="BF45" s="140"/>
      <c r="BG45" s="140"/>
      <c r="BH45" s="140"/>
      <c r="BI45" s="140"/>
      <c r="BJ45" s="140"/>
      <c r="BK45" s="140"/>
      <c r="BL45" s="115"/>
      <c r="BM45" s="115"/>
      <c r="BN45" s="123"/>
      <c r="BO45" s="123"/>
    </row>
    <row r="46" spans="2:67">
      <c r="B46" s="2914" t="s">
        <v>241</v>
      </c>
      <c r="C46" s="2914"/>
      <c r="D46" s="2823"/>
      <c r="E46" s="115"/>
      <c r="F46" s="115"/>
      <c r="G46" s="140"/>
      <c r="H46" s="140"/>
      <c r="I46" s="140"/>
      <c r="J46" s="140"/>
      <c r="K46" s="140"/>
      <c r="L46" s="140"/>
      <c r="M46" s="115"/>
      <c r="N46" s="115"/>
      <c r="O46" s="123"/>
      <c r="P46" s="123"/>
      <c r="Q46" s="126"/>
      <c r="S46" s="110"/>
      <c r="T46" s="124"/>
      <c r="U46" s="110"/>
      <c r="V46" s="110"/>
      <c r="W46" s="110"/>
      <c r="X46" s="110"/>
      <c r="Y46" s="110"/>
      <c r="Z46" s="110"/>
      <c r="AA46" s="110"/>
      <c r="AB46" s="124"/>
      <c r="AD46" s="124"/>
      <c r="AE46" s="483"/>
      <c r="AF46" s="483"/>
      <c r="AG46" s="483"/>
      <c r="AH46" s="124"/>
      <c r="AI46" s="483"/>
      <c r="AJ46" s="483"/>
      <c r="AK46" s="483"/>
      <c r="AL46" s="483"/>
      <c r="AM46" s="483"/>
      <c r="AN46" s="483"/>
      <c r="AO46" s="483"/>
      <c r="AP46" s="483"/>
      <c r="AQ46" s="483"/>
      <c r="AR46" s="483"/>
      <c r="AS46" s="483"/>
      <c r="AT46" s="483"/>
      <c r="AU46" s="483"/>
      <c r="AV46" s="483"/>
      <c r="AW46" s="483"/>
      <c r="AX46" s="483"/>
      <c r="AY46" s="483"/>
      <c r="AZ46" s="483"/>
    </row>
    <row r="47" spans="2:67">
      <c r="B47" s="141"/>
      <c r="C47" s="142"/>
      <c r="D47" s="142"/>
      <c r="E47" s="115"/>
      <c r="F47" s="115"/>
      <c r="G47" s="140"/>
      <c r="H47" s="140"/>
      <c r="I47" s="140"/>
      <c r="J47" s="140"/>
      <c r="K47" s="140"/>
      <c r="L47" s="140"/>
      <c r="M47" s="115"/>
      <c r="N47" s="115"/>
      <c r="O47" s="140"/>
      <c r="P47" s="140"/>
      <c r="Q47" s="126"/>
      <c r="S47" s="120"/>
      <c r="T47" s="124"/>
      <c r="U47" s="120"/>
      <c r="V47" s="120"/>
      <c r="W47" s="120"/>
      <c r="X47" s="120"/>
      <c r="Y47" s="120"/>
      <c r="Z47" s="120"/>
      <c r="AA47" s="120"/>
      <c r="AB47" s="124"/>
      <c r="AD47" s="124"/>
      <c r="AE47" s="483"/>
      <c r="AF47" s="483"/>
      <c r="AG47" s="483"/>
      <c r="AH47" s="124"/>
      <c r="AI47" s="483"/>
      <c r="AJ47" s="483"/>
      <c r="AK47" s="483"/>
      <c r="AL47" s="483"/>
      <c r="AM47" s="483"/>
      <c r="AN47" s="483"/>
      <c r="AO47" s="483"/>
      <c r="AP47" s="483"/>
      <c r="AQ47" s="483"/>
      <c r="AR47" s="483"/>
      <c r="AS47" s="483"/>
      <c r="AT47" s="483"/>
      <c r="AU47" s="483"/>
      <c r="AV47" s="483"/>
      <c r="AW47" s="483"/>
      <c r="AX47" s="483"/>
      <c r="AY47" s="483"/>
      <c r="AZ47" s="483"/>
    </row>
    <row r="48" spans="2:67">
      <c r="B48" s="25"/>
      <c r="C48" s="143" t="s">
        <v>188</v>
      </c>
      <c r="D48" s="143"/>
      <c r="E48" s="115"/>
      <c r="F48" s="115"/>
      <c r="G48" s="140"/>
      <c r="H48" s="140"/>
      <c r="I48" s="140"/>
      <c r="J48" s="140"/>
      <c r="K48" s="140"/>
      <c r="L48" s="140"/>
      <c r="M48" s="115"/>
      <c r="N48" s="115"/>
      <c r="O48" s="140"/>
      <c r="P48" s="140"/>
      <c r="Q48" s="126"/>
      <c r="S48" s="120"/>
      <c r="T48" s="124"/>
      <c r="U48" s="120"/>
      <c r="V48" s="120"/>
      <c r="W48" s="120"/>
      <c r="X48" s="120"/>
      <c r="Y48" s="120"/>
      <c r="Z48" s="120"/>
      <c r="AA48" s="120"/>
      <c r="AB48" s="124"/>
      <c r="AD48" s="124"/>
      <c r="AE48" s="483"/>
      <c r="AF48" s="483"/>
      <c r="AG48" s="483"/>
      <c r="AH48" s="124"/>
      <c r="AI48" s="483"/>
      <c r="AJ48" s="483"/>
      <c r="AK48" s="483"/>
      <c r="AL48" s="483"/>
      <c r="AM48" s="483"/>
      <c r="AN48" s="483"/>
      <c r="AO48" s="483"/>
      <c r="AP48" s="483"/>
      <c r="AQ48" s="483"/>
      <c r="AR48" s="483"/>
      <c r="AS48" s="483"/>
      <c r="AT48" s="483"/>
      <c r="AU48" s="483"/>
      <c r="AV48" s="483"/>
      <c r="AW48" s="483"/>
      <c r="AX48" s="483"/>
      <c r="AY48" s="483"/>
      <c r="AZ48" s="483"/>
    </row>
    <row r="49" spans="1:52">
      <c r="A49" s="483"/>
      <c r="B49" s="141"/>
      <c r="C49" s="142"/>
      <c r="D49" s="142"/>
      <c r="E49" s="115"/>
      <c r="F49" s="115"/>
      <c r="G49" s="140"/>
      <c r="H49" s="140"/>
      <c r="I49" s="140"/>
      <c r="J49" s="140"/>
      <c r="K49" s="140"/>
      <c r="L49" s="140"/>
      <c r="M49" s="115"/>
      <c r="N49" s="115"/>
      <c r="O49" s="140"/>
      <c r="P49" s="140"/>
      <c r="Q49" s="126"/>
      <c r="S49" s="120"/>
      <c r="T49" s="124"/>
      <c r="U49" s="120"/>
      <c r="V49" s="120"/>
      <c r="W49" s="120"/>
      <c r="X49" s="120"/>
      <c r="Y49" s="120"/>
      <c r="Z49" s="120"/>
      <c r="AA49" s="120"/>
      <c r="AB49" s="124"/>
      <c r="AD49" s="124"/>
      <c r="AE49" s="483"/>
      <c r="AF49" s="483"/>
      <c r="AG49" s="483"/>
      <c r="AH49" s="124"/>
      <c r="AI49" s="483"/>
      <c r="AJ49" s="483"/>
      <c r="AK49" s="483"/>
      <c r="AL49" s="483"/>
      <c r="AM49" s="483"/>
      <c r="AN49" s="483"/>
      <c r="AO49" s="483"/>
      <c r="AP49" s="483"/>
      <c r="AQ49" s="483"/>
      <c r="AR49" s="483"/>
      <c r="AS49" s="483"/>
      <c r="AT49" s="483"/>
      <c r="AU49" s="483"/>
      <c r="AV49" s="483"/>
      <c r="AW49" s="483"/>
      <c r="AX49" s="483"/>
      <c r="AY49" s="483"/>
      <c r="AZ49" s="483"/>
    </row>
    <row r="50" spans="1:52">
      <c r="A50" s="483"/>
      <c r="B50" s="144"/>
      <c r="C50" s="143" t="s">
        <v>189</v>
      </c>
      <c r="D50" s="143"/>
      <c r="E50" s="483"/>
      <c r="F50" s="483"/>
      <c r="G50" s="483"/>
      <c r="H50" s="483"/>
      <c r="I50" s="483"/>
      <c r="J50" s="483"/>
      <c r="K50" s="483"/>
      <c r="L50" s="483"/>
      <c r="M50" s="483"/>
      <c r="N50" s="483"/>
      <c r="O50" s="483"/>
      <c r="P50" s="483"/>
      <c r="Q50" s="126"/>
      <c r="T50" s="124"/>
      <c r="AB50" s="124"/>
      <c r="AD50" s="124"/>
      <c r="AE50" s="483"/>
      <c r="AF50" s="483"/>
      <c r="AG50" s="483"/>
      <c r="AH50" s="124"/>
      <c r="AI50" s="483"/>
      <c r="AJ50" s="483"/>
      <c r="AK50" s="483"/>
      <c r="AL50" s="483"/>
      <c r="AM50" s="483"/>
      <c r="AN50" s="483"/>
      <c r="AO50" s="483"/>
      <c r="AP50" s="483"/>
      <c r="AQ50" s="483"/>
      <c r="AR50" s="483"/>
      <c r="AS50" s="483"/>
      <c r="AT50" s="483"/>
      <c r="AU50" s="483"/>
      <c r="AV50" s="483"/>
      <c r="AW50" s="483"/>
      <c r="AX50" s="483"/>
      <c r="AY50" s="483"/>
      <c r="AZ50" s="483"/>
    </row>
    <row r="51" spans="1:52">
      <c r="A51" s="483"/>
      <c r="B51" s="145"/>
      <c r="C51" s="143"/>
      <c r="D51" s="143"/>
      <c r="E51" s="483"/>
      <c r="F51" s="483"/>
      <c r="G51" s="483"/>
      <c r="H51" s="483"/>
      <c r="I51" s="483"/>
      <c r="J51" s="483"/>
      <c r="K51" s="483"/>
      <c r="L51" s="483"/>
      <c r="M51" s="483"/>
      <c r="N51" s="483"/>
      <c r="O51" s="483"/>
      <c r="P51" s="483"/>
      <c r="Q51" s="130"/>
      <c r="AE51" s="483"/>
      <c r="AF51" s="483"/>
      <c r="AG51" s="483"/>
      <c r="AI51" s="483"/>
      <c r="AJ51" s="483"/>
      <c r="AK51" s="483"/>
      <c r="AL51" s="483"/>
      <c r="AM51" s="483"/>
      <c r="AN51" s="483"/>
      <c r="AO51" s="483"/>
      <c r="AP51" s="483"/>
      <c r="AQ51" s="483"/>
      <c r="AR51" s="483"/>
      <c r="AS51" s="483"/>
      <c r="AT51" s="483"/>
      <c r="AU51" s="483"/>
      <c r="AV51" s="483"/>
      <c r="AW51" s="483"/>
      <c r="AX51" s="483"/>
      <c r="AY51" s="483"/>
      <c r="AZ51" s="483"/>
    </row>
    <row r="52" spans="1:52" ht="14.5" thickBot="1">
      <c r="A52" s="483"/>
      <c r="B52" s="143"/>
      <c r="C52" s="143"/>
      <c r="D52" s="143"/>
      <c r="E52" s="483"/>
      <c r="F52" s="483"/>
      <c r="G52" s="483"/>
      <c r="H52" s="483"/>
      <c r="I52" s="483"/>
      <c r="J52" s="483"/>
      <c r="K52" s="483"/>
      <c r="L52" s="483"/>
      <c r="M52" s="483"/>
      <c r="N52" s="483"/>
      <c r="O52" s="483"/>
      <c r="P52" s="483"/>
      <c r="Q52" s="130"/>
      <c r="U52" s="110"/>
      <c r="AE52" s="483"/>
      <c r="AF52" s="483"/>
      <c r="AG52" s="483"/>
      <c r="AI52" s="483"/>
      <c r="AJ52" s="483"/>
      <c r="AK52" s="483"/>
      <c r="AL52" s="483"/>
      <c r="AM52" s="483"/>
      <c r="AN52" s="483"/>
      <c r="AO52" s="483"/>
      <c r="AP52" s="483"/>
      <c r="AQ52" s="483"/>
      <c r="AR52" s="483"/>
      <c r="AS52" s="483"/>
      <c r="AT52" s="483"/>
      <c r="AU52" s="483"/>
      <c r="AV52" s="483"/>
      <c r="AW52" s="483"/>
      <c r="AX52" s="483"/>
      <c r="AY52" s="483"/>
      <c r="AZ52" s="483"/>
    </row>
    <row r="53" spans="1:52" ht="20.65" customHeight="1" thickBot="1">
      <c r="A53" s="483"/>
      <c r="B53" s="2886" t="str">
        <f>'4H'!B56</f>
        <v>Please refer to RAG 4.08 - Guideline for the table definitions in the annual performance report for the reporting year 2019-20</v>
      </c>
      <c r="C53" s="1923"/>
      <c r="D53" s="1923"/>
      <c r="E53" s="1923"/>
      <c r="F53" s="1923"/>
      <c r="G53" s="1923"/>
      <c r="H53" s="148"/>
      <c r="I53" s="148"/>
      <c r="J53" s="148"/>
      <c r="K53" s="148"/>
      <c r="L53" s="148"/>
      <c r="M53" s="148"/>
      <c r="N53" s="148"/>
      <c r="O53" s="148"/>
      <c r="P53" s="149"/>
      <c r="Q53" s="2"/>
      <c r="AE53" s="483"/>
      <c r="AF53" s="483"/>
      <c r="AG53" s="483"/>
      <c r="AI53" s="483"/>
      <c r="AJ53" s="483"/>
      <c r="AK53" s="483"/>
      <c r="AL53" s="483"/>
      <c r="AM53" s="483"/>
      <c r="AN53" s="483"/>
      <c r="AO53" s="483"/>
      <c r="AP53" s="483"/>
      <c r="AQ53" s="483"/>
      <c r="AR53" s="483"/>
      <c r="AS53" s="483"/>
      <c r="AT53" s="483"/>
      <c r="AU53" s="483"/>
      <c r="AV53" s="483"/>
      <c r="AW53" s="483"/>
      <c r="AX53" s="483"/>
      <c r="AY53" s="483"/>
      <c r="AZ53" s="483"/>
    </row>
    <row r="54" spans="1:52">
      <c r="A54" s="483"/>
      <c r="B54" s="150"/>
      <c r="C54" s="151"/>
      <c r="D54" s="151"/>
      <c r="E54" s="74"/>
      <c r="F54" s="74"/>
      <c r="G54" s="74"/>
      <c r="H54" s="110"/>
      <c r="I54" s="110"/>
      <c r="J54" s="110"/>
      <c r="K54" s="483"/>
      <c r="L54" s="483"/>
      <c r="M54" s="483"/>
      <c r="N54" s="483"/>
      <c r="O54" s="483"/>
      <c r="P54" s="483" t="s">
        <v>7021</v>
      </c>
      <c r="Q54" s="2"/>
      <c r="AE54" s="483"/>
      <c r="AF54" s="483"/>
      <c r="AG54" s="483"/>
      <c r="AI54" s="483"/>
      <c r="AJ54" s="483"/>
      <c r="AK54" s="483"/>
      <c r="AL54" s="483"/>
      <c r="AM54" s="483"/>
      <c r="AN54" s="483"/>
      <c r="AO54" s="483"/>
      <c r="AP54" s="483"/>
      <c r="AQ54" s="483"/>
      <c r="AR54" s="483"/>
      <c r="AS54" s="483"/>
      <c r="AT54" s="483"/>
      <c r="AU54" s="483"/>
      <c r="AV54" s="483"/>
      <c r="AW54" s="483"/>
      <c r="AX54" s="483"/>
      <c r="AY54" s="483"/>
      <c r="AZ54" s="483"/>
    </row>
    <row r="55" spans="1:52" ht="33" customHeight="1">
      <c r="A55" s="483"/>
      <c r="B55" s="110"/>
      <c r="C55" s="152"/>
      <c r="D55" s="152"/>
      <c r="E55" s="110"/>
      <c r="F55" s="110"/>
      <c r="G55" s="110"/>
      <c r="H55" s="110"/>
      <c r="I55" s="110"/>
      <c r="J55" s="110"/>
      <c r="K55" s="483"/>
      <c r="L55" s="483"/>
      <c r="M55" s="483"/>
      <c r="N55" s="483"/>
      <c r="O55" s="483"/>
      <c r="P55" s="483"/>
      <c r="Q55" s="2"/>
      <c r="AE55" s="483"/>
      <c r="AF55" s="483"/>
      <c r="AG55" s="483"/>
      <c r="AI55" s="483"/>
      <c r="AJ55" s="483"/>
      <c r="AK55" s="483"/>
      <c r="AL55" s="483"/>
      <c r="AM55" s="483"/>
      <c r="AN55" s="483"/>
      <c r="AO55" s="483"/>
      <c r="AP55" s="483"/>
      <c r="AQ55" s="483"/>
      <c r="AR55" s="483"/>
      <c r="AS55" s="483"/>
      <c r="AT55" s="483"/>
      <c r="AU55" s="483"/>
      <c r="AV55" s="483"/>
      <c r="AW55" s="483"/>
      <c r="AX55" s="483"/>
      <c r="AY55" s="483"/>
      <c r="AZ55" s="483"/>
    </row>
    <row r="56" spans="1:52" ht="14.5">
      <c r="A56" s="483"/>
      <c r="B56" s="153"/>
      <c r="C56" s="152"/>
      <c r="D56" s="152"/>
      <c r="E56" s="110"/>
      <c r="F56" s="110"/>
      <c r="G56" s="110"/>
      <c r="H56" s="110"/>
      <c r="I56" s="110"/>
      <c r="J56" s="110"/>
      <c r="K56" s="483"/>
      <c r="L56" s="483"/>
      <c r="M56" s="483"/>
      <c r="N56" s="483"/>
      <c r="O56" s="483"/>
      <c r="P56" s="483"/>
      <c r="Q56" s="2"/>
      <c r="AE56" s="483"/>
      <c r="AF56" s="483"/>
      <c r="AG56" s="483"/>
      <c r="AI56" s="483"/>
      <c r="AJ56" s="483"/>
      <c r="AK56" s="483"/>
      <c r="AL56" s="483"/>
      <c r="AM56" s="483"/>
      <c r="AN56" s="483"/>
      <c r="AO56" s="483"/>
      <c r="AP56" s="483"/>
      <c r="AQ56" s="483"/>
      <c r="AR56" s="483"/>
      <c r="AS56" s="483"/>
      <c r="AT56" s="483"/>
      <c r="AU56" s="483"/>
      <c r="AV56" s="483"/>
      <c r="AW56" s="483"/>
      <c r="AX56" s="483"/>
      <c r="AY56" s="483"/>
      <c r="AZ56" s="483"/>
    </row>
    <row r="57" spans="1:52">
      <c r="A57" s="483"/>
      <c r="B57" s="110"/>
      <c r="C57" s="152"/>
      <c r="D57" s="152"/>
      <c r="E57" s="110"/>
      <c r="F57" s="110"/>
      <c r="G57" s="110"/>
      <c r="H57" s="110"/>
      <c r="I57" s="110"/>
      <c r="J57" s="118"/>
      <c r="K57" s="483"/>
      <c r="L57" s="483"/>
      <c r="M57" s="483"/>
      <c r="N57" s="483"/>
      <c r="O57" s="483"/>
      <c r="P57" s="483"/>
      <c r="Q57" s="2"/>
      <c r="AE57" s="483"/>
      <c r="AF57" s="483"/>
      <c r="AG57" s="483"/>
      <c r="AI57" s="483"/>
      <c r="AJ57" s="483"/>
      <c r="AK57" s="483"/>
      <c r="AL57" s="483"/>
      <c r="AM57" s="483"/>
      <c r="AN57" s="483"/>
      <c r="AO57" s="483"/>
      <c r="AP57" s="483"/>
      <c r="AQ57" s="483"/>
      <c r="AR57" s="483"/>
      <c r="AS57" s="483"/>
      <c r="AT57" s="483"/>
      <c r="AU57" s="483"/>
      <c r="AV57" s="483"/>
      <c r="AW57" s="483"/>
      <c r="AX57" s="483"/>
      <c r="AY57" s="483"/>
      <c r="AZ57" s="483"/>
    </row>
    <row r="58" spans="1:52" ht="20.5" hidden="1" thickBot="1">
      <c r="A58" s="1534"/>
      <c r="B58" s="146" t="str">
        <f ca="1" xml:space="preserve"> RIGHT(CELL("filename", $A$1), LEN(CELL("filename", $A$1)) - SEARCH("]", CELL("filename", $A$1)))&amp;" - Line definitions"</f>
        <v>4I - Line definitions</v>
      </c>
      <c r="C58" s="147"/>
      <c r="D58" s="147"/>
      <c r="E58" s="148"/>
      <c r="F58" s="148"/>
      <c r="G58" s="148"/>
      <c r="H58" s="148"/>
      <c r="I58" s="148"/>
      <c r="J58" s="148"/>
      <c r="K58" s="148"/>
      <c r="L58" s="148"/>
      <c r="M58" s="148"/>
      <c r="N58" s="148"/>
      <c r="O58" s="148"/>
      <c r="P58" s="154"/>
      <c r="Q58" s="2"/>
      <c r="AE58" s="483"/>
      <c r="AF58" s="483"/>
      <c r="AG58" s="483"/>
      <c r="AI58" s="483"/>
      <c r="AJ58" s="483"/>
      <c r="AK58" s="483"/>
      <c r="AL58" s="483"/>
      <c r="AM58" s="483"/>
      <c r="AN58" s="483"/>
      <c r="AO58" s="483"/>
      <c r="AP58" s="483"/>
      <c r="AQ58" s="483"/>
      <c r="AR58" s="483"/>
      <c r="AS58" s="483"/>
      <c r="AT58" s="483"/>
      <c r="AU58" s="483"/>
      <c r="AV58" s="483"/>
      <c r="AW58" s="483"/>
      <c r="AX58" s="483"/>
      <c r="AY58" s="483"/>
      <c r="AZ58" s="483"/>
    </row>
    <row r="59" spans="1:52" ht="14.5" hidden="1" thickBot="1">
      <c r="A59" s="1534"/>
      <c r="B59" s="74"/>
      <c r="C59" s="155"/>
      <c r="D59" s="155"/>
      <c r="E59" s="74"/>
      <c r="F59" s="74"/>
      <c r="G59" s="74"/>
      <c r="H59" s="110"/>
      <c r="I59" s="110"/>
      <c r="J59" s="118"/>
      <c r="K59" s="483"/>
      <c r="L59" s="483"/>
      <c r="M59" s="483"/>
      <c r="N59" s="483"/>
      <c r="O59" s="483"/>
      <c r="P59" s="483"/>
      <c r="Q59" s="2"/>
      <c r="AE59" s="483"/>
      <c r="AF59" s="483"/>
      <c r="AG59" s="483"/>
      <c r="AI59" s="483"/>
      <c r="AJ59" s="483"/>
      <c r="AK59" s="483"/>
      <c r="AL59" s="483"/>
      <c r="AM59" s="483"/>
      <c r="AN59" s="483"/>
      <c r="AO59" s="483"/>
      <c r="AP59" s="483"/>
      <c r="AQ59" s="483"/>
      <c r="AR59" s="483"/>
      <c r="AS59" s="483"/>
      <c r="AT59" s="483"/>
      <c r="AU59" s="483"/>
      <c r="AV59" s="483"/>
      <c r="AW59" s="483"/>
      <c r="AX59" s="483"/>
      <c r="AY59" s="483"/>
      <c r="AZ59" s="483"/>
    </row>
    <row r="60" spans="1:52" ht="14.5" hidden="1" thickBot="1">
      <c r="A60" s="1534"/>
      <c r="B60" s="156" t="s">
        <v>191</v>
      </c>
      <c r="C60" s="2858" t="s">
        <v>192</v>
      </c>
      <c r="D60" s="2848"/>
      <c r="E60" s="2848"/>
      <c r="F60" s="2848"/>
      <c r="G60" s="2848"/>
      <c r="H60" s="2848"/>
      <c r="I60" s="2848"/>
      <c r="J60" s="2848"/>
      <c r="K60" s="2848"/>
      <c r="L60" s="2848"/>
      <c r="M60" s="2848"/>
      <c r="N60" s="2848"/>
      <c r="O60" s="2848"/>
      <c r="P60" s="157"/>
      <c r="Q60" s="2"/>
      <c r="U60" s="85" t="s">
        <v>193</v>
      </c>
      <c r="AE60" s="483"/>
      <c r="AF60" s="483"/>
      <c r="AG60" s="483"/>
      <c r="AI60" s="483"/>
      <c r="AJ60" s="483"/>
      <c r="AK60" s="483"/>
      <c r="AL60" s="483"/>
      <c r="AM60" s="483"/>
      <c r="AN60" s="483"/>
      <c r="AO60" s="483"/>
      <c r="AP60" s="483"/>
      <c r="AQ60" s="483"/>
      <c r="AR60" s="483"/>
      <c r="AS60" s="483"/>
      <c r="AT60" s="483"/>
      <c r="AU60" s="483"/>
      <c r="AV60" s="483"/>
      <c r="AW60" s="483"/>
      <c r="AX60" s="483"/>
      <c r="AY60" s="483"/>
      <c r="AZ60" s="483"/>
    </row>
    <row r="61" spans="1:52" ht="46.5" hidden="1" customHeight="1">
      <c r="A61" s="1534"/>
      <c r="B61" s="819" t="s">
        <v>6781</v>
      </c>
      <c r="C61" s="3099" t="s">
        <v>7022</v>
      </c>
      <c r="D61" s="3100"/>
      <c r="E61" s="3100"/>
      <c r="F61" s="3100"/>
      <c r="G61" s="3100"/>
      <c r="H61" s="3100"/>
      <c r="I61" s="3100"/>
      <c r="J61" s="3100"/>
      <c r="K61" s="3100"/>
      <c r="L61" s="3100"/>
      <c r="M61" s="3100"/>
      <c r="N61" s="3100"/>
      <c r="O61" s="3100"/>
      <c r="P61" s="3101"/>
      <c r="Q61" s="2"/>
      <c r="U61" s="161" t="s">
        <v>2212</v>
      </c>
      <c r="AE61" s="483"/>
      <c r="AF61" s="483"/>
      <c r="AG61" s="483"/>
      <c r="AI61" s="483"/>
      <c r="AJ61" s="483"/>
      <c r="AK61" s="483"/>
      <c r="AL61" s="483"/>
      <c r="AM61" s="483"/>
      <c r="AN61" s="483"/>
      <c r="AO61" s="483"/>
      <c r="AP61" s="483"/>
      <c r="AQ61" s="483"/>
      <c r="AR61" s="483"/>
      <c r="AS61" s="483"/>
      <c r="AT61" s="483"/>
      <c r="AU61" s="483"/>
      <c r="AV61" s="483"/>
      <c r="AW61" s="483"/>
      <c r="AX61" s="483"/>
      <c r="AY61" s="483"/>
      <c r="AZ61" s="483"/>
    </row>
    <row r="62" spans="1:52" s="483" customFormat="1" ht="48.75" hidden="1" customHeight="1">
      <c r="A62" s="1534"/>
      <c r="B62" s="819" t="s">
        <v>6791</v>
      </c>
      <c r="C62" s="3096" t="s">
        <v>7023</v>
      </c>
      <c r="D62" s="3097"/>
      <c r="E62" s="3097"/>
      <c r="F62" s="3097"/>
      <c r="G62" s="3097"/>
      <c r="H62" s="3097"/>
      <c r="I62" s="3097"/>
      <c r="J62" s="3097"/>
      <c r="K62" s="3097"/>
      <c r="L62" s="3097"/>
      <c r="M62" s="3097"/>
      <c r="N62" s="3097"/>
      <c r="O62" s="3097"/>
      <c r="P62" s="3098"/>
      <c r="Q62" s="2"/>
      <c r="R62" s="74"/>
      <c r="S62" s="70"/>
      <c r="T62" s="71"/>
      <c r="U62" s="161" t="s">
        <v>2212</v>
      </c>
      <c r="V62" s="70"/>
      <c r="W62" s="70"/>
      <c r="X62" s="70"/>
      <c r="Y62" s="70"/>
      <c r="Z62" s="70"/>
      <c r="AA62" s="70"/>
      <c r="AB62" s="71"/>
      <c r="AC62" s="72"/>
      <c r="AD62" s="71"/>
      <c r="AH62" s="71"/>
    </row>
    <row r="63" spans="1:52" ht="48.75" hidden="1" customHeight="1">
      <c r="A63" s="1534"/>
      <c r="B63" s="159" t="s">
        <v>6801</v>
      </c>
      <c r="C63" s="3096" t="s">
        <v>7024</v>
      </c>
      <c r="D63" s="3097"/>
      <c r="E63" s="3097"/>
      <c r="F63" s="3097"/>
      <c r="G63" s="3097"/>
      <c r="H63" s="3097"/>
      <c r="I63" s="3097"/>
      <c r="J63" s="3097"/>
      <c r="K63" s="3097"/>
      <c r="L63" s="3097"/>
      <c r="M63" s="3097"/>
      <c r="N63" s="3097"/>
      <c r="O63" s="3097"/>
      <c r="P63" s="3098"/>
      <c r="Q63" s="2"/>
      <c r="U63" s="161" t="s">
        <v>2212</v>
      </c>
      <c r="AE63" s="483"/>
      <c r="AF63" s="483"/>
      <c r="AG63" s="483"/>
      <c r="AI63" s="483"/>
      <c r="AJ63" s="483"/>
      <c r="AK63" s="483"/>
      <c r="AL63" s="483"/>
      <c r="AM63" s="483"/>
      <c r="AN63" s="483"/>
      <c r="AO63" s="483"/>
      <c r="AP63" s="483"/>
      <c r="AQ63" s="483"/>
      <c r="AR63" s="483"/>
      <c r="AS63" s="483"/>
      <c r="AT63" s="483"/>
      <c r="AU63" s="483"/>
      <c r="AV63" s="483"/>
      <c r="AW63" s="483"/>
      <c r="AX63" s="483"/>
      <c r="AY63" s="483"/>
      <c r="AZ63" s="483"/>
    </row>
    <row r="64" spans="1:52" s="483" customFormat="1" ht="48.75" hidden="1" customHeight="1">
      <c r="A64" s="1534"/>
      <c r="B64" s="159" t="s">
        <v>6811</v>
      </c>
      <c r="C64" s="3096" t="s">
        <v>7025</v>
      </c>
      <c r="D64" s="3097"/>
      <c r="E64" s="3097"/>
      <c r="F64" s="3097"/>
      <c r="G64" s="3097"/>
      <c r="H64" s="3097"/>
      <c r="I64" s="3097"/>
      <c r="J64" s="3097"/>
      <c r="K64" s="3097"/>
      <c r="L64" s="3097"/>
      <c r="M64" s="3097"/>
      <c r="N64" s="3097"/>
      <c r="O64" s="3097"/>
      <c r="P64" s="3098"/>
      <c r="Q64" s="2"/>
      <c r="R64" s="74"/>
      <c r="S64" s="70"/>
      <c r="T64" s="71"/>
      <c r="U64" s="161" t="s">
        <v>2212</v>
      </c>
      <c r="V64" s="70"/>
      <c r="W64" s="70"/>
      <c r="X64" s="70"/>
      <c r="Y64" s="70"/>
      <c r="Z64" s="70"/>
      <c r="AA64" s="70"/>
      <c r="AB64" s="71"/>
      <c r="AC64" s="72"/>
      <c r="AD64" s="71"/>
      <c r="AH64" s="71"/>
    </row>
    <row r="65" spans="1:52" ht="48.75" hidden="1" customHeight="1">
      <c r="A65" s="1534"/>
      <c r="B65" s="159" t="s">
        <v>6821</v>
      </c>
      <c r="C65" s="3096" t="s">
        <v>7026</v>
      </c>
      <c r="D65" s="3097"/>
      <c r="E65" s="3097"/>
      <c r="F65" s="3097"/>
      <c r="G65" s="3097"/>
      <c r="H65" s="3097"/>
      <c r="I65" s="3097"/>
      <c r="J65" s="3097"/>
      <c r="K65" s="3097"/>
      <c r="L65" s="3097"/>
      <c r="M65" s="3097"/>
      <c r="N65" s="3097"/>
      <c r="O65" s="3097"/>
      <c r="P65" s="3098"/>
      <c r="Q65" s="2"/>
      <c r="U65" s="161" t="s">
        <v>2212</v>
      </c>
      <c r="AE65" s="483"/>
      <c r="AF65" s="483"/>
      <c r="AG65" s="483"/>
      <c r="AI65" s="483"/>
      <c r="AJ65" s="483"/>
      <c r="AK65" s="483"/>
      <c r="AL65" s="483"/>
      <c r="AM65" s="483"/>
      <c r="AN65" s="483"/>
      <c r="AO65" s="483"/>
      <c r="AP65" s="483"/>
      <c r="AQ65" s="483"/>
      <c r="AR65" s="483"/>
      <c r="AS65" s="483"/>
      <c r="AT65" s="483"/>
      <c r="AU65" s="483"/>
      <c r="AV65" s="483"/>
      <c r="AW65" s="483"/>
      <c r="AX65" s="483"/>
      <c r="AY65" s="483"/>
      <c r="AZ65" s="483"/>
    </row>
    <row r="66" spans="1:52" s="483" customFormat="1" ht="48" hidden="1" customHeight="1">
      <c r="A66" s="1534"/>
      <c r="B66" s="159" t="s">
        <v>6831</v>
      </c>
      <c r="C66" s="3096" t="s">
        <v>7027</v>
      </c>
      <c r="D66" s="3097"/>
      <c r="E66" s="3097"/>
      <c r="F66" s="3097"/>
      <c r="G66" s="3097"/>
      <c r="H66" s="3097"/>
      <c r="I66" s="3097"/>
      <c r="J66" s="3097"/>
      <c r="K66" s="3097"/>
      <c r="L66" s="3097"/>
      <c r="M66" s="3097"/>
      <c r="N66" s="3097"/>
      <c r="O66" s="3097"/>
      <c r="P66" s="3098"/>
      <c r="Q66" s="2"/>
      <c r="R66" s="74"/>
      <c r="S66" s="70"/>
      <c r="T66" s="71"/>
      <c r="U66" s="161" t="s">
        <v>2212</v>
      </c>
      <c r="V66" s="70"/>
      <c r="W66" s="70"/>
      <c r="X66" s="70"/>
      <c r="Y66" s="70"/>
      <c r="Z66" s="70"/>
      <c r="AA66" s="70"/>
      <c r="AB66" s="71"/>
      <c r="AC66" s="72"/>
      <c r="AD66" s="71"/>
      <c r="AH66" s="71"/>
    </row>
    <row r="67" spans="1:52" ht="13.5" hidden="1" customHeight="1">
      <c r="A67" s="1534"/>
      <c r="B67" s="159" t="s">
        <v>6841</v>
      </c>
      <c r="C67" s="3096" t="s">
        <v>7028</v>
      </c>
      <c r="D67" s="3097"/>
      <c r="E67" s="3097"/>
      <c r="F67" s="3097"/>
      <c r="G67" s="3097"/>
      <c r="H67" s="3097"/>
      <c r="I67" s="3097"/>
      <c r="J67" s="3097"/>
      <c r="K67" s="3097"/>
      <c r="L67" s="3097"/>
      <c r="M67" s="3097"/>
      <c r="N67" s="3097"/>
      <c r="O67" s="3097"/>
      <c r="P67" s="3098"/>
      <c r="Q67" s="2"/>
      <c r="U67" s="158">
        <v>1</v>
      </c>
      <c r="AE67" s="483"/>
      <c r="AF67" s="483"/>
      <c r="AG67" s="483"/>
      <c r="AI67" s="483"/>
      <c r="AJ67" s="483"/>
      <c r="AK67" s="483"/>
      <c r="AL67" s="483"/>
      <c r="AM67" s="483"/>
      <c r="AN67" s="483"/>
      <c r="AO67" s="483"/>
      <c r="AP67" s="483"/>
      <c r="AQ67" s="483"/>
      <c r="AR67" s="483"/>
      <c r="AS67" s="483"/>
      <c r="AT67" s="483"/>
      <c r="AU67" s="483"/>
      <c r="AV67" s="483"/>
      <c r="AW67" s="483"/>
      <c r="AX67" s="483"/>
      <c r="AY67" s="483"/>
      <c r="AZ67" s="483"/>
    </row>
    <row r="68" spans="1:52" ht="13.5" hidden="1" customHeight="1">
      <c r="A68" s="1534"/>
      <c r="B68" s="159" t="s">
        <v>6849</v>
      </c>
      <c r="C68" s="3096" t="s">
        <v>7029</v>
      </c>
      <c r="D68" s="3097"/>
      <c r="E68" s="3097"/>
      <c r="F68" s="3097"/>
      <c r="G68" s="3097"/>
      <c r="H68" s="3097"/>
      <c r="I68" s="3097"/>
      <c r="J68" s="3097"/>
      <c r="K68" s="3097"/>
      <c r="L68" s="3097"/>
      <c r="M68" s="3097"/>
      <c r="N68" s="3097"/>
      <c r="O68" s="3097"/>
      <c r="P68" s="3098"/>
      <c r="Q68" s="2"/>
      <c r="U68" s="158">
        <v>1</v>
      </c>
      <c r="AE68" s="483"/>
      <c r="AF68" s="483"/>
      <c r="AG68" s="483"/>
      <c r="AI68" s="483"/>
      <c r="AJ68" s="483"/>
      <c r="AK68" s="483"/>
      <c r="AL68" s="483"/>
      <c r="AM68" s="483"/>
      <c r="AN68" s="483"/>
      <c r="AO68" s="483"/>
      <c r="AP68" s="483"/>
      <c r="AQ68" s="483"/>
      <c r="AR68" s="483"/>
      <c r="AS68" s="483"/>
      <c r="AT68" s="483"/>
      <c r="AU68" s="483"/>
      <c r="AV68" s="483"/>
      <c r="AW68" s="483"/>
      <c r="AX68" s="483"/>
      <c r="AY68" s="483"/>
      <c r="AZ68" s="483"/>
    </row>
    <row r="69" spans="1:52" ht="13.5" hidden="1" customHeight="1">
      <c r="A69" s="1534"/>
      <c r="B69" s="159" t="s">
        <v>6860</v>
      </c>
      <c r="C69" s="3096" t="s">
        <v>7030</v>
      </c>
      <c r="D69" s="3097"/>
      <c r="E69" s="3097"/>
      <c r="F69" s="3097"/>
      <c r="G69" s="3097"/>
      <c r="H69" s="3097"/>
      <c r="I69" s="3097"/>
      <c r="J69" s="3097"/>
      <c r="K69" s="3097"/>
      <c r="L69" s="3097"/>
      <c r="M69" s="3097"/>
      <c r="N69" s="3097"/>
      <c r="O69" s="3097"/>
      <c r="P69" s="3098"/>
      <c r="Q69" s="2"/>
      <c r="U69" s="158">
        <v>1</v>
      </c>
      <c r="AE69" s="483"/>
      <c r="AF69" s="483"/>
      <c r="AG69" s="483"/>
      <c r="AI69" s="483"/>
      <c r="AJ69" s="483"/>
      <c r="AK69" s="483"/>
      <c r="AL69" s="483"/>
      <c r="AM69" s="483"/>
      <c r="AN69" s="483"/>
      <c r="AO69" s="483"/>
      <c r="AP69" s="483"/>
      <c r="AQ69" s="483"/>
      <c r="AR69" s="483"/>
      <c r="AS69" s="483"/>
      <c r="AT69" s="483"/>
      <c r="AU69" s="483"/>
      <c r="AV69" s="483"/>
      <c r="AW69" s="483"/>
      <c r="AX69" s="483"/>
      <c r="AY69" s="483"/>
      <c r="AZ69" s="483"/>
    </row>
    <row r="70" spans="1:52" ht="13.5" hidden="1" customHeight="1">
      <c r="A70" s="1534"/>
      <c r="B70" s="159" t="s">
        <v>6870</v>
      </c>
      <c r="C70" s="3096" t="s">
        <v>7031</v>
      </c>
      <c r="D70" s="3097"/>
      <c r="E70" s="3097"/>
      <c r="F70" s="3097"/>
      <c r="G70" s="3097"/>
      <c r="H70" s="3097"/>
      <c r="I70" s="3097"/>
      <c r="J70" s="3097"/>
      <c r="K70" s="3097"/>
      <c r="L70" s="3097"/>
      <c r="M70" s="3097"/>
      <c r="N70" s="3097"/>
      <c r="O70" s="3097"/>
      <c r="P70" s="3098"/>
      <c r="Q70" s="2"/>
      <c r="U70" s="158">
        <v>1</v>
      </c>
      <c r="AE70" s="483"/>
      <c r="AF70" s="483"/>
      <c r="AG70" s="483"/>
      <c r="AI70" s="483"/>
      <c r="AJ70" s="483"/>
      <c r="AK70" s="483"/>
      <c r="AL70" s="483"/>
      <c r="AM70" s="483"/>
      <c r="AN70" s="483"/>
      <c r="AO70" s="483"/>
      <c r="AP70" s="483"/>
      <c r="AQ70" s="483"/>
      <c r="AR70" s="483"/>
      <c r="AS70" s="483"/>
      <c r="AT70" s="483"/>
      <c r="AU70" s="483"/>
      <c r="AV70" s="483"/>
      <c r="AW70" s="483"/>
      <c r="AX70" s="483"/>
      <c r="AY70" s="483"/>
      <c r="AZ70" s="483"/>
    </row>
    <row r="71" spans="1:52" ht="13.5" hidden="1" customHeight="1">
      <c r="A71" s="1534"/>
      <c r="B71" s="159" t="s">
        <v>6880</v>
      </c>
      <c r="C71" s="3096" t="s">
        <v>7032</v>
      </c>
      <c r="D71" s="3097"/>
      <c r="E71" s="3097"/>
      <c r="F71" s="3097"/>
      <c r="G71" s="3097"/>
      <c r="H71" s="3097"/>
      <c r="I71" s="3097"/>
      <c r="J71" s="3097"/>
      <c r="K71" s="3097"/>
      <c r="L71" s="3097"/>
      <c r="M71" s="3097"/>
      <c r="N71" s="3097"/>
      <c r="O71" s="3097"/>
      <c r="P71" s="3098"/>
      <c r="Q71" s="2"/>
      <c r="U71" s="158">
        <v>1</v>
      </c>
      <c r="AE71" s="483"/>
      <c r="AF71" s="483"/>
      <c r="AG71" s="483"/>
      <c r="AI71" s="483"/>
      <c r="AJ71" s="483"/>
      <c r="AK71" s="483"/>
      <c r="AL71" s="483"/>
      <c r="AM71" s="483"/>
      <c r="AN71" s="483"/>
      <c r="AO71" s="483"/>
      <c r="AP71" s="483"/>
      <c r="AQ71" s="483"/>
      <c r="AR71" s="483"/>
      <c r="AS71" s="483"/>
      <c r="AT71" s="483"/>
      <c r="AU71" s="483"/>
      <c r="AV71" s="483"/>
      <c r="AW71" s="483"/>
      <c r="AX71" s="483"/>
      <c r="AY71" s="483"/>
      <c r="AZ71" s="483"/>
    </row>
    <row r="72" spans="1:52" ht="13.5" hidden="1" customHeight="1">
      <c r="A72" s="1534"/>
      <c r="B72" s="159" t="s">
        <v>6890</v>
      </c>
      <c r="C72" s="3096" t="s">
        <v>7033</v>
      </c>
      <c r="D72" s="3097"/>
      <c r="E72" s="3097"/>
      <c r="F72" s="3097"/>
      <c r="G72" s="3097"/>
      <c r="H72" s="3097"/>
      <c r="I72" s="3097"/>
      <c r="J72" s="3097"/>
      <c r="K72" s="3097"/>
      <c r="L72" s="3097"/>
      <c r="M72" s="3097"/>
      <c r="N72" s="3097"/>
      <c r="O72" s="3097"/>
      <c r="P72" s="3098"/>
      <c r="Q72" s="2"/>
      <c r="U72" s="158">
        <v>1</v>
      </c>
      <c r="AE72" s="483"/>
      <c r="AF72" s="483"/>
      <c r="AG72" s="483"/>
      <c r="AI72" s="483"/>
      <c r="AJ72" s="483"/>
      <c r="AK72" s="483"/>
      <c r="AL72" s="483"/>
      <c r="AM72" s="483"/>
      <c r="AN72" s="483"/>
      <c r="AO72" s="483"/>
      <c r="AP72" s="483"/>
      <c r="AQ72" s="483"/>
      <c r="AR72" s="483"/>
      <c r="AS72" s="483"/>
      <c r="AT72" s="483"/>
      <c r="AU72" s="483"/>
      <c r="AV72" s="483"/>
      <c r="AW72" s="483"/>
      <c r="AX72" s="483"/>
      <c r="AY72" s="483"/>
      <c r="AZ72" s="483"/>
    </row>
    <row r="73" spans="1:52" ht="13.5" hidden="1" customHeight="1">
      <c r="A73" s="1534"/>
      <c r="B73" s="159" t="s">
        <v>6898</v>
      </c>
      <c r="C73" s="3096" t="s">
        <v>7034</v>
      </c>
      <c r="D73" s="3097"/>
      <c r="E73" s="3097"/>
      <c r="F73" s="3097"/>
      <c r="G73" s="3097"/>
      <c r="H73" s="3097"/>
      <c r="I73" s="3097"/>
      <c r="J73" s="3097"/>
      <c r="K73" s="3097"/>
      <c r="L73" s="3097"/>
      <c r="M73" s="3097"/>
      <c r="N73" s="3097"/>
      <c r="O73" s="3097"/>
      <c r="P73" s="3098"/>
      <c r="Q73" s="2"/>
      <c r="U73" s="158">
        <v>1</v>
      </c>
      <c r="AE73" s="483"/>
      <c r="AF73" s="483"/>
      <c r="AG73" s="483"/>
      <c r="AI73" s="483"/>
      <c r="AJ73" s="483"/>
      <c r="AK73" s="483"/>
      <c r="AL73" s="483"/>
      <c r="AM73" s="483"/>
      <c r="AN73" s="483"/>
      <c r="AO73" s="483"/>
      <c r="AP73" s="483"/>
      <c r="AQ73" s="483"/>
      <c r="AR73" s="483"/>
      <c r="AS73" s="483"/>
      <c r="AT73" s="483"/>
      <c r="AU73" s="483"/>
      <c r="AV73" s="483"/>
      <c r="AW73" s="483"/>
      <c r="AX73" s="483"/>
      <c r="AY73" s="483"/>
      <c r="AZ73" s="483"/>
    </row>
    <row r="74" spans="1:52" ht="13.5" hidden="1" customHeight="1">
      <c r="A74" s="1534"/>
      <c r="B74" s="159" t="s">
        <v>6908</v>
      </c>
      <c r="C74" s="3096" t="s">
        <v>7035</v>
      </c>
      <c r="D74" s="3097"/>
      <c r="E74" s="3097"/>
      <c r="F74" s="3097"/>
      <c r="G74" s="3097"/>
      <c r="H74" s="3097"/>
      <c r="I74" s="3097"/>
      <c r="J74" s="3097"/>
      <c r="K74" s="3097"/>
      <c r="L74" s="3097"/>
      <c r="M74" s="3097"/>
      <c r="N74" s="3097"/>
      <c r="O74" s="3097"/>
      <c r="P74" s="3098"/>
      <c r="Q74" s="2"/>
      <c r="U74" s="158">
        <v>1</v>
      </c>
      <c r="AE74" s="483"/>
      <c r="AF74" s="483"/>
      <c r="AG74" s="483"/>
      <c r="AI74" s="483"/>
      <c r="AJ74" s="483"/>
      <c r="AK74" s="483"/>
      <c r="AL74" s="483"/>
      <c r="AM74" s="483"/>
      <c r="AN74" s="483"/>
      <c r="AO74" s="483"/>
      <c r="AP74" s="483"/>
      <c r="AQ74" s="483"/>
      <c r="AR74" s="483"/>
      <c r="AS74" s="483"/>
      <c r="AT74" s="483"/>
      <c r="AU74" s="483"/>
      <c r="AV74" s="483"/>
      <c r="AW74" s="483"/>
      <c r="AX74" s="483"/>
      <c r="AY74" s="483"/>
      <c r="AZ74" s="483"/>
    </row>
    <row r="75" spans="1:52" ht="13.5" hidden="1" customHeight="1">
      <c r="A75" s="1534"/>
      <c r="B75" s="159" t="s">
        <v>6918</v>
      </c>
      <c r="C75" s="3096" t="s">
        <v>7036</v>
      </c>
      <c r="D75" s="3097"/>
      <c r="E75" s="3097"/>
      <c r="F75" s="3097"/>
      <c r="G75" s="3097"/>
      <c r="H75" s="3097"/>
      <c r="I75" s="3097"/>
      <c r="J75" s="3097"/>
      <c r="K75" s="3097"/>
      <c r="L75" s="3097"/>
      <c r="M75" s="3097"/>
      <c r="N75" s="3097"/>
      <c r="O75" s="3097"/>
      <c r="P75" s="3098"/>
      <c r="Q75" s="2"/>
      <c r="U75" s="158">
        <v>1</v>
      </c>
      <c r="AE75" s="483"/>
      <c r="AF75" s="483"/>
      <c r="AG75" s="483"/>
      <c r="AI75" s="483"/>
      <c r="AJ75" s="483"/>
      <c r="AK75" s="483"/>
      <c r="AL75" s="483"/>
      <c r="AM75" s="483"/>
      <c r="AN75" s="483"/>
      <c r="AO75" s="483"/>
      <c r="AP75" s="483"/>
      <c r="AQ75" s="483"/>
      <c r="AR75" s="483"/>
      <c r="AS75" s="483"/>
      <c r="AT75" s="483"/>
      <c r="AU75" s="483"/>
      <c r="AV75" s="483"/>
      <c r="AW75" s="483"/>
      <c r="AX75" s="483"/>
      <c r="AY75" s="483"/>
      <c r="AZ75" s="483"/>
    </row>
    <row r="76" spans="1:52" ht="13.5" hidden="1" customHeight="1">
      <c r="A76" s="1534"/>
      <c r="B76" s="159" t="s">
        <v>6928</v>
      </c>
      <c r="C76" s="3096" t="s">
        <v>7037</v>
      </c>
      <c r="D76" s="3097"/>
      <c r="E76" s="3097"/>
      <c r="F76" s="3097"/>
      <c r="G76" s="3097"/>
      <c r="H76" s="3097"/>
      <c r="I76" s="3097"/>
      <c r="J76" s="3097"/>
      <c r="K76" s="3097"/>
      <c r="L76" s="3097"/>
      <c r="M76" s="3097"/>
      <c r="N76" s="3097"/>
      <c r="O76" s="3097"/>
      <c r="P76" s="3098"/>
      <c r="Q76" s="2"/>
      <c r="U76" s="158">
        <v>1</v>
      </c>
      <c r="AE76" s="483"/>
      <c r="AF76" s="483"/>
      <c r="AG76" s="483"/>
      <c r="AI76" s="483"/>
      <c r="AJ76" s="483"/>
      <c r="AK76" s="483"/>
      <c r="AL76" s="483"/>
      <c r="AM76" s="483"/>
      <c r="AN76" s="483"/>
      <c r="AO76" s="483"/>
      <c r="AP76" s="483"/>
      <c r="AQ76" s="483"/>
      <c r="AR76" s="483"/>
      <c r="AS76" s="483"/>
      <c r="AT76" s="483"/>
      <c r="AU76" s="483"/>
      <c r="AV76" s="483"/>
      <c r="AW76" s="483"/>
      <c r="AX76" s="483"/>
      <c r="AY76" s="483"/>
      <c r="AZ76" s="483"/>
    </row>
    <row r="77" spans="1:52" ht="13.5" hidden="1" customHeight="1">
      <c r="A77" s="1534"/>
      <c r="B77" s="159" t="s">
        <v>6938</v>
      </c>
      <c r="C77" s="3096" t="s">
        <v>7038</v>
      </c>
      <c r="D77" s="3097"/>
      <c r="E77" s="3097"/>
      <c r="F77" s="3097"/>
      <c r="G77" s="3097"/>
      <c r="H77" s="3097"/>
      <c r="I77" s="3097"/>
      <c r="J77" s="3097"/>
      <c r="K77" s="3097"/>
      <c r="L77" s="3097"/>
      <c r="M77" s="3097"/>
      <c r="N77" s="3097"/>
      <c r="O77" s="3097"/>
      <c r="P77" s="3098"/>
      <c r="Q77" s="2"/>
      <c r="U77" s="158">
        <v>1</v>
      </c>
      <c r="AE77" s="483"/>
      <c r="AF77" s="483"/>
      <c r="AG77" s="483"/>
      <c r="AI77" s="483"/>
      <c r="AJ77" s="483"/>
      <c r="AK77" s="483"/>
      <c r="AL77" s="483"/>
      <c r="AM77" s="483"/>
      <c r="AN77" s="483"/>
      <c r="AO77" s="483"/>
      <c r="AP77" s="483"/>
      <c r="AQ77" s="483"/>
      <c r="AR77" s="483"/>
      <c r="AS77" s="483"/>
      <c r="AT77" s="483"/>
      <c r="AU77" s="483"/>
      <c r="AV77" s="483"/>
      <c r="AW77" s="483"/>
      <c r="AX77" s="483"/>
      <c r="AY77" s="483"/>
      <c r="AZ77" s="483"/>
    </row>
    <row r="78" spans="1:52" ht="13.5" hidden="1" customHeight="1">
      <c r="A78" s="1534"/>
      <c r="B78" s="159" t="s">
        <v>6946</v>
      </c>
      <c r="C78" s="3096" t="s">
        <v>7039</v>
      </c>
      <c r="D78" s="3097"/>
      <c r="E78" s="3097"/>
      <c r="F78" s="3097"/>
      <c r="G78" s="3097"/>
      <c r="H78" s="3097"/>
      <c r="I78" s="3097"/>
      <c r="J78" s="3097"/>
      <c r="K78" s="3097"/>
      <c r="L78" s="3097"/>
      <c r="M78" s="3097"/>
      <c r="N78" s="3097"/>
      <c r="O78" s="3097"/>
      <c r="P78" s="3098"/>
      <c r="Q78" s="2"/>
      <c r="U78" s="158">
        <v>1</v>
      </c>
      <c r="AE78" s="483"/>
      <c r="AF78" s="483"/>
      <c r="AG78" s="483"/>
      <c r="AI78" s="483"/>
      <c r="AJ78" s="483"/>
      <c r="AK78" s="483"/>
      <c r="AL78" s="483"/>
      <c r="AM78" s="483"/>
      <c r="AN78" s="483"/>
      <c r="AO78" s="483"/>
      <c r="AP78" s="483"/>
      <c r="AQ78" s="483"/>
      <c r="AR78" s="483"/>
      <c r="AS78" s="483"/>
      <c r="AT78" s="483"/>
      <c r="AU78" s="483"/>
      <c r="AV78" s="483"/>
      <c r="AW78" s="483"/>
      <c r="AX78" s="483"/>
      <c r="AY78" s="483"/>
      <c r="AZ78" s="483"/>
    </row>
    <row r="79" spans="1:52" ht="13.5" hidden="1" customHeight="1">
      <c r="A79" s="1534"/>
      <c r="B79" s="159" t="s">
        <v>6956</v>
      </c>
      <c r="C79" s="3096" t="s">
        <v>7040</v>
      </c>
      <c r="D79" s="3097"/>
      <c r="E79" s="3097"/>
      <c r="F79" s="3097"/>
      <c r="G79" s="3097"/>
      <c r="H79" s="3097"/>
      <c r="I79" s="3097"/>
      <c r="J79" s="3097"/>
      <c r="K79" s="3097"/>
      <c r="L79" s="3097"/>
      <c r="M79" s="3097"/>
      <c r="N79" s="3097"/>
      <c r="O79" s="3097"/>
      <c r="P79" s="3098"/>
      <c r="Q79" s="2"/>
      <c r="U79" s="158">
        <v>1</v>
      </c>
      <c r="AE79" s="483"/>
      <c r="AF79" s="483"/>
      <c r="AG79" s="483"/>
      <c r="AI79" s="483"/>
      <c r="AJ79" s="483"/>
      <c r="AK79" s="483"/>
      <c r="AL79" s="483"/>
      <c r="AM79" s="483"/>
      <c r="AN79" s="483"/>
      <c r="AO79" s="483"/>
      <c r="AP79" s="483"/>
      <c r="AQ79" s="483"/>
      <c r="AR79" s="483"/>
      <c r="AS79" s="483"/>
      <c r="AT79" s="483"/>
      <c r="AU79" s="483"/>
      <c r="AV79" s="483"/>
      <c r="AW79" s="483"/>
      <c r="AX79" s="483"/>
      <c r="AY79" s="483"/>
      <c r="AZ79" s="483"/>
    </row>
    <row r="80" spans="1:52" ht="13.5" hidden="1" customHeight="1">
      <c r="A80" s="1534"/>
      <c r="B80" s="159" t="s">
        <v>6966</v>
      </c>
      <c r="C80" s="3096" t="s">
        <v>7041</v>
      </c>
      <c r="D80" s="3097"/>
      <c r="E80" s="3097"/>
      <c r="F80" s="3097"/>
      <c r="G80" s="3097"/>
      <c r="H80" s="3097"/>
      <c r="I80" s="3097"/>
      <c r="J80" s="3097"/>
      <c r="K80" s="3097"/>
      <c r="L80" s="3097"/>
      <c r="M80" s="3097"/>
      <c r="N80" s="3097"/>
      <c r="O80" s="3097"/>
      <c r="P80" s="3098"/>
      <c r="Q80" s="2"/>
      <c r="U80" s="158">
        <v>1</v>
      </c>
      <c r="AE80" s="483"/>
      <c r="AF80" s="483"/>
      <c r="AG80" s="483"/>
      <c r="AI80" s="483"/>
      <c r="AJ80" s="483"/>
      <c r="AK80" s="483"/>
      <c r="AL80" s="483"/>
      <c r="AM80" s="483"/>
      <c r="AN80" s="483"/>
      <c r="AO80" s="483"/>
      <c r="AP80" s="483"/>
      <c r="AQ80" s="483"/>
      <c r="AR80" s="483"/>
      <c r="AS80" s="483"/>
      <c r="AT80" s="483"/>
      <c r="AU80" s="483"/>
      <c r="AV80" s="483"/>
      <c r="AW80" s="483"/>
      <c r="AX80" s="483"/>
      <c r="AY80" s="483"/>
      <c r="AZ80" s="483"/>
    </row>
    <row r="81" spans="1:52" s="483" customFormat="1" ht="13.5" hidden="1" customHeight="1">
      <c r="A81" s="1534"/>
      <c r="B81" s="159" t="s">
        <v>6976</v>
      </c>
      <c r="C81" s="3096" t="s">
        <v>7042</v>
      </c>
      <c r="D81" s="3097"/>
      <c r="E81" s="3097"/>
      <c r="F81" s="3097"/>
      <c r="G81" s="3097"/>
      <c r="H81" s="3097"/>
      <c r="I81" s="3097"/>
      <c r="J81" s="3097"/>
      <c r="K81" s="3097"/>
      <c r="L81" s="3097"/>
      <c r="M81" s="3097"/>
      <c r="N81" s="3097"/>
      <c r="O81" s="3097"/>
      <c r="P81" s="3098"/>
      <c r="Q81" s="2"/>
      <c r="R81" s="74"/>
      <c r="S81" s="70"/>
      <c r="T81" s="71"/>
      <c r="U81" s="158">
        <v>1</v>
      </c>
      <c r="V81" s="70"/>
      <c r="W81" s="70"/>
      <c r="X81" s="70"/>
      <c r="Y81" s="70"/>
      <c r="Z81" s="70"/>
      <c r="AA81" s="70"/>
      <c r="AB81" s="71"/>
      <c r="AC81" s="72"/>
      <c r="AD81" s="71"/>
      <c r="AH81" s="71"/>
    </row>
    <row r="82" spans="1:52" s="483" customFormat="1" ht="13.5" hidden="1" customHeight="1">
      <c r="A82" s="1534"/>
      <c r="B82" s="159" t="s">
        <v>6979</v>
      </c>
      <c r="C82" s="3096" t="s">
        <v>7043</v>
      </c>
      <c r="D82" s="3097"/>
      <c r="E82" s="3097"/>
      <c r="F82" s="3097"/>
      <c r="G82" s="3097"/>
      <c r="H82" s="3097"/>
      <c r="I82" s="3097"/>
      <c r="J82" s="3097"/>
      <c r="K82" s="3097"/>
      <c r="L82" s="3097"/>
      <c r="M82" s="3097"/>
      <c r="N82" s="3097"/>
      <c r="O82" s="3097"/>
      <c r="P82" s="3098"/>
      <c r="Q82" s="2"/>
      <c r="R82" s="74"/>
      <c r="S82" s="70"/>
      <c r="T82" s="71"/>
      <c r="U82" s="158">
        <v>1</v>
      </c>
      <c r="V82" s="70"/>
      <c r="W82" s="70"/>
      <c r="X82" s="70"/>
      <c r="Y82" s="70"/>
      <c r="Z82" s="70"/>
      <c r="AA82" s="70"/>
      <c r="AB82" s="71"/>
      <c r="AC82" s="72"/>
      <c r="AD82" s="71"/>
      <c r="AH82" s="71"/>
    </row>
    <row r="83" spans="1:52" s="483" customFormat="1" ht="13.5" hidden="1" customHeight="1">
      <c r="A83" s="1534"/>
      <c r="B83" s="159" t="s">
        <v>6982</v>
      </c>
      <c r="C83" s="3096" t="s">
        <v>7044</v>
      </c>
      <c r="D83" s="3097"/>
      <c r="E83" s="3097"/>
      <c r="F83" s="3097"/>
      <c r="G83" s="3097"/>
      <c r="H83" s="3097"/>
      <c r="I83" s="3097"/>
      <c r="J83" s="3097"/>
      <c r="K83" s="3097"/>
      <c r="L83" s="3097"/>
      <c r="M83" s="3097"/>
      <c r="N83" s="3097"/>
      <c r="O83" s="3097"/>
      <c r="P83" s="3098"/>
      <c r="Q83" s="2"/>
      <c r="R83" s="74"/>
      <c r="S83" s="70"/>
      <c r="T83" s="71"/>
      <c r="U83" s="158">
        <v>1</v>
      </c>
      <c r="V83" s="70"/>
      <c r="W83" s="70"/>
      <c r="X83" s="70"/>
      <c r="Y83" s="70"/>
      <c r="Z83" s="70"/>
      <c r="AA83" s="70"/>
      <c r="AB83" s="71"/>
      <c r="AC83" s="72"/>
      <c r="AD83" s="71"/>
      <c r="AH83" s="71"/>
    </row>
    <row r="84" spans="1:52" ht="13.5" hidden="1" customHeight="1">
      <c r="A84" s="1534"/>
      <c r="B84" s="159" t="s">
        <v>6985</v>
      </c>
      <c r="C84" s="3096" t="s">
        <v>7045</v>
      </c>
      <c r="D84" s="3097"/>
      <c r="E84" s="3097"/>
      <c r="F84" s="3097"/>
      <c r="G84" s="3097"/>
      <c r="H84" s="3097"/>
      <c r="I84" s="3097"/>
      <c r="J84" s="3097"/>
      <c r="K84" s="3097"/>
      <c r="L84" s="3097"/>
      <c r="M84" s="3097"/>
      <c r="N84" s="3097"/>
      <c r="O84" s="3097"/>
      <c r="P84" s="3098"/>
      <c r="Q84" s="2"/>
      <c r="U84" s="158">
        <v>1</v>
      </c>
      <c r="AE84" s="483"/>
      <c r="AF84" s="483"/>
      <c r="AG84" s="483"/>
      <c r="AI84" s="483"/>
      <c r="AJ84" s="483"/>
      <c r="AK84" s="483"/>
      <c r="AL84" s="483"/>
      <c r="AM84" s="483"/>
      <c r="AN84" s="483"/>
      <c r="AO84" s="483"/>
      <c r="AP84" s="483"/>
      <c r="AQ84" s="483"/>
      <c r="AR84" s="483"/>
      <c r="AS84" s="483"/>
      <c r="AT84" s="483"/>
      <c r="AU84" s="483"/>
      <c r="AV84" s="483"/>
      <c r="AW84" s="483"/>
      <c r="AX84" s="483"/>
      <c r="AY84" s="483"/>
      <c r="AZ84" s="483"/>
    </row>
    <row r="85" spans="1:52" ht="13.5" hidden="1" customHeight="1">
      <c r="A85" s="1534"/>
      <c r="B85" s="159" t="s">
        <v>6995</v>
      </c>
      <c r="C85" s="3096" t="s">
        <v>7046</v>
      </c>
      <c r="D85" s="3097"/>
      <c r="E85" s="3097"/>
      <c r="F85" s="3097"/>
      <c r="G85" s="3097"/>
      <c r="H85" s="3097"/>
      <c r="I85" s="3097"/>
      <c r="J85" s="3097"/>
      <c r="K85" s="3097"/>
      <c r="L85" s="3097"/>
      <c r="M85" s="3097"/>
      <c r="N85" s="3097"/>
      <c r="O85" s="3097"/>
      <c r="P85" s="3098"/>
      <c r="Q85" s="2"/>
      <c r="U85" s="158">
        <v>1</v>
      </c>
      <c r="AE85" s="483"/>
      <c r="AF85" s="483"/>
      <c r="AG85" s="483"/>
      <c r="AI85" s="483"/>
      <c r="AJ85" s="483"/>
      <c r="AK85" s="483"/>
      <c r="AL85" s="483"/>
      <c r="AM85" s="483"/>
      <c r="AN85" s="483"/>
      <c r="AO85" s="483"/>
      <c r="AP85" s="483"/>
      <c r="AQ85" s="483"/>
      <c r="AR85" s="483"/>
      <c r="AS85" s="483"/>
      <c r="AT85" s="483"/>
      <c r="AU85" s="483"/>
      <c r="AV85" s="483"/>
      <c r="AW85" s="483"/>
      <c r="AX85" s="483"/>
      <c r="AY85" s="483"/>
      <c r="AZ85" s="483"/>
    </row>
    <row r="86" spans="1:52" s="483" customFormat="1" ht="13.5" hidden="1" customHeight="1">
      <c r="A86" s="1534"/>
      <c r="B86" s="784" t="s">
        <v>7003</v>
      </c>
      <c r="C86" s="3096" t="s">
        <v>7047</v>
      </c>
      <c r="D86" s="3097"/>
      <c r="E86" s="3097"/>
      <c r="F86" s="3097"/>
      <c r="G86" s="3097"/>
      <c r="H86" s="3097"/>
      <c r="I86" s="3097"/>
      <c r="J86" s="3097"/>
      <c r="K86" s="3097"/>
      <c r="L86" s="3097"/>
      <c r="M86" s="3097"/>
      <c r="N86" s="3097"/>
      <c r="O86" s="3097"/>
      <c r="P86" s="3098"/>
      <c r="Q86" s="2"/>
      <c r="R86" s="74"/>
      <c r="S86" s="70"/>
      <c r="T86" s="71"/>
      <c r="U86" s="158">
        <v>1</v>
      </c>
      <c r="V86" s="70"/>
      <c r="W86" s="70"/>
      <c r="X86" s="70"/>
      <c r="Y86" s="70"/>
      <c r="Z86" s="70"/>
      <c r="AA86" s="70"/>
      <c r="AB86" s="71"/>
      <c r="AC86" s="72"/>
      <c r="AD86" s="71"/>
      <c r="AH86" s="71"/>
    </row>
    <row r="87" spans="1:52" ht="35.25" hidden="1" customHeight="1" thickBot="1">
      <c r="A87" s="1534"/>
      <c r="B87" s="820" t="s">
        <v>7012</v>
      </c>
      <c r="C87" s="3102" t="s">
        <v>7048</v>
      </c>
      <c r="D87" s="3103"/>
      <c r="E87" s="3103"/>
      <c r="F87" s="3103"/>
      <c r="G87" s="3103"/>
      <c r="H87" s="3103"/>
      <c r="I87" s="3103"/>
      <c r="J87" s="3103"/>
      <c r="K87" s="3103"/>
      <c r="L87" s="3103"/>
      <c r="M87" s="3103"/>
      <c r="N87" s="3103"/>
      <c r="O87" s="3103"/>
      <c r="P87" s="3104"/>
      <c r="Q87" s="2"/>
      <c r="U87" s="161" t="s">
        <v>778</v>
      </c>
      <c r="AE87" s="483"/>
      <c r="AF87" s="483"/>
      <c r="AG87" s="483"/>
      <c r="AI87" s="483"/>
      <c r="AJ87" s="483"/>
      <c r="AK87" s="483"/>
      <c r="AL87" s="483"/>
      <c r="AM87" s="483"/>
      <c r="AN87" s="483"/>
      <c r="AO87" s="483"/>
      <c r="AP87" s="483"/>
      <c r="AQ87" s="483"/>
      <c r="AR87" s="483"/>
      <c r="AS87" s="483"/>
      <c r="AT87" s="483"/>
      <c r="AU87" s="483"/>
      <c r="AV87" s="483"/>
      <c r="AW87" s="483"/>
      <c r="AX87" s="483"/>
      <c r="AY87" s="483"/>
      <c r="AZ87" s="483"/>
    </row>
    <row r="88" spans="1:52" hidden="1">
      <c r="A88" s="1534"/>
      <c r="B88" s="483"/>
      <c r="C88" s="483"/>
      <c r="E88" s="483"/>
      <c r="F88" s="483"/>
      <c r="G88" s="483"/>
      <c r="H88" s="483"/>
      <c r="I88" s="483"/>
      <c r="J88" s="483"/>
      <c r="K88" s="483"/>
      <c r="L88" s="483"/>
      <c r="M88" s="483"/>
      <c r="N88" s="483"/>
      <c r="O88" s="483"/>
      <c r="P88" s="483"/>
      <c r="Q88" s="2"/>
      <c r="U88" s="161"/>
      <c r="AE88" s="483"/>
      <c r="AF88" s="483"/>
      <c r="AG88" s="483"/>
      <c r="AI88" s="483"/>
      <c r="AJ88" s="483"/>
      <c r="AK88" s="483"/>
      <c r="AL88" s="483"/>
      <c r="AM88" s="483"/>
      <c r="AN88" s="483"/>
      <c r="AO88" s="483"/>
      <c r="AP88" s="483"/>
      <c r="AQ88" s="483"/>
      <c r="AR88" s="483"/>
      <c r="AS88" s="483"/>
      <c r="AT88" s="483"/>
      <c r="AU88" s="483"/>
      <c r="AV88" s="483"/>
      <c r="AW88" s="483"/>
      <c r="AX88" s="483"/>
      <c r="AY88" s="483"/>
      <c r="AZ88" s="483"/>
    </row>
    <row r="89" spans="1:52" hidden="1">
      <c r="A89" s="483"/>
      <c r="B89" s="483"/>
      <c r="C89" s="483"/>
      <c r="E89" s="483"/>
      <c r="F89" s="483"/>
      <c r="G89" s="483"/>
      <c r="H89" s="483"/>
      <c r="I89" s="483"/>
      <c r="J89" s="483"/>
      <c r="K89" s="483"/>
      <c r="L89" s="483"/>
      <c r="M89" s="483"/>
      <c r="N89" s="483"/>
      <c r="O89" s="483"/>
      <c r="P89" s="483"/>
      <c r="AE89" s="483"/>
      <c r="AF89" s="483"/>
      <c r="AG89" s="483"/>
      <c r="AI89" s="483"/>
      <c r="AJ89" s="483"/>
      <c r="AK89" s="483"/>
      <c r="AL89" s="483"/>
      <c r="AM89" s="483"/>
      <c r="AN89" s="483"/>
      <c r="AO89" s="483"/>
      <c r="AP89" s="483"/>
      <c r="AQ89" s="483"/>
      <c r="AR89" s="483"/>
      <c r="AS89" s="483"/>
      <c r="AT89" s="483"/>
      <c r="AU89" s="483"/>
      <c r="AV89" s="483"/>
      <c r="AW89" s="483"/>
      <c r="AX89" s="483"/>
      <c r="AY89" s="483"/>
      <c r="AZ89" s="483"/>
    </row>
    <row r="90" spans="1:52" hidden="1">
      <c r="A90" s="483"/>
      <c r="B90" s="483"/>
      <c r="C90" s="483"/>
      <c r="E90" s="483"/>
      <c r="F90" s="483"/>
      <c r="G90" s="483"/>
      <c r="H90" s="483"/>
      <c r="I90" s="483"/>
      <c r="J90" s="483"/>
      <c r="K90" s="483"/>
      <c r="L90" s="483"/>
      <c r="M90" s="483"/>
      <c r="N90" s="483"/>
      <c r="O90" s="483"/>
      <c r="P90" s="483"/>
      <c r="AE90" s="483"/>
      <c r="AF90" s="483"/>
      <c r="AG90" s="483"/>
      <c r="AI90" s="483"/>
      <c r="AJ90" s="483"/>
      <c r="AK90" s="483"/>
      <c r="AL90" s="483"/>
      <c r="AM90" s="483"/>
      <c r="AN90" s="483"/>
      <c r="AO90" s="483"/>
      <c r="AP90" s="483"/>
      <c r="AQ90" s="483"/>
      <c r="AR90" s="483"/>
      <c r="AS90" s="483"/>
      <c r="AT90" s="483"/>
      <c r="AU90" s="483"/>
      <c r="AV90" s="483"/>
      <c r="AW90" s="483"/>
      <c r="AX90" s="483"/>
      <c r="AY90" s="483"/>
      <c r="AZ90" s="483"/>
    </row>
  </sheetData>
  <sheetProtection algorithmName="SHA-512" hashValue="FJryM2ux/49GcXZBDz9OolW4Yipj/ElHH9o+XVHPuopUBdGE/KwcFvSgPA3DPUobyTua6N4eIoBlid8COqZX9w==" saltValue="+ywv5wt8cQw++Gd9Q2UBQQ==" spinCount="100000" sheet="1" objects="1" scenarios="1"/>
  <mergeCells count="47">
    <mergeCell ref="C87:P87"/>
    <mergeCell ref="C77:P77"/>
    <mergeCell ref="C78:P78"/>
    <mergeCell ref="C79:P79"/>
    <mergeCell ref="C80:P80"/>
    <mergeCell ref="C84:P84"/>
    <mergeCell ref="C85:P85"/>
    <mergeCell ref="R3:R4"/>
    <mergeCell ref="B46:C46"/>
    <mergeCell ref="C76:P76"/>
    <mergeCell ref="C63:P63"/>
    <mergeCell ref="C65:P65"/>
    <mergeCell ref="C67:P67"/>
    <mergeCell ref="C68:P68"/>
    <mergeCell ref="C69:P69"/>
    <mergeCell ref="C70:P70"/>
    <mergeCell ref="C71:P71"/>
    <mergeCell ref="C72:P72"/>
    <mergeCell ref="C73:P73"/>
    <mergeCell ref="C74:P74"/>
    <mergeCell ref="C75:P75"/>
    <mergeCell ref="C61:P61"/>
    <mergeCell ref="B3:C4"/>
    <mergeCell ref="C62:P62"/>
    <mergeCell ref="C64:P64"/>
    <mergeCell ref="C66:P66"/>
    <mergeCell ref="C86:P86"/>
    <mergeCell ref="M3:M4"/>
    <mergeCell ref="N3:N4"/>
    <mergeCell ref="O3:P3"/>
    <mergeCell ref="E3:E4"/>
    <mergeCell ref="F3:F4"/>
    <mergeCell ref="G3:I3"/>
    <mergeCell ref="J3:K3"/>
    <mergeCell ref="L3:L4"/>
    <mergeCell ref="C81:P81"/>
    <mergeCell ref="C82:P82"/>
    <mergeCell ref="C83:P83"/>
    <mergeCell ref="BK3:BK4"/>
    <mergeCell ref="BL3:BL4"/>
    <mergeCell ref="BM3:BM4"/>
    <mergeCell ref="BN3:BO3"/>
    <mergeCell ref="BA3:BB4"/>
    <mergeCell ref="BD3:BD4"/>
    <mergeCell ref="BE3:BE4"/>
    <mergeCell ref="BF3:BH3"/>
    <mergeCell ref="BI3:BJ3"/>
  </mergeCells>
  <conditionalFormatting sqref="R8:R13">
    <cfRule type="cellIs" dxfId="228" priority="7" operator="equal">
      <formula>0</formula>
    </cfRule>
  </conditionalFormatting>
  <conditionalFormatting sqref="R10:R13">
    <cfRule type="cellIs" dxfId="227" priority="6" operator="equal">
      <formula>0</formula>
    </cfRule>
  </conditionalFormatting>
  <conditionalFormatting sqref="R17:R20">
    <cfRule type="cellIs" dxfId="226" priority="5" operator="equal">
      <formula>0</formula>
    </cfRule>
  </conditionalFormatting>
  <conditionalFormatting sqref="R24:R27">
    <cfRule type="cellIs" dxfId="225" priority="4" operator="equal">
      <formula>0</formula>
    </cfRule>
  </conditionalFormatting>
  <conditionalFormatting sqref="R44">
    <cfRule type="cellIs" dxfId="224" priority="2" operator="equal">
      <formula>0</formula>
    </cfRule>
  </conditionalFormatting>
  <conditionalFormatting sqref="R31:R37">
    <cfRule type="cellIs" dxfId="223" priority="3" operator="equal">
      <formula>0</formula>
    </cfRule>
  </conditionalFormatting>
  <conditionalFormatting sqref="R41">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&amp;K8573622019-20 annual performance report tables&amp;R&amp;G</oddHeader>
    <oddFooter>&amp;L&amp;9&amp;K857362&amp;A&amp;R&amp;9&amp;K857362Printed: &amp;D &amp;T</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92D050"/>
    <pageSetUpPr fitToPage="1"/>
  </sheetPr>
  <dimension ref="A1:AX96"/>
  <sheetViews>
    <sheetView workbookViewId="0">
      <selection activeCell="B52" sqref="B1:M52"/>
    </sheetView>
  </sheetViews>
  <sheetFormatPr defaultColWidth="0" defaultRowHeight="14" zeroHeight="1"/>
  <cols>
    <col min="1" max="1" width="0.58203125" style="483" customWidth="1"/>
    <col min="2" max="2" width="5.58203125" style="483" customWidth="1"/>
    <col min="3" max="3" width="45.08203125" style="483" customWidth="1"/>
    <col min="4" max="4" width="8.203125E-2" style="483" hidden="1" customWidth="1"/>
    <col min="5" max="6" width="5.08203125" style="483" customWidth="1"/>
    <col min="7" max="13" width="11.08203125" style="483" customWidth="1"/>
    <col min="14" max="14" width="31.5" style="483" customWidth="1"/>
    <col min="15" max="15" width="2.5" style="483" customWidth="1"/>
    <col min="16" max="16" width="33.5" style="483" customWidth="1"/>
    <col min="17" max="17" width="1" style="82" customWidth="1"/>
    <col min="18" max="18" width="1.58203125" style="71" hidden="1" customWidth="1"/>
    <col min="19" max="25" width="3.5" style="82" hidden="1" customWidth="1"/>
    <col min="26" max="26" width="1.58203125" style="71" hidden="1" customWidth="1"/>
    <col min="27" max="27" width="9.58203125" style="72" hidden="1" customWidth="1"/>
    <col min="28" max="28" width="1.58203125" style="71" hidden="1" customWidth="1"/>
    <col min="29" max="29" width="8.58203125" style="483" hidden="1" customWidth="1"/>
    <col min="30" max="30" width="10.08203125" style="483" hidden="1" customWidth="1"/>
    <col min="31" max="31" width="77" style="483" hidden="1" customWidth="1"/>
    <col min="32" max="32" width="1.58203125" style="71" hidden="1" customWidth="1"/>
    <col min="33" max="36" width="5.58203125" style="82" hidden="1" customWidth="1"/>
    <col min="37" max="37" width="5.58203125" style="82" customWidth="1"/>
    <col min="38" max="38" width="10" style="82" customWidth="1"/>
    <col min="39" max="39" width="51.5" style="82" bestFit="1" customWidth="1"/>
    <col min="40" max="40" width="0.83203125" style="82" customWidth="1"/>
    <col min="41" max="41" width="12.58203125" style="82" customWidth="1"/>
    <col min="42" max="42" width="12.5" style="82" customWidth="1"/>
    <col min="43" max="43" width="13.08203125" style="82" customWidth="1"/>
    <col min="44" max="44" width="14.08203125" style="82" customWidth="1"/>
    <col min="45" max="45" width="16.58203125" style="82" bestFit="1" customWidth="1"/>
    <col min="46" max="46" width="15.5" style="82" bestFit="1" customWidth="1"/>
    <col min="47" max="47" width="13.58203125" style="82" bestFit="1" customWidth="1"/>
    <col min="48" max="49" width="13.08203125" style="82" bestFit="1" customWidth="1"/>
    <col min="50" max="50" width="12.5" style="82" customWidth="1"/>
    <col min="51" max="16384" width="8.58203125" style="82" hidden="1"/>
  </cols>
  <sheetData>
    <row r="1" spans="1:49" s="192" customFormat="1" ht="20">
      <c r="A1" s="483"/>
      <c r="B1" s="66" t="s">
        <v>3637</v>
      </c>
      <c r="C1" s="66"/>
      <c r="D1" s="66"/>
      <c r="E1" s="66"/>
      <c r="F1" s="66"/>
      <c r="G1" s="66"/>
      <c r="H1" s="66"/>
      <c r="I1" s="66"/>
      <c r="J1" s="66"/>
      <c r="K1" s="66"/>
      <c r="L1" s="66"/>
      <c r="M1" s="66"/>
      <c r="N1" s="68" t="str">
        <f>Validation!B3</f>
        <v>Bristol Water</v>
      </c>
      <c r="O1" s="68"/>
      <c r="P1" s="69" t="s">
        <v>32</v>
      </c>
      <c r="Q1" s="70"/>
      <c r="R1" s="71"/>
      <c r="S1" s="70"/>
      <c r="T1" s="70"/>
      <c r="U1" s="70"/>
      <c r="V1" s="70"/>
      <c r="W1" s="70"/>
      <c r="X1" s="70"/>
      <c r="Y1" s="70"/>
      <c r="Z1" s="71"/>
      <c r="AA1" s="72"/>
      <c r="AB1" s="71"/>
      <c r="AC1" s="483"/>
      <c r="AD1" s="483"/>
      <c r="AE1" s="483"/>
      <c r="AF1" s="71"/>
      <c r="AL1" s="66" t="s">
        <v>3637</v>
      </c>
      <c r="AM1" s="66"/>
      <c r="AN1" s="66"/>
      <c r="AO1" s="66"/>
      <c r="AP1" s="66"/>
      <c r="AQ1" s="66"/>
      <c r="AR1" s="66"/>
      <c r="AS1" s="66"/>
      <c r="AT1" s="66"/>
      <c r="AU1" s="66"/>
      <c r="AV1" s="66"/>
      <c r="AW1" s="66"/>
    </row>
    <row r="2" spans="1:49" s="1397" customFormat="1" ht="15.5" thickBot="1">
      <c r="A2" s="1393"/>
      <c r="B2" s="73" t="str">
        <f>'4I'!B2</f>
        <v>For the 12 months ended 31 March 2020</v>
      </c>
      <c r="C2" s="1394"/>
      <c r="D2" s="1394"/>
      <c r="E2" s="1394"/>
      <c r="F2" s="1394"/>
      <c r="G2" s="1394"/>
      <c r="H2" s="1394"/>
      <c r="I2" s="1394"/>
      <c r="J2" s="1394"/>
      <c r="K2" s="1394"/>
      <c r="L2" s="1394"/>
      <c r="M2" s="1394"/>
      <c r="N2" s="1394"/>
      <c r="O2" s="1395"/>
      <c r="P2" s="169"/>
      <c r="Q2" s="169"/>
      <c r="R2" s="71"/>
      <c r="S2" s="169"/>
      <c r="T2" s="169"/>
      <c r="U2" s="169"/>
      <c r="V2" s="169"/>
      <c r="W2" s="169"/>
      <c r="X2" s="169"/>
      <c r="Y2" s="169"/>
      <c r="Z2" s="71"/>
      <c r="AA2" s="72"/>
      <c r="AB2" s="71"/>
      <c r="AC2" s="483"/>
      <c r="AD2" s="483"/>
      <c r="AE2" s="483"/>
      <c r="AF2" s="71"/>
      <c r="AL2" s="73" t="str">
        <f>+B2</f>
        <v>For the 12 months ended 31 March 2020</v>
      </c>
      <c r="AM2" s="1394"/>
      <c r="AN2" s="1394"/>
      <c r="AO2" s="1394"/>
      <c r="AP2" s="1394"/>
      <c r="AQ2" s="1394"/>
      <c r="AR2" s="1394"/>
      <c r="AS2" s="1394"/>
      <c r="AT2" s="1394"/>
      <c r="AU2" s="1394"/>
      <c r="AV2" s="1394"/>
      <c r="AW2" s="1394"/>
    </row>
    <row r="3" spans="1:49" s="192" customFormat="1" ht="24" customHeight="1" thickBot="1">
      <c r="A3" s="483"/>
      <c r="B3" s="3124" t="s">
        <v>34</v>
      </c>
      <c r="C3" s="3125"/>
      <c r="D3" s="2846" t="s">
        <v>2462</v>
      </c>
      <c r="E3" s="2898" t="s">
        <v>36</v>
      </c>
      <c r="F3" s="2900" t="s">
        <v>37</v>
      </c>
      <c r="G3" s="2925" t="s">
        <v>905</v>
      </c>
      <c r="H3" s="2927"/>
      <c r="I3" s="2925" t="s">
        <v>2614</v>
      </c>
      <c r="J3" s="2926"/>
      <c r="K3" s="2926"/>
      <c r="L3" s="2927"/>
      <c r="M3" s="2907" t="s">
        <v>708</v>
      </c>
      <c r="N3" s="2907" t="s">
        <v>3638</v>
      </c>
      <c r="O3" s="70"/>
      <c r="P3" s="2907" t="s">
        <v>41</v>
      </c>
      <c r="Q3" s="70"/>
      <c r="R3" s="71"/>
      <c r="S3" s="76" t="s">
        <v>45</v>
      </c>
      <c r="T3" s="77"/>
      <c r="U3" s="76"/>
      <c r="V3" s="76"/>
      <c r="W3" s="1574"/>
      <c r="X3" s="1574"/>
      <c r="Y3" s="1574"/>
      <c r="Z3" s="71"/>
      <c r="AA3" s="2822" t="s">
        <v>24</v>
      </c>
      <c r="AB3" s="71"/>
      <c r="AC3" s="76" t="s">
        <v>902</v>
      </c>
      <c r="AD3" s="2822"/>
      <c r="AE3" s="2822"/>
      <c r="AF3" s="71"/>
      <c r="AL3" s="3006" t="s">
        <v>34</v>
      </c>
      <c r="AM3" s="3007"/>
      <c r="AN3" s="2846" t="s">
        <v>2462</v>
      </c>
      <c r="AO3" s="184" t="s">
        <v>36</v>
      </c>
      <c r="AP3" s="185" t="s">
        <v>37</v>
      </c>
      <c r="AQ3" s="2938" t="s">
        <v>905</v>
      </c>
      <c r="AR3" s="2940"/>
      <c r="AS3" s="2938" t="s">
        <v>2614</v>
      </c>
      <c r="AT3" s="2939"/>
      <c r="AU3" s="2939"/>
      <c r="AV3" s="2939"/>
      <c r="AW3" s="2907" t="s">
        <v>708</v>
      </c>
    </row>
    <row r="4" spans="1:49" s="192" customFormat="1" ht="27.5" thickBot="1">
      <c r="A4" s="483"/>
      <c r="B4" s="3126"/>
      <c r="C4" s="3127"/>
      <c r="D4" s="1667"/>
      <c r="E4" s="2899"/>
      <c r="F4" s="2901"/>
      <c r="G4" s="2832" t="s">
        <v>2615</v>
      </c>
      <c r="H4" s="1668" t="s">
        <v>2616</v>
      </c>
      <c r="I4" s="373" t="s">
        <v>2617</v>
      </c>
      <c r="J4" s="78" t="s">
        <v>2618</v>
      </c>
      <c r="K4" s="78" t="s">
        <v>2619</v>
      </c>
      <c r="L4" s="2833" t="s">
        <v>2620</v>
      </c>
      <c r="M4" s="2908"/>
      <c r="N4" s="2908"/>
      <c r="O4" s="70"/>
      <c r="P4" s="2908"/>
      <c r="Q4" s="70"/>
      <c r="R4" s="71"/>
      <c r="S4" s="70"/>
      <c r="W4" s="637"/>
      <c r="X4" s="637"/>
      <c r="Y4" s="637"/>
      <c r="Z4" s="71"/>
      <c r="AA4" s="70"/>
      <c r="AB4" s="71"/>
      <c r="AC4" s="70"/>
      <c r="AD4" s="70"/>
      <c r="AE4" s="70"/>
      <c r="AF4" s="71"/>
      <c r="AL4" s="852"/>
      <c r="AM4" s="852"/>
      <c r="AN4" s="852"/>
      <c r="AO4" s="852"/>
      <c r="AP4" s="852"/>
      <c r="AQ4" s="1354" t="s">
        <v>2615</v>
      </c>
      <c r="AR4" s="2826" t="s">
        <v>2616</v>
      </c>
      <c r="AS4" s="1575" t="s">
        <v>2617</v>
      </c>
      <c r="AT4" s="2854" t="s">
        <v>2618</v>
      </c>
      <c r="AU4" s="2854" t="s">
        <v>2619</v>
      </c>
      <c r="AV4" s="853" t="s">
        <v>2620</v>
      </c>
      <c r="AW4" s="2908"/>
    </row>
    <row r="5" spans="1:49" s="192" customFormat="1" ht="15" customHeight="1" thickBot="1">
      <c r="A5" s="82"/>
      <c r="B5" s="854"/>
      <c r="C5" s="854"/>
      <c r="D5" s="854"/>
      <c r="E5" s="852"/>
      <c r="F5" s="852"/>
      <c r="G5" s="855"/>
      <c r="H5" s="855"/>
      <c r="I5" s="855"/>
      <c r="J5" s="855"/>
      <c r="K5" s="855"/>
      <c r="L5" s="855"/>
      <c r="M5" s="855"/>
      <c r="N5" s="855"/>
      <c r="O5" s="855"/>
      <c r="P5" s="1882"/>
      <c r="Q5" s="70"/>
      <c r="R5" s="71"/>
      <c r="S5" s="70"/>
      <c r="T5" s="85" t="s">
        <v>46</v>
      </c>
      <c r="U5" s="85"/>
      <c r="V5" s="85"/>
      <c r="W5" s="85"/>
      <c r="X5" s="85"/>
      <c r="Y5" s="85"/>
      <c r="Z5" s="71"/>
      <c r="AA5" s="72"/>
      <c r="AB5" s="71"/>
      <c r="AC5" s="483"/>
      <c r="AD5" s="483"/>
      <c r="AE5" s="483"/>
      <c r="AF5" s="71"/>
      <c r="AL5" s="854"/>
      <c r="AM5" s="854"/>
      <c r="AN5" s="854"/>
      <c r="AO5" s="852"/>
      <c r="AP5" s="852"/>
      <c r="AQ5" s="855"/>
      <c r="AR5" s="855"/>
      <c r="AS5" s="855"/>
      <c r="AT5" s="855"/>
      <c r="AU5" s="855"/>
      <c r="AV5" s="855"/>
      <c r="AW5" s="855"/>
    </row>
    <row r="6" spans="1:49" customFormat="1" ht="16.5" thickBot="1">
      <c r="A6" s="856"/>
      <c r="B6" s="857" t="s">
        <v>153</v>
      </c>
      <c r="C6" s="858" t="s">
        <v>3639</v>
      </c>
      <c r="D6" s="859"/>
      <c r="E6" s="859"/>
      <c r="F6" s="859"/>
      <c r="G6" s="859"/>
      <c r="H6" s="859"/>
      <c r="I6" s="856"/>
      <c r="J6" s="856"/>
      <c r="K6" s="856"/>
      <c r="L6" s="856"/>
      <c r="M6" s="856"/>
      <c r="N6" s="856"/>
      <c r="O6" s="1882"/>
      <c r="P6" s="1882"/>
      <c r="Q6" s="70"/>
      <c r="R6" s="71"/>
      <c r="S6" s="70"/>
      <c r="T6" s="85"/>
      <c r="U6" s="85"/>
      <c r="V6" s="85"/>
      <c r="W6" s="85"/>
      <c r="X6" s="85"/>
      <c r="Y6" s="85"/>
      <c r="Z6" s="71"/>
      <c r="AA6" s="72"/>
      <c r="AB6" s="71"/>
      <c r="AC6" s="483"/>
      <c r="AD6" s="483"/>
      <c r="AE6" s="483"/>
      <c r="AF6" s="71"/>
      <c r="AG6" s="1882"/>
      <c r="AH6" s="1882"/>
      <c r="AI6" s="1882"/>
      <c r="AJ6" s="1882"/>
      <c r="AK6" s="1882"/>
      <c r="AL6" s="857" t="s">
        <v>153</v>
      </c>
      <c r="AM6" s="858" t="s">
        <v>3639</v>
      </c>
      <c r="AN6" s="859"/>
      <c r="AO6" s="859"/>
      <c r="AP6" s="859"/>
      <c r="AQ6" s="859"/>
      <c r="AR6" s="859"/>
      <c r="AS6" s="894"/>
      <c r="AT6" s="894"/>
      <c r="AU6" s="894"/>
      <c r="AV6" s="894"/>
      <c r="AW6" s="894"/>
    </row>
    <row r="7" spans="1:49" customFormat="1" ht="16">
      <c r="A7" s="856"/>
      <c r="B7" s="860" t="s">
        <v>3640</v>
      </c>
      <c r="C7" s="861" t="s">
        <v>1040</v>
      </c>
      <c r="D7" s="861"/>
      <c r="E7" s="862" t="s">
        <v>49</v>
      </c>
      <c r="F7" s="863">
        <v>3</v>
      </c>
      <c r="G7" s="864">
        <v>0</v>
      </c>
      <c r="H7" s="1385">
        <v>1.6850000000000001</v>
      </c>
      <c r="I7" s="1377">
        <v>3.1E-2</v>
      </c>
      <c r="J7" s="865">
        <v>0</v>
      </c>
      <c r="K7" s="865">
        <v>2.6970000000000001</v>
      </c>
      <c r="L7" s="904">
        <v>4.0510000000000002</v>
      </c>
      <c r="M7" s="866">
        <f>+SUM(G7:L7)</f>
        <v>8.4640000000000004</v>
      </c>
      <c r="N7" s="867"/>
      <c r="O7" s="1882"/>
      <c r="P7" s="868">
        <f t="shared" ref="P7:P10" si="0" xml:space="preserve"> IF( SUM( R7:Z7 ) = 0, 0, $T$5 )</f>
        <v>0</v>
      </c>
      <c r="Q7" s="869"/>
      <c r="R7" s="71"/>
      <c r="S7" s="70"/>
      <c r="T7" s="93">
        <f t="shared" ref="T7:Y7" si="1" xml:space="preserve"> IF( ISNUMBER( G7 ), 0, 1 )</f>
        <v>0</v>
      </c>
      <c r="U7" s="93">
        <f t="shared" si="1"/>
        <v>0</v>
      </c>
      <c r="V7" s="93">
        <f t="shared" si="1"/>
        <v>0</v>
      </c>
      <c r="W7" s="93">
        <f t="shared" si="1"/>
        <v>0</v>
      </c>
      <c r="X7" s="93">
        <f t="shared" si="1"/>
        <v>0</v>
      </c>
      <c r="Y7" s="93">
        <f t="shared" si="1"/>
        <v>0</v>
      </c>
      <c r="Z7" s="71"/>
      <c r="AA7" s="72"/>
      <c r="AB7" s="71"/>
      <c r="AC7" s="483"/>
      <c r="AD7" s="483"/>
      <c r="AE7" s="483"/>
      <c r="AF7" s="71"/>
      <c r="AG7" s="1882"/>
      <c r="AH7" s="1882"/>
      <c r="AI7" s="1882"/>
      <c r="AJ7" s="1882"/>
      <c r="AK7" s="1882"/>
      <c r="AL7" s="860" t="s">
        <v>3640</v>
      </c>
      <c r="AM7" s="861" t="s">
        <v>1040</v>
      </c>
      <c r="AN7" s="861"/>
      <c r="AO7" s="862" t="s">
        <v>49</v>
      </c>
      <c r="AP7" s="863">
        <v>3</v>
      </c>
      <c r="AQ7" s="2615" t="s">
        <v>3641</v>
      </c>
      <c r="AR7" s="2616" t="s">
        <v>3642</v>
      </c>
      <c r="AS7" s="2617" t="s">
        <v>3643</v>
      </c>
      <c r="AT7" s="2618" t="s">
        <v>3644</v>
      </c>
      <c r="AU7" s="2618" t="s">
        <v>3645</v>
      </c>
      <c r="AV7" s="2619" t="s">
        <v>3646</v>
      </c>
      <c r="AW7" s="1992" t="s">
        <v>3647</v>
      </c>
    </row>
    <row r="8" spans="1:49" customFormat="1" ht="16">
      <c r="A8" s="856"/>
      <c r="B8" s="870" t="s">
        <v>3648</v>
      </c>
      <c r="C8" s="871" t="s">
        <v>1048</v>
      </c>
      <c r="D8" s="871"/>
      <c r="E8" s="872" t="s">
        <v>49</v>
      </c>
      <c r="F8" s="873">
        <v>3</v>
      </c>
      <c r="G8" s="874">
        <v>0</v>
      </c>
      <c r="H8" s="1386">
        <v>0</v>
      </c>
      <c r="I8" s="1378">
        <v>0</v>
      </c>
      <c r="J8" s="875">
        <v>0</v>
      </c>
      <c r="K8" s="875">
        <v>0</v>
      </c>
      <c r="L8" s="906">
        <v>0</v>
      </c>
      <c r="M8" s="876">
        <f>+SUM(G8:L8)</f>
        <v>0</v>
      </c>
      <c r="N8" s="877"/>
      <c r="O8" s="1882"/>
      <c r="P8" s="868">
        <f t="shared" si="0"/>
        <v>0</v>
      </c>
      <c r="Q8" s="869"/>
      <c r="R8" s="71"/>
      <c r="S8" s="70"/>
      <c r="T8" s="93">
        <f t="shared" ref="T8:T10" si="2" xml:space="preserve"> IF( ISNUMBER( G8 ), 0, 1 )</f>
        <v>0</v>
      </c>
      <c r="U8" s="93">
        <f t="shared" ref="U8:Y10" si="3" xml:space="preserve"> IF( ISNUMBER( H8 ), 0, 1 )</f>
        <v>0</v>
      </c>
      <c r="V8" s="93">
        <f t="shared" si="3"/>
        <v>0</v>
      </c>
      <c r="W8" s="93">
        <f t="shared" si="3"/>
        <v>0</v>
      </c>
      <c r="X8" s="93">
        <f t="shared" si="3"/>
        <v>0</v>
      </c>
      <c r="Y8" s="93">
        <f t="shared" si="3"/>
        <v>0</v>
      </c>
      <c r="Z8" s="71"/>
      <c r="AA8" s="72"/>
      <c r="AB8" s="71"/>
      <c r="AC8" s="23"/>
      <c r="AD8" s="23"/>
      <c r="AE8" s="23"/>
      <c r="AF8" s="71"/>
      <c r="AG8" s="1882"/>
      <c r="AH8" s="1882"/>
      <c r="AI8" s="1882"/>
      <c r="AJ8" s="1882"/>
      <c r="AK8" s="1882"/>
      <c r="AL8" s="870" t="s">
        <v>3648</v>
      </c>
      <c r="AM8" s="871" t="s">
        <v>1048</v>
      </c>
      <c r="AN8" s="871"/>
      <c r="AO8" s="872" t="s">
        <v>49</v>
      </c>
      <c r="AP8" s="873">
        <v>3</v>
      </c>
      <c r="AQ8" s="2620" t="s">
        <v>3649</v>
      </c>
      <c r="AR8" s="2621" t="s">
        <v>3650</v>
      </c>
      <c r="AS8" s="2622" t="s">
        <v>3651</v>
      </c>
      <c r="AT8" s="2623" t="s">
        <v>3652</v>
      </c>
      <c r="AU8" s="2623" t="s">
        <v>3653</v>
      </c>
      <c r="AV8" s="2624" t="s">
        <v>3654</v>
      </c>
      <c r="AW8" s="1993" t="s">
        <v>3655</v>
      </c>
    </row>
    <row r="9" spans="1:49" customFormat="1" ht="16">
      <c r="A9" s="856"/>
      <c r="B9" s="870" t="s">
        <v>3656</v>
      </c>
      <c r="C9" s="871" t="s">
        <v>1056</v>
      </c>
      <c r="D9" s="871"/>
      <c r="E9" s="872" t="s">
        <v>49</v>
      </c>
      <c r="F9" s="873">
        <v>3</v>
      </c>
      <c r="G9" s="874">
        <v>2.72</v>
      </c>
      <c r="H9" s="1386">
        <v>0</v>
      </c>
      <c r="I9" s="1378">
        <v>6.0000000000000001E-3</v>
      </c>
      <c r="J9" s="875">
        <v>0</v>
      </c>
      <c r="K9" s="875">
        <v>9.4E-2</v>
      </c>
      <c r="L9" s="906">
        <v>1E-3</v>
      </c>
      <c r="M9" s="876">
        <f>+SUM(G9:L9)</f>
        <v>2.8209999999999997</v>
      </c>
      <c r="N9" s="877"/>
      <c r="O9" s="1882"/>
      <c r="P9" s="868">
        <f t="shared" si="0"/>
        <v>0</v>
      </c>
      <c r="Q9" s="869"/>
      <c r="R9" s="71"/>
      <c r="S9" s="70"/>
      <c r="T9" s="93">
        <f t="shared" si="2"/>
        <v>0</v>
      </c>
      <c r="U9" s="93">
        <f t="shared" si="3"/>
        <v>0</v>
      </c>
      <c r="V9" s="93">
        <f t="shared" si="3"/>
        <v>0</v>
      </c>
      <c r="W9" s="93">
        <f t="shared" si="3"/>
        <v>0</v>
      </c>
      <c r="X9" s="93">
        <f t="shared" si="3"/>
        <v>0</v>
      </c>
      <c r="Y9" s="93">
        <f t="shared" si="3"/>
        <v>0</v>
      </c>
      <c r="Z9" s="71"/>
      <c r="AA9" s="72"/>
      <c r="AB9" s="71"/>
      <c r="AC9" s="23"/>
      <c r="AD9" s="23"/>
      <c r="AE9" s="23"/>
      <c r="AF9" s="71"/>
      <c r="AG9" s="1882"/>
      <c r="AH9" s="1882"/>
      <c r="AI9" s="1882"/>
      <c r="AJ9" s="1882"/>
      <c r="AK9" s="1882"/>
      <c r="AL9" s="870" t="s">
        <v>3656</v>
      </c>
      <c r="AM9" s="871" t="s">
        <v>1056</v>
      </c>
      <c r="AN9" s="871"/>
      <c r="AO9" s="872" t="s">
        <v>49</v>
      </c>
      <c r="AP9" s="873">
        <v>3</v>
      </c>
      <c r="AQ9" s="2620" t="s">
        <v>3657</v>
      </c>
      <c r="AR9" s="2621" t="s">
        <v>3658</v>
      </c>
      <c r="AS9" s="2622" t="s">
        <v>3659</v>
      </c>
      <c r="AT9" s="2623" t="s">
        <v>3660</v>
      </c>
      <c r="AU9" s="2623" t="s">
        <v>3661</v>
      </c>
      <c r="AV9" s="2624" t="s">
        <v>3662</v>
      </c>
      <c r="AW9" s="1993" t="s">
        <v>3663</v>
      </c>
    </row>
    <row r="10" spans="1:49" customFormat="1" ht="16">
      <c r="A10" s="856"/>
      <c r="B10" s="870" t="s">
        <v>3664</v>
      </c>
      <c r="C10" s="871" t="s">
        <v>2646</v>
      </c>
      <c r="D10" s="871"/>
      <c r="E10" s="872" t="s">
        <v>49</v>
      </c>
      <c r="F10" s="873">
        <v>3</v>
      </c>
      <c r="G10" s="874">
        <v>4.0000000000000001E-3</v>
      </c>
      <c r="H10" s="1386">
        <v>1.2E-2</v>
      </c>
      <c r="I10" s="1378">
        <v>0</v>
      </c>
      <c r="J10" s="875">
        <v>0</v>
      </c>
      <c r="K10" s="875">
        <v>3.4000000000000002E-2</v>
      </c>
      <c r="L10" s="906">
        <v>0.08</v>
      </c>
      <c r="M10" s="876">
        <f>+SUM(G10:L10)</f>
        <v>0.13</v>
      </c>
      <c r="N10" s="877"/>
      <c r="O10" s="1882"/>
      <c r="P10" s="868">
        <f t="shared" si="0"/>
        <v>0</v>
      </c>
      <c r="Q10" s="869"/>
      <c r="R10" s="71"/>
      <c r="S10" s="70"/>
      <c r="T10" s="93">
        <f t="shared" si="2"/>
        <v>0</v>
      </c>
      <c r="U10" s="93">
        <f t="shared" si="3"/>
        <v>0</v>
      </c>
      <c r="V10" s="93">
        <f t="shared" si="3"/>
        <v>0</v>
      </c>
      <c r="W10" s="93">
        <f t="shared" si="3"/>
        <v>0</v>
      </c>
      <c r="X10" s="93">
        <f t="shared" si="3"/>
        <v>0</v>
      </c>
      <c r="Y10" s="93">
        <f t="shared" si="3"/>
        <v>0</v>
      </c>
      <c r="Z10" s="71"/>
      <c r="AA10" s="72"/>
      <c r="AB10" s="71"/>
      <c r="AC10" s="23"/>
      <c r="AD10" s="23"/>
      <c r="AE10" s="23"/>
      <c r="AF10" s="71"/>
      <c r="AG10" s="1882"/>
      <c r="AH10" s="1882"/>
      <c r="AI10" s="1882"/>
      <c r="AJ10" s="1882"/>
      <c r="AK10" s="1882"/>
      <c r="AL10" s="870" t="s">
        <v>3664</v>
      </c>
      <c r="AM10" s="871" t="s">
        <v>2646</v>
      </c>
      <c r="AN10" s="871"/>
      <c r="AO10" s="872" t="s">
        <v>49</v>
      </c>
      <c r="AP10" s="873">
        <v>3</v>
      </c>
      <c r="AQ10" s="2620" t="s">
        <v>3665</v>
      </c>
      <c r="AR10" s="2621" t="s">
        <v>3666</v>
      </c>
      <c r="AS10" s="2622" t="s">
        <v>3667</v>
      </c>
      <c r="AT10" s="2623" t="s">
        <v>3668</v>
      </c>
      <c r="AU10" s="2623" t="s">
        <v>3669</v>
      </c>
      <c r="AV10" s="2624" t="s">
        <v>3670</v>
      </c>
      <c r="AW10" s="1993" t="s">
        <v>3671</v>
      </c>
    </row>
    <row r="11" spans="1:49" customFormat="1" ht="16">
      <c r="A11" s="894"/>
      <c r="B11" s="870"/>
      <c r="C11" s="878" t="s">
        <v>1280</v>
      </c>
      <c r="D11" s="879"/>
      <c r="E11" s="880"/>
      <c r="F11" s="881"/>
      <c r="G11" s="882"/>
      <c r="H11" s="882"/>
      <c r="I11" s="882"/>
      <c r="J11" s="882"/>
      <c r="K11" s="882"/>
      <c r="L11" s="882"/>
      <c r="M11" s="882"/>
      <c r="N11" s="1798"/>
      <c r="O11" s="483"/>
      <c r="P11" s="1799"/>
      <c r="Q11" s="1882"/>
      <c r="R11" s="71"/>
      <c r="S11" s="70"/>
      <c r="T11" s="1882"/>
      <c r="U11" s="1882"/>
      <c r="V11" s="1882"/>
      <c r="W11" s="1882"/>
      <c r="X11" s="1882"/>
      <c r="Y11" s="1882"/>
      <c r="Z11" s="71"/>
      <c r="AA11" s="72"/>
      <c r="AB11" s="71"/>
      <c r="AC11" s="23"/>
      <c r="AD11" s="23"/>
      <c r="AE11" s="23"/>
      <c r="AF11" s="71"/>
      <c r="AG11" s="1882"/>
      <c r="AH11" s="1882"/>
      <c r="AI11" s="1882"/>
      <c r="AJ11" s="1882"/>
      <c r="AK11" s="1882"/>
      <c r="AL11" s="870"/>
      <c r="AM11" s="878" t="s">
        <v>1280</v>
      </c>
      <c r="AN11" s="879"/>
      <c r="AO11" s="880"/>
      <c r="AP11" s="881"/>
      <c r="AQ11" s="1994"/>
      <c r="AR11" s="2625"/>
      <c r="AS11" s="1994"/>
      <c r="AT11" s="1994"/>
      <c r="AU11" s="1994"/>
      <c r="AV11" s="1994"/>
      <c r="AW11" s="1994"/>
    </row>
    <row r="12" spans="1:49" customFormat="1" ht="16">
      <c r="A12" s="856"/>
      <c r="B12" s="883" t="s">
        <v>3672</v>
      </c>
      <c r="C12" s="884" t="s">
        <v>3673</v>
      </c>
      <c r="D12" s="884"/>
      <c r="E12" s="872" t="s">
        <v>49</v>
      </c>
      <c r="F12" s="885">
        <v>3</v>
      </c>
      <c r="G12" s="874">
        <v>0</v>
      </c>
      <c r="H12" s="1386">
        <v>0.11799999999999999</v>
      </c>
      <c r="I12" s="1378">
        <v>2.8000000000000001E-2</v>
      </c>
      <c r="J12" s="875">
        <v>0</v>
      </c>
      <c r="K12" s="875">
        <v>3.0000000000000001E-3</v>
      </c>
      <c r="L12" s="906">
        <v>1.7350000000000001</v>
      </c>
      <c r="M12" s="876">
        <f>+SUM(G12:L12)</f>
        <v>1.8840000000000001</v>
      </c>
      <c r="N12" s="877"/>
      <c r="O12" s="1882"/>
      <c r="P12" s="868">
        <f t="shared" ref="P12:P15" si="4" xml:space="preserve"> IF( SUM( R12:Z12 ) = 0, 0, $T$5 )</f>
        <v>0</v>
      </c>
      <c r="Q12" s="869"/>
      <c r="R12" s="71"/>
      <c r="S12" s="70"/>
      <c r="T12" s="93">
        <f t="shared" ref="T12:Y15" si="5" xml:space="preserve"> IF( ISNUMBER( G12 ), 0, 1 )</f>
        <v>0</v>
      </c>
      <c r="U12" s="93">
        <f t="shared" si="5"/>
        <v>0</v>
      </c>
      <c r="V12" s="93">
        <f t="shared" si="5"/>
        <v>0</v>
      </c>
      <c r="W12" s="93">
        <f t="shared" si="5"/>
        <v>0</v>
      </c>
      <c r="X12" s="93">
        <f t="shared" si="5"/>
        <v>0</v>
      </c>
      <c r="Y12" s="93">
        <f t="shared" si="5"/>
        <v>0</v>
      </c>
      <c r="Z12" s="71"/>
      <c r="AA12" s="72"/>
      <c r="AB12" s="71"/>
      <c r="AC12" s="23"/>
      <c r="AD12" s="23"/>
      <c r="AE12" s="23"/>
      <c r="AF12" s="71"/>
      <c r="AG12" s="1882"/>
      <c r="AH12" s="1882"/>
      <c r="AI12" s="1882"/>
      <c r="AJ12" s="1882"/>
      <c r="AK12" s="1882"/>
      <c r="AL12" s="883" t="s">
        <v>3672</v>
      </c>
      <c r="AM12" s="884" t="s">
        <v>3673</v>
      </c>
      <c r="AN12" s="884"/>
      <c r="AO12" s="872" t="s">
        <v>49</v>
      </c>
      <c r="AP12" s="885">
        <v>3</v>
      </c>
      <c r="AQ12" s="2620" t="s">
        <v>3674</v>
      </c>
      <c r="AR12" s="2621" t="s">
        <v>3675</v>
      </c>
      <c r="AS12" s="2622" t="s">
        <v>3676</v>
      </c>
      <c r="AT12" s="2623" t="s">
        <v>3677</v>
      </c>
      <c r="AU12" s="2623" t="s">
        <v>3678</v>
      </c>
      <c r="AV12" s="2624" t="s">
        <v>3679</v>
      </c>
      <c r="AW12" s="1993" t="s">
        <v>3680</v>
      </c>
    </row>
    <row r="13" spans="1:49" customFormat="1" ht="16">
      <c r="A13" s="856"/>
      <c r="B13" s="870" t="s">
        <v>3681</v>
      </c>
      <c r="C13" s="871" t="s">
        <v>3682</v>
      </c>
      <c r="D13" s="871"/>
      <c r="E13" s="872" t="s">
        <v>49</v>
      </c>
      <c r="F13" s="885">
        <v>3</v>
      </c>
      <c r="G13" s="874">
        <v>0</v>
      </c>
      <c r="H13" s="1386">
        <v>0</v>
      </c>
      <c r="I13" s="1378">
        <v>0</v>
      </c>
      <c r="J13" s="875">
        <v>0</v>
      </c>
      <c r="K13" s="875">
        <v>0</v>
      </c>
      <c r="L13" s="906">
        <v>0</v>
      </c>
      <c r="M13" s="876">
        <f>+SUM(G13:L13)</f>
        <v>0</v>
      </c>
      <c r="N13" s="877"/>
      <c r="O13" s="1882"/>
      <c r="P13" s="868">
        <f t="shared" si="4"/>
        <v>0</v>
      </c>
      <c r="Q13" s="869"/>
      <c r="R13" s="71"/>
      <c r="S13" s="70"/>
      <c r="T13" s="93">
        <f t="shared" si="5"/>
        <v>0</v>
      </c>
      <c r="U13" s="93">
        <f t="shared" si="5"/>
        <v>0</v>
      </c>
      <c r="V13" s="93">
        <f t="shared" si="5"/>
        <v>0</v>
      </c>
      <c r="W13" s="93">
        <f t="shared" si="5"/>
        <v>0</v>
      </c>
      <c r="X13" s="93">
        <f t="shared" si="5"/>
        <v>0</v>
      </c>
      <c r="Y13" s="93">
        <f t="shared" si="5"/>
        <v>0</v>
      </c>
      <c r="Z13" s="71"/>
      <c r="AA13" s="72"/>
      <c r="AB13" s="71"/>
      <c r="AC13" s="23"/>
      <c r="AD13" s="23"/>
      <c r="AE13" s="23"/>
      <c r="AF13" s="71"/>
      <c r="AG13" s="1882"/>
      <c r="AH13" s="1882"/>
      <c r="AI13" s="1882"/>
      <c r="AJ13" s="1882"/>
      <c r="AK13" s="1882"/>
      <c r="AL13" s="870" t="s">
        <v>3681</v>
      </c>
      <c r="AM13" s="871" t="s">
        <v>3682</v>
      </c>
      <c r="AN13" s="871"/>
      <c r="AO13" s="872" t="s">
        <v>49</v>
      </c>
      <c r="AP13" s="885">
        <v>3</v>
      </c>
      <c r="AQ13" s="2620" t="s">
        <v>3683</v>
      </c>
      <c r="AR13" s="2621" t="s">
        <v>3684</v>
      </c>
      <c r="AS13" s="2622" t="s">
        <v>3685</v>
      </c>
      <c r="AT13" s="2623" t="s">
        <v>3686</v>
      </c>
      <c r="AU13" s="2623" t="s">
        <v>3687</v>
      </c>
      <c r="AV13" s="2624" t="s">
        <v>3688</v>
      </c>
      <c r="AW13" s="1993" t="s">
        <v>3689</v>
      </c>
    </row>
    <row r="14" spans="1:49" customFormat="1" ht="16">
      <c r="A14" s="856"/>
      <c r="B14" s="870" t="s">
        <v>3690</v>
      </c>
      <c r="C14" s="871" t="s">
        <v>3691</v>
      </c>
      <c r="D14" s="871"/>
      <c r="E14" s="872" t="s">
        <v>49</v>
      </c>
      <c r="F14" s="885">
        <v>3</v>
      </c>
      <c r="G14" s="874">
        <v>0</v>
      </c>
      <c r="H14" s="1386">
        <v>6.0289999999999999</v>
      </c>
      <c r="I14" s="1378">
        <v>0.60899999999999999</v>
      </c>
      <c r="J14" s="875">
        <v>0</v>
      </c>
      <c r="K14" s="875">
        <v>11.369</v>
      </c>
      <c r="L14" s="906">
        <v>20.329999999999998</v>
      </c>
      <c r="M14" s="876">
        <f>+SUM(G14:L14)</f>
        <v>38.336999999999996</v>
      </c>
      <c r="N14" s="877"/>
      <c r="O14" s="1882"/>
      <c r="P14" s="868">
        <f t="shared" si="4"/>
        <v>0</v>
      </c>
      <c r="Q14" s="869"/>
      <c r="R14" s="71"/>
      <c r="S14" s="70"/>
      <c r="T14" s="93">
        <f t="shared" si="5"/>
        <v>0</v>
      </c>
      <c r="U14" s="93">
        <f t="shared" si="5"/>
        <v>0</v>
      </c>
      <c r="V14" s="93">
        <f t="shared" si="5"/>
        <v>0</v>
      </c>
      <c r="W14" s="93">
        <f t="shared" si="5"/>
        <v>0</v>
      </c>
      <c r="X14" s="93">
        <f t="shared" si="5"/>
        <v>0</v>
      </c>
      <c r="Y14" s="93">
        <f t="shared" si="5"/>
        <v>0</v>
      </c>
      <c r="Z14" s="71"/>
      <c r="AA14" s="72"/>
      <c r="AB14" s="71"/>
      <c r="AC14" s="23"/>
      <c r="AD14" s="23"/>
      <c r="AE14" s="23"/>
      <c r="AF14" s="71"/>
      <c r="AG14" s="1882"/>
      <c r="AH14" s="1882"/>
      <c r="AI14" s="1882"/>
      <c r="AJ14" s="1882"/>
      <c r="AK14" s="1882"/>
      <c r="AL14" s="870" t="s">
        <v>3690</v>
      </c>
      <c r="AM14" s="871" t="s">
        <v>3691</v>
      </c>
      <c r="AN14" s="871"/>
      <c r="AO14" s="872" t="s">
        <v>49</v>
      </c>
      <c r="AP14" s="885">
        <v>3</v>
      </c>
      <c r="AQ14" s="2620" t="s">
        <v>3692</v>
      </c>
      <c r="AR14" s="2621" t="s">
        <v>3693</v>
      </c>
      <c r="AS14" s="2622" t="s">
        <v>3694</v>
      </c>
      <c r="AT14" s="2623" t="s">
        <v>3695</v>
      </c>
      <c r="AU14" s="2623" t="s">
        <v>3696</v>
      </c>
      <c r="AV14" s="2624" t="s">
        <v>3697</v>
      </c>
      <c r="AW14" s="1993" t="s">
        <v>3698</v>
      </c>
    </row>
    <row r="15" spans="1:49" customFormat="1" ht="16">
      <c r="A15" s="856"/>
      <c r="B15" s="870" t="s">
        <v>3699</v>
      </c>
      <c r="C15" s="871" t="s">
        <v>1096</v>
      </c>
      <c r="D15" s="871"/>
      <c r="E15" s="872" t="s">
        <v>49</v>
      </c>
      <c r="F15" s="885">
        <v>3</v>
      </c>
      <c r="G15" s="874">
        <v>0</v>
      </c>
      <c r="H15" s="1386">
        <v>1.292</v>
      </c>
      <c r="I15" s="1378">
        <v>0.16800000000000001</v>
      </c>
      <c r="J15" s="875">
        <v>0</v>
      </c>
      <c r="K15" s="875">
        <v>0.314</v>
      </c>
      <c r="L15" s="906">
        <v>3.2360000000000002</v>
      </c>
      <c r="M15" s="876">
        <f>+SUM(G15:L15)</f>
        <v>5.01</v>
      </c>
      <c r="N15" s="877"/>
      <c r="O15" s="1882"/>
      <c r="P15" s="868">
        <f t="shared" si="4"/>
        <v>0</v>
      </c>
      <c r="Q15" s="869"/>
      <c r="R15" s="71"/>
      <c r="S15" s="70"/>
      <c r="T15" s="93">
        <f t="shared" si="5"/>
        <v>0</v>
      </c>
      <c r="U15" s="93">
        <f t="shared" si="5"/>
        <v>0</v>
      </c>
      <c r="V15" s="93">
        <f t="shared" si="5"/>
        <v>0</v>
      </c>
      <c r="W15" s="93">
        <f t="shared" si="5"/>
        <v>0</v>
      </c>
      <c r="X15" s="93">
        <f t="shared" si="5"/>
        <v>0</v>
      </c>
      <c r="Y15" s="93">
        <f t="shared" si="5"/>
        <v>0</v>
      </c>
      <c r="Z15" s="71"/>
      <c r="AA15" s="72"/>
      <c r="AB15" s="71"/>
      <c r="AC15" s="23"/>
      <c r="AD15" s="23"/>
      <c r="AE15" s="23"/>
      <c r="AF15" s="71"/>
      <c r="AG15" s="1882"/>
      <c r="AH15" s="1882"/>
      <c r="AI15" s="1882"/>
      <c r="AJ15" s="1882"/>
      <c r="AK15" s="1882"/>
      <c r="AL15" s="870" t="s">
        <v>3699</v>
      </c>
      <c r="AM15" s="871" t="s">
        <v>1096</v>
      </c>
      <c r="AN15" s="871"/>
      <c r="AO15" s="872" t="s">
        <v>49</v>
      </c>
      <c r="AP15" s="885">
        <v>3</v>
      </c>
      <c r="AQ15" s="2620" t="s">
        <v>3700</v>
      </c>
      <c r="AR15" s="2621" t="s">
        <v>3701</v>
      </c>
      <c r="AS15" s="2622" t="s">
        <v>3702</v>
      </c>
      <c r="AT15" s="2623" t="s">
        <v>3703</v>
      </c>
      <c r="AU15" s="2623" t="s">
        <v>3704</v>
      </c>
      <c r="AV15" s="2624" t="s">
        <v>3705</v>
      </c>
      <c r="AW15" s="1993" t="s">
        <v>3706</v>
      </c>
    </row>
    <row r="16" spans="1:49" customFormat="1" ht="16.5" thickBot="1">
      <c r="A16" s="856"/>
      <c r="B16" s="886" t="s">
        <v>3707</v>
      </c>
      <c r="C16" s="887" t="s">
        <v>3708</v>
      </c>
      <c r="D16" s="887"/>
      <c r="E16" s="888" t="s">
        <v>49</v>
      </c>
      <c r="F16" s="889">
        <v>3</v>
      </c>
      <c r="G16" s="890">
        <f t="shared" ref="G16" si="6">+SUM(G7:G15)</f>
        <v>2.7240000000000002</v>
      </c>
      <c r="H16" s="1387">
        <f>+SUM(H7:H15)</f>
        <v>9.1359999999999992</v>
      </c>
      <c r="I16" s="1379">
        <f>+SUM(I7:I15)</f>
        <v>0.84199999999999997</v>
      </c>
      <c r="J16" s="891">
        <f>+SUM(J7:J15)</f>
        <v>0</v>
      </c>
      <c r="K16" s="891">
        <f>+SUM(K7:K15)</f>
        <v>14.510999999999999</v>
      </c>
      <c r="L16" s="1399">
        <f>+SUM(L7:L15)</f>
        <v>29.433</v>
      </c>
      <c r="M16" s="892">
        <f>+SUM(G16:L16)</f>
        <v>56.646000000000001</v>
      </c>
      <c r="N16" s="893"/>
      <c r="O16" s="1882"/>
      <c r="P16" s="580"/>
      <c r="Q16" s="1882"/>
      <c r="R16" s="71"/>
      <c r="S16" s="70"/>
      <c r="T16" s="1882"/>
      <c r="U16" s="1882"/>
      <c r="V16" s="1882"/>
      <c r="W16" s="1882"/>
      <c r="X16" s="1882"/>
      <c r="Y16" s="1882"/>
      <c r="Z16" s="71"/>
      <c r="AA16" s="72"/>
      <c r="AB16" s="71"/>
      <c r="AC16" s="23"/>
      <c r="AD16" s="23"/>
      <c r="AE16" s="23"/>
      <c r="AF16" s="71"/>
      <c r="AG16" s="1882"/>
      <c r="AH16" s="1882"/>
      <c r="AI16" s="1882"/>
      <c r="AJ16" s="1882"/>
      <c r="AK16" s="1882"/>
      <c r="AL16" s="886" t="s">
        <v>3707</v>
      </c>
      <c r="AM16" s="887" t="s">
        <v>3708</v>
      </c>
      <c r="AN16" s="887"/>
      <c r="AO16" s="888" t="s">
        <v>49</v>
      </c>
      <c r="AP16" s="889">
        <v>3</v>
      </c>
      <c r="AQ16" s="890" t="s">
        <v>3709</v>
      </c>
      <c r="AR16" s="1387" t="s">
        <v>3710</v>
      </c>
      <c r="AS16" s="1379" t="s">
        <v>3711</v>
      </c>
      <c r="AT16" s="891" t="s">
        <v>3712</v>
      </c>
      <c r="AU16" s="891" t="s">
        <v>3713</v>
      </c>
      <c r="AV16" s="1399" t="s">
        <v>3714</v>
      </c>
      <c r="AW16" s="1995" t="s">
        <v>3715</v>
      </c>
    </row>
    <row r="17" spans="1:49" customFormat="1" ht="16.5" thickBot="1">
      <c r="A17" s="856"/>
      <c r="B17" s="894"/>
      <c r="C17" s="894"/>
      <c r="D17" s="894"/>
      <c r="E17" s="894"/>
      <c r="F17" s="894"/>
      <c r="G17" s="856"/>
      <c r="H17" s="856"/>
      <c r="I17" s="856"/>
      <c r="J17" s="856"/>
      <c r="K17" s="856"/>
      <c r="L17" s="856"/>
      <c r="M17" s="856"/>
      <c r="N17" s="1871"/>
      <c r="O17" s="1882"/>
      <c r="P17" s="580"/>
      <c r="Q17" s="1882"/>
      <c r="R17" s="71"/>
      <c r="S17" s="70"/>
      <c r="T17" s="1882"/>
      <c r="U17" s="1882"/>
      <c r="V17" s="1882"/>
      <c r="W17" s="1882"/>
      <c r="X17" s="1882"/>
      <c r="Y17" s="1882"/>
      <c r="Z17" s="71"/>
      <c r="AA17" s="72"/>
      <c r="AB17" s="71"/>
      <c r="AC17" s="23"/>
      <c r="AD17" s="23"/>
      <c r="AE17" s="23"/>
      <c r="AF17" s="71"/>
      <c r="AG17" s="1882"/>
      <c r="AH17" s="1882"/>
      <c r="AI17" s="1882"/>
      <c r="AJ17" s="1882"/>
      <c r="AK17" s="1882"/>
      <c r="AL17" s="894"/>
      <c r="AM17" s="894"/>
      <c r="AN17" s="894"/>
      <c r="AO17" s="894"/>
      <c r="AP17" s="894"/>
      <c r="AQ17" s="2626"/>
      <c r="AR17" s="2626"/>
      <c r="AS17" s="2626"/>
      <c r="AT17" s="2626"/>
      <c r="AU17" s="2626"/>
      <c r="AV17" s="2626"/>
      <c r="AW17" s="2626"/>
    </row>
    <row r="18" spans="1:49" customFormat="1" ht="16">
      <c r="A18" s="856"/>
      <c r="B18" s="860" t="s">
        <v>3716</v>
      </c>
      <c r="C18" s="861" t="s">
        <v>1112</v>
      </c>
      <c r="D18" s="861"/>
      <c r="E18" s="862" t="s">
        <v>49</v>
      </c>
      <c r="F18" s="863">
        <v>3</v>
      </c>
      <c r="G18" s="864">
        <v>9.5000000000000001E-2</v>
      </c>
      <c r="H18" s="1385">
        <v>0.16300000000000001</v>
      </c>
      <c r="I18" s="1377">
        <v>0</v>
      </c>
      <c r="J18" s="865">
        <v>0</v>
      </c>
      <c r="K18" s="865">
        <v>0.309</v>
      </c>
      <c r="L18" s="904">
        <v>0.65800000000000003</v>
      </c>
      <c r="M18" s="866">
        <f>+SUM(G18:L18)</f>
        <v>1.2250000000000001</v>
      </c>
      <c r="N18" s="867"/>
      <c r="O18" s="1882"/>
      <c r="P18" s="868">
        <f t="shared" ref="P18" si="7" xml:space="preserve"> IF( SUM( R18:Z18 ) = 0, 0, $T$5 )</f>
        <v>0</v>
      </c>
      <c r="Q18" s="869"/>
      <c r="R18" s="71"/>
      <c r="S18" s="70"/>
      <c r="T18" s="93">
        <f t="shared" ref="T18:Y18" si="8" xml:space="preserve"> IF( ISNUMBER( G18 ), 0, 1 )</f>
        <v>0</v>
      </c>
      <c r="U18" s="93">
        <f t="shared" si="8"/>
        <v>0</v>
      </c>
      <c r="V18" s="93">
        <f t="shared" si="8"/>
        <v>0</v>
      </c>
      <c r="W18" s="93">
        <f t="shared" si="8"/>
        <v>0</v>
      </c>
      <c r="X18" s="93">
        <f t="shared" si="8"/>
        <v>0</v>
      </c>
      <c r="Y18" s="93">
        <f t="shared" si="8"/>
        <v>0</v>
      </c>
      <c r="Z18" s="71"/>
      <c r="AA18" s="72"/>
      <c r="AB18" s="71"/>
      <c r="AC18" s="23"/>
      <c r="AD18" s="23"/>
      <c r="AE18" s="23"/>
      <c r="AF18" s="71"/>
      <c r="AG18" s="1882"/>
      <c r="AH18" s="1882"/>
      <c r="AI18" s="1882"/>
      <c r="AJ18" s="1882"/>
      <c r="AK18" s="1882"/>
      <c r="AL18" s="860" t="s">
        <v>3716</v>
      </c>
      <c r="AM18" s="861" t="s">
        <v>1112</v>
      </c>
      <c r="AN18" s="861"/>
      <c r="AO18" s="862" t="s">
        <v>49</v>
      </c>
      <c r="AP18" s="863">
        <v>3</v>
      </c>
      <c r="AQ18" s="2615" t="s">
        <v>3717</v>
      </c>
      <c r="AR18" s="2616" t="s">
        <v>3718</v>
      </c>
      <c r="AS18" s="2617" t="s">
        <v>3719</v>
      </c>
      <c r="AT18" s="2618" t="s">
        <v>3720</v>
      </c>
      <c r="AU18" s="2618" t="s">
        <v>3721</v>
      </c>
      <c r="AV18" s="2619" t="s">
        <v>3722</v>
      </c>
      <c r="AW18" s="1992" t="s">
        <v>3723</v>
      </c>
    </row>
    <row r="19" spans="1:49" customFormat="1" ht="16.5" thickBot="1">
      <c r="A19" s="856"/>
      <c r="B19" s="886" t="s">
        <v>3724</v>
      </c>
      <c r="C19" s="887" t="s">
        <v>1120</v>
      </c>
      <c r="D19" s="887"/>
      <c r="E19" s="888" t="s">
        <v>49</v>
      </c>
      <c r="F19" s="889">
        <v>3</v>
      </c>
      <c r="G19" s="890">
        <f t="shared" ref="G19" si="9">+G16+G18</f>
        <v>2.8190000000000004</v>
      </c>
      <c r="H19" s="1387">
        <f>+H16+H18</f>
        <v>9.2989999999999995</v>
      </c>
      <c r="I19" s="1379">
        <f>+I16+I18</f>
        <v>0.84199999999999997</v>
      </c>
      <c r="J19" s="891">
        <f>+J16+J18</f>
        <v>0</v>
      </c>
      <c r="K19" s="891">
        <f>+K16+K18</f>
        <v>14.819999999999999</v>
      </c>
      <c r="L19" s="1399">
        <f>+L16+L18</f>
        <v>30.091000000000001</v>
      </c>
      <c r="M19" s="892">
        <f>+SUM(G19:L19)</f>
        <v>57.871000000000002</v>
      </c>
      <c r="N19" s="893"/>
      <c r="O19" s="1882"/>
      <c r="P19" s="580"/>
      <c r="Q19" s="1882"/>
      <c r="R19" s="71"/>
      <c r="S19" s="70"/>
      <c r="T19" s="1882"/>
      <c r="U19" s="1882"/>
      <c r="V19" s="1882"/>
      <c r="W19" s="1882"/>
      <c r="X19" s="1882"/>
      <c r="Y19" s="1882"/>
      <c r="Z19" s="71"/>
      <c r="AA19" s="72"/>
      <c r="AB19" s="71"/>
      <c r="AC19" s="23"/>
      <c r="AD19" s="23"/>
      <c r="AE19" s="23"/>
      <c r="AF19" s="71"/>
      <c r="AG19" s="1882"/>
      <c r="AH19" s="1882"/>
      <c r="AI19" s="1882"/>
      <c r="AJ19" s="1882"/>
      <c r="AK19" s="1882"/>
      <c r="AL19" s="886" t="s">
        <v>3724</v>
      </c>
      <c r="AM19" s="887" t="s">
        <v>1120</v>
      </c>
      <c r="AN19" s="887"/>
      <c r="AO19" s="888" t="s">
        <v>49</v>
      </c>
      <c r="AP19" s="889">
        <v>3</v>
      </c>
      <c r="AQ19" s="890" t="s">
        <v>3725</v>
      </c>
      <c r="AR19" s="1387" t="s">
        <v>3726</v>
      </c>
      <c r="AS19" s="1379" t="s">
        <v>3727</v>
      </c>
      <c r="AT19" s="891" t="s">
        <v>3728</v>
      </c>
      <c r="AU19" s="891" t="s">
        <v>3729</v>
      </c>
      <c r="AV19" s="1399" t="s">
        <v>3730</v>
      </c>
      <c r="AW19" s="1995" t="s">
        <v>3731</v>
      </c>
    </row>
    <row r="20" spans="1:49" customFormat="1" ht="16.5" thickBot="1">
      <c r="A20" s="856"/>
      <c r="B20" s="894"/>
      <c r="C20" s="894"/>
      <c r="D20" s="894"/>
      <c r="E20" s="894"/>
      <c r="F20" s="894"/>
      <c r="G20" s="856"/>
      <c r="H20" s="856"/>
      <c r="I20" s="856"/>
      <c r="J20" s="856"/>
      <c r="K20" s="856"/>
      <c r="L20" s="856"/>
      <c r="M20" s="856"/>
      <c r="N20" s="1871"/>
      <c r="O20" s="1882"/>
      <c r="P20" s="580"/>
      <c r="Q20" s="1882"/>
      <c r="R20" s="71"/>
      <c r="S20" s="70"/>
      <c r="T20" s="1882"/>
      <c r="U20" s="1882"/>
      <c r="V20" s="1882"/>
      <c r="W20" s="1882"/>
      <c r="X20" s="1882"/>
      <c r="Y20" s="1882"/>
      <c r="Z20" s="71"/>
      <c r="AA20" s="72"/>
      <c r="AB20" s="71"/>
      <c r="AC20" s="23"/>
      <c r="AD20" s="23"/>
      <c r="AE20" s="23"/>
      <c r="AF20" s="71"/>
      <c r="AG20" s="1882"/>
      <c r="AH20" s="1882"/>
      <c r="AI20" s="1882"/>
      <c r="AJ20" s="1882"/>
      <c r="AK20" s="1882"/>
      <c r="AL20" s="894"/>
      <c r="AM20" s="894"/>
      <c r="AN20" s="894"/>
      <c r="AO20" s="894"/>
      <c r="AP20" s="894"/>
      <c r="AQ20" s="2626"/>
      <c r="AR20" s="2626"/>
      <c r="AS20" s="2626"/>
      <c r="AT20" s="2626"/>
      <c r="AU20" s="2626"/>
      <c r="AV20" s="2626"/>
      <c r="AW20" s="2626"/>
    </row>
    <row r="21" spans="1:49" customFormat="1" ht="16.5" thickBot="1">
      <c r="A21" s="856"/>
      <c r="B21" s="857" t="s">
        <v>175</v>
      </c>
      <c r="C21" s="858" t="s">
        <v>3732</v>
      </c>
      <c r="D21" s="2862"/>
      <c r="E21" s="859"/>
      <c r="F21" s="859"/>
      <c r="G21" s="856"/>
      <c r="H21" s="856"/>
      <c r="I21" s="856"/>
      <c r="J21" s="856"/>
      <c r="K21" s="856"/>
      <c r="L21" s="856"/>
      <c r="M21" s="856"/>
      <c r="N21" s="1871"/>
      <c r="O21" s="1882"/>
      <c r="P21" s="580"/>
      <c r="Q21" s="1882"/>
      <c r="R21" s="119"/>
      <c r="S21" s="70"/>
      <c r="T21" s="1882"/>
      <c r="U21" s="1882"/>
      <c r="V21" s="1882"/>
      <c r="W21" s="1882"/>
      <c r="X21" s="1882"/>
      <c r="Y21" s="1882"/>
      <c r="Z21" s="119"/>
      <c r="AA21" s="72"/>
      <c r="AB21" s="119"/>
      <c r="AC21" s="23"/>
      <c r="AD21" s="23"/>
      <c r="AE21" s="23"/>
      <c r="AF21" s="119"/>
      <c r="AG21" s="1882"/>
      <c r="AH21" s="1882"/>
      <c r="AI21" s="1882"/>
      <c r="AJ21" s="1882"/>
      <c r="AK21" s="1882"/>
      <c r="AL21" s="857" t="s">
        <v>175</v>
      </c>
      <c r="AM21" s="858" t="s">
        <v>3732</v>
      </c>
      <c r="AN21" s="2862"/>
      <c r="AO21" s="859"/>
      <c r="AP21" s="859"/>
      <c r="AQ21" s="2626"/>
      <c r="AR21" s="2626"/>
      <c r="AS21" s="2626"/>
      <c r="AT21" s="2626"/>
      <c r="AU21" s="2626"/>
      <c r="AV21" s="2626"/>
      <c r="AW21" s="2626"/>
    </row>
    <row r="22" spans="1:49" customFormat="1" ht="16">
      <c r="A22" s="856"/>
      <c r="B22" s="860" t="s">
        <v>3733</v>
      </c>
      <c r="C22" s="861" t="s">
        <v>1129</v>
      </c>
      <c r="D22" s="861"/>
      <c r="E22" s="862" t="s">
        <v>49</v>
      </c>
      <c r="F22" s="863">
        <v>3</v>
      </c>
      <c r="G22" s="895">
        <v>0</v>
      </c>
      <c r="H22" s="1388">
        <v>0.68243299999999996</v>
      </c>
      <c r="I22" s="895">
        <v>0</v>
      </c>
      <c r="J22" s="896">
        <v>1.1755</v>
      </c>
      <c r="K22" s="896">
        <v>0</v>
      </c>
      <c r="L22" s="1702">
        <v>25.143280000000001</v>
      </c>
      <c r="M22" s="866">
        <f t="shared" ref="M22:M31" si="10">+SUM(G22:L22)</f>
        <v>27.001213</v>
      </c>
      <c r="N22" s="867"/>
      <c r="O22" s="1882"/>
      <c r="P22" s="868">
        <f t="shared" ref="P22:P26" si="11" xml:space="preserve"> IF( SUM( R22:Z22 ) = 0, 0, $T$5 )</f>
        <v>0</v>
      </c>
      <c r="Q22" s="869"/>
      <c r="R22" s="119"/>
      <c r="S22" s="70"/>
      <c r="T22" s="93">
        <f t="shared" ref="T22:Y26" si="12" xml:space="preserve"> IF( ISNUMBER( G22 ), 0, 1 )</f>
        <v>0</v>
      </c>
      <c r="U22" s="93">
        <f t="shared" si="12"/>
        <v>0</v>
      </c>
      <c r="V22" s="93">
        <f t="shared" si="12"/>
        <v>0</v>
      </c>
      <c r="W22" s="93">
        <f t="shared" si="12"/>
        <v>0</v>
      </c>
      <c r="X22" s="93">
        <f t="shared" si="12"/>
        <v>0</v>
      </c>
      <c r="Y22" s="93">
        <f t="shared" si="12"/>
        <v>0</v>
      </c>
      <c r="Z22" s="119"/>
      <c r="AA22" s="72"/>
      <c r="AB22" s="119"/>
      <c r="AC22" s="23"/>
      <c r="AD22" s="23"/>
      <c r="AE22" s="23"/>
      <c r="AF22" s="119"/>
      <c r="AG22" s="1882"/>
      <c r="AH22" s="1882"/>
      <c r="AI22" s="1882"/>
      <c r="AJ22" s="1882"/>
      <c r="AK22" s="1882"/>
      <c r="AL22" s="860" t="s">
        <v>3733</v>
      </c>
      <c r="AM22" s="861" t="s">
        <v>1129</v>
      </c>
      <c r="AN22" s="861"/>
      <c r="AO22" s="862" t="s">
        <v>49</v>
      </c>
      <c r="AP22" s="863">
        <v>3</v>
      </c>
      <c r="AQ22" s="2627" t="s">
        <v>3734</v>
      </c>
      <c r="AR22" s="2628" t="s">
        <v>3735</v>
      </c>
      <c r="AS22" s="2629" t="s">
        <v>3736</v>
      </c>
      <c r="AT22" s="2630" t="s">
        <v>3737</v>
      </c>
      <c r="AU22" s="2630" t="s">
        <v>3738</v>
      </c>
      <c r="AV22" s="2631" t="s">
        <v>3739</v>
      </c>
      <c r="AW22" s="1992" t="s">
        <v>3740</v>
      </c>
    </row>
    <row r="23" spans="1:49" customFormat="1" ht="16">
      <c r="A23" s="856"/>
      <c r="B23" s="870" t="s">
        <v>3741</v>
      </c>
      <c r="C23" s="871" t="s">
        <v>2719</v>
      </c>
      <c r="D23" s="871"/>
      <c r="E23" s="872" t="s">
        <v>49</v>
      </c>
      <c r="F23" s="873">
        <v>3</v>
      </c>
      <c r="G23" s="897">
        <v>0</v>
      </c>
      <c r="H23" s="1389">
        <v>1.4641093631228497</v>
      </c>
      <c r="I23" s="897">
        <v>6.7342240602281778E-2</v>
      </c>
      <c r="J23" s="898">
        <v>8.4159617957304533E-2</v>
      </c>
      <c r="K23" s="898">
        <v>8.4015495241730473</v>
      </c>
      <c r="L23" s="1703">
        <v>12.5365</v>
      </c>
      <c r="M23" s="876">
        <f t="shared" si="10"/>
        <v>22.553660745855481</v>
      </c>
      <c r="N23" s="877"/>
      <c r="O23" s="1882"/>
      <c r="P23" s="868">
        <f t="shared" si="11"/>
        <v>0</v>
      </c>
      <c r="Q23" s="869"/>
      <c r="R23" s="119"/>
      <c r="S23" s="70"/>
      <c r="T23" s="93">
        <f t="shared" si="12"/>
        <v>0</v>
      </c>
      <c r="U23" s="93">
        <f t="shared" si="12"/>
        <v>0</v>
      </c>
      <c r="V23" s="93">
        <f t="shared" si="12"/>
        <v>0</v>
      </c>
      <c r="W23" s="93">
        <f t="shared" si="12"/>
        <v>0</v>
      </c>
      <c r="X23" s="93">
        <f t="shared" si="12"/>
        <v>0</v>
      </c>
      <c r="Y23" s="93">
        <f xml:space="preserve"> IF( ISNUMBER( L23 ), 0, 1 )</f>
        <v>0</v>
      </c>
      <c r="Z23" s="119"/>
      <c r="AA23" s="72"/>
      <c r="AB23" s="119"/>
      <c r="AC23" s="23"/>
      <c r="AD23" s="23"/>
      <c r="AE23" s="23"/>
      <c r="AF23" s="119"/>
      <c r="AG23" s="1882"/>
      <c r="AH23" s="1882"/>
      <c r="AI23" s="1882"/>
      <c r="AJ23" s="1882"/>
      <c r="AK23" s="1882"/>
      <c r="AL23" s="870" t="s">
        <v>3741</v>
      </c>
      <c r="AM23" s="871" t="s">
        <v>2719</v>
      </c>
      <c r="AN23" s="871"/>
      <c r="AO23" s="872" t="s">
        <v>49</v>
      </c>
      <c r="AP23" s="873">
        <v>3</v>
      </c>
      <c r="AQ23" s="2632" t="s">
        <v>3742</v>
      </c>
      <c r="AR23" s="2633" t="s">
        <v>3743</v>
      </c>
      <c r="AS23" s="2634" t="s">
        <v>3744</v>
      </c>
      <c r="AT23" s="2635" t="s">
        <v>3745</v>
      </c>
      <c r="AU23" s="2635" t="s">
        <v>3746</v>
      </c>
      <c r="AV23" s="2636" t="s">
        <v>3747</v>
      </c>
      <c r="AW23" s="1993" t="s">
        <v>3748</v>
      </c>
    </row>
    <row r="24" spans="1:49" customFormat="1" ht="16">
      <c r="A24" s="856"/>
      <c r="B24" s="870" t="s">
        <v>3749</v>
      </c>
      <c r="C24" s="871" t="s">
        <v>1145</v>
      </c>
      <c r="D24" s="871"/>
      <c r="E24" s="872" t="s">
        <v>49</v>
      </c>
      <c r="F24" s="873">
        <v>3</v>
      </c>
      <c r="G24" s="897">
        <v>0</v>
      </c>
      <c r="H24" s="1389">
        <v>0</v>
      </c>
      <c r="I24" s="897">
        <v>0</v>
      </c>
      <c r="J24" s="898">
        <v>0</v>
      </c>
      <c r="K24" s="898">
        <v>0</v>
      </c>
      <c r="L24" s="1703">
        <v>10.2643</v>
      </c>
      <c r="M24" s="876">
        <f t="shared" si="10"/>
        <v>10.2643</v>
      </c>
      <c r="N24" s="877"/>
      <c r="O24" s="1882"/>
      <c r="P24" s="868">
        <f t="shared" si="11"/>
        <v>0</v>
      </c>
      <c r="Q24" s="869"/>
      <c r="R24" s="71"/>
      <c r="S24" s="70"/>
      <c r="T24" s="93">
        <f t="shared" si="12"/>
        <v>0</v>
      </c>
      <c r="U24" s="93">
        <f t="shared" si="12"/>
        <v>0</v>
      </c>
      <c r="V24" s="93">
        <f t="shared" si="12"/>
        <v>0</v>
      </c>
      <c r="W24" s="93">
        <f t="shared" si="12"/>
        <v>0</v>
      </c>
      <c r="X24" s="93">
        <f t="shared" si="12"/>
        <v>0</v>
      </c>
      <c r="Y24" s="93">
        <f t="shared" si="12"/>
        <v>0</v>
      </c>
      <c r="Z24" s="71"/>
      <c r="AA24" s="72"/>
      <c r="AB24" s="71"/>
      <c r="AC24" s="23"/>
      <c r="AD24" s="23"/>
      <c r="AE24" s="23"/>
      <c r="AF24" s="71"/>
      <c r="AG24" s="1882"/>
      <c r="AH24" s="1882"/>
      <c r="AI24" s="1882"/>
      <c r="AJ24" s="1882"/>
      <c r="AK24" s="1882"/>
      <c r="AL24" s="870" t="s">
        <v>3749</v>
      </c>
      <c r="AM24" s="871" t="s">
        <v>1145</v>
      </c>
      <c r="AN24" s="871"/>
      <c r="AO24" s="872" t="s">
        <v>49</v>
      </c>
      <c r="AP24" s="873">
        <v>3</v>
      </c>
      <c r="AQ24" s="2632" t="s">
        <v>3750</v>
      </c>
      <c r="AR24" s="2633" t="s">
        <v>3751</v>
      </c>
      <c r="AS24" s="2634" t="s">
        <v>3752</v>
      </c>
      <c r="AT24" s="2635" t="s">
        <v>3753</v>
      </c>
      <c r="AU24" s="2635" t="s">
        <v>3754</v>
      </c>
      <c r="AV24" s="2636" t="s">
        <v>3755</v>
      </c>
      <c r="AW24" s="1993" t="s">
        <v>3756</v>
      </c>
    </row>
    <row r="25" spans="1:49" customFormat="1" ht="16">
      <c r="A25" s="856"/>
      <c r="B25" s="870" t="s">
        <v>3757</v>
      </c>
      <c r="C25" s="871" t="s">
        <v>1153</v>
      </c>
      <c r="D25" s="871"/>
      <c r="E25" s="872" t="s">
        <v>49</v>
      </c>
      <c r="F25" s="873">
        <v>3</v>
      </c>
      <c r="G25" s="897">
        <v>0</v>
      </c>
      <c r="H25" s="1389">
        <v>1.0701603409919898</v>
      </c>
      <c r="I25" s="897">
        <v>9.1184843960956505E-4</v>
      </c>
      <c r="J25" s="898">
        <v>0</v>
      </c>
      <c r="K25" s="898">
        <v>0.36069720525027521</v>
      </c>
      <c r="L25" s="1703">
        <v>5.5111518528072203</v>
      </c>
      <c r="M25" s="876">
        <f t="shared" si="10"/>
        <v>6.9429212474890951</v>
      </c>
      <c r="N25" s="877"/>
      <c r="O25" s="1882"/>
      <c r="P25" s="868">
        <f t="shared" si="11"/>
        <v>0</v>
      </c>
      <c r="Q25" s="869"/>
      <c r="R25" s="71"/>
      <c r="S25" s="70"/>
      <c r="T25" s="93">
        <f t="shared" si="12"/>
        <v>0</v>
      </c>
      <c r="U25" s="93">
        <f t="shared" si="12"/>
        <v>0</v>
      </c>
      <c r="V25" s="93">
        <f t="shared" si="12"/>
        <v>0</v>
      </c>
      <c r="W25" s="93">
        <f t="shared" si="12"/>
        <v>0</v>
      </c>
      <c r="X25" s="93">
        <f t="shared" si="12"/>
        <v>0</v>
      </c>
      <c r="Y25" s="93">
        <f t="shared" si="12"/>
        <v>0</v>
      </c>
      <c r="Z25" s="71"/>
      <c r="AA25" s="72"/>
      <c r="AB25" s="71"/>
      <c r="AC25" s="23"/>
      <c r="AD25" s="23"/>
      <c r="AE25" s="23"/>
      <c r="AF25" s="71"/>
      <c r="AG25" s="1882"/>
      <c r="AH25" s="1882"/>
      <c r="AI25" s="1882"/>
      <c r="AJ25" s="1882"/>
      <c r="AK25" s="1882"/>
      <c r="AL25" s="870" t="s">
        <v>3757</v>
      </c>
      <c r="AM25" s="871" t="s">
        <v>1153</v>
      </c>
      <c r="AN25" s="871"/>
      <c r="AO25" s="872" t="s">
        <v>49</v>
      </c>
      <c r="AP25" s="873">
        <v>3</v>
      </c>
      <c r="AQ25" s="2632" t="s">
        <v>3758</v>
      </c>
      <c r="AR25" s="2633" t="s">
        <v>3759</v>
      </c>
      <c r="AS25" s="2634" t="s">
        <v>3760</v>
      </c>
      <c r="AT25" s="2635" t="s">
        <v>3761</v>
      </c>
      <c r="AU25" s="2635" t="s">
        <v>3762</v>
      </c>
      <c r="AV25" s="2636" t="s">
        <v>3763</v>
      </c>
      <c r="AW25" s="1993" t="s">
        <v>3764</v>
      </c>
    </row>
    <row r="26" spans="1:49" customFormat="1" ht="16">
      <c r="A26" s="856"/>
      <c r="B26" s="870" t="s">
        <v>3765</v>
      </c>
      <c r="C26" s="871" t="s">
        <v>1161</v>
      </c>
      <c r="D26" s="871"/>
      <c r="E26" s="872" t="s">
        <v>49</v>
      </c>
      <c r="F26" s="873">
        <v>3</v>
      </c>
      <c r="G26" s="897">
        <v>0</v>
      </c>
      <c r="H26" s="1389">
        <v>0</v>
      </c>
      <c r="I26" s="897">
        <v>0</v>
      </c>
      <c r="J26" s="898">
        <v>0</v>
      </c>
      <c r="K26" s="898">
        <v>0</v>
      </c>
      <c r="L26" s="1703">
        <v>1.12619684</v>
      </c>
      <c r="M26" s="876">
        <f t="shared" si="10"/>
        <v>1.12619684</v>
      </c>
      <c r="N26" s="877"/>
      <c r="O26" s="1882"/>
      <c r="P26" s="868">
        <f t="shared" si="11"/>
        <v>0</v>
      </c>
      <c r="Q26" s="869"/>
      <c r="R26" s="71"/>
      <c r="S26" s="70"/>
      <c r="T26" s="93">
        <f t="shared" si="12"/>
        <v>0</v>
      </c>
      <c r="U26" s="93">
        <f t="shared" si="12"/>
        <v>0</v>
      </c>
      <c r="V26" s="93">
        <f t="shared" si="12"/>
        <v>0</v>
      </c>
      <c r="W26" s="93">
        <f t="shared" si="12"/>
        <v>0</v>
      </c>
      <c r="X26" s="93">
        <f t="shared" si="12"/>
        <v>0</v>
      </c>
      <c r="Y26" s="93">
        <f t="shared" si="12"/>
        <v>0</v>
      </c>
      <c r="Z26" s="71"/>
      <c r="AA26" s="72"/>
      <c r="AB26" s="124"/>
      <c r="AC26" s="23"/>
      <c r="AD26" s="23"/>
      <c r="AE26" s="23"/>
      <c r="AF26" s="124"/>
      <c r="AG26" s="1882"/>
      <c r="AH26" s="1882"/>
      <c r="AI26" s="1882"/>
      <c r="AJ26" s="1882"/>
      <c r="AK26" s="1882"/>
      <c r="AL26" s="870" t="s">
        <v>3765</v>
      </c>
      <c r="AM26" s="871" t="s">
        <v>1161</v>
      </c>
      <c r="AN26" s="871"/>
      <c r="AO26" s="872" t="s">
        <v>49</v>
      </c>
      <c r="AP26" s="873">
        <v>3</v>
      </c>
      <c r="AQ26" s="2632" t="s">
        <v>3766</v>
      </c>
      <c r="AR26" s="2633" t="s">
        <v>3767</v>
      </c>
      <c r="AS26" s="2634" t="s">
        <v>3768</v>
      </c>
      <c r="AT26" s="2635" t="s">
        <v>3769</v>
      </c>
      <c r="AU26" s="2635" t="s">
        <v>3770</v>
      </c>
      <c r="AV26" s="2636" t="s">
        <v>3771</v>
      </c>
      <c r="AW26" s="1993" t="s">
        <v>3772</v>
      </c>
    </row>
    <row r="27" spans="1:49" customFormat="1" ht="16">
      <c r="A27" s="856"/>
      <c r="B27" s="870" t="s">
        <v>3773</v>
      </c>
      <c r="C27" s="871" t="s">
        <v>1169</v>
      </c>
      <c r="D27" s="871"/>
      <c r="E27" s="872" t="s">
        <v>49</v>
      </c>
      <c r="F27" s="873">
        <v>3</v>
      </c>
      <c r="G27" s="899">
        <f t="shared" ref="G27" si="13">SUM(G22:G26)</f>
        <v>0</v>
      </c>
      <c r="H27" s="1390">
        <f>SUM(H22:H26)</f>
        <v>3.2167027041148395</v>
      </c>
      <c r="I27" s="899">
        <f>SUM(I22:I26)</f>
        <v>6.8254089041891342E-2</v>
      </c>
      <c r="J27" s="1704">
        <f>SUM(J22:J26)</f>
        <v>1.2596596179573045</v>
      </c>
      <c r="K27" s="1704">
        <f>SUM(K22:K26)</f>
        <v>8.7622467294233228</v>
      </c>
      <c r="L27" s="1705">
        <f>SUM(L22:L26)</f>
        <v>54.581428692807215</v>
      </c>
      <c r="M27" s="899">
        <f t="shared" si="10"/>
        <v>67.888291833344567</v>
      </c>
      <c r="N27" s="877"/>
      <c r="O27" s="1882"/>
      <c r="P27" s="580"/>
      <c r="Q27" s="1882"/>
      <c r="R27" s="71"/>
      <c r="S27" s="70"/>
      <c r="T27" s="1882"/>
      <c r="U27" s="1882"/>
      <c r="V27" s="1882"/>
      <c r="W27" s="1882"/>
      <c r="X27" s="1882"/>
      <c r="Y27" s="1882"/>
      <c r="Z27" s="71"/>
      <c r="AA27" s="72"/>
      <c r="AB27" s="119"/>
      <c r="AC27" s="23"/>
      <c r="AD27" s="23"/>
      <c r="AE27" s="23"/>
      <c r="AF27" s="119"/>
      <c r="AG27" s="1882"/>
      <c r="AH27" s="1882"/>
      <c r="AI27" s="1882"/>
      <c r="AJ27" s="1882"/>
      <c r="AK27" s="1882"/>
      <c r="AL27" s="870" t="s">
        <v>3773</v>
      </c>
      <c r="AM27" s="871" t="s">
        <v>1169</v>
      </c>
      <c r="AN27" s="871"/>
      <c r="AO27" s="872" t="s">
        <v>49</v>
      </c>
      <c r="AP27" s="873">
        <v>3</v>
      </c>
      <c r="AQ27" s="1997" t="s">
        <v>3774</v>
      </c>
      <c r="AR27" s="1998" t="s">
        <v>3775</v>
      </c>
      <c r="AS27" s="1999" t="s">
        <v>3776</v>
      </c>
      <c r="AT27" s="1997" t="s">
        <v>3777</v>
      </c>
      <c r="AU27" s="1997" t="s">
        <v>3778</v>
      </c>
      <c r="AV27" s="2000" t="s">
        <v>3779</v>
      </c>
      <c r="AW27" s="1997" t="s">
        <v>3780</v>
      </c>
    </row>
    <row r="28" spans="1:49" customFormat="1" ht="16">
      <c r="A28" s="856"/>
      <c r="B28" s="870" t="s">
        <v>3781</v>
      </c>
      <c r="C28" s="871" t="s">
        <v>1112</v>
      </c>
      <c r="D28" s="871"/>
      <c r="E28" s="872" t="s">
        <v>49</v>
      </c>
      <c r="F28" s="873">
        <v>3</v>
      </c>
      <c r="G28" s="874">
        <v>0</v>
      </c>
      <c r="H28" s="1386">
        <v>6.9999999999999999E-4</v>
      </c>
      <c r="I28" s="897">
        <v>0</v>
      </c>
      <c r="J28" s="898">
        <v>8.6999999999999994E-2</v>
      </c>
      <c r="K28" s="898">
        <v>0.26196000000000003</v>
      </c>
      <c r="L28" s="1703">
        <v>2.5999999999999999E-2</v>
      </c>
      <c r="M28" s="876">
        <f t="shared" si="10"/>
        <v>0.37566000000000005</v>
      </c>
      <c r="N28" s="877"/>
      <c r="O28" s="1882"/>
      <c r="P28" s="868">
        <f t="shared" ref="P28" si="14" xml:space="preserve"> IF( SUM( R28:Z28 ) = 0, 0, $T$5 )</f>
        <v>0</v>
      </c>
      <c r="Q28" s="869"/>
      <c r="R28" s="119"/>
      <c r="S28" s="70"/>
      <c r="T28" s="93">
        <f t="shared" ref="T28:Y28" si="15" xml:space="preserve"> IF( ISNUMBER( G28 ), 0, 1 )</f>
        <v>0</v>
      </c>
      <c r="U28" s="93">
        <f t="shared" si="15"/>
        <v>0</v>
      </c>
      <c r="V28" s="93">
        <f t="shared" si="15"/>
        <v>0</v>
      </c>
      <c r="W28" s="93">
        <f t="shared" si="15"/>
        <v>0</v>
      </c>
      <c r="X28" s="93">
        <f t="shared" si="15"/>
        <v>0</v>
      </c>
      <c r="Y28" s="93">
        <f t="shared" si="15"/>
        <v>0</v>
      </c>
      <c r="Z28" s="119"/>
      <c r="AA28" s="72"/>
      <c r="AB28" s="119"/>
      <c r="AC28" s="23"/>
      <c r="AD28" s="23"/>
      <c r="AE28" s="23"/>
      <c r="AF28" s="119"/>
      <c r="AG28" s="1882"/>
      <c r="AH28" s="1882"/>
      <c r="AI28" s="1882"/>
      <c r="AJ28" s="1882"/>
      <c r="AK28" s="1882"/>
      <c r="AL28" s="870" t="s">
        <v>3781</v>
      </c>
      <c r="AM28" s="871" t="s">
        <v>1112</v>
      </c>
      <c r="AN28" s="871"/>
      <c r="AO28" s="872" t="s">
        <v>49</v>
      </c>
      <c r="AP28" s="873">
        <v>3</v>
      </c>
      <c r="AQ28" s="2620" t="s">
        <v>3782</v>
      </c>
      <c r="AR28" s="2621" t="s">
        <v>3783</v>
      </c>
      <c r="AS28" s="2634" t="s">
        <v>3784</v>
      </c>
      <c r="AT28" s="2635" t="s">
        <v>3785</v>
      </c>
      <c r="AU28" s="2635" t="s">
        <v>3786</v>
      </c>
      <c r="AV28" s="2636" t="s">
        <v>3787</v>
      </c>
      <c r="AW28" s="1993" t="s">
        <v>3788</v>
      </c>
    </row>
    <row r="29" spans="1:49" customFormat="1" ht="16">
      <c r="A29" s="856"/>
      <c r="B29" s="870" t="s">
        <v>3789</v>
      </c>
      <c r="C29" s="871" t="s">
        <v>1184</v>
      </c>
      <c r="D29" s="871"/>
      <c r="E29" s="872" t="s">
        <v>49</v>
      </c>
      <c r="F29" s="873">
        <v>3</v>
      </c>
      <c r="G29" s="899">
        <f t="shared" ref="G29:L29" si="16">SUM(G27:G28)</f>
        <v>0</v>
      </c>
      <c r="H29" s="1390">
        <f t="shared" si="16"/>
        <v>3.2174027041148396</v>
      </c>
      <c r="I29" s="899">
        <f t="shared" si="16"/>
        <v>6.8254089041891342E-2</v>
      </c>
      <c r="J29" s="1704">
        <f t="shared" si="16"/>
        <v>1.3466596179573045</v>
      </c>
      <c r="K29" s="1704">
        <f t="shared" si="16"/>
        <v>9.024206729423323</v>
      </c>
      <c r="L29" s="1705">
        <f t="shared" si="16"/>
        <v>54.607428692807218</v>
      </c>
      <c r="M29" s="899">
        <f t="shared" si="10"/>
        <v>68.263951833344578</v>
      </c>
      <c r="N29" s="877"/>
      <c r="O29" s="1882"/>
      <c r="P29" s="580"/>
      <c r="Q29" s="1882"/>
      <c r="R29" s="119"/>
      <c r="S29" s="70"/>
      <c r="T29" s="1882"/>
      <c r="U29" s="1882"/>
      <c r="V29" s="1882"/>
      <c r="W29" s="1882"/>
      <c r="X29" s="1882"/>
      <c r="Y29" s="1882"/>
      <c r="Z29" s="119"/>
      <c r="AA29" s="72"/>
      <c r="AB29" s="119"/>
      <c r="AC29" s="483"/>
      <c r="AD29" s="483"/>
      <c r="AE29" s="483"/>
      <c r="AF29" s="119"/>
      <c r="AG29" s="1882"/>
      <c r="AH29" s="1882"/>
      <c r="AI29" s="1882"/>
      <c r="AJ29" s="1882"/>
      <c r="AK29" s="1882"/>
      <c r="AL29" s="870" t="s">
        <v>3789</v>
      </c>
      <c r="AM29" s="871" t="s">
        <v>1184</v>
      </c>
      <c r="AN29" s="871"/>
      <c r="AO29" s="872" t="s">
        <v>49</v>
      </c>
      <c r="AP29" s="873">
        <v>3</v>
      </c>
      <c r="AQ29" s="1997" t="s">
        <v>3790</v>
      </c>
      <c r="AR29" s="1998" t="s">
        <v>3791</v>
      </c>
      <c r="AS29" s="1999" t="s">
        <v>3792</v>
      </c>
      <c r="AT29" s="1997" t="s">
        <v>3793</v>
      </c>
      <c r="AU29" s="1997" t="s">
        <v>3794</v>
      </c>
      <c r="AV29" s="2000" t="s">
        <v>3795</v>
      </c>
      <c r="AW29" s="1997" t="s">
        <v>3796</v>
      </c>
    </row>
    <row r="30" spans="1:49" customFormat="1" ht="16">
      <c r="A30" s="856"/>
      <c r="B30" s="870" t="s">
        <v>3797</v>
      </c>
      <c r="C30" s="871" t="s">
        <v>1191</v>
      </c>
      <c r="D30" s="871"/>
      <c r="E30" s="872" t="s">
        <v>49</v>
      </c>
      <c r="F30" s="900">
        <v>3</v>
      </c>
      <c r="G30" s="874">
        <v>0</v>
      </c>
      <c r="H30" s="1386">
        <v>0</v>
      </c>
      <c r="I30" s="897">
        <v>0</v>
      </c>
      <c r="J30" s="898">
        <v>0</v>
      </c>
      <c r="K30" s="898">
        <v>0</v>
      </c>
      <c r="L30" s="1703">
        <v>4.391</v>
      </c>
      <c r="M30" s="876">
        <f t="shared" si="10"/>
        <v>4.391</v>
      </c>
      <c r="N30" s="877"/>
      <c r="O30" s="1882"/>
      <c r="P30" s="1525">
        <f>IF(SUM(R30:Z30)&lt;&gt;0,$T$5,IF(SUM(Z30:AB30)=0,0,$AE$30))</f>
        <v>0</v>
      </c>
      <c r="Q30" s="869"/>
      <c r="R30" s="119"/>
      <c r="S30" s="70"/>
      <c r="T30" s="93">
        <f t="shared" ref="T30:Y30" si="17" xml:space="preserve"> IF( ISNUMBER( G30 ), 0, 1 )</f>
        <v>0</v>
      </c>
      <c r="U30" s="93">
        <f t="shared" si="17"/>
        <v>0</v>
      </c>
      <c r="V30" s="93">
        <f t="shared" si="17"/>
        <v>0</v>
      </c>
      <c r="W30" s="93">
        <f t="shared" si="17"/>
        <v>0</v>
      </c>
      <c r="X30" s="93">
        <f t="shared" si="17"/>
        <v>0</v>
      </c>
      <c r="Y30" s="93">
        <f t="shared" si="17"/>
        <v>0</v>
      </c>
      <c r="Z30" s="119"/>
      <c r="AA30" s="93">
        <f xml:space="preserve"> IF( (AC30 - AD30) = 0, 0, 1 )</f>
        <v>0</v>
      </c>
      <c r="AB30" s="119"/>
      <c r="AC30" s="112">
        <f>+M30</f>
        <v>4.391</v>
      </c>
      <c r="AD30" s="112">
        <f xml:space="preserve"> ROUND( ('2B'!G30+'2B'!H30), 3 )</f>
        <v>4.391</v>
      </c>
      <c r="AE30" s="139" t="s">
        <v>3798</v>
      </c>
      <c r="AF30" s="119"/>
      <c r="AG30" s="1882"/>
      <c r="AH30" s="1882"/>
      <c r="AI30" s="1882"/>
      <c r="AJ30" s="1882"/>
      <c r="AK30" s="1882"/>
      <c r="AL30" s="870" t="s">
        <v>3797</v>
      </c>
      <c r="AM30" s="871" t="s">
        <v>1191</v>
      </c>
      <c r="AN30" s="871"/>
      <c r="AO30" s="872" t="s">
        <v>49</v>
      </c>
      <c r="AP30" s="900">
        <v>3</v>
      </c>
      <c r="AQ30" s="2620" t="s">
        <v>3799</v>
      </c>
      <c r="AR30" s="2621" t="s">
        <v>3800</v>
      </c>
      <c r="AS30" s="2634" t="s">
        <v>3801</v>
      </c>
      <c r="AT30" s="2635" t="s">
        <v>3802</v>
      </c>
      <c r="AU30" s="2635" t="s">
        <v>3803</v>
      </c>
      <c r="AV30" s="2636" t="s">
        <v>3804</v>
      </c>
      <c r="AW30" s="1993" t="s">
        <v>3805</v>
      </c>
    </row>
    <row r="31" spans="1:49" customFormat="1" ht="16.5" thickBot="1">
      <c r="A31" s="856"/>
      <c r="B31" s="886" t="s">
        <v>3806</v>
      </c>
      <c r="C31" s="887" t="s">
        <v>1201</v>
      </c>
      <c r="D31" s="887"/>
      <c r="E31" s="888" t="s">
        <v>49</v>
      </c>
      <c r="F31" s="1632">
        <v>3</v>
      </c>
      <c r="G31" s="901">
        <f t="shared" ref="G31" si="18">G19+G29-G30</f>
        <v>2.8190000000000004</v>
      </c>
      <c r="H31" s="1391">
        <f>H19+H29-H30</f>
        <v>12.516402704114839</v>
      </c>
      <c r="I31" s="901">
        <f t="shared" ref="I31:L31" si="19">I19+I29-I30</f>
        <v>0.91025408904189131</v>
      </c>
      <c r="J31" s="909">
        <f t="shared" si="19"/>
        <v>1.3466596179573045</v>
      </c>
      <c r="K31" s="909">
        <f t="shared" si="19"/>
        <v>23.84420672942332</v>
      </c>
      <c r="L31" s="1706">
        <f t="shared" si="19"/>
        <v>80.307428692807221</v>
      </c>
      <c r="M31" s="892">
        <f t="shared" si="10"/>
        <v>121.74395183334457</v>
      </c>
      <c r="N31" s="893"/>
      <c r="O31" s="1882"/>
      <c r="P31" s="580"/>
      <c r="Q31" s="1882"/>
      <c r="R31" s="71"/>
      <c r="S31" s="70"/>
      <c r="T31" s="1882"/>
      <c r="U31" s="1882"/>
      <c r="V31" s="1882"/>
      <c r="W31" s="1882"/>
      <c r="X31" s="1882"/>
      <c r="Y31" s="1882"/>
      <c r="Z31" s="71"/>
      <c r="AA31" s="72"/>
      <c r="AB31" s="71"/>
      <c r="AC31" s="483"/>
      <c r="AD31" s="483"/>
      <c r="AE31" s="483"/>
      <c r="AF31" s="71"/>
      <c r="AG31" s="1882"/>
      <c r="AH31" s="1882"/>
      <c r="AI31" s="1882"/>
      <c r="AJ31" s="1882"/>
      <c r="AK31" s="1882"/>
      <c r="AL31" s="886" t="s">
        <v>3806</v>
      </c>
      <c r="AM31" s="887" t="s">
        <v>1201</v>
      </c>
      <c r="AN31" s="887"/>
      <c r="AO31" s="888" t="s">
        <v>49</v>
      </c>
      <c r="AP31" s="885">
        <v>3</v>
      </c>
      <c r="AQ31" s="2001" t="s">
        <v>3807</v>
      </c>
      <c r="AR31" s="2002" t="s">
        <v>3808</v>
      </c>
      <c r="AS31" s="2002" t="s">
        <v>3809</v>
      </c>
      <c r="AT31" s="2002" t="s">
        <v>3810</v>
      </c>
      <c r="AU31" s="2002" t="s">
        <v>3811</v>
      </c>
      <c r="AV31" s="2002" t="s">
        <v>3812</v>
      </c>
      <c r="AW31" s="1993" t="s">
        <v>3813</v>
      </c>
    </row>
    <row r="32" spans="1:49" customFormat="1" ht="16.5" thickBot="1">
      <c r="A32" s="856"/>
      <c r="B32" s="856"/>
      <c r="C32" s="856"/>
      <c r="D32" s="856"/>
      <c r="E32" s="856"/>
      <c r="F32" s="856"/>
      <c r="G32" s="856"/>
      <c r="H32" s="856"/>
      <c r="I32" s="856"/>
      <c r="J32" s="856"/>
      <c r="K32" s="856"/>
      <c r="L32" s="856"/>
      <c r="M32" s="856"/>
      <c r="N32" s="1871"/>
      <c r="O32" s="1882"/>
      <c r="P32" s="580"/>
      <c r="Q32" s="1882"/>
      <c r="R32" s="71"/>
      <c r="S32" s="70"/>
      <c r="T32" s="1882"/>
      <c r="U32" s="1882"/>
      <c r="V32" s="1882"/>
      <c r="W32" s="1882"/>
      <c r="X32" s="1882"/>
      <c r="Y32" s="1882"/>
      <c r="Z32" s="71"/>
      <c r="AA32" s="72"/>
      <c r="AB32" s="71"/>
      <c r="AC32" s="483"/>
      <c r="AD32" s="483"/>
      <c r="AE32" s="483"/>
      <c r="AF32" s="71"/>
      <c r="AG32" s="1882"/>
      <c r="AH32" s="1882"/>
      <c r="AI32" s="1882"/>
      <c r="AJ32" s="1882"/>
      <c r="AK32" s="1882"/>
      <c r="AL32" s="894"/>
      <c r="AM32" s="894"/>
      <c r="AN32" s="894"/>
      <c r="AO32" s="894"/>
      <c r="AP32" s="894"/>
      <c r="AQ32" s="2626"/>
      <c r="AR32" s="2626"/>
      <c r="AS32" s="2626"/>
      <c r="AT32" s="2626"/>
      <c r="AU32" s="2626"/>
      <c r="AV32" s="2626"/>
      <c r="AW32" s="2626"/>
    </row>
    <row r="33" spans="1:49" customFormat="1" ht="16.5" thickBot="1">
      <c r="A33" s="856"/>
      <c r="B33" s="857" t="s">
        <v>333</v>
      </c>
      <c r="C33" s="858" t="s">
        <v>3814</v>
      </c>
      <c r="D33" s="2862"/>
      <c r="E33" s="902"/>
      <c r="F33" s="902"/>
      <c r="G33" s="902"/>
      <c r="H33" s="902"/>
      <c r="I33" s="902"/>
      <c r="J33" s="902"/>
      <c r="K33" s="902"/>
      <c r="L33" s="902"/>
      <c r="M33" s="902"/>
      <c r="N33" s="1871"/>
      <c r="O33" s="1882"/>
      <c r="P33" s="580"/>
      <c r="Q33" s="1882"/>
      <c r="R33" s="71"/>
      <c r="S33" s="70"/>
      <c r="T33" s="1882"/>
      <c r="U33" s="1882"/>
      <c r="V33" s="1882"/>
      <c r="W33" s="1882"/>
      <c r="X33" s="1882"/>
      <c r="Y33" s="1882"/>
      <c r="Z33" s="71"/>
      <c r="AA33" s="127"/>
      <c r="AB33" s="71"/>
      <c r="AC33" s="483"/>
      <c r="AD33" s="483"/>
      <c r="AE33" s="483"/>
      <c r="AF33" s="71"/>
      <c r="AG33" s="1882"/>
      <c r="AH33" s="1882"/>
      <c r="AI33" s="1882"/>
      <c r="AJ33" s="1882"/>
      <c r="AK33" s="1882"/>
      <c r="AL33" s="857" t="s">
        <v>333</v>
      </c>
      <c r="AM33" s="858" t="s">
        <v>3814</v>
      </c>
      <c r="AN33" s="2862"/>
      <c r="AO33" s="902"/>
      <c r="AP33" s="902"/>
      <c r="AQ33" s="2003"/>
      <c r="AR33" s="2003"/>
      <c r="AS33" s="2003"/>
      <c r="AT33" s="2003"/>
      <c r="AU33" s="2003"/>
      <c r="AV33" s="2003"/>
      <c r="AW33" s="2003"/>
    </row>
    <row r="34" spans="1:49" customFormat="1" ht="16">
      <c r="A34" s="856"/>
      <c r="B34" s="860" t="s">
        <v>3815</v>
      </c>
      <c r="C34" s="861" t="s">
        <v>1210</v>
      </c>
      <c r="D34" s="861"/>
      <c r="E34" s="862" t="s">
        <v>49</v>
      </c>
      <c r="F34" s="903">
        <v>3</v>
      </c>
      <c r="G34" s="864">
        <v>0</v>
      </c>
      <c r="H34" s="1385">
        <v>0</v>
      </c>
      <c r="I34" s="1377">
        <v>0</v>
      </c>
      <c r="J34" s="865">
        <v>0</v>
      </c>
      <c r="K34" s="904">
        <v>0</v>
      </c>
      <c r="L34" s="904">
        <v>0</v>
      </c>
      <c r="M34" s="1400">
        <f>+SUM(G34:L34)</f>
        <v>0</v>
      </c>
      <c r="N34" s="905"/>
      <c r="O34" s="1882"/>
      <c r="P34" s="868">
        <f t="shared" ref="P34:P35" si="20" xml:space="preserve"> IF( SUM( R34:Z34 ) = 0, 0, $T$5 )</f>
        <v>0</v>
      </c>
      <c r="Q34" s="869"/>
      <c r="R34" s="71"/>
      <c r="S34" s="70"/>
      <c r="T34" s="93">
        <f t="shared" ref="T34:Y35" si="21" xml:space="preserve"> IF( ISNUMBER( G34 ), 0, 1 )</f>
        <v>0</v>
      </c>
      <c r="U34" s="93">
        <f t="shared" si="21"/>
        <v>0</v>
      </c>
      <c r="V34" s="93">
        <f t="shared" si="21"/>
        <v>0</v>
      </c>
      <c r="W34" s="93">
        <f t="shared" si="21"/>
        <v>0</v>
      </c>
      <c r="X34" s="93">
        <f t="shared" si="21"/>
        <v>0</v>
      </c>
      <c r="Y34" s="93">
        <f t="shared" si="21"/>
        <v>0</v>
      </c>
      <c r="Z34" s="71"/>
      <c r="AA34" s="72"/>
      <c r="AB34" s="71"/>
      <c r="AC34" s="483"/>
      <c r="AD34" s="483"/>
      <c r="AE34" s="483"/>
      <c r="AF34" s="71"/>
      <c r="AG34" s="1882"/>
      <c r="AH34" s="1882"/>
      <c r="AI34" s="1882"/>
      <c r="AJ34" s="1882"/>
      <c r="AK34" s="1882"/>
      <c r="AL34" s="860" t="s">
        <v>3815</v>
      </c>
      <c r="AM34" s="861" t="s">
        <v>1210</v>
      </c>
      <c r="AN34" s="861"/>
      <c r="AO34" s="862" t="s">
        <v>49</v>
      </c>
      <c r="AP34" s="903">
        <v>3</v>
      </c>
      <c r="AQ34" s="2615" t="s">
        <v>3816</v>
      </c>
      <c r="AR34" s="2616" t="s">
        <v>3817</v>
      </c>
      <c r="AS34" s="2617" t="s">
        <v>3818</v>
      </c>
      <c r="AT34" s="2618" t="s">
        <v>3819</v>
      </c>
      <c r="AU34" s="2619" t="s">
        <v>3820</v>
      </c>
      <c r="AV34" s="2619" t="s">
        <v>3821</v>
      </c>
      <c r="AW34" s="2004" t="s">
        <v>3822</v>
      </c>
    </row>
    <row r="35" spans="1:49" customFormat="1" ht="16">
      <c r="A35" s="856"/>
      <c r="B35" s="870" t="s">
        <v>3823</v>
      </c>
      <c r="C35" s="871" t="s">
        <v>1218</v>
      </c>
      <c r="D35" s="871"/>
      <c r="E35" s="872" t="s">
        <v>49</v>
      </c>
      <c r="F35" s="900">
        <v>3</v>
      </c>
      <c r="G35" s="874">
        <v>0</v>
      </c>
      <c r="H35" s="1386">
        <v>0</v>
      </c>
      <c r="I35" s="1378">
        <v>0</v>
      </c>
      <c r="J35" s="875">
        <v>0</v>
      </c>
      <c r="K35" s="906">
        <v>0</v>
      </c>
      <c r="L35" s="906">
        <v>0</v>
      </c>
      <c r="M35" s="1401">
        <f>+SUM(G35:L35)</f>
        <v>0</v>
      </c>
      <c r="N35" s="907"/>
      <c r="O35" s="1882"/>
      <c r="P35" s="868">
        <f t="shared" si="20"/>
        <v>0</v>
      </c>
      <c r="Q35" s="869"/>
      <c r="R35" s="119"/>
      <c r="S35" s="70"/>
      <c r="T35" s="93">
        <f t="shared" si="21"/>
        <v>0</v>
      </c>
      <c r="U35" s="93">
        <f t="shared" si="21"/>
        <v>0</v>
      </c>
      <c r="V35" s="93">
        <f t="shared" si="21"/>
        <v>0</v>
      </c>
      <c r="W35" s="93">
        <f t="shared" si="21"/>
        <v>0</v>
      </c>
      <c r="X35" s="93">
        <f t="shared" si="21"/>
        <v>0</v>
      </c>
      <c r="Y35" s="93">
        <f t="shared" si="21"/>
        <v>0</v>
      </c>
      <c r="Z35" s="119"/>
      <c r="AA35" s="72"/>
      <c r="AB35" s="119"/>
      <c r="AC35" s="483"/>
      <c r="AD35" s="483"/>
      <c r="AE35" s="483"/>
      <c r="AF35" s="119"/>
      <c r="AG35" s="1882"/>
      <c r="AH35" s="1882"/>
      <c r="AI35" s="1882"/>
      <c r="AJ35" s="1882"/>
      <c r="AK35" s="1882"/>
      <c r="AL35" s="870" t="s">
        <v>3823</v>
      </c>
      <c r="AM35" s="871" t="s">
        <v>1218</v>
      </c>
      <c r="AN35" s="871"/>
      <c r="AO35" s="872" t="s">
        <v>49</v>
      </c>
      <c r="AP35" s="900">
        <v>3</v>
      </c>
      <c r="AQ35" s="2620" t="s">
        <v>3824</v>
      </c>
      <c r="AR35" s="2621" t="s">
        <v>3825</v>
      </c>
      <c r="AS35" s="2622" t="s">
        <v>3826</v>
      </c>
      <c r="AT35" s="2623" t="s">
        <v>3827</v>
      </c>
      <c r="AU35" s="2624" t="s">
        <v>3828</v>
      </c>
      <c r="AV35" s="2624" t="s">
        <v>3829</v>
      </c>
      <c r="AW35" s="2005" t="s">
        <v>3830</v>
      </c>
    </row>
    <row r="36" spans="1:49" customFormat="1" ht="16.5" thickBot="1">
      <c r="A36" s="856"/>
      <c r="B36" s="886" t="s">
        <v>3831</v>
      </c>
      <c r="C36" s="887" t="s">
        <v>1226</v>
      </c>
      <c r="D36" s="887"/>
      <c r="E36" s="888" t="s">
        <v>49</v>
      </c>
      <c r="F36" s="908">
        <v>3</v>
      </c>
      <c r="G36" s="901">
        <f t="shared" ref="G36" si="22">SUM(G31:G35)</f>
        <v>2.8190000000000004</v>
      </c>
      <c r="H36" s="1391">
        <f>SUM(H31:H35)</f>
        <v>12.516402704114839</v>
      </c>
      <c r="I36" s="1383">
        <f>SUM(I31:I35)</f>
        <v>0.91025408904189131</v>
      </c>
      <c r="J36" s="909">
        <f>SUM(J31:J35)</f>
        <v>1.3466596179573045</v>
      </c>
      <c r="K36" s="910">
        <f>SUM(K31:K35)</f>
        <v>23.84420672942332</v>
      </c>
      <c r="L36" s="910">
        <f>SUM(L31:L35)</f>
        <v>80.307428692807221</v>
      </c>
      <c r="M36" s="1402">
        <f>+SUM(G36:L36)</f>
        <v>121.74395183334457</v>
      </c>
      <c r="N36" s="893"/>
      <c r="O36" s="1882"/>
      <c r="P36" s="580"/>
      <c r="Q36" s="1882"/>
      <c r="R36" s="124"/>
      <c r="S36" s="70"/>
      <c r="T36" s="1882"/>
      <c r="U36" s="1882"/>
      <c r="V36" s="1882"/>
      <c r="W36" s="1882"/>
      <c r="X36" s="1882"/>
      <c r="Y36" s="1882"/>
      <c r="Z36" s="124"/>
      <c r="AA36" s="72"/>
      <c r="AB36" s="124"/>
      <c r="AC36" s="483"/>
      <c r="AD36" s="483"/>
      <c r="AE36" s="483"/>
      <c r="AF36" s="124"/>
      <c r="AG36" s="1882"/>
      <c r="AH36" s="1882"/>
      <c r="AI36" s="1882"/>
      <c r="AJ36" s="1882"/>
      <c r="AK36" s="1882"/>
      <c r="AL36" s="886" t="s">
        <v>3831</v>
      </c>
      <c r="AM36" s="887" t="s">
        <v>1226</v>
      </c>
      <c r="AN36" s="887"/>
      <c r="AO36" s="888" t="s">
        <v>49</v>
      </c>
      <c r="AP36" s="908">
        <v>3</v>
      </c>
      <c r="AQ36" s="2001" t="s">
        <v>3832</v>
      </c>
      <c r="AR36" s="2002" t="s">
        <v>3833</v>
      </c>
      <c r="AS36" s="2006" t="s">
        <v>3834</v>
      </c>
      <c r="AT36" s="2007" t="s">
        <v>3835</v>
      </c>
      <c r="AU36" s="2008" t="s">
        <v>3836</v>
      </c>
      <c r="AV36" s="2008" t="s">
        <v>3837</v>
      </c>
      <c r="AW36" s="2009" t="s">
        <v>3838</v>
      </c>
    </row>
    <row r="37" spans="1:49" customFormat="1" ht="16.5" thickBot="1">
      <c r="A37" s="856"/>
      <c r="B37" s="920"/>
      <c r="C37" s="912"/>
      <c r="D37" s="912"/>
      <c r="E37" s="913"/>
      <c r="F37" s="913"/>
      <c r="G37" s="913"/>
      <c r="H37" s="913"/>
      <c r="I37" s="913"/>
      <c r="J37" s="913"/>
      <c r="K37" s="913"/>
      <c r="L37" s="913"/>
      <c r="M37" s="913"/>
      <c r="N37" s="1872"/>
      <c r="O37" s="1882"/>
      <c r="P37" s="580"/>
      <c r="Q37" s="1882"/>
      <c r="R37" s="124"/>
      <c r="S37" s="70"/>
      <c r="T37" s="1882"/>
      <c r="U37" s="1882"/>
      <c r="V37" s="1882"/>
      <c r="W37" s="1882"/>
      <c r="X37" s="1882"/>
      <c r="Y37" s="1882"/>
      <c r="Z37" s="124"/>
      <c r="AA37" s="72"/>
      <c r="AB37" s="124"/>
      <c r="AC37" s="483"/>
      <c r="AD37" s="483"/>
      <c r="AE37" s="483"/>
      <c r="AF37" s="124"/>
      <c r="AG37" s="1882"/>
      <c r="AH37" s="1882"/>
      <c r="AI37" s="1882"/>
      <c r="AJ37" s="1882"/>
      <c r="AK37" s="1882"/>
      <c r="AL37" s="920"/>
      <c r="AM37" s="912"/>
      <c r="AN37" s="912"/>
      <c r="AO37" s="913"/>
      <c r="AP37" s="913"/>
      <c r="AQ37" s="2010"/>
      <c r="AR37" s="2010"/>
      <c r="AS37" s="2010"/>
      <c r="AT37" s="2010"/>
      <c r="AU37" s="2010"/>
      <c r="AV37" s="2010"/>
      <c r="AW37" s="2010"/>
    </row>
    <row r="38" spans="1:49" customFormat="1" ht="16.5" thickBot="1">
      <c r="A38" s="856"/>
      <c r="B38" s="857" t="s">
        <v>390</v>
      </c>
      <c r="C38" s="1661" t="s">
        <v>3839</v>
      </c>
      <c r="D38" s="2862"/>
      <c r="E38" s="913"/>
      <c r="F38" s="913"/>
      <c r="G38" s="914"/>
      <c r="H38" s="914"/>
      <c r="I38" s="914"/>
      <c r="J38" s="914"/>
      <c r="K38" s="914"/>
      <c r="L38" s="914"/>
      <c r="M38" s="914"/>
      <c r="N38" s="1873"/>
      <c r="O38" s="1882"/>
      <c r="P38" s="580"/>
      <c r="Q38" s="1882"/>
      <c r="R38" s="124"/>
      <c r="S38" s="1882"/>
      <c r="T38" s="1882"/>
      <c r="U38" s="1882"/>
      <c r="V38" s="1882"/>
      <c r="W38" s="1882"/>
      <c r="X38" s="1882"/>
      <c r="Y38" s="1882"/>
      <c r="Z38" s="124"/>
      <c r="AA38" s="72"/>
      <c r="AB38" s="124"/>
      <c r="AC38" s="483"/>
      <c r="AD38" s="483"/>
      <c r="AE38" s="483"/>
      <c r="AF38" s="124"/>
      <c r="AG38" s="1882"/>
      <c r="AH38" s="1882"/>
      <c r="AI38" s="1882"/>
      <c r="AJ38" s="1882"/>
      <c r="AK38" s="1882"/>
      <c r="AL38" s="857" t="s">
        <v>390</v>
      </c>
      <c r="AM38" s="858" t="s">
        <v>3839</v>
      </c>
      <c r="AN38" s="2862"/>
      <c r="AO38" s="913"/>
      <c r="AP38" s="913"/>
      <c r="AQ38" s="1977"/>
      <c r="AR38" s="1977"/>
      <c r="AS38" s="1977"/>
      <c r="AT38" s="1977"/>
      <c r="AU38" s="1977"/>
      <c r="AV38" s="1977"/>
      <c r="AW38" s="1977"/>
    </row>
    <row r="39" spans="1:49" customFormat="1" ht="16">
      <c r="A39" s="856"/>
      <c r="B39" s="860" t="s">
        <v>3840</v>
      </c>
      <c r="C39" s="1870" t="s">
        <v>12900</v>
      </c>
      <c r="D39" s="916"/>
      <c r="E39" s="862" t="s">
        <v>49</v>
      </c>
      <c r="F39" s="863">
        <v>3</v>
      </c>
      <c r="G39" s="864">
        <v>2.4740000000000002</v>
      </c>
      <c r="H39" s="1385">
        <v>0</v>
      </c>
      <c r="I39" s="1377">
        <v>0</v>
      </c>
      <c r="J39" s="865">
        <v>0</v>
      </c>
      <c r="K39" s="904">
        <v>0</v>
      </c>
      <c r="L39" s="904">
        <v>0</v>
      </c>
      <c r="M39" s="1403">
        <f t="shared" ref="M39:M49" si="23">+SUM(G39:L39)</f>
        <v>2.4740000000000002</v>
      </c>
      <c r="N39" s="905"/>
      <c r="O39" s="1882"/>
      <c r="P39" s="1525">
        <f t="shared" ref="P39:P48" si="24">(IF(SUM(T39:Z39)=0,IF(S39=1,AE$39,0),$T$5))</f>
        <v>0</v>
      </c>
      <c r="Q39" s="869"/>
      <c r="R39" s="124"/>
      <c r="S39" s="1721">
        <f xml:space="preserve"> IF( AND(OR(C39 = "Item 1",C39=""), OR( G39 &lt;&gt; 0, H39 &lt;&gt; 0, I39 &lt;&gt; 0, J39 &lt;&gt; 0, K39 &lt;&gt; 0, L39 &lt;&gt; 0) ), 1, 0 )</f>
        <v>0</v>
      </c>
      <c r="T39" s="1721">
        <f xml:space="preserve"> IF(AND($C39="Item 1",$M39=0), 0, IF( ISNUMBER( G39 ), 0, 1 ))</f>
        <v>0</v>
      </c>
      <c r="U39" s="1721">
        <f t="shared" ref="U39:Y39" si="25" xml:space="preserve"> IF(AND($C39="Item 1",$M39=0), 0, IF( ISNUMBER( H39 ), 0, 1 ))</f>
        <v>0</v>
      </c>
      <c r="V39" s="1721">
        <f t="shared" si="25"/>
        <v>0</v>
      </c>
      <c r="W39" s="1721">
        <f t="shared" si="25"/>
        <v>0</v>
      </c>
      <c r="X39" s="1721">
        <f t="shared" si="25"/>
        <v>0</v>
      </c>
      <c r="Y39" s="1721">
        <f t="shared" si="25"/>
        <v>0</v>
      </c>
      <c r="Z39" s="71"/>
      <c r="AA39" s="72"/>
      <c r="AB39" s="124"/>
      <c r="AC39" s="483"/>
      <c r="AD39" s="483"/>
      <c r="AE39" s="483" t="s">
        <v>3842</v>
      </c>
      <c r="AF39" s="124"/>
      <c r="AG39" s="1882"/>
      <c r="AH39" s="1882"/>
      <c r="AI39" s="1882"/>
      <c r="AJ39" s="1882"/>
      <c r="AK39" s="1882"/>
      <c r="AL39" s="860" t="s">
        <v>3840</v>
      </c>
      <c r="AM39" s="2637" t="s">
        <v>3843</v>
      </c>
      <c r="AN39" s="2638"/>
      <c r="AO39" s="862" t="s">
        <v>49</v>
      </c>
      <c r="AP39" s="863">
        <v>3</v>
      </c>
      <c r="AQ39" s="2615" t="s">
        <v>3843</v>
      </c>
      <c r="AR39" s="2616" t="s">
        <v>3844</v>
      </c>
      <c r="AS39" s="2617" t="s">
        <v>3845</v>
      </c>
      <c r="AT39" s="2618" t="s">
        <v>3846</v>
      </c>
      <c r="AU39" s="2619" t="s">
        <v>3847</v>
      </c>
      <c r="AV39" s="2619" t="s">
        <v>3848</v>
      </c>
      <c r="AW39" s="2011" t="s">
        <v>3849</v>
      </c>
    </row>
    <row r="40" spans="1:49" customFormat="1" ht="16">
      <c r="A40" s="856"/>
      <c r="B40" s="870" t="s">
        <v>3850</v>
      </c>
      <c r="C40" s="1870" t="s">
        <v>12901</v>
      </c>
      <c r="D40" s="875"/>
      <c r="E40" s="872" t="s">
        <v>49</v>
      </c>
      <c r="F40" s="873">
        <v>3</v>
      </c>
      <c r="G40" s="874">
        <v>0</v>
      </c>
      <c r="H40" s="1386">
        <v>1.4490000000000001</v>
      </c>
      <c r="I40" s="1378">
        <v>0.24199999999999999</v>
      </c>
      <c r="J40" s="875">
        <v>0</v>
      </c>
      <c r="K40" s="906">
        <v>0.72499999999999998</v>
      </c>
      <c r="L40" s="906">
        <v>1.4490000000000001</v>
      </c>
      <c r="M40" s="1404">
        <f t="shared" si="23"/>
        <v>3.8650000000000002</v>
      </c>
      <c r="N40" s="907"/>
      <c r="O40" s="1882"/>
      <c r="P40" s="1525">
        <f t="shared" si="24"/>
        <v>0</v>
      </c>
      <c r="Q40" s="869"/>
      <c r="R40" s="124"/>
      <c r="S40" s="1721">
        <f xml:space="preserve"> IF( AND(OR(C40 = "Item 2",C40=""), OR( G40 &lt;&gt; 0, H40 &lt;&gt; 0, I40 &lt;&gt; 0, J40 &lt;&gt; 0, K40 &lt;&gt; 0, L40 &lt;&gt; 0) ), 1, 0 )</f>
        <v>0</v>
      </c>
      <c r="T40" s="1721">
        <f xml:space="preserve"> IF(AND($C40="Item 2",$M40=0), 0, IF( ISNUMBER( G40 ), 0, 1 ))</f>
        <v>0</v>
      </c>
      <c r="U40" s="1721">
        <f t="shared" ref="U40:Y40" si="26" xml:space="preserve"> IF(AND($C40="Item 2",$M40=0), 0, IF( ISNUMBER( H40 ), 0, 1 ))</f>
        <v>0</v>
      </c>
      <c r="V40" s="1721">
        <f t="shared" si="26"/>
        <v>0</v>
      </c>
      <c r="W40" s="1721">
        <f t="shared" si="26"/>
        <v>0</v>
      </c>
      <c r="X40" s="1721">
        <f t="shared" si="26"/>
        <v>0</v>
      </c>
      <c r="Y40" s="1721">
        <f t="shared" si="26"/>
        <v>0</v>
      </c>
      <c r="Z40" s="124"/>
      <c r="AA40" s="72"/>
      <c r="AB40" s="124"/>
      <c r="AC40" s="483"/>
      <c r="AD40" s="483"/>
      <c r="AE40" s="483"/>
      <c r="AF40" s="124"/>
      <c r="AG40" s="1882"/>
      <c r="AH40" s="1882"/>
      <c r="AI40" s="1882"/>
      <c r="AJ40" s="1882"/>
      <c r="AK40" s="1882"/>
      <c r="AL40" s="870" t="s">
        <v>3850</v>
      </c>
      <c r="AM40" s="2637" t="s">
        <v>3852</v>
      </c>
      <c r="AN40" s="2639"/>
      <c r="AO40" s="872" t="s">
        <v>49</v>
      </c>
      <c r="AP40" s="873">
        <v>3</v>
      </c>
      <c r="AQ40" s="2620" t="s">
        <v>3852</v>
      </c>
      <c r="AR40" s="2621" t="s">
        <v>3853</v>
      </c>
      <c r="AS40" s="2622" t="s">
        <v>3854</v>
      </c>
      <c r="AT40" s="2623" t="s">
        <v>3855</v>
      </c>
      <c r="AU40" s="2624" t="s">
        <v>3856</v>
      </c>
      <c r="AV40" s="2624" t="s">
        <v>3857</v>
      </c>
      <c r="AW40" s="2012" t="s">
        <v>3858</v>
      </c>
    </row>
    <row r="41" spans="1:49" customFormat="1" ht="16">
      <c r="A41" s="856"/>
      <c r="B41" s="870" t="s">
        <v>3859</v>
      </c>
      <c r="C41" s="1870" t="s">
        <v>3860</v>
      </c>
      <c r="D41" s="875"/>
      <c r="E41" s="872" t="s">
        <v>49</v>
      </c>
      <c r="F41" s="873">
        <v>3</v>
      </c>
      <c r="G41" s="874"/>
      <c r="H41" s="1386"/>
      <c r="I41" s="1378"/>
      <c r="J41" s="875"/>
      <c r="K41" s="906"/>
      <c r="L41" s="906"/>
      <c r="M41" s="1404">
        <f t="shared" si="23"/>
        <v>0</v>
      </c>
      <c r="N41" s="917"/>
      <c r="O41" s="1882"/>
      <c r="P41" s="1525">
        <f t="shared" si="24"/>
        <v>0</v>
      </c>
      <c r="Q41" s="869"/>
      <c r="R41" s="124"/>
      <c r="S41" s="1721">
        <f xml:space="preserve"> IF( AND(OR(C41 = "Item 3",C41=""), OR( G41 &lt;&gt; 0, H41 &lt;&gt; 0, I41 &lt;&gt; 0, J41 &lt;&gt; 0, K41 &lt;&gt; 0, L41 &lt;&gt; 0) ), 1, 0 )</f>
        <v>0</v>
      </c>
      <c r="T41" s="1721">
        <f xml:space="preserve"> IF(AND($C41="Item 3",$M41=0), 0, IF( ISNUMBER( G41 ), 0, 1 ))</f>
        <v>0</v>
      </c>
      <c r="U41" s="1721">
        <f t="shared" ref="U41:Y41" si="27" xml:space="preserve"> IF(AND($C41="Item 3",$M41=0), 0, IF( ISNUMBER( H41 ), 0, 1 ))</f>
        <v>0</v>
      </c>
      <c r="V41" s="1721">
        <f t="shared" si="27"/>
        <v>0</v>
      </c>
      <c r="W41" s="1721">
        <f t="shared" si="27"/>
        <v>0</v>
      </c>
      <c r="X41" s="1721">
        <f t="shared" si="27"/>
        <v>0</v>
      </c>
      <c r="Y41" s="1721">
        <f t="shared" si="27"/>
        <v>0</v>
      </c>
      <c r="Z41" s="124"/>
      <c r="AA41" s="72"/>
      <c r="AB41" s="124"/>
      <c r="AC41" s="112"/>
      <c r="AD41" s="112"/>
      <c r="AE41" s="139"/>
      <c r="AF41" s="124"/>
      <c r="AG41" s="1882"/>
      <c r="AH41" s="1882"/>
      <c r="AI41" s="1882"/>
      <c r="AJ41" s="1882"/>
      <c r="AK41" s="1882"/>
      <c r="AL41" s="870" t="s">
        <v>3859</v>
      </c>
      <c r="AM41" s="2637" t="s">
        <v>3861</v>
      </c>
      <c r="AN41" s="2639"/>
      <c r="AO41" s="872" t="s">
        <v>49</v>
      </c>
      <c r="AP41" s="873">
        <v>3</v>
      </c>
      <c r="AQ41" s="2620" t="s">
        <v>3861</v>
      </c>
      <c r="AR41" s="2621" t="s">
        <v>3862</v>
      </c>
      <c r="AS41" s="2622" t="s">
        <v>3863</v>
      </c>
      <c r="AT41" s="2623" t="s">
        <v>3864</v>
      </c>
      <c r="AU41" s="2624" t="s">
        <v>3865</v>
      </c>
      <c r="AV41" s="2624" t="s">
        <v>3866</v>
      </c>
      <c r="AW41" s="2012" t="s">
        <v>3867</v>
      </c>
    </row>
    <row r="42" spans="1:49" customFormat="1" ht="16">
      <c r="A42" s="856"/>
      <c r="B42" s="918" t="s">
        <v>3868</v>
      </c>
      <c r="C42" s="1870" t="s">
        <v>3869</v>
      </c>
      <c r="D42" s="875"/>
      <c r="E42" s="872" t="s">
        <v>49</v>
      </c>
      <c r="F42" s="873">
        <v>3</v>
      </c>
      <c r="G42" s="874"/>
      <c r="H42" s="1386"/>
      <c r="I42" s="1378"/>
      <c r="J42" s="875"/>
      <c r="K42" s="906"/>
      <c r="L42" s="906"/>
      <c r="M42" s="1404">
        <f t="shared" si="23"/>
        <v>0</v>
      </c>
      <c r="N42" s="917"/>
      <c r="O42" s="1882"/>
      <c r="P42" s="1525">
        <f t="shared" si="24"/>
        <v>0</v>
      </c>
      <c r="Q42" s="869"/>
      <c r="R42" s="124"/>
      <c r="S42" s="1721">
        <f xml:space="preserve"> IF( AND(OR(C42 = "Item 4",C42=""), OR( G42 &lt;&gt; 0, H42 &lt;&gt; 0, I42 &lt;&gt; 0, J42 &lt;&gt; 0, K42 &lt;&gt; 0, L42 &lt;&gt; 0) ), 1, 0 )</f>
        <v>0</v>
      </c>
      <c r="T42" s="1721">
        <f xml:space="preserve"> IF(AND($C42="Item 4",$M42=0), 0, IF( ISNUMBER( G42 ), 0, 1 ))</f>
        <v>0</v>
      </c>
      <c r="U42" s="1721">
        <f t="shared" ref="U42:Y42" si="28" xml:space="preserve"> IF(AND($C42="Item 4",$M42=0), 0, IF( ISNUMBER( H42 ), 0, 1 ))</f>
        <v>0</v>
      </c>
      <c r="V42" s="1721">
        <f t="shared" si="28"/>
        <v>0</v>
      </c>
      <c r="W42" s="1721">
        <f t="shared" si="28"/>
        <v>0</v>
      </c>
      <c r="X42" s="1721">
        <f t="shared" si="28"/>
        <v>0</v>
      </c>
      <c r="Y42" s="1721">
        <f t="shared" si="28"/>
        <v>0</v>
      </c>
      <c r="Z42" s="124"/>
      <c r="AA42" s="72"/>
      <c r="AB42" s="124"/>
      <c r="AC42" s="483"/>
      <c r="AD42" s="483"/>
      <c r="AE42" s="483"/>
      <c r="AF42" s="124"/>
      <c r="AG42" s="1882"/>
      <c r="AH42" s="1882"/>
      <c r="AI42" s="1882"/>
      <c r="AJ42" s="1882"/>
      <c r="AK42" s="1882"/>
      <c r="AL42" s="918" t="s">
        <v>3868</v>
      </c>
      <c r="AM42" s="2637" t="s">
        <v>3870</v>
      </c>
      <c r="AN42" s="2639"/>
      <c r="AO42" s="872" t="s">
        <v>49</v>
      </c>
      <c r="AP42" s="873">
        <v>3</v>
      </c>
      <c r="AQ42" s="2620" t="s">
        <v>3870</v>
      </c>
      <c r="AR42" s="2621" t="s">
        <v>3871</v>
      </c>
      <c r="AS42" s="2622" t="s">
        <v>3872</v>
      </c>
      <c r="AT42" s="2623" t="s">
        <v>3873</v>
      </c>
      <c r="AU42" s="2624" t="s">
        <v>3874</v>
      </c>
      <c r="AV42" s="2624" t="s">
        <v>3875</v>
      </c>
      <c r="AW42" s="2012" t="s">
        <v>3876</v>
      </c>
    </row>
    <row r="43" spans="1:49" customFormat="1" ht="16">
      <c r="A43" s="856"/>
      <c r="B43" s="870" t="s">
        <v>3877</v>
      </c>
      <c r="C43" s="1870" t="s">
        <v>3878</v>
      </c>
      <c r="D43" s="875"/>
      <c r="E43" s="872" t="s">
        <v>49</v>
      </c>
      <c r="F43" s="873">
        <v>3</v>
      </c>
      <c r="G43" s="874"/>
      <c r="H43" s="1386"/>
      <c r="I43" s="1378"/>
      <c r="J43" s="875"/>
      <c r="K43" s="906"/>
      <c r="L43" s="906"/>
      <c r="M43" s="1404">
        <f t="shared" si="23"/>
        <v>0</v>
      </c>
      <c r="N43" s="917"/>
      <c r="O43" s="1882"/>
      <c r="P43" s="1525">
        <f t="shared" si="24"/>
        <v>0</v>
      </c>
      <c r="Q43" s="869"/>
      <c r="R43" s="124"/>
      <c r="S43" s="1721">
        <f xml:space="preserve"> IF( AND(OR(C43 = "Item 5",C43=""), OR( G43 &lt;&gt; 0, H43 &lt;&gt; 0, I43 &lt;&gt; 0, J43 &lt;&gt; 0, K43 &lt;&gt; 0, L43 &lt;&gt; 0) ), 1, 0 )</f>
        <v>0</v>
      </c>
      <c r="T43" s="1721">
        <f xml:space="preserve"> IF(AND($C43="Item 5",$M43=0), 0, IF( ISNUMBER( G43 ), 0, 1 ))</f>
        <v>0</v>
      </c>
      <c r="U43" s="1721">
        <f t="shared" ref="U43:Y43" si="29" xml:space="preserve"> IF(AND($C43="Item 5",$M43=0), 0, IF( ISNUMBER( H43 ), 0, 1 ))</f>
        <v>0</v>
      </c>
      <c r="V43" s="1721">
        <f t="shared" si="29"/>
        <v>0</v>
      </c>
      <c r="W43" s="1721">
        <f t="shared" si="29"/>
        <v>0</v>
      </c>
      <c r="X43" s="1721">
        <f t="shared" si="29"/>
        <v>0</v>
      </c>
      <c r="Y43" s="1721">
        <f t="shared" si="29"/>
        <v>0</v>
      </c>
      <c r="Z43" s="124"/>
      <c r="AA43" s="72"/>
      <c r="AB43" s="124"/>
      <c r="AC43" s="483"/>
      <c r="AD43" s="483"/>
      <c r="AE43" s="483"/>
      <c r="AF43" s="124"/>
      <c r="AG43" s="1882"/>
      <c r="AH43" s="1882"/>
      <c r="AI43" s="1882"/>
      <c r="AJ43" s="1882"/>
      <c r="AK43" s="1882"/>
      <c r="AL43" s="870" t="s">
        <v>3877</v>
      </c>
      <c r="AM43" s="2637" t="s">
        <v>3879</v>
      </c>
      <c r="AN43" s="2639"/>
      <c r="AO43" s="872" t="s">
        <v>49</v>
      </c>
      <c r="AP43" s="873">
        <v>3</v>
      </c>
      <c r="AQ43" s="2620" t="s">
        <v>3879</v>
      </c>
      <c r="AR43" s="2621" t="s">
        <v>3880</v>
      </c>
      <c r="AS43" s="2622" t="s">
        <v>3881</v>
      </c>
      <c r="AT43" s="2623" t="s">
        <v>3882</v>
      </c>
      <c r="AU43" s="2624" t="s">
        <v>3883</v>
      </c>
      <c r="AV43" s="2624" t="s">
        <v>3884</v>
      </c>
      <c r="AW43" s="2012" t="s">
        <v>3885</v>
      </c>
    </row>
    <row r="44" spans="1:49" customFormat="1" ht="16">
      <c r="A44" s="856"/>
      <c r="B44" s="1343" t="s">
        <v>3886</v>
      </c>
      <c r="C44" s="1870" t="s">
        <v>3887</v>
      </c>
      <c r="D44" s="1344"/>
      <c r="E44" s="872" t="s">
        <v>49</v>
      </c>
      <c r="F44" s="873">
        <v>3</v>
      </c>
      <c r="G44" s="1345"/>
      <c r="H44" s="1392"/>
      <c r="I44" s="1384"/>
      <c r="J44" s="1344"/>
      <c r="K44" s="1346"/>
      <c r="L44" s="1346"/>
      <c r="M44" s="1404">
        <f t="shared" ref="M44:M48" si="30">+SUM(G44:L44)</f>
        <v>0</v>
      </c>
      <c r="N44" s="917"/>
      <c r="O44" s="1882"/>
      <c r="P44" s="1525">
        <f t="shared" si="24"/>
        <v>0</v>
      </c>
      <c r="Q44" s="869"/>
      <c r="R44" s="124"/>
      <c r="S44" s="1721">
        <f xml:space="preserve"> IF( AND(OR(C44 = "Item 6",C44=""), OR( G44 &lt;&gt; 0, H44 &lt;&gt; 0, I44 &lt;&gt; 0, J44 &lt;&gt; 0, K44 &lt;&gt; 0, L44 &lt;&gt; 0) ), 1, 0 )</f>
        <v>0</v>
      </c>
      <c r="T44" s="1721">
        <f xml:space="preserve"> IF(AND($C44="Item 6",$M44=0), 0, IF( ISNUMBER( G44 ), 0, 1 ))</f>
        <v>0</v>
      </c>
      <c r="U44" s="1721">
        <f t="shared" ref="U44:Y44" si="31" xml:space="preserve"> IF(AND($C44="Item 6",$M44=0), 0, IF( ISNUMBER( H44 ), 0, 1 ))</f>
        <v>0</v>
      </c>
      <c r="V44" s="1721">
        <f t="shared" si="31"/>
        <v>0</v>
      </c>
      <c r="W44" s="1721">
        <f t="shared" si="31"/>
        <v>0</v>
      </c>
      <c r="X44" s="1721">
        <f t="shared" si="31"/>
        <v>0</v>
      </c>
      <c r="Y44" s="1721">
        <f t="shared" si="31"/>
        <v>0</v>
      </c>
      <c r="Z44" s="124"/>
      <c r="AA44" s="72"/>
      <c r="AB44" s="124"/>
      <c r="AC44" s="483"/>
      <c r="AD44" s="483"/>
      <c r="AE44" s="483"/>
      <c r="AF44" s="124"/>
      <c r="AG44" s="1882"/>
      <c r="AH44" s="1882"/>
      <c r="AI44" s="1882"/>
      <c r="AJ44" s="1882"/>
      <c r="AK44" s="1882"/>
      <c r="AL44" s="1343" t="s">
        <v>3886</v>
      </c>
      <c r="AM44" s="2637" t="s">
        <v>3888</v>
      </c>
      <c r="AN44" s="2640"/>
      <c r="AO44" s="872" t="s">
        <v>49</v>
      </c>
      <c r="AP44" s="873">
        <v>3</v>
      </c>
      <c r="AQ44" s="2641" t="s">
        <v>3888</v>
      </c>
      <c r="AR44" s="2642" t="s">
        <v>3889</v>
      </c>
      <c r="AS44" s="2643" t="s">
        <v>3890</v>
      </c>
      <c r="AT44" s="2644" t="s">
        <v>3891</v>
      </c>
      <c r="AU44" s="2645" t="s">
        <v>3892</v>
      </c>
      <c r="AV44" s="2645" t="s">
        <v>3893</v>
      </c>
      <c r="AW44" s="2012" t="s">
        <v>3894</v>
      </c>
    </row>
    <row r="45" spans="1:49" customFormat="1" ht="16">
      <c r="A45" s="856"/>
      <c r="B45" s="1343" t="s">
        <v>3895</v>
      </c>
      <c r="C45" s="1870" t="s">
        <v>3896</v>
      </c>
      <c r="D45" s="1344"/>
      <c r="E45" s="872" t="s">
        <v>49</v>
      </c>
      <c r="F45" s="873">
        <v>3</v>
      </c>
      <c r="G45" s="1345"/>
      <c r="H45" s="1392"/>
      <c r="I45" s="1384"/>
      <c r="J45" s="1344"/>
      <c r="K45" s="1346"/>
      <c r="L45" s="1346"/>
      <c r="M45" s="1404">
        <f t="shared" si="30"/>
        <v>0</v>
      </c>
      <c r="N45" s="917"/>
      <c r="O45" s="1882"/>
      <c r="P45" s="1525">
        <f t="shared" si="24"/>
        <v>0</v>
      </c>
      <c r="Q45" s="869"/>
      <c r="R45" s="124"/>
      <c r="S45" s="1721">
        <f xml:space="preserve"> IF( AND(OR(C45 = "Item 7",C45=""), OR( G45 &lt;&gt; 0, H45 &lt;&gt; 0, I45 &lt;&gt; 0, J45 &lt;&gt; 0, K45 &lt;&gt; 0, L45 &lt;&gt; 0) ), 1, 0 )</f>
        <v>0</v>
      </c>
      <c r="T45" s="1721">
        <f xml:space="preserve"> IF(AND($C45="Item 7",$M45=0), 0, IF( ISNUMBER( G45 ), 0, 1 ))</f>
        <v>0</v>
      </c>
      <c r="U45" s="1721">
        <f t="shared" ref="U45:Y45" si="32" xml:space="preserve"> IF(AND($C45="Item 7",$M45=0), 0, IF( ISNUMBER( H45 ), 0, 1 ))</f>
        <v>0</v>
      </c>
      <c r="V45" s="1721">
        <f t="shared" si="32"/>
        <v>0</v>
      </c>
      <c r="W45" s="1721">
        <f t="shared" si="32"/>
        <v>0</v>
      </c>
      <c r="X45" s="1721">
        <f t="shared" si="32"/>
        <v>0</v>
      </c>
      <c r="Y45" s="1721">
        <f t="shared" si="32"/>
        <v>0</v>
      </c>
      <c r="Z45" s="124"/>
      <c r="AA45" s="72"/>
      <c r="AB45" s="124"/>
      <c r="AC45" s="483"/>
      <c r="AD45" s="483"/>
      <c r="AE45" s="483"/>
      <c r="AF45" s="124"/>
      <c r="AG45" s="1882"/>
      <c r="AH45" s="1882"/>
      <c r="AI45" s="1882"/>
      <c r="AJ45" s="1882"/>
      <c r="AK45" s="1882"/>
      <c r="AL45" s="1343" t="s">
        <v>3895</v>
      </c>
      <c r="AM45" s="2637" t="s">
        <v>3897</v>
      </c>
      <c r="AN45" s="2640"/>
      <c r="AO45" s="872" t="s">
        <v>49</v>
      </c>
      <c r="AP45" s="873">
        <v>3</v>
      </c>
      <c r="AQ45" s="2641" t="s">
        <v>3897</v>
      </c>
      <c r="AR45" s="2642" t="s">
        <v>3898</v>
      </c>
      <c r="AS45" s="2643" t="s">
        <v>3899</v>
      </c>
      <c r="AT45" s="2644" t="s">
        <v>3900</v>
      </c>
      <c r="AU45" s="2645" t="s">
        <v>3901</v>
      </c>
      <c r="AV45" s="2645" t="s">
        <v>3902</v>
      </c>
      <c r="AW45" s="2012" t="s">
        <v>3903</v>
      </c>
    </row>
    <row r="46" spans="1:49" customFormat="1" ht="16">
      <c r="A46" s="856"/>
      <c r="B46" s="1343" t="s">
        <v>3904</v>
      </c>
      <c r="C46" s="1870" t="s">
        <v>3905</v>
      </c>
      <c r="D46" s="1344"/>
      <c r="E46" s="872" t="s">
        <v>49</v>
      </c>
      <c r="F46" s="873">
        <v>3</v>
      </c>
      <c r="G46" s="1345"/>
      <c r="H46" s="1392"/>
      <c r="I46" s="1384"/>
      <c r="J46" s="1344"/>
      <c r="K46" s="1346"/>
      <c r="L46" s="1346"/>
      <c r="M46" s="1404">
        <f t="shared" si="30"/>
        <v>0</v>
      </c>
      <c r="N46" s="917"/>
      <c r="O46" s="1882"/>
      <c r="P46" s="1525">
        <f t="shared" si="24"/>
        <v>0</v>
      </c>
      <c r="Q46" s="869"/>
      <c r="R46" s="124"/>
      <c r="S46" s="1721">
        <f xml:space="preserve"> IF( AND(OR(C46 = "Item 8",C46=""), OR( G46 &lt;&gt; 0, H46 &lt;&gt; 0, I46 &lt;&gt; 0, J46 &lt;&gt; 0, K46 &lt;&gt; 0, L46 &lt;&gt; 0) ), 1, 0 )</f>
        <v>0</v>
      </c>
      <c r="T46" s="1721">
        <f xml:space="preserve"> IF(AND($C46="Item 8",$M46=0), 0, IF( ISNUMBER( G46 ), 0, 1 ))</f>
        <v>0</v>
      </c>
      <c r="U46" s="1721">
        <f t="shared" ref="U46:Y46" si="33" xml:space="preserve"> IF(AND($C46="Item 8",$M46=0), 0, IF( ISNUMBER( H46 ), 0, 1 ))</f>
        <v>0</v>
      </c>
      <c r="V46" s="1721">
        <f t="shared" si="33"/>
        <v>0</v>
      </c>
      <c r="W46" s="1721">
        <f t="shared" si="33"/>
        <v>0</v>
      </c>
      <c r="X46" s="1721">
        <f t="shared" si="33"/>
        <v>0</v>
      </c>
      <c r="Y46" s="1721">
        <f t="shared" si="33"/>
        <v>0</v>
      </c>
      <c r="Z46" s="124"/>
      <c r="AA46" s="72"/>
      <c r="AB46" s="124"/>
      <c r="AC46" s="483"/>
      <c r="AD46" s="483"/>
      <c r="AE46" s="483"/>
      <c r="AF46" s="124"/>
      <c r="AG46" s="1882"/>
      <c r="AH46" s="1882"/>
      <c r="AI46" s="1882"/>
      <c r="AJ46" s="1882"/>
      <c r="AK46" s="1882"/>
      <c r="AL46" s="1343" t="s">
        <v>3904</v>
      </c>
      <c r="AM46" s="2637" t="s">
        <v>3906</v>
      </c>
      <c r="AN46" s="2640"/>
      <c r="AO46" s="872" t="s">
        <v>49</v>
      </c>
      <c r="AP46" s="873">
        <v>3</v>
      </c>
      <c r="AQ46" s="2641" t="s">
        <v>3906</v>
      </c>
      <c r="AR46" s="2642" t="s">
        <v>3907</v>
      </c>
      <c r="AS46" s="2643" t="s">
        <v>3908</v>
      </c>
      <c r="AT46" s="2644" t="s">
        <v>3909</v>
      </c>
      <c r="AU46" s="2645" t="s">
        <v>3910</v>
      </c>
      <c r="AV46" s="2645" t="s">
        <v>3911</v>
      </c>
      <c r="AW46" s="2012" t="s">
        <v>3912</v>
      </c>
    </row>
    <row r="47" spans="1:49" customFormat="1" ht="16">
      <c r="A47" s="856"/>
      <c r="B47" s="1343" t="s">
        <v>3913</v>
      </c>
      <c r="C47" s="1870" t="s">
        <v>3914</v>
      </c>
      <c r="D47" s="1344"/>
      <c r="E47" s="872" t="s">
        <v>49</v>
      </c>
      <c r="F47" s="873">
        <v>3</v>
      </c>
      <c r="G47" s="1345"/>
      <c r="H47" s="1392"/>
      <c r="I47" s="1384"/>
      <c r="J47" s="1344"/>
      <c r="K47" s="1346"/>
      <c r="L47" s="1346"/>
      <c r="M47" s="1404">
        <f t="shared" si="30"/>
        <v>0</v>
      </c>
      <c r="N47" s="917"/>
      <c r="O47" s="1882"/>
      <c r="P47" s="1525">
        <f t="shared" si="24"/>
        <v>0</v>
      </c>
      <c r="Q47" s="869"/>
      <c r="R47" s="124"/>
      <c r="S47" s="1721">
        <f xml:space="preserve"> IF( AND(OR(C47 = "Item 9",C47=""), OR( G47 &lt;&gt; 0, H47 &lt;&gt; 0, I47 &lt;&gt; 0, J47 &lt;&gt; 0, K47 &lt;&gt; 0, L47 &lt;&gt; 0) ), 1, 0 )</f>
        <v>0</v>
      </c>
      <c r="T47" s="1721">
        <f xml:space="preserve"> IF(AND($C47="Item 9",$M47=0), 0, IF( ISNUMBER( G47 ), 0, 1 ))</f>
        <v>0</v>
      </c>
      <c r="U47" s="1721">
        <f t="shared" ref="U47:Y47" si="34" xml:space="preserve"> IF(AND($C47="Item 9",$M47=0), 0, IF( ISNUMBER( H47 ), 0, 1 ))</f>
        <v>0</v>
      </c>
      <c r="V47" s="1721">
        <f t="shared" si="34"/>
        <v>0</v>
      </c>
      <c r="W47" s="1721">
        <f t="shared" si="34"/>
        <v>0</v>
      </c>
      <c r="X47" s="1721">
        <f t="shared" si="34"/>
        <v>0</v>
      </c>
      <c r="Y47" s="1721">
        <f t="shared" si="34"/>
        <v>0</v>
      </c>
      <c r="Z47" s="124"/>
      <c r="AA47" s="72"/>
      <c r="AB47" s="124"/>
      <c r="AC47" s="483"/>
      <c r="AD47" s="483"/>
      <c r="AE47" s="483"/>
      <c r="AF47" s="124"/>
      <c r="AG47" s="1882"/>
      <c r="AH47" s="1882"/>
      <c r="AI47" s="1882"/>
      <c r="AJ47" s="1882"/>
      <c r="AK47" s="1882"/>
      <c r="AL47" s="1343" t="s">
        <v>3913</v>
      </c>
      <c r="AM47" s="2637" t="s">
        <v>3915</v>
      </c>
      <c r="AN47" s="2640"/>
      <c r="AO47" s="872" t="s">
        <v>49</v>
      </c>
      <c r="AP47" s="873">
        <v>3</v>
      </c>
      <c r="AQ47" s="2641" t="s">
        <v>3915</v>
      </c>
      <c r="AR47" s="2642" t="s">
        <v>3916</v>
      </c>
      <c r="AS47" s="2643" t="s">
        <v>3917</v>
      </c>
      <c r="AT47" s="2644" t="s">
        <v>3918</v>
      </c>
      <c r="AU47" s="2645" t="s">
        <v>3919</v>
      </c>
      <c r="AV47" s="2645" t="s">
        <v>3920</v>
      </c>
      <c r="AW47" s="2012" t="s">
        <v>3921</v>
      </c>
    </row>
    <row r="48" spans="1:49" customFormat="1" ht="16">
      <c r="A48" s="856"/>
      <c r="B48" s="1343" t="s">
        <v>3922</v>
      </c>
      <c r="C48" s="1870" t="s">
        <v>3923</v>
      </c>
      <c r="D48" s="1344"/>
      <c r="E48" s="872" t="s">
        <v>49</v>
      </c>
      <c r="F48" s="873">
        <v>3</v>
      </c>
      <c r="G48" s="1345"/>
      <c r="H48" s="1392"/>
      <c r="I48" s="1384"/>
      <c r="J48" s="1344"/>
      <c r="K48" s="1346"/>
      <c r="L48" s="1346"/>
      <c r="M48" s="1404">
        <f t="shared" si="30"/>
        <v>0</v>
      </c>
      <c r="N48" s="917"/>
      <c r="O48" s="1882"/>
      <c r="P48" s="1525">
        <f t="shared" si="24"/>
        <v>0</v>
      </c>
      <c r="Q48" s="869"/>
      <c r="R48" s="71"/>
      <c r="S48" s="1721">
        <f xml:space="preserve"> IF( AND(OR(C48 = "Item 10",C48=""), OR( G48 &lt;&gt; 0, H48 &lt;&gt; 0, I48 &lt;&gt; 0, J48 &lt;&gt; 0, K48 &lt;&gt; 0, L48 &lt;&gt; 0) ), 1, 0 )</f>
        <v>0</v>
      </c>
      <c r="T48" s="1721">
        <f xml:space="preserve"> IF(AND($C48="Item 10",$M48=0), 0, IF( ISNUMBER( G48 ), 0, 1 ))</f>
        <v>0</v>
      </c>
      <c r="U48" s="1721">
        <f t="shared" ref="U48:Y48" si="35" xml:space="preserve"> IF(AND($C48="Item 10",$M48=0), 0, IF( ISNUMBER( H48 ), 0, 1 ))</f>
        <v>0</v>
      </c>
      <c r="V48" s="1721">
        <f t="shared" si="35"/>
        <v>0</v>
      </c>
      <c r="W48" s="1721">
        <f t="shared" si="35"/>
        <v>0</v>
      </c>
      <c r="X48" s="1721">
        <f t="shared" si="35"/>
        <v>0</v>
      </c>
      <c r="Y48" s="1721">
        <f t="shared" si="35"/>
        <v>0</v>
      </c>
      <c r="Z48" s="71"/>
      <c r="AA48" s="72"/>
      <c r="AB48" s="71"/>
      <c r="AC48" s="483"/>
      <c r="AD48" s="483"/>
      <c r="AE48" s="483"/>
      <c r="AF48" s="71"/>
      <c r="AG48" s="1882"/>
      <c r="AH48" s="1882"/>
      <c r="AI48" s="1882"/>
      <c r="AJ48" s="1882"/>
      <c r="AK48" s="1882"/>
      <c r="AL48" s="1343" t="s">
        <v>3922</v>
      </c>
      <c r="AM48" s="2637" t="s">
        <v>3924</v>
      </c>
      <c r="AN48" s="2640"/>
      <c r="AO48" s="872" t="s">
        <v>49</v>
      </c>
      <c r="AP48" s="873">
        <v>3</v>
      </c>
      <c r="AQ48" s="2641" t="s">
        <v>3924</v>
      </c>
      <c r="AR48" s="2642" t="s">
        <v>3925</v>
      </c>
      <c r="AS48" s="2643" t="s">
        <v>3926</v>
      </c>
      <c r="AT48" s="2644" t="s">
        <v>3927</v>
      </c>
      <c r="AU48" s="2645" t="s">
        <v>3928</v>
      </c>
      <c r="AV48" s="2645" t="s">
        <v>3929</v>
      </c>
      <c r="AW48" s="2012" t="s">
        <v>3930</v>
      </c>
    </row>
    <row r="49" spans="1:49" customFormat="1" ht="16.5" thickBot="1">
      <c r="A49" s="856"/>
      <c r="B49" s="886" t="s">
        <v>3931</v>
      </c>
      <c r="C49" s="887" t="s">
        <v>3932</v>
      </c>
      <c r="D49" s="887"/>
      <c r="E49" s="888" t="s">
        <v>49</v>
      </c>
      <c r="F49" s="889">
        <v>3</v>
      </c>
      <c r="G49" s="1800">
        <f t="shared" ref="G49:L49" si="36">+SUM(G39:G48)</f>
        <v>2.4740000000000002</v>
      </c>
      <c r="H49" s="1801">
        <f t="shared" si="36"/>
        <v>1.4490000000000001</v>
      </c>
      <c r="I49" s="1802">
        <f t="shared" si="36"/>
        <v>0.24199999999999999</v>
      </c>
      <c r="J49" s="1803">
        <f t="shared" si="36"/>
        <v>0</v>
      </c>
      <c r="K49" s="1804">
        <f t="shared" si="36"/>
        <v>0.72499999999999998</v>
      </c>
      <c r="L49" s="1804">
        <f t="shared" si="36"/>
        <v>1.4490000000000001</v>
      </c>
      <c r="M49" s="1405">
        <f t="shared" si="23"/>
        <v>6.3389999999999995</v>
      </c>
      <c r="N49" s="919"/>
      <c r="O49" s="1882"/>
      <c r="P49" s="1882"/>
      <c r="Q49" s="1882"/>
      <c r="R49" s="71"/>
      <c r="S49" s="1882"/>
      <c r="T49" s="1882"/>
      <c r="U49" s="1882"/>
      <c r="V49" s="1882"/>
      <c r="W49" s="1882"/>
      <c r="X49" s="1882"/>
      <c r="Y49" s="1882"/>
      <c r="Z49" s="71"/>
      <c r="AA49" s="72"/>
      <c r="AB49" s="124"/>
      <c r="AC49" s="483"/>
      <c r="AD49" s="483"/>
      <c r="AE49" s="483"/>
      <c r="AF49" s="71"/>
      <c r="AG49" s="1882"/>
      <c r="AH49" s="1882"/>
      <c r="AI49" s="1882"/>
      <c r="AJ49" s="1882"/>
      <c r="AK49" s="1882"/>
      <c r="AL49" s="886" t="s">
        <v>3931</v>
      </c>
      <c r="AM49" s="887" t="s">
        <v>3932</v>
      </c>
      <c r="AN49" s="1577"/>
      <c r="AO49" s="888" t="s">
        <v>49</v>
      </c>
      <c r="AP49" s="889">
        <v>3</v>
      </c>
      <c r="AQ49" s="2646" t="s">
        <v>3933</v>
      </c>
      <c r="AR49" s="2647" t="s">
        <v>3934</v>
      </c>
      <c r="AS49" s="2648" t="s">
        <v>3935</v>
      </c>
      <c r="AT49" s="2649" t="s">
        <v>3936</v>
      </c>
      <c r="AU49" s="2650" t="s">
        <v>3937</v>
      </c>
      <c r="AV49" s="2650" t="s">
        <v>3938</v>
      </c>
      <c r="AW49" s="2013" t="s">
        <v>3939</v>
      </c>
    </row>
    <row r="50" spans="1:49" customFormat="1" ht="16.5" thickBot="1">
      <c r="A50" s="856"/>
      <c r="B50" s="920"/>
      <c r="C50" s="912"/>
      <c r="D50" s="912"/>
      <c r="E50" s="913"/>
      <c r="F50" s="913"/>
      <c r="G50" s="914"/>
      <c r="H50" s="914"/>
      <c r="I50" s="914"/>
      <c r="J50" s="914"/>
      <c r="K50" s="914"/>
      <c r="L50" s="914"/>
      <c r="M50" s="914"/>
      <c r="N50" s="915"/>
      <c r="O50" s="1882"/>
      <c r="P50" s="821"/>
      <c r="Q50" s="1882"/>
      <c r="R50" s="71"/>
      <c r="S50" s="1882"/>
      <c r="T50" s="1882"/>
      <c r="U50" s="1882"/>
      <c r="V50" s="1882"/>
      <c r="W50" s="1882"/>
      <c r="X50" s="1882"/>
      <c r="Y50" s="1882"/>
      <c r="Z50" s="71"/>
      <c r="AA50" s="72"/>
      <c r="AB50" s="124"/>
      <c r="AC50" s="483"/>
      <c r="AD50" s="483"/>
      <c r="AE50" s="483"/>
      <c r="AF50" s="71"/>
      <c r="AG50" s="1882"/>
      <c r="AH50" s="1882"/>
      <c r="AI50" s="1882"/>
      <c r="AJ50" s="1882"/>
      <c r="AK50" s="1882"/>
      <c r="AL50" s="920"/>
      <c r="AM50" s="912"/>
      <c r="AN50" s="912"/>
      <c r="AO50" s="913"/>
      <c r="AP50" s="913"/>
      <c r="AQ50" s="1977"/>
      <c r="AR50" s="1977"/>
      <c r="AS50" s="1977"/>
      <c r="AT50" s="1977"/>
      <c r="AU50" s="1977"/>
      <c r="AV50" s="1977"/>
      <c r="AW50" s="1977"/>
    </row>
    <row r="51" spans="1:49" customFormat="1" ht="16.5" thickBot="1">
      <c r="A51" s="856"/>
      <c r="B51" s="857" t="s">
        <v>464</v>
      </c>
      <c r="C51" s="1661" t="s">
        <v>3940</v>
      </c>
      <c r="D51" s="2862"/>
      <c r="E51" s="913"/>
      <c r="F51" s="913"/>
      <c r="G51" s="914"/>
      <c r="H51" s="914"/>
      <c r="I51" s="914"/>
      <c r="J51" s="914"/>
      <c r="K51" s="914"/>
      <c r="L51" s="914"/>
      <c r="M51" s="914"/>
      <c r="N51" s="915"/>
      <c r="O51" s="1882"/>
      <c r="P51" s="1882"/>
      <c r="Q51" s="1882"/>
      <c r="R51" s="71"/>
      <c r="S51" s="82"/>
      <c r="T51" s="1882"/>
      <c r="U51" s="1882"/>
      <c r="V51" s="1882"/>
      <c r="W51" s="1882"/>
      <c r="X51" s="1882"/>
      <c r="Y51" s="1882"/>
      <c r="Z51" s="71"/>
      <c r="AA51" s="72"/>
      <c r="AB51" s="124"/>
      <c r="AC51" s="483"/>
      <c r="AD51" s="483"/>
      <c r="AE51" s="483"/>
      <c r="AF51" s="71"/>
      <c r="AG51" s="1882"/>
      <c r="AH51" s="1882"/>
      <c r="AI51" s="1882"/>
      <c r="AJ51" s="1882"/>
      <c r="AK51" s="1882"/>
      <c r="AL51" s="857" t="s">
        <v>464</v>
      </c>
      <c r="AM51" s="921" t="s">
        <v>3940</v>
      </c>
      <c r="AN51" s="2862"/>
      <c r="AO51" s="913"/>
      <c r="AP51" s="913"/>
      <c r="AQ51" s="1977"/>
      <c r="AR51" s="1977"/>
      <c r="AS51" s="1977"/>
      <c r="AT51" s="1977"/>
      <c r="AU51" s="1977"/>
      <c r="AV51" s="1977"/>
      <c r="AW51" s="1977"/>
    </row>
    <row r="52" spans="1:49" customFormat="1" ht="27" customHeight="1" thickBot="1">
      <c r="A52" s="856"/>
      <c r="B52" s="922" t="s">
        <v>3941</v>
      </c>
      <c r="C52" s="923" t="s">
        <v>3942</v>
      </c>
      <c r="D52" s="924"/>
      <c r="E52" s="925" t="s">
        <v>49</v>
      </c>
      <c r="F52" s="926">
        <v>3</v>
      </c>
      <c r="G52" s="1805">
        <f t="shared" ref="G52:L52" si="37">+G49+G36</f>
        <v>5.293000000000001</v>
      </c>
      <c r="H52" s="1806">
        <f t="shared" si="37"/>
        <v>13.965402704114839</v>
      </c>
      <c r="I52" s="1807">
        <f t="shared" si="37"/>
        <v>1.1522540890418913</v>
      </c>
      <c r="J52" s="1808">
        <f t="shared" si="37"/>
        <v>1.3466596179573045</v>
      </c>
      <c r="K52" s="1808">
        <f t="shared" si="37"/>
        <v>24.569206729423321</v>
      </c>
      <c r="L52" s="1809">
        <f t="shared" si="37"/>
        <v>81.756428692807219</v>
      </c>
      <c r="M52" s="1810">
        <f>+SUM(G52:L52)</f>
        <v>128.08295183334457</v>
      </c>
      <c r="N52" s="915"/>
      <c r="O52" s="1882"/>
      <c r="P52" s="1339">
        <f xml:space="preserve"> IF( SUM( Z52:AB52 ) = 0, 0, AE52 )</f>
        <v>0</v>
      </c>
      <c r="Q52" s="1882"/>
      <c r="R52" s="71"/>
      <c r="S52" s="82"/>
      <c r="T52" s="1882"/>
      <c r="U52" s="1882"/>
      <c r="V52" s="1882"/>
      <c r="W52" s="1882"/>
      <c r="X52" s="1882"/>
      <c r="Y52" s="1882"/>
      <c r="Z52" s="71"/>
      <c r="AA52" s="93">
        <f xml:space="preserve"> IF( (AC52 - AD52) = 0, 0, 1 )</f>
        <v>0</v>
      </c>
      <c r="AB52" s="124"/>
      <c r="AC52" s="112">
        <f xml:space="preserve"> ROUND( M52, 3 )</f>
        <v>128.083</v>
      </c>
      <c r="AD52" s="112">
        <f xml:space="preserve"> ROUND( ('4D'!M39), 3 )</f>
        <v>128.083</v>
      </c>
      <c r="AE52" s="139" t="s">
        <v>3943</v>
      </c>
      <c r="AF52" s="71"/>
      <c r="AG52" s="1882"/>
      <c r="AH52" s="1882"/>
      <c r="AI52" s="1882"/>
      <c r="AJ52" s="1882"/>
      <c r="AK52" s="1882"/>
      <c r="AL52" s="922" t="s">
        <v>3941</v>
      </c>
      <c r="AM52" s="923" t="s">
        <v>3942</v>
      </c>
      <c r="AN52" s="1578"/>
      <c r="AO52" s="925" t="s">
        <v>49</v>
      </c>
      <c r="AP52" s="926">
        <v>3</v>
      </c>
      <c r="AQ52" s="2651" t="s">
        <v>3944</v>
      </c>
      <c r="AR52" s="2652" t="s">
        <v>3945</v>
      </c>
      <c r="AS52" s="2653" t="s">
        <v>3946</v>
      </c>
      <c r="AT52" s="2654" t="s">
        <v>3947</v>
      </c>
      <c r="AU52" s="2654" t="s">
        <v>3948</v>
      </c>
      <c r="AV52" s="2655" t="s">
        <v>3949</v>
      </c>
      <c r="AW52" s="2656" t="s">
        <v>3950</v>
      </c>
    </row>
    <row r="53" spans="1:49"/>
    <row r="54" spans="1:49">
      <c r="B54" s="3114" t="s">
        <v>241</v>
      </c>
      <c r="C54" s="3114"/>
      <c r="D54" s="2859"/>
      <c r="E54" s="163"/>
      <c r="F54" s="163"/>
      <c r="G54" s="163"/>
      <c r="H54" s="163"/>
      <c r="I54" s="163"/>
      <c r="J54" s="163"/>
      <c r="K54" s="163"/>
      <c r="L54" s="163"/>
      <c r="M54" s="163"/>
      <c r="N54" s="163"/>
    </row>
    <row r="55" spans="1:49">
      <c r="B55" s="927"/>
      <c r="C55" s="928"/>
      <c r="D55" s="928"/>
      <c r="E55" s="163"/>
      <c r="F55" s="163"/>
      <c r="G55" s="163"/>
      <c r="H55" s="163"/>
      <c r="I55" s="163"/>
      <c r="J55" s="163"/>
      <c r="K55" s="163"/>
      <c r="L55" s="163"/>
      <c r="M55" s="163"/>
      <c r="N55" s="163"/>
    </row>
    <row r="56" spans="1:49">
      <c r="B56" s="929"/>
      <c r="C56" s="930" t="s">
        <v>188</v>
      </c>
      <c r="D56" s="930"/>
      <c r="E56" s="163"/>
      <c r="F56" s="163"/>
      <c r="G56" s="163"/>
      <c r="H56" s="163"/>
      <c r="I56" s="163"/>
      <c r="J56" s="163"/>
      <c r="K56" s="163"/>
      <c r="L56" s="163"/>
      <c r="M56" s="163"/>
      <c r="N56" s="163"/>
    </row>
    <row r="57" spans="1:49">
      <c r="B57" s="927"/>
      <c r="C57" s="928"/>
      <c r="D57" s="928"/>
      <c r="E57" s="163"/>
      <c r="F57" s="163"/>
      <c r="G57" s="163"/>
      <c r="H57" s="163" t="s">
        <v>3951</v>
      </c>
      <c r="I57" s="163"/>
      <c r="J57" s="163"/>
      <c r="K57" s="163"/>
      <c r="L57" s="163"/>
      <c r="M57" s="163"/>
      <c r="N57" s="163"/>
    </row>
    <row r="58" spans="1:49">
      <c r="B58" s="931"/>
      <c r="C58" s="930" t="s">
        <v>189</v>
      </c>
      <c r="D58" s="930"/>
      <c r="E58" s="163"/>
      <c r="F58" s="163"/>
      <c r="G58" s="163"/>
      <c r="H58" s="163"/>
      <c r="I58" s="163"/>
      <c r="J58" s="163"/>
      <c r="K58" s="163"/>
      <c r="L58" s="163"/>
      <c r="M58" s="163"/>
      <c r="N58" s="163"/>
    </row>
    <row r="59" spans="1:49" s="192" customFormat="1">
      <c r="A59" s="483"/>
      <c r="B59" s="178"/>
      <c r="C59" s="179"/>
      <c r="D59" s="179"/>
      <c r="E59" s="178"/>
      <c r="F59" s="178"/>
      <c r="G59" s="178"/>
      <c r="H59" s="178"/>
      <c r="I59" s="178"/>
      <c r="J59" s="178"/>
      <c r="K59" s="178"/>
      <c r="L59" s="178"/>
      <c r="M59" s="178"/>
      <c r="N59" s="178"/>
      <c r="O59" s="483"/>
      <c r="P59" s="82"/>
      <c r="R59" s="71"/>
      <c r="Z59" s="71"/>
      <c r="AA59" s="72"/>
      <c r="AB59" s="71"/>
      <c r="AC59" s="483"/>
      <c r="AD59" s="483"/>
      <c r="AE59" s="483"/>
      <c r="AF59" s="71"/>
    </row>
    <row r="60" spans="1:49" s="192" customFormat="1" ht="14.5" thickBot="1">
      <c r="A60" s="483"/>
      <c r="B60" s="178"/>
      <c r="C60" s="179"/>
      <c r="D60" s="179"/>
      <c r="E60" s="178"/>
      <c r="F60" s="178"/>
      <c r="G60" s="178"/>
      <c r="H60" s="178"/>
      <c r="I60" s="178"/>
      <c r="J60" s="178"/>
      <c r="K60" s="178"/>
      <c r="L60" s="178"/>
      <c r="M60" s="178"/>
      <c r="N60" s="178"/>
      <c r="O60" s="483"/>
      <c r="P60" s="82"/>
      <c r="R60" s="71"/>
      <c r="Z60" s="71"/>
      <c r="AA60" s="72"/>
      <c r="AB60" s="71"/>
      <c r="AC60" s="483"/>
      <c r="AD60" s="483"/>
      <c r="AE60" s="483"/>
      <c r="AF60" s="71"/>
    </row>
    <row r="61" spans="1:49" s="192" customFormat="1" ht="14.65" customHeight="1" thickBot="1">
      <c r="A61" s="483"/>
      <c r="B61" s="2886" t="str">
        <f>'4I'!B53</f>
        <v>Please refer to RAG 4.08 - Guideline for the table definitions in the annual performance report for the reporting year 2019-20</v>
      </c>
      <c r="C61" s="933"/>
      <c r="D61" s="933"/>
      <c r="E61" s="933"/>
      <c r="F61" s="933"/>
      <c r="G61" s="933"/>
      <c r="H61" s="933"/>
      <c r="I61" s="933"/>
      <c r="J61" s="933"/>
      <c r="K61" s="933"/>
      <c r="L61" s="933"/>
      <c r="M61" s="933"/>
      <c r="N61" s="933"/>
      <c r="O61" s="934"/>
      <c r="P61" s="82"/>
      <c r="R61" s="71"/>
      <c r="Z61" s="71"/>
      <c r="AA61" s="72"/>
      <c r="AB61" s="71"/>
      <c r="AC61" s="483"/>
      <c r="AD61" s="483"/>
      <c r="AE61" s="483"/>
      <c r="AF61" s="71"/>
    </row>
    <row r="62" spans="1:49" s="192" customFormat="1" ht="14.5" thickBot="1">
      <c r="A62" s="483"/>
      <c r="B62" s="178"/>
      <c r="C62" s="179"/>
      <c r="D62" s="179"/>
      <c r="E62" s="178"/>
      <c r="F62" s="178"/>
      <c r="G62" s="178"/>
      <c r="H62" s="178"/>
      <c r="I62" s="178"/>
      <c r="J62" s="178"/>
      <c r="K62" s="178"/>
      <c r="L62" s="178"/>
      <c r="M62" s="178"/>
      <c r="N62" s="178"/>
      <c r="O62" s="483"/>
      <c r="P62" s="82"/>
      <c r="R62" s="71"/>
      <c r="Z62" s="71"/>
      <c r="AA62" s="72"/>
      <c r="AB62" s="71"/>
      <c r="AC62" s="483"/>
      <c r="AD62" s="483"/>
      <c r="AE62" s="483"/>
      <c r="AF62" s="71"/>
    </row>
    <row r="63" spans="1:49" s="192" customFormat="1" ht="15.5" hidden="1" thickBot="1">
      <c r="A63" s="1534"/>
      <c r="B63" s="34" t="str">
        <f ca="1" xml:space="preserve"> RIGHT(CELL("filename", $A$1), LEN(CELL("filename", $A$1)) - SEARCH("]", CELL("filename", $A$1)))&amp;" - Line definitions"</f>
        <v>4J - Line definitions</v>
      </c>
      <c r="C63" s="932"/>
      <c r="D63" s="932"/>
      <c r="E63" s="933"/>
      <c r="F63" s="933"/>
      <c r="G63" s="933"/>
      <c r="H63" s="933"/>
      <c r="I63" s="933"/>
      <c r="J63" s="933"/>
      <c r="K63" s="933"/>
      <c r="L63" s="933"/>
      <c r="M63" s="933"/>
      <c r="N63" s="933"/>
      <c r="O63" s="934"/>
      <c r="P63" s="935"/>
      <c r="R63" s="71"/>
      <c r="Z63" s="71"/>
      <c r="AA63" s="72"/>
      <c r="AB63" s="71"/>
      <c r="AC63" s="483"/>
      <c r="AD63" s="483"/>
      <c r="AE63" s="483"/>
      <c r="AF63" s="71"/>
    </row>
    <row r="64" spans="1:49" s="192" customFormat="1" ht="15.5" hidden="1" thickBot="1">
      <c r="A64" s="1534"/>
      <c r="B64" s="936"/>
      <c r="C64" s="937"/>
      <c r="D64" s="937"/>
      <c r="E64" s="935"/>
      <c r="F64" s="935"/>
      <c r="G64" s="935"/>
      <c r="H64" s="935"/>
      <c r="I64" s="935"/>
      <c r="J64" s="935"/>
      <c r="K64" s="935"/>
      <c r="L64" s="935"/>
      <c r="M64" s="935"/>
      <c r="N64" s="935"/>
      <c r="O64" s="935"/>
      <c r="P64" s="935"/>
      <c r="R64" s="71"/>
      <c r="Z64" s="71"/>
      <c r="AA64" s="72"/>
      <c r="AB64" s="71"/>
      <c r="AC64" s="483"/>
      <c r="AD64" s="483"/>
      <c r="AE64" s="483"/>
      <c r="AF64" s="71"/>
    </row>
    <row r="65" spans="1:32" s="192" customFormat="1" ht="14.5" hidden="1" thickBot="1">
      <c r="A65" s="1534"/>
      <c r="B65" s="938" t="s">
        <v>191</v>
      </c>
      <c r="C65" s="3115" t="s">
        <v>192</v>
      </c>
      <c r="D65" s="3116"/>
      <c r="E65" s="3116"/>
      <c r="F65" s="3116"/>
      <c r="G65" s="3116"/>
      <c r="H65" s="3116"/>
      <c r="I65" s="3116"/>
      <c r="J65" s="3116"/>
      <c r="K65" s="3116"/>
      <c r="L65" s="3116"/>
      <c r="M65" s="3116"/>
      <c r="N65" s="3116"/>
      <c r="O65" s="3117"/>
      <c r="P65" s="939"/>
      <c r="R65" s="71"/>
      <c r="Z65" s="71"/>
      <c r="AA65" s="72"/>
      <c r="AB65" s="71"/>
      <c r="AC65" s="483"/>
      <c r="AD65" s="483"/>
      <c r="AE65" s="483"/>
      <c r="AF65" s="71"/>
    </row>
    <row r="66" spans="1:32" s="192" customFormat="1" ht="14.25" hidden="1" customHeight="1">
      <c r="A66" s="1534"/>
      <c r="B66" s="940">
        <v>1</v>
      </c>
      <c r="C66" s="3118" t="s">
        <v>3952</v>
      </c>
      <c r="D66" s="3119"/>
      <c r="E66" s="3119"/>
      <c r="F66" s="3119"/>
      <c r="G66" s="3119"/>
      <c r="H66" s="3119"/>
      <c r="I66" s="3119"/>
      <c r="J66" s="3119"/>
      <c r="K66" s="3119"/>
      <c r="L66" s="3119"/>
      <c r="M66" s="3119"/>
      <c r="N66" s="3119"/>
      <c r="O66" s="3120"/>
      <c r="P66" s="941"/>
      <c r="R66" s="71"/>
      <c r="Z66" s="71"/>
      <c r="AA66" s="72"/>
      <c r="AB66" s="71"/>
      <c r="AC66" s="483"/>
      <c r="AD66" s="483"/>
      <c r="AE66" s="483"/>
      <c r="AF66" s="71"/>
    </row>
    <row r="67" spans="1:32" s="192" customFormat="1" ht="45" hidden="1" customHeight="1">
      <c r="A67" s="1534"/>
      <c r="B67" s="942">
        <f t="shared" ref="B67:B89" si="38" xml:space="preserve"> B66 + 1</f>
        <v>2</v>
      </c>
      <c r="C67" s="3108" t="s">
        <v>3953</v>
      </c>
      <c r="D67" s="3109"/>
      <c r="E67" s="3109"/>
      <c r="F67" s="3109"/>
      <c r="G67" s="3109"/>
      <c r="H67" s="3109"/>
      <c r="I67" s="3109"/>
      <c r="J67" s="3109"/>
      <c r="K67" s="3109"/>
      <c r="L67" s="3109"/>
      <c r="M67" s="3109"/>
      <c r="N67" s="3109"/>
      <c r="O67" s="3110"/>
      <c r="P67" s="941"/>
      <c r="R67" s="71"/>
      <c r="Z67" s="71"/>
      <c r="AA67" s="72"/>
      <c r="AB67" s="71"/>
      <c r="AC67" s="483"/>
      <c r="AD67" s="483"/>
      <c r="AE67" s="483"/>
      <c r="AF67" s="71"/>
    </row>
    <row r="68" spans="1:32" s="192" customFormat="1" ht="14.25" hidden="1" customHeight="1">
      <c r="A68" s="1534"/>
      <c r="B68" s="942">
        <f t="shared" si="38"/>
        <v>3</v>
      </c>
      <c r="C68" s="3108" t="s">
        <v>3954</v>
      </c>
      <c r="D68" s="3109"/>
      <c r="E68" s="3109"/>
      <c r="F68" s="3109"/>
      <c r="G68" s="3109"/>
      <c r="H68" s="3109"/>
      <c r="I68" s="3109"/>
      <c r="J68" s="3109"/>
      <c r="K68" s="3109"/>
      <c r="L68" s="3109"/>
      <c r="M68" s="3109"/>
      <c r="N68" s="3109"/>
      <c r="O68" s="3110"/>
      <c r="P68" s="941"/>
      <c r="R68" s="71"/>
      <c r="Z68" s="71"/>
      <c r="AA68" s="72"/>
      <c r="AB68" s="71"/>
      <c r="AC68" s="483"/>
      <c r="AD68" s="483"/>
      <c r="AE68" s="483"/>
      <c r="AF68" s="71"/>
    </row>
    <row r="69" spans="1:32" s="192" customFormat="1" ht="13.5" hidden="1" customHeight="1">
      <c r="A69" s="1534"/>
      <c r="B69" s="942">
        <f t="shared" si="38"/>
        <v>4</v>
      </c>
      <c r="C69" s="3108" t="s">
        <v>2858</v>
      </c>
      <c r="D69" s="3109"/>
      <c r="E69" s="3109"/>
      <c r="F69" s="3109"/>
      <c r="G69" s="3109"/>
      <c r="H69" s="3109"/>
      <c r="I69" s="3109"/>
      <c r="J69" s="3109"/>
      <c r="K69" s="3109"/>
      <c r="L69" s="3109"/>
      <c r="M69" s="3109"/>
      <c r="N69" s="3109"/>
      <c r="O69" s="3110"/>
      <c r="P69" s="941"/>
      <c r="R69" s="71"/>
      <c r="Z69" s="71"/>
      <c r="AA69" s="72"/>
      <c r="AB69" s="71"/>
      <c r="AC69" s="483"/>
      <c r="AD69" s="483"/>
      <c r="AE69" s="483"/>
      <c r="AF69" s="71"/>
    </row>
    <row r="70" spans="1:32" s="192" customFormat="1" ht="14.25" hidden="1" customHeight="1">
      <c r="A70" s="1534"/>
      <c r="B70" s="942">
        <f t="shared" si="38"/>
        <v>5</v>
      </c>
      <c r="C70" s="3121" t="s">
        <v>1237</v>
      </c>
      <c r="D70" s="3122"/>
      <c r="E70" s="3122"/>
      <c r="F70" s="3122"/>
      <c r="G70" s="3122"/>
      <c r="H70" s="3122"/>
      <c r="I70" s="3122"/>
      <c r="J70" s="3122"/>
      <c r="K70" s="3122"/>
      <c r="L70" s="3122"/>
      <c r="M70" s="3122"/>
      <c r="N70" s="3122"/>
      <c r="O70" s="3123"/>
      <c r="P70" s="941"/>
      <c r="R70" s="71"/>
      <c r="Z70" s="71"/>
      <c r="AA70" s="72"/>
      <c r="AB70" s="71"/>
      <c r="AC70" s="483"/>
      <c r="AD70" s="483"/>
      <c r="AE70" s="483"/>
      <c r="AF70" s="71"/>
    </row>
    <row r="71" spans="1:32" s="192" customFormat="1" ht="14.25" hidden="1" customHeight="1">
      <c r="A71" s="1534"/>
      <c r="B71" s="942">
        <f t="shared" si="38"/>
        <v>6</v>
      </c>
      <c r="C71" s="3121" t="s">
        <v>1238</v>
      </c>
      <c r="D71" s="3122"/>
      <c r="E71" s="3122"/>
      <c r="F71" s="3122"/>
      <c r="G71" s="3122"/>
      <c r="H71" s="3122"/>
      <c r="I71" s="3122"/>
      <c r="J71" s="3122"/>
      <c r="K71" s="3122"/>
      <c r="L71" s="3122"/>
      <c r="M71" s="3122"/>
      <c r="N71" s="3122"/>
      <c r="O71" s="3123"/>
      <c r="P71" s="941"/>
      <c r="R71" s="71"/>
      <c r="Z71" s="71"/>
      <c r="AA71" s="72"/>
      <c r="AB71" s="71"/>
      <c r="AC71" s="483"/>
      <c r="AD71" s="483"/>
      <c r="AE71" s="483"/>
      <c r="AF71" s="71"/>
    </row>
    <row r="72" spans="1:32" s="192" customFormat="1" ht="14.25" hidden="1" customHeight="1">
      <c r="A72" s="1534"/>
      <c r="B72" s="942">
        <f t="shared" si="38"/>
        <v>7</v>
      </c>
      <c r="C72" s="3121" t="s">
        <v>3955</v>
      </c>
      <c r="D72" s="3122"/>
      <c r="E72" s="3122"/>
      <c r="F72" s="3122"/>
      <c r="G72" s="3122"/>
      <c r="H72" s="3122"/>
      <c r="I72" s="3122"/>
      <c r="J72" s="3122"/>
      <c r="K72" s="3122"/>
      <c r="L72" s="3122"/>
      <c r="M72" s="3122"/>
      <c r="N72" s="3122"/>
      <c r="O72" s="3123"/>
      <c r="P72" s="941"/>
      <c r="R72" s="71"/>
      <c r="Z72" s="71"/>
      <c r="AA72" s="72"/>
      <c r="AB72" s="71"/>
      <c r="AC72" s="483"/>
      <c r="AD72" s="483"/>
      <c r="AE72" s="483"/>
      <c r="AF72" s="71"/>
    </row>
    <row r="73" spans="1:32" s="192" customFormat="1" ht="13.5" hidden="1" customHeight="1">
      <c r="A73" s="1534"/>
      <c r="B73" s="942">
        <f t="shared" si="38"/>
        <v>8</v>
      </c>
      <c r="C73" s="3108" t="s">
        <v>3956</v>
      </c>
      <c r="D73" s="3109"/>
      <c r="E73" s="3109"/>
      <c r="F73" s="3109"/>
      <c r="G73" s="3109"/>
      <c r="H73" s="3109"/>
      <c r="I73" s="3109"/>
      <c r="J73" s="3109"/>
      <c r="K73" s="3109"/>
      <c r="L73" s="3109"/>
      <c r="M73" s="3109"/>
      <c r="N73" s="3109"/>
      <c r="O73" s="3110"/>
      <c r="P73" s="941"/>
      <c r="R73" s="71"/>
      <c r="Z73" s="71"/>
      <c r="AA73" s="72"/>
      <c r="AB73" s="71"/>
      <c r="AC73" s="483"/>
      <c r="AD73" s="483"/>
      <c r="AE73" s="483"/>
      <c r="AF73" s="71"/>
    </row>
    <row r="74" spans="1:32" s="192" customFormat="1" ht="14.25" hidden="1" customHeight="1">
      <c r="A74" s="1534"/>
      <c r="B74" s="942">
        <f t="shared" si="38"/>
        <v>9</v>
      </c>
      <c r="C74" s="3108" t="s">
        <v>3957</v>
      </c>
      <c r="D74" s="3109"/>
      <c r="E74" s="3109"/>
      <c r="F74" s="3109"/>
      <c r="G74" s="3109"/>
      <c r="H74" s="3109"/>
      <c r="I74" s="3109"/>
      <c r="J74" s="3109"/>
      <c r="K74" s="3109"/>
      <c r="L74" s="3109"/>
      <c r="M74" s="3109"/>
      <c r="N74" s="3109"/>
      <c r="O74" s="3110"/>
      <c r="P74" s="941"/>
      <c r="R74" s="71"/>
      <c r="Z74" s="71"/>
      <c r="AA74" s="72"/>
      <c r="AB74" s="71"/>
      <c r="AC74" s="483"/>
      <c r="AD74" s="483"/>
      <c r="AE74" s="483"/>
      <c r="AF74" s="71"/>
    </row>
    <row r="75" spans="1:32" s="192" customFormat="1" ht="13.5" hidden="1" customHeight="1">
      <c r="A75" s="1534"/>
      <c r="B75" s="942">
        <f t="shared" si="38"/>
        <v>10</v>
      </c>
      <c r="C75" s="3108" t="s">
        <v>3958</v>
      </c>
      <c r="D75" s="3109"/>
      <c r="E75" s="3109"/>
      <c r="F75" s="3109"/>
      <c r="G75" s="3109"/>
      <c r="H75" s="3109"/>
      <c r="I75" s="3109"/>
      <c r="J75" s="3109"/>
      <c r="K75" s="3109"/>
      <c r="L75" s="3109"/>
      <c r="M75" s="3109"/>
      <c r="N75" s="3109"/>
      <c r="O75" s="3110"/>
      <c r="P75" s="941"/>
      <c r="R75" s="71"/>
      <c r="Z75" s="71"/>
      <c r="AA75" s="72"/>
      <c r="AB75" s="71"/>
      <c r="AC75" s="483"/>
      <c r="AD75" s="483"/>
      <c r="AE75" s="483"/>
      <c r="AF75" s="71"/>
    </row>
    <row r="76" spans="1:32" s="192" customFormat="1" ht="13.5" hidden="1" customHeight="1">
      <c r="A76" s="1534"/>
      <c r="B76" s="942">
        <f t="shared" si="38"/>
        <v>11</v>
      </c>
      <c r="C76" s="3108" t="s">
        <v>3959</v>
      </c>
      <c r="D76" s="3109"/>
      <c r="E76" s="3109"/>
      <c r="F76" s="3109"/>
      <c r="G76" s="3109"/>
      <c r="H76" s="3109"/>
      <c r="I76" s="3109"/>
      <c r="J76" s="3109"/>
      <c r="K76" s="3109"/>
      <c r="L76" s="3109"/>
      <c r="M76" s="3109"/>
      <c r="N76" s="3109"/>
      <c r="O76" s="3110"/>
      <c r="P76" s="941"/>
      <c r="R76" s="71"/>
      <c r="Z76" s="71"/>
      <c r="AA76" s="72"/>
      <c r="AB76" s="71"/>
      <c r="AC76" s="483"/>
      <c r="AD76" s="483"/>
      <c r="AE76" s="483"/>
      <c r="AF76" s="71"/>
    </row>
    <row r="77" spans="1:32" s="192" customFormat="1" ht="13.5" hidden="1" customHeight="1">
      <c r="A77" s="1534"/>
      <c r="B77" s="942">
        <f t="shared" si="38"/>
        <v>12</v>
      </c>
      <c r="C77" s="3108" t="s">
        <v>3960</v>
      </c>
      <c r="D77" s="3109"/>
      <c r="E77" s="3109"/>
      <c r="F77" s="3109"/>
      <c r="G77" s="3109"/>
      <c r="H77" s="3109"/>
      <c r="I77" s="3109"/>
      <c r="J77" s="3109"/>
      <c r="K77" s="3109"/>
      <c r="L77" s="3109"/>
      <c r="M77" s="3109"/>
      <c r="N77" s="3109"/>
      <c r="O77" s="3110"/>
      <c r="P77" s="941"/>
      <c r="R77" s="71"/>
      <c r="Z77" s="71"/>
      <c r="AA77" s="72"/>
      <c r="AB77" s="71"/>
      <c r="AC77" s="483"/>
      <c r="AD77" s="483"/>
      <c r="AE77" s="483"/>
      <c r="AF77" s="71"/>
    </row>
    <row r="78" spans="1:32" s="192" customFormat="1" ht="13.5" hidden="1" customHeight="1">
      <c r="A78" s="1534"/>
      <c r="B78" s="942">
        <f t="shared" si="38"/>
        <v>13</v>
      </c>
      <c r="C78" s="3108" t="s">
        <v>3961</v>
      </c>
      <c r="D78" s="3109"/>
      <c r="E78" s="3109"/>
      <c r="F78" s="3109"/>
      <c r="G78" s="3109"/>
      <c r="H78" s="3109"/>
      <c r="I78" s="3109"/>
      <c r="J78" s="3109"/>
      <c r="K78" s="3109"/>
      <c r="L78" s="3109"/>
      <c r="M78" s="3109"/>
      <c r="N78" s="3109"/>
      <c r="O78" s="3110"/>
      <c r="P78" s="941"/>
      <c r="R78" s="71"/>
      <c r="Z78" s="71"/>
      <c r="AA78" s="72"/>
      <c r="AB78" s="71"/>
      <c r="AC78" s="483"/>
      <c r="AD78" s="483"/>
      <c r="AE78" s="483"/>
      <c r="AF78" s="71"/>
    </row>
    <row r="79" spans="1:32" s="192" customFormat="1" ht="14.25" hidden="1" customHeight="1">
      <c r="A79" s="1534"/>
      <c r="B79" s="942">
        <f t="shared" si="38"/>
        <v>14</v>
      </c>
      <c r="C79" s="3108" t="s">
        <v>3962</v>
      </c>
      <c r="D79" s="3109"/>
      <c r="E79" s="3109"/>
      <c r="F79" s="3109"/>
      <c r="G79" s="3109"/>
      <c r="H79" s="3109"/>
      <c r="I79" s="3109"/>
      <c r="J79" s="3109"/>
      <c r="K79" s="3109"/>
      <c r="L79" s="3109"/>
      <c r="M79" s="3109"/>
      <c r="N79" s="3109"/>
      <c r="O79" s="3110"/>
      <c r="P79" s="941"/>
      <c r="R79" s="71"/>
      <c r="Z79" s="71"/>
      <c r="AA79" s="72"/>
      <c r="AB79" s="71"/>
      <c r="AC79" s="483"/>
      <c r="AD79" s="483"/>
      <c r="AE79" s="483"/>
      <c r="AF79" s="71"/>
    </row>
    <row r="80" spans="1:32" s="192" customFormat="1" ht="14.25" hidden="1" customHeight="1">
      <c r="A80" s="1534"/>
      <c r="B80" s="942">
        <f t="shared" si="38"/>
        <v>15</v>
      </c>
      <c r="C80" s="3108" t="s">
        <v>3963</v>
      </c>
      <c r="D80" s="3109"/>
      <c r="E80" s="3109"/>
      <c r="F80" s="3109"/>
      <c r="G80" s="3109"/>
      <c r="H80" s="3109"/>
      <c r="I80" s="3109"/>
      <c r="J80" s="3109"/>
      <c r="K80" s="3109"/>
      <c r="L80" s="3109"/>
      <c r="M80" s="3109"/>
      <c r="N80" s="3109"/>
      <c r="O80" s="3110"/>
      <c r="P80" s="941"/>
      <c r="R80" s="71"/>
      <c r="Z80" s="71"/>
      <c r="AA80" s="72"/>
      <c r="AB80" s="71"/>
      <c r="AC80" s="483"/>
      <c r="AD80" s="483"/>
      <c r="AE80" s="483"/>
      <c r="AF80" s="71"/>
    </row>
    <row r="81" spans="1:32" s="192" customFormat="1" ht="50.25" hidden="1" customHeight="1">
      <c r="A81" s="1534"/>
      <c r="B81" s="942">
        <f t="shared" si="38"/>
        <v>16</v>
      </c>
      <c r="C81" s="3108" t="s">
        <v>3964</v>
      </c>
      <c r="D81" s="3109"/>
      <c r="E81" s="3109"/>
      <c r="F81" s="3109"/>
      <c r="G81" s="3109"/>
      <c r="H81" s="3109"/>
      <c r="I81" s="3109"/>
      <c r="J81" s="3109"/>
      <c r="K81" s="3109"/>
      <c r="L81" s="3109"/>
      <c r="M81" s="3109"/>
      <c r="N81" s="3109"/>
      <c r="O81" s="3110"/>
      <c r="P81" s="941"/>
      <c r="R81" s="71"/>
      <c r="Z81" s="71"/>
      <c r="AA81" s="72"/>
      <c r="AB81" s="71"/>
      <c r="AC81" s="483"/>
      <c r="AD81" s="483"/>
      <c r="AE81" s="483"/>
      <c r="AF81" s="71"/>
    </row>
    <row r="82" spans="1:32" s="192" customFormat="1" ht="14.25" hidden="1" customHeight="1">
      <c r="A82" s="1534"/>
      <c r="B82" s="942">
        <f t="shared" si="38"/>
        <v>17</v>
      </c>
      <c r="C82" s="3108" t="s">
        <v>3965</v>
      </c>
      <c r="D82" s="3109"/>
      <c r="E82" s="3109"/>
      <c r="F82" s="3109"/>
      <c r="G82" s="3109"/>
      <c r="H82" s="3109"/>
      <c r="I82" s="3109"/>
      <c r="J82" s="3109"/>
      <c r="K82" s="3109"/>
      <c r="L82" s="3109"/>
      <c r="M82" s="3109"/>
      <c r="N82" s="3109"/>
      <c r="O82" s="3110"/>
      <c r="P82" s="941"/>
      <c r="R82" s="71"/>
      <c r="Z82" s="71"/>
      <c r="AA82" s="72"/>
      <c r="AB82" s="71"/>
      <c r="AC82" s="483"/>
      <c r="AD82" s="483"/>
      <c r="AE82" s="483"/>
      <c r="AF82" s="71"/>
    </row>
    <row r="83" spans="1:32" s="192" customFormat="1" ht="13.5" hidden="1" customHeight="1">
      <c r="A83" s="1534"/>
      <c r="B83" s="942">
        <f t="shared" si="38"/>
        <v>18</v>
      </c>
      <c r="C83" s="3108" t="s">
        <v>3966</v>
      </c>
      <c r="D83" s="3109"/>
      <c r="E83" s="3109"/>
      <c r="F83" s="3109"/>
      <c r="G83" s="3109"/>
      <c r="H83" s="3109"/>
      <c r="I83" s="3109"/>
      <c r="J83" s="3109"/>
      <c r="K83" s="3109"/>
      <c r="L83" s="3109"/>
      <c r="M83" s="3109"/>
      <c r="N83" s="3109"/>
      <c r="O83" s="3110"/>
      <c r="P83" s="941"/>
      <c r="R83" s="71"/>
      <c r="Z83" s="71"/>
      <c r="AA83" s="72"/>
      <c r="AB83" s="71"/>
      <c r="AC83" s="483"/>
      <c r="AD83" s="483"/>
      <c r="AE83" s="483"/>
      <c r="AF83" s="71"/>
    </row>
    <row r="84" spans="1:32" s="192" customFormat="1" hidden="1">
      <c r="A84" s="1534"/>
      <c r="B84" s="942">
        <f t="shared" si="38"/>
        <v>19</v>
      </c>
      <c r="C84" s="3108" t="s">
        <v>3967</v>
      </c>
      <c r="D84" s="3109"/>
      <c r="E84" s="3109"/>
      <c r="F84" s="3109"/>
      <c r="G84" s="3109"/>
      <c r="H84" s="3109"/>
      <c r="I84" s="3109"/>
      <c r="J84" s="3109"/>
      <c r="K84" s="3109"/>
      <c r="L84" s="3109"/>
      <c r="M84" s="3109"/>
      <c r="N84" s="3109"/>
      <c r="O84" s="3110"/>
      <c r="P84" s="941"/>
      <c r="R84" s="71"/>
      <c r="Z84" s="71"/>
      <c r="AA84" s="72"/>
      <c r="AB84" s="71"/>
      <c r="AC84" s="483"/>
      <c r="AD84" s="483"/>
      <c r="AE84" s="483"/>
      <c r="AF84" s="71"/>
    </row>
    <row r="85" spans="1:32" s="192" customFormat="1" ht="14.25" hidden="1" customHeight="1">
      <c r="A85" s="1534"/>
      <c r="B85" s="942">
        <f t="shared" si="38"/>
        <v>20</v>
      </c>
      <c r="C85" s="3108" t="s">
        <v>3968</v>
      </c>
      <c r="D85" s="3109"/>
      <c r="E85" s="3109"/>
      <c r="F85" s="3109"/>
      <c r="G85" s="3109"/>
      <c r="H85" s="3109"/>
      <c r="I85" s="3109"/>
      <c r="J85" s="3109"/>
      <c r="K85" s="3109"/>
      <c r="L85" s="3109"/>
      <c r="M85" s="3109"/>
      <c r="N85" s="3109"/>
      <c r="O85" s="3110"/>
      <c r="P85" s="941"/>
      <c r="R85" s="71"/>
      <c r="Z85" s="71"/>
      <c r="AA85" s="72"/>
      <c r="AB85" s="71"/>
      <c r="AC85" s="483"/>
      <c r="AD85" s="483"/>
      <c r="AE85" s="483"/>
      <c r="AF85" s="71"/>
    </row>
    <row r="86" spans="1:32" s="192" customFormat="1" hidden="1">
      <c r="A86" s="1534"/>
      <c r="B86" s="942">
        <f t="shared" si="38"/>
        <v>21</v>
      </c>
      <c r="C86" s="3108" t="s">
        <v>3969</v>
      </c>
      <c r="D86" s="3109"/>
      <c r="E86" s="3109"/>
      <c r="F86" s="3109"/>
      <c r="G86" s="3109"/>
      <c r="H86" s="3109"/>
      <c r="I86" s="3109"/>
      <c r="J86" s="3109"/>
      <c r="K86" s="3109"/>
      <c r="L86" s="3109"/>
      <c r="M86" s="3109"/>
      <c r="N86" s="3109"/>
      <c r="O86" s="3110"/>
      <c r="P86" s="941"/>
      <c r="R86" s="71"/>
      <c r="Z86" s="71"/>
      <c r="AA86" s="72"/>
      <c r="AB86" s="71"/>
      <c r="AC86" s="483"/>
      <c r="AD86" s="483"/>
      <c r="AE86" s="483"/>
      <c r="AF86" s="71"/>
    </row>
    <row r="87" spans="1:32" s="192" customFormat="1" ht="14.25" hidden="1" customHeight="1">
      <c r="A87" s="1534"/>
      <c r="B87" s="942">
        <f t="shared" si="38"/>
        <v>22</v>
      </c>
      <c r="C87" s="3108" t="s">
        <v>1254</v>
      </c>
      <c r="D87" s="3109"/>
      <c r="E87" s="3109"/>
      <c r="F87" s="3109"/>
      <c r="G87" s="3109"/>
      <c r="H87" s="3109"/>
      <c r="I87" s="3109"/>
      <c r="J87" s="3109"/>
      <c r="K87" s="3109"/>
      <c r="L87" s="3109"/>
      <c r="M87" s="3109"/>
      <c r="N87" s="3109"/>
      <c r="O87" s="3110"/>
      <c r="P87" s="941"/>
      <c r="R87" s="71"/>
      <c r="Z87" s="71"/>
      <c r="AA87" s="72"/>
      <c r="AB87" s="71"/>
      <c r="AC87" s="483"/>
      <c r="AD87" s="483"/>
      <c r="AE87" s="483"/>
      <c r="AF87" s="71"/>
    </row>
    <row r="88" spans="1:32" s="192" customFormat="1" hidden="1">
      <c r="A88" s="1534"/>
      <c r="B88" s="942">
        <f t="shared" si="38"/>
        <v>23</v>
      </c>
      <c r="C88" s="3108" t="s">
        <v>2873</v>
      </c>
      <c r="D88" s="3109"/>
      <c r="E88" s="3109"/>
      <c r="F88" s="3109"/>
      <c r="G88" s="3109"/>
      <c r="H88" s="3109"/>
      <c r="I88" s="3109"/>
      <c r="J88" s="3109"/>
      <c r="K88" s="3109"/>
      <c r="L88" s="3109"/>
      <c r="M88" s="3109"/>
      <c r="N88" s="3109"/>
      <c r="O88" s="3110"/>
      <c r="P88" s="941"/>
      <c r="R88" s="71"/>
      <c r="Z88" s="71"/>
      <c r="AA88" s="72"/>
      <c r="AB88" s="71"/>
      <c r="AC88" s="483"/>
      <c r="AD88" s="483"/>
      <c r="AE88" s="483"/>
      <c r="AF88" s="71"/>
    </row>
    <row r="89" spans="1:32" s="192" customFormat="1" hidden="1">
      <c r="A89" s="1534"/>
      <c r="B89" s="942">
        <f t="shared" si="38"/>
        <v>24</v>
      </c>
      <c r="C89" s="3108" t="s">
        <v>3970</v>
      </c>
      <c r="D89" s="3109"/>
      <c r="E89" s="3109"/>
      <c r="F89" s="3109"/>
      <c r="G89" s="3109"/>
      <c r="H89" s="3109"/>
      <c r="I89" s="3109"/>
      <c r="J89" s="3109"/>
      <c r="K89" s="3109"/>
      <c r="L89" s="3109"/>
      <c r="M89" s="3109"/>
      <c r="N89" s="3109"/>
      <c r="O89" s="3110"/>
      <c r="P89" s="941"/>
      <c r="R89" s="71"/>
      <c r="Z89" s="71"/>
      <c r="AA89" s="72"/>
      <c r="AB89" s="71"/>
      <c r="AC89" s="483"/>
      <c r="AD89" s="483"/>
      <c r="AE89" s="483"/>
      <c r="AF89" s="71"/>
    </row>
    <row r="90" spans="1:32" s="192" customFormat="1" ht="25.5" hidden="1" customHeight="1">
      <c r="A90" s="1534"/>
      <c r="B90" s="943" t="s">
        <v>3971</v>
      </c>
      <c r="C90" s="3108" t="s">
        <v>3972</v>
      </c>
      <c r="D90" s="3109"/>
      <c r="E90" s="3109"/>
      <c r="F90" s="3109"/>
      <c r="G90" s="3109"/>
      <c r="H90" s="3109"/>
      <c r="I90" s="3109"/>
      <c r="J90" s="3109"/>
      <c r="K90" s="3109"/>
      <c r="L90" s="3109"/>
      <c r="M90" s="3109"/>
      <c r="N90" s="3109"/>
      <c r="O90" s="3110"/>
      <c r="P90" s="941"/>
      <c r="R90" s="71"/>
      <c r="Z90" s="71"/>
      <c r="AA90" s="72"/>
      <c r="AB90" s="71"/>
      <c r="AC90" s="483"/>
      <c r="AD90" s="483"/>
      <c r="AE90" s="483"/>
      <c r="AF90" s="71"/>
    </row>
    <row r="91" spans="1:32" s="192" customFormat="1" ht="13.5" hidden="1" customHeight="1">
      <c r="A91" s="1534"/>
      <c r="B91" s="943">
        <v>35</v>
      </c>
      <c r="C91" s="3108" t="s">
        <v>3973</v>
      </c>
      <c r="D91" s="3109"/>
      <c r="E91" s="3109"/>
      <c r="F91" s="3109"/>
      <c r="G91" s="3109"/>
      <c r="H91" s="3109"/>
      <c r="I91" s="3109"/>
      <c r="J91" s="3109"/>
      <c r="K91" s="3109"/>
      <c r="L91" s="3109"/>
      <c r="M91" s="3109"/>
      <c r="N91" s="3109"/>
      <c r="O91" s="3110"/>
      <c r="P91" s="941"/>
      <c r="R91" s="71"/>
      <c r="Z91" s="71"/>
      <c r="AA91" s="72"/>
      <c r="AB91" s="71"/>
      <c r="AC91" s="483"/>
      <c r="AD91" s="483"/>
      <c r="AE91" s="483"/>
      <c r="AF91" s="71"/>
    </row>
    <row r="92" spans="1:32" s="192" customFormat="1" hidden="1">
      <c r="A92" s="1534"/>
      <c r="B92" s="943">
        <v>36</v>
      </c>
      <c r="C92" s="3108" t="s">
        <v>3974</v>
      </c>
      <c r="D92" s="3109"/>
      <c r="E92" s="3109"/>
      <c r="F92" s="3109"/>
      <c r="G92" s="3109"/>
      <c r="H92" s="3109"/>
      <c r="I92" s="3109"/>
      <c r="J92" s="3109"/>
      <c r="K92" s="3109"/>
      <c r="L92" s="3109"/>
      <c r="M92" s="3109"/>
      <c r="N92" s="3109"/>
      <c r="O92" s="3110"/>
      <c r="P92" s="941"/>
      <c r="R92" s="71"/>
      <c r="Z92" s="71"/>
      <c r="AA92" s="72"/>
      <c r="AB92" s="71"/>
      <c r="AC92" s="483"/>
      <c r="AD92" s="483"/>
      <c r="AE92" s="483"/>
      <c r="AF92" s="71"/>
    </row>
    <row r="93" spans="1:32" s="192" customFormat="1" ht="16.5" hidden="1" thickBot="1">
      <c r="A93" s="1534"/>
      <c r="B93" s="944"/>
      <c r="C93" s="941"/>
      <c r="D93" s="941"/>
      <c r="E93" s="945"/>
      <c r="F93" s="941"/>
      <c r="G93" s="941"/>
      <c r="H93" s="941"/>
      <c r="I93" s="941"/>
      <c r="J93" s="941"/>
      <c r="K93" s="941"/>
      <c r="L93" s="941"/>
      <c r="M93" s="941"/>
      <c r="N93" s="941"/>
      <c r="O93" s="941"/>
      <c r="P93" s="941"/>
      <c r="R93" s="71"/>
      <c r="Z93" s="71"/>
      <c r="AA93" s="72"/>
      <c r="AB93" s="71"/>
      <c r="AC93" s="483"/>
      <c r="AD93" s="483"/>
      <c r="AE93" s="483"/>
      <c r="AF93" s="71"/>
    </row>
    <row r="94" spans="1:32" s="192" customFormat="1" ht="15" customHeight="1" thickBot="1">
      <c r="A94" s="82"/>
      <c r="B94" s="3111" t="s">
        <v>3975</v>
      </c>
      <c r="C94" s="3112"/>
      <c r="D94" s="3112"/>
      <c r="E94" s="3112"/>
      <c r="F94" s="3112"/>
      <c r="G94" s="3112"/>
      <c r="H94" s="3112"/>
      <c r="I94" s="3112"/>
      <c r="J94" s="3112"/>
      <c r="K94" s="3112"/>
      <c r="L94" s="3112"/>
      <c r="M94" s="3112"/>
      <c r="N94" s="3112"/>
      <c r="O94" s="3113"/>
      <c r="P94" s="941"/>
      <c r="R94" s="71"/>
      <c r="Z94" s="71"/>
      <c r="AA94" s="72"/>
      <c r="AB94" s="71"/>
      <c r="AC94" s="483"/>
      <c r="AD94" s="483"/>
      <c r="AE94" s="483"/>
      <c r="AF94" s="71"/>
    </row>
    <row r="95" spans="1:32" s="192" customFormat="1" ht="30" customHeight="1" thickBot="1">
      <c r="A95" s="82"/>
      <c r="B95" s="3105" t="s">
        <v>3976</v>
      </c>
      <c r="C95" s="3106"/>
      <c r="D95" s="3106"/>
      <c r="E95" s="3106"/>
      <c r="F95" s="3106"/>
      <c r="G95" s="3106"/>
      <c r="H95" s="3106"/>
      <c r="I95" s="3106"/>
      <c r="J95" s="3106"/>
      <c r="K95" s="3106"/>
      <c r="L95" s="3106"/>
      <c r="M95" s="3106"/>
      <c r="N95" s="3106"/>
      <c r="O95" s="3107"/>
      <c r="P95" s="941"/>
      <c r="R95" s="71"/>
      <c r="Z95" s="71"/>
      <c r="AA95" s="72"/>
      <c r="AB95" s="71"/>
      <c r="AC95" s="483"/>
      <c r="AD95" s="483"/>
      <c r="AE95" s="483"/>
      <c r="AF95" s="71"/>
    </row>
    <row r="96" spans="1:32" s="192" customFormat="1" hidden="1">
      <c r="A96" s="483"/>
      <c r="B96" s="483"/>
      <c r="C96" s="483"/>
      <c r="D96" s="483"/>
      <c r="E96" s="483"/>
      <c r="F96" s="483"/>
      <c r="G96" s="483"/>
      <c r="H96" s="483"/>
      <c r="I96" s="483"/>
      <c r="J96" s="483"/>
      <c r="K96" s="483"/>
      <c r="L96" s="483"/>
      <c r="M96" s="483"/>
      <c r="N96" s="483"/>
      <c r="O96" s="483"/>
      <c r="P96" s="483"/>
      <c r="R96" s="71"/>
      <c r="Z96" s="71"/>
      <c r="AA96" s="72"/>
      <c r="AB96" s="71"/>
      <c r="AC96" s="483"/>
      <c r="AD96" s="483"/>
      <c r="AE96" s="483"/>
      <c r="AF96" s="71"/>
    </row>
  </sheetData>
  <sheetProtection algorithmName="SHA-512" hashValue="+Qqhb8myFuK9fAjaidZg3kfmMZZJS5tfRDysWNh67JPNUp67cJNhASgJ4jm/6zhD2mb02V6USqagzpuMVFyZjQ==" saltValue="EFRu3Br9a7Gj0W5rZSl+Rg==" spinCount="100000" sheet="1" objects="1" scenarios="1"/>
  <mergeCells count="43">
    <mergeCell ref="C74:O74"/>
    <mergeCell ref="C80:O80"/>
    <mergeCell ref="C81:O81"/>
    <mergeCell ref="P3:P4"/>
    <mergeCell ref="G3:H3"/>
    <mergeCell ref="I3:L3"/>
    <mergeCell ref="M3:M4"/>
    <mergeCell ref="N3:N4"/>
    <mergeCell ref="B3:C4"/>
    <mergeCell ref="E3:E4"/>
    <mergeCell ref="F3:F4"/>
    <mergeCell ref="C84:O84"/>
    <mergeCell ref="AL3:AM3"/>
    <mergeCell ref="AQ3:AR3"/>
    <mergeCell ref="C85:O85"/>
    <mergeCell ref="C86:O86"/>
    <mergeCell ref="C75:O75"/>
    <mergeCell ref="B54:C54"/>
    <mergeCell ref="C65:O65"/>
    <mergeCell ref="C66:O66"/>
    <mergeCell ref="C67:O67"/>
    <mergeCell ref="C68:O68"/>
    <mergeCell ref="C69:O69"/>
    <mergeCell ref="C70:O70"/>
    <mergeCell ref="C71:O71"/>
    <mergeCell ref="C72:O72"/>
    <mergeCell ref="C73:O73"/>
    <mergeCell ref="AS3:AV3"/>
    <mergeCell ref="AW3:AW4"/>
    <mergeCell ref="B95:O95"/>
    <mergeCell ref="C88:O88"/>
    <mergeCell ref="C89:O89"/>
    <mergeCell ref="C90:O90"/>
    <mergeCell ref="C91:O91"/>
    <mergeCell ref="C92:O92"/>
    <mergeCell ref="B94:O94"/>
    <mergeCell ref="C87:O87"/>
    <mergeCell ref="C76:O76"/>
    <mergeCell ref="C77:O77"/>
    <mergeCell ref="C78:O78"/>
    <mergeCell ref="C79:O79"/>
    <mergeCell ref="C82:O82"/>
    <mergeCell ref="C83:O83"/>
  </mergeCells>
  <conditionalFormatting sqref="P40:P48">
    <cfRule type="cellIs" dxfId="221" priority="23" operator="equal">
      <formula>0</formula>
    </cfRule>
  </conditionalFormatting>
  <conditionalFormatting sqref="P52">
    <cfRule type="cellIs" dxfId="220" priority="20" operator="equal">
      <formula>0</formula>
    </cfRule>
  </conditionalFormatting>
  <conditionalFormatting sqref="P34:P35">
    <cfRule type="cellIs" dxfId="219" priority="18" operator="equal">
      <formula>0</formula>
    </cfRule>
  </conditionalFormatting>
  <conditionalFormatting sqref="P30">
    <cfRule type="cellIs" dxfId="218" priority="16" operator="equal">
      <formula>0</formula>
    </cfRule>
  </conditionalFormatting>
  <conditionalFormatting sqref="P28">
    <cfRule type="cellIs" dxfId="217" priority="14" operator="equal">
      <formula>0</formula>
    </cfRule>
  </conditionalFormatting>
  <conditionalFormatting sqref="P22:P26">
    <cfRule type="cellIs" dxfId="216" priority="12" operator="equal">
      <formula>0</formula>
    </cfRule>
  </conditionalFormatting>
  <conditionalFormatting sqref="P18">
    <cfRule type="cellIs" dxfId="215" priority="10" operator="equal">
      <formula>0</formula>
    </cfRule>
  </conditionalFormatting>
  <conditionalFormatting sqref="P12:P15">
    <cfRule type="cellIs" dxfId="214" priority="8" operator="equal">
      <formula>0</formula>
    </cfRule>
  </conditionalFormatting>
  <conditionalFormatting sqref="P7:P10">
    <cfRule type="cellIs" dxfId="213" priority="6" operator="equal">
      <formula>0</formula>
    </cfRule>
  </conditionalFormatting>
  <conditionalFormatting sqref="P39:P48">
    <cfRule type="cellIs" dxfId="212" priority="2" operator="equal">
      <formula>0</formula>
    </cfRule>
  </conditionalFormatting>
  <conditionalFormatting sqref="P39:P48">
    <cfRule type="cellIs" dxfId="211" priority="1" operator="equal">
      <formula>$AE$39</formula>
    </cfRule>
  </conditionalFormatting>
  <printOptions horizontalCentered="1"/>
  <pageMargins left="0.39370078740157483" right="0.39370078740157483" top="0.78740157480314965" bottom="0.78740157480314965" header="0.31496062992125984" footer="0.31496062992125984"/>
  <pageSetup paperSize="9" scale="52" orientation="landscape"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5" operator="containsText" id="{7C117636-4A55-4030-93B8-FF6617FD2456}">
            <xm:f>NOT(ISERROR(SEARCH($AE$30,P30)))</xm:f>
            <xm:f>$AE$30</xm:f>
            <x14:dxf>
              <fill>
                <patternFill>
                  <bgColor rgb="FFFF0000"/>
                </patternFill>
              </fill>
            </x14:dxf>
          </x14:cfRule>
          <xm:sqref>P30</xm:sqref>
        </x14:conditionalFormatting>
        <x14:conditionalFormatting xmlns:xm="http://schemas.microsoft.com/office/excel/2006/main">
          <x14:cfRule type="containsText" priority="24" operator="containsText" id="{956F80ED-06B5-418F-BBAD-A22F78C54D4F}">
            <xm:f>NOT(ISERROR(SEARCH($T$5,P40)))</xm:f>
            <xm:f>$T$5</xm:f>
            <x14:dxf>
              <fill>
                <patternFill>
                  <bgColor rgb="FFFF0000"/>
                </patternFill>
              </fill>
            </x14:dxf>
          </x14:cfRule>
          <xm:sqref>P40:P48</xm:sqref>
        </x14:conditionalFormatting>
        <x14:conditionalFormatting xmlns:xm="http://schemas.microsoft.com/office/excel/2006/main">
          <x14:cfRule type="containsText" priority="19" operator="containsText" id="{3EAE6B1B-1AD2-4B8C-9235-EBBD304B7684}">
            <xm:f>NOT(ISERROR(SEARCH($T$5,P34)))</xm:f>
            <xm:f>$T$5</xm:f>
            <x14:dxf>
              <fill>
                <patternFill>
                  <bgColor rgb="FFFF0000"/>
                </patternFill>
              </fill>
            </x14:dxf>
          </x14:cfRule>
          <xm:sqref>P34:P35</xm:sqref>
        </x14:conditionalFormatting>
        <x14:conditionalFormatting xmlns:xm="http://schemas.microsoft.com/office/excel/2006/main">
          <x14:cfRule type="containsText" priority="17" operator="containsText" id="{5474BE21-0360-4101-8501-1EB12AED0CFE}">
            <xm:f>NOT(ISERROR(SEARCH($T$5,P30)))</xm:f>
            <xm:f>$T$5</xm:f>
            <x14:dxf>
              <fill>
                <patternFill>
                  <bgColor rgb="FFFF0000"/>
                </patternFill>
              </fill>
            </x14:dxf>
          </x14:cfRule>
          <xm:sqref>P30</xm:sqref>
        </x14:conditionalFormatting>
        <x14:conditionalFormatting xmlns:xm="http://schemas.microsoft.com/office/excel/2006/main">
          <x14:cfRule type="containsText" priority="15" operator="containsText" id="{2D11BE3C-2488-4198-B1A8-5D0D32E29070}">
            <xm:f>NOT(ISERROR(SEARCH($T$5,P28)))</xm:f>
            <xm:f>$T$5</xm:f>
            <x14:dxf>
              <fill>
                <patternFill>
                  <bgColor rgb="FFFF0000"/>
                </patternFill>
              </fill>
            </x14:dxf>
          </x14:cfRule>
          <xm:sqref>P28</xm:sqref>
        </x14:conditionalFormatting>
        <x14:conditionalFormatting xmlns:xm="http://schemas.microsoft.com/office/excel/2006/main">
          <x14:cfRule type="containsText" priority="13" operator="containsText" id="{6B07D5B8-1A65-4440-84B0-DB8FB3F8ACA1}">
            <xm:f>NOT(ISERROR(SEARCH($T$5,P22)))</xm:f>
            <xm:f>$T$5</xm:f>
            <x14:dxf>
              <fill>
                <patternFill>
                  <bgColor rgb="FFFF0000"/>
                </patternFill>
              </fill>
            </x14:dxf>
          </x14:cfRule>
          <xm:sqref>P22:P26</xm:sqref>
        </x14:conditionalFormatting>
        <x14:conditionalFormatting xmlns:xm="http://schemas.microsoft.com/office/excel/2006/main">
          <x14:cfRule type="containsText" priority="11" operator="containsText" id="{8BDAF19A-8CE1-46D8-B41A-5E92CF205CBD}">
            <xm:f>NOT(ISERROR(SEARCH($T$5,P18)))</xm:f>
            <xm:f>$T$5</xm:f>
            <x14:dxf>
              <fill>
                <patternFill>
                  <bgColor rgb="FFFF0000"/>
                </patternFill>
              </fill>
            </x14:dxf>
          </x14:cfRule>
          <xm:sqref>P18</xm:sqref>
        </x14:conditionalFormatting>
        <x14:conditionalFormatting xmlns:xm="http://schemas.microsoft.com/office/excel/2006/main">
          <x14:cfRule type="containsText" priority="9" operator="containsText" id="{CD15D335-98A2-4806-8EDD-F1697432EA18}">
            <xm:f>NOT(ISERROR(SEARCH($T$5,P12)))</xm:f>
            <xm:f>$T$5</xm:f>
            <x14:dxf>
              <fill>
                <patternFill>
                  <bgColor rgb="FFFF0000"/>
                </patternFill>
              </fill>
            </x14:dxf>
          </x14:cfRule>
          <xm:sqref>P12:P15</xm:sqref>
        </x14:conditionalFormatting>
        <x14:conditionalFormatting xmlns:xm="http://schemas.microsoft.com/office/excel/2006/main">
          <x14:cfRule type="containsText" priority="7" operator="containsText" id="{4B62D77E-301F-46B5-87E0-CC5821CA752B}">
            <xm:f>NOT(ISERROR(SEARCH($T$5,P7)))</xm:f>
            <xm:f>$T$5</xm:f>
            <x14:dxf>
              <fill>
                <patternFill>
                  <bgColor rgb="FFFF0000"/>
                </patternFill>
              </fill>
            </x14:dxf>
          </x14:cfRule>
          <xm:sqref>P7:P10</xm:sqref>
        </x14:conditionalFormatting>
        <x14:conditionalFormatting xmlns:xm="http://schemas.microsoft.com/office/excel/2006/main">
          <x14:cfRule type="containsText" priority="3" operator="containsText" id="{57FE8CAC-BC6C-4CD3-9B91-82369EAC5B5F}">
            <xm:f>NOT(ISERROR(SEARCH($T$5,P39)))</xm:f>
            <xm:f>$T$5</xm:f>
            <x14:dxf>
              <fill>
                <patternFill>
                  <bgColor rgb="FFFF0000"/>
                </patternFill>
              </fill>
            </x14:dxf>
          </x14:cfRule>
          <xm:sqref>P39:P48</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0" tint="-0.499984740745262"/>
    <pageSetUpPr fitToPage="1"/>
  </sheetPr>
  <dimension ref="A1:AZ97"/>
  <sheetViews>
    <sheetView workbookViewId="0"/>
  </sheetViews>
  <sheetFormatPr defaultColWidth="0" defaultRowHeight="14" zeroHeight="1"/>
  <cols>
    <col min="1" max="1" width="0.58203125" customWidth="1"/>
    <col min="2" max="2" width="8.58203125" customWidth="1"/>
    <col min="3" max="3" width="45.08203125" bestFit="1" customWidth="1"/>
    <col min="4" max="4" width="0.58203125" hidden="1" customWidth="1"/>
    <col min="5" max="6" width="8.58203125" customWidth="1"/>
    <col min="7" max="15" width="13.08203125" customWidth="1"/>
    <col min="16" max="16" width="33.08203125" customWidth="1"/>
    <col min="17" max="17" width="1.58203125" customWidth="1"/>
    <col min="18" max="18" width="31" customWidth="1"/>
    <col min="19" max="19" width="2.58203125" customWidth="1"/>
    <col min="20" max="20" width="1.58203125" style="1635" hidden="1" customWidth="1"/>
    <col min="21" max="29" width="3.5" hidden="1" customWidth="1"/>
    <col min="30" max="30" width="1.58203125" style="1635" hidden="1" customWidth="1"/>
    <col min="31" max="31" width="0" hidden="1" customWidth="1"/>
    <col min="32" max="32" width="1.58203125" style="1635" hidden="1" customWidth="1"/>
    <col min="33" max="33" width="10.08203125" hidden="1" customWidth="1"/>
    <col min="34" max="34" width="10.58203125" hidden="1" customWidth="1"/>
    <col min="35" max="35" width="67.58203125" hidden="1" customWidth="1"/>
    <col min="36" max="36" width="1.58203125" style="1635" hidden="1" customWidth="1"/>
    <col min="37" max="38" width="8.58203125" customWidth="1"/>
    <col min="39" max="39" width="47.58203125" bestFit="1" customWidth="1"/>
    <col min="40" max="40" width="0.58203125" customWidth="1"/>
    <col min="41" max="42" width="8.58203125" customWidth="1"/>
    <col min="43" max="43" width="11.08203125" bestFit="1" customWidth="1"/>
    <col min="44" max="44" width="13.08203125" bestFit="1" customWidth="1"/>
    <col min="45" max="45" width="11.58203125" bestFit="1" customWidth="1"/>
    <col min="46" max="51" width="12.58203125" bestFit="1" customWidth="1"/>
    <col min="52" max="52" width="8.58203125" customWidth="1"/>
    <col min="53" max="16384" width="8.58203125" hidden="1"/>
  </cols>
  <sheetData>
    <row r="1" spans="1:51" ht="20">
      <c r="A1" s="946"/>
      <c r="B1" s="947" t="s">
        <v>3977</v>
      </c>
      <c r="C1" s="947"/>
      <c r="D1" s="947"/>
      <c r="E1" s="947"/>
      <c r="F1" s="947"/>
      <c r="G1" s="947"/>
      <c r="H1" s="947"/>
      <c r="I1" s="947"/>
      <c r="J1" s="948"/>
      <c r="K1" s="948"/>
      <c r="L1" s="948"/>
      <c r="M1" s="948"/>
      <c r="N1" s="948"/>
      <c r="O1" s="948"/>
      <c r="P1" s="948" t="str">
        <f>Validation!B3</f>
        <v>Bristol Water</v>
      </c>
      <c r="Q1" s="947"/>
      <c r="R1" s="69" t="s">
        <v>32</v>
      </c>
      <c r="S1" s="70"/>
      <c r="T1" s="71"/>
      <c r="U1" s="70"/>
      <c r="V1" s="70"/>
      <c r="W1" s="70"/>
      <c r="X1" s="70"/>
      <c r="Y1" s="70"/>
      <c r="Z1" s="70"/>
      <c r="AA1" s="70"/>
      <c r="AB1" s="70"/>
      <c r="AC1" s="70"/>
      <c r="AD1" s="1643"/>
      <c r="AE1" s="1882"/>
      <c r="AG1" s="1882"/>
      <c r="AH1" s="1882"/>
      <c r="AI1" s="1882"/>
      <c r="AK1" s="1882"/>
      <c r="AL1" s="947" t="s">
        <v>3977</v>
      </c>
      <c r="AM1" s="947"/>
      <c r="AN1" s="947"/>
      <c r="AO1" s="947"/>
      <c r="AP1" s="947"/>
      <c r="AQ1" s="947"/>
      <c r="AR1" s="947"/>
      <c r="AS1" s="947"/>
      <c r="AT1" s="948"/>
      <c r="AU1" s="948"/>
      <c r="AV1" s="948"/>
      <c r="AW1" s="948"/>
      <c r="AX1" s="948"/>
      <c r="AY1" s="948"/>
    </row>
    <row r="2" spans="1:51" ht="16.5" thickBot="1">
      <c r="A2" s="856"/>
      <c r="B2" s="73" t="str">
        <f>'4J'!B2</f>
        <v>For the 12 months ended 31 March 2020</v>
      </c>
      <c r="C2" s="949"/>
      <c r="D2" s="949"/>
      <c r="E2" s="949"/>
      <c r="F2" s="949"/>
      <c r="G2" s="949"/>
      <c r="H2" s="949"/>
      <c r="I2" s="949"/>
      <c r="J2" s="856"/>
      <c r="K2" s="856"/>
      <c r="L2" s="856"/>
      <c r="M2" s="856"/>
      <c r="N2" s="856"/>
      <c r="O2" s="856"/>
      <c r="P2" s="856"/>
      <c r="Q2" s="856"/>
      <c r="R2" s="70"/>
      <c r="S2" s="70"/>
      <c r="T2" s="71"/>
      <c r="U2" s="70"/>
      <c r="V2" s="70"/>
      <c r="W2" s="70"/>
      <c r="X2" s="70"/>
      <c r="Y2" s="70"/>
      <c r="Z2" s="70"/>
      <c r="AA2" s="70"/>
      <c r="AB2" s="70"/>
      <c r="AC2" s="70"/>
      <c r="AD2" s="1643"/>
      <c r="AE2" s="1882"/>
      <c r="AG2" s="1882"/>
      <c r="AH2" s="1882"/>
      <c r="AI2" s="1882"/>
      <c r="AK2" s="1882"/>
      <c r="AL2" s="73" t="str">
        <f>+B2</f>
        <v>For the 12 months ended 31 March 2020</v>
      </c>
      <c r="AM2" s="949"/>
      <c r="AN2" s="949"/>
      <c r="AO2" s="949"/>
      <c r="AP2" s="949"/>
      <c r="AQ2" s="949"/>
      <c r="AR2" s="949"/>
      <c r="AS2" s="949"/>
      <c r="AT2" s="894"/>
      <c r="AU2" s="894"/>
      <c r="AV2" s="894"/>
      <c r="AW2" s="894"/>
      <c r="AX2" s="894"/>
      <c r="AY2" s="894"/>
    </row>
    <row r="3" spans="1:51" ht="16.5" customHeight="1">
      <c r="A3" s="950"/>
      <c r="B3" s="2894" t="s">
        <v>34</v>
      </c>
      <c r="C3" s="2895"/>
      <c r="D3" s="2860" t="s">
        <v>2462</v>
      </c>
      <c r="E3" s="3137" t="s">
        <v>36</v>
      </c>
      <c r="F3" s="3139" t="s">
        <v>37</v>
      </c>
      <c r="G3" s="3061" t="s">
        <v>3978</v>
      </c>
      <c r="H3" s="3062"/>
      <c r="I3" s="3083"/>
      <c r="J3" s="3082" t="s">
        <v>3979</v>
      </c>
      <c r="K3" s="3083"/>
      <c r="L3" s="3082" t="s">
        <v>909</v>
      </c>
      <c r="M3" s="3062"/>
      <c r="N3" s="3083"/>
      <c r="O3" s="3152" t="s">
        <v>708</v>
      </c>
      <c r="P3" s="3148" t="s">
        <v>3638</v>
      </c>
      <c r="Q3" s="950"/>
      <c r="R3" s="2907" t="s">
        <v>41</v>
      </c>
      <c r="S3" s="70"/>
      <c r="T3" s="71"/>
      <c r="U3" s="70"/>
      <c r="V3" s="70"/>
      <c r="W3" s="70"/>
      <c r="X3" s="70"/>
      <c r="Y3" s="85"/>
      <c r="Z3" s="85"/>
      <c r="AA3" s="85"/>
      <c r="AB3" s="85"/>
      <c r="AC3" s="85"/>
      <c r="AD3" s="71"/>
      <c r="AE3" s="1882"/>
      <c r="AG3" s="1882"/>
      <c r="AH3" s="1882"/>
      <c r="AI3" s="1882"/>
      <c r="AK3" s="1882"/>
      <c r="AL3" s="2894" t="s">
        <v>191</v>
      </c>
      <c r="AM3" s="3135" t="s">
        <v>3980</v>
      </c>
      <c r="AN3" s="3135" t="s">
        <v>2462</v>
      </c>
      <c r="AO3" s="3137" t="s">
        <v>36</v>
      </c>
      <c r="AP3" s="3139" t="s">
        <v>37</v>
      </c>
      <c r="AQ3" s="3141" t="s">
        <v>3978</v>
      </c>
      <c r="AR3" s="3142"/>
      <c r="AS3" s="3143"/>
      <c r="AT3" s="3130" t="s">
        <v>3979</v>
      </c>
      <c r="AU3" s="3131"/>
      <c r="AV3" s="3132" t="s">
        <v>909</v>
      </c>
      <c r="AW3" s="3133"/>
      <c r="AX3" s="3134"/>
      <c r="AY3" s="3055" t="s">
        <v>708</v>
      </c>
    </row>
    <row r="4" spans="1:51" ht="184.5" thickBot="1">
      <c r="A4" s="950"/>
      <c r="B4" s="2896"/>
      <c r="C4" s="2897"/>
      <c r="D4" s="2861"/>
      <c r="E4" s="3150"/>
      <c r="F4" s="3151"/>
      <c r="G4" s="211" t="s">
        <v>2885</v>
      </c>
      <c r="H4" s="212" t="s">
        <v>2886</v>
      </c>
      <c r="I4" s="213" t="s">
        <v>2887</v>
      </c>
      <c r="J4" s="214" t="s">
        <v>2888</v>
      </c>
      <c r="K4" s="213" t="s">
        <v>3981</v>
      </c>
      <c r="L4" s="214" t="s">
        <v>2890</v>
      </c>
      <c r="M4" s="212" t="s">
        <v>2891</v>
      </c>
      <c r="N4" s="213" t="s">
        <v>2892</v>
      </c>
      <c r="O4" s="3153"/>
      <c r="P4" s="3149"/>
      <c r="Q4" s="950"/>
      <c r="R4" s="2908"/>
      <c r="S4" s="70"/>
      <c r="T4" s="71"/>
      <c r="U4" s="76" t="s">
        <v>45</v>
      </c>
      <c r="V4" s="76"/>
      <c r="W4" s="76"/>
      <c r="X4" s="76"/>
      <c r="Y4" s="76"/>
      <c r="Z4" s="76"/>
      <c r="AA4" s="76"/>
      <c r="AB4" s="76"/>
      <c r="AC4" s="76"/>
      <c r="AD4" s="71"/>
      <c r="AE4" s="2822" t="s">
        <v>24</v>
      </c>
      <c r="AF4" s="71"/>
      <c r="AG4" s="76" t="s">
        <v>902</v>
      </c>
      <c r="AH4" s="2822"/>
      <c r="AI4" s="2822"/>
      <c r="AJ4" s="71"/>
      <c r="AK4" s="1882"/>
      <c r="AL4" s="2896"/>
      <c r="AM4" s="3136"/>
      <c r="AN4" s="3136"/>
      <c r="AO4" s="3138"/>
      <c r="AP4" s="3140"/>
      <c r="AQ4" s="951" t="s">
        <v>2885</v>
      </c>
      <c r="AR4" s="951" t="s">
        <v>2886</v>
      </c>
      <c r="AS4" s="951" t="s">
        <v>2887</v>
      </c>
      <c r="AT4" s="951" t="s">
        <v>2888</v>
      </c>
      <c r="AU4" s="951" t="s">
        <v>3981</v>
      </c>
      <c r="AV4" s="951" t="s">
        <v>2890</v>
      </c>
      <c r="AW4" s="951" t="s">
        <v>2891</v>
      </c>
      <c r="AX4" s="951" t="s">
        <v>2892</v>
      </c>
      <c r="AY4" s="3056"/>
    </row>
    <row r="5" spans="1:51" ht="16.5" thickBot="1">
      <c r="A5" s="856"/>
      <c r="B5" s="952"/>
      <c r="C5" s="952"/>
      <c r="D5" s="952"/>
      <c r="E5" s="952"/>
      <c r="F5" s="952"/>
      <c r="G5" s="952"/>
      <c r="H5" s="952"/>
      <c r="I5" s="952"/>
      <c r="J5" s="953"/>
      <c r="K5" s="953"/>
      <c r="L5" s="953"/>
      <c r="M5" s="953"/>
      <c r="N5" s="953"/>
      <c r="O5" s="953"/>
      <c r="P5" s="953"/>
      <c r="Q5" s="1882"/>
      <c r="R5" s="1882"/>
      <c r="S5" s="70"/>
      <c r="T5" s="71"/>
      <c r="U5" s="70"/>
      <c r="V5" s="85" t="s">
        <v>46</v>
      </c>
      <c r="W5" s="85"/>
      <c r="X5" s="85"/>
      <c r="Y5" s="85"/>
      <c r="Z5" s="85"/>
      <c r="AA5" s="85"/>
      <c r="AB5" s="85"/>
      <c r="AC5" s="85"/>
      <c r="AD5" s="71"/>
      <c r="AE5" s="1882"/>
      <c r="AG5" s="1882"/>
      <c r="AH5" s="1882"/>
      <c r="AI5" s="1882"/>
      <c r="AK5" s="1882"/>
      <c r="AL5" s="952"/>
      <c r="AM5" s="952"/>
      <c r="AN5" s="952"/>
      <c r="AO5" s="952"/>
      <c r="AP5" s="952"/>
      <c r="AQ5" s="952"/>
      <c r="AR5" s="952"/>
      <c r="AS5" s="952"/>
      <c r="AT5" s="2657"/>
      <c r="AU5" s="2657"/>
      <c r="AV5" s="2657"/>
      <c r="AW5" s="2657"/>
      <c r="AX5" s="2657"/>
      <c r="AY5" s="2657"/>
    </row>
    <row r="6" spans="1:51" ht="16.5" thickBot="1">
      <c r="A6" s="856"/>
      <c r="B6" s="857" t="s">
        <v>153</v>
      </c>
      <c r="C6" s="858" t="s">
        <v>3639</v>
      </c>
      <c r="D6" s="859"/>
      <c r="E6" s="859"/>
      <c r="F6" s="859"/>
      <c r="G6" s="859"/>
      <c r="H6" s="859"/>
      <c r="I6" s="859"/>
      <c r="J6" s="856"/>
      <c r="K6" s="856"/>
      <c r="L6" s="856"/>
      <c r="M6" s="856"/>
      <c r="N6" s="856"/>
      <c r="O6" s="856"/>
      <c r="P6" s="856"/>
      <c r="Q6" s="1882"/>
      <c r="R6" s="1882"/>
      <c r="S6" s="70"/>
      <c r="T6" s="71"/>
      <c r="U6" s="70"/>
      <c r="V6" s="85"/>
      <c r="W6" s="85"/>
      <c r="X6" s="85"/>
      <c r="Y6" s="85"/>
      <c r="Z6" s="85"/>
      <c r="AA6" s="85"/>
      <c r="AB6" s="85"/>
      <c r="AC6" s="85"/>
      <c r="AD6" s="71"/>
      <c r="AE6" s="1882"/>
      <c r="AG6" s="1882"/>
      <c r="AH6" s="1882"/>
      <c r="AI6" s="1882"/>
      <c r="AK6" s="1882"/>
      <c r="AL6" s="857" t="s">
        <v>153</v>
      </c>
      <c r="AM6" s="858" t="s">
        <v>3639</v>
      </c>
      <c r="AN6" s="859"/>
      <c r="AO6" s="859"/>
      <c r="AP6" s="859"/>
      <c r="AQ6" s="859"/>
      <c r="AR6" s="859"/>
      <c r="AS6" s="859"/>
      <c r="AT6" s="894"/>
      <c r="AU6" s="894"/>
      <c r="AV6" s="894"/>
      <c r="AW6" s="894"/>
      <c r="AX6" s="894"/>
      <c r="AY6" s="894"/>
    </row>
    <row r="7" spans="1:51" ht="16">
      <c r="A7" s="856"/>
      <c r="B7" s="1440" t="s">
        <v>3982</v>
      </c>
      <c r="C7" s="861" t="s">
        <v>1040</v>
      </c>
      <c r="D7" s="861"/>
      <c r="E7" s="862" t="s">
        <v>49</v>
      </c>
      <c r="F7" s="863">
        <v>3</v>
      </c>
      <c r="G7" s="864"/>
      <c r="H7" s="1377"/>
      <c r="I7" s="865"/>
      <c r="J7" s="864"/>
      <c r="K7" s="865"/>
      <c r="L7" s="865"/>
      <c r="M7" s="865"/>
      <c r="N7" s="904"/>
      <c r="O7" s="866">
        <f>+SUM(G7:N7)</f>
        <v>0</v>
      </c>
      <c r="P7" s="867"/>
      <c r="Q7" s="1882"/>
      <c r="R7" s="868">
        <f t="shared" ref="R7:R10" si="0" xml:space="preserve"> IF( SUM( T7:AD7 ) = 0, 0, $V$5 )</f>
        <v>0</v>
      </c>
      <c r="S7" s="869"/>
      <c r="T7" s="71"/>
      <c r="U7" s="1882"/>
      <c r="V7" s="93">
        <f>IF(Validation!$H$3=1,0,IF(ISNUMBER(G7),0,1))</f>
        <v>0</v>
      </c>
      <c r="W7" s="93">
        <f>IF(Validation!$H$3=1,0,IF(ISNUMBER(H7),0,1))</f>
        <v>0</v>
      </c>
      <c r="X7" s="93">
        <f>IF(Validation!$H$3=1,0,IF(ISNUMBER(I7),0,1))</f>
        <v>0</v>
      </c>
      <c r="Y7" s="93">
        <f>IF(Validation!$H$3=1,0,IF(ISNUMBER(J7),0,1))</f>
        <v>0</v>
      </c>
      <c r="Z7" s="93">
        <f>IF(Validation!$H$3=1,0,IF(ISNUMBER(K7),0,1))</f>
        <v>0</v>
      </c>
      <c r="AA7" s="93">
        <f>IF(Validation!$H$3=1,0,IF(ISNUMBER(L7),0,1))</f>
        <v>0</v>
      </c>
      <c r="AB7" s="93">
        <f>IF(Validation!$H$3=1,0,IF(ISNUMBER(M7),0,1))</f>
        <v>0</v>
      </c>
      <c r="AC7" s="93">
        <f>IF(Validation!$H$3=1,0,IF(ISNUMBER(N7),0,1))</f>
        <v>0</v>
      </c>
      <c r="AD7" s="71"/>
      <c r="AE7" s="1882"/>
      <c r="AG7" s="1882"/>
      <c r="AH7" s="1882"/>
      <c r="AI7" s="1882"/>
      <c r="AK7" s="1882"/>
      <c r="AL7" s="1440" t="s">
        <v>3982</v>
      </c>
      <c r="AM7" s="861" t="s">
        <v>1040</v>
      </c>
      <c r="AN7" s="861"/>
      <c r="AO7" s="862" t="s">
        <v>49</v>
      </c>
      <c r="AP7" s="863">
        <v>3</v>
      </c>
      <c r="AQ7" s="2615" t="s">
        <v>3983</v>
      </c>
      <c r="AR7" s="2617" t="s">
        <v>3984</v>
      </c>
      <c r="AS7" s="2618" t="s">
        <v>3985</v>
      </c>
      <c r="AT7" s="2615" t="s">
        <v>3986</v>
      </c>
      <c r="AU7" s="2618" t="s">
        <v>3987</v>
      </c>
      <c r="AV7" s="2618" t="s">
        <v>3988</v>
      </c>
      <c r="AW7" s="2618" t="s">
        <v>3989</v>
      </c>
      <c r="AX7" s="2619" t="s">
        <v>3990</v>
      </c>
      <c r="AY7" s="1992" t="s">
        <v>3991</v>
      </c>
    </row>
    <row r="8" spans="1:51" ht="16">
      <c r="A8" s="856"/>
      <c r="B8" s="870" t="s">
        <v>3992</v>
      </c>
      <c r="C8" s="871" t="s">
        <v>1048</v>
      </c>
      <c r="D8" s="871"/>
      <c r="E8" s="872" t="s">
        <v>49</v>
      </c>
      <c r="F8" s="873">
        <v>3</v>
      </c>
      <c r="G8" s="874"/>
      <c r="H8" s="1378"/>
      <c r="I8" s="875"/>
      <c r="J8" s="874"/>
      <c r="K8" s="875"/>
      <c r="L8" s="875"/>
      <c r="M8" s="875"/>
      <c r="N8" s="906"/>
      <c r="O8" s="876">
        <f t="shared" ref="O8:O10" si="1">+SUM(G8:N8)</f>
        <v>0</v>
      </c>
      <c r="P8" s="877"/>
      <c r="Q8" s="1882"/>
      <c r="R8" s="868">
        <f t="shared" si="0"/>
        <v>0</v>
      </c>
      <c r="S8" s="869"/>
      <c r="T8" s="71"/>
      <c r="U8" s="1882"/>
      <c r="V8" s="93">
        <f>IF(Validation!$H$3=1,0,IF(ISNUMBER(G8),0,1))</f>
        <v>0</v>
      </c>
      <c r="W8" s="93">
        <f>IF(Validation!$H$3=1,0,IF(ISNUMBER(H8),0,1))</f>
        <v>0</v>
      </c>
      <c r="X8" s="93">
        <f>IF(Validation!$H$3=1,0,IF(ISNUMBER(I8),0,1))</f>
        <v>0</v>
      </c>
      <c r="Y8" s="93">
        <f>IF(Validation!$H$3=1,0,IF(ISNUMBER(J8),0,1))</f>
        <v>0</v>
      </c>
      <c r="Z8" s="93">
        <f>IF(Validation!$H$3=1,0,IF(ISNUMBER(K8),0,1))</f>
        <v>0</v>
      </c>
      <c r="AA8" s="93">
        <f>IF(Validation!$H$3=1,0,IF(ISNUMBER(L8),0,1))</f>
        <v>0</v>
      </c>
      <c r="AB8" s="93">
        <f>IF(Validation!$H$3=1,0,IF(ISNUMBER(M8),0,1))</f>
        <v>0</v>
      </c>
      <c r="AC8" s="93">
        <f>IF(Validation!$H$3=1,0,IF(ISNUMBER(N8),0,1))</f>
        <v>0</v>
      </c>
      <c r="AD8" s="71"/>
      <c r="AE8" s="1882"/>
      <c r="AG8" s="1882"/>
      <c r="AH8" s="1882"/>
      <c r="AI8" s="1882"/>
      <c r="AK8" s="1882"/>
      <c r="AL8" s="870" t="s">
        <v>3992</v>
      </c>
      <c r="AM8" s="871" t="s">
        <v>1048</v>
      </c>
      <c r="AN8" s="871"/>
      <c r="AO8" s="872" t="s">
        <v>49</v>
      </c>
      <c r="AP8" s="873">
        <v>3</v>
      </c>
      <c r="AQ8" s="2620" t="s">
        <v>3993</v>
      </c>
      <c r="AR8" s="2622" t="s">
        <v>3994</v>
      </c>
      <c r="AS8" s="2623" t="s">
        <v>3995</v>
      </c>
      <c r="AT8" s="2620" t="s">
        <v>3996</v>
      </c>
      <c r="AU8" s="2623" t="s">
        <v>3997</v>
      </c>
      <c r="AV8" s="2623" t="s">
        <v>3998</v>
      </c>
      <c r="AW8" s="2623" t="s">
        <v>3999</v>
      </c>
      <c r="AX8" s="2624" t="s">
        <v>4000</v>
      </c>
      <c r="AY8" s="1993" t="s">
        <v>4001</v>
      </c>
    </row>
    <row r="9" spans="1:51" ht="16">
      <c r="A9" s="856"/>
      <c r="B9" s="870" t="s">
        <v>4002</v>
      </c>
      <c r="C9" s="871" t="s">
        <v>4003</v>
      </c>
      <c r="D9" s="871"/>
      <c r="E9" s="872" t="s">
        <v>49</v>
      </c>
      <c r="F9" s="873">
        <v>3</v>
      </c>
      <c r="G9" s="874"/>
      <c r="H9" s="1378"/>
      <c r="I9" s="875"/>
      <c r="J9" s="874"/>
      <c r="K9" s="875"/>
      <c r="L9" s="875"/>
      <c r="M9" s="875"/>
      <c r="N9" s="906"/>
      <c r="O9" s="876">
        <f t="shared" si="1"/>
        <v>0</v>
      </c>
      <c r="P9" s="877"/>
      <c r="Q9" s="1882"/>
      <c r="R9" s="868">
        <f t="shared" si="0"/>
        <v>0</v>
      </c>
      <c r="S9" s="869"/>
      <c r="T9" s="71"/>
      <c r="U9" s="1882"/>
      <c r="V9" s="93">
        <f>IF(Validation!$H$3=1,0,IF(ISNUMBER(G9),0,1))</f>
        <v>0</v>
      </c>
      <c r="W9" s="93">
        <f>IF(Validation!$H$3=1,0,IF(ISNUMBER(H9),0,1))</f>
        <v>0</v>
      </c>
      <c r="X9" s="93">
        <f>IF(Validation!$H$3=1,0,IF(ISNUMBER(I9),0,1))</f>
        <v>0</v>
      </c>
      <c r="Y9" s="93">
        <f>IF(Validation!$H$3=1,0,IF(ISNUMBER(J9),0,1))</f>
        <v>0</v>
      </c>
      <c r="Z9" s="93">
        <f>IF(Validation!$H$3=1,0,IF(ISNUMBER(K9),0,1))</f>
        <v>0</v>
      </c>
      <c r="AA9" s="93">
        <f>IF(Validation!$H$3=1,0,IF(ISNUMBER(L9),0,1))</f>
        <v>0</v>
      </c>
      <c r="AB9" s="93">
        <f>IF(Validation!$H$3=1,0,IF(ISNUMBER(M9),0,1))</f>
        <v>0</v>
      </c>
      <c r="AC9" s="93">
        <f>IF(Validation!$H$3=1,0,IF(ISNUMBER(N9),0,1))</f>
        <v>0</v>
      </c>
      <c r="AD9" s="71"/>
      <c r="AE9" s="1882"/>
      <c r="AG9" s="1882"/>
      <c r="AH9" s="1882"/>
      <c r="AI9" s="1882"/>
      <c r="AK9" s="1882"/>
      <c r="AL9" s="870" t="s">
        <v>4002</v>
      </c>
      <c r="AM9" s="871" t="s">
        <v>4003</v>
      </c>
      <c r="AN9" s="871"/>
      <c r="AO9" s="872" t="s">
        <v>49</v>
      </c>
      <c r="AP9" s="873">
        <v>3</v>
      </c>
      <c r="AQ9" s="2620" t="s">
        <v>4004</v>
      </c>
      <c r="AR9" s="2622" t="s">
        <v>4005</v>
      </c>
      <c r="AS9" s="2623" t="s">
        <v>4006</v>
      </c>
      <c r="AT9" s="2620" t="s">
        <v>4007</v>
      </c>
      <c r="AU9" s="2623" t="s">
        <v>4008</v>
      </c>
      <c r="AV9" s="2623" t="s">
        <v>4009</v>
      </c>
      <c r="AW9" s="2623" t="s">
        <v>4010</v>
      </c>
      <c r="AX9" s="2624" t="s">
        <v>4011</v>
      </c>
      <c r="AY9" s="1993" t="s">
        <v>4012</v>
      </c>
    </row>
    <row r="10" spans="1:51" ht="16">
      <c r="A10" s="856"/>
      <c r="B10" s="870" t="s">
        <v>4013</v>
      </c>
      <c r="C10" s="871" t="s">
        <v>2925</v>
      </c>
      <c r="D10" s="871"/>
      <c r="E10" s="872" t="s">
        <v>49</v>
      </c>
      <c r="F10" s="873">
        <v>3</v>
      </c>
      <c r="G10" s="874"/>
      <c r="H10" s="1378"/>
      <c r="I10" s="875"/>
      <c r="J10" s="874"/>
      <c r="K10" s="875"/>
      <c r="L10" s="875"/>
      <c r="M10" s="875"/>
      <c r="N10" s="906"/>
      <c r="O10" s="876">
        <f t="shared" si="1"/>
        <v>0</v>
      </c>
      <c r="P10" s="877"/>
      <c r="Q10" s="1882"/>
      <c r="R10" s="868">
        <f t="shared" si="0"/>
        <v>0</v>
      </c>
      <c r="S10" s="869"/>
      <c r="T10" s="71"/>
      <c r="U10" s="1882"/>
      <c r="V10" s="93">
        <f>IF(Validation!$H$3=1,0,IF(ISNUMBER(G10),0,1))</f>
        <v>0</v>
      </c>
      <c r="W10" s="93">
        <f>IF(Validation!$H$3=1,0,IF(ISNUMBER(H10),0,1))</f>
        <v>0</v>
      </c>
      <c r="X10" s="93">
        <f>IF(Validation!$H$3=1,0,IF(ISNUMBER(I10),0,1))</f>
        <v>0</v>
      </c>
      <c r="Y10" s="93">
        <f>IF(Validation!$H$3=1,0,IF(ISNUMBER(J10),0,1))</f>
        <v>0</v>
      </c>
      <c r="Z10" s="93">
        <f>IF(Validation!$H$3=1,0,IF(ISNUMBER(K10),0,1))</f>
        <v>0</v>
      </c>
      <c r="AA10" s="93">
        <f>IF(Validation!$H$3=1,0,IF(ISNUMBER(L10),0,1))</f>
        <v>0</v>
      </c>
      <c r="AB10" s="93">
        <f>IF(Validation!$H$3=1,0,IF(ISNUMBER(M10),0,1))</f>
        <v>0</v>
      </c>
      <c r="AC10" s="93">
        <f>IF(Validation!$H$3=1,0,IF(ISNUMBER(N10),0,1))</f>
        <v>0</v>
      </c>
      <c r="AD10" s="71"/>
      <c r="AE10" s="1882"/>
      <c r="AG10" s="1882"/>
      <c r="AH10" s="1882"/>
      <c r="AI10" s="1882"/>
      <c r="AK10" s="1882"/>
      <c r="AL10" s="870" t="s">
        <v>4013</v>
      </c>
      <c r="AM10" s="871" t="s">
        <v>2925</v>
      </c>
      <c r="AN10" s="871"/>
      <c r="AO10" s="872" t="s">
        <v>49</v>
      </c>
      <c r="AP10" s="873">
        <v>3</v>
      </c>
      <c r="AQ10" s="2620" t="s">
        <v>4014</v>
      </c>
      <c r="AR10" s="2622" t="s">
        <v>4015</v>
      </c>
      <c r="AS10" s="2623" t="s">
        <v>4016</v>
      </c>
      <c r="AT10" s="2620" t="s">
        <v>4017</v>
      </c>
      <c r="AU10" s="2623" t="s">
        <v>4018</v>
      </c>
      <c r="AV10" s="2623" t="s">
        <v>4019</v>
      </c>
      <c r="AW10" s="2623" t="s">
        <v>4020</v>
      </c>
      <c r="AX10" s="2624" t="s">
        <v>4021</v>
      </c>
      <c r="AY10" s="1993" t="s">
        <v>4022</v>
      </c>
    </row>
    <row r="11" spans="1:51" ht="16">
      <c r="A11" s="894"/>
      <c r="B11" s="1811"/>
      <c r="C11" s="878" t="s">
        <v>1280</v>
      </c>
      <c r="D11" s="879"/>
      <c r="E11" s="880"/>
      <c r="F11" s="881"/>
      <c r="G11" s="882"/>
      <c r="H11" s="882"/>
      <c r="I11" s="882"/>
      <c r="J11" s="882"/>
      <c r="K11" s="882"/>
      <c r="L11" s="882"/>
      <c r="M11" s="882"/>
      <c r="N11" s="882"/>
      <c r="O11" s="882"/>
      <c r="P11" s="1812"/>
      <c r="Q11" s="483"/>
      <c r="R11" s="580"/>
      <c r="S11" s="1882"/>
      <c r="U11" s="1882"/>
      <c r="V11" s="1882"/>
      <c r="W11" s="1882"/>
      <c r="X11" s="1882"/>
      <c r="Y11" s="1882"/>
      <c r="Z11" s="1882"/>
      <c r="AA11" s="1882"/>
      <c r="AB11" s="1882"/>
      <c r="AC11" s="1882"/>
      <c r="AE11" s="1882"/>
      <c r="AG11" s="1882"/>
      <c r="AH11" s="1882"/>
      <c r="AI11" s="1882"/>
      <c r="AK11" s="1882"/>
      <c r="AL11" s="1811"/>
      <c r="AM11" s="878" t="s">
        <v>1280</v>
      </c>
      <c r="AN11" s="879"/>
      <c r="AO11" s="880"/>
      <c r="AP11" s="881"/>
      <c r="AQ11" s="1994"/>
      <c r="AR11" s="1994"/>
      <c r="AS11" s="1994"/>
      <c r="AT11" s="1994"/>
      <c r="AU11" s="1994"/>
      <c r="AV11" s="1994"/>
      <c r="AW11" s="1994"/>
      <c r="AX11" s="1994"/>
      <c r="AY11" s="1994"/>
    </row>
    <row r="12" spans="1:51" ht="16">
      <c r="A12" s="856"/>
      <c r="B12" s="870" t="s">
        <v>4023</v>
      </c>
      <c r="C12" s="884" t="s">
        <v>3673</v>
      </c>
      <c r="D12" s="884"/>
      <c r="E12" s="872" t="s">
        <v>49</v>
      </c>
      <c r="F12" s="885">
        <v>3</v>
      </c>
      <c r="G12" s="874"/>
      <c r="H12" s="1378"/>
      <c r="I12" s="875"/>
      <c r="J12" s="874"/>
      <c r="K12" s="875"/>
      <c r="L12" s="875"/>
      <c r="M12" s="875"/>
      <c r="N12" s="906"/>
      <c r="O12" s="876">
        <f t="shared" ref="O12:O16" si="2">+SUM(G12:N12)</f>
        <v>0</v>
      </c>
      <c r="P12" s="877"/>
      <c r="Q12" s="1882"/>
      <c r="R12" s="868">
        <f t="shared" ref="R12:R15" si="3" xml:space="preserve"> IF( SUM( T12:AD12 ) = 0, 0, $V$5 )</f>
        <v>0</v>
      </c>
      <c r="S12" s="869"/>
      <c r="T12" s="71"/>
      <c r="U12" s="1882"/>
      <c r="V12" s="93">
        <f>IF(Validation!$H$3=1,0,IF(ISNUMBER(G12),0,1))</f>
        <v>0</v>
      </c>
      <c r="W12" s="93">
        <f>IF(Validation!$H$3=1,0,IF(ISNUMBER(H12),0,1))</f>
        <v>0</v>
      </c>
      <c r="X12" s="93">
        <f>IF(Validation!$H$3=1,0,IF(ISNUMBER(I12),0,1))</f>
        <v>0</v>
      </c>
      <c r="Y12" s="93">
        <f>IF(Validation!$H$3=1,0,IF(ISNUMBER(J12),0,1))</f>
        <v>0</v>
      </c>
      <c r="Z12" s="93">
        <f>IF(Validation!$H$3=1,0,IF(ISNUMBER(K12),0,1))</f>
        <v>0</v>
      </c>
      <c r="AA12" s="93">
        <f>IF(Validation!$H$3=1,0,IF(ISNUMBER(L12),0,1))</f>
        <v>0</v>
      </c>
      <c r="AB12" s="93">
        <f>IF(Validation!$H$3=1,0,IF(ISNUMBER(M12),0,1))</f>
        <v>0</v>
      </c>
      <c r="AC12" s="93">
        <f>IF(Validation!$H$3=1,0,IF(ISNUMBER(N12),0,1))</f>
        <v>0</v>
      </c>
      <c r="AD12" s="71"/>
      <c r="AE12" s="1882"/>
      <c r="AG12" s="1882"/>
      <c r="AH12" s="1882"/>
      <c r="AI12" s="1882"/>
      <c r="AK12" s="1882"/>
      <c r="AL12" s="870" t="s">
        <v>4023</v>
      </c>
      <c r="AM12" s="884" t="s">
        <v>3673</v>
      </c>
      <c r="AN12" s="884"/>
      <c r="AO12" s="872" t="s">
        <v>49</v>
      </c>
      <c r="AP12" s="885">
        <v>3</v>
      </c>
      <c r="AQ12" s="2620" t="s">
        <v>4024</v>
      </c>
      <c r="AR12" s="2622" t="s">
        <v>4025</v>
      </c>
      <c r="AS12" s="2623" t="s">
        <v>4026</v>
      </c>
      <c r="AT12" s="2620" t="s">
        <v>4027</v>
      </c>
      <c r="AU12" s="2623" t="s">
        <v>4028</v>
      </c>
      <c r="AV12" s="2623" t="s">
        <v>4029</v>
      </c>
      <c r="AW12" s="2623" t="s">
        <v>4030</v>
      </c>
      <c r="AX12" s="2624" t="s">
        <v>4031</v>
      </c>
      <c r="AY12" s="1993" t="s">
        <v>4032</v>
      </c>
    </row>
    <row r="13" spans="1:51" ht="16">
      <c r="A13" s="856"/>
      <c r="B13" s="870" t="s">
        <v>4033</v>
      </c>
      <c r="C13" s="871" t="s">
        <v>3682</v>
      </c>
      <c r="D13" s="871"/>
      <c r="E13" s="872" t="s">
        <v>49</v>
      </c>
      <c r="F13" s="885">
        <v>3</v>
      </c>
      <c r="G13" s="874"/>
      <c r="H13" s="1378"/>
      <c r="I13" s="875"/>
      <c r="J13" s="874"/>
      <c r="K13" s="875"/>
      <c r="L13" s="875"/>
      <c r="M13" s="875"/>
      <c r="N13" s="906"/>
      <c r="O13" s="876">
        <f t="shared" si="2"/>
        <v>0</v>
      </c>
      <c r="P13" s="877"/>
      <c r="Q13" s="1882"/>
      <c r="R13" s="868">
        <f t="shared" si="3"/>
        <v>0</v>
      </c>
      <c r="S13" s="869"/>
      <c r="T13" s="71"/>
      <c r="U13" s="1882"/>
      <c r="V13" s="93">
        <f>IF(Validation!$H$3=1,0,IF(ISNUMBER(G13),0,1))</f>
        <v>0</v>
      </c>
      <c r="W13" s="93">
        <f>IF(Validation!$H$3=1,0,IF(ISNUMBER(H13),0,1))</f>
        <v>0</v>
      </c>
      <c r="X13" s="93">
        <f>IF(Validation!$H$3=1,0,IF(ISNUMBER(I13),0,1))</f>
        <v>0</v>
      </c>
      <c r="Y13" s="93">
        <f>IF(Validation!$H$3=1,0,IF(ISNUMBER(J13),0,1))</f>
        <v>0</v>
      </c>
      <c r="Z13" s="93">
        <f>IF(Validation!$H$3=1,0,IF(ISNUMBER(K13),0,1))</f>
        <v>0</v>
      </c>
      <c r="AA13" s="93">
        <f>IF(Validation!$H$3=1,0,IF(ISNUMBER(L13),0,1))</f>
        <v>0</v>
      </c>
      <c r="AB13" s="93">
        <f>IF(Validation!$H$3=1,0,IF(ISNUMBER(M13),0,1))</f>
        <v>0</v>
      </c>
      <c r="AC13" s="93">
        <f>IF(Validation!$H$3=1,0,IF(ISNUMBER(N13),0,1))</f>
        <v>0</v>
      </c>
      <c r="AD13" s="71"/>
      <c r="AE13" s="1882"/>
      <c r="AG13" s="1882"/>
      <c r="AH13" s="1882"/>
      <c r="AI13" s="1882"/>
      <c r="AK13" s="1882"/>
      <c r="AL13" s="870" t="s">
        <v>4033</v>
      </c>
      <c r="AM13" s="871" t="s">
        <v>3682</v>
      </c>
      <c r="AN13" s="871"/>
      <c r="AO13" s="872" t="s">
        <v>49</v>
      </c>
      <c r="AP13" s="885">
        <v>3</v>
      </c>
      <c r="AQ13" s="2620" t="s">
        <v>4034</v>
      </c>
      <c r="AR13" s="2622" t="s">
        <v>4035</v>
      </c>
      <c r="AS13" s="2623" t="s">
        <v>4036</v>
      </c>
      <c r="AT13" s="2620" t="s">
        <v>4037</v>
      </c>
      <c r="AU13" s="2623" t="s">
        <v>4038</v>
      </c>
      <c r="AV13" s="2623" t="s">
        <v>4039</v>
      </c>
      <c r="AW13" s="2623" t="s">
        <v>4040</v>
      </c>
      <c r="AX13" s="2624" t="s">
        <v>4041</v>
      </c>
      <c r="AY13" s="1993" t="s">
        <v>4042</v>
      </c>
    </row>
    <row r="14" spans="1:51" ht="16">
      <c r="A14" s="856"/>
      <c r="B14" s="870" t="s">
        <v>4043</v>
      </c>
      <c r="C14" s="871" t="s">
        <v>3691</v>
      </c>
      <c r="D14" s="871"/>
      <c r="E14" s="872" t="s">
        <v>49</v>
      </c>
      <c r="F14" s="885">
        <v>3</v>
      </c>
      <c r="G14" s="874"/>
      <c r="H14" s="1378"/>
      <c r="I14" s="875"/>
      <c r="J14" s="874"/>
      <c r="K14" s="875"/>
      <c r="L14" s="875"/>
      <c r="M14" s="875"/>
      <c r="N14" s="906"/>
      <c r="O14" s="876">
        <f t="shared" si="2"/>
        <v>0</v>
      </c>
      <c r="P14" s="877"/>
      <c r="Q14" s="1882"/>
      <c r="R14" s="868">
        <f t="shared" si="3"/>
        <v>0</v>
      </c>
      <c r="S14" s="869"/>
      <c r="T14" s="71"/>
      <c r="U14" s="1882"/>
      <c r="V14" s="93">
        <f>IF(Validation!$H$3=1,0,IF(ISNUMBER(G14),0,1))</f>
        <v>0</v>
      </c>
      <c r="W14" s="93">
        <f>IF(Validation!$H$3=1,0,IF(ISNUMBER(H14),0,1))</f>
        <v>0</v>
      </c>
      <c r="X14" s="93">
        <f>IF(Validation!$H$3=1,0,IF(ISNUMBER(I14),0,1))</f>
        <v>0</v>
      </c>
      <c r="Y14" s="93">
        <f>IF(Validation!$H$3=1,0,IF(ISNUMBER(J14),0,1))</f>
        <v>0</v>
      </c>
      <c r="Z14" s="93">
        <f>IF(Validation!$H$3=1,0,IF(ISNUMBER(K14),0,1))</f>
        <v>0</v>
      </c>
      <c r="AA14" s="93">
        <f>IF(Validation!$H$3=1,0,IF(ISNUMBER(L14),0,1))</f>
        <v>0</v>
      </c>
      <c r="AB14" s="93">
        <f>IF(Validation!$H$3=1,0,IF(ISNUMBER(M14),0,1))</f>
        <v>0</v>
      </c>
      <c r="AC14" s="93">
        <f>IF(Validation!$H$3=1,0,IF(ISNUMBER(N14),0,1))</f>
        <v>0</v>
      </c>
      <c r="AD14" s="71"/>
      <c r="AE14" s="1882"/>
      <c r="AG14" s="1882"/>
      <c r="AH14" s="1882"/>
      <c r="AI14" s="1882"/>
      <c r="AK14" s="1882"/>
      <c r="AL14" s="870" t="s">
        <v>4043</v>
      </c>
      <c r="AM14" s="871" t="s">
        <v>3691</v>
      </c>
      <c r="AN14" s="871"/>
      <c r="AO14" s="872" t="s">
        <v>49</v>
      </c>
      <c r="AP14" s="885">
        <v>3</v>
      </c>
      <c r="AQ14" s="2620" t="s">
        <v>4044</v>
      </c>
      <c r="AR14" s="2622" t="s">
        <v>4045</v>
      </c>
      <c r="AS14" s="2623" t="s">
        <v>4046</v>
      </c>
      <c r="AT14" s="2620" t="s">
        <v>4047</v>
      </c>
      <c r="AU14" s="2623" t="s">
        <v>4048</v>
      </c>
      <c r="AV14" s="2623" t="s">
        <v>4049</v>
      </c>
      <c r="AW14" s="2623" t="s">
        <v>4050</v>
      </c>
      <c r="AX14" s="2624" t="s">
        <v>4051</v>
      </c>
      <c r="AY14" s="1993" t="s">
        <v>4052</v>
      </c>
    </row>
    <row r="15" spans="1:51" ht="16">
      <c r="A15" s="856"/>
      <c r="B15" s="870" t="s">
        <v>4053</v>
      </c>
      <c r="C15" s="871" t="s">
        <v>1096</v>
      </c>
      <c r="D15" s="871"/>
      <c r="E15" s="872" t="s">
        <v>49</v>
      </c>
      <c r="F15" s="885">
        <v>3</v>
      </c>
      <c r="G15" s="874"/>
      <c r="H15" s="1378"/>
      <c r="I15" s="875"/>
      <c r="J15" s="874"/>
      <c r="K15" s="875"/>
      <c r="L15" s="875"/>
      <c r="M15" s="875"/>
      <c r="N15" s="906"/>
      <c r="O15" s="876">
        <f t="shared" si="2"/>
        <v>0</v>
      </c>
      <c r="P15" s="877"/>
      <c r="Q15" s="1882"/>
      <c r="R15" s="868">
        <f t="shared" si="3"/>
        <v>0</v>
      </c>
      <c r="S15" s="869"/>
      <c r="T15" s="71"/>
      <c r="U15" s="1882"/>
      <c r="V15" s="93">
        <f>IF(Validation!$H$3=1,0,IF(ISNUMBER(G15),0,1))</f>
        <v>0</v>
      </c>
      <c r="W15" s="93">
        <f>IF(Validation!$H$3=1,0,IF(ISNUMBER(H15),0,1))</f>
        <v>0</v>
      </c>
      <c r="X15" s="93">
        <f>IF(Validation!$H$3=1,0,IF(ISNUMBER(I15),0,1))</f>
        <v>0</v>
      </c>
      <c r="Y15" s="93">
        <f>IF(Validation!$H$3=1,0,IF(ISNUMBER(J15),0,1))</f>
        <v>0</v>
      </c>
      <c r="Z15" s="93">
        <f>IF(Validation!$H$3=1,0,IF(ISNUMBER(K15),0,1))</f>
        <v>0</v>
      </c>
      <c r="AA15" s="93">
        <f>IF(Validation!$H$3=1,0,IF(ISNUMBER(L15),0,1))</f>
        <v>0</v>
      </c>
      <c r="AB15" s="93">
        <f>IF(Validation!$H$3=1,0,IF(ISNUMBER(M15),0,1))</f>
        <v>0</v>
      </c>
      <c r="AC15" s="93">
        <f>IF(Validation!$H$3=1,0,IF(ISNUMBER(N15),0,1))</f>
        <v>0</v>
      </c>
      <c r="AD15" s="71"/>
      <c r="AE15" s="1882"/>
      <c r="AG15" s="1882"/>
      <c r="AH15" s="1882"/>
      <c r="AI15" s="1882"/>
      <c r="AK15" s="1882"/>
      <c r="AL15" s="870" t="s">
        <v>4053</v>
      </c>
      <c r="AM15" s="871" t="s">
        <v>1096</v>
      </c>
      <c r="AN15" s="871"/>
      <c r="AO15" s="872" t="s">
        <v>49</v>
      </c>
      <c r="AP15" s="885">
        <v>3</v>
      </c>
      <c r="AQ15" s="2620" t="s">
        <v>4054</v>
      </c>
      <c r="AR15" s="2622" t="s">
        <v>4055</v>
      </c>
      <c r="AS15" s="2623" t="s">
        <v>4056</v>
      </c>
      <c r="AT15" s="2620" t="s">
        <v>4057</v>
      </c>
      <c r="AU15" s="2623" t="s">
        <v>4058</v>
      </c>
      <c r="AV15" s="2623" t="s">
        <v>4059</v>
      </c>
      <c r="AW15" s="2623" t="s">
        <v>4060</v>
      </c>
      <c r="AX15" s="2624" t="s">
        <v>4061</v>
      </c>
      <c r="AY15" s="1993" t="s">
        <v>4062</v>
      </c>
    </row>
    <row r="16" spans="1:51" ht="16.5" thickBot="1">
      <c r="A16" s="856"/>
      <c r="B16" s="886" t="s">
        <v>4063</v>
      </c>
      <c r="C16" s="887" t="s">
        <v>3708</v>
      </c>
      <c r="D16" s="887"/>
      <c r="E16" s="888" t="s">
        <v>49</v>
      </c>
      <c r="F16" s="889">
        <v>3</v>
      </c>
      <c r="G16" s="890">
        <f t="shared" ref="G16" si="4">+SUM(G7:G15)</f>
        <v>0</v>
      </c>
      <c r="H16" s="1379">
        <f t="shared" ref="H16:N16" si="5">+SUM(H7:H15)</f>
        <v>0</v>
      </c>
      <c r="I16" s="891">
        <f t="shared" si="5"/>
        <v>0</v>
      </c>
      <c r="J16" s="890">
        <f t="shared" si="5"/>
        <v>0</v>
      </c>
      <c r="K16" s="891">
        <f t="shared" si="5"/>
        <v>0</v>
      </c>
      <c r="L16" s="891">
        <f t="shared" si="5"/>
        <v>0</v>
      </c>
      <c r="M16" s="891">
        <f t="shared" si="5"/>
        <v>0</v>
      </c>
      <c r="N16" s="1399">
        <f t="shared" si="5"/>
        <v>0</v>
      </c>
      <c r="O16" s="892">
        <f t="shared" si="2"/>
        <v>0</v>
      </c>
      <c r="P16" s="893"/>
      <c r="Q16" s="1882"/>
      <c r="R16" s="580"/>
      <c r="S16" s="1882"/>
      <c r="U16" s="1882"/>
      <c r="V16" s="1882"/>
      <c r="W16" s="1882"/>
      <c r="X16" s="1882"/>
      <c r="Y16" s="1882"/>
      <c r="Z16" s="1882"/>
      <c r="AA16" s="1882"/>
      <c r="AB16" s="1882"/>
      <c r="AC16" s="1882"/>
      <c r="AE16" s="1882"/>
      <c r="AG16" s="1882"/>
      <c r="AH16" s="1882"/>
      <c r="AI16" s="1882"/>
      <c r="AK16" s="1882"/>
      <c r="AL16" s="886" t="s">
        <v>4063</v>
      </c>
      <c r="AM16" s="887" t="s">
        <v>3708</v>
      </c>
      <c r="AN16" s="887"/>
      <c r="AO16" s="888" t="s">
        <v>49</v>
      </c>
      <c r="AP16" s="889">
        <v>3</v>
      </c>
      <c r="AQ16" s="890" t="s">
        <v>4064</v>
      </c>
      <c r="AR16" s="1379" t="s">
        <v>4065</v>
      </c>
      <c r="AS16" s="891" t="s">
        <v>4066</v>
      </c>
      <c r="AT16" s="890" t="s">
        <v>4067</v>
      </c>
      <c r="AU16" s="891" t="s">
        <v>4068</v>
      </c>
      <c r="AV16" s="891" t="s">
        <v>4069</v>
      </c>
      <c r="AW16" s="891" t="s">
        <v>4070</v>
      </c>
      <c r="AX16" s="1399" t="s">
        <v>4071</v>
      </c>
      <c r="AY16" s="1995" t="s">
        <v>4072</v>
      </c>
    </row>
    <row r="17" spans="1:51" ht="16.5" thickBot="1">
      <c r="A17" s="856"/>
      <c r="B17" s="894"/>
      <c r="C17" s="894"/>
      <c r="D17" s="894"/>
      <c r="E17" s="894"/>
      <c r="F17" s="894"/>
      <c r="G17" s="856"/>
      <c r="H17" s="856"/>
      <c r="I17" s="856"/>
      <c r="J17" s="856"/>
      <c r="K17" s="856"/>
      <c r="L17" s="856"/>
      <c r="M17" s="856"/>
      <c r="N17" s="856"/>
      <c r="O17" s="856"/>
      <c r="P17" s="856"/>
      <c r="Q17" s="1882"/>
      <c r="R17" s="580"/>
      <c r="S17" s="1882"/>
      <c r="U17" s="1882"/>
      <c r="V17" s="1882"/>
      <c r="W17" s="1882"/>
      <c r="X17" s="1882"/>
      <c r="Y17" s="1882"/>
      <c r="Z17" s="1882"/>
      <c r="AA17" s="1882"/>
      <c r="AB17" s="1882"/>
      <c r="AC17" s="1882"/>
      <c r="AE17" s="1882"/>
      <c r="AG17" s="1882"/>
      <c r="AH17" s="1882"/>
      <c r="AI17" s="1882"/>
      <c r="AK17" s="1882"/>
      <c r="AL17" s="894"/>
      <c r="AM17" s="894"/>
      <c r="AN17" s="894"/>
      <c r="AO17" s="894"/>
      <c r="AP17" s="894"/>
      <c r="AQ17" s="2626"/>
      <c r="AR17" s="2626"/>
      <c r="AS17" s="2626"/>
      <c r="AT17" s="2626"/>
      <c r="AU17" s="2626"/>
      <c r="AV17" s="2626"/>
      <c r="AW17" s="2626"/>
      <c r="AX17" s="2626"/>
      <c r="AY17" s="2626"/>
    </row>
    <row r="18" spans="1:51" ht="16">
      <c r="A18" s="856"/>
      <c r="B18" s="860" t="s">
        <v>4073</v>
      </c>
      <c r="C18" s="861" t="s">
        <v>1112</v>
      </c>
      <c r="D18" s="861"/>
      <c r="E18" s="862" t="s">
        <v>49</v>
      </c>
      <c r="F18" s="863">
        <v>3</v>
      </c>
      <c r="G18" s="864"/>
      <c r="H18" s="1377"/>
      <c r="I18" s="865"/>
      <c r="J18" s="864"/>
      <c r="K18" s="865"/>
      <c r="L18" s="865"/>
      <c r="M18" s="865"/>
      <c r="N18" s="904"/>
      <c r="O18" s="866">
        <f t="shared" ref="O18:O19" si="6">+SUM(G18:N18)</f>
        <v>0</v>
      </c>
      <c r="P18" s="867"/>
      <c r="Q18" s="1882"/>
      <c r="R18" s="868">
        <f t="shared" ref="R18" si="7" xml:space="preserve"> IF( SUM( T18:AD18 ) = 0, 0, $V$5 )</f>
        <v>0</v>
      </c>
      <c r="S18" s="869"/>
      <c r="T18" s="71"/>
      <c r="U18" s="1882"/>
      <c r="V18" s="93">
        <f>IF(Validation!$H$3=1,0,IF(ISNUMBER(G18),0,1))</f>
        <v>0</v>
      </c>
      <c r="W18" s="93">
        <f>IF(Validation!$H$3=1,0,IF(ISNUMBER(H18),0,1))</f>
        <v>0</v>
      </c>
      <c r="X18" s="93">
        <f>IF(Validation!$H$3=1,0,IF(ISNUMBER(I18),0,1))</f>
        <v>0</v>
      </c>
      <c r="Y18" s="93">
        <f>IF(Validation!$H$3=1,0,IF(ISNUMBER(J18),0,1))</f>
        <v>0</v>
      </c>
      <c r="Z18" s="93">
        <f>IF(Validation!$H$3=1,0,IF(ISNUMBER(K18),0,1))</f>
        <v>0</v>
      </c>
      <c r="AA18" s="93">
        <f>IF(Validation!$H$3=1,0,IF(ISNUMBER(L18),0,1))</f>
        <v>0</v>
      </c>
      <c r="AB18" s="93">
        <f>IF(Validation!$H$3=1,0,IF(ISNUMBER(M18),0,1))</f>
        <v>0</v>
      </c>
      <c r="AC18" s="93">
        <f>IF(Validation!$H$3=1,0,IF(ISNUMBER(N18),0,1))</f>
        <v>0</v>
      </c>
      <c r="AD18" s="71"/>
      <c r="AE18" s="1882"/>
      <c r="AG18" s="1882"/>
      <c r="AH18" s="1882"/>
      <c r="AI18" s="1882"/>
      <c r="AK18" s="1882"/>
      <c r="AL18" s="860" t="s">
        <v>4073</v>
      </c>
      <c r="AM18" s="861" t="s">
        <v>1112</v>
      </c>
      <c r="AN18" s="861"/>
      <c r="AO18" s="862" t="s">
        <v>49</v>
      </c>
      <c r="AP18" s="863">
        <v>3</v>
      </c>
      <c r="AQ18" s="2615" t="s">
        <v>4074</v>
      </c>
      <c r="AR18" s="2617" t="s">
        <v>4075</v>
      </c>
      <c r="AS18" s="2618" t="s">
        <v>4076</v>
      </c>
      <c r="AT18" s="2615" t="s">
        <v>4077</v>
      </c>
      <c r="AU18" s="2618" t="s">
        <v>4078</v>
      </c>
      <c r="AV18" s="2618" t="s">
        <v>4079</v>
      </c>
      <c r="AW18" s="2618" t="s">
        <v>4080</v>
      </c>
      <c r="AX18" s="2619" t="s">
        <v>4081</v>
      </c>
      <c r="AY18" s="1992" t="s">
        <v>4082</v>
      </c>
    </row>
    <row r="19" spans="1:51" ht="16.5" thickBot="1">
      <c r="A19" s="856"/>
      <c r="B19" s="886" t="s">
        <v>4083</v>
      </c>
      <c r="C19" s="887" t="s">
        <v>1120</v>
      </c>
      <c r="D19" s="887"/>
      <c r="E19" s="888" t="s">
        <v>49</v>
      </c>
      <c r="F19" s="889">
        <v>3</v>
      </c>
      <c r="G19" s="890">
        <f t="shared" ref="G19:N19" si="8">+G16+G18</f>
        <v>0</v>
      </c>
      <c r="H19" s="1379">
        <f t="shared" si="8"/>
        <v>0</v>
      </c>
      <c r="I19" s="891">
        <f t="shared" si="8"/>
        <v>0</v>
      </c>
      <c r="J19" s="890">
        <f t="shared" si="8"/>
        <v>0</v>
      </c>
      <c r="K19" s="891">
        <f t="shared" si="8"/>
        <v>0</v>
      </c>
      <c r="L19" s="891">
        <f t="shared" si="8"/>
        <v>0</v>
      </c>
      <c r="M19" s="891">
        <f t="shared" si="8"/>
        <v>0</v>
      </c>
      <c r="N19" s="1399">
        <f t="shared" si="8"/>
        <v>0</v>
      </c>
      <c r="O19" s="892">
        <f t="shared" si="6"/>
        <v>0</v>
      </c>
      <c r="P19" s="893"/>
      <c r="Q19" s="1882"/>
      <c r="R19" s="580"/>
      <c r="S19" s="1882"/>
      <c r="U19" s="1882"/>
      <c r="V19" s="1882"/>
      <c r="W19" s="1882"/>
      <c r="X19" s="1882"/>
      <c r="Y19" s="1882"/>
      <c r="Z19" s="1882"/>
      <c r="AA19" s="1882"/>
      <c r="AB19" s="1882"/>
      <c r="AC19" s="1882"/>
      <c r="AE19" s="1882"/>
      <c r="AG19" s="1882"/>
      <c r="AH19" s="1882"/>
      <c r="AI19" s="1882"/>
      <c r="AK19" s="1882"/>
      <c r="AL19" s="886" t="s">
        <v>4083</v>
      </c>
      <c r="AM19" s="887" t="s">
        <v>1120</v>
      </c>
      <c r="AN19" s="887"/>
      <c r="AO19" s="888" t="s">
        <v>49</v>
      </c>
      <c r="AP19" s="889">
        <v>3</v>
      </c>
      <c r="AQ19" s="890" t="s">
        <v>4084</v>
      </c>
      <c r="AR19" s="1379" t="s">
        <v>4085</v>
      </c>
      <c r="AS19" s="891" t="s">
        <v>4086</v>
      </c>
      <c r="AT19" s="890" t="s">
        <v>4087</v>
      </c>
      <c r="AU19" s="891" t="s">
        <v>4088</v>
      </c>
      <c r="AV19" s="891" t="s">
        <v>4089</v>
      </c>
      <c r="AW19" s="891" t="s">
        <v>4090</v>
      </c>
      <c r="AX19" s="1399" t="s">
        <v>4091</v>
      </c>
      <c r="AY19" s="1995" t="s">
        <v>4092</v>
      </c>
    </row>
    <row r="20" spans="1:51" ht="16.5" thickBot="1">
      <c r="A20" s="856"/>
      <c r="B20" s="894"/>
      <c r="C20" s="894"/>
      <c r="D20" s="894"/>
      <c r="E20" s="894"/>
      <c r="F20" s="894"/>
      <c r="G20" s="856"/>
      <c r="H20" s="856"/>
      <c r="I20" s="856"/>
      <c r="J20" s="856"/>
      <c r="K20" s="856"/>
      <c r="L20" s="856"/>
      <c r="M20" s="856"/>
      <c r="N20" s="856"/>
      <c r="O20" s="856"/>
      <c r="P20" s="856"/>
      <c r="Q20" s="1882"/>
      <c r="R20" s="580"/>
      <c r="S20" s="1882"/>
      <c r="U20" s="1882"/>
      <c r="V20" s="1882"/>
      <c r="W20" s="1882"/>
      <c r="X20" s="1882"/>
      <c r="Y20" s="1882"/>
      <c r="Z20" s="1882"/>
      <c r="AA20" s="1882"/>
      <c r="AB20" s="1882"/>
      <c r="AC20" s="1882"/>
      <c r="AE20" s="1882"/>
      <c r="AG20" s="1882"/>
      <c r="AH20" s="1882"/>
      <c r="AI20" s="1882"/>
      <c r="AK20" s="1882"/>
      <c r="AL20" s="894"/>
      <c r="AM20" s="894"/>
      <c r="AN20" s="894"/>
      <c r="AO20" s="894"/>
      <c r="AP20" s="894"/>
      <c r="AQ20" s="2626"/>
      <c r="AR20" s="2626"/>
      <c r="AS20" s="2626"/>
      <c r="AT20" s="2626"/>
      <c r="AU20" s="2626"/>
      <c r="AV20" s="2626"/>
      <c r="AW20" s="2626"/>
      <c r="AX20" s="2626"/>
      <c r="AY20" s="2626"/>
    </row>
    <row r="21" spans="1:51" ht="16.5" thickBot="1">
      <c r="A21" s="856"/>
      <c r="B21" s="857" t="s">
        <v>175</v>
      </c>
      <c r="C21" s="858" t="s">
        <v>3732</v>
      </c>
      <c r="D21" s="2862"/>
      <c r="E21" s="859"/>
      <c r="F21" s="859"/>
      <c r="G21" s="856"/>
      <c r="H21" s="856"/>
      <c r="I21" s="856"/>
      <c r="J21" s="856"/>
      <c r="K21" s="856"/>
      <c r="L21" s="856"/>
      <c r="M21" s="856"/>
      <c r="N21" s="856"/>
      <c r="O21" s="856"/>
      <c r="P21" s="856"/>
      <c r="Q21" s="1882"/>
      <c r="R21" s="580"/>
      <c r="S21" s="1882"/>
      <c r="U21" s="1882"/>
      <c r="V21" s="1882"/>
      <c r="W21" s="1882"/>
      <c r="X21" s="1882"/>
      <c r="Y21" s="1882"/>
      <c r="Z21" s="1882"/>
      <c r="AA21" s="1882"/>
      <c r="AB21" s="1882"/>
      <c r="AC21" s="1882"/>
      <c r="AE21" s="1882"/>
      <c r="AG21" s="1882"/>
      <c r="AH21" s="1882"/>
      <c r="AI21" s="1882"/>
      <c r="AK21" s="1882"/>
      <c r="AL21" s="857" t="s">
        <v>175</v>
      </c>
      <c r="AM21" s="858" t="s">
        <v>3732</v>
      </c>
      <c r="AN21" s="2862"/>
      <c r="AO21" s="859"/>
      <c r="AP21" s="859"/>
      <c r="AQ21" s="2626"/>
      <c r="AR21" s="2626"/>
      <c r="AS21" s="2626"/>
      <c r="AT21" s="2626"/>
      <c r="AU21" s="2626"/>
      <c r="AV21" s="2626"/>
      <c r="AW21" s="2626"/>
      <c r="AX21" s="2626"/>
      <c r="AY21" s="2626"/>
    </row>
    <row r="22" spans="1:51" ht="16">
      <c r="A22" s="856"/>
      <c r="B22" s="860" t="s">
        <v>4093</v>
      </c>
      <c r="C22" s="861" t="s">
        <v>1129</v>
      </c>
      <c r="D22" s="861"/>
      <c r="E22" s="862" t="s">
        <v>49</v>
      </c>
      <c r="F22" s="863">
        <v>3</v>
      </c>
      <c r="G22" s="895"/>
      <c r="H22" s="1380"/>
      <c r="I22" s="896"/>
      <c r="J22" s="895"/>
      <c r="K22" s="896"/>
      <c r="L22" s="896"/>
      <c r="M22" s="896"/>
      <c r="N22" s="1702"/>
      <c r="O22" s="866">
        <f t="shared" ref="O22:O31" si="9">+SUM(G22:N22)</f>
        <v>0</v>
      </c>
      <c r="P22" s="867"/>
      <c r="Q22" s="1882"/>
      <c r="R22" s="868">
        <f t="shared" ref="R22:R28" si="10" xml:space="preserve"> IF( SUM( T22:AD22 ) = 0, 0, $V$5 )</f>
        <v>0</v>
      </c>
      <c r="S22" s="869"/>
      <c r="T22" s="71"/>
      <c r="U22" s="1882"/>
      <c r="V22" s="93">
        <f>IF(Validation!$H$3=1,0,IF(ISNUMBER(G22),0,1))</f>
        <v>0</v>
      </c>
      <c r="W22" s="93">
        <f>IF(Validation!$H$3=1,0,IF(ISNUMBER(H22),0,1))</f>
        <v>0</v>
      </c>
      <c r="X22" s="93">
        <f>IF(Validation!$H$3=1,0,IF(ISNUMBER(I22),0,1))</f>
        <v>0</v>
      </c>
      <c r="Y22" s="93">
        <f>IF(Validation!$H$3=1,0,IF(ISNUMBER(J22),0,1))</f>
        <v>0</v>
      </c>
      <c r="Z22" s="93">
        <f>IF(Validation!$H$3=1,0,IF(ISNUMBER(K22),0,1))</f>
        <v>0</v>
      </c>
      <c r="AA22" s="93">
        <f>IF(Validation!$H$3=1,0,IF(ISNUMBER(L22),0,1))</f>
        <v>0</v>
      </c>
      <c r="AB22" s="93">
        <f>IF(Validation!$H$3=1,0,IF(ISNUMBER(M22),0,1))</f>
        <v>0</v>
      </c>
      <c r="AC22" s="93">
        <f>IF(Validation!$H$3=1,0,IF(ISNUMBER(N22),0,1))</f>
        <v>0</v>
      </c>
      <c r="AD22" s="71"/>
      <c r="AE22" s="1882"/>
      <c r="AG22" s="1882"/>
      <c r="AH22" s="1882"/>
      <c r="AI22" s="1882"/>
      <c r="AK22" s="1882"/>
      <c r="AL22" s="860" t="s">
        <v>4093</v>
      </c>
      <c r="AM22" s="861" t="s">
        <v>1129</v>
      </c>
      <c r="AN22" s="861"/>
      <c r="AO22" s="862" t="s">
        <v>49</v>
      </c>
      <c r="AP22" s="863">
        <v>3</v>
      </c>
      <c r="AQ22" s="2627" t="s">
        <v>4094</v>
      </c>
      <c r="AR22" s="2629" t="s">
        <v>4095</v>
      </c>
      <c r="AS22" s="2630" t="s">
        <v>4096</v>
      </c>
      <c r="AT22" s="2627" t="s">
        <v>4097</v>
      </c>
      <c r="AU22" s="2630" t="s">
        <v>4098</v>
      </c>
      <c r="AV22" s="2630" t="s">
        <v>4099</v>
      </c>
      <c r="AW22" s="2630" t="s">
        <v>4100</v>
      </c>
      <c r="AX22" s="2631" t="s">
        <v>4101</v>
      </c>
      <c r="AY22" s="1992" t="s">
        <v>4102</v>
      </c>
    </row>
    <row r="23" spans="1:51" ht="16">
      <c r="A23" s="856"/>
      <c r="B23" s="870" t="s">
        <v>4103</v>
      </c>
      <c r="C23" s="871" t="s">
        <v>2719</v>
      </c>
      <c r="D23" s="871"/>
      <c r="E23" s="872" t="s">
        <v>49</v>
      </c>
      <c r="F23" s="873">
        <v>3</v>
      </c>
      <c r="G23" s="897"/>
      <c r="H23" s="1381"/>
      <c r="I23" s="898"/>
      <c r="J23" s="897"/>
      <c r="K23" s="898"/>
      <c r="L23" s="898"/>
      <c r="M23" s="898"/>
      <c r="N23" s="1703"/>
      <c r="O23" s="876">
        <f t="shared" si="9"/>
        <v>0</v>
      </c>
      <c r="P23" s="877"/>
      <c r="Q23" s="1882"/>
      <c r="R23" s="868">
        <f t="shared" si="10"/>
        <v>0</v>
      </c>
      <c r="S23" s="869"/>
      <c r="T23" s="71"/>
      <c r="U23" s="1882"/>
      <c r="V23" s="93">
        <f>IF(Validation!$H$3=1,0,IF(ISNUMBER(G23),0,1))</f>
        <v>0</v>
      </c>
      <c r="W23" s="93">
        <f>IF(Validation!$H$3=1,0,IF(ISNUMBER(H23),0,1))</f>
        <v>0</v>
      </c>
      <c r="X23" s="93">
        <f>IF(Validation!$H$3=1,0,IF(ISNUMBER(I23),0,1))</f>
        <v>0</v>
      </c>
      <c r="Y23" s="93">
        <f>IF(Validation!$H$3=1,0,IF(ISNUMBER(J23),0,1))</f>
        <v>0</v>
      </c>
      <c r="Z23" s="93">
        <f>IF(Validation!$H$3=1,0,IF(ISNUMBER(K23),0,1))</f>
        <v>0</v>
      </c>
      <c r="AA23" s="93">
        <f>IF(Validation!$H$3=1,0,IF(ISNUMBER(L23),0,1))</f>
        <v>0</v>
      </c>
      <c r="AB23" s="93">
        <f>IF(Validation!$H$3=1,0,IF(ISNUMBER(M23),0,1))</f>
        <v>0</v>
      </c>
      <c r="AC23" s="93">
        <f>IF(Validation!$H$3=1,0,IF(ISNUMBER(N23),0,1))</f>
        <v>0</v>
      </c>
      <c r="AD23" s="71"/>
      <c r="AE23" s="1882"/>
      <c r="AG23" s="1882"/>
      <c r="AH23" s="1882"/>
      <c r="AI23" s="1882"/>
      <c r="AK23" s="1882"/>
      <c r="AL23" s="870" t="s">
        <v>4103</v>
      </c>
      <c r="AM23" s="871" t="s">
        <v>2719</v>
      </c>
      <c r="AN23" s="871"/>
      <c r="AO23" s="872" t="s">
        <v>49</v>
      </c>
      <c r="AP23" s="873">
        <v>3</v>
      </c>
      <c r="AQ23" s="2632" t="s">
        <v>4104</v>
      </c>
      <c r="AR23" s="2634" t="s">
        <v>4105</v>
      </c>
      <c r="AS23" s="2635" t="s">
        <v>4106</v>
      </c>
      <c r="AT23" s="2632" t="s">
        <v>4107</v>
      </c>
      <c r="AU23" s="2635" t="s">
        <v>4108</v>
      </c>
      <c r="AV23" s="2635" t="s">
        <v>4109</v>
      </c>
      <c r="AW23" s="2635" t="s">
        <v>4110</v>
      </c>
      <c r="AX23" s="2636" t="s">
        <v>4111</v>
      </c>
      <c r="AY23" s="1993" t="s">
        <v>4112</v>
      </c>
    </row>
    <row r="24" spans="1:51" ht="16">
      <c r="A24" s="856"/>
      <c r="B24" s="870" t="s">
        <v>4113</v>
      </c>
      <c r="C24" s="871" t="s">
        <v>1145</v>
      </c>
      <c r="D24" s="871"/>
      <c r="E24" s="872" t="s">
        <v>49</v>
      </c>
      <c r="F24" s="873">
        <v>3</v>
      </c>
      <c r="G24" s="897"/>
      <c r="H24" s="1381"/>
      <c r="I24" s="898"/>
      <c r="J24" s="897"/>
      <c r="K24" s="898"/>
      <c r="L24" s="898"/>
      <c r="M24" s="898"/>
      <c r="N24" s="1703"/>
      <c r="O24" s="876">
        <f t="shared" si="9"/>
        <v>0</v>
      </c>
      <c r="P24" s="877"/>
      <c r="Q24" s="1882"/>
      <c r="R24" s="868">
        <f t="shared" si="10"/>
        <v>0</v>
      </c>
      <c r="S24" s="869"/>
      <c r="T24" s="71"/>
      <c r="U24" s="1882"/>
      <c r="V24" s="93">
        <f>IF(Validation!$H$3=1,0,IF(ISNUMBER(G24),0,1))</f>
        <v>0</v>
      </c>
      <c r="W24" s="93">
        <f>IF(Validation!$H$3=1,0,IF(ISNUMBER(H24),0,1))</f>
        <v>0</v>
      </c>
      <c r="X24" s="93">
        <f>IF(Validation!$H$3=1,0,IF(ISNUMBER(I24),0,1))</f>
        <v>0</v>
      </c>
      <c r="Y24" s="93">
        <f>IF(Validation!$H$3=1,0,IF(ISNUMBER(J24),0,1))</f>
        <v>0</v>
      </c>
      <c r="Z24" s="93">
        <f>IF(Validation!$H$3=1,0,IF(ISNUMBER(K24),0,1))</f>
        <v>0</v>
      </c>
      <c r="AA24" s="93">
        <f>IF(Validation!$H$3=1,0,IF(ISNUMBER(L24),0,1))</f>
        <v>0</v>
      </c>
      <c r="AB24" s="93">
        <f>IF(Validation!$H$3=1,0,IF(ISNUMBER(M24),0,1))</f>
        <v>0</v>
      </c>
      <c r="AC24" s="93">
        <f>IF(Validation!$H$3=1,0,IF(ISNUMBER(N24),0,1))</f>
        <v>0</v>
      </c>
      <c r="AD24" s="71"/>
      <c r="AE24" s="1882"/>
      <c r="AG24" s="1882"/>
      <c r="AH24" s="1882"/>
      <c r="AI24" s="1882"/>
      <c r="AK24" s="1882"/>
      <c r="AL24" s="870" t="s">
        <v>4113</v>
      </c>
      <c r="AM24" s="871" t="s">
        <v>1145</v>
      </c>
      <c r="AN24" s="871"/>
      <c r="AO24" s="872" t="s">
        <v>49</v>
      </c>
      <c r="AP24" s="873">
        <v>3</v>
      </c>
      <c r="AQ24" s="2632" t="s">
        <v>4114</v>
      </c>
      <c r="AR24" s="2634" t="s">
        <v>4115</v>
      </c>
      <c r="AS24" s="2635" t="s">
        <v>4116</v>
      </c>
      <c r="AT24" s="2632" t="s">
        <v>4117</v>
      </c>
      <c r="AU24" s="2635" t="s">
        <v>4118</v>
      </c>
      <c r="AV24" s="2635" t="s">
        <v>4119</v>
      </c>
      <c r="AW24" s="2635" t="s">
        <v>4120</v>
      </c>
      <c r="AX24" s="2636" t="s">
        <v>4121</v>
      </c>
      <c r="AY24" s="1993" t="s">
        <v>4122</v>
      </c>
    </row>
    <row r="25" spans="1:51" ht="16">
      <c r="A25" s="856"/>
      <c r="B25" s="870" t="s">
        <v>4123</v>
      </c>
      <c r="C25" s="871" t="s">
        <v>1153</v>
      </c>
      <c r="D25" s="871"/>
      <c r="E25" s="872" t="s">
        <v>49</v>
      </c>
      <c r="F25" s="873">
        <v>3</v>
      </c>
      <c r="G25" s="897"/>
      <c r="H25" s="1381"/>
      <c r="I25" s="898"/>
      <c r="J25" s="897"/>
      <c r="K25" s="898"/>
      <c r="L25" s="898"/>
      <c r="M25" s="898"/>
      <c r="N25" s="1703"/>
      <c r="O25" s="876">
        <f t="shared" si="9"/>
        <v>0</v>
      </c>
      <c r="P25" s="877"/>
      <c r="Q25" s="1882"/>
      <c r="R25" s="868">
        <f t="shared" si="10"/>
        <v>0</v>
      </c>
      <c r="S25" s="869"/>
      <c r="T25" s="71"/>
      <c r="U25" s="1882"/>
      <c r="V25" s="93">
        <f>IF(Validation!$H$3=1,0,IF(ISNUMBER(G25),0,1))</f>
        <v>0</v>
      </c>
      <c r="W25" s="93">
        <f>IF(Validation!$H$3=1,0,IF(ISNUMBER(H25),0,1))</f>
        <v>0</v>
      </c>
      <c r="X25" s="93">
        <f>IF(Validation!$H$3=1,0,IF(ISNUMBER(I25),0,1))</f>
        <v>0</v>
      </c>
      <c r="Y25" s="93">
        <f>IF(Validation!$H$3=1,0,IF(ISNUMBER(J25),0,1))</f>
        <v>0</v>
      </c>
      <c r="Z25" s="93">
        <f>IF(Validation!$H$3=1,0,IF(ISNUMBER(K25),0,1))</f>
        <v>0</v>
      </c>
      <c r="AA25" s="93">
        <f>IF(Validation!$H$3=1,0,IF(ISNUMBER(L25),0,1))</f>
        <v>0</v>
      </c>
      <c r="AB25" s="93">
        <f>IF(Validation!$H$3=1,0,IF(ISNUMBER(M25),0,1))</f>
        <v>0</v>
      </c>
      <c r="AC25" s="93">
        <f>IF(Validation!$H$3=1,0,IF(ISNUMBER(N25),0,1))</f>
        <v>0</v>
      </c>
      <c r="AD25" s="71"/>
      <c r="AE25" s="1882"/>
      <c r="AG25" s="1882"/>
      <c r="AH25" s="1882"/>
      <c r="AI25" s="1882"/>
      <c r="AK25" s="1882"/>
      <c r="AL25" s="870" t="s">
        <v>4123</v>
      </c>
      <c r="AM25" s="871" t="s">
        <v>1153</v>
      </c>
      <c r="AN25" s="871"/>
      <c r="AO25" s="872" t="s">
        <v>49</v>
      </c>
      <c r="AP25" s="873">
        <v>3</v>
      </c>
      <c r="AQ25" s="2632" t="s">
        <v>4124</v>
      </c>
      <c r="AR25" s="2634" t="s">
        <v>4125</v>
      </c>
      <c r="AS25" s="2635" t="s">
        <v>4126</v>
      </c>
      <c r="AT25" s="2632" t="s">
        <v>4127</v>
      </c>
      <c r="AU25" s="2635" t="s">
        <v>4128</v>
      </c>
      <c r="AV25" s="2635" t="s">
        <v>4129</v>
      </c>
      <c r="AW25" s="2635" t="s">
        <v>4130</v>
      </c>
      <c r="AX25" s="2636" t="s">
        <v>4131</v>
      </c>
      <c r="AY25" s="1993" t="s">
        <v>4132</v>
      </c>
    </row>
    <row r="26" spans="1:51" ht="16">
      <c r="A26" s="856"/>
      <c r="B26" s="870" t="s">
        <v>4133</v>
      </c>
      <c r="C26" s="871" t="s">
        <v>1161</v>
      </c>
      <c r="D26" s="871"/>
      <c r="E26" s="872" t="s">
        <v>49</v>
      </c>
      <c r="F26" s="873">
        <v>3</v>
      </c>
      <c r="G26" s="897"/>
      <c r="H26" s="1381"/>
      <c r="I26" s="898"/>
      <c r="J26" s="897"/>
      <c r="K26" s="898"/>
      <c r="L26" s="898"/>
      <c r="M26" s="898"/>
      <c r="N26" s="1703"/>
      <c r="O26" s="876">
        <f t="shared" si="9"/>
        <v>0</v>
      </c>
      <c r="P26" s="877"/>
      <c r="Q26" s="1882"/>
      <c r="R26" s="868">
        <f t="shared" si="10"/>
        <v>0</v>
      </c>
      <c r="S26" s="869"/>
      <c r="T26" s="71"/>
      <c r="U26" s="1882"/>
      <c r="V26" s="93">
        <f>IF(Validation!$H$3=1,0,IF(ISNUMBER(G26),0,1))</f>
        <v>0</v>
      </c>
      <c r="W26" s="93">
        <f>IF(Validation!$H$3=1,0,IF(ISNUMBER(H26),0,1))</f>
        <v>0</v>
      </c>
      <c r="X26" s="93">
        <f>IF(Validation!$H$3=1,0,IF(ISNUMBER(I26),0,1))</f>
        <v>0</v>
      </c>
      <c r="Y26" s="93">
        <f>IF(Validation!$H$3=1,0,IF(ISNUMBER(J26),0,1))</f>
        <v>0</v>
      </c>
      <c r="Z26" s="93">
        <f>IF(Validation!$H$3=1,0,IF(ISNUMBER(K26),0,1))</f>
        <v>0</v>
      </c>
      <c r="AA26" s="93">
        <f>IF(Validation!$H$3=1,0,IF(ISNUMBER(L26),0,1))</f>
        <v>0</v>
      </c>
      <c r="AB26" s="93">
        <f>IF(Validation!$H$3=1,0,IF(ISNUMBER(M26),0,1))</f>
        <v>0</v>
      </c>
      <c r="AC26" s="93">
        <f>IF(Validation!$H$3=1,0,IF(ISNUMBER(N26),0,1))</f>
        <v>0</v>
      </c>
      <c r="AD26" s="71"/>
      <c r="AE26" s="1882"/>
      <c r="AG26" s="1882"/>
      <c r="AH26" s="1882"/>
      <c r="AI26" s="1882"/>
      <c r="AK26" s="1882"/>
      <c r="AL26" s="870" t="s">
        <v>4133</v>
      </c>
      <c r="AM26" s="871" t="s">
        <v>1161</v>
      </c>
      <c r="AN26" s="871"/>
      <c r="AO26" s="872" t="s">
        <v>49</v>
      </c>
      <c r="AP26" s="873">
        <v>3</v>
      </c>
      <c r="AQ26" s="2632" t="s">
        <v>4134</v>
      </c>
      <c r="AR26" s="2634" t="s">
        <v>4135</v>
      </c>
      <c r="AS26" s="2635" t="s">
        <v>4136</v>
      </c>
      <c r="AT26" s="2632" t="s">
        <v>4137</v>
      </c>
      <c r="AU26" s="2635" t="s">
        <v>4138</v>
      </c>
      <c r="AV26" s="2635" t="s">
        <v>4139</v>
      </c>
      <c r="AW26" s="2635" t="s">
        <v>4140</v>
      </c>
      <c r="AX26" s="2636" t="s">
        <v>4141</v>
      </c>
      <c r="AY26" s="1993" t="s">
        <v>4142</v>
      </c>
    </row>
    <row r="27" spans="1:51" ht="16">
      <c r="A27" s="856"/>
      <c r="B27" s="870" t="s">
        <v>4143</v>
      </c>
      <c r="C27" s="871" t="s">
        <v>1169</v>
      </c>
      <c r="D27" s="871"/>
      <c r="E27" s="872" t="s">
        <v>49</v>
      </c>
      <c r="F27" s="873">
        <v>3</v>
      </c>
      <c r="G27" s="899">
        <f t="shared" ref="G27" si="11">SUM(G22:G26)</f>
        <v>0</v>
      </c>
      <c r="H27" s="1382">
        <f t="shared" ref="H27:N27" si="12">SUM(H22:H26)</f>
        <v>0</v>
      </c>
      <c r="I27" s="899">
        <f t="shared" si="12"/>
        <v>0</v>
      </c>
      <c r="J27" s="899">
        <f t="shared" si="12"/>
        <v>0</v>
      </c>
      <c r="K27" s="1704">
        <f t="shared" si="12"/>
        <v>0</v>
      </c>
      <c r="L27" s="1704">
        <f t="shared" si="12"/>
        <v>0</v>
      </c>
      <c r="M27" s="1704">
        <f t="shared" si="12"/>
        <v>0</v>
      </c>
      <c r="N27" s="1705">
        <f t="shared" si="12"/>
        <v>0</v>
      </c>
      <c r="O27" s="899">
        <f t="shared" si="9"/>
        <v>0</v>
      </c>
      <c r="P27" s="877"/>
      <c r="Q27" s="1882"/>
      <c r="R27" s="580"/>
      <c r="S27" s="1882"/>
      <c r="U27" s="1882"/>
      <c r="V27" s="1882"/>
      <c r="W27" s="1882"/>
      <c r="X27" s="1882"/>
      <c r="Y27" s="1882"/>
      <c r="Z27" s="1882"/>
      <c r="AA27" s="1882"/>
      <c r="AB27" s="1882"/>
      <c r="AC27" s="1882"/>
      <c r="AE27" s="1882"/>
      <c r="AG27" s="1882"/>
      <c r="AH27" s="1882"/>
      <c r="AI27" s="1882"/>
      <c r="AK27" s="1882"/>
      <c r="AL27" s="870" t="s">
        <v>4143</v>
      </c>
      <c r="AM27" s="871" t="s">
        <v>1169</v>
      </c>
      <c r="AN27" s="871"/>
      <c r="AO27" s="872" t="s">
        <v>49</v>
      </c>
      <c r="AP27" s="873">
        <v>3</v>
      </c>
      <c r="AQ27" s="1997" t="s">
        <v>4144</v>
      </c>
      <c r="AR27" s="1999" t="s">
        <v>4145</v>
      </c>
      <c r="AS27" s="1997" t="s">
        <v>4146</v>
      </c>
      <c r="AT27" s="1997" t="s">
        <v>4147</v>
      </c>
      <c r="AU27" s="1997" t="s">
        <v>4148</v>
      </c>
      <c r="AV27" s="1997" t="s">
        <v>4149</v>
      </c>
      <c r="AW27" s="1997" t="s">
        <v>4150</v>
      </c>
      <c r="AX27" s="2000" t="s">
        <v>4151</v>
      </c>
      <c r="AY27" s="1997" t="s">
        <v>4152</v>
      </c>
    </row>
    <row r="28" spans="1:51" ht="16">
      <c r="A28" s="856"/>
      <c r="B28" s="870" t="s">
        <v>4153</v>
      </c>
      <c r="C28" s="871" t="s">
        <v>1112</v>
      </c>
      <c r="D28" s="871"/>
      <c r="E28" s="872" t="s">
        <v>49</v>
      </c>
      <c r="F28" s="873">
        <v>3</v>
      </c>
      <c r="G28" s="874"/>
      <c r="H28" s="1378"/>
      <c r="I28" s="898"/>
      <c r="J28" s="874"/>
      <c r="K28" s="898"/>
      <c r="L28" s="898"/>
      <c r="M28" s="898"/>
      <c r="N28" s="1703"/>
      <c r="O28" s="876">
        <f t="shared" si="9"/>
        <v>0</v>
      </c>
      <c r="P28" s="877"/>
      <c r="Q28" s="1882"/>
      <c r="R28" s="868">
        <f t="shared" si="10"/>
        <v>0</v>
      </c>
      <c r="S28" s="869"/>
      <c r="T28" s="71"/>
      <c r="U28" s="1882"/>
      <c r="V28" s="93">
        <f>IF(Validation!$H$3=1,0,IF(ISNUMBER(G28),0,1))</f>
        <v>0</v>
      </c>
      <c r="W28" s="93">
        <f>IF(Validation!$H$3=1,0,IF(ISNUMBER(H28),0,1))</f>
        <v>0</v>
      </c>
      <c r="X28" s="93">
        <f>IF(Validation!$H$3=1,0,IF(ISNUMBER(I28),0,1))</f>
        <v>0</v>
      </c>
      <c r="Y28" s="93">
        <f>IF(Validation!$H$3=1,0,IF(ISNUMBER(J28),0,1))</f>
        <v>0</v>
      </c>
      <c r="Z28" s="93">
        <f>IF(Validation!$H$3=1,0,IF(ISNUMBER(K28),0,1))</f>
        <v>0</v>
      </c>
      <c r="AA28" s="93">
        <f>IF(Validation!$H$3=1,0,IF(ISNUMBER(L28),0,1))</f>
        <v>0</v>
      </c>
      <c r="AB28" s="93">
        <f>IF(Validation!$H$3=1,0,IF(ISNUMBER(M28),0,1))</f>
        <v>0</v>
      </c>
      <c r="AC28" s="93">
        <f>IF(Validation!$H$3=1,0,IF(ISNUMBER(N28),0,1))</f>
        <v>0</v>
      </c>
      <c r="AD28" s="71"/>
      <c r="AE28" s="1882"/>
      <c r="AG28" s="1882"/>
      <c r="AH28" s="1882"/>
      <c r="AI28" s="1882"/>
      <c r="AK28" s="1882"/>
      <c r="AL28" s="870" t="s">
        <v>4153</v>
      </c>
      <c r="AM28" s="871" t="s">
        <v>1112</v>
      </c>
      <c r="AN28" s="871"/>
      <c r="AO28" s="872" t="s">
        <v>49</v>
      </c>
      <c r="AP28" s="873">
        <v>3</v>
      </c>
      <c r="AQ28" s="2620" t="s">
        <v>4154</v>
      </c>
      <c r="AR28" s="2622" t="s">
        <v>4155</v>
      </c>
      <c r="AS28" s="2635" t="s">
        <v>4156</v>
      </c>
      <c r="AT28" s="2620" t="s">
        <v>4157</v>
      </c>
      <c r="AU28" s="2635" t="s">
        <v>4158</v>
      </c>
      <c r="AV28" s="2635" t="s">
        <v>4159</v>
      </c>
      <c r="AW28" s="2635" t="s">
        <v>4160</v>
      </c>
      <c r="AX28" s="2636" t="s">
        <v>4161</v>
      </c>
      <c r="AY28" s="1993" t="s">
        <v>4162</v>
      </c>
    </row>
    <row r="29" spans="1:51" ht="16">
      <c r="A29" s="856"/>
      <c r="B29" s="870" t="s">
        <v>4163</v>
      </c>
      <c r="C29" s="871" t="s">
        <v>1184</v>
      </c>
      <c r="D29" s="871"/>
      <c r="E29" s="872" t="s">
        <v>49</v>
      </c>
      <c r="F29" s="873">
        <v>3</v>
      </c>
      <c r="G29" s="899">
        <f t="shared" ref="G29:I29" si="13">SUM(G27:G28)</f>
        <v>0</v>
      </c>
      <c r="H29" s="1382">
        <f t="shared" si="13"/>
        <v>0</v>
      </c>
      <c r="I29" s="899">
        <f t="shared" si="13"/>
        <v>0</v>
      </c>
      <c r="J29" s="899">
        <f t="shared" ref="J29:N29" si="14">SUM(J27:J28)</f>
        <v>0</v>
      </c>
      <c r="K29" s="1704">
        <f t="shared" si="14"/>
        <v>0</v>
      </c>
      <c r="L29" s="1704">
        <f t="shared" si="14"/>
        <v>0</v>
      </c>
      <c r="M29" s="1704">
        <f t="shared" si="14"/>
        <v>0</v>
      </c>
      <c r="N29" s="1705">
        <f t="shared" si="14"/>
        <v>0</v>
      </c>
      <c r="O29" s="899">
        <f t="shared" si="9"/>
        <v>0</v>
      </c>
      <c r="P29" s="877"/>
      <c r="Q29" s="1882"/>
      <c r="R29" s="580"/>
      <c r="S29" s="1882"/>
      <c r="U29" s="1882"/>
      <c r="V29" s="1882"/>
      <c r="W29" s="1882"/>
      <c r="X29" s="1882"/>
      <c r="Y29" s="1882"/>
      <c r="Z29" s="1882"/>
      <c r="AA29" s="1882"/>
      <c r="AB29" s="1882"/>
      <c r="AC29" s="1882"/>
      <c r="AE29" s="1882"/>
      <c r="AG29" s="1882"/>
      <c r="AH29" s="1882"/>
      <c r="AI29" s="1882"/>
      <c r="AK29" s="1882"/>
      <c r="AL29" s="870" t="s">
        <v>4163</v>
      </c>
      <c r="AM29" s="871" t="s">
        <v>1184</v>
      </c>
      <c r="AN29" s="871"/>
      <c r="AO29" s="872" t="s">
        <v>49</v>
      </c>
      <c r="AP29" s="873">
        <v>3</v>
      </c>
      <c r="AQ29" s="1997" t="s">
        <v>4164</v>
      </c>
      <c r="AR29" s="1999" t="s">
        <v>4165</v>
      </c>
      <c r="AS29" s="1997" t="s">
        <v>4166</v>
      </c>
      <c r="AT29" s="1997" t="s">
        <v>4167</v>
      </c>
      <c r="AU29" s="1997" t="s">
        <v>4168</v>
      </c>
      <c r="AV29" s="1997" t="s">
        <v>4169</v>
      </c>
      <c r="AW29" s="1997" t="s">
        <v>4170</v>
      </c>
      <c r="AX29" s="2000" t="s">
        <v>4171</v>
      </c>
      <c r="AY29" s="1997" t="s">
        <v>4172</v>
      </c>
    </row>
    <row r="30" spans="1:51" ht="16">
      <c r="A30" s="856"/>
      <c r="B30" s="870" t="s">
        <v>4173</v>
      </c>
      <c r="C30" s="871" t="s">
        <v>4174</v>
      </c>
      <c r="D30" s="871"/>
      <c r="E30" s="872" t="s">
        <v>49</v>
      </c>
      <c r="F30" s="900">
        <v>3</v>
      </c>
      <c r="G30" s="874"/>
      <c r="H30" s="1378"/>
      <c r="I30" s="898"/>
      <c r="J30" s="874"/>
      <c r="K30" s="898"/>
      <c r="L30" s="898"/>
      <c r="M30" s="898"/>
      <c r="N30" s="1703"/>
      <c r="O30" s="876">
        <f t="shared" si="9"/>
        <v>0</v>
      </c>
      <c r="P30" s="877"/>
      <c r="Q30" s="1882"/>
      <c r="R30" s="1525">
        <f>IF(SUM(T30:AD30)&lt;&gt; 0,$V$5,IF(SUM(AD30:AF30)=0,0,$AI$30))</f>
        <v>0</v>
      </c>
      <c r="S30" s="869"/>
      <c r="T30" s="71"/>
      <c r="U30" s="1882"/>
      <c r="V30" s="93">
        <f>IF(Validation!$H$3=1,0,IF(ISNUMBER(G30),0,1))</f>
        <v>0</v>
      </c>
      <c r="W30" s="93">
        <f>IF(Validation!$H$3=1,0,IF(ISNUMBER(H30),0,1))</f>
        <v>0</v>
      </c>
      <c r="X30" s="93">
        <f>IF(Validation!$H$3=1,0,IF(ISNUMBER(I30),0,1))</f>
        <v>0</v>
      </c>
      <c r="Y30" s="93">
        <f>IF(Validation!$H$3=1,0,IF(ISNUMBER(J30),0,1))</f>
        <v>0</v>
      </c>
      <c r="Z30" s="93">
        <f>IF(Validation!$H$3=1,0,IF(ISNUMBER(K30),0,1))</f>
        <v>0</v>
      </c>
      <c r="AA30" s="93">
        <f>IF(Validation!$H$3=1,0,IF(ISNUMBER(L30),0,1))</f>
        <v>0</v>
      </c>
      <c r="AB30" s="93">
        <f>IF(Validation!$H$3=1,0,IF(ISNUMBER(M30),0,1))</f>
        <v>0</v>
      </c>
      <c r="AC30" s="93">
        <f>IF(Validation!$H$3=1,0,IF(ISNUMBER(N30),0,1))</f>
        <v>0</v>
      </c>
      <c r="AD30" s="71"/>
      <c r="AE30" s="93">
        <f xml:space="preserve"> IF( (AG30 - AH30) = 0, 0, 1 )</f>
        <v>0</v>
      </c>
      <c r="AF30" s="119"/>
      <c r="AG30" s="112">
        <f xml:space="preserve"> ROUND( O30, 3 )</f>
        <v>0</v>
      </c>
      <c r="AH30" s="112">
        <f xml:space="preserve"> ROUND( ('2B'!I30+'2B'!J30), 3 )</f>
        <v>0</v>
      </c>
      <c r="AI30" s="139" t="s">
        <v>4175</v>
      </c>
      <c r="AJ30" s="119"/>
      <c r="AK30" s="1882"/>
      <c r="AL30" s="870" t="s">
        <v>4173</v>
      </c>
      <c r="AM30" s="871" t="s">
        <v>4174</v>
      </c>
      <c r="AN30" s="871"/>
      <c r="AO30" s="872" t="s">
        <v>49</v>
      </c>
      <c r="AP30" s="900">
        <v>3</v>
      </c>
      <c r="AQ30" s="2620" t="s">
        <v>4176</v>
      </c>
      <c r="AR30" s="2622" t="s">
        <v>4177</v>
      </c>
      <c r="AS30" s="2635" t="s">
        <v>4178</v>
      </c>
      <c r="AT30" s="2620" t="s">
        <v>4179</v>
      </c>
      <c r="AU30" s="2635" t="s">
        <v>4180</v>
      </c>
      <c r="AV30" s="2635" t="s">
        <v>4181</v>
      </c>
      <c r="AW30" s="2635" t="s">
        <v>4182</v>
      </c>
      <c r="AX30" s="2636" t="s">
        <v>4183</v>
      </c>
      <c r="AY30" s="1993" t="s">
        <v>4184</v>
      </c>
    </row>
    <row r="31" spans="1:51" ht="16.5" thickBot="1">
      <c r="A31" s="856"/>
      <c r="B31" s="886" t="s">
        <v>4185</v>
      </c>
      <c r="C31" s="887" t="s">
        <v>1201</v>
      </c>
      <c r="D31" s="887"/>
      <c r="E31" s="888" t="s">
        <v>49</v>
      </c>
      <c r="F31" s="1632">
        <v>3</v>
      </c>
      <c r="G31" s="901">
        <f t="shared" ref="G31" si="15">G19+G29-G30</f>
        <v>0</v>
      </c>
      <c r="H31" s="1383">
        <f>H19+H29-H30</f>
        <v>0</v>
      </c>
      <c r="I31" s="1383">
        <f>I19+I29-I30</f>
        <v>0</v>
      </c>
      <c r="J31" s="901">
        <f>J19+J29-J30</f>
        <v>0</v>
      </c>
      <c r="K31" s="891">
        <f t="shared" ref="K31:N31" si="16">K19+K29-K30</f>
        <v>0</v>
      </c>
      <c r="L31" s="891">
        <f t="shared" si="16"/>
        <v>0</v>
      </c>
      <c r="M31" s="891">
        <f t="shared" si="16"/>
        <v>0</v>
      </c>
      <c r="N31" s="1707">
        <f t="shared" si="16"/>
        <v>0</v>
      </c>
      <c r="O31" s="892">
        <f t="shared" si="9"/>
        <v>0</v>
      </c>
      <c r="P31" s="893"/>
      <c r="Q31" s="1882"/>
      <c r="R31" s="580"/>
      <c r="S31" s="1882"/>
      <c r="U31" s="1882"/>
      <c r="V31" s="1882"/>
      <c r="W31" s="1882"/>
      <c r="X31" s="1882"/>
      <c r="Y31" s="1882"/>
      <c r="Z31" s="1882"/>
      <c r="AA31" s="1882"/>
      <c r="AB31" s="1882"/>
      <c r="AC31" s="1882"/>
      <c r="AE31" s="1882"/>
      <c r="AG31" s="1882"/>
      <c r="AH31" s="1882"/>
      <c r="AI31" s="1882"/>
      <c r="AK31" s="1882"/>
      <c r="AL31" s="886" t="s">
        <v>4185</v>
      </c>
      <c r="AM31" s="887" t="s">
        <v>1201</v>
      </c>
      <c r="AN31" s="887"/>
      <c r="AO31" s="888" t="s">
        <v>49</v>
      </c>
      <c r="AP31" s="885">
        <v>3</v>
      </c>
      <c r="AQ31" s="2001" t="s">
        <v>4186</v>
      </c>
      <c r="AR31" s="2006" t="s">
        <v>4187</v>
      </c>
      <c r="AS31" s="2006" t="s">
        <v>4188</v>
      </c>
      <c r="AT31" s="2001" t="s">
        <v>4189</v>
      </c>
      <c r="AU31" s="2014" t="s">
        <v>4190</v>
      </c>
      <c r="AV31" s="2014" t="s">
        <v>4191</v>
      </c>
      <c r="AW31" s="2014" t="s">
        <v>4192</v>
      </c>
      <c r="AX31" s="2015" t="s">
        <v>4193</v>
      </c>
      <c r="AY31" s="1993" t="s">
        <v>4194</v>
      </c>
    </row>
    <row r="32" spans="1:51" ht="16.5" thickBot="1">
      <c r="A32" s="856"/>
      <c r="B32" s="856"/>
      <c r="C32" s="856"/>
      <c r="D32" s="856"/>
      <c r="E32" s="856"/>
      <c r="F32" s="856"/>
      <c r="G32" s="856"/>
      <c r="H32" s="856"/>
      <c r="I32" s="856"/>
      <c r="J32" s="856"/>
      <c r="K32" s="856"/>
      <c r="L32" s="856"/>
      <c r="M32" s="856"/>
      <c r="N32" s="856"/>
      <c r="O32" s="856"/>
      <c r="P32" s="856"/>
      <c r="Q32" s="1882"/>
      <c r="R32" s="580"/>
      <c r="S32" s="1882"/>
      <c r="U32" s="1882"/>
      <c r="V32" s="1882"/>
      <c r="W32" s="1882"/>
      <c r="X32" s="1882"/>
      <c r="Y32" s="1882"/>
      <c r="Z32" s="1882"/>
      <c r="AA32" s="1882"/>
      <c r="AB32" s="1882"/>
      <c r="AC32" s="1882"/>
      <c r="AE32" s="1882"/>
      <c r="AG32" s="1882"/>
      <c r="AH32" s="1882"/>
      <c r="AI32" s="1882"/>
      <c r="AK32" s="1882"/>
      <c r="AL32" s="894"/>
      <c r="AM32" s="894"/>
      <c r="AN32" s="894"/>
      <c r="AO32" s="894"/>
      <c r="AP32" s="894"/>
      <c r="AQ32" s="2626"/>
      <c r="AR32" s="2626"/>
      <c r="AS32" s="2626"/>
      <c r="AT32" s="2626"/>
      <c r="AU32" s="2626"/>
      <c r="AV32" s="2626"/>
      <c r="AW32" s="2626"/>
      <c r="AX32" s="2626"/>
      <c r="AY32" s="2626"/>
    </row>
    <row r="33" spans="1:51" ht="16.5" thickBot="1">
      <c r="A33" s="856"/>
      <c r="B33" s="857" t="s">
        <v>333</v>
      </c>
      <c r="C33" s="858" t="s">
        <v>3814</v>
      </c>
      <c r="D33" s="2862"/>
      <c r="E33" s="902"/>
      <c r="F33" s="902"/>
      <c r="G33" s="902"/>
      <c r="H33" s="902"/>
      <c r="I33" s="902"/>
      <c r="J33" s="902"/>
      <c r="K33" s="902"/>
      <c r="L33" s="902"/>
      <c r="M33" s="902"/>
      <c r="N33" s="902"/>
      <c r="O33" s="902"/>
      <c r="P33" s="856"/>
      <c r="Q33" s="1882"/>
      <c r="R33" s="580"/>
      <c r="S33" s="1882"/>
      <c r="U33" s="1882"/>
      <c r="V33" s="1882"/>
      <c r="W33" s="1882"/>
      <c r="X33" s="1882"/>
      <c r="Y33" s="1882"/>
      <c r="Z33" s="1882"/>
      <c r="AA33" s="1882"/>
      <c r="AB33" s="1882"/>
      <c r="AC33" s="1882"/>
      <c r="AE33" s="1882"/>
      <c r="AG33" s="1882"/>
      <c r="AH33" s="1882"/>
      <c r="AI33" s="1882"/>
      <c r="AK33" s="1882"/>
      <c r="AL33" s="857" t="s">
        <v>333</v>
      </c>
      <c r="AM33" s="858" t="s">
        <v>3814</v>
      </c>
      <c r="AN33" s="2862"/>
      <c r="AO33" s="902"/>
      <c r="AP33" s="902"/>
      <c r="AQ33" s="2003"/>
      <c r="AR33" s="2003"/>
      <c r="AS33" s="2003"/>
      <c r="AT33" s="2003"/>
      <c r="AU33" s="2003"/>
      <c r="AV33" s="2003"/>
      <c r="AW33" s="2003"/>
      <c r="AX33" s="2003"/>
      <c r="AY33" s="2003"/>
    </row>
    <row r="34" spans="1:51" ht="16">
      <c r="A34" s="856"/>
      <c r="B34" s="860" t="s">
        <v>4195</v>
      </c>
      <c r="C34" s="861" t="s">
        <v>1210</v>
      </c>
      <c r="D34" s="861"/>
      <c r="E34" s="862" t="s">
        <v>49</v>
      </c>
      <c r="F34" s="903">
        <v>3</v>
      </c>
      <c r="G34" s="864"/>
      <c r="H34" s="1377"/>
      <c r="I34" s="865"/>
      <c r="J34" s="864"/>
      <c r="K34" s="865"/>
      <c r="L34" s="865"/>
      <c r="M34" s="904"/>
      <c r="N34" s="904"/>
      <c r="O34" s="1400">
        <f t="shared" ref="O34:O36" si="17">+SUM(G34:N34)</f>
        <v>0</v>
      </c>
      <c r="P34" s="905"/>
      <c r="Q34" s="1882"/>
      <c r="R34" s="868">
        <f t="shared" ref="R34:R35" si="18" xml:space="preserve"> IF( SUM( T34:AD34 ) = 0, 0, $V$5 )</f>
        <v>0</v>
      </c>
      <c r="S34" s="869"/>
      <c r="T34" s="71"/>
      <c r="U34" s="1882"/>
      <c r="V34" s="93">
        <f>IF(Validation!$H$3=1,0,IF(ISNUMBER(G34),0,1))</f>
        <v>0</v>
      </c>
      <c r="W34" s="93">
        <f>IF(Validation!$H$3=1,0,IF(ISNUMBER(H34),0,1))</f>
        <v>0</v>
      </c>
      <c r="X34" s="93">
        <f>IF(Validation!$H$3=1,0,IF(ISNUMBER(I34),0,1))</f>
        <v>0</v>
      </c>
      <c r="Y34" s="93">
        <f>IF(Validation!$H$3=1,0,IF(ISNUMBER(J34),0,1))</f>
        <v>0</v>
      </c>
      <c r="Z34" s="93">
        <f>IF(Validation!$H$3=1,0,IF(ISNUMBER(K34),0,1))</f>
        <v>0</v>
      </c>
      <c r="AA34" s="93">
        <f>IF(Validation!$H$3=1,0,IF(ISNUMBER(L34),0,1))</f>
        <v>0</v>
      </c>
      <c r="AB34" s="93">
        <f>IF(Validation!$H$3=1,0,IF(ISNUMBER(M34),0,1))</f>
        <v>0</v>
      </c>
      <c r="AC34" s="93">
        <f>IF(Validation!$H$3=1,0,IF(ISNUMBER(N34),0,1))</f>
        <v>0</v>
      </c>
      <c r="AD34" s="71"/>
      <c r="AE34" s="1882"/>
      <c r="AG34" s="1882"/>
      <c r="AH34" s="1882"/>
      <c r="AI34" s="1882"/>
      <c r="AK34" s="1882"/>
      <c r="AL34" s="860" t="s">
        <v>4195</v>
      </c>
      <c r="AM34" s="861" t="s">
        <v>1210</v>
      </c>
      <c r="AN34" s="861"/>
      <c r="AO34" s="862" t="s">
        <v>49</v>
      </c>
      <c r="AP34" s="903">
        <v>3</v>
      </c>
      <c r="AQ34" s="2615" t="s">
        <v>4196</v>
      </c>
      <c r="AR34" s="2617" t="s">
        <v>4197</v>
      </c>
      <c r="AS34" s="2618" t="s">
        <v>4198</v>
      </c>
      <c r="AT34" s="2615" t="s">
        <v>4199</v>
      </c>
      <c r="AU34" s="2618" t="s">
        <v>4200</v>
      </c>
      <c r="AV34" s="2618" t="s">
        <v>4201</v>
      </c>
      <c r="AW34" s="2619" t="s">
        <v>4202</v>
      </c>
      <c r="AX34" s="2619" t="s">
        <v>4203</v>
      </c>
      <c r="AY34" s="2004" t="s">
        <v>4204</v>
      </c>
    </row>
    <row r="35" spans="1:51" ht="16">
      <c r="A35" s="856"/>
      <c r="B35" s="870" t="s">
        <v>4205</v>
      </c>
      <c r="C35" s="871" t="s">
        <v>1218</v>
      </c>
      <c r="D35" s="871"/>
      <c r="E35" s="872" t="s">
        <v>49</v>
      </c>
      <c r="F35" s="900">
        <v>3</v>
      </c>
      <c r="G35" s="874"/>
      <c r="H35" s="1378"/>
      <c r="I35" s="875"/>
      <c r="J35" s="874"/>
      <c r="K35" s="875"/>
      <c r="L35" s="875"/>
      <c r="M35" s="906"/>
      <c r="N35" s="906"/>
      <c r="O35" s="1401">
        <f t="shared" si="17"/>
        <v>0</v>
      </c>
      <c r="P35" s="907"/>
      <c r="Q35" s="1882"/>
      <c r="R35" s="868">
        <f t="shared" si="18"/>
        <v>0</v>
      </c>
      <c r="S35" s="869"/>
      <c r="T35" s="71"/>
      <c r="U35" s="1882"/>
      <c r="V35" s="93">
        <f>IF(Validation!$H$3=1,0,IF(ISNUMBER(G35),0,1))</f>
        <v>0</v>
      </c>
      <c r="W35" s="93">
        <f>IF(Validation!$H$3=1,0,IF(ISNUMBER(H35),0,1))</f>
        <v>0</v>
      </c>
      <c r="X35" s="93">
        <f>IF(Validation!$H$3=1,0,IF(ISNUMBER(I35),0,1))</f>
        <v>0</v>
      </c>
      <c r="Y35" s="93">
        <f>IF(Validation!$H$3=1,0,IF(ISNUMBER(J35),0,1))</f>
        <v>0</v>
      </c>
      <c r="Z35" s="93">
        <f>IF(Validation!$H$3=1,0,IF(ISNUMBER(K35),0,1))</f>
        <v>0</v>
      </c>
      <c r="AA35" s="93">
        <f>IF(Validation!$H$3=1,0,IF(ISNUMBER(L35),0,1))</f>
        <v>0</v>
      </c>
      <c r="AB35" s="93">
        <f>IF(Validation!$H$3=1,0,IF(ISNUMBER(M35),0,1))</f>
        <v>0</v>
      </c>
      <c r="AC35" s="93">
        <f>IF(Validation!$H$3=1,0,IF(ISNUMBER(N35),0,1))</f>
        <v>0</v>
      </c>
      <c r="AD35" s="71"/>
      <c r="AE35" s="1882"/>
      <c r="AG35" s="1882"/>
      <c r="AH35" s="1882"/>
      <c r="AI35" s="1882"/>
      <c r="AK35" s="1882"/>
      <c r="AL35" s="870" t="s">
        <v>4205</v>
      </c>
      <c r="AM35" s="871" t="s">
        <v>1218</v>
      </c>
      <c r="AN35" s="871"/>
      <c r="AO35" s="872" t="s">
        <v>49</v>
      </c>
      <c r="AP35" s="900">
        <v>3</v>
      </c>
      <c r="AQ35" s="2620" t="s">
        <v>4206</v>
      </c>
      <c r="AR35" s="2622" t="s">
        <v>4207</v>
      </c>
      <c r="AS35" s="2623" t="s">
        <v>4208</v>
      </c>
      <c r="AT35" s="2620" t="s">
        <v>4209</v>
      </c>
      <c r="AU35" s="2623" t="s">
        <v>4210</v>
      </c>
      <c r="AV35" s="2623" t="s">
        <v>4211</v>
      </c>
      <c r="AW35" s="2624" t="s">
        <v>4212</v>
      </c>
      <c r="AX35" s="2624" t="s">
        <v>4213</v>
      </c>
      <c r="AY35" s="2005" t="s">
        <v>4214</v>
      </c>
    </row>
    <row r="36" spans="1:51" ht="16.5" thickBot="1">
      <c r="A36" s="856"/>
      <c r="B36" s="886" t="s">
        <v>4215</v>
      </c>
      <c r="C36" s="887" t="s">
        <v>1226</v>
      </c>
      <c r="D36" s="887"/>
      <c r="E36" s="888" t="s">
        <v>49</v>
      </c>
      <c r="F36" s="908">
        <v>3</v>
      </c>
      <c r="G36" s="901">
        <f t="shared" ref="G36" si="19">SUM(G31:G35)</f>
        <v>0</v>
      </c>
      <c r="H36" s="1383">
        <f t="shared" ref="H36:N36" si="20">SUM(H31:H35)</f>
        <v>0</v>
      </c>
      <c r="I36" s="909">
        <f t="shared" si="20"/>
        <v>0</v>
      </c>
      <c r="J36" s="901">
        <f t="shared" si="20"/>
        <v>0</v>
      </c>
      <c r="K36" s="909">
        <f t="shared" si="20"/>
        <v>0</v>
      </c>
      <c r="L36" s="909">
        <f t="shared" si="20"/>
        <v>0</v>
      </c>
      <c r="M36" s="910">
        <f t="shared" si="20"/>
        <v>0</v>
      </c>
      <c r="N36" s="910">
        <f t="shared" si="20"/>
        <v>0</v>
      </c>
      <c r="O36" s="1402">
        <f t="shared" si="17"/>
        <v>0</v>
      </c>
      <c r="P36" s="893"/>
      <c r="Q36" s="1882"/>
      <c r="R36" s="580"/>
      <c r="S36" s="1882"/>
      <c r="U36" s="1882"/>
      <c r="V36" s="1882"/>
      <c r="W36" s="1882"/>
      <c r="X36" s="1882"/>
      <c r="Y36" s="1882"/>
      <c r="Z36" s="1882"/>
      <c r="AA36" s="1882"/>
      <c r="AB36" s="1882"/>
      <c r="AC36" s="1882"/>
      <c r="AE36" s="1882"/>
      <c r="AG36" s="1882"/>
      <c r="AH36" s="1882"/>
      <c r="AI36" s="1882"/>
      <c r="AK36" s="1882"/>
      <c r="AL36" s="886" t="s">
        <v>4215</v>
      </c>
      <c r="AM36" s="887" t="s">
        <v>1226</v>
      </c>
      <c r="AN36" s="887"/>
      <c r="AO36" s="888" t="s">
        <v>49</v>
      </c>
      <c r="AP36" s="908">
        <v>3</v>
      </c>
      <c r="AQ36" s="2001" t="s">
        <v>4216</v>
      </c>
      <c r="AR36" s="2006" t="s">
        <v>4217</v>
      </c>
      <c r="AS36" s="2007" t="s">
        <v>4218</v>
      </c>
      <c r="AT36" s="2001" t="s">
        <v>4219</v>
      </c>
      <c r="AU36" s="2007" t="s">
        <v>4220</v>
      </c>
      <c r="AV36" s="2007" t="s">
        <v>4221</v>
      </c>
      <c r="AW36" s="2008" t="s">
        <v>4222</v>
      </c>
      <c r="AX36" s="2008" t="s">
        <v>4223</v>
      </c>
      <c r="AY36" s="2009" t="s">
        <v>4224</v>
      </c>
    </row>
    <row r="37" spans="1:51" ht="16.5" thickBot="1">
      <c r="A37" s="856"/>
      <c r="B37" s="1441"/>
      <c r="C37" s="911"/>
      <c r="D37" s="912"/>
      <c r="E37" s="913"/>
      <c r="F37" s="913"/>
      <c r="G37" s="913"/>
      <c r="H37" s="913"/>
      <c r="I37" s="913"/>
      <c r="J37" s="913"/>
      <c r="K37" s="913"/>
      <c r="L37" s="913"/>
      <c r="M37" s="913"/>
      <c r="N37" s="913"/>
      <c r="O37" s="913"/>
      <c r="P37" s="913"/>
      <c r="Q37" s="1882"/>
      <c r="R37" s="580"/>
      <c r="S37" s="1882"/>
      <c r="U37" s="1882"/>
      <c r="V37" s="1882"/>
      <c r="W37" s="1882"/>
      <c r="X37" s="1882"/>
      <c r="Y37" s="1882"/>
      <c r="Z37" s="1882"/>
      <c r="AA37" s="1882"/>
      <c r="AB37" s="1882"/>
      <c r="AC37" s="1882"/>
      <c r="AE37" s="1882"/>
      <c r="AG37" s="1882"/>
      <c r="AH37" s="1882"/>
      <c r="AI37" s="1882"/>
      <c r="AK37" s="1882"/>
      <c r="AL37" s="1441"/>
      <c r="AM37" s="911"/>
      <c r="AN37" s="912"/>
      <c r="AO37" s="913"/>
      <c r="AP37" s="913"/>
      <c r="AQ37" s="2010"/>
      <c r="AR37" s="2010"/>
      <c r="AS37" s="2010"/>
      <c r="AT37" s="2010"/>
      <c r="AU37" s="2010"/>
      <c r="AV37" s="2010"/>
      <c r="AW37" s="2010"/>
      <c r="AX37" s="2010"/>
      <c r="AY37" s="2010"/>
    </row>
    <row r="38" spans="1:51" ht="16.5" thickBot="1">
      <c r="A38" s="856"/>
      <c r="B38" s="857" t="s">
        <v>390</v>
      </c>
      <c r="C38" s="1661" t="s">
        <v>3839</v>
      </c>
      <c r="D38" s="2862"/>
      <c r="E38" s="913"/>
      <c r="F38" s="913"/>
      <c r="G38" s="914"/>
      <c r="H38" s="914"/>
      <c r="I38" s="914"/>
      <c r="J38" s="914"/>
      <c r="K38" s="914"/>
      <c r="L38" s="914"/>
      <c r="M38" s="914"/>
      <c r="N38" s="914"/>
      <c r="O38" s="914"/>
      <c r="P38" s="915"/>
      <c r="Q38" s="1882"/>
      <c r="R38" s="580"/>
      <c r="S38" s="1882"/>
      <c r="U38" s="1882"/>
      <c r="V38" s="1882"/>
      <c r="W38" s="1882"/>
      <c r="X38" s="1882"/>
      <c r="Y38" s="1882"/>
      <c r="Z38" s="1882"/>
      <c r="AA38" s="1882"/>
      <c r="AB38" s="1882"/>
      <c r="AC38" s="1882"/>
      <c r="AE38" s="1882"/>
      <c r="AG38" s="1882"/>
      <c r="AH38" s="1882"/>
      <c r="AI38" s="1882"/>
      <c r="AK38" s="1882"/>
      <c r="AL38" s="857" t="s">
        <v>390</v>
      </c>
      <c r="AM38" s="858" t="s">
        <v>3839</v>
      </c>
      <c r="AN38" s="2862"/>
      <c r="AO38" s="913"/>
      <c r="AP38" s="913"/>
      <c r="AQ38" s="1977"/>
      <c r="AR38" s="1977"/>
      <c r="AS38" s="1977"/>
      <c r="AT38" s="1977"/>
      <c r="AU38" s="1977"/>
      <c r="AV38" s="1977"/>
      <c r="AW38" s="1977"/>
      <c r="AX38" s="1977"/>
      <c r="AY38" s="1977"/>
    </row>
    <row r="39" spans="1:51" ht="16">
      <c r="A39" s="856"/>
      <c r="B39" s="860" t="s">
        <v>4225</v>
      </c>
      <c r="C39" s="1874" t="s">
        <v>3841</v>
      </c>
      <c r="D39" s="861"/>
      <c r="E39" s="862" t="s">
        <v>49</v>
      </c>
      <c r="F39" s="863">
        <v>3</v>
      </c>
      <c r="G39" s="864"/>
      <c r="H39" s="1377"/>
      <c r="I39" s="865"/>
      <c r="J39" s="864"/>
      <c r="K39" s="865"/>
      <c r="L39" s="865"/>
      <c r="M39" s="904"/>
      <c r="N39" s="904"/>
      <c r="O39" s="1403">
        <f t="shared" ref="O39:O49" si="21">+SUM(G39:N39)</f>
        <v>0</v>
      </c>
      <c r="P39" s="905"/>
      <c r="Q39" s="1882"/>
      <c r="R39" s="868">
        <f>(IF(SUM(V39:AD39)=0,IF(U39=1,AI$39,0),$V$5))</f>
        <v>0</v>
      </c>
      <c r="S39" s="869"/>
      <c r="T39" s="71"/>
      <c r="U39" s="93">
        <f xml:space="preserve"> IF( AND(OR(C39 = "Item 1",C39=""), OR( G39 &lt;&gt; 0, H39 &lt;&gt; 0, I39 &lt;&gt; 0, J39 &lt;&gt; 0, K39 &lt;&gt; 0, L39 &lt;&gt; 0, M39 &lt;&gt; 0, N39 &lt;&gt; 0) ), 1, 0 )</f>
        <v>0</v>
      </c>
      <c r="V39" s="93">
        <f xml:space="preserve"> IF(AND($C39="Item 1",$O39=0), 0, IF( ISNUMBER( G39 ), 0, 1 ))</f>
        <v>0</v>
      </c>
      <c r="W39" s="93">
        <f t="shared" ref="W39:AC39" si="22" xml:space="preserve"> IF(AND($C39="Item 1",$O39=0), 0, IF( ISNUMBER( H39 ), 0, 1 ))</f>
        <v>0</v>
      </c>
      <c r="X39" s="93">
        <f t="shared" si="22"/>
        <v>0</v>
      </c>
      <c r="Y39" s="93">
        <f t="shared" si="22"/>
        <v>0</v>
      </c>
      <c r="Z39" s="93">
        <f t="shared" si="22"/>
        <v>0</v>
      </c>
      <c r="AA39" s="93">
        <f t="shared" si="22"/>
        <v>0</v>
      </c>
      <c r="AB39" s="93">
        <f t="shared" si="22"/>
        <v>0</v>
      </c>
      <c r="AC39" s="93">
        <f t="shared" si="22"/>
        <v>0</v>
      </c>
      <c r="AD39" s="71"/>
      <c r="AE39" s="1882"/>
      <c r="AF39" s="71"/>
      <c r="AG39" s="1882"/>
      <c r="AH39" s="1882"/>
      <c r="AI39" s="1882" t="s">
        <v>3842</v>
      </c>
      <c r="AK39" s="1882"/>
      <c r="AL39" s="860" t="s">
        <v>4225</v>
      </c>
      <c r="AM39" s="2623" t="s">
        <v>4226</v>
      </c>
      <c r="AN39" s="861"/>
      <c r="AO39" s="862" t="s">
        <v>49</v>
      </c>
      <c r="AP39" s="863">
        <v>3</v>
      </c>
      <c r="AQ39" s="2615" t="s">
        <v>4226</v>
      </c>
      <c r="AR39" s="2617" t="s">
        <v>4227</v>
      </c>
      <c r="AS39" s="2618" t="s">
        <v>4228</v>
      </c>
      <c r="AT39" s="2615" t="s">
        <v>4229</v>
      </c>
      <c r="AU39" s="2618" t="s">
        <v>4230</v>
      </c>
      <c r="AV39" s="2618" t="s">
        <v>4231</v>
      </c>
      <c r="AW39" s="2619" t="s">
        <v>4232</v>
      </c>
      <c r="AX39" s="2619" t="s">
        <v>4233</v>
      </c>
      <c r="AY39" s="2011" t="s">
        <v>4234</v>
      </c>
    </row>
    <row r="40" spans="1:51" ht="16">
      <c r="A40" s="856"/>
      <c r="B40" s="870" t="s">
        <v>4235</v>
      </c>
      <c r="C40" s="1875" t="s">
        <v>3851</v>
      </c>
      <c r="D40" s="954"/>
      <c r="E40" s="872" t="s">
        <v>49</v>
      </c>
      <c r="F40" s="873">
        <v>3</v>
      </c>
      <c r="G40" s="874"/>
      <c r="H40" s="1378"/>
      <c r="I40" s="875"/>
      <c r="J40" s="874"/>
      <c r="K40" s="875"/>
      <c r="L40" s="875"/>
      <c r="M40" s="906"/>
      <c r="N40" s="906"/>
      <c r="O40" s="1404">
        <f t="shared" si="21"/>
        <v>0</v>
      </c>
      <c r="P40" s="907"/>
      <c r="Q40" s="1882"/>
      <c r="R40" s="868">
        <f t="shared" ref="R40:R49" si="23">(IF(SUM(V40:AD40)=0,IF(U40=1,AI$39,0),$V$5))</f>
        <v>0</v>
      </c>
      <c r="S40" s="869"/>
      <c r="T40" s="71"/>
      <c r="U40" s="93">
        <f xml:space="preserve"> IF( AND(OR(C40 = "Item 2",C40=""), OR( G40 &lt;&gt; 0, H40 &lt;&gt; 0, I40 &lt;&gt; 0, J40 &lt;&gt; 0, K40 &lt;&gt; 0, L40 &lt;&gt; 0, M40 &lt;&gt; 0, N40 &lt;&gt; 0) ), 1, 0 )</f>
        <v>0</v>
      </c>
      <c r="V40" s="93">
        <f xml:space="preserve"> IF(AND($C40="Item 2",$O40=0), 0, IF( ISNUMBER( G40 ), 0, 1 ))</f>
        <v>0</v>
      </c>
      <c r="W40" s="93">
        <f t="shared" ref="W40:AC40" si="24" xml:space="preserve"> IF(AND($C40="Item 2",$O40=0), 0, IF( ISNUMBER( H40 ), 0, 1 ))</f>
        <v>0</v>
      </c>
      <c r="X40" s="93">
        <f t="shared" si="24"/>
        <v>0</v>
      </c>
      <c r="Y40" s="93">
        <f t="shared" si="24"/>
        <v>0</v>
      </c>
      <c r="Z40" s="93">
        <f t="shared" si="24"/>
        <v>0</v>
      </c>
      <c r="AA40" s="93">
        <f t="shared" si="24"/>
        <v>0</v>
      </c>
      <c r="AB40" s="93">
        <f t="shared" si="24"/>
        <v>0</v>
      </c>
      <c r="AC40" s="93">
        <f t="shared" si="24"/>
        <v>0</v>
      </c>
      <c r="AD40" s="71"/>
      <c r="AE40" s="1882"/>
      <c r="AF40" s="71"/>
      <c r="AG40" s="1882"/>
      <c r="AH40" s="1882"/>
      <c r="AI40" s="1882"/>
      <c r="AK40" s="1882"/>
      <c r="AL40" s="870" t="s">
        <v>4235</v>
      </c>
      <c r="AM40" s="2623" t="s">
        <v>4236</v>
      </c>
      <c r="AN40" s="2658"/>
      <c r="AO40" s="872" t="s">
        <v>49</v>
      </c>
      <c r="AP40" s="873">
        <v>3</v>
      </c>
      <c r="AQ40" s="2620" t="s">
        <v>4236</v>
      </c>
      <c r="AR40" s="2622" t="s">
        <v>4237</v>
      </c>
      <c r="AS40" s="2623" t="s">
        <v>4238</v>
      </c>
      <c r="AT40" s="2620" t="s">
        <v>4239</v>
      </c>
      <c r="AU40" s="2623" t="s">
        <v>4240</v>
      </c>
      <c r="AV40" s="2623" t="s">
        <v>4241</v>
      </c>
      <c r="AW40" s="2624" t="s">
        <v>4242</v>
      </c>
      <c r="AX40" s="2624" t="s">
        <v>4243</v>
      </c>
      <c r="AY40" s="2012" t="s">
        <v>4244</v>
      </c>
    </row>
    <row r="41" spans="1:51" ht="16">
      <c r="A41" s="856"/>
      <c r="B41" s="870" t="s">
        <v>4245</v>
      </c>
      <c r="C41" s="1875" t="s">
        <v>3860</v>
      </c>
      <c r="D41" s="954"/>
      <c r="E41" s="872" t="s">
        <v>49</v>
      </c>
      <c r="F41" s="873">
        <v>3</v>
      </c>
      <c r="G41" s="874"/>
      <c r="H41" s="1378"/>
      <c r="I41" s="875"/>
      <c r="J41" s="874"/>
      <c r="K41" s="875"/>
      <c r="L41" s="875"/>
      <c r="M41" s="906"/>
      <c r="N41" s="906"/>
      <c r="O41" s="1404">
        <f t="shared" si="21"/>
        <v>0</v>
      </c>
      <c r="P41" s="917"/>
      <c r="Q41" s="1882"/>
      <c r="R41" s="868">
        <f t="shared" si="23"/>
        <v>0</v>
      </c>
      <c r="S41" s="869"/>
      <c r="T41" s="71"/>
      <c r="U41" s="93">
        <f xml:space="preserve"> IF( AND(OR(C41 = "Item 3",C41=""), OR( G41 &lt;&gt; 0, H41 &lt;&gt; 0, I41 &lt;&gt; 0, J41 &lt;&gt; 0, K41 &lt;&gt; 0, L41 &lt;&gt; 0, M41 &lt;&gt; 0, N41 &lt;&gt; 0) ), 1, 0 )</f>
        <v>0</v>
      </c>
      <c r="V41" s="93">
        <f xml:space="preserve"> IF(AND($C41="Item 3",$O41=0), 0, IF( ISNUMBER( G41 ), 0, 1 ))</f>
        <v>0</v>
      </c>
      <c r="W41" s="93">
        <f t="shared" ref="W41:AC41" si="25" xml:space="preserve"> IF(AND($C41="Item 3",$O41=0), 0, IF( ISNUMBER( H41 ), 0, 1 ))</f>
        <v>0</v>
      </c>
      <c r="X41" s="93">
        <f t="shared" si="25"/>
        <v>0</v>
      </c>
      <c r="Y41" s="93">
        <f t="shared" si="25"/>
        <v>0</v>
      </c>
      <c r="Z41" s="93">
        <f t="shared" si="25"/>
        <v>0</v>
      </c>
      <c r="AA41" s="93">
        <f t="shared" si="25"/>
        <v>0</v>
      </c>
      <c r="AB41" s="93">
        <f t="shared" si="25"/>
        <v>0</v>
      </c>
      <c r="AC41" s="93">
        <f t="shared" si="25"/>
        <v>0</v>
      </c>
      <c r="AD41" s="71"/>
      <c r="AE41" s="1882"/>
      <c r="AF41" s="71"/>
      <c r="AG41" s="1882"/>
      <c r="AH41" s="1882"/>
      <c r="AI41" s="1882"/>
      <c r="AK41" s="1882"/>
      <c r="AL41" s="870" t="s">
        <v>4245</v>
      </c>
      <c r="AM41" s="2623" t="s">
        <v>4246</v>
      </c>
      <c r="AN41" s="2658"/>
      <c r="AO41" s="872" t="s">
        <v>49</v>
      </c>
      <c r="AP41" s="873">
        <v>3</v>
      </c>
      <c r="AQ41" s="2620" t="s">
        <v>4246</v>
      </c>
      <c r="AR41" s="2622" t="s">
        <v>4247</v>
      </c>
      <c r="AS41" s="2623" t="s">
        <v>4248</v>
      </c>
      <c r="AT41" s="2620" t="s">
        <v>4249</v>
      </c>
      <c r="AU41" s="2623" t="s">
        <v>4250</v>
      </c>
      <c r="AV41" s="2623" t="s">
        <v>4251</v>
      </c>
      <c r="AW41" s="2624" t="s">
        <v>4252</v>
      </c>
      <c r="AX41" s="2624" t="s">
        <v>4253</v>
      </c>
      <c r="AY41" s="2012" t="s">
        <v>4254</v>
      </c>
    </row>
    <row r="42" spans="1:51" ht="16">
      <c r="A42" s="856"/>
      <c r="B42" s="918" t="s">
        <v>4255</v>
      </c>
      <c r="C42" s="1875" t="s">
        <v>3869</v>
      </c>
      <c r="D42" s="954"/>
      <c r="E42" s="872" t="s">
        <v>49</v>
      </c>
      <c r="F42" s="873">
        <v>3</v>
      </c>
      <c r="G42" s="874"/>
      <c r="H42" s="1378"/>
      <c r="I42" s="875"/>
      <c r="J42" s="874"/>
      <c r="K42" s="875"/>
      <c r="L42" s="875"/>
      <c r="M42" s="906"/>
      <c r="N42" s="906"/>
      <c r="O42" s="1404">
        <f t="shared" si="21"/>
        <v>0</v>
      </c>
      <c r="P42" s="917"/>
      <c r="Q42" s="1882"/>
      <c r="R42" s="868">
        <f t="shared" si="23"/>
        <v>0</v>
      </c>
      <c r="S42" s="869"/>
      <c r="T42" s="71"/>
      <c r="U42" s="93">
        <f xml:space="preserve"> IF( AND(OR(C42 = "Item 4",C42=""), OR( G42 &lt;&gt; 0, H42 &lt;&gt; 0, I42 &lt;&gt; 0, J42 &lt;&gt; 0, K42 &lt;&gt; 0, L42 &lt;&gt; 0, M42 &lt;&gt; 0, N42 &lt;&gt; 0) ), 1, 0 )</f>
        <v>0</v>
      </c>
      <c r="V42" s="93">
        <f xml:space="preserve"> IF(AND($C42="Item 4",$O42=0), 0, IF( ISNUMBER( G42 ), 0, 1 ))</f>
        <v>0</v>
      </c>
      <c r="W42" s="93">
        <f t="shared" ref="W42:AC42" si="26" xml:space="preserve"> IF(AND($C42="Item 4",$O42=0), 0, IF( ISNUMBER( H42 ), 0, 1 ))</f>
        <v>0</v>
      </c>
      <c r="X42" s="93">
        <f t="shared" si="26"/>
        <v>0</v>
      </c>
      <c r="Y42" s="93">
        <f t="shared" si="26"/>
        <v>0</v>
      </c>
      <c r="Z42" s="93">
        <f t="shared" si="26"/>
        <v>0</v>
      </c>
      <c r="AA42" s="93">
        <f t="shared" si="26"/>
        <v>0</v>
      </c>
      <c r="AB42" s="93">
        <f t="shared" si="26"/>
        <v>0</v>
      </c>
      <c r="AC42" s="93">
        <f t="shared" si="26"/>
        <v>0</v>
      </c>
      <c r="AD42" s="71"/>
      <c r="AE42" s="1882"/>
      <c r="AF42" s="71"/>
      <c r="AG42" s="1882"/>
      <c r="AH42" s="1882"/>
      <c r="AI42" s="1882"/>
      <c r="AK42" s="1882"/>
      <c r="AL42" s="918" t="s">
        <v>4255</v>
      </c>
      <c r="AM42" s="2623" t="s">
        <v>4256</v>
      </c>
      <c r="AN42" s="2658"/>
      <c r="AO42" s="872" t="s">
        <v>49</v>
      </c>
      <c r="AP42" s="873">
        <v>3</v>
      </c>
      <c r="AQ42" s="2620" t="s">
        <v>4256</v>
      </c>
      <c r="AR42" s="2622" t="s">
        <v>4257</v>
      </c>
      <c r="AS42" s="2623" t="s">
        <v>4258</v>
      </c>
      <c r="AT42" s="2620" t="s">
        <v>4259</v>
      </c>
      <c r="AU42" s="2623" t="s">
        <v>4260</v>
      </c>
      <c r="AV42" s="2623" t="s">
        <v>4261</v>
      </c>
      <c r="AW42" s="2624" t="s">
        <v>4262</v>
      </c>
      <c r="AX42" s="2624" t="s">
        <v>4263</v>
      </c>
      <c r="AY42" s="2012" t="s">
        <v>4264</v>
      </c>
    </row>
    <row r="43" spans="1:51" ht="16">
      <c r="A43" s="856"/>
      <c r="B43" s="870" t="s">
        <v>4265</v>
      </c>
      <c r="C43" s="1875" t="s">
        <v>3878</v>
      </c>
      <c r="D43" s="954"/>
      <c r="E43" s="872" t="s">
        <v>49</v>
      </c>
      <c r="F43" s="873">
        <v>3</v>
      </c>
      <c r="G43" s="874"/>
      <c r="H43" s="1378"/>
      <c r="I43" s="875"/>
      <c r="J43" s="874"/>
      <c r="K43" s="875"/>
      <c r="L43" s="875"/>
      <c r="M43" s="906"/>
      <c r="N43" s="906"/>
      <c r="O43" s="1404">
        <f t="shared" si="21"/>
        <v>0</v>
      </c>
      <c r="P43" s="917"/>
      <c r="Q43" s="1882"/>
      <c r="R43" s="868">
        <f t="shared" si="23"/>
        <v>0</v>
      </c>
      <c r="S43" s="869"/>
      <c r="T43" s="71"/>
      <c r="U43" s="93">
        <f xml:space="preserve"> IF( AND(OR(C43 = "Item 5",C43=""), OR( G43 &lt;&gt; 0, H43 &lt;&gt; 0, I43 &lt;&gt; 0, J43 &lt;&gt; 0, K43 &lt;&gt; 0, L43 &lt;&gt; 0, M43 &lt;&gt; 0, N43 &lt;&gt; 0) ), 1, 0 )</f>
        <v>0</v>
      </c>
      <c r="V43" s="93">
        <f xml:space="preserve"> IF(AND($C43="Item 5",$O43=0), 0, IF( ISNUMBER( G43 ), 0, 1 ))</f>
        <v>0</v>
      </c>
      <c r="W43" s="93">
        <f t="shared" ref="W43:AC43" si="27" xml:space="preserve"> IF(AND($C43="Item 5",$O43=0), 0, IF( ISNUMBER( H43 ), 0, 1 ))</f>
        <v>0</v>
      </c>
      <c r="X43" s="93">
        <f t="shared" si="27"/>
        <v>0</v>
      </c>
      <c r="Y43" s="93">
        <f t="shared" si="27"/>
        <v>0</v>
      </c>
      <c r="Z43" s="93">
        <f t="shared" si="27"/>
        <v>0</v>
      </c>
      <c r="AA43" s="93">
        <f t="shared" si="27"/>
        <v>0</v>
      </c>
      <c r="AB43" s="93">
        <f t="shared" si="27"/>
        <v>0</v>
      </c>
      <c r="AC43" s="93">
        <f t="shared" si="27"/>
        <v>0</v>
      </c>
      <c r="AD43" s="71"/>
      <c r="AE43" s="1882"/>
      <c r="AF43" s="71"/>
      <c r="AG43" s="1882"/>
      <c r="AH43" s="1882"/>
      <c r="AI43" s="1882"/>
      <c r="AK43" s="1882"/>
      <c r="AL43" s="870" t="s">
        <v>4265</v>
      </c>
      <c r="AM43" s="2623" t="s">
        <v>4266</v>
      </c>
      <c r="AN43" s="2658"/>
      <c r="AO43" s="872" t="s">
        <v>49</v>
      </c>
      <c r="AP43" s="873">
        <v>3</v>
      </c>
      <c r="AQ43" s="2620" t="s">
        <v>4266</v>
      </c>
      <c r="AR43" s="2622" t="s">
        <v>4267</v>
      </c>
      <c r="AS43" s="2623" t="s">
        <v>4268</v>
      </c>
      <c r="AT43" s="2620" t="s">
        <v>4269</v>
      </c>
      <c r="AU43" s="2623" t="s">
        <v>4270</v>
      </c>
      <c r="AV43" s="2623" t="s">
        <v>4271</v>
      </c>
      <c r="AW43" s="2624" t="s">
        <v>4272</v>
      </c>
      <c r="AX43" s="2624" t="s">
        <v>4273</v>
      </c>
      <c r="AY43" s="2012" t="s">
        <v>4274</v>
      </c>
    </row>
    <row r="44" spans="1:51" ht="16">
      <c r="A44" s="856"/>
      <c r="B44" s="1343" t="s">
        <v>4275</v>
      </c>
      <c r="C44" s="1875" t="s">
        <v>3887</v>
      </c>
      <c r="D44" s="1523"/>
      <c r="E44" s="872" t="s">
        <v>49</v>
      </c>
      <c r="F44" s="873">
        <v>3</v>
      </c>
      <c r="G44" s="1345"/>
      <c r="H44" s="1384"/>
      <c r="I44" s="1344"/>
      <c r="J44" s="1345"/>
      <c r="K44" s="1344"/>
      <c r="L44" s="1344"/>
      <c r="M44" s="1346"/>
      <c r="N44" s="1346"/>
      <c r="O44" s="1540">
        <f t="shared" si="21"/>
        <v>0</v>
      </c>
      <c r="P44" s="917"/>
      <c r="Q44" s="1882"/>
      <c r="R44" s="868">
        <f t="shared" si="23"/>
        <v>0</v>
      </c>
      <c r="S44" s="869"/>
      <c r="T44" s="71"/>
      <c r="U44" s="93">
        <f xml:space="preserve"> IF( AND(OR(C44 = "Item 6",C44=""), OR( G44 &lt;&gt; 0, H44 &lt;&gt; 0, I44 &lt;&gt; 0, J44 &lt;&gt; 0, K44 &lt;&gt; 0, L44 &lt;&gt; 0, M44 &lt;&gt; 0, N44 &lt;&gt; 0) ), 1, 0 )</f>
        <v>0</v>
      </c>
      <c r="V44" s="93">
        <f xml:space="preserve"> IF(AND($C44="Item 6",$O44=0), 0, IF( ISNUMBER( G44 ), 0, 1 ))</f>
        <v>0</v>
      </c>
      <c r="W44" s="93">
        <f t="shared" ref="W44:AC44" si="28" xml:space="preserve"> IF(AND($C44="Item 6",$O44=0), 0, IF( ISNUMBER( H44 ), 0, 1 ))</f>
        <v>0</v>
      </c>
      <c r="X44" s="93">
        <f t="shared" si="28"/>
        <v>0</v>
      </c>
      <c r="Y44" s="93">
        <f t="shared" si="28"/>
        <v>0</v>
      </c>
      <c r="Z44" s="93">
        <f t="shared" si="28"/>
        <v>0</v>
      </c>
      <c r="AA44" s="93">
        <f t="shared" si="28"/>
        <v>0</v>
      </c>
      <c r="AB44" s="93">
        <f t="shared" si="28"/>
        <v>0</v>
      </c>
      <c r="AC44" s="93">
        <f t="shared" si="28"/>
        <v>0</v>
      </c>
      <c r="AD44" s="71"/>
      <c r="AE44" s="1882"/>
      <c r="AF44" s="71"/>
      <c r="AG44" s="1882"/>
      <c r="AH44" s="1882"/>
      <c r="AI44" s="1882"/>
      <c r="AK44" s="1882"/>
      <c r="AL44" s="1343" t="s">
        <v>4275</v>
      </c>
      <c r="AM44" s="2623" t="s">
        <v>4276</v>
      </c>
      <c r="AN44" s="2659"/>
      <c r="AO44" s="872" t="s">
        <v>49</v>
      </c>
      <c r="AP44" s="873">
        <v>3</v>
      </c>
      <c r="AQ44" s="2641" t="s">
        <v>4276</v>
      </c>
      <c r="AR44" s="2643" t="s">
        <v>4277</v>
      </c>
      <c r="AS44" s="2644" t="s">
        <v>4278</v>
      </c>
      <c r="AT44" s="2641" t="s">
        <v>4279</v>
      </c>
      <c r="AU44" s="2644" t="s">
        <v>4280</v>
      </c>
      <c r="AV44" s="2644" t="s">
        <v>4281</v>
      </c>
      <c r="AW44" s="2645" t="s">
        <v>4282</v>
      </c>
      <c r="AX44" s="2645" t="s">
        <v>4283</v>
      </c>
      <c r="AY44" s="2016" t="s">
        <v>4284</v>
      </c>
    </row>
    <row r="45" spans="1:51" ht="16">
      <c r="A45" s="856"/>
      <c r="B45" s="1343" t="s">
        <v>4285</v>
      </c>
      <c r="C45" s="1875" t="s">
        <v>3896</v>
      </c>
      <c r="D45" s="1523"/>
      <c r="E45" s="872" t="s">
        <v>49</v>
      </c>
      <c r="F45" s="873">
        <v>3</v>
      </c>
      <c r="G45" s="1345"/>
      <c r="H45" s="1384"/>
      <c r="I45" s="1344"/>
      <c r="J45" s="1345"/>
      <c r="K45" s="1344"/>
      <c r="L45" s="1344"/>
      <c r="M45" s="1346"/>
      <c r="N45" s="1346"/>
      <c r="O45" s="1540">
        <f t="shared" si="21"/>
        <v>0</v>
      </c>
      <c r="P45" s="917"/>
      <c r="Q45" s="1882"/>
      <c r="R45" s="868">
        <f t="shared" si="23"/>
        <v>0</v>
      </c>
      <c r="S45" s="869"/>
      <c r="T45" s="71"/>
      <c r="U45" s="93">
        <f xml:space="preserve"> IF( AND(OR(C45 = "Item 7",C45=""), OR( G45 &lt;&gt; 0, H45 &lt;&gt; 0, I45 &lt;&gt; 0, J45 &lt;&gt; 0, K45 &lt;&gt; 0, L45 &lt;&gt; 0, M45 &lt;&gt; 0, N45 &lt;&gt; 0) ), 1, 0 )</f>
        <v>0</v>
      </c>
      <c r="V45" s="93">
        <f xml:space="preserve"> IF(AND($C45="Item 7",$O45=0), 0, IF( ISNUMBER( G45 ), 0, 1 ))</f>
        <v>0</v>
      </c>
      <c r="W45" s="93">
        <f t="shared" ref="W45:AC45" si="29" xml:space="preserve"> IF(AND($C45="Item 7",$O45=0), 0, IF( ISNUMBER( H45 ), 0, 1 ))</f>
        <v>0</v>
      </c>
      <c r="X45" s="93">
        <f t="shared" si="29"/>
        <v>0</v>
      </c>
      <c r="Y45" s="93">
        <f t="shared" si="29"/>
        <v>0</v>
      </c>
      <c r="Z45" s="93">
        <f t="shared" si="29"/>
        <v>0</v>
      </c>
      <c r="AA45" s="93">
        <f t="shared" si="29"/>
        <v>0</v>
      </c>
      <c r="AB45" s="93">
        <f t="shared" si="29"/>
        <v>0</v>
      </c>
      <c r="AC45" s="93">
        <f t="shared" si="29"/>
        <v>0</v>
      </c>
      <c r="AD45" s="71"/>
      <c r="AE45" s="1882"/>
      <c r="AF45" s="71"/>
      <c r="AG45" s="1882"/>
      <c r="AH45" s="1882"/>
      <c r="AI45" s="1882"/>
      <c r="AK45" s="1882"/>
      <c r="AL45" s="1343" t="s">
        <v>4285</v>
      </c>
      <c r="AM45" s="2623" t="s">
        <v>4286</v>
      </c>
      <c r="AN45" s="2659"/>
      <c r="AO45" s="872" t="s">
        <v>49</v>
      </c>
      <c r="AP45" s="873">
        <v>3</v>
      </c>
      <c r="AQ45" s="2641" t="s">
        <v>4286</v>
      </c>
      <c r="AR45" s="2643" t="s">
        <v>4287</v>
      </c>
      <c r="AS45" s="2644" t="s">
        <v>4288</v>
      </c>
      <c r="AT45" s="2641" t="s">
        <v>4289</v>
      </c>
      <c r="AU45" s="2644" t="s">
        <v>4290</v>
      </c>
      <c r="AV45" s="2644" t="s">
        <v>4291</v>
      </c>
      <c r="AW45" s="2645" t="s">
        <v>4292</v>
      </c>
      <c r="AX45" s="2645" t="s">
        <v>4293</v>
      </c>
      <c r="AY45" s="2016" t="s">
        <v>4294</v>
      </c>
    </row>
    <row r="46" spans="1:51" ht="16">
      <c r="A46" s="856"/>
      <c r="B46" s="1343" t="s">
        <v>4295</v>
      </c>
      <c r="C46" s="1875" t="s">
        <v>3905</v>
      </c>
      <c r="D46" s="1523"/>
      <c r="E46" s="872" t="s">
        <v>49</v>
      </c>
      <c r="F46" s="873">
        <v>3</v>
      </c>
      <c r="G46" s="1345"/>
      <c r="H46" s="1384"/>
      <c r="I46" s="1344"/>
      <c r="J46" s="1345"/>
      <c r="K46" s="1344"/>
      <c r="L46" s="1344"/>
      <c r="M46" s="1346"/>
      <c r="N46" s="1346"/>
      <c r="O46" s="1540">
        <f t="shared" si="21"/>
        <v>0</v>
      </c>
      <c r="P46" s="917"/>
      <c r="Q46" s="1882"/>
      <c r="R46" s="868">
        <f t="shared" si="23"/>
        <v>0</v>
      </c>
      <c r="S46" s="869"/>
      <c r="T46" s="71"/>
      <c r="U46" s="93">
        <f xml:space="preserve"> IF( AND(OR(C46 = "Item 8",C46=""), OR( G46 &lt;&gt; 0, H46 &lt;&gt; 0, I46 &lt;&gt; 0, J46 &lt;&gt; 0, K46 &lt;&gt; 0, L46 &lt;&gt; 0, M46 &lt;&gt; 0, N46 &lt;&gt; 0) ), 1, 0 )</f>
        <v>0</v>
      </c>
      <c r="V46" s="93">
        <f xml:space="preserve"> IF(AND($C46="Item 8",$O46=0), 0, IF( ISNUMBER( G46 ), 0, 1 ))</f>
        <v>0</v>
      </c>
      <c r="W46" s="93">
        <f t="shared" ref="W46:AC46" si="30" xml:space="preserve"> IF(AND($C46="Item 8",$O46=0), 0, IF( ISNUMBER( H46 ), 0, 1 ))</f>
        <v>0</v>
      </c>
      <c r="X46" s="93">
        <f t="shared" si="30"/>
        <v>0</v>
      </c>
      <c r="Y46" s="93">
        <f t="shared" si="30"/>
        <v>0</v>
      </c>
      <c r="Z46" s="93">
        <f t="shared" si="30"/>
        <v>0</v>
      </c>
      <c r="AA46" s="93">
        <f t="shared" si="30"/>
        <v>0</v>
      </c>
      <c r="AB46" s="93">
        <f t="shared" si="30"/>
        <v>0</v>
      </c>
      <c r="AC46" s="93">
        <f t="shared" si="30"/>
        <v>0</v>
      </c>
      <c r="AD46" s="71"/>
      <c r="AE46" s="1882"/>
      <c r="AF46" s="71"/>
      <c r="AG46" s="1882"/>
      <c r="AH46" s="1882"/>
      <c r="AI46" s="1882"/>
      <c r="AK46" s="1882"/>
      <c r="AL46" s="1343" t="s">
        <v>4295</v>
      </c>
      <c r="AM46" s="2623" t="s">
        <v>4296</v>
      </c>
      <c r="AN46" s="2659"/>
      <c r="AO46" s="872" t="s">
        <v>49</v>
      </c>
      <c r="AP46" s="873">
        <v>3</v>
      </c>
      <c r="AQ46" s="2641" t="s">
        <v>4296</v>
      </c>
      <c r="AR46" s="2643" t="s">
        <v>4297</v>
      </c>
      <c r="AS46" s="2644" t="s">
        <v>4298</v>
      </c>
      <c r="AT46" s="2641" t="s">
        <v>4299</v>
      </c>
      <c r="AU46" s="2644" t="s">
        <v>4300</v>
      </c>
      <c r="AV46" s="2644" t="s">
        <v>4301</v>
      </c>
      <c r="AW46" s="2645" t="s">
        <v>4302</v>
      </c>
      <c r="AX46" s="2645" t="s">
        <v>4303</v>
      </c>
      <c r="AY46" s="2016" t="s">
        <v>4304</v>
      </c>
    </row>
    <row r="47" spans="1:51" ht="16">
      <c r="A47" s="856"/>
      <c r="B47" s="1343" t="s">
        <v>4305</v>
      </c>
      <c r="C47" s="1875" t="s">
        <v>3914</v>
      </c>
      <c r="D47" s="1523"/>
      <c r="E47" s="872" t="s">
        <v>49</v>
      </c>
      <c r="F47" s="873">
        <v>3</v>
      </c>
      <c r="G47" s="1345"/>
      <c r="H47" s="1384"/>
      <c r="I47" s="1344"/>
      <c r="J47" s="1345"/>
      <c r="K47" s="1344"/>
      <c r="L47" s="1344"/>
      <c r="M47" s="1346"/>
      <c r="N47" s="1346"/>
      <c r="O47" s="1540">
        <f t="shared" si="21"/>
        <v>0</v>
      </c>
      <c r="P47" s="917"/>
      <c r="Q47" s="1882"/>
      <c r="R47" s="868">
        <f t="shared" si="23"/>
        <v>0</v>
      </c>
      <c r="S47" s="869"/>
      <c r="T47" s="71"/>
      <c r="U47" s="93">
        <f xml:space="preserve"> IF( AND(OR(C47 = "Item 9",C47=""), OR( G47 &lt;&gt; 0, H47 &lt;&gt; 0, I47 &lt;&gt; 0, J47 &lt;&gt; 0, K47 &lt;&gt; 0, L47 &lt;&gt; 0, M47 &lt;&gt; 0, N47 &lt;&gt; 0) ), 1, 0 )</f>
        <v>0</v>
      </c>
      <c r="V47" s="93">
        <f xml:space="preserve"> IF(AND($C47="Item 9",$O47=0), 0, IF( ISNUMBER( G47 ), 0, 1 ))</f>
        <v>0</v>
      </c>
      <c r="W47" s="93">
        <f t="shared" ref="W47:AC47" si="31" xml:space="preserve"> IF(AND($C47="Item 9",$O47=0), 0, IF( ISNUMBER( H47 ), 0, 1 ))</f>
        <v>0</v>
      </c>
      <c r="X47" s="93">
        <f t="shared" si="31"/>
        <v>0</v>
      </c>
      <c r="Y47" s="93">
        <f t="shared" si="31"/>
        <v>0</v>
      </c>
      <c r="Z47" s="93">
        <f t="shared" si="31"/>
        <v>0</v>
      </c>
      <c r="AA47" s="93">
        <f t="shared" si="31"/>
        <v>0</v>
      </c>
      <c r="AB47" s="93">
        <f t="shared" si="31"/>
        <v>0</v>
      </c>
      <c r="AC47" s="93">
        <f t="shared" si="31"/>
        <v>0</v>
      </c>
      <c r="AD47" s="71"/>
      <c r="AE47" s="1882"/>
      <c r="AF47" s="71"/>
      <c r="AG47" s="1882"/>
      <c r="AH47" s="1882"/>
      <c r="AI47" s="1882"/>
      <c r="AK47" s="1882"/>
      <c r="AL47" s="1343" t="s">
        <v>4305</v>
      </c>
      <c r="AM47" s="2623" t="s">
        <v>4306</v>
      </c>
      <c r="AN47" s="2659"/>
      <c r="AO47" s="872" t="s">
        <v>49</v>
      </c>
      <c r="AP47" s="873">
        <v>3</v>
      </c>
      <c r="AQ47" s="2641" t="s">
        <v>4306</v>
      </c>
      <c r="AR47" s="2643" t="s">
        <v>4307</v>
      </c>
      <c r="AS47" s="2644" t="s">
        <v>4308</v>
      </c>
      <c r="AT47" s="2641" t="s">
        <v>4309</v>
      </c>
      <c r="AU47" s="2644" t="s">
        <v>4310</v>
      </c>
      <c r="AV47" s="2644" t="s">
        <v>4311</v>
      </c>
      <c r="AW47" s="2645" t="s">
        <v>4312</v>
      </c>
      <c r="AX47" s="2645" t="s">
        <v>4313</v>
      </c>
      <c r="AY47" s="2016" t="s">
        <v>4314</v>
      </c>
    </row>
    <row r="48" spans="1:51" ht="16">
      <c r="A48" s="856"/>
      <c r="B48" s="1343" t="s">
        <v>4315</v>
      </c>
      <c r="C48" s="1875" t="s">
        <v>3923</v>
      </c>
      <c r="D48" s="1523"/>
      <c r="E48" s="872" t="s">
        <v>49</v>
      </c>
      <c r="F48" s="873">
        <v>3</v>
      </c>
      <c r="G48" s="1345"/>
      <c r="H48" s="1384"/>
      <c r="I48" s="1344"/>
      <c r="J48" s="1345"/>
      <c r="K48" s="1344"/>
      <c r="L48" s="1344"/>
      <c r="M48" s="1346"/>
      <c r="N48" s="1346"/>
      <c r="O48" s="1540">
        <f t="shared" si="21"/>
        <v>0</v>
      </c>
      <c r="P48" s="917"/>
      <c r="Q48" s="1882"/>
      <c r="R48" s="868">
        <f t="shared" si="23"/>
        <v>0</v>
      </c>
      <c r="S48" s="869"/>
      <c r="T48" s="71"/>
      <c r="U48" s="93">
        <f xml:space="preserve"> IF( AND(OR(C48 = "Item 10",C48=""), OR( G48 &lt;&gt; 0, H48 &lt;&gt; 0, I48 &lt;&gt; 0, J48 &lt;&gt; 0, K48 &lt;&gt; 0, L48 &lt;&gt; 0, M48 &lt;&gt; 0, N48 &lt;&gt; 0) ), 1, 0 )</f>
        <v>0</v>
      </c>
      <c r="V48" s="93">
        <f xml:space="preserve"> IF(AND($C48="Item 10",$O48=0), 0, IF( ISNUMBER( G48 ), 0, 1 ))</f>
        <v>0</v>
      </c>
      <c r="W48" s="93">
        <f t="shared" ref="W48:AC48" si="32" xml:space="preserve"> IF(AND($C48="Item 10",$O48=0), 0, IF( ISNUMBER( H48 ), 0, 1 ))</f>
        <v>0</v>
      </c>
      <c r="X48" s="93">
        <f t="shared" si="32"/>
        <v>0</v>
      </c>
      <c r="Y48" s="93">
        <f t="shared" si="32"/>
        <v>0</v>
      </c>
      <c r="Z48" s="93">
        <f t="shared" si="32"/>
        <v>0</v>
      </c>
      <c r="AA48" s="93">
        <f t="shared" si="32"/>
        <v>0</v>
      </c>
      <c r="AB48" s="93">
        <f t="shared" si="32"/>
        <v>0</v>
      </c>
      <c r="AC48" s="93">
        <f t="shared" si="32"/>
        <v>0</v>
      </c>
      <c r="AD48" s="71"/>
      <c r="AE48" s="1882"/>
      <c r="AF48" s="71"/>
      <c r="AG48" s="1882"/>
      <c r="AH48" s="1882"/>
      <c r="AI48" s="1882"/>
      <c r="AK48" s="1882"/>
      <c r="AL48" s="1343" t="s">
        <v>4315</v>
      </c>
      <c r="AM48" s="2623" t="s">
        <v>4316</v>
      </c>
      <c r="AN48" s="2659"/>
      <c r="AO48" s="872" t="s">
        <v>49</v>
      </c>
      <c r="AP48" s="873">
        <v>3</v>
      </c>
      <c r="AQ48" s="2641" t="s">
        <v>4316</v>
      </c>
      <c r="AR48" s="2643" t="s">
        <v>4317</v>
      </c>
      <c r="AS48" s="2644" t="s">
        <v>4318</v>
      </c>
      <c r="AT48" s="2641" t="s">
        <v>4319</v>
      </c>
      <c r="AU48" s="2644" t="s">
        <v>4320</v>
      </c>
      <c r="AV48" s="2644" t="s">
        <v>4321</v>
      </c>
      <c r="AW48" s="2645" t="s">
        <v>4322</v>
      </c>
      <c r="AX48" s="2645" t="s">
        <v>4323</v>
      </c>
      <c r="AY48" s="2016" t="s">
        <v>4324</v>
      </c>
    </row>
    <row r="49" spans="1:51" ht="16.5" thickBot="1">
      <c r="A49" s="894"/>
      <c r="B49" s="886" t="s">
        <v>4325</v>
      </c>
      <c r="C49" s="887" t="s">
        <v>3932</v>
      </c>
      <c r="D49" s="887"/>
      <c r="E49" s="888" t="s">
        <v>49</v>
      </c>
      <c r="F49" s="889">
        <v>3</v>
      </c>
      <c r="G49" s="1800">
        <f t="shared" ref="G49:N49" si="33">+SUM(G39:G48)</f>
        <v>0</v>
      </c>
      <c r="H49" s="1802">
        <f t="shared" si="33"/>
        <v>0</v>
      </c>
      <c r="I49" s="1803">
        <f t="shared" si="33"/>
        <v>0</v>
      </c>
      <c r="J49" s="1800">
        <f t="shared" si="33"/>
        <v>0</v>
      </c>
      <c r="K49" s="1803">
        <f t="shared" si="33"/>
        <v>0</v>
      </c>
      <c r="L49" s="1803">
        <f t="shared" si="33"/>
        <v>0</v>
      </c>
      <c r="M49" s="1804">
        <f t="shared" si="33"/>
        <v>0</v>
      </c>
      <c r="N49" s="1804">
        <f t="shared" si="33"/>
        <v>0</v>
      </c>
      <c r="O49" s="1405">
        <f t="shared" si="21"/>
        <v>0</v>
      </c>
      <c r="P49" s="919"/>
      <c r="Q49" s="1882"/>
      <c r="R49" s="868">
        <f t="shared" si="23"/>
        <v>0</v>
      </c>
      <c r="S49" s="1882"/>
      <c r="T49" s="71"/>
      <c r="U49" s="1882"/>
      <c r="V49" s="1882"/>
      <c r="W49" s="1882"/>
      <c r="X49" s="1882"/>
      <c r="Y49" s="1882"/>
      <c r="Z49" s="1882"/>
      <c r="AA49" s="1882"/>
      <c r="AB49" s="1882"/>
      <c r="AC49" s="1882"/>
      <c r="AD49" s="71"/>
      <c r="AE49" s="1882"/>
      <c r="AF49" s="71"/>
      <c r="AG49" s="1882"/>
      <c r="AH49" s="1882"/>
      <c r="AI49" s="1882"/>
      <c r="AK49" s="1882"/>
      <c r="AL49" s="886" t="s">
        <v>4325</v>
      </c>
      <c r="AM49" s="2018" t="s">
        <v>3932</v>
      </c>
      <c r="AN49" s="887"/>
      <c r="AO49" s="888" t="s">
        <v>49</v>
      </c>
      <c r="AP49" s="889">
        <v>3</v>
      </c>
      <c r="AQ49" s="2646" t="s">
        <v>4326</v>
      </c>
      <c r="AR49" s="2648" t="s">
        <v>4327</v>
      </c>
      <c r="AS49" s="2649" t="s">
        <v>4328</v>
      </c>
      <c r="AT49" s="2646" t="s">
        <v>4329</v>
      </c>
      <c r="AU49" s="2649" t="s">
        <v>4330</v>
      </c>
      <c r="AV49" s="2649" t="s">
        <v>4331</v>
      </c>
      <c r="AW49" s="2650" t="s">
        <v>4332</v>
      </c>
      <c r="AX49" s="2650" t="s">
        <v>4333</v>
      </c>
      <c r="AY49" s="2013" t="s">
        <v>4334</v>
      </c>
    </row>
    <row r="50" spans="1:51" ht="16.5" thickBot="1">
      <c r="A50" s="856"/>
      <c r="B50" s="920"/>
      <c r="C50" s="912"/>
      <c r="D50" s="912"/>
      <c r="E50" s="913"/>
      <c r="F50" s="913"/>
      <c r="G50" s="914"/>
      <c r="H50" s="914"/>
      <c r="I50" s="914"/>
      <c r="J50" s="914"/>
      <c r="K50" s="914"/>
      <c r="L50" s="914"/>
      <c r="M50" s="914"/>
      <c r="N50" s="914"/>
      <c r="O50" s="914"/>
      <c r="P50" s="915"/>
      <c r="Q50" s="1882"/>
      <c r="R50" s="1882"/>
      <c r="S50" s="1882"/>
      <c r="T50" s="71"/>
      <c r="U50" s="1882"/>
      <c r="V50" s="1882"/>
      <c r="W50" s="1882"/>
      <c r="X50" s="1882"/>
      <c r="Y50" s="1882"/>
      <c r="Z50" s="1882"/>
      <c r="AA50" s="1882"/>
      <c r="AB50" s="1882"/>
      <c r="AC50" s="1882"/>
      <c r="AD50" s="71"/>
      <c r="AE50" s="1882"/>
      <c r="AF50" s="71"/>
      <c r="AG50" s="1882"/>
      <c r="AH50" s="1882"/>
      <c r="AI50" s="1882"/>
      <c r="AK50" s="1882"/>
      <c r="AL50" s="920"/>
      <c r="AM50" s="912"/>
      <c r="AN50" s="912"/>
      <c r="AO50" s="913"/>
      <c r="AP50" s="913"/>
      <c r="AQ50" s="1977"/>
      <c r="AR50" s="1977"/>
      <c r="AS50" s="1977"/>
      <c r="AT50" s="1977"/>
      <c r="AU50" s="1977"/>
      <c r="AV50" s="1977"/>
      <c r="AW50" s="1977"/>
      <c r="AX50" s="1977"/>
      <c r="AY50" s="1977"/>
    </row>
    <row r="51" spans="1:51" ht="16.5" thickBot="1">
      <c r="A51" s="856"/>
      <c r="B51" s="857" t="s">
        <v>464</v>
      </c>
      <c r="C51" s="1661" t="s">
        <v>3940</v>
      </c>
      <c r="D51" s="2862"/>
      <c r="E51" s="913"/>
      <c r="F51" s="913"/>
      <c r="G51" s="914"/>
      <c r="H51" s="914"/>
      <c r="I51" s="914"/>
      <c r="J51" s="914"/>
      <c r="K51" s="914"/>
      <c r="L51" s="914"/>
      <c r="M51" s="914"/>
      <c r="N51" s="914"/>
      <c r="O51" s="914"/>
      <c r="P51" s="915"/>
      <c r="Q51" s="1882"/>
      <c r="R51" s="1882"/>
      <c r="S51" s="1882"/>
      <c r="T51" s="71"/>
      <c r="U51" s="1882"/>
      <c r="V51" s="1882"/>
      <c r="W51" s="1882"/>
      <c r="X51" s="1882"/>
      <c r="Y51" s="1882"/>
      <c r="Z51" s="1882"/>
      <c r="AA51" s="1882"/>
      <c r="AB51" s="1882"/>
      <c r="AC51" s="1882"/>
      <c r="AD51" s="71"/>
      <c r="AE51" s="1882"/>
      <c r="AF51" s="71"/>
      <c r="AG51" s="1882"/>
      <c r="AH51" s="1882"/>
      <c r="AI51" s="1882"/>
      <c r="AK51" s="1882"/>
      <c r="AL51" s="857" t="s">
        <v>464</v>
      </c>
      <c r="AM51" s="921" t="s">
        <v>3940</v>
      </c>
      <c r="AN51" s="2862"/>
      <c r="AO51" s="913"/>
      <c r="AP51" s="913"/>
      <c r="AQ51" s="1977"/>
      <c r="AR51" s="1977"/>
      <c r="AS51" s="1977"/>
      <c r="AT51" s="1977"/>
      <c r="AU51" s="1977"/>
      <c r="AV51" s="1977"/>
      <c r="AW51" s="1977"/>
      <c r="AX51" s="1977"/>
      <c r="AY51" s="1977"/>
    </row>
    <row r="52" spans="1:51" ht="24" customHeight="1" thickBot="1">
      <c r="A52" s="894"/>
      <c r="B52" s="922" t="s">
        <v>4335</v>
      </c>
      <c r="C52" s="923" t="s">
        <v>3942</v>
      </c>
      <c r="D52" s="923"/>
      <c r="E52" s="925" t="s">
        <v>49</v>
      </c>
      <c r="F52" s="926">
        <v>3</v>
      </c>
      <c r="G52" s="1805">
        <f t="shared" ref="G52:N52" si="34">+G49+G36</f>
        <v>0</v>
      </c>
      <c r="H52" s="1807">
        <f t="shared" si="34"/>
        <v>0</v>
      </c>
      <c r="I52" s="1808">
        <f t="shared" si="34"/>
        <v>0</v>
      </c>
      <c r="J52" s="1805">
        <f t="shared" si="34"/>
        <v>0</v>
      </c>
      <c r="K52" s="1808">
        <f t="shared" si="34"/>
        <v>0</v>
      </c>
      <c r="L52" s="1808">
        <f t="shared" si="34"/>
        <v>0</v>
      </c>
      <c r="M52" s="1813">
        <f t="shared" si="34"/>
        <v>0</v>
      </c>
      <c r="N52" s="1524">
        <f t="shared" si="34"/>
        <v>0</v>
      </c>
      <c r="O52" s="1810">
        <f>+SUM(G52:N52)</f>
        <v>0</v>
      </c>
      <c r="P52" s="915"/>
      <c r="Q52" s="1882"/>
      <c r="R52" s="1339">
        <f xml:space="preserve"> IF( SUM( AD52:AF52 ) = 0, 0, AI52 )</f>
        <v>0</v>
      </c>
      <c r="S52" s="1882"/>
      <c r="T52" s="71"/>
      <c r="U52" s="1882"/>
      <c r="V52" s="1882"/>
      <c r="W52" s="1882"/>
      <c r="X52" s="1882"/>
      <c r="Y52" s="1882"/>
      <c r="Z52" s="1882"/>
      <c r="AA52" s="1882"/>
      <c r="AB52" s="1882"/>
      <c r="AC52" s="1882"/>
      <c r="AD52" s="71"/>
      <c r="AE52" s="93">
        <f xml:space="preserve"> IF( (AG52 - AH52) = 0, 0, 1 )</f>
        <v>0</v>
      </c>
      <c r="AF52" s="124"/>
      <c r="AG52" s="112">
        <f xml:space="preserve"> ROUND( O52, 3 )</f>
        <v>0</v>
      </c>
      <c r="AH52" s="112">
        <f xml:space="preserve"> ROUND( ('4E'!O39), 3 )</f>
        <v>0</v>
      </c>
      <c r="AI52" s="139" t="s">
        <v>4336</v>
      </c>
      <c r="AJ52" s="71"/>
      <c r="AK52" s="1882"/>
      <c r="AL52" s="922" t="s">
        <v>4335</v>
      </c>
      <c r="AM52" s="923" t="s">
        <v>3942</v>
      </c>
      <c r="AN52" s="923"/>
      <c r="AO52" s="925" t="s">
        <v>49</v>
      </c>
      <c r="AP52" s="926">
        <v>3</v>
      </c>
      <c r="AQ52" s="2651" t="s">
        <v>4337</v>
      </c>
      <c r="AR52" s="2653" t="s">
        <v>4338</v>
      </c>
      <c r="AS52" s="2654" t="s">
        <v>4339</v>
      </c>
      <c r="AT52" s="2651" t="s">
        <v>4340</v>
      </c>
      <c r="AU52" s="2654" t="s">
        <v>4341</v>
      </c>
      <c r="AV52" s="2654" t="s">
        <v>4342</v>
      </c>
      <c r="AW52" s="2660" t="s">
        <v>4343</v>
      </c>
      <c r="AX52" s="2017" t="s">
        <v>4344</v>
      </c>
      <c r="AY52" s="2656" t="s">
        <v>4345</v>
      </c>
    </row>
    <row r="53" spans="1:51">
      <c r="A53" s="1882"/>
      <c r="B53" s="1882"/>
      <c r="C53" s="1882"/>
      <c r="D53" s="1882"/>
      <c r="E53" s="1882"/>
      <c r="F53" s="1882"/>
      <c r="G53" s="1882"/>
      <c r="H53" s="1882"/>
      <c r="I53" s="1882"/>
      <c r="J53" s="1882"/>
      <c r="K53" s="1882"/>
      <c r="L53" s="1882"/>
      <c r="M53" s="1882"/>
      <c r="N53" s="1882"/>
      <c r="O53" s="1882"/>
      <c r="P53" s="1882"/>
      <c r="Q53" s="1882"/>
      <c r="R53" s="1882"/>
      <c r="S53" s="1882"/>
      <c r="U53" s="1882"/>
      <c r="V53" s="1882"/>
      <c r="W53" s="1882"/>
      <c r="X53" s="1882"/>
      <c r="Y53" s="1882"/>
      <c r="Z53" s="1882"/>
      <c r="AA53" s="1882"/>
      <c r="AB53" s="1882"/>
      <c r="AC53" s="1882"/>
      <c r="AE53" s="1882"/>
      <c r="AG53" s="1882"/>
      <c r="AH53" s="1882"/>
      <c r="AI53" s="1882"/>
      <c r="AK53" s="1882"/>
      <c r="AL53" s="483"/>
      <c r="AM53" s="483"/>
      <c r="AN53" s="483"/>
      <c r="AO53" s="483"/>
      <c r="AP53" s="483"/>
      <c r="AQ53" s="1979"/>
      <c r="AR53" s="1979"/>
      <c r="AS53" s="1979"/>
      <c r="AT53" s="1979"/>
      <c r="AU53" s="1979"/>
      <c r="AV53" s="1979"/>
      <c r="AW53" s="1979"/>
      <c r="AX53" s="1979"/>
      <c r="AY53" s="1979"/>
    </row>
    <row r="54" spans="1:51" ht="16">
      <c r="A54" s="1882"/>
      <c r="B54" s="3147" t="s">
        <v>241</v>
      </c>
      <c r="C54" s="3147"/>
      <c r="D54" s="2862"/>
      <c r="E54" s="856"/>
      <c r="F54" s="856"/>
      <c r="G54" s="856"/>
      <c r="H54" s="856"/>
      <c r="I54" s="856"/>
      <c r="J54" s="856"/>
      <c r="K54" s="856"/>
      <c r="L54" s="856"/>
      <c r="M54" s="856"/>
      <c r="N54" s="856"/>
      <c r="O54" s="856"/>
      <c r="P54" s="856"/>
      <c r="Q54" s="856"/>
      <c r="R54" s="856"/>
      <c r="S54" s="856"/>
      <c r="T54" s="1658"/>
      <c r="U54" s="856"/>
      <c r="V54" s="856"/>
      <c r="W54" s="856"/>
      <c r="X54" s="856"/>
      <c r="Y54" s="856"/>
      <c r="Z54" s="856"/>
      <c r="AA54" s="856"/>
      <c r="AB54" s="1882"/>
      <c r="AC54" s="1882"/>
      <c r="AE54" s="1882"/>
      <c r="AG54" s="1882"/>
      <c r="AH54" s="1882"/>
      <c r="AI54" s="1882"/>
      <c r="AK54" s="1882"/>
      <c r="AL54" s="1882"/>
      <c r="AM54" s="1882"/>
      <c r="AN54" s="1882"/>
      <c r="AO54" s="1882"/>
      <c r="AP54" s="1882"/>
      <c r="AQ54" s="1629"/>
      <c r="AR54" s="1629"/>
      <c r="AS54" s="1629"/>
      <c r="AT54" s="1629"/>
      <c r="AU54" s="1629"/>
      <c r="AV54" s="1629"/>
      <c r="AW54" s="1629"/>
      <c r="AX54" s="1629"/>
      <c r="AY54" s="1629"/>
    </row>
    <row r="55" spans="1:51" ht="16">
      <c r="A55" s="1882"/>
      <c r="B55" s="337"/>
      <c r="C55" s="955"/>
      <c r="D55" s="955"/>
      <c r="E55" s="856"/>
      <c r="F55" s="856"/>
      <c r="G55" s="856"/>
      <c r="H55" s="856"/>
      <c r="I55" s="856"/>
      <c r="J55" s="856"/>
      <c r="K55" s="856"/>
      <c r="L55" s="856"/>
      <c r="M55" s="856"/>
      <c r="N55" s="856"/>
      <c r="O55" s="856"/>
      <c r="P55" s="856"/>
      <c r="Q55" s="856"/>
      <c r="R55" s="856"/>
      <c r="S55" s="856"/>
      <c r="T55" s="1658"/>
      <c r="U55" s="856"/>
      <c r="V55" s="856"/>
      <c r="W55" s="856"/>
      <c r="X55" s="856"/>
      <c r="Y55" s="856"/>
      <c r="Z55" s="856"/>
      <c r="AA55" s="856"/>
      <c r="AB55" s="1882"/>
      <c r="AC55" s="1882"/>
      <c r="AE55" s="1882"/>
      <c r="AG55" s="1882"/>
      <c r="AH55" s="1882"/>
      <c r="AI55" s="1882"/>
      <c r="AK55" s="1882"/>
      <c r="AL55" s="1882"/>
      <c r="AM55" s="1882"/>
      <c r="AN55" s="1882"/>
      <c r="AO55" s="1882"/>
      <c r="AP55" s="1882"/>
      <c r="AQ55" s="1882"/>
      <c r="AR55" s="1882"/>
      <c r="AS55" s="1882"/>
      <c r="AT55" s="1882"/>
      <c r="AU55" s="1882"/>
      <c r="AV55" s="1882"/>
      <c r="AW55" s="1882"/>
      <c r="AX55" s="1882"/>
      <c r="AY55" s="1882"/>
    </row>
    <row r="56" spans="1:51" ht="16">
      <c r="A56" s="1882"/>
      <c r="B56" s="956"/>
      <c r="C56" s="957" t="s">
        <v>188</v>
      </c>
      <c r="D56" s="957"/>
      <c r="E56" s="856"/>
      <c r="F56" s="856"/>
      <c r="G56" s="856"/>
      <c r="H56" s="856"/>
      <c r="I56" s="856"/>
      <c r="J56" s="856"/>
      <c r="K56" s="856"/>
      <c r="L56" s="856"/>
      <c r="M56" s="856"/>
      <c r="N56" s="856"/>
      <c r="O56" s="856"/>
      <c r="P56" s="856"/>
      <c r="Q56" s="856"/>
      <c r="R56" s="856"/>
      <c r="S56" s="856"/>
      <c r="T56" s="1658"/>
      <c r="U56" s="856"/>
      <c r="V56" s="856"/>
      <c r="W56" s="856"/>
      <c r="X56" s="856"/>
      <c r="Y56" s="856"/>
      <c r="Z56" s="856"/>
      <c r="AA56" s="856"/>
      <c r="AB56" s="1882"/>
      <c r="AC56" s="1882"/>
      <c r="AE56" s="1882"/>
      <c r="AG56" s="1882"/>
      <c r="AH56" s="1882"/>
      <c r="AI56" s="1882"/>
      <c r="AK56" s="1882"/>
      <c r="AL56" s="1882"/>
      <c r="AM56" s="1882"/>
      <c r="AN56" s="1882"/>
      <c r="AO56" s="1882"/>
      <c r="AP56" s="1882"/>
      <c r="AQ56" s="1882"/>
      <c r="AR56" s="1882"/>
      <c r="AS56" s="1882"/>
      <c r="AT56" s="1882"/>
      <c r="AU56" s="1882"/>
      <c r="AV56" s="1882"/>
      <c r="AW56" s="1882"/>
      <c r="AX56" s="1882"/>
      <c r="AY56" s="1882"/>
    </row>
    <row r="57" spans="1:51" ht="16">
      <c r="A57" s="1882"/>
      <c r="B57" s="337"/>
      <c r="C57" s="955"/>
      <c r="D57" s="955"/>
      <c r="E57" s="856"/>
      <c r="F57" s="856"/>
      <c r="G57" s="856"/>
      <c r="H57" s="856"/>
      <c r="I57" s="856"/>
      <c r="J57" s="856"/>
      <c r="K57" s="856"/>
      <c r="L57" s="856"/>
      <c r="M57" s="856"/>
      <c r="N57" s="856"/>
      <c r="O57" s="856"/>
      <c r="P57" s="856"/>
      <c r="Q57" s="856"/>
      <c r="R57" s="856"/>
      <c r="S57" s="856"/>
      <c r="T57" s="1658"/>
      <c r="U57" s="856"/>
      <c r="V57" s="856"/>
      <c r="W57" s="856"/>
      <c r="X57" s="856"/>
      <c r="Y57" s="856"/>
      <c r="Z57" s="856"/>
      <c r="AA57" s="856"/>
      <c r="AB57" s="1882"/>
      <c r="AC57" s="1882"/>
      <c r="AE57" s="1882"/>
      <c r="AG57" s="1882"/>
      <c r="AH57" s="1882"/>
      <c r="AI57" s="1882"/>
      <c r="AK57" s="1882"/>
      <c r="AL57" s="1882"/>
      <c r="AM57" s="1882"/>
      <c r="AN57" s="1882"/>
      <c r="AO57" s="1882"/>
      <c r="AP57" s="1882"/>
      <c r="AQ57" s="1882"/>
      <c r="AR57" s="1882"/>
      <c r="AS57" s="1882"/>
      <c r="AT57" s="1882"/>
      <c r="AU57" s="1882"/>
      <c r="AV57" s="1882"/>
      <c r="AW57" s="1882"/>
      <c r="AX57" s="1882"/>
      <c r="AY57" s="1882"/>
    </row>
    <row r="58" spans="1:51" ht="16">
      <c r="A58" s="1882"/>
      <c r="B58" s="958"/>
      <c r="C58" s="957" t="s">
        <v>4346</v>
      </c>
      <c r="D58" s="957"/>
      <c r="E58" s="856"/>
      <c r="F58" s="856"/>
      <c r="G58" s="856"/>
      <c r="H58" s="856"/>
      <c r="I58" s="856"/>
      <c r="J58" s="856"/>
      <c r="K58" s="856"/>
      <c r="L58" s="856"/>
      <c r="M58" s="856"/>
      <c r="N58" s="856"/>
      <c r="O58" s="856"/>
      <c r="P58" s="856"/>
      <c r="Q58" s="856"/>
      <c r="R58" s="856"/>
      <c r="S58" s="856"/>
      <c r="T58" s="1658"/>
      <c r="U58" s="856"/>
      <c r="V58" s="856"/>
      <c r="W58" s="856"/>
      <c r="X58" s="856"/>
      <c r="Y58" s="856"/>
      <c r="Z58" s="856"/>
      <c r="AA58" s="856"/>
      <c r="AB58" s="1882"/>
      <c r="AC58" s="1882"/>
      <c r="AE58" s="1882"/>
      <c r="AG58" s="1882"/>
      <c r="AH58" s="1882"/>
      <c r="AI58" s="1882"/>
      <c r="AK58" s="1882"/>
      <c r="AL58" s="1882"/>
      <c r="AM58" s="1882"/>
      <c r="AN58" s="1882"/>
      <c r="AO58" s="1882"/>
      <c r="AP58" s="1882"/>
      <c r="AQ58" s="1882"/>
      <c r="AR58" s="1882"/>
      <c r="AS58" s="1882"/>
      <c r="AT58" s="1882"/>
      <c r="AU58" s="1882"/>
      <c r="AV58" s="1882"/>
      <c r="AW58" s="1882"/>
      <c r="AX58" s="1882"/>
      <c r="AY58" s="1882"/>
    </row>
    <row r="59" spans="1:51" ht="16">
      <c r="A59" s="1882"/>
      <c r="B59" s="959"/>
      <c r="C59" s="960"/>
      <c r="D59" s="960"/>
      <c r="E59" s="856"/>
      <c r="F59" s="856"/>
      <c r="G59" s="856"/>
      <c r="H59" s="856"/>
      <c r="I59" s="856"/>
      <c r="J59" s="856"/>
      <c r="K59" s="856"/>
      <c r="L59" s="856"/>
      <c r="M59" s="856"/>
      <c r="N59" s="856"/>
      <c r="O59" s="856"/>
      <c r="P59" s="856"/>
      <c r="Q59" s="856"/>
      <c r="R59" s="856"/>
      <c r="S59" s="856"/>
      <c r="T59" s="1658"/>
      <c r="U59" s="856"/>
      <c r="V59" s="856"/>
      <c r="W59" s="856"/>
      <c r="X59" s="856"/>
      <c r="Y59" s="856"/>
      <c r="Z59" s="856"/>
      <c r="AA59" s="856"/>
      <c r="AB59" s="1882"/>
      <c r="AC59" s="1882"/>
      <c r="AE59" s="1882"/>
      <c r="AG59" s="1882"/>
      <c r="AH59" s="1882"/>
      <c r="AI59" s="1882"/>
      <c r="AK59" s="1882"/>
      <c r="AL59" s="1882"/>
      <c r="AM59" s="1882"/>
      <c r="AN59" s="1882"/>
      <c r="AO59" s="1882"/>
      <c r="AP59" s="1882"/>
      <c r="AQ59" s="1882"/>
      <c r="AR59" s="1882"/>
      <c r="AS59" s="1882"/>
      <c r="AT59" s="1882"/>
      <c r="AU59" s="1882"/>
      <c r="AV59" s="1882"/>
      <c r="AW59" s="1882"/>
      <c r="AX59" s="1882"/>
      <c r="AY59" s="1882"/>
    </row>
    <row r="60" spans="1:51" ht="16.5" thickBot="1">
      <c r="A60" s="1882"/>
      <c r="B60" s="959"/>
      <c r="C60" s="960"/>
      <c r="D60" s="960"/>
      <c r="E60" s="856"/>
      <c r="F60" s="856"/>
      <c r="G60" s="856"/>
      <c r="H60" s="856"/>
      <c r="I60" s="856"/>
      <c r="J60" s="856"/>
      <c r="K60" s="856"/>
      <c r="L60" s="856"/>
      <c r="M60" s="856"/>
      <c r="N60" s="856"/>
      <c r="O60" s="856"/>
      <c r="P60" s="856"/>
      <c r="Q60" s="856"/>
      <c r="R60" s="856"/>
      <c r="S60" s="856"/>
      <c r="T60" s="1658"/>
      <c r="U60" s="856"/>
      <c r="V60" s="856"/>
      <c r="W60" s="856"/>
      <c r="X60" s="856"/>
      <c r="Y60" s="856"/>
      <c r="Z60" s="856"/>
      <c r="AA60" s="856"/>
      <c r="AB60" s="1882"/>
      <c r="AC60" s="1882"/>
      <c r="AE60" s="1882"/>
      <c r="AG60" s="1882"/>
      <c r="AH60" s="1882"/>
      <c r="AI60" s="1882"/>
      <c r="AK60" s="1882"/>
      <c r="AL60" s="1882"/>
      <c r="AM60" s="1882"/>
      <c r="AN60" s="1882"/>
      <c r="AO60" s="1882"/>
      <c r="AP60" s="1882"/>
      <c r="AQ60" s="1882"/>
      <c r="AR60" s="1882"/>
      <c r="AS60" s="1882"/>
      <c r="AT60" s="1882"/>
      <c r="AU60" s="1882"/>
      <c r="AV60" s="1882"/>
      <c r="AW60" s="1882"/>
      <c r="AX60" s="1882"/>
      <c r="AY60" s="1882"/>
    </row>
    <row r="61" spans="1:51" ht="16.5" thickBot="1">
      <c r="A61" s="1882"/>
      <c r="B61" s="2886" t="str">
        <f>'4J'!B61</f>
        <v>Please refer to RAG 4.08 - Guideline for the table definitions in the annual performance report for the reporting year 2019-20</v>
      </c>
      <c r="C61" s="2873"/>
      <c r="D61" s="2873"/>
      <c r="E61" s="2873"/>
      <c r="F61" s="2873"/>
      <c r="G61" s="2873"/>
      <c r="H61" s="2873"/>
      <c r="I61" s="2873"/>
      <c r="J61" s="2873"/>
      <c r="K61" s="2873"/>
      <c r="L61" s="2873"/>
      <c r="M61" s="2873"/>
      <c r="N61" s="2873"/>
      <c r="O61" s="2874"/>
      <c r="P61" s="856"/>
      <c r="Q61" s="856"/>
      <c r="R61" s="856"/>
      <c r="S61" s="856"/>
      <c r="T61" s="1658"/>
      <c r="U61" s="856"/>
      <c r="V61" s="856"/>
      <c r="W61" s="856"/>
      <c r="X61" s="856"/>
      <c r="Y61" s="856"/>
      <c r="Z61" s="856"/>
      <c r="AA61" s="856"/>
      <c r="AB61" s="1882"/>
      <c r="AC61" s="1882"/>
      <c r="AE61" s="1882"/>
      <c r="AG61" s="1882"/>
      <c r="AH61" s="1882"/>
      <c r="AI61" s="1882"/>
      <c r="AK61" s="1882"/>
      <c r="AL61" s="1882"/>
      <c r="AM61" s="1882"/>
      <c r="AN61" s="1882"/>
      <c r="AO61" s="1882"/>
      <c r="AP61" s="1882"/>
      <c r="AQ61" s="1882"/>
      <c r="AR61" s="1882"/>
      <c r="AS61" s="1882"/>
      <c r="AT61" s="1882"/>
      <c r="AU61" s="1882"/>
      <c r="AV61" s="1882"/>
      <c r="AW61" s="1882"/>
      <c r="AX61" s="1882"/>
      <c r="AY61" s="1882"/>
    </row>
    <row r="62" spans="1:51" ht="16">
      <c r="A62" s="1882"/>
      <c r="B62" s="959"/>
      <c r="C62" s="960"/>
      <c r="D62" s="960"/>
      <c r="E62" s="856"/>
      <c r="F62" s="856"/>
      <c r="G62" s="856"/>
      <c r="H62" s="856"/>
      <c r="I62" s="856"/>
      <c r="J62" s="856"/>
      <c r="K62" s="856"/>
      <c r="L62" s="856"/>
      <c r="M62" s="856"/>
      <c r="N62" s="856"/>
      <c r="O62" s="856"/>
      <c r="P62" s="856"/>
      <c r="Q62" s="856"/>
      <c r="R62" s="856"/>
      <c r="S62" s="856"/>
      <c r="T62" s="1658"/>
      <c r="U62" s="856"/>
      <c r="V62" s="856"/>
      <c r="W62" s="856"/>
      <c r="X62" s="856"/>
      <c r="Y62" s="856"/>
      <c r="Z62" s="856"/>
      <c r="AA62" s="856"/>
      <c r="AB62" s="1882"/>
      <c r="AC62" s="1882"/>
      <c r="AE62" s="1882"/>
      <c r="AG62" s="1882"/>
      <c r="AH62" s="1882"/>
      <c r="AI62" s="1882"/>
      <c r="AK62" s="1882"/>
      <c r="AL62" s="1882"/>
      <c r="AM62" s="1882"/>
      <c r="AN62" s="1882"/>
      <c r="AO62" s="1882"/>
      <c r="AP62" s="1882"/>
      <c r="AQ62" s="1882"/>
      <c r="AR62" s="1882"/>
      <c r="AS62" s="1882"/>
      <c r="AT62" s="1882"/>
      <c r="AU62" s="1882"/>
      <c r="AV62" s="1882"/>
      <c r="AW62" s="1882"/>
      <c r="AX62" s="1882"/>
      <c r="AY62" s="1882"/>
    </row>
    <row r="63" spans="1:51" ht="16.5" hidden="1" thickBot="1">
      <c r="A63" s="1571"/>
      <c r="B63" s="3154" t="str">
        <f ca="1" xml:space="preserve"> RIGHT(CELL("filename", $A$1), LEN(CELL("filename", $A$1)) - SEARCH("]", CELL("filename", $A$1)))&amp;" - Line definitions"</f>
        <v>4K - Line definitions</v>
      </c>
      <c r="C63" s="3155"/>
      <c r="D63" s="3155"/>
      <c r="E63" s="3155"/>
      <c r="F63" s="3155"/>
      <c r="G63" s="3155"/>
      <c r="H63" s="3155"/>
      <c r="I63" s="3155"/>
      <c r="J63" s="3155"/>
      <c r="K63" s="3155"/>
      <c r="L63" s="3155"/>
      <c r="M63" s="3155"/>
      <c r="N63" s="3155"/>
      <c r="O63" s="3156"/>
      <c r="P63" s="856"/>
      <c r="Q63" s="856"/>
      <c r="R63" s="856"/>
      <c r="S63" s="856"/>
      <c r="T63" s="1658"/>
      <c r="U63" s="856"/>
      <c r="V63" s="856"/>
      <c r="W63" s="856"/>
      <c r="X63" s="856"/>
      <c r="Y63" s="856"/>
      <c r="Z63" s="856"/>
      <c r="AA63" s="856"/>
      <c r="AB63" s="1882"/>
      <c r="AC63" s="1882"/>
      <c r="AE63" s="1882"/>
      <c r="AG63" s="1882"/>
      <c r="AH63" s="1882"/>
      <c r="AI63" s="1882"/>
      <c r="AK63" s="1882"/>
      <c r="AL63" s="1882"/>
      <c r="AM63" s="1882"/>
      <c r="AN63" s="1882"/>
      <c r="AO63" s="1882"/>
      <c r="AP63" s="1882"/>
      <c r="AQ63" s="1882"/>
      <c r="AR63" s="1882"/>
      <c r="AS63" s="1882"/>
      <c r="AT63" s="1882"/>
      <c r="AU63" s="1882"/>
      <c r="AV63" s="1882"/>
      <c r="AW63" s="1882"/>
      <c r="AX63" s="1882"/>
      <c r="AY63" s="1882"/>
    </row>
    <row r="64" spans="1:51" ht="16.5" hidden="1" thickBot="1">
      <c r="A64" s="1571"/>
      <c r="B64" s="936"/>
      <c r="C64" s="935"/>
      <c r="D64" s="935"/>
      <c r="E64" s="935"/>
      <c r="F64" s="935"/>
      <c r="G64" s="935"/>
      <c r="H64" s="935"/>
      <c r="I64" s="935"/>
      <c r="J64" s="935"/>
      <c r="K64" s="935"/>
      <c r="L64" s="935"/>
      <c r="M64" s="935"/>
      <c r="N64" s="935"/>
      <c r="O64" s="935"/>
      <c r="P64" s="935"/>
      <c r="Q64" s="935"/>
      <c r="R64" s="935"/>
      <c r="S64" s="935"/>
      <c r="T64" s="1658"/>
      <c r="U64" s="935"/>
      <c r="V64" s="935"/>
      <c r="W64" s="935"/>
      <c r="X64" s="935"/>
      <c r="Y64" s="935"/>
      <c r="Z64" s="935"/>
      <c r="AA64" s="935"/>
      <c r="AB64" s="1882"/>
      <c r="AC64" s="1882"/>
      <c r="AE64" s="1882"/>
      <c r="AG64" s="1882"/>
      <c r="AH64" s="1882"/>
      <c r="AI64" s="1882"/>
      <c r="AK64" s="1882"/>
      <c r="AL64" s="1882"/>
      <c r="AM64" s="1882"/>
      <c r="AN64" s="1882"/>
      <c r="AO64" s="1882"/>
      <c r="AP64" s="1882"/>
      <c r="AQ64" s="1882"/>
      <c r="AR64" s="1882"/>
      <c r="AS64" s="1882"/>
      <c r="AT64" s="1882"/>
      <c r="AU64" s="1882"/>
      <c r="AV64" s="1882"/>
      <c r="AW64" s="1882"/>
      <c r="AX64" s="1882"/>
      <c r="AY64" s="1882"/>
    </row>
    <row r="65" spans="1:27" ht="16.5" hidden="1" thickBot="1">
      <c r="A65" s="1571"/>
      <c r="B65" s="1758" t="s">
        <v>191</v>
      </c>
      <c r="C65" s="3157" t="s">
        <v>192</v>
      </c>
      <c r="D65" s="3158"/>
      <c r="E65" s="3158"/>
      <c r="F65" s="3158"/>
      <c r="G65" s="3158"/>
      <c r="H65" s="3158"/>
      <c r="I65" s="3158"/>
      <c r="J65" s="3158"/>
      <c r="K65" s="3158"/>
      <c r="L65" s="3158"/>
      <c r="M65" s="3158"/>
      <c r="N65" s="3158"/>
      <c r="O65" s="3159"/>
      <c r="P65" s="935"/>
      <c r="Q65" s="935"/>
      <c r="R65" s="935"/>
      <c r="S65" s="935"/>
      <c r="T65" s="1658"/>
      <c r="U65" s="935"/>
      <c r="V65" s="935"/>
      <c r="W65" s="935"/>
      <c r="X65" s="935"/>
      <c r="Y65" s="935"/>
      <c r="Z65" s="935"/>
      <c r="AA65" s="935"/>
    </row>
    <row r="66" spans="1:27" ht="14.25" hidden="1" customHeight="1">
      <c r="A66" s="1571"/>
      <c r="B66" s="1759">
        <v>1</v>
      </c>
      <c r="C66" s="3160" t="s">
        <v>3952</v>
      </c>
      <c r="D66" s="3161"/>
      <c r="E66" s="3161"/>
      <c r="F66" s="3161"/>
      <c r="G66" s="3161"/>
      <c r="H66" s="3161"/>
      <c r="I66" s="3161"/>
      <c r="J66" s="3161"/>
      <c r="K66" s="3161"/>
      <c r="L66" s="3161"/>
      <c r="M66" s="3161"/>
      <c r="N66" s="3161"/>
      <c r="O66" s="3162"/>
      <c r="P66" s="935"/>
      <c r="Q66" s="935"/>
      <c r="R66" s="935"/>
      <c r="S66" s="935"/>
      <c r="T66" s="1658"/>
      <c r="U66" s="935"/>
      <c r="V66" s="935"/>
      <c r="W66" s="935"/>
      <c r="X66" s="935"/>
      <c r="Y66" s="935"/>
      <c r="Z66" s="935"/>
      <c r="AA66" s="935"/>
    </row>
    <row r="67" spans="1:27" ht="66" hidden="1" customHeight="1">
      <c r="A67" s="1571"/>
      <c r="B67" s="1760">
        <f>+B66+1</f>
        <v>2</v>
      </c>
      <c r="C67" s="3144" t="s">
        <v>4347</v>
      </c>
      <c r="D67" s="3145"/>
      <c r="E67" s="3145"/>
      <c r="F67" s="3145"/>
      <c r="G67" s="3145"/>
      <c r="H67" s="3145"/>
      <c r="I67" s="3145"/>
      <c r="J67" s="3145"/>
      <c r="K67" s="3145"/>
      <c r="L67" s="3145"/>
      <c r="M67" s="3145"/>
      <c r="N67" s="3145"/>
      <c r="O67" s="3146"/>
      <c r="P67" s="935"/>
      <c r="Q67" s="935"/>
      <c r="R67" s="935"/>
      <c r="S67" s="935"/>
      <c r="T67" s="1658"/>
      <c r="U67" s="935"/>
      <c r="V67" s="935"/>
      <c r="W67" s="935"/>
      <c r="X67" s="935"/>
      <c r="Y67" s="935"/>
      <c r="Z67" s="935"/>
      <c r="AA67" s="935"/>
    </row>
    <row r="68" spans="1:27" ht="14.25" hidden="1" customHeight="1">
      <c r="A68" s="1571"/>
      <c r="B68" s="1760">
        <f t="shared" ref="B68:B89" si="35">+B67+1</f>
        <v>3</v>
      </c>
      <c r="C68" s="3144" t="s">
        <v>3181</v>
      </c>
      <c r="D68" s="3145"/>
      <c r="E68" s="3145"/>
      <c r="F68" s="3145"/>
      <c r="G68" s="3145"/>
      <c r="H68" s="3145"/>
      <c r="I68" s="3145"/>
      <c r="J68" s="3145"/>
      <c r="K68" s="3145"/>
      <c r="L68" s="3145"/>
      <c r="M68" s="3145"/>
      <c r="N68" s="3145"/>
      <c r="O68" s="3146"/>
      <c r="P68" s="935"/>
      <c r="Q68" s="935"/>
      <c r="R68" s="935"/>
      <c r="S68" s="935"/>
      <c r="T68" s="1658"/>
      <c r="U68" s="935"/>
      <c r="V68" s="935"/>
      <c r="W68" s="935"/>
      <c r="X68" s="935"/>
      <c r="Y68" s="935"/>
      <c r="Z68" s="935"/>
      <c r="AA68" s="935"/>
    </row>
    <row r="69" spans="1:27" ht="14.25" hidden="1" customHeight="1">
      <c r="A69" s="1571"/>
      <c r="B69" s="1760">
        <f t="shared" si="35"/>
        <v>4</v>
      </c>
      <c r="C69" s="3144" t="s">
        <v>3182</v>
      </c>
      <c r="D69" s="3145"/>
      <c r="E69" s="3145"/>
      <c r="F69" s="3145"/>
      <c r="G69" s="3145"/>
      <c r="H69" s="3145"/>
      <c r="I69" s="3145"/>
      <c r="J69" s="3145"/>
      <c r="K69" s="3145"/>
      <c r="L69" s="3145"/>
      <c r="M69" s="3145"/>
      <c r="N69" s="3145"/>
      <c r="O69" s="3146"/>
      <c r="P69" s="935"/>
      <c r="Q69" s="935"/>
      <c r="R69" s="935"/>
      <c r="S69" s="935"/>
      <c r="T69" s="1658"/>
      <c r="U69" s="935"/>
      <c r="V69" s="935"/>
      <c r="W69" s="935"/>
      <c r="X69" s="935"/>
      <c r="Y69" s="935"/>
      <c r="Z69" s="935"/>
      <c r="AA69" s="935"/>
    </row>
    <row r="70" spans="1:27" ht="27" hidden="1" customHeight="1">
      <c r="A70" s="1571"/>
      <c r="B70" s="1760">
        <f t="shared" si="35"/>
        <v>5</v>
      </c>
      <c r="C70" s="3144" t="s">
        <v>4348</v>
      </c>
      <c r="D70" s="3145"/>
      <c r="E70" s="3145"/>
      <c r="F70" s="3145"/>
      <c r="G70" s="3145"/>
      <c r="H70" s="3145"/>
      <c r="I70" s="3145"/>
      <c r="J70" s="3145"/>
      <c r="K70" s="3145"/>
      <c r="L70" s="3145"/>
      <c r="M70" s="3145"/>
      <c r="N70" s="3145"/>
      <c r="O70" s="3146"/>
      <c r="P70" s="935"/>
      <c r="Q70" s="935"/>
      <c r="R70" s="935"/>
      <c r="S70" s="935"/>
      <c r="T70" s="1658"/>
      <c r="U70" s="935"/>
      <c r="V70" s="935"/>
      <c r="W70" s="935"/>
      <c r="X70" s="935"/>
      <c r="Y70" s="935"/>
      <c r="Z70" s="935"/>
      <c r="AA70" s="935"/>
    </row>
    <row r="71" spans="1:27" ht="14.25" hidden="1" customHeight="1">
      <c r="A71" s="1571"/>
      <c r="B71" s="1760">
        <f t="shared" si="35"/>
        <v>6</v>
      </c>
      <c r="C71" s="3144" t="s">
        <v>4349</v>
      </c>
      <c r="D71" s="3145"/>
      <c r="E71" s="3145"/>
      <c r="F71" s="3145"/>
      <c r="G71" s="3145"/>
      <c r="H71" s="3145"/>
      <c r="I71" s="3145"/>
      <c r="J71" s="3145"/>
      <c r="K71" s="3145"/>
      <c r="L71" s="3145"/>
      <c r="M71" s="3145"/>
      <c r="N71" s="3145"/>
      <c r="O71" s="3146"/>
      <c r="P71" s="935"/>
      <c r="Q71" s="935"/>
      <c r="R71" s="935"/>
      <c r="S71" s="935"/>
      <c r="T71" s="1658"/>
      <c r="U71" s="935"/>
      <c r="V71" s="935"/>
      <c r="W71" s="935"/>
      <c r="X71" s="935"/>
      <c r="Y71" s="935"/>
      <c r="Z71" s="935"/>
      <c r="AA71" s="935"/>
    </row>
    <row r="72" spans="1:27" ht="14.25" hidden="1" customHeight="1">
      <c r="A72" s="1571"/>
      <c r="B72" s="1760">
        <f t="shared" si="35"/>
        <v>7</v>
      </c>
      <c r="C72" s="3144" t="s">
        <v>4350</v>
      </c>
      <c r="D72" s="3145"/>
      <c r="E72" s="3145"/>
      <c r="F72" s="3145"/>
      <c r="G72" s="3145"/>
      <c r="H72" s="3145"/>
      <c r="I72" s="3145"/>
      <c r="J72" s="3145"/>
      <c r="K72" s="3145"/>
      <c r="L72" s="3145"/>
      <c r="M72" s="3145"/>
      <c r="N72" s="3145"/>
      <c r="O72" s="3146"/>
      <c r="P72" s="935"/>
      <c r="Q72" s="935"/>
      <c r="R72" s="935"/>
      <c r="S72" s="935"/>
      <c r="T72" s="1658"/>
      <c r="U72" s="935"/>
      <c r="V72" s="935"/>
      <c r="W72" s="935"/>
      <c r="X72" s="935"/>
      <c r="Y72" s="935"/>
      <c r="Z72" s="935"/>
      <c r="AA72" s="935"/>
    </row>
    <row r="73" spans="1:27" ht="14.25" hidden="1" customHeight="1">
      <c r="A73" s="1571"/>
      <c r="B73" s="1760">
        <f t="shared" si="35"/>
        <v>8</v>
      </c>
      <c r="C73" s="3144" t="s">
        <v>1240</v>
      </c>
      <c r="D73" s="3145"/>
      <c r="E73" s="3145"/>
      <c r="F73" s="3145"/>
      <c r="G73" s="3145"/>
      <c r="H73" s="3145"/>
      <c r="I73" s="3145"/>
      <c r="J73" s="3145"/>
      <c r="K73" s="3145"/>
      <c r="L73" s="3145"/>
      <c r="M73" s="3145"/>
      <c r="N73" s="3145"/>
      <c r="O73" s="3146"/>
      <c r="P73" s="935"/>
      <c r="Q73" s="935"/>
      <c r="R73" s="935"/>
      <c r="S73" s="935"/>
      <c r="T73" s="1658"/>
      <c r="U73" s="935"/>
      <c r="V73" s="935"/>
      <c r="W73" s="935"/>
      <c r="X73" s="935"/>
      <c r="Y73" s="935"/>
      <c r="Z73" s="935"/>
      <c r="AA73" s="935"/>
    </row>
    <row r="74" spans="1:27" ht="14.25" hidden="1" customHeight="1">
      <c r="A74" s="1571"/>
      <c r="B74" s="1760">
        <f t="shared" si="35"/>
        <v>9</v>
      </c>
      <c r="C74" s="3144" t="s">
        <v>4351</v>
      </c>
      <c r="D74" s="3145"/>
      <c r="E74" s="3145"/>
      <c r="F74" s="3145"/>
      <c r="G74" s="3145"/>
      <c r="H74" s="3145"/>
      <c r="I74" s="3145"/>
      <c r="J74" s="3145"/>
      <c r="K74" s="3145"/>
      <c r="L74" s="3145"/>
      <c r="M74" s="3145"/>
      <c r="N74" s="3145"/>
      <c r="O74" s="3146"/>
      <c r="P74" s="935"/>
      <c r="Q74" s="935"/>
      <c r="R74" s="935"/>
      <c r="S74" s="935"/>
      <c r="T74" s="1658"/>
      <c r="U74" s="935"/>
      <c r="V74" s="935"/>
      <c r="W74" s="935"/>
      <c r="X74" s="935"/>
      <c r="Y74" s="935"/>
      <c r="Z74" s="935"/>
      <c r="AA74" s="935"/>
    </row>
    <row r="75" spans="1:27" ht="14.25" hidden="1" customHeight="1">
      <c r="A75" s="1571"/>
      <c r="B75" s="1761">
        <f t="shared" si="35"/>
        <v>10</v>
      </c>
      <c r="C75" s="3144" t="s">
        <v>4352</v>
      </c>
      <c r="D75" s="3145"/>
      <c r="E75" s="3145"/>
      <c r="F75" s="3145"/>
      <c r="G75" s="3145"/>
      <c r="H75" s="3145"/>
      <c r="I75" s="3145"/>
      <c r="J75" s="3145"/>
      <c r="K75" s="3145"/>
      <c r="L75" s="3145"/>
      <c r="M75" s="3145"/>
      <c r="N75" s="3145"/>
      <c r="O75" s="3146"/>
      <c r="P75" s="935"/>
      <c r="Q75" s="935"/>
      <c r="R75" s="935"/>
      <c r="S75" s="935"/>
      <c r="T75" s="1658"/>
      <c r="U75" s="935"/>
      <c r="V75" s="935"/>
      <c r="W75" s="935"/>
      <c r="X75" s="935"/>
      <c r="Y75" s="935"/>
      <c r="Z75" s="935"/>
      <c r="AA75" s="935"/>
    </row>
    <row r="76" spans="1:27" ht="14.25" hidden="1" customHeight="1">
      <c r="A76" s="1571"/>
      <c r="B76" s="1761">
        <f t="shared" si="35"/>
        <v>11</v>
      </c>
      <c r="C76" s="3144" t="s">
        <v>4353</v>
      </c>
      <c r="D76" s="3145"/>
      <c r="E76" s="3145"/>
      <c r="F76" s="3145"/>
      <c r="G76" s="3145"/>
      <c r="H76" s="3145"/>
      <c r="I76" s="3145"/>
      <c r="J76" s="3145"/>
      <c r="K76" s="3145"/>
      <c r="L76" s="3145"/>
      <c r="M76" s="3145"/>
      <c r="N76" s="3145"/>
      <c r="O76" s="3146"/>
      <c r="P76" s="935"/>
      <c r="Q76" s="935"/>
      <c r="R76" s="935"/>
      <c r="S76" s="935"/>
      <c r="T76" s="1658"/>
      <c r="U76" s="935"/>
      <c r="V76" s="935"/>
      <c r="W76" s="935"/>
      <c r="X76" s="935"/>
      <c r="Y76" s="935"/>
      <c r="Z76" s="935"/>
      <c r="AA76" s="935"/>
    </row>
    <row r="77" spans="1:27" ht="26.65" hidden="1" customHeight="1">
      <c r="A77" s="1571"/>
      <c r="B77" s="1761">
        <f t="shared" si="35"/>
        <v>12</v>
      </c>
      <c r="C77" s="3144" t="s">
        <v>3960</v>
      </c>
      <c r="D77" s="3145"/>
      <c r="E77" s="3145"/>
      <c r="F77" s="3145"/>
      <c r="G77" s="3145"/>
      <c r="H77" s="3145"/>
      <c r="I77" s="3145"/>
      <c r="J77" s="3145"/>
      <c r="K77" s="3145"/>
      <c r="L77" s="3145"/>
      <c r="M77" s="3145"/>
      <c r="N77" s="3145"/>
      <c r="O77" s="3146"/>
      <c r="P77" s="935"/>
      <c r="Q77" s="935"/>
      <c r="R77" s="935"/>
      <c r="S77" s="935"/>
      <c r="T77" s="1658"/>
      <c r="U77" s="935"/>
      <c r="V77" s="935"/>
      <c r="W77" s="935"/>
      <c r="X77" s="935"/>
      <c r="Y77" s="935"/>
      <c r="Z77" s="935"/>
      <c r="AA77" s="935"/>
    </row>
    <row r="78" spans="1:27" ht="30" hidden="1" customHeight="1">
      <c r="A78" s="1571"/>
      <c r="B78" s="1761">
        <f t="shared" si="35"/>
        <v>13</v>
      </c>
      <c r="C78" s="3144" t="s">
        <v>3961</v>
      </c>
      <c r="D78" s="3145"/>
      <c r="E78" s="3145"/>
      <c r="F78" s="3145"/>
      <c r="G78" s="3145"/>
      <c r="H78" s="3145"/>
      <c r="I78" s="3145"/>
      <c r="J78" s="3145"/>
      <c r="K78" s="3145"/>
      <c r="L78" s="3145"/>
      <c r="M78" s="3145"/>
      <c r="N78" s="3145"/>
      <c r="O78" s="3146"/>
      <c r="P78" s="935"/>
      <c r="Q78" s="935"/>
      <c r="R78" s="935"/>
      <c r="S78" s="935"/>
      <c r="T78" s="1658"/>
      <c r="U78" s="935"/>
      <c r="V78" s="935"/>
      <c r="W78" s="935"/>
      <c r="X78" s="935"/>
      <c r="Y78" s="935"/>
      <c r="Z78" s="935"/>
      <c r="AA78" s="935"/>
    </row>
    <row r="79" spans="1:27" ht="14.25" hidden="1" customHeight="1">
      <c r="A79" s="1571"/>
      <c r="B79" s="1761">
        <f t="shared" si="35"/>
        <v>14</v>
      </c>
      <c r="C79" s="3144" t="s">
        <v>4354</v>
      </c>
      <c r="D79" s="3145"/>
      <c r="E79" s="3145"/>
      <c r="F79" s="3145"/>
      <c r="G79" s="3145"/>
      <c r="H79" s="3145"/>
      <c r="I79" s="3145"/>
      <c r="J79" s="3145"/>
      <c r="K79" s="3145"/>
      <c r="L79" s="3145"/>
      <c r="M79" s="3145"/>
      <c r="N79" s="3145"/>
      <c r="O79" s="3146"/>
      <c r="P79" s="935"/>
      <c r="Q79" s="935"/>
      <c r="R79" s="935"/>
      <c r="S79" s="935"/>
      <c r="T79" s="1658"/>
      <c r="U79" s="935"/>
      <c r="V79" s="935"/>
      <c r="W79" s="935"/>
      <c r="X79" s="935"/>
      <c r="Y79" s="935"/>
      <c r="Z79" s="935"/>
      <c r="AA79" s="935"/>
    </row>
    <row r="80" spans="1:27" ht="14.25" hidden="1" customHeight="1">
      <c r="A80" s="1571"/>
      <c r="B80" s="1761">
        <f t="shared" si="35"/>
        <v>15</v>
      </c>
      <c r="C80" s="3144" t="s">
        <v>4355</v>
      </c>
      <c r="D80" s="3145"/>
      <c r="E80" s="3145"/>
      <c r="F80" s="3145"/>
      <c r="G80" s="3145"/>
      <c r="H80" s="3145"/>
      <c r="I80" s="3145"/>
      <c r="J80" s="3145"/>
      <c r="K80" s="3145"/>
      <c r="L80" s="3145"/>
      <c r="M80" s="3145"/>
      <c r="N80" s="3145"/>
      <c r="O80" s="3146"/>
      <c r="P80" s="935"/>
      <c r="Q80" s="935"/>
      <c r="R80" s="935"/>
      <c r="S80" s="935"/>
      <c r="T80" s="1658"/>
      <c r="U80" s="935"/>
      <c r="V80" s="935"/>
      <c r="W80" s="935"/>
      <c r="X80" s="935"/>
      <c r="Y80" s="935"/>
      <c r="Z80" s="935"/>
      <c r="AA80" s="935"/>
    </row>
    <row r="81" spans="1:27" ht="44.65" hidden="1" customHeight="1">
      <c r="A81" s="1571"/>
      <c r="B81" s="1761">
        <f t="shared" si="35"/>
        <v>16</v>
      </c>
      <c r="C81" s="3144" t="s">
        <v>3964</v>
      </c>
      <c r="D81" s="3145"/>
      <c r="E81" s="3145"/>
      <c r="F81" s="3145"/>
      <c r="G81" s="3145"/>
      <c r="H81" s="3145"/>
      <c r="I81" s="3145"/>
      <c r="J81" s="3145"/>
      <c r="K81" s="3145"/>
      <c r="L81" s="3145"/>
      <c r="M81" s="3145"/>
      <c r="N81" s="3145"/>
      <c r="O81" s="3146"/>
      <c r="P81" s="935"/>
      <c r="Q81" s="935"/>
      <c r="R81" s="935"/>
      <c r="S81" s="935"/>
      <c r="T81" s="1658"/>
      <c r="U81" s="935"/>
      <c r="V81" s="935"/>
      <c r="W81" s="935"/>
      <c r="X81" s="935"/>
      <c r="Y81" s="935"/>
      <c r="Z81" s="935"/>
      <c r="AA81" s="935"/>
    </row>
    <row r="82" spans="1:27" ht="14.25" hidden="1" customHeight="1">
      <c r="A82" s="1571"/>
      <c r="B82" s="1761">
        <f t="shared" si="35"/>
        <v>17</v>
      </c>
      <c r="C82" s="3144" t="s">
        <v>4356</v>
      </c>
      <c r="D82" s="3145"/>
      <c r="E82" s="3145"/>
      <c r="F82" s="3145"/>
      <c r="G82" s="3145"/>
      <c r="H82" s="3145"/>
      <c r="I82" s="3145"/>
      <c r="J82" s="3145"/>
      <c r="K82" s="3145"/>
      <c r="L82" s="3145"/>
      <c r="M82" s="3145"/>
      <c r="N82" s="3145"/>
      <c r="O82" s="3146"/>
      <c r="P82" s="935"/>
      <c r="Q82" s="935"/>
      <c r="R82" s="935"/>
      <c r="S82" s="935"/>
      <c r="T82" s="1658"/>
      <c r="U82" s="935"/>
      <c r="V82" s="935"/>
      <c r="W82" s="935"/>
      <c r="X82" s="935"/>
      <c r="Y82" s="935"/>
      <c r="Z82" s="935"/>
      <c r="AA82" s="935"/>
    </row>
    <row r="83" spans="1:27" ht="14.25" hidden="1" customHeight="1">
      <c r="A83" s="1571"/>
      <c r="B83" s="1761">
        <f t="shared" si="35"/>
        <v>18</v>
      </c>
      <c r="C83" s="3144" t="s">
        <v>4357</v>
      </c>
      <c r="D83" s="3145"/>
      <c r="E83" s="3145"/>
      <c r="F83" s="3145"/>
      <c r="G83" s="3145"/>
      <c r="H83" s="3145"/>
      <c r="I83" s="3145"/>
      <c r="J83" s="3145"/>
      <c r="K83" s="3145"/>
      <c r="L83" s="3145"/>
      <c r="M83" s="3145"/>
      <c r="N83" s="3145"/>
      <c r="O83" s="3146"/>
      <c r="P83" s="935"/>
      <c r="Q83" s="935"/>
      <c r="R83" s="935"/>
      <c r="S83" s="935"/>
      <c r="T83" s="1658"/>
      <c r="U83" s="935"/>
      <c r="V83" s="935"/>
      <c r="W83" s="935"/>
      <c r="X83" s="935"/>
      <c r="Y83" s="935"/>
      <c r="Z83" s="935"/>
      <c r="AA83" s="935"/>
    </row>
    <row r="84" spans="1:27" ht="14.25" hidden="1" customHeight="1">
      <c r="A84" s="1571"/>
      <c r="B84" s="1761">
        <f t="shared" si="35"/>
        <v>19</v>
      </c>
      <c r="C84" s="3144" t="s">
        <v>4358</v>
      </c>
      <c r="D84" s="3145"/>
      <c r="E84" s="3145"/>
      <c r="F84" s="3145"/>
      <c r="G84" s="3145"/>
      <c r="H84" s="3145"/>
      <c r="I84" s="3145"/>
      <c r="J84" s="3145"/>
      <c r="K84" s="3145"/>
      <c r="L84" s="3145"/>
      <c r="M84" s="3145"/>
      <c r="N84" s="3145"/>
      <c r="O84" s="3146"/>
      <c r="P84" s="935"/>
      <c r="Q84" s="935"/>
      <c r="R84" s="935"/>
      <c r="S84" s="935"/>
      <c r="T84" s="1658"/>
      <c r="U84" s="935"/>
      <c r="V84" s="935"/>
      <c r="W84" s="935"/>
      <c r="X84" s="935"/>
      <c r="Y84" s="935"/>
      <c r="Z84" s="935"/>
      <c r="AA84" s="935"/>
    </row>
    <row r="85" spans="1:27" ht="14.25" hidden="1" customHeight="1">
      <c r="A85" s="1571"/>
      <c r="B85" s="1761">
        <f t="shared" si="35"/>
        <v>20</v>
      </c>
      <c r="C85" s="3144" t="s">
        <v>4359</v>
      </c>
      <c r="D85" s="3145"/>
      <c r="E85" s="3145"/>
      <c r="F85" s="3145"/>
      <c r="G85" s="3145"/>
      <c r="H85" s="3145"/>
      <c r="I85" s="3145"/>
      <c r="J85" s="3145"/>
      <c r="K85" s="3145"/>
      <c r="L85" s="3145"/>
      <c r="M85" s="3145"/>
      <c r="N85" s="3145"/>
      <c r="O85" s="3146"/>
      <c r="P85" s="935"/>
      <c r="Q85" s="935"/>
      <c r="R85" s="935"/>
      <c r="S85" s="935"/>
      <c r="T85" s="1658"/>
      <c r="U85" s="935"/>
      <c r="V85" s="935"/>
      <c r="W85" s="935"/>
      <c r="X85" s="935"/>
      <c r="Y85" s="935"/>
      <c r="Z85" s="935"/>
      <c r="AA85" s="935"/>
    </row>
    <row r="86" spans="1:27" ht="14.25" hidden="1" customHeight="1">
      <c r="A86" s="1571"/>
      <c r="B86" s="1761">
        <f t="shared" si="35"/>
        <v>21</v>
      </c>
      <c r="C86" s="3144" t="s">
        <v>4360</v>
      </c>
      <c r="D86" s="3145"/>
      <c r="E86" s="3145"/>
      <c r="F86" s="3145"/>
      <c r="G86" s="3145"/>
      <c r="H86" s="3145"/>
      <c r="I86" s="3145"/>
      <c r="J86" s="3145"/>
      <c r="K86" s="3145"/>
      <c r="L86" s="3145"/>
      <c r="M86" s="3145"/>
      <c r="N86" s="3145"/>
      <c r="O86" s="3146"/>
      <c r="P86" s="935"/>
      <c r="Q86" s="935"/>
      <c r="R86" s="935"/>
      <c r="S86" s="935"/>
      <c r="T86" s="1658"/>
      <c r="U86" s="935"/>
      <c r="V86" s="935"/>
      <c r="W86" s="935"/>
      <c r="X86" s="935"/>
      <c r="Y86" s="935"/>
      <c r="Z86" s="935"/>
      <c r="AA86" s="935"/>
    </row>
    <row r="87" spans="1:27" ht="14.25" hidden="1" customHeight="1">
      <c r="A87" s="1571"/>
      <c r="B87" s="1761">
        <f t="shared" si="35"/>
        <v>22</v>
      </c>
      <c r="C87" s="3144" t="s">
        <v>1254</v>
      </c>
      <c r="D87" s="3145"/>
      <c r="E87" s="3145"/>
      <c r="F87" s="3145"/>
      <c r="G87" s="3145"/>
      <c r="H87" s="3145"/>
      <c r="I87" s="3145"/>
      <c r="J87" s="3145"/>
      <c r="K87" s="3145"/>
      <c r="L87" s="3145"/>
      <c r="M87" s="3145"/>
      <c r="N87" s="3145"/>
      <c r="O87" s="3146"/>
      <c r="P87" s="935"/>
      <c r="Q87" s="935"/>
      <c r="R87" s="935"/>
      <c r="S87" s="935"/>
      <c r="T87" s="1658"/>
      <c r="U87" s="935"/>
      <c r="V87" s="935"/>
      <c r="W87" s="935"/>
      <c r="X87" s="935"/>
      <c r="Y87" s="935"/>
      <c r="Z87" s="935"/>
      <c r="AA87" s="935"/>
    </row>
    <row r="88" spans="1:27" ht="14.25" hidden="1" customHeight="1">
      <c r="A88" s="1571"/>
      <c r="B88" s="1761">
        <f t="shared" si="35"/>
        <v>23</v>
      </c>
      <c r="C88" s="3144" t="s">
        <v>2873</v>
      </c>
      <c r="D88" s="3145"/>
      <c r="E88" s="3145"/>
      <c r="F88" s="3145"/>
      <c r="G88" s="3145"/>
      <c r="H88" s="3145"/>
      <c r="I88" s="3145"/>
      <c r="J88" s="3145"/>
      <c r="K88" s="3145"/>
      <c r="L88" s="3145"/>
      <c r="M88" s="3145"/>
      <c r="N88" s="3145"/>
      <c r="O88" s="3146"/>
      <c r="P88" s="935"/>
      <c r="Q88" s="935"/>
      <c r="R88" s="935"/>
      <c r="S88" s="935"/>
      <c r="T88" s="1658"/>
      <c r="U88" s="935"/>
      <c r="V88" s="935"/>
      <c r="W88" s="935"/>
      <c r="X88" s="935"/>
      <c r="Y88" s="935"/>
      <c r="Z88" s="935"/>
      <c r="AA88" s="935"/>
    </row>
    <row r="89" spans="1:27" ht="14.25" hidden="1" customHeight="1">
      <c r="A89" s="1571"/>
      <c r="B89" s="1762">
        <f t="shared" si="35"/>
        <v>24</v>
      </c>
      <c r="C89" s="3144" t="s">
        <v>4361</v>
      </c>
      <c r="D89" s="3145"/>
      <c r="E89" s="3145"/>
      <c r="F89" s="3145"/>
      <c r="G89" s="3145"/>
      <c r="H89" s="3145"/>
      <c r="I89" s="3145"/>
      <c r="J89" s="3145"/>
      <c r="K89" s="3145"/>
      <c r="L89" s="3145"/>
      <c r="M89" s="3145"/>
      <c r="N89" s="3145"/>
      <c r="O89" s="3146"/>
      <c r="P89" s="935"/>
      <c r="Q89" s="935"/>
      <c r="R89" s="935"/>
      <c r="S89" s="935"/>
      <c r="T89" s="1658"/>
      <c r="U89" s="935"/>
      <c r="V89" s="935"/>
      <c r="W89" s="935"/>
      <c r="X89" s="935"/>
      <c r="Y89" s="935"/>
      <c r="Z89" s="935"/>
      <c r="AA89" s="935"/>
    </row>
    <row r="90" spans="1:27" ht="27" hidden="1" customHeight="1">
      <c r="A90" s="1571"/>
      <c r="B90" s="1764" t="s">
        <v>3971</v>
      </c>
      <c r="C90" s="3144" t="s">
        <v>4362</v>
      </c>
      <c r="D90" s="3145"/>
      <c r="E90" s="3145"/>
      <c r="F90" s="3145"/>
      <c r="G90" s="3145"/>
      <c r="H90" s="3145"/>
      <c r="I90" s="3145"/>
      <c r="J90" s="3145"/>
      <c r="K90" s="3145"/>
      <c r="L90" s="3145"/>
      <c r="M90" s="3145"/>
      <c r="N90" s="3145"/>
      <c r="O90" s="3146"/>
      <c r="P90" s="935"/>
      <c r="Q90" s="935"/>
      <c r="R90" s="935"/>
      <c r="S90" s="935"/>
      <c r="T90" s="1658"/>
      <c r="U90" s="935"/>
      <c r="V90" s="935"/>
      <c r="W90" s="935"/>
      <c r="X90" s="935"/>
      <c r="Y90" s="935"/>
      <c r="Z90" s="935"/>
      <c r="AA90" s="935"/>
    </row>
    <row r="91" spans="1:27" ht="14.25" hidden="1" customHeight="1">
      <c r="A91" s="1571"/>
      <c r="B91" s="1762">
        <v>35</v>
      </c>
      <c r="C91" s="3144" t="s">
        <v>4363</v>
      </c>
      <c r="D91" s="3145"/>
      <c r="E91" s="3145"/>
      <c r="F91" s="3145"/>
      <c r="G91" s="3145"/>
      <c r="H91" s="3145"/>
      <c r="I91" s="3145"/>
      <c r="J91" s="3145"/>
      <c r="K91" s="3145"/>
      <c r="L91" s="3145"/>
      <c r="M91" s="3145"/>
      <c r="N91" s="3145"/>
      <c r="O91" s="3146"/>
      <c r="P91" s="935"/>
      <c r="Q91" s="935"/>
      <c r="R91" s="935"/>
      <c r="S91" s="935"/>
      <c r="T91" s="1658"/>
      <c r="U91" s="935"/>
      <c r="V91" s="935"/>
      <c r="W91" s="935"/>
      <c r="X91" s="935"/>
      <c r="Y91" s="935"/>
      <c r="Z91" s="935"/>
      <c r="AA91" s="935"/>
    </row>
    <row r="92" spans="1:27" ht="15" hidden="1" customHeight="1" thickBot="1">
      <c r="A92" s="1571"/>
      <c r="B92" s="1763">
        <v>36</v>
      </c>
      <c r="C92" s="3144" t="s">
        <v>4364</v>
      </c>
      <c r="D92" s="3145"/>
      <c r="E92" s="3145"/>
      <c r="F92" s="3145"/>
      <c r="G92" s="3145"/>
      <c r="H92" s="3145"/>
      <c r="I92" s="3145"/>
      <c r="J92" s="3145"/>
      <c r="K92" s="3145"/>
      <c r="L92" s="3145"/>
      <c r="M92" s="3145"/>
      <c r="N92" s="3145"/>
      <c r="O92" s="3146"/>
      <c r="P92" s="935"/>
      <c r="Q92" s="935"/>
      <c r="R92" s="935"/>
      <c r="S92" s="935"/>
      <c r="T92" s="1658"/>
      <c r="U92" s="935"/>
      <c r="V92" s="935"/>
      <c r="W92" s="935"/>
      <c r="X92" s="935"/>
      <c r="Y92" s="935"/>
      <c r="Z92" s="935"/>
      <c r="AA92" s="935"/>
    </row>
    <row r="93" spans="1:27" ht="16" hidden="1">
      <c r="A93" s="1571"/>
      <c r="B93" s="856"/>
      <c r="C93" s="856"/>
      <c r="D93" s="856"/>
      <c r="E93" s="856"/>
      <c r="F93" s="856"/>
      <c r="G93" s="856"/>
      <c r="H93" s="856"/>
      <c r="I93" s="856"/>
      <c r="J93" s="856"/>
      <c r="K93" s="856"/>
      <c r="L93" s="856"/>
      <c r="M93" s="856"/>
      <c r="N93" s="856"/>
      <c r="O93" s="856"/>
      <c r="P93" s="856"/>
      <c r="Q93" s="856"/>
      <c r="R93" s="856"/>
      <c r="S93" s="856"/>
      <c r="T93" s="1658"/>
      <c r="U93" s="856"/>
      <c r="V93" s="856"/>
      <c r="W93" s="856"/>
      <c r="X93" s="856"/>
      <c r="Y93" s="856"/>
      <c r="Z93" s="856"/>
      <c r="AA93" s="856"/>
    </row>
    <row r="94" spans="1:27" ht="16">
      <c r="A94" s="1882"/>
      <c r="B94" s="961" t="s">
        <v>4365</v>
      </c>
      <c r="C94" s="962"/>
      <c r="D94" s="962"/>
      <c r="E94" s="945"/>
      <c r="F94" s="962"/>
      <c r="G94" s="962"/>
      <c r="H94" s="962"/>
      <c r="I94" s="962"/>
      <c r="J94" s="963"/>
      <c r="K94" s="963"/>
      <c r="L94" s="963"/>
      <c r="M94" s="964"/>
      <c r="N94" s="964"/>
      <c r="O94" s="964"/>
      <c r="P94" s="964"/>
      <c r="Q94" s="964"/>
      <c r="R94" s="964"/>
      <c r="S94" s="964"/>
      <c r="T94" s="1659"/>
      <c r="U94" s="964"/>
      <c r="V94" s="964"/>
      <c r="W94" s="964"/>
      <c r="X94" s="964"/>
      <c r="Y94" s="964"/>
      <c r="Z94" s="964"/>
      <c r="AA94" s="964"/>
    </row>
    <row r="95" spans="1:27" ht="16.5" thickBot="1">
      <c r="A95" s="1882"/>
      <c r="B95" s="856"/>
      <c r="C95" s="856"/>
      <c r="D95" s="856"/>
      <c r="E95" s="856"/>
      <c r="F95" s="856"/>
      <c r="G95" s="856"/>
      <c r="H95" s="856"/>
      <c r="I95" s="856"/>
      <c r="J95" s="856"/>
      <c r="K95" s="856"/>
      <c r="L95" s="856"/>
      <c r="M95" s="856"/>
      <c r="N95" s="856"/>
      <c r="O95" s="856"/>
      <c r="P95" s="856"/>
      <c r="Q95" s="856"/>
      <c r="R95" s="856"/>
      <c r="S95" s="856"/>
      <c r="T95" s="1658"/>
      <c r="U95" s="856"/>
      <c r="V95" s="856"/>
      <c r="W95" s="856"/>
      <c r="X95" s="856"/>
      <c r="Y95" s="856"/>
      <c r="Z95" s="856"/>
      <c r="AA95" s="856"/>
    </row>
    <row r="96" spans="1:27" ht="15" customHeight="1" thickBot="1">
      <c r="A96" s="1882"/>
      <c r="B96" s="3105" t="s">
        <v>4366</v>
      </c>
      <c r="C96" s="3128"/>
      <c r="D96" s="3128"/>
      <c r="E96" s="3128"/>
      <c r="F96" s="3128"/>
      <c r="G96" s="3128"/>
      <c r="H96" s="3128"/>
      <c r="I96" s="3128"/>
      <c r="J96" s="3128"/>
      <c r="K96" s="3128"/>
      <c r="L96" s="3128"/>
      <c r="M96" s="3128"/>
      <c r="N96" s="3128"/>
      <c r="O96" s="3129"/>
      <c r="P96" s="856"/>
      <c r="Q96" s="856"/>
      <c r="R96" s="856"/>
      <c r="S96" s="856"/>
      <c r="T96" s="856"/>
      <c r="U96" s="856"/>
      <c r="V96" s="856"/>
      <c r="W96" s="856"/>
      <c r="X96" s="856"/>
      <c r="Y96" s="856"/>
      <c r="Z96" s="856"/>
      <c r="AA96" s="856"/>
    </row>
    <row r="97"/>
  </sheetData>
  <sheetProtection algorithmName="SHA-512" hashValue="8ESjZqVt0A0ZzNBv7wpu0SDhViLWPY/2AjAWVuyrCEFm/JqcZ5qYNnaC6AmfvD6fwA2Xv8s0r2V2oS+YPS7+Ug==" saltValue="t/3Ls2e38IN3hM0UHFPSOQ==" spinCount="100000" sheet="1" objects="1" scenarios="1"/>
  <mergeCells count="49">
    <mergeCell ref="AN3:AN4"/>
    <mergeCell ref="C84:O84"/>
    <mergeCell ref="C85:O85"/>
    <mergeCell ref="C86:O86"/>
    <mergeCell ref="C87:O87"/>
    <mergeCell ref="C79:O79"/>
    <mergeCell ref="C80:O80"/>
    <mergeCell ref="C81:O81"/>
    <mergeCell ref="C82:O82"/>
    <mergeCell ref="C83:O83"/>
    <mergeCell ref="C74:O74"/>
    <mergeCell ref="C75:O75"/>
    <mergeCell ref="C76:O76"/>
    <mergeCell ref="C77:O77"/>
    <mergeCell ref="C78:O78"/>
    <mergeCell ref="C69:O69"/>
    <mergeCell ref="C70:O70"/>
    <mergeCell ref="C71:O71"/>
    <mergeCell ref="C72:O72"/>
    <mergeCell ref="C73:O73"/>
    <mergeCell ref="B63:O63"/>
    <mergeCell ref="C65:O65"/>
    <mergeCell ref="C66:O66"/>
    <mergeCell ref="C67:O67"/>
    <mergeCell ref="C68:O68"/>
    <mergeCell ref="R3:R4"/>
    <mergeCell ref="B3:C4"/>
    <mergeCell ref="E3:E4"/>
    <mergeCell ref="F3:F4"/>
    <mergeCell ref="G3:I3"/>
    <mergeCell ref="J3:K3"/>
    <mergeCell ref="L3:N3"/>
    <mergeCell ref="O3:O4"/>
    <mergeCell ref="B96:O96"/>
    <mergeCell ref="AT3:AU3"/>
    <mergeCell ref="AV3:AX3"/>
    <mergeCell ref="AY3:AY4"/>
    <mergeCell ref="AL3:AL4"/>
    <mergeCell ref="AM3:AM4"/>
    <mergeCell ref="AO3:AO4"/>
    <mergeCell ref="AP3:AP4"/>
    <mergeCell ref="AQ3:AS3"/>
    <mergeCell ref="C88:O88"/>
    <mergeCell ref="C89:O89"/>
    <mergeCell ref="C90:O90"/>
    <mergeCell ref="C91:O91"/>
    <mergeCell ref="C92:O92"/>
    <mergeCell ref="B54:C54"/>
    <mergeCell ref="P3:P4"/>
  </mergeCells>
  <conditionalFormatting sqref="R22">
    <cfRule type="cellIs" dxfId="200" priority="25" operator="equal">
      <formula>0</formula>
    </cfRule>
  </conditionalFormatting>
  <conditionalFormatting sqref="R23:R26">
    <cfRule type="cellIs" dxfId="199" priority="23" operator="equal">
      <formula>0</formula>
    </cfRule>
  </conditionalFormatting>
  <conditionalFormatting sqref="R18">
    <cfRule type="cellIs" dxfId="198" priority="21" operator="equal">
      <formula>0</formula>
    </cfRule>
  </conditionalFormatting>
  <conditionalFormatting sqref="R12:R15">
    <cfRule type="cellIs" dxfId="197" priority="19" operator="equal">
      <formula>0</formula>
    </cfRule>
  </conditionalFormatting>
  <conditionalFormatting sqref="R7:R10">
    <cfRule type="cellIs" dxfId="196" priority="17" operator="equal">
      <formula>0</formula>
    </cfRule>
  </conditionalFormatting>
  <conditionalFormatting sqref="R28">
    <cfRule type="cellIs" dxfId="195" priority="15" operator="equal">
      <formula>0</formula>
    </cfRule>
  </conditionalFormatting>
  <conditionalFormatting sqref="R30">
    <cfRule type="cellIs" dxfId="194" priority="13" operator="equal">
      <formula>0</formula>
    </cfRule>
  </conditionalFormatting>
  <conditionalFormatting sqref="R34:R35">
    <cfRule type="cellIs" dxfId="193" priority="11" operator="equal">
      <formula>0</formula>
    </cfRule>
  </conditionalFormatting>
  <conditionalFormatting sqref="R39:R49">
    <cfRule type="cellIs" dxfId="192" priority="9" operator="equal">
      <formula>0</formula>
    </cfRule>
  </conditionalFormatting>
  <conditionalFormatting sqref="R52">
    <cfRule type="cellIs" dxfId="191" priority="7" operator="equal">
      <formula>0</formula>
    </cfRule>
  </conditionalFormatting>
  <conditionalFormatting sqref="R39:R49">
    <cfRule type="cellIs" dxfId="190" priority="1" operator="equal">
      <formula>$AI$39</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6" operator="containsText" id="{CE2E59F4-0AC7-495E-9DB6-9889AFEC9A7B}">
            <xm:f>NOT(ISERROR(SEARCH($AI$30,R30)))</xm:f>
            <xm:f>$AI$30</xm:f>
            <x14:dxf>
              <fill>
                <patternFill>
                  <bgColor rgb="FFFF0000"/>
                </patternFill>
              </fill>
            </x14:dxf>
          </x14:cfRule>
          <xm:sqref>R30</xm:sqref>
        </x14:conditionalFormatting>
        <x14:conditionalFormatting xmlns:xm="http://schemas.microsoft.com/office/excel/2006/main">
          <x14:cfRule type="containsText" priority="26" operator="containsText" id="{6EFCEAC1-F16F-4E26-92E9-7F5A2BBCEC9A}">
            <xm:f>NOT(ISERROR(SEARCH('4J'!$T$5,R22)))</xm:f>
            <xm:f>'4J'!$T$5</xm:f>
            <x14:dxf>
              <fill>
                <patternFill>
                  <bgColor rgb="FFFF0000"/>
                </patternFill>
              </fill>
            </x14:dxf>
          </x14:cfRule>
          <xm:sqref>R22</xm:sqref>
        </x14:conditionalFormatting>
        <x14:conditionalFormatting xmlns:xm="http://schemas.microsoft.com/office/excel/2006/main">
          <x14:cfRule type="containsText" priority="24" operator="containsText" id="{345B916A-3525-416F-A29E-E7E40D0D665F}">
            <xm:f>NOT(ISERROR(SEARCH('4J'!$T$5,R23)))</xm:f>
            <xm:f>'4J'!$T$5</xm:f>
            <x14:dxf>
              <fill>
                <patternFill>
                  <bgColor rgb="FFFF0000"/>
                </patternFill>
              </fill>
            </x14:dxf>
          </x14:cfRule>
          <xm:sqref>R23:R26</xm:sqref>
        </x14:conditionalFormatting>
        <x14:conditionalFormatting xmlns:xm="http://schemas.microsoft.com/office/excel/2006/main">
          <x14:cfRule type="containsText" priority="22" operator="containsText" id="{FF74B909-BE02-4426-8A1B-0F16693AC547}">
            <xm:f>NOT(ISERROR(SEARCH('4J'!$T$5,R18)))</xm:f>
            <xm:f>'4J'!$T$5</xm:f>
            <x14:dxf>
              <fill>
                <patternFill>
                  <bgColor rgb="FFFF0000"/>
                </patternFill>
              </fill>
            </x14:dxf>
          </x14:cfRule>
          <xm:sqref>R18</xm:sqref>
        </x14:conditionalFormatting>
        <x14:conditionalFormatting xmlns:xm="http://schemas.microsoft.com/office/excel/2006/main">
          <x14:cfRule type="containsText" priority="20" operator="containsText" id="{11AE56C1-FA23-4328-A4B5-4ECF9F09438C}">
            <xm:f>NOT(ISERROR(SEARCH('4J'!$T$5,R12)))</xm:f>
            <xm:f>'4J'!$T$5</xm:f>
            <x14:dxf>
              <fill>
                <patternFill>
                  <bgColor rgb="FFFF0000"/>
                </patternFill>
              </fill>
            </x14:dxf>
          </x14:cfRule>
          <xm:sqref>R12:R15</xm:sqref>
        </x14:conditionalFormatting>
        <x14:conditionalFormatting xmlns:xm="http://schemas.microsoft.com/office/excel/2006/main">
          <x14:cfRule type="containsText" priority="18" operator="containsText" id="{8E682E05-97E8-4ACE-A08D-462C67EB3202}">
            <xm:f>NOT(ISERROR(SEARCH('4J'!$T$5,R7)))</xm:f>
            <xm:f>'4J'!$T$5</xm:f>
            <x14:dxf>
              <fill>
                <patternFill>
                  <bgColor rgb="FFFF0000"/>
                </patternFill>
              </fill>
            </x14:dxf>
          </x14:cfRule>
          <xm:sqref>R7:R10</xm:sqref>
        </x14:conditionalFormatting>
        <x14:conditionalFormatting xmlns:xm="http://schemas.microsoft.com/office/excel/2006/main">
          <x14:cfRule type="containsText" priority="16" operator="containsText" id="{7FF8C554-3591-4FDA-A9E4-663EBE9D6874}">
            <xm:f>NOT(ISERROR(SEARCH('4J'!$T$5,R28)))</xm:f>
            <xm:f>'4J'!$T$5</xm:f>
            <x14:dxf>
              <fill>
                <patternFill>
                  <bgColor rgb="FFFF0000"/>
                </patternFill>
              </fill>
            </x14:dxf>
          </x14:cfRule>
          <xm:sqref>R28</xm:sqref>
        </x14:conditionalFormatting>
        <x14:conditionalFormatting xmlns:xm="http://schemas.microsoft.com/office/excel/2006/main">
          <x14:cfRule type="containsText" priority="14" operator="containsText" id="{5864F3F6-EC03-4EA0-B959-1399B9226699}">
            <xm:f>NOT(ISERROR(SEARCH('4J'!$T$5,R30)))</xm:f>
            <xm:f>'4J'!$T$5</xm:f>
            <x14:dxf>
              <fill>
                <patternFill>
                  <bgColor rgb="FFFF0000"/>
                </patternFill>
              </fill>
            </x14:dxf>
          </x14:cfRule>
          <xm:sqref>R30</xm:sqref>
        </x14:conditionalFormatting>
        <x14:conditionalFormatting xmlns:xm="http://schemas.microsoft.com/office/excel/2006/main">
          <x14:cfRule type="containsText" priority="12" operator="containsText" id="{42F972B7-65FD-4C2D-B5E0-DE35C269A7D5}">
            <xm:f>NOT(ISERROR(SEARCH('4J'!$T$5,R34)))</xm:f>
            <xm:f>'4J'!$T$5</xm:f>
            <x14:dxf>
              <fill>
                <patternFill>
                  <bgColor rgb="FFFF0000"/>
                </patternFill>
              </fill>
            </x14:dxf>
          </x14:cfRule>
          <xm:sqref>R34:R35</xm:sqref>
        </x14:conditionalFormatting>
        <x14:conditionalFormatting xmlns:xm="http://schemas.microsoft.com/office/excel/2006/main">
          <x14:cfRule type="containsText" priority="10" operator="containsText" id="{370958A4-DEF5-4F2A-8C9F-2C749EDDC8ED}">
            <xm:f>NOT(ISERROR(SEARCH($V$5,R39)))</xm:f>
            <xm:f>$V$5</xm:f>
            <x14:dxf>
              <fill>
                <patternFill>
                  <bgColor rgb="FFFF0000"/>
                </patternFill>
              </fill>
            </x14:dxf>
          </x14:cfRule>
          <xm:sqref>R39:R49</xm:sqref>
        </x14:conditionalFormatting>
        <x14:conditionalFormatting xmlns:xm="http://schemas.microsoft.com/office/excel/2006/main">
          <x14:cfRule type="expression" priority="8" id="{BC30FC7A-B1FB-4274-95FC-EF250B912D3D}">
            <xm:f>Validation!$H$3=1</xm:f>
            <x14:dxf>
              <fill>
                <patternFill>
                  <bgColor theme="2"/>
                </patternFill>
              </fill>
            </x14:dxf>
          </x14:cfRule>
          <xm:sqref>G12:P16 G18:P19 G34:P36 G52:O52 G22:P31 G39:P49 G7:P10</xm:sqref>
        </x14:conditionalFormatting>
        <x14:conditionalFormatting xmlns:xm="http://schemas.microsoft.com/office/excel/2006/main">
          <x14:cfRule type="expression" priority="4" id="{42FFA144-5B93-4D41-9ABD-FF1D26BC852D}">
            <xm:f>Validation!$H$3=1</xm:f>
            <x14:dxf>
              <fill>
                <patternFill>
                  <bgColor theme="2"/>
                </patternFill>
              </fill>
            </x14:dxf>
          </x14:cfRule>
          <xm:sqref>AQ7:AY10 AQ12:AY16 AQ18:AY19 AQ34:AY36 AQ52:AY52 AQ22:AY31 AQ39:AY49</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92D050"/>
    <pageSetUpPr fitToPage="1"/>
  </sheetPr>
  <dimension ref="A1:BP86"/>
  <sheetViews>
    <sheetView zoomScale="80" zoomScaleNormal="80" workbookViewId="0">
      <selection activeCell="B45" sqref="B1:T45"/>
    </sheetView>
  </sheetViews>
  <sheetFormatPr defaultColWidth="0" defaultRowHeight="14" zeroHeight="1"/>
  <cols>
    <col min="1" max="1" width="1.25" style="851" customWidth="1"/>
    <col min="2" max="2" width="5.08203125" style="851" customWidth="1"/>
    <col min="3" max="3" width="84.08203125" style="851" customWidth="1"/>
    <col min="4" max="4" width="7.5" style="851" hidden="1" customWidth="1"/>
    <col min="5" max="6" width="5.58203125" style="851" customWidth="1"/>
    <col min="7" max="7" width="11.08203125" style="851" customWidth="1"/>
    <col min="8" max="20" width="11.5" style="851" customWidth="1"/>
    <col min="21" max="21" width="29.58203125" style="851" customWidth="1"/>
    <col min="22" max="22" width="1.58203125" style="851" customWidth="1"/>
    <col min="23" max="23" width="29.58203125" style="851" customWidth="1"/>
    <col min="24" max="24" width="1.58203125" style="851" customWidth="1"/>
    <col min="25" max="25" width="1.58203125" style="1643" hidden="1" customWidth="1"/>
    <col min="26" max="27" width="3.08203125" style="851" hidden="1" customWidth="1"/>
    <col min="28" max="39" width="3.58203125" style="851" hidden="1" customWidth="1"/>
    <col min="40" max="40" width="1.58203125" style="1643" hidden="1" customWidth="1"/>
    <col min="41" max="41" width="11.58203125" style="851" hidden="1" customWidth="1"/>
    <col min="42" max="42" width="1.58203125" style="1643" hidden="1" customWidth="1"/>
    <col min="43" max="43" width="13.58203125" style="851" hidden="1" customWidth="1"/>
    <col min="44" max="44" width="11.08203125" style="851" hidden="1" customWidth="1"/>
    <col min="45" max="45" width="67.08203125" style="851" hidden="1" customWidth="1"/>
    <col min="46" max="46" width="1.58203125" style="71" hidden="1" customWidth="1"/>
    <col min="47" max="47" width="4.58203125" style="70" customWidth="1"/>
    <col min="48" max="48" width="8.58203125" style="851" hidden="1" customWidth="1"/>
    <col min="49" max="49" width="5.58203125" style="851" customWidth="1"/>
    <col min="50" max="50" width="83" style="851" customWidth="1"/>
    <col min="51" max="51" width="0.25" style="851" customWidth="1"/>
    <col min="52" max="53" width="11.5" style="851" customWidth="1"/>
    <col min="54" max="54" width="12.58203125" style="851" customWidth="1"/>
    <col min="55" max="57" width="13.58203125" style="851" customWidth="1"/>
    <col min="58" max="58" width="12.5" style="851" customWidth="1"/>
    <col min="59" max="59" width="13.58203125" style="851" customWidth="1"/>
    <col min="60" max="60" width="12.08203125" style="851" customWidth="1"/>
    <col min="61" max="61" width="16.08203125" style="851" customWidth="1"/>
    <col min="62" max="62" width="17.58203125" style="851" customWidth="1"/>
    <col min="63" max="63" width="17.08203125" style="851" customWidth="1"/>
    <col min="64" max="64" width="17.58203125" style="851" customWidth="1"/>
    <col min="65" max="65" width="16.08203125" style="851" customWidth="1"/>
    <col min="66" max="66" width="17.5" style="851" customWidth="1"/>
    <col min="67" max="67" width="15.58203125" style="851" customWidth="1"/>
    <col min="68" max="68" width="3.5" style="851" customWidth="1"/>
    <col min="69" max="16384" width="11.08203125" style="851" hidden="1"/>
  </cols>
  <sheetData>
    <row r="1" spans="1:68" ht="20">
      <c r="B1" s="66" t="s">
        <v>4367</v>
      </c>
      <c r="C1" s="66"/>
      <c r="D1" s="66"/>
      <c r="E1" s="66"/>
      <c r="F1" s="66"/>
      <c r="G1" s="66"/>
      <c r="H1" s="66"/>
      <c r="I1" s="66"/>
      <c r="J1" s="66"/>
      <c r="K1" s="66"/>
      <c r="L1" s="66"/>
      <c r="M1" s="66"/>
      <c r="N1" s="66"/>
      <c r="O1" s="66"/>
      <c r="P1" s="66"/>
      <c r="Q1" s="66"/>
      <c r="R1" s="66"/>
      <c r="S1" s="66"/>
      <c r="T1" s="66"/>
      <c r="U1" s="68" t="str">
        <f>Validation!B3</f>
        <v>Bristol Water</v>
      </c>
      <c r="V1" s="66"/>
      <c r="W1" s="69" t="s">
        <v>32</v>
      </c>
      <c r="Y1" s="71"/>
      <c r="Z1" s="192"/>
      <c r="AA1" s="192"/>
      <c r="AB1" s="70"/>
      <c r="AC1" s="70"/>
      <c r="AD1" s="70"/>
      <c r="AE1" s="70"/>
      <c r="AF1" s="70"/>
      <c r="AG1" s="70"/>
      <c r="AH1" s="70"/>
      <c r="AI1" s="70"/>
      <c r="AJ1" s="70"/>
      <c r="AK1" s="70"/>
      <c r="AL1" s="70"/>
      <c r="AM1" s="70"/>
      <c r="AN1" s="71"/>
      <c r="AT1" s="1643"/>
      <c r="AU1" s="851"/>
      <c r="AW1" s="66" t="s">
        <v>4367</v>
      </c>
      <c r="AX1" s="66"/>
      <c r="AY1" s="66"/>
      <c r="AZ1" s="66"/>
      <c r="BA1" s="66"/>
      <c r="BB1" s="66"/>
      <c r="BC1" s="66"/>
      <c r="BD1" s="66"/>
      <c r="BE1" s="66"/>
      <c r="BF1" s="66"/>
      <c r="BG1" s="66"/>
      <c r="BH1" s="66"/>
      <c r="BI1" s="66"/>
      <c r="BJ1" s="66"/>
      <c r="BK1" s="66"/>
      <c r="BL1" s="66"/>
      <c r="BM1" s="66"/>
      <c r="BN1" s="66"/>
      <c r="BO1" s="66"/>
    </row>
    <row r="2" spans="1:68" s="1396" customFormat="1" ht="17" thickBot="1">
      <c r="B2" s="73" t="str">
        <f>'4K'!B2</f>
        <v>For the 12 months ended 31 March 2020</v>
      </c>
      <c r="C2" s="1406"/>
      <c r="D2" s="1406"/>
      <c r="U2" s="1407"/>
      <c r="V2" s="1398"/>
      <c r="W2" s="1398"/>
      <c r="Y2" s="1408"/>
      <c r="Z2" s="1669"/>
      <c r="AA2" s="1669"/>
      <c r="AB2" s="1398"/>
      <c r="AC2" s="1398"/>
      <c r="AD2" s="1398"/>
      <c r="AE2" s="1398"/>
      <c r="AF2" s="1398"/>
      <c r="AG2" s="1398"/>
      <c r="AH2" s="1398"/>
      <c r="AI2" s="1398"/>
      <c r="AJ2" s="1398"/>
      <c r="AK2" s="1398"/>
      <c r="AL2" s="1398"/>
      <c r="AM2" s="1398"/>
      <c r="AN2" s="1408"/>
      <c r="AP2" s="1656"/>
      <c r="AT2" s="1656"/>
      <c r="AW2" s="73" t="str">
        <f>+B2</f>
        <v>For the 12 months ended 31 March 2020</v>
      </c>
      <c r="AX2" s="1406"/>
      <c r="AY2" s="1406"/>
    </row>
    <row r="3" spans="1:68" s="192" customFormat="1" ht="15" customHeight="1" thickBot="1">
      <c r="A3" s="851"/>
      <c r="B3" s="3124" t="s">
        <v>34</v>
      </c>
      <c r="C3" s="3125"/>
      <c r="D3" s="3186" t="s">
        <v>2462</v>
      </c>
      <c r="E3" s="3186" t="s">
        <v>36</v>
      </c>
      <c r="F3" s="3189" t="s">
        <v>37</v>
      </c>
      <c r="G3" s="3192" t="s">
        <v>4368</v>
      </c>
      <c r="H3" s="3193"/>
      <c r="I3" s="3193"/>
      <c r="J3" s="3193"/>
      <c r="K3" s="3193"/>
      <c r="L3" s="3193"/>
      <c r="M3" s="3193"/>
      <c r="N3" s="3192" t="s">
        <v>4369</v>
      </c>
      <c r="O3" s="3193"/>
      <c r="P3" s="3193"/>
      <c r="Q3" s="3193"/>
      <c r="R3" s="3193"/>
      <c r="S3" s="3193"/>
      <c r="T3" s="3194"/>
      <c r="U3" s="2907" t="s">
        <v>3638</v>
      </c>
      <c r="V3" s="70"/>
      <c r="W3" s="2907" t="s">
        <v>41</v>
      </c>
      <c r="Y3" s="71"/>
      <c r="AB3" s="76" t="s">
        <v>45</v>
      </c>
      <c r="AC3" s="682"/>
      <c r="AD3" s="682"/>
      <c r="AE3" s="682"/>
      <c r="AF3" s="682"/>
      <c r="AG3" s="682"/>
      <c r="AH3" s="682"/>
      <c r="AI3" s="682"/>
      <c r="AJ3" s="682"/>
      <c r="AK3" s="682"/>
      <c r="AL3" s="682"/>
      <c r="AM3" s="1882"/>
      <c r="AN3" s="71"/>
      <c r="AO3" s="93" t="s">
        <v>24</v>
      </c>
      <c r="AP3" s="71"/>
      <c r="AQ3" s="76" t="s">
        <v>902</v>
      </c>
      <c r="AR3" s="77"/>
      <c r="AS3" s="77"/>
      <c r="AT3" s="71"/>
      <c r="AW3" s="967" t="s">
        <v>34</v>
      </c>
      <c r="AX3" s="968"/>
      <c r="AY3" s="969" t="s">
        <v>2462</v>
      </c>
      <c r="AZ3" s="969" t="s">
        <v>36</v>
      </c>
      <c r="BA3" s="969" t="s">
        <v>37</v>
      </c>
      <c r="BB3" s="3163" t="s">
        <v>4368</v>
      </c>
      <c r="BC3" s="3164"/>
      <c r="BD3" s="3164"/>
      <c r="BE3" s="3164"/>
      <c r="BF3" s="3164"/>
      <c r="BG3" s="3164"/>
      <c r="BH3" s="3164"/>
      <c r="BI3" s="3163" t="s">
        <v>4369</v>
      </c>
      <c r="BJ3" s="3164"/>
      <c r="BK3" s="3164"/>
      <c r="BL3" s="3164"/>
      <c r="BM3" s="3164"/>
      <c r="BN3" s="3164"/>
      <c r="BO3" s="3165"/>
    </row>
    <row r="4" spans="1:68" s="192" customFormat="1" ht="15" customHeight="1" thickBot="1">
      <c r="A4" s="851"/>
      <c r="B4" s="3184"/>
      <c r="C4" s="3185"/>
      <c r="D4" s="3187"/>
      <c r="E4" s="3187"/>
      <c r="F4" s="3190"/>
      <c r="G4" s="2925" t="s">
        <v>905</v>
      </c>
      <c r="H4" s="2927"/>
      <c r="I4" s="2925" t="s">
        <v>2614</v>
      </c>
      <c r="J4" s="2926"/>
      <c r="K4" s="2926"/>
      <c r="L4" s="2927"/>
      <c r="M4" s="2907" t="s">
        <v>708</v>
      </c>
      <c r="N4" s="2925" t="s">
        <v>905</v>
      </c>
      <c r="O4" s="2927"/>
      <c r="P4" s="2925" t="s">
        <v>2614</v>
      </c>
      <c r="Q4" s="2926"/>
      <c r="R4" s="2926"/>
      <c r="S4" s="2927"/>
      <c r="T4" s="2907" t="s">
        <v>708</v>
      </c>
      <c r="U4" s="2933"/>
      <c r="V4" s="70"/>
      <c r="W4" s="2933"/>
      <c r="Y4" s="71"/>
      <c r="AB4" s="637"/>
      <c r="AC4" s="1882"/>
      <c r="AD4" s="1882"/>
      <c r="AE4" s="1882"/>
      <c r="AF4" s="1882"/>
      <c r="AG4" s="1882"/>
      <c r="AH4" s="1882"/>
      <c r="AI4" s="1882"/>
      <c r="AJ4" s="1882"/>
      <c r="AK4" s="1882"/>
      <c r="AL4" s="1882"/>
      <c r="AM4" s="1882"/>
      <c r="AN4" s="71"/>
      <c r="AP4" s="71"/>
      <c r="AT4" s="71"/>
      <c r="AW4" s="851"/>
      <c r="AX4" s="851"/>
      <c r="AY4" s="851"/>
      <c r="AZ4" s="851"/>
      <c r="BA4" s="851"/>
      <c r="BB4" s="3166" t="s">
        <v>905</v>
      </c>
      <c r="BC4" s="3167"/>
      <c r="BD4" s="3168" t="s">
        <v>2614</v>
      </c>
      <c r="BE4" s="3169"/>
      <c r="BF4" s="3169"/>
      <c r="BG4" s="3169"/>
      <c r="BH4" s="3170" t="s">
        <v>708</v>
      </c>
      <c r="BI4" s="3166" t="s">
        <v>905</v>
      </c>
      <c r="BJ4" s="3167"/>
      <c r="BK4" s="3168" t="s">
        <v>2614</v>
      </c>
      <c r="BL4" s="3169"/>
      <c r="BM4" s="3169"/>
      <c r="BN4" s="3169"/>
      <c r="BO4" s="3170" t="s">
        <v>708</v>
      </c>
    </row>
    <row r="5" spans="1:68" s="192" customFormat="1" ht="27.5" thickBot="1">
      <c r="A5" s="851"/>
      <c r="B5" s="3126"/>
      <c r="C5" s="3127"/>
      <c r="D5" s="3188"/>
      <c r="E5" s="3188"/>
      <c r="F5" s="3191"/>
      <c r="G5" s="1354" t="s">
        <v>2615</v>
      </c>
      <c r="H5" s="372" t="s">
        <v>2616</v>
      </c>
      <c r="I5" s="2832" t="s">
        <v>2617</v>
      </c>
      <c r="J5" s="78" t="s">
        <v>2618</v>
      </c>
      <c r="K5" s="78" t="s">
        <v>2619</v>
      </c>
      <c r="L5" s="2833" t="s">
        <v>2620</v>
      </c>
      <c r="M5" s="2908"/>
      <c r="N5" s="1354" t="s">
        <v>2615</v>
      </c>
      <c r="O5" s="372" t="s">
        <v>2616</v>
      </c>
      <c r="P5" s="2832" t="s">
        <v>2617</v>
      </c>
      <c r="Q5" s="78" t="s">
        <v>2618</v>
      </c>
      <c r="R5" s="78" t="s">
        <v>2619</v>
      </c>
      <c r="S5" s="2833" t="s">
        <v>2620</v>
      </c>
      <c r="T5" s="2908"/>
      <c r="U5" s="2908"/>
      <c r="V5" s="70"/>
      <c r="W5" s="2908"/>
      <c r="Y5" s="71"/>
      <c r="AB5" s="85" t="s">
        <v>46</v>
      </c>
      <c r="AC5" s="85"/>
      <c r="AD5" s="85"/>
      <c r="AE5" s="85"/>
      <c r="AF5" s="85"/>
      <c r="AG5" s="85"/>
      <c r="AH5" s="85"/>
      <c r="AI5" s="85"/>
      <c r="AJ5" s="85"/>
      <c r="AK5" s="85"/>
      <c r="AL5" s="85"/>
      <c r="AM5" s="85"/>
      <c r="AN5" s="71"/>
      <c r="AP5" s="71"/>
      <c r="AT5" s="71"/>
      <c r="AW5" s="851"/>
      <c r="AX5" s="851"/>
      <c r="AY5" s="851"/>
      <c r="AZ5" s="851"/>
      <c r="BA5" s="851"/>
      <c r="BB5" s="186" t="s">
        <v>2615</v>
      </c>
      <c r="BC5" s="187" t="s">
        <v>2616</v>
      </c>
      <c r="BD5" s="1575" t="s">
        <v>2617</v>
      </c>
      <c r="BE5" s="2854" t="s">
        <v>2618</v>
      </c>
      <c r="BF5" s="2854" t="s">
        <v>2619</v>
      </c>
      <c r="BG5" s="853" t="s">
        <v>2620</v>
      </c>
      <c r="BH5" s="3171"/>
      <c r="BI5" s="186" t="s">
        <v>2615</v>
      </c>
      <c r="BJ5" s="187" t="s">
        <v>2616</v>
      </c>
      <c r="BK5" s="1575" t="s">
        <v>2617</v>
      </c>
      <c r="BL5" s="2854" t="s">
        <v>2618</v>
      </c>
      <c r="BM5" s="2854" t="s">
        <v>2619</v>
      </c>
      <c r="BN5" s="853" t="s">
        <v>2620</v>
      </c>
      <c r="BO5" s="3171"/>
    </row>
    <row r="6" spans="1:68" s="192" customFormat="1" ht="14.5" thickBot="1">
      <c r="A6" s="851"/>
      <c r="B6" s="995"/>
      <c r="C6" s="996"/>
      <c r="D6" s="996"/>
      <c r="E6" s="997"/>
      <c r="F6" s="998"/>
      <c r="G6" s="1541" t="e">
        <f>IF('4J'!G12=0,(IF(ROUND(G5,3)=ROUND('4J'!#REF!+'4J'!#REF!+'4J'!#REF!,3),0,1)),0)</f>
        <v>#VALUE!</v>
      </c>
      <c r="H6" s="1541">
        <f>IF('4J'!H12=0,(IF(ROUND(H5,3)=ROUND('4J'!#REF!+'4J'!#REF!+'4J'!#REF!,3),0,1)),0)</f>
        <v>0</v>
      </c>
      <c r="I6" s="1541">
        <f>IF('4J'!I12=0,(IF(ROUND(I5,3)=ROUND('4J'!#REF!+'4J'!#REF!+'4J'!#REF!,3),0,1)),0)</f>
        <v>0</v>
      </c>
      <c r="J6" s="1541" t="e">
        <f>IF('4J'!J12=0,(IF(ROUND(J5,3)=ROUND('4J'!#REF!+'4J'!#REF!+'4J'!#REF!,3),0,1)),0)</f>
        <v>#VALUE!</v>
      </c>
      <c r="K6" s="1541">
        <f>IF('4J'!K12=0,(IF(ROUND(K5,3)=ROUND('4J'!#REF!+'4J'!#REF!+'4J'!#REF!,3),0,1)),0)</f>
        <v>0</v>
      </c>
      <c r="L6" s="1541">
        <f>IF('4J'!L12=0,(IF(ROUND(L5,3)=ROUND('4J'!#REF!+'4J'!#REF!+'4J'!#REF!,3),0,1)),0)</f>
        <v>0</v>
      </c>
      <c r="M6" s="1541">
        <f>IF('4J'!M12=0,(IF(ROUND(M5,3)=ROUND('4J'!#REF!+'4J'!#REF!+'4J'!#REF!,3),0,1)),0)</f>
        <v>0</v>
      </c>
      <c r="N6" s="998"/>
      <c r="O6" s="998"/>
      <c r="P6" s="998"/>
      <c r="Q6" s="998"/>
      <c r="R6" s="998"/>
      <c r="S6" s="998"/>
      <c r="T6" s="998"/>
      <c r="U6" s="998"/>
      <c r="V6" s="998"/>
      <c r="W6" s="998"/>
      <c r="X6" s="999"/>
      <c r="Y6" s="71"/>
      <c r="AB6" s="999"/>
      <c r="AC6" s="999"/>
      <c r="AD6" s="999"/>
      <c r="AE6" s="999"/>
      <c r="AF6" s="999"/>
      <c r="AG6" s="999"/>
      <c r="AH6" s="999"/>
      <c r="AI6" s="999"/>
      <c r="AJ6" s="999"/>
      <c r="AK6" s="999"/>
      <c r="AL6" s="999"/>
      <c r="AM6" s="999"/>
      <c r="AN6" s="71"/>
      <c r="AP6" s="124"/>
      <c r="AQ6" s="112"/>
      <c r="AR6" s="112"/>
      <c r="AS6" s="139"/>
      <c r="AT6" s="71"/>
      <c r="AU6" s="126"/>
    </row>
    <row r="7" spans="1:68" s="192" customFormat="1" ht="14.5" thickBot="1">
      <c r="A7" s="851"/>
      <c r="B7" s="2863" t="s">
        <v>153</v>
      </c>
      <c r="C7" s="970" t="s">
        <v>4370</v>
      </c>
      <c r="D7" s="851"/>
      <c r="E7" s="851"/>
      <c r="F7" s="851"/>
      <c r="G7" s="851"/>
      <c r="H7" s="851"/>
      <c r="I7" s="851"/>
      <c r="J7" s="851"/>
      <c r="K7" s="851"/>
      <c r="L7" s="851"/>
      <c r="M7" s="851"/>
      <c r="N7" s="851"/>
      <c r="O7" s="851"/>
      <c r="P7" s="851"/>
      <c r="Q7" s="851"/>
      <c r="R7" s="851"/>
      <c r="S7" s="851"/>
      <c r="T7" s="851"/>
      <c r="U7" s="851"/>
      <c r="V7" s="70"/>
      <c r="W7" s="70"/>
      <c r="Y7" s="71"/>
      <c r="AB7" s="85"/>
      <c r="AC7" s="85"/>
      <c r="AD7" s="85"/>
      <c r="AE7" s="85"/>
      <c r="AF7" s="85"/>
      <c r="AG7" s="85"/>
      <c r="AH7" s="85"/>
      <c r="AI7" s="85"/>
      <c r="AJ7" s="85"/>
      <c r="AK7" s="85"/>
      <c r="AL7" s="85"/>
      <c r="AM7" s="85"/>
      <c r="AN7" s="71"/>
      <c r="AP7" s="71"/>
      <c r="AT7" s="71"/>
      <c r="AW7" s="2863" t="s">
        <v>153</v>
      </c>
      <c r="AX7" s="2661" t="s">
        <v>4370</v>
      </c>
      <c r="AY7" s="851"/>
      <c r="AZ7" s="851"/>
      <c r="BA7" s="851"/>
      <c r="BB7" s="851"/>
      <c r="BC7" s="851"/>
      <c r="BD7" s="851"/>
      <c r="BE7" s="851"/>
      <c r="BF7" s="851"/>
      <c r="BG7" s="851"/>
      <c r="BH7" s="851"/>
      <c r="BI7" s="851"/>
      <c r="BJ7" s="851"/>
      <c r="BK7" s="851"/>
      <c r="BL7" s="851"/>
      <c r="BM7" s="851"/>
      <c r="BN7" s="851"/>
      <c r="BO7" s="851"/>
    </row>
    <row r="8" spans="1:68" s="192" customFormat="1">
      <c r="A8" s="851"/>
      <c r="B8" s="971" t="s">
        <v>4371</v>
      </c>
      <c r="C8" s="1718" t="s">
        <v>4372</v>
      </c>
      <c r="D8" s="1103"/>
      <c r="E8" s="973" t="s">
        <v>49</v>
      </c>
      <c r="F8" s="974">
        <v>3</v>
      </c>
      <c r="G8" s="976">
        <v>0</v>
      </c>
      <c r="H8" s="1542">
        <v>0</v>
      </c>
      <c r="I8" s="1420">
        <v>0</v>
      </c>
      <c r="J8" s="1409">
        <v>0</v>
      </c>
      <c r="K8" s="1414">
        <v>0</v>
      </c>
      <c r="L8" s="1409">
        <v>0</v>
      </c>
      <c r="M8" s="199">
        <f>SUM(G8:L8)</f>
        <v>0</v>
      </c>
      <c r="N8" s="976">
        <v>0</v>
      </c>
      <c r="O8" s="1542">
        <v>0</v>
      </c>
      <c r="P8" s="1420">
        <v>0</v>
      </c>
      <c r="Q8" s="1409">
        <v>0</v>
      </c>
      <c r="R8" s="1414">
        <v>0</v>
      </c>
      <c r="S8" s="1409">
        <v>0</v>
      </c>
      <c r="T8" s="199">
        <f t="shared" ref="T8:T45" si="0">SUM(N8:S8)</f>
        <v>0</v>
      </c>
      <c r="U8" s="1725"/>
      <c r="V8" s="70"/>
      <c r="W8" s="868">
        <f t="shared" ref="W8:W29" si="1" xml:space="preserve"> IF( SUM( Y8:AN8 ) = 0, 0, $AB$5 )</f>
        <v>0</v>
      </c>
      <c r="Y8" s="71"/>
      <c r="AA8" s="93">
        <f t="shared" ref="AA8:AA29" si="2" xml:space="preserve"> IF( ISNUMBER( G8 ), 0, 1 )</f>
        <v>0</v>
      </c>
      <c r="AB8" s="93">
        <f t="shared" ref="AB8:AB29" si="3" xml:space="preserve"> IF( ISNUMBER( H8 ), 0, 1 )</f>
        <v>0</v>
      </c>
      <c r="AC8" s="93">
        <f t="shared" ref="AC8:AC29" si="4" xml:space="preserve"> IF( ISNUMBER( I8 ), 0, 1 )</f>
        <v>0</v>
      </c>
      <c r="AD8" s="93">
        <f t="shared" ref="AD8:AD29" si="5" xml:space="preserve"> IF( ISNUMBER( J8 ), 0, 1 )</f>
        <v>0</v>
      </c>
      <c r="AE8" s="93">
        <f t="shared" ref="AE8:AE29" si="6" xml:space="preserve"> IF( ISNUMBER( K8 ), 0, 1 )</f>
        <v>0</v>
      </c>
      <c r="AF8" s="93">
        <f t="shared" ref="AF8:AF29" si="7" xml:space="preserve"> IF( ISNUMBER( L8 ), 0, 1 )</f>
        <v>0</v>
      </c>
      <c r="AG8" s="85"/>
      <c r="AH8" s="93">
        <f t="shared" ref="AH8:AH29" si="8" xml:space="preserve"> IF( ISNUMBER( N8 ), 0, 1 )</f>
        <v>0</v>
      </c>
      <c r="AI8" s="93">
        <f t="shared" ref="AI8:AI29" si="9" xml:space="preserve"> IF( ISNUMBER( O8 ), 0, 1 )</f>
        <v>0</v>
      </c>
      <c r="AJ8" s="93">
        <f t="shared" ref="AJ8:AJ29" si="10" xml:space="preserve"> IF( ISNUMBER( P8 ), 0, 1 )</f>
        <v>0</v>
      </c>
      <c r="AK8" s="93">
        <f t="shared" ref="AK8:AK29" si="11" xml:space="preserve"> IF( ISNUMBER( Q8 ), 0, 1 )</f>
        <v>0</v>
      </c>
      <c r="AL8" s="93">
        <f t="shared" ref="AL8:AL29" si="12" xml:space="preserve"> IF( ISNUMBER( R8 ), 0, 1 )</f>
        <v>0</v>
      </c>
      <c r="AM8" s="93">
        <f t="shared" ref="AM8:AM29" si="13" xml:space="preserve"> IF( ISNUMBER( S8 ), 0, 1 )</f>
        <v>0</v>
      </c>
      <c r="AN8" s="71"/>
      <c r="AP8" s="71"/>
      <c r="AT8" s="71"/>
      <c r="AW8" s="971" t="s">
        <v>4371</v>
      </c>
      <c r="AX8" s="2662" t="s">
        <v>4372</v>
      </c>
      <c r="AY8" s="2663"/>
      <c r="AZ8" s="973" t="s">
        <v>49</v>
      </c>
      <c r="BA8" s="974">
        <v>3</v>
      </c>
      <c r="BB8" s="2664" t="s">
        <v>4373</v>
      </c>
      <c r="BC8" s="2665" t="s">
        <v>4374</v>
      </c>
      <c r="BD8" s="2666" t="s">
        <v>4375</v>
      </c>
      <c r="BE8" s="2667" t="s">
        <v>4376</v>
      </c>
      <c r="BF8" s="2668" t="s">
        <v>4377</v>
      </c>
      <c r="BG8" s="2667" t="s">
        <v>4378</v>
      </c>
      <c r="BH8" s="199" t="s">
        <v>4379</v>
      </c>
      <c r="BI8" s="2664" t="s">
        <v>4380</v>
      </c>
      <c r="BJ8" s="2665" t="s">
        <v>4381</v>
      </c>
      <c r="BK8" s="2667" t="s">
        <v>4382</v>
      </c>
      <c r="BL8" s="2668" t="s">
        <v>4383</v>
      </c>
      <c r="BM8" s="2666" t="s">
        <v>4384</v>
      </c>
      <c r="BN8" s="2667" t="s">
        <v>4385</v>
      </c>
      <c r="BO8" s="199" t="s">
        <v>4386</v>
      </c>
    </row>
    <row r="9" spans="1:68" s="192" customFormat="1">
      <c r="A9" s="851"/>
      <c r="B9" s="977" t="s">
        <v>4387</v>
      </c>
      <c r="C9" s="972" t="s">
        <v>4388</v>
      </c>
      <c r="D9" s="1579"/>
      <c r="E9" s="1881" t="s">
        <v>49</v>
      </c>
      <c r="F9" s="978">
        <v>3</v>
      </c>
      <c r="G9" s="979">
        <v>0</v>
      </c>
      <c r="H9" s="1543">
        <v>0.38300000000000001</v>
      </c>
      <c r="I9" s="1421">
        <v>0</v>
      </c>
      <c r="J9" s="1410">
        <v>0</v>
      </c>
      <c r="K9" s="1415">
        <v>0</v>
      </c>
      <c r="L9" s="1410">
        <v>0</v>
      </c>
      <c r="M9" s="241">
        <f t="shared" ref="M9:M45" si="14">SUM(G9:L9)</f>
        <v>0.38300000000000001</v>
      </c>
      <c r="N9" s="979">
        <v>0</v>
      </c>
      <c r="O9" s="1543">
        <v>1.06</v>
      </c>
      <c r="P9" s="1421">
        <v>0</v>
      </c>
      <c r="Q9" s="1410">
        <v>0</v>
      </c>
      <c r="R9" s="1415">
        <v>0</v>
      </c>
      <c r="S9" s="1410">
        <v>0</v>
      </c>
      <c r="T9" s="398">
        <f t="shared" si="0"/>
        <v>1.06</v>
      </c>
      <c r="U9" s="1726"/>
      <c r="V9" s="70"/>
      <c r="W9" s="868">
        <f t="shared" si="1"/>
        <v>0</v>
      </c>
      <c r="Y9" s="71"/>
      <c r="AA9" s="93">
        <f t="shared" si="2"/>
        <v>0</v>
      </c>
      <c r="AB9" s="93">
        <f t="shared" si="3"/>
        <v>0</v>
      </c>
      <c r="AC9" s="93">
        <f t="shared" si="4"/>
        <v>0</v>
      </c>
      <c r="AD9" s="93">
        <f t="shared" si="5"/>
        <v>0</v>
      </c>
      <c r="AE9" s="93">
        <f t="shared" si="6"/>
        <v>0</v>
      </c>
      <c r="AF9" s="93">
        <f t="shared" si="7"/>
        <v>0</v>
      </c>
      <c r="AG9" s="85"/>
      <c r="AH9" s="93">
        <f t="shared" si="8"/>
        <v>0</v>
      </c>
      <c r="AI9" s="93">
        <f t="shared" si="9"/>
        <v>0</v>
      </c>
      <c r="AJ9" s="93">
        <f t="shared" si="10"/>
        <v>0</v>
      </c>
      <c r="AK9" s="93">
        <f t="shared" si="11"/>
        <v>0</v>
      </c>
      <c r="AL9" s="93">
        <f t="shared" si="12"/>
        <v>0</v>
      </c>
      <c r="AM9" s="93">
        <f t="shared" si="13"/>
        <v>0</v>
      </c>
      <c r="AN9" s="71"/>
      <c r="AP9" s="71"/>
      <c r="AT9" s="71"/>
      <c r="AW9" s="977" t="s">
        <v>4387</v>
      </c>
      <c r="AX9" s="2662" t="s">
        <v>4388</v>
      </c>
      <c r="AY9" s="2669"/>
      <c r="AZ9" s="1881" t="s">
        <v>49</v>
      </c>
      <c r="BA9" s="978">
        <v>3</v>
      </c>
      <c r="BB9" s="2670" t="s">
        <v>4389</v>
      </c>
      <c r="BC9" s="2671" t="s">
        <v>4390</v>
      </c>
      <c r="BD9" s="2672" t="s">
        <v>4391</v>
      </c>
      <c r="BE9" s="2673" t="s">
        <v>4392</v>
      </c>
      <c r="BF9" s="2674" t="s">
        <v>4393</v>
      </c>
      <c r="BG9" s="2673" t="s">
        <v>4394</v>
      </c>
      <c r="BH9" s="1970" t="s">
        <v>4395</v>
      </c>
      <c r="BI9" s="2670" t="s">
        <v>4396</v>
      </c>
      <c r="BJ9" s="2671" t="s">
        <v>4397</v>
      </c>
      <c r="BK9" s="2673" t="s">
        <v>4398</v>
      </c>
      <c r="BL9" s="2674" t="s">
        <v>4399</v>
      </c>
      <c r="BM9" s="2672" t="s">
        <v>4400</v>
      </c>
      <c r="BN9" s="2673" t="s">
        <v>4401</v>
      </c>
      <c r="BO9" s="1893" t="s">
        <v>4402</v>
      </c>
      <c r="BP9" s="2019"/>
    </row>
    <row r="10" spans="1:68" s="192" customFormat="1">
      <c r="A10" s="851"/>
      <c r="B10" s="977" t="s">
        <v>4403</v>
      </c>
      <c r="C10" s="2347" t="s">
        <v>4404</v>
      </c>
      <c r="D10" s="1579"/>
      <c r="E10" s="1881" t="s">
        <v>49</v>
      </c>
      <c r="F10" s="978">
        <v>3</v>
      </c>
      <c r="G10" s="979">
        <v>0</v>
      </c>
      <c r="H10" s="1543">
        <v>0</v>
      </c>
      <c r="I10" s="1421">
        <v>0</v>
      </c>
      <c r="J10" s="1410">
        <v>0</v>
      </c>
      <c r="K10" s="1415">
        <v>0</v>
      </c>
      <c r="L10" s="1410">
        <v>0</v>
      </c>
      <c r="M10" s="241">
        <f t="shared" si="14"/>
        <v>0</v>
      </c>
      <c r="N10" s="979">
        <v>0</v>
      </c>
      <c r="O10" s="1543">
        <v>0</v>
      </c>
      <c r="P10" s="1421">
        <v>0</v>
      </c>
      <c r="Q10" s="1410">
        <v>0</v>
      </c>
      <c r="R10" s="1415">
        <v>0</v>
      </c>
      <c r="S10" s="1410">
        <v>0</v>
      </c>
      <c r="T10" s="398">
        <f t="shared" si="0"/>
        <v>0</v>
      </c>
      <c r="U10" s="1726"/>
      <c r="V10" s="70"/>
      <c r="W10" s="868">
        <f t="shared" ref="W10" si="15" xml:space="preserve"> IF( SUM( Y10:AN10 ) = 0, 0, $AB$5 )</f>
        <v>0</v>
      </c>
      <c r="Y10" s="71"/>
      <c r="AA10" s="93">
        <f t="shared" ref="AA10" si="16" xml:space="preserve"> IF( ISNUMBER( G10 ), 0, 1 )</f>
        <v>0</v>
      </c>
      <c r="AB10" s="93">
        <f t="shared" ref="AB10" si="17" xml:space="preserve"> IF( ISNUMBER( H10 ), 0, 1 )</f>
        <v>0</v>
      </c>
      <c r="AC10" s="93">
        <f t="shared" ref="AC10" si="18" xml:space="preserve"> IF( ISNUMBER( I10 ), 0, 1 )</f>
        <v>0</v>
      </c>
      <c r="AD10" s="93">
        <f t="shared" ref="AD10" si="19" xml:space="preserve"> IF( ISNUMBER( J10 ), 0, 1 )</f>
        <v>0</v>
      </c>
      <c r="AE10" s="93">
        <f t="shared" ref="AE10" si="20" xml:space="preserve"> IF( ISNUMBER( K10 ), 0, 1 )</f>
        <v>0</v>
      </c>
      <c r="AF10" s="93">
        <f t="shared" ref="AF10" si="21" xml:space="preserve"> IF( ISNUMBER( L10 ), 0, 1 )</f>
        <v>0</v>
      </c>
      <c r="AG10" s="85"/>
      <c r="AH10" s="93">
        <f t="shared" ref="AH10" si="22" xml:space="preserve"> IF( ISNUMBER( N10 ), 0, 1 )</f>
        <v>0</v>
      </c>
      <c r="AI10" s="93">
        <f t="shared" ref="AI10" si="23" xml:space="preserve"> IF( ISNUMBER( O10 ), 0, 1 )</f>
        <v>0</v>
      </c>
      <c r="AJ10" s="93">
        <f t="shared" ref="AJ10" si="24" xml:space="preserve"> IF( ISNUMBER( P10 ), 0, 1 )</f>
        <v>0</v>
      </c>
      <c r="AK10" s="93">
        <f t="shared" ref="AK10" si="25" xml:space="preserve"> IF( ISNUMBER( Q10 ), 0, 1 )</f>
        <v>0</v>
      </c>
      <c r="AL10" s="93">
        <f t="shared" ref="AL10" si="26" xml:space="preserve"> IF( ISNUMBER( R10 ), 0, 1 )</f>
        <v>0</v>
      </c>
      <c r="AM10" s="93">
        <f t="shared" ref="AM10" si="27" xml:space="preserve"> IF( ISNUMBER( S10 ), 0, 1 )</f>
        <v>0</v>
      </c>
      <c r="AN10" s="71"/>
      <c r="AP10" s="71"/>
      <c r="AT10" s="71"/>
      <c r="AW10" s="977" t="s">
        <v>4403</v>
      </c>
      <c r="AX10" s="2675" t="s">
        <v>4404</v>
      </c>
      <c r="AY10" s="2676"/>
      <c r="AZ10" s="1881" t="s">
        <v>49</v>
      </c>
      <c r="BA10" s="978">
        <v>3</v>
      </c>
      <c r="BB10" s="2670" t="s">
        <v>4405</v>
      </c>
      <c r="BC10" s="2671" t="s">
        <v>4406</v>
      </c>
      <c r="BD10" s="2672" t="s">
        <v>4407</v>
      </c>
      <c r="BE10" s="2673" t="s">
        <v>4408</v>
      </c>
      <c r="BF10" s="2674" t="s">
        <v>4409</v>
      </c>
      <c r="BG10" s="2673" t="s">
        <v>4410</v>
      </c>
      <c r="BH10" s="1970" t="s">
        <v>4411</v>
      </c>
      <c r="BI10" s="2670" t="s">
        <v>4412</v>
      </c>
      <c r="BJ10" s="2671" t="s">
        <v>4413</v>
      </c>
      <c r="BK10" s="2672" t="s">
        <v>4414</v>
      </c>
      <c r="BL10" s="2673" t="s">
        <v>4415</v>
      </c>
      <c r="BM10" s="2674" t="s">
        <v>4416</v>
      </c>
      <c r="BN10" s="2673" t="s">
        <v>4417</v>
      </c>
      <c r="BO10" s="1970" t="s">
        <v>4418</v>
      </c>
    </row>
    <row r="11" spans="1:68" s="192" customFormat="1">
      <c r="A11" s="851"/>
      <c r="B11" s="977" t="s">
        <v>4419</v>
      </c>
      <c r="C11" s="2269" t="s">
        <v>4420</v>
      </c>
      <c r="D11" s="981"/>
      <c r="E11" s="1881" t="s">
        <v>49</v>
      </c>
      <c r="F11" s="978">
        <v>3</v>
      </c>
      <c r="G11" s="983">
        <v>0</v>
      </c>
      <c r="H11" s="1543">
        <v>0</v>
      </c>
      <c r="I11" s="1421">
        <v>0</v>
      </c>
      <c r="J11" s="1410">
        <v>0</v>
      </c>
      <c r="K11" s="1415">
        <v>0</v>
      </c>
      <c r="L11" s="1410">
        <v>0</v>
      </c>
      <c r="M11" s="241">
        <f t="shared" si="14"/>
        <v>0</v>
      </c>
      <c r="N11" s="983">
        <v>0</v>
      </c>
      <c r="O11" s="1543">
        <v>0</v>
      </c>
      <c r="P11" s="1421">
        <v>0</v>
      </c>
      <c r="Q11" s="1410">
        <v>0</v>
      </c>
      <c r="R11" s="1415">
        <v>0</v>
      </c>
      <c r="S11" s="1410">
        <v>0</v>
      </c>
      <c r="T11" s="241">
        <f t="shared" si="0"/>
        <v>0</v>
      </c>
      <c r="U11" s="1727"/>
      <c r="V11" s="70"/>
      <c r="W11" s="868">
        <f t="shared" si="1"/>
        <v>0</v>
      </c>
      <c r="Y11" s="71"/>
      <c r="AA11" s="93">
        <f t="shared" si="2"/>
        <v>0</v>
      </c>
      <c r="AB11" s="93">
        <f t="shared" si="3"/>
        <v>0</v>
      </c>
      <c r="AC11" s="93">
        <f t="shared" si="4"/>
        <v>0</v>
      </c>
      <c r="AD11" s="93">
        <f t="shared" si="5"/>
        <v>0</v>
      </c>
      <c r="AE11" s="93">
        <f t="shared" si="6"/>
        <v>0</v>
      </c>
      <c r="AF11" s="93">
        <f t="shared" si="7"/>
        <v>0</v>
      </c>
      <c r="AG11" s="85"/>
      <c r="AH11" s="93">
        <f t="shared" si="8"/>
        <v>0</v>
      </c>
      <c r="AI11" s="93">
        <f t="shared" si="9"/>
        <v>0</v>
      </c>
      <c r="AJ11" s="93">
        <f t="shared" si="10"/>
        <v>0</v>
      </c>
      <c r="AK11" s="93">
        <f t="shared" si="11"/>
        <v>0</v>
      </c>
      <c r="AL11" s="93">
        <f t="shared" si="12"/>
        <v>0</v>
      </c>
      <c r="AM11" s="93">
        <f t="shared" si="13"/>
        <v>0</v>
      </c>
      <c r="AN11" s="71"/>
      <c r="AP11" s="71"/>
      <c r="AT11" s="71"/>
      <c r="AW11" s="977" t="s">
        <v>4419</v>
      </c>
      <c r="AX11" s="2677" t="s">
        <v>4420</v>
      </c>
      <c r="AY11" s="2677"/>
      <c r="AZ11" s="1881" t="s">
        <v>49</v>
      </c>
      <c r="BA11" s="978">
        <v>3</v>
      </c>
      <c r="BB11" s="2678" t="s">
        <v>4421</v>
      </c>
      <c r="BC11" s="2679" t="s">
        <v>4422</v>
      </c>
      <c r="BD11" s="2680" t="s">
        <v>4423</v>
      </c>
      <c r="BE11" s="2681" t="s">
        <v>4424</v>
      </c>
      <c r="BF11" s="2682" t="s">
        <v>4425</v>
      </c>
      <c r="BG11" s="2681" t="s">
        <v>4426</v>
      </c>
      <c r="BH11" s="1970" t="s">
        <v>4427</v>
      </c>
      <c r="BI11" s="2678" t="s">
        <v>4428</v>
      </c>
      <c r="BJ11" s="2679" t="s">
        <v>4429</v>
      </c>
      <c r="BK11" s="2681" t="s">
        <v>4430</v>
      </c>
      <c r="BL11" s="2682" t="s">
        <v>4431</v>
      </c>
      <c r="BM11" s="2680" t="s">
        <v>4432</v>
      </c>
      <c r="BN11" s="2681" t="s">
        <v>4433</v>
      </c>
      <c r="BO11" s="1970" t="s">
        <v>4434</v>
      </c>
    </row>
    <row r="12" spans="1:68" s="192" customFormat="1">
      <c r="A12" s="851"/>
      <c r="B12" s="977" t="s">
        <v>4435</v>
      </c>
      <c r="C12" s="2269" t="s">
        <v>4436</v>
      </c>
      <c r="D12" s="981"/>
      <c r="E12" s="1881" t="s">
        <v>49</v>
      </c>
      <c r="F12" s="978">
        <v>3</v>
      </c>
      <c r="G12" s="983">
        <v>0</v>
      </c>
      <c r="H12" s="1543">
        <v>0</v>
      </c>
      <c r="I12" s="1421">
        <v>0</v>
      </c>
      <c r="J12" s="1410">
        <v>0</v>
      </c>
      <c r="K12" s="1415">
        <v>0</v>
      </c>
      <c r="L12" s="1410">
        <v>0</v>
      </c>
      <c r="M12" s="241">
        <f t="shared" si="14"/>
        <v>0</v>
      </c>
      <c r="N12" s="983">
        <v>0</v>
      </c>
      <c r="O12" s="1543">
        <v>0</v>
      </c>
      <c r="P12" s="1421">
        <v>0</v>
      </c>
      <c r="Q12" s="1410">
        <v>0</v>
      </c>
      <c r="R12" s="1415">
        <v>0</v>
      </c>
      <c r="S12" s="1410">
        <v>0</v>
      </c>
      <c r="T12" s="241">
        <f t="shared" si="0"/>
        <v>0</v>
      </c>
      <c r="U12" s="1727"/>
      <c r="V12" s="70"/>
      <c r="W12" s="868">
        <f t="shared" si="1"/>
        <v>0</v>
      </c>
      <c r="Y12" s="71"/>
      <c r="AA12" s="93">
        <f t="shared" si="2"/>
        <v>0</v>
      </c>
      <c r="AB12" s="93">
        <f t="shared" si="3"/>
        <v>0</v>
      </c>
      <c r="AC12" s="93">
        <f t="shared" si="4"/>
        <v>0</v>
      </c>
      <c r="AD12" s="93">
        <f t="shared" si="5"/>
        <v>0</v>
      </c>
      <c r="AE12" s="93">
        <f t="shared" si="6"/>
        <v>0</v>
      </c>
      <c r="AF12" s="93">
        <f t="shared" si="7"/>
        <v>0</v>
      </c>
      <c r="AG12" s="85"/>
      <c r="AH12" s="93">
        <f t="shared" si="8"/>
        <v>0</v>
      </c>
      <c r="AI12" s="93">
        <f t="shared" si="9"/>
        <v>0</v>
      </c>
      <c r="AJ12" s="93">
        <f t="shared" si="10"/>
        <v>0</v>
      </c>
      <c r="AK12" s="93">
        <f t="shared" si="11"/>
        <v>0</v>
      </c>
      <c r="AL12" s="93">
        <f t="shared" si="12"/>
        <v>0</v>
      </c>
      <c r="AM12" s="93">
        <f t="shared" si="13"/>
        <v>0</v>
      </c>
      <c r="AN12" s="71"/>
      <c r="AP12" s="71"/>
      <c r="AT12" s="71"/>
      <c r="AW12" s="977" t="s">
        <v>4435</v>
      </c>
      <c r="AX12" s="2677" t="s">
        <v>4436</v>
      </c>
      <c r="AY12" s="2677"/>
      <c r="AZ12" s="1881" t="s">
        <v>49</v>
      </c>
      <c r="BA12" s="978">
        <v>3</v>
      </c>
      <c r="BB12" s="2678" t="s">
        <v>4437</v>
      </c>
      <c r="BC12" s="2679" t="s">
        <v>4438</v>
      </c>
      <c r="BD12" s="2680" t="s">
        <v>4439</v>
      </c>
      <c r="BE12" s="2681" t="s">
        <v>4440</v>
      </c>
      <c r="BF12" s="2682" t="s">
        <v>4441</v>
      </c>
      <c r="BG12" s="2681" t="s">
        <v>4442</v>
      </c>
      <c r="BH12" s="1970" t="s">
        <v>4443</v>
      </c>
      <c r="BI12" s="2678" t="s">
        <v>4444</v>
      </c>
      <c r="BJ12" s="2679" t="s">
        <v>4445</v>
      </c>
      <c r="BK12" s="2681" t="s">
        <v>4446</v>
      </c>
      <c r="BL12" s="2682" t="s">
        <v>4447</v>
      </c>
      <c r="BM12" s="2680" t="s">
        <v>4448</v>
      </c>
      <c r="BN12" s="2681" t="s">
        <v>4449</v>
      </c>
      <c r="BO12" s="1970" t="s">
        <v>4450</v>
      </c>
    </row>
    <row r="13" spans="1:68" s="192" customFormat="1">
      <c r="A13" s="851"/>
      <c r="B13" s="977" t="s">
        <v>4451</v>
      </c>
      <c r="C13" s="2269" t="s">
        <v>4452</v>
      </c>
      <c r="D13" s="981"/>
      <c r="E13" s="1881" t="s">
        <v>49</v>
      </c>
      <c r="F13" s="978">
        <v>3</v>
      </c>
      <c r="G13" s="983">
        <v>0</v>
      </c>
      <c r="H13" s="1543">
        <v>0</v>
      </c>
      <c r="I13" s="1421">
        <v>0</v>
      </c>
      <c r="J13" s="1410">
        <v>0</v>
      </c>
      <c r="K13" s="1415">
        <v>0</v>
      </c>
      <c r="L13" s="1410">
        <v>8.3000000000000004E-2</v>
      </c>
      <c r="M13" s="241">
        <f t="shared" si="14"/>
        <v>8.3000000000000004E-2</v>
      </c>
      <c r="N13" s="983">
        <v>0</v>
      </c>
      <c r="O13" s="1543">
        <v>0</v>
      </c>
      <c r="P13" s="1421">
        <v>0</v>
      </c>
      <c r="Q13" s="1410">
        <v>0</v>
      </c>
      <c r="R13" s="1415">
        <v>0</v>
      </c>
      <c r="S13" s="1410">
        <v>8.3000000000000004E-2</v>
      </c>
      <c r="T13" s="241">
        <f t="shared" si="0"/>
        <v>8.3000000000000004E-2</v>
      </c>
      <c r="U13" s="1727"/>
      <c r="V13" s="70"/>
      <c r="W13" s="868">
        <f t="shared" si="1"/>
        <v>0</v>
      </c>
      <c r="Y13" s="71"/>
      <c r="AA13" s="93">
        <f t="shared" si="2"/>
        <v>0</v>
      </c>
      <c r="AB13" s="93">
        <f t="shared" si="3"/>
        <v>0</v>
      </c>
      <c r="AC13" s="93">
        <f t="shared" si="4"/>
        <v>0</v>
      </c>
      <c r="AD13" s="93">
        <f t="shared" si="5"/>
        <v>0</v>
      </c>
      <c r="AE13" s="93">
        <f t="shared" si="6"/>
        <v>0</v>
      </c>
      <c r="AF13" s="93">
        <f t="shared" si="7"/>
        <v>0</v>
      </c>
      <c r="AG13" s="85"/>
      <c r="AH13" s="93">
        <f t="shared" si="8"/>
        <v>0</v>
      </c>
      <c r="AI13" s="93">
        <f t="shared" si="9"/>
        <v>0</v>
      </c>
      <c r="AJ13" s="93">
        <f t="shared" si="10"/>
        <v>0</v>
      </c>
      <c r="AK13" s="93">
        <f t="shared" si="11"/>
        <v>0</v>
      </c>
      <c r="AL13" s="93">
        <f t="shared" si="12"/>
        <v>0</v>
      </c>
      <c r="AM13" s="93">
        <f t="shared" si="13"/>
        <v>0</v>
      </c>
      <c r="AN13" s="71"/>
      <c r="AP13" s="71"/>
      <c r="AT13" s="71"/>
      <c r="AW13" s="977" t="s">
        <v>4451</v>
      </c>
      <c r="AX13" s="2677" t="s">
        <v>4452</v>
      </c>
      <c r="AY13" s="2677"/>
      <c r="AZ13" s="1881" t="s">
        <v>49</v>
      </c>
      <c r="BA13" s="978">
        <v>3</v>
      </c>
      <c r="BB13" s="2678" t="s">
        <v>4453</v>
      </c>
      <c r="BC13" s="2679" t="s">
        <v>4454</v>
      </c>
      <c r="BD13" s="2680" t="s">
        <v>4455</v>
      </c>
      <c r="BE13" s="2681" t="s">
        <v>4456</v>
      </c>
      <c r="BF13" s="2682" t="s">
        <v>4457</v>
      </c>
      <c r="BG13" s="2681" t="s">
        <v>4458</v>
      </c>
      <c r="BH13" s="1970" t="s">
        <v>4459</v>
      </c>
      <c r="BI13" s="2678" t="s">
        <v>4460</v>
      </c>
      <c r="BJ13" s="2679" t="s">
        <v>4461</v>
      </c>
      <c r="BK13" s="2681" t="s">
        <v>4462</v>
      </c>
      <c r="BL13" s="2682" t="s">
        <v>4463</v>
      </c>
      <c r="BM13" s="2680" t="s">
        <v>4464</v>
      </c>
      <c r="BN13" s="2681" t="s">
        <v>4465</v>
      </c>
      <c r="BO13" s="1970" t="s">
        <v>4466</v>
      </c>
    </row>
    <row r="14" spans="1:68" s="192" customFormat="1">
      <c r="A14" s="851"/>
      <c r="B14" s="977" t="s">
        <v>4467</v>
      </c>
      <c r="C14" s="2269" t="s">
        <v>4468</v>
      </c>
      <c r="D14" s="981"/>
      <c r="E14" s="1881" t="s">
        <v>49</v>
      </c>
      <c r="F14" s="978">
        <v>3</v>
      </c>
      <c r="G14" s="983">
        <v>0</v>
      </c>
      <c r="H14" s="1543">
        <v>0</v>
      </c>
      <c r="I14" s="1421">
        <v>0</v>
      </c>
      <c r="J14" s="1410">
        <v>0</v>
      </c>
      <c r="K14" s="1415">
        <v>0</v>
      </c>
      <c r="L14" s="1410">
        <v>0</v>
      </c>
      <c r="M14" s="241">
        <f t="shared" si="14"/>
        <v>0</v>
      </c>
      <c r="N14" s="983">
        <v>0</v>
      </c>
      <c r="O14" s="1543">
        <v>0</v>
      </c>
      <c r="P14" s="1421">
        <v>0</v>
      </c>
      <c r="Q14" s="1410">
        <v>0</v>
      </c>
      <c r="R14" s="1415">
        <v>0</v>
      </c>
      <c r="S14" s="1410">
        <v>0</v>
      </c>
      <c r="T14" s="241">
        <f t="shared" si="0"/>
        <v>0</v>
      </c>
      <c r="U14" s="1727"/>
      <c r="V14" s="70"/>
      <c r="W14" s="868">
        <f t="shared" si="1"/>
        <v>0</v>
      </c>
      <c r="Y14" s="71"/>
      <c r="AA14" s="93">
        <f t="shared" si="2"/>
        <v>0</v>
      </c>
      <c r="AB14" s="93">
        <f t="shared" si="3"/>
        <v>0</v>
      </c>
      <c r="AC14" s="93">
        <f t="shared" si="4"/>
        <v>0</v>
      </c>
      <c r="AD14" s="93">
        <f t="shared" si="5"/>
        <v>0</v>
      </c>
      <c r="AE14" s="93">
        <f t="shared" si="6"/>
        <v>0</v>
      </c>
      <c r="AF14" s="93">
        <f t="shared" si="7"/>
        <v>0</v>
      </c>
      <c r="AG14" s="85"/>
      <c r="AH14" s="93">
        <f t="shared" si="8"/>
        <v>0</v>
      </c>
      <c r="AI14" s="93">
        <f t="shared" si="9"/>
        <v>0</v>
      </c>
      <c r="AJ14" s="93">
        <f t="shared" si="10"/>
        <v>0</v>
      </c>
      <c r="AK14" s="93">
        <f t="shared" si="11"/>
        <v>0</v>
      </c>
      <c r="AL14" s="93">
        <f t="shared" si="12"/>
        <v>0</v>
      </c>
      <c r="AM14" s="93">
        <f t="shared" si="13"/>
        <v>0</v>
      </c>
      <c r="AN14" s="71"/>
      <c r="AP14" s="71"/>
      <c r="AT14" s="71"/>
      <c r="AW14" s="977" t="s">
        <v>4467</v>
      </c>
      <c r="AX14" s="2677" t="s">
        <v>4468</v>
      </c>
      <c r="AY14" s="2677"/>
      <c r="AZ14" s="1881" t="s">
        <v>49</v>
      </c>
      <c r="BA14" s="978">
        <v>3</v>
      </c>
      <c r="BB14" s="2678" t="s">
        <v>4469</v>
      </c>
      <c r="BC14" s="2679" t="s">
        <v>4470</v>
      </c>
      <c r="BD14" s="2680" t="s">
        <v>4471</v>
      </c>
      <c r="BE14" s="2681" t="s">
        <v>4472</v>
      </c>
      <c r="BF14" s="2682" t="s">
        <v>4473</v>
      </c>
      <c r="BG14" s="2681" t="s">
        <v>4474</v>
      </c>
      <c r="BH14" s="1970" t="s">
        <v>4475</v>
      </c>
      <c r="BI14" s="2678" t="s">
        <v>4476</v>
      </c>
      <c r="BJ14" s="2679" t="s">
        <v>4477</v>
      </c>
      <c r="BK14" s="2681" t="s">
        <v>4478</v>
      </c>
      <c r="BL14" s="2682" t="s">
        <v>4479</v>
      </c>
      <c r="BM14" s="2680" t="s">
        <v>4480</v>
      </c>
      <c r="BN14" s="2681" t="s">
        <v>4481</v>
      </c>
      <c r="BO14" s="1970" t="s">
        <v>4482</v>
      </c>
    </row>
    <row r="15" spans="1:68" s="192" customFormat="1">
      <c r="A15" s="851"/>
      <c r="B15" s="977" t="s">
        <v>4483</v>
      </c>
      <c r="C15" s="2269" t="s">
        <v>4484</v>
      </c>
      <c r="D15" s="981"/>
      <c r="E15" s="1881" t="s">
        <v>49</v>
      </c>
      <c r="F15" s="978">
        <v>3</v>
      </c>
      <c r="G15" s="983">
        <v>0</v>
      </c>
      <c r="H15" s="1543">
        <v>0</v>
      </c>
      <c r="I15" s="1421">
        <v>0</v>
      </c>
      <c r="J15" s="1410">
        <v>0</v>
      </c>
      <c r="K15" s="1415">
        <v>0</v>
      </c>
      <c r="L15" s="1410">
        <v>0</v>
      </c>
      <c r="M15" s="241">
        <f t="shared" si="14"/>
        <v>0</v>
      </c>
      <c r="N15" s="983">
        <v>0</v>
      </c>
      <c r="O15" s="1543">
        <v>0</v>
      </c>
      <c r="P15" s="1421">
        <v>0</v>
      </c>
      <c r="Q15" s="1410">
        <v>0</v>
      </c>
      <c r="R15" s="1415">
        <v>0</v>
      </c>
      <c r="S15" s="1410">
        <v>0</v>
      </c>
      <c r="T15" s="241">
        <f t="shared" si="0"/>
        <v>0</v>
      </c>
      <c r="U15" s="1727"/>
      <c r="V15" s="70"/>
      <c r="W15" s="868">
        <f t="shared" si="1"/>
        <v>0</v>
      </c>
      <c r="Y15" s="71"/>
      <c r="AA15" s="93">
        <f t="shared" si="2"/>
        <v>0</v>
      </c>
      <c r="AB15" s="93">
        <f t="shared" si="3"/>
        <v>0</v>
      </c>
      <c r="AC15" s="93">
        <f t="shared" si="4"/>
        <v>0</v>
      </c>
      <c r="AD15" s="93">
        <f t="shared" si="5"/>
        <v>0</v>
      </c>
      <c r="AE15" s="93">
        <f t="shared" si="6"/>
        <v>0</v>
      </c>
      <c r="AF15" s="93">
        <f t="shared" si="7"/>
        <v>0</v>
      </c>
      <c r="AG15" s="85"/>
      <c r="AH15" s="93">
        <f t="shared" si="8"/>
        <v>0</v>
      </c>
      <c r="AI15" s="93">
        <f t="shared" si="9"/>
        <v>0</v>
      </c>
      <c r="AJ15" s="93">
        <f t="shared" si="10"/>
        <v>0</v>
      </c>
      <c r="AK15" s="93">
        <f t="shared" si="11"/>
        <v>0</v>
      </c>
      <c r="AL15" s="93">
        <f t="shared" si="12"/>
        <v>0</v>
      </c>
      <c r="AM15" s="93">
        <f t="shared" si="13"/>
        <v>0</v>
      </c>
      <c r="AN15" s="71"/>
      <c r="AP15" s="71"/>
      <c r="AT15" s="71"/>
      <c r="AW15" s="977" t="s">
        <v>4483</v>
      </c>
      <c r="AX15" s="2677" t="s">
        <v>4484</v>
      </c>
      <c r="AY15" s="2677"/>
      <c r="AZ15" s="1881" t="s">
        <v>49</v>
      </c>
      <c r="BA15" s="978">
        <v>3</v>
      </c>
      <c r="BB15" s="2678" t="s">
        <v>4485</v>
      </c>
      <c r="BC15" s="2679" t="s">
        <v>4486</v>
      </c>
      <c r="BD15" s="2680" t="s">
        <v>4487</v>
      </c>
      <c r="BE15" s="2681" t="s">
        <v>4488</v>
      </c>
      <c r="BF15" s="2682" t="s">
        <v>4489</v>
      </c>
      <c r="BG15" s="2681" t="s">
        <v>4490</v>
      </c>
      <c r="BH15" s="1970" t="s">
        <v>4491</v>
      </c>
      <c r="BI15" s="2678" t="s">
        <v>4492</v>
      </c>
      <c r="BJ15" s="2679" t="s">
        <v>4493</v>
      </c>
      <c r="BK15" s="2681" t="s">
        <v>4494</v>
      </c>
      <c r="BL15" s="2682" t="s">
        <v>4495</v>
      </c>
      <c r="BM15" s="2680" t="s">
        <v>4496</v>
      </c>
      <c r="BN15" s="2681" t="s">
        <v>4497</v>
      </c>
      <c r="BO15" s="1970" t="s">
        <v>4498</v>
      </c>
    </row>
    <row r="16" spans="1:68" s="192" customFormat="1">
      <c r="A16" s="851"/>
      <c r="B16" s="977" t="s">
        <v>4499</v>
      </c>
      <c r="C16" s="2269" t="s">
        <v>4500</v>
      </c>
      <c r="D16" s="981"/>
      <c r="E16" s="1881" t="s">
        <v>49</v>
      </c>
      <c r="F16" s="978">
        <v>3</v>
      </c>
      <c r="G16" s="983">
        <v>0</v>
      </c>
      <c r="H16" s="1543">
        <v>0</v>
      </c>
      <c r="I16" s="1421">
        <v>0</v>
      </c>
      <c r="J16" s="1410">
        <v>0</v>
      </c>
      <c r="K16" s="1415">
        <v>0</v>
      </c>
      <c r="L16" s="1410">
        <v>0</v>
      </c>
      <c r="M16" s="241">
        <f t="shared" si="14"/>
        <v>0</v>
      </c>
      <c r="N16" s="983">
        <v>0</v>
      </c>
      <c r="O16" s="1543">
        <v>0</v>
      </c>
      <c r="P16" s="1421">
        <v>0</v>
      </c>
      <c r="Q16" s="1410">
        <v>0</v>
      </c>
      <c r="R16" s="1415">
        <v>0</v>
      </c>
      <c r="S16" s="1410">
        <v>0</v>
      </c>
      <c r="T16" s="241">
        <f t="shared" si="0"/>
        <v>0</v>
      </c>
      <c r="U16" s="1727"/>
      <c r="V16" s="70"/>
      <c r="W16" s="868">
        <f t="shared" si="1"/>
        <v>0</v>
      </c>
      <c r="Y16" s="71"/>
      <c r="AA16" s="93">
        <f t="shared" si="2"/>
        <v>0</v>
      </c>
      <c r="AB16" s="93">
        <f t="shared" si="3"/>
        <v>0</v>
      </c>
      <c r="AC16" s="93">
        <f t="shared" si="4"/>
        <v>0</v>
      </c>
      <c r="AD16" s="93">
        <f t="shared" si="5"/>
        <v>0</v>
      </c>
      <c r="AE16" s="93">
        <f t="shared" si="6"/>
        <v>0</v>
      </c>
      <c r="AF16" s="93">
        <f t="shared" si="7"/>
        <v>0</v>
      </c>
      <c r="AG16" s="85"/>
      <c r="AH16" s="93">
        <f t="shared" si="8"/>
        <v>0</v>
      </c>
      <c r="AI16" s="93">
        <f t="shared" si="9"/>
        <v>0</v>
      </c>
      <c r="AJ16" s="93">
        <f t="shared" si="10"/>
        <v>0</v>
      </c>
      <c r="AK16" s="93">
        <f t="shared" si="11"/>
        <v>0</v>
      </c>
      <c r="AL16" s="93">
        <f t="shared" si="12"/>
        <v>0</v>
      </c>
      <c r="AM16" s="93">
        <f t="shared" si="13"/>
        <v>0</v>
      </c>
      <c r="AN16" s="71"/>
      <c r="AP16" s="71"/>
      <c r="AT16" s="71"/>
      <c r="AW16" s="977" t="s">
        <v>4499</v>
      </c>
      <c r="AX16" s="2677" t="s">
        <v>4500</v>
      </c>
      <c r="AY16" s="2677"/>
      <c r="AZ16" s="1881" t="s">
        <v>49</v>
      </c>
      <c r="BA16" s="978">
        <v>3</v>
      </c>
      <c r="BB16" s="2678" t="s">
        <v>4501</v>
      </c>
      <c r="BC16" s="2679" t="s">
        <v>4502</v>
      </c>
      <c r="BD16" s="2680" t="s">
        <v>4503</v>
      </c>
      <c r="BE16" s="2681" t="s">
        <v>4504</v>
      </c>
      <c r="BF16" s="2682" t="s">
        <v>4505</v>
      </c>
      <c r="BG16" s="2681" t="s">
        <v>4506</v>
      </c>
      <c r="BH16" s="1970" t="s">
        <v>4507</v>
      </c>
      <c r="BI16" s="2678" t="s">
        <v>4508</v>
      </c>
      <c r="BJ16" s="2679" t="s">
        <v>4509</v>
      </c>
      <c r="BK16" s="2681" t="s">
        <v>4510</v>
      </c>
      <c r="BL16" s="2682" t="s">
        <v>4511</v>
      </c>
      <c r="BM16" s="2680" t="s">
        <v>4512</v>
      </c>
      <c r="BN16" s="2681" t="s">
        <v>4513</v>
      </c>
      <c r="BO16" s="1970" t="s">
        <v>4514</v>
      </c>
    </row>
    <row r="17" spans="1:68" s="192" customFormat="1">
      <c r="A17" s="851"/>
      <c r="B17" s="977" t="s">
        <v>4515</v>
      </c>
      <c r="C17" s="2269" t="s">
        <v>4516</v>
      </c>
      <c r="D17" s="981"/>
      <c r="E17" s="1881" t="s">
        <v>49</v>
      </c>
      <c r="F17" s="978">
        <v>3</v>
      </c>
      <c r="G17" s="983">
        <v>0</v>
      </c>
      <c r="H17" s="1543">
        <v>0</v>
      </c>
      <c r="I17" s="1421">
        <v>0</v>
      </c>
      <c r="J17" s="1410">
        <v>0</v>
      </c>
      <c r="K17" s="1415">
        <v>0</v>
      </c>
      <c r="L17" s="1410">
        <v>2.2149999999999999</v>
      </c>
      <c r="M17" s="241">
        <f t="shared" si="14"/>
        <v>2.2149999999999999</v>
      </c>
      <c r="N17" s="983">
        <v>0</v>
      </c>
      <c r="O17" s="1543">
        <v>0</v>
      </c>
      <c r="P17" s="1421">
        <v>0</v>
      </c>
      <c r="Q17" s="1410">
        <v>0</v>
      </c>
      <c r="R17" s="1415">
        <v>0</v>
      </c>
      <c r="S17" s="1410">
        <v>11.157</v>
      </c>
      <c r="T17" s="241">
        <f t="shared" si="0"/>
        <v>11.157</v>
      </c>
      <c r="U17" s="1727"/>
      <c r="V17" s="70"/>
      <c r="W17" s="868">
        <f t="shared" si="1"/>
        <v>0</v>
      </c>
      <c r="Y17" s="71"/>
      <c r="AA17" s="93">
        <f t="shared" si="2"/>
        <v>0</v>
      </c>
      <c r="AB17" s="93">
        <f t="shared" si="3"/>
        <v>0</v>
      </c>
      <c r="AC17" s="93">
        <f t="shared" si="4"/>
        <v>0</v>
      </c>
      <c r="AD17" s="93">
        <f t="shared" si="5"/>
        <v>0</v>
      </c>
      <c r="AE17" s="93">
        <f t="shared" si="6"/>
        <v>0</v>
      </c>
      <c r="AF17" s="93">
        <f t="shared" si="7"/>
        <v>0</v>
      </c>
      <c r="AG17" s="85"/>
      <c r="AH17" s="93">
        <f t="shared" si="8"/>
        <v>0</v>
      </c>
      <c r="AI17" s="93">
        <f t="shared" si="9"/>
        <v>0</v>
      </c>
      <c r="AJ17" s="93">
        <f t="shared" si="10"/>
        <v>0</v>
      </c>
      <c r="AK17" s="93">
        <f t="shared" si="11"/>
        <v>0</v>
      </c>
      <c r="AL17" s="93">
        <f t="shared" si="12"/>
        <v>0</v>
      </c>
      <c r="AM17" s="93">
        <f t="shared" si="13"/>
        <v>0</v>
      </c>
      <c r="AN17" s="71"/>
      <c r="AP17" s="71"/>
      <c r="AT17" s="71"/>
      <c r="AW17" s="977" t="s">
        <v>4515</v>
      </c>
      <c r="AX17" s="2677" t="s">
        <v>4516</v>
      </c>
      <c r="AY17" s="2677"/>
      <c r="AZ17" s="1881" t="s">
        <v>49</v>
      </c>
      <c r="BA17" s="978">
        <v>3</v>
      </c>
      <c r="BB17" s="2678" t="s">
        <v>4517</v>
      </c>
      <c r="BC17" s="2679" t="s">
        <v>4518</v>
      </c>
      <c r="BD17" s="2680" t="s">
        <v>4519</v>
      </c>
      <c r="BE17" s="2681" t="s">
        <v>4520</v>
      </c>
      <c r="BF17" s="2682" t="s">
        <v>4521</v>
      </c>
      <c r="BG17" s="2681" t="s">
        <v>4522</v>
      </c>
      <c r="BH17" s="1970" t="s">
        <v>4523</v>
      </c>
      <c r="BI17" s="2678" t="s">
        <v>4524</v>
      </c>
      <c r="BJ17" s="2679" t="s">
        <v>4525</v>
      </c>
      <c r="BK17" s="2681" t="s">
        <v>4526</v>
      </c>
      <c r="BL17" s="2682" t="s">
        <v>4527</v>
      </c>
      <c r="BM17" s="2680" t="s">
        <v>4528</v>
      </c>
      <c r="BN17" s="2681" t="s">
        <v>4529</v>
      </c>
      <c r="BO17" s="1970" t="s">
        <v>4530</v>
      </c>
    </row>
    <row r="18" spans="1:68" s="192" customFormat="1">
      <c r="A18" s="851"/>
      <c r="B18" s="977" t="s">
        <v>4531</v>
      </c>
      <c r="C18" s="2269" t="s">
        <v>4532</v>
      </c>
      <c r="D18" s="981"/>
      <c r="E18" s="1881" t="s">
        <v>49</v>
      </c>
      <c r="F18" s="978">
        <v>3</v>
      </c>
      <c r="G18" s="983">
        <v>0</v>
      </c>
      <c r="H18" s="1543">
        <v>0</v>
      </c>
      <c r="I18" s="1421">
        <v>0</v>
      </c>
      <c r="J18" s="1410">
        <v>0</v>
      </c>
      <c r="K18" s="1415">
        <v>0</v>
      </c>
      <c r="L18" s="1410">
        <v>5.6050000000000004</v>
      </c>
      <c r="M18" s="241">
        <f t="shared" si="14"/>
        <v>5.6050000000000004</v>
      </c>
      <c r="N18" s="983">
        <v>0</v>
      </c>
      <c r="O18" s="1543">
        <v>0</v>
      </c>
      <c r="P18" s="1421">
        <v>0</v>
      </c>
      <c r="Q18" s="1410">
        <v>0</v>
      </c>
      <c r="R18" s="1415">
        <v>0</v>
      </c>
      <c r="S18" s="1410">
        <v>5.3049999999999997</v>
      </c>
      <c r="T18" s="241">
        <f t="shared" si="0"/>
        <v>5.3049999999999997</v>
      </c>
      <c r="U18" s="1727"/>
      <c r="V18" s="70"/>
      <c r="W18" s="868">
        <f t="shared" si="1"/>
        <v>0</v>
      </c>
      <c r="Y18" s="71"/>
      <c r="AA18" s="93">
        <f t="shared" si="2"/>
        <v>0</v>
      </c>
      <c r="AB18" s="93">
        <f t="shared" si="3"/>
        <v>0</v>
      </c>
      <c r="AC18" s="93">
        <f t="shared" si="4"/>
        <v>0</v>
      </c>
      <c r="AD18" s="93">
        <f t="shared" si="5"/>
        <v>0</v>
      </c>
      <c r="AE18" s="93">
        <f t="shared" si="6"/>
        <v>0</v>
      </c>
      <c r="AF18" s="93">
        <f t="shared" si="7"/>
        <v>0</v>
      </c>
      <c r="AG18" s="85"/>
      <c r="AH18" s="93">
        <f t="shared" si="8"/>
        <v>0</v>
      </c>
      <c r="AI18" s="93">
        <f t="shared" si="9"/>
        <v>0</v>
      </c>
      <c r="AJ18" s="93">
        <f t="shared" si="10"/>
        <v>0</v>
      </c>
      <c r="AK18" s="93">
        <f t="shared" si="11"/>
        <v>0</v>
      </c>
      <c r="AL18" s="93">
        <f t="shared" si="12"/>
        <v>0</v>
      </c>
      <c r="AM18" s="93">
        <f t="shared" si="13"/>
        <v>0</v>
      </c>
      <c r="AN18" s="71"/>
      <c r="AP18" s="71"/>
      <c r="AT18" s="71"/>
      <c r="AW18" s="977" t="s">
        <v>4531</v>
      </c>
      <c r="AX18" s="2677" t="s">
        <v>4532</v>
      </c>
      <c r="AY18" s="2677"/>
      <c r="AZ18" s="1881" t="s">
        <v>49</v>
      </c>
      <c r="BA18" s="978">
        <v>3</v>
      </c>
      <c r="BB18" s="2678" t="s">
        <v>4533</v>
      </c>
      <c r="BC18" s="2679" t="s">
        <v>4534</v>
      </c>
      <c r="BD18" s="2680" t="s">
        <v>4535</v>
      </c>
      <c r="BE18" s="2681" t="s">
        <v>4536</v>
      </c>
      <c r="BF18" s="2682" t="s">
        <v>4537</v>
      </c>
      <c r="BG18" s="2681" t="s">
        <v>4538</v>
      </c>
      <c r="BH18" s="1970" t="s">
        <v>4539</v>
      </c>
      <c r="BI18" s="2678" t="s">
        <v>4540</v>
      </c>
      <c r="BJ18" s="2679" t="s">
        <v>4541</v>
      </c>
      <c r="BK18" s="2681" t="s">
        <v>4542</v>
      </c>
      <c r="BL18" s="2682" t="s">
        <v>4543</v>
      </c>
      <c r="BM18" s="2680" t="s">
        <v>4544</v>
      </c>
      <c r="BN18" s="2681" t="s">
        <v>4545</v>
      </c>
      <c r="BO18" s="1970" t="s">
        <v>4546</v>
      </c>
    </row>
    <row r="19" spans="1:68" s="192" customFormat="1">
      <c r="A19" s="851"/>
      <c r="B19" s="977" t="s">
        <v>4547</v>
      </c>
      <c r="C19" s="2269" t="s">
        <v>4548</v>
      </c>
      <c r="D19" s="1580"/>
      <c r="E19" s="1881" t="s">
        <v>49</v>
      </c>
      <c r="F19" s="978">
        <v>3</v>
      </c>
      <c r="G19" s="983">
        <v>0</v>
      </c>
      <c r="H19" s="1543">
        <v>0</v>
      </c>
      <c r="I19" s="1421">
        <v>0</v>
      </c>
      <c r="J19" s="1410">
        <v>0</v>
      </c>
      <c r="K19" s="1415">
        <v>0</v>
      </c>
      <c r="L19" s="1410">
        <v>3.0139999999999998</v>
      </c>
      <c r="M19" s="241">
        <f t="shared" si="14"/>
        <v>3.0139999999999998</v>
      </c>
      <c r="N19" s="983">
        <v>0</v>
      </c>
      <c r="O19" s="1543">
        <v>0</v>
      </c>
      <c r="P19" s="1421">
        <v>0</v>
      </c>
      <c r="Q19" s="1410">
        <v>0</v>
      </c>
      <c r="R19" s="1415">
        <v>0</v>
      </c>
      <c r="S19" s="1410">
        <v>3.0139999999999998</v>
      </c>
      <c r="T19" s="241">
        <f t="shared" si="0"/>
        <v>3.0139999999999998</v>
      </c>
      <c r="U19" s="1727"/>
      <c r="V19" s="70"/>
      <c r="W19" s="868">
        <f t="shared" si="1"/>
        <v>0</v>
      </c>
      <c r="Y19" s="71"/>
      <c r="AA19" s="93">
        <f t="shared" si="2"/>
        <v>0</v>
      </c>
      <c r="AB19" s="93">
        <f t="shared" si="3"/>
        <v>0</v>
      </c>
      <c r="AC19" s="93">
        <f t="shared" si="4"/>
        <v>0</v>
      </c>
      <c r="AD19" s="93">
        <f t="shared" si="5"/>
        <v>0</v>
      </c>
      <c r="AE19" s="93">
        <f t="shared" si="6"/>
        <v>0</v>
      </c>
      <c r="AF19" s="93">
        <f t="shared" si="7"/>
        <v>0</v>
      </c>
      <c r="AG19" s="85"/>
      <c r="AH19" s="93">
        <f t="shared" si="8"/>
        <v>0</v>
      </c>
      <c r="AI19" s="93">
        <f t="shared" si="9"/>
        <v>0</v>
      </c>
      <c r="AJ19" s="93">
        <f t="shared" si="10"/>
        <v>0</v>
      </c>
      <c r="AK19" s="93">
        <f t="shared" si="11"/>
        <v>0</v>
      </c>
      <c r="AL19" s="93">
        <f t="shared" si="12"/>
        <v>0</v>
      </c>
      <c r="AM19" s="93">
        <f t="shared" si="13"/>
        <v>0</v>
      </c>
      <c r="AN19" s="71"/>
      <c r="AP19" s="71"/>
      <c r="AT19" s="71"/>
      <c r="AW19" s="977" t="s">
        <v>4547</v>
      </c>
      <c r="AX19" s="2677" t="s">
        <v>4548</v>
      </c>
      <c r="AY19" s="2677"/>
      <c r="AZ19" s="1881" t="s">
        <v>49</v>
      </c>
      <c r="BA19" s="978">
        <v>3</v>
      </c>
      <c r="BB19" s="2678" t="s">
        <v>4549</v>
      </c>
      <c r="BC19" s="2679" t="s">
        <v>4550</v>
      </c>
      <c r="BD19" s="2680" t="s">
        <v>4551</v>
      </c>
      <c r="BE19" s="2681" t="s">
        <v>4552</v>
      </c>
      <c r="BF19" s="2682" t="s">
        <v>4553</v>
      </c>
      <c r="BG19" s="2681" t="s">
        <v>4554</v>
      </c>
      <c r="BH19" s="1970" t="s">
        <v>4555</v>
      </c>
      <c r="BI19" s="2678" t="s">
        <v>4556</v>
      </c>
      <c r="BJ19" s="2679" t="s">
        <v>4557</v>
      </c>
      <c r="BK19" s="2681" t="s">
        <v>4558</v>
      </c>
      <c r="BL19" s="2682" t="s">
        <v>4559</v>
      </c>
      <c r="BM19" s="2680" t="s">
        <v>4560</v>
      </c>
      <c r="BN19" s="2681" t="s">
        <v>4561</v>
      </c>
      <c r="BO19" s="1970" t="s">
        <v>4562</v>
      </c>
      <c r="BP19" s="2019"/>
    </row>
    <row r="20" spans="1:68" s="192" customFormat="1">
      <c r="A20" s="851"/>
      <c r="B20" s="977" t="s">
        <v>4563</v>
      </c>
      <c r="C20" s="2269" t="s">
        <v>4564</v>
      </c>
      <c r="D20" s="981"/>
      <c r="E20" s="1881" t="s">
        <v>49</v>
      </c>
      <c r="F20" s="978">
        <v>3</v>
      </c>
      <c r="G20" s="983">
        <v>0</v>
      </c>
      <c r="H20" s="1543">
        <v>0.214</v>
      </c>
      <c r="I20" s="1421">
        <v>0</v>
      </c>
      <c r="J20" s="1410">
        <v>0</v>
      </c>
      <c r="K20" s="1415">
        <v>0.16500000000000001</v>
      </c>
      <c r="L20" s="1410">
        <v>0</v>
      </c>
      <c r="M20" s="241">
        <f t="shared" si="14"/>
        <v>0.379</v>
      </c>
      <c r="N20" s="983">
        <v>0</v>
      </c>
      <c r="O20" s="1543">
        <v>0.214</v>
      </c>
      <c r="P20" s="1421">
        <v>0</v>
      </c>
      <c r="Q20" s="1410">
        <v>0</v>
      </c>
      <c r="R20" s="1415">
        <v>2.1909999999999998</v>
      </c>
      <c r="S20" s="1410">
        <v>0</v>
      </c>
      <c r="T20" s="241">
        <f t="shared" si="0"/>
        <v>2.4049999999999998</v>
      </c>
      <c r="U20" s="1727"/>
      <c r="V20" s="70"/>
      <c r="W20" s="868">
        <f t="shared" si="1"/>
        <v>0</v>
      </c>
      <c r="Y20" s="71"/>
      <c r="AA20" s="93">
        <f t="shared" si="2"/>
        <v>0</v>
      </c>
      <c r="AB20" s="93">
        <f t="shared" si="3"/>
        <v>0</v>
      </c>
      <c r="AC20" s="93">
        <f t="shared" si="4"/>
        <v>0</v>
      </c>
      <c r="AD20" s="93">
        <f t="shared" si="5"/>
        <v>0</v>
      </c>
      <c r="AE20" s="93">
        <f t="shared" si="6"/>
        <v>0</v>
      </c>
      <c r="AF20" s="93">
        <f t="shared" si="7"/>
        <v>0</v>
      </c>
      <c r="AG20" s="85"/>
      <c r="AH20" s="93">
        <f t="shared" si="8"/>
        <v>0</v>
      </c>
      <c r="AI20" s="93">
        <f t="shared" si="9"/>
        <v>0</v>
      </c>
      <c r="AJ20" s="93">
        <f t="shared" si="10"/>
        <v>0</v>
      </c>
      <c r="AK20" s="93">
        <f t="shared" si="11"/>
        <v>0</v>
      </c>
      <c r="AL20" s="93">
        <f t="shared" si="12"/>
        <v>0</v>
      </c>
      <c r="AM20" s="93">
        <f t="shared" si="13"/>
        <v>0</v>
      </c>
      <c r="AN20" s="71"/>
      <c r="AP20" s="71"/>
      <c r="AT20" s="71"/>
      <c r="AW20" s="977" t="s">
        <v>4563</v>
      </c>
      <c r="AX20" s="2677" t="s">
        <v>4564</v>
      </c>
      <c r="AY20" s="2677"/>
      <c r="AZ20" s="1881" t="s">
        <v>49</v>
      </c>
      <c r="BA20" s="978">
        <v>3</v>
      </c>
      <c r="BB20" s="2678" t="s">
        <v>4565</v>
      </c>
      <c r="BC20" s="2679" t="s">
        <v>4566</v>
      </c>
      <c r="BD20" s="2680" t="s">
        <v>4567</v>
      </c>
      <c r="BE20" s="2681" t="s">
        <v>4568</v>
      </c>
      <c r="BF20" s="2682" t="s">
        <v>4569</v>
      </c>
      <c r="BG20" s="2681" t="s">
        <v>4570</v>
      </c>
      <c r="BH20" s="1970" t="s">
        <v>4571</v>
      </c>
      <c r="BI20" s="2678" t="s">
        <v>4572</v>
      </c>
      <c r="BJ20" s="2679" t="s">
        <v>4573</v>
      </c>
      <c r="BK20" s="2681" t="s">
        <v>4574</v>
      </c>
      <c r="BL20" s="2682" t="s">
        <v>4575</v>
      </c>
      <c r="BM20" s="2680" t="s">
        <v>4576</v>
      </c>
      <c r="BN20" s="2681" t="s">
        <v>4577</v>
      </c>
      <c r="BO20" s="1970" t="s">
        <v>4578</v>
      </c>
      <c r="BP20" s="2019"/>
    </row>
    <row r="21" spans="1:68" s="192" customFormat="1">
      <c r="A21" s="851"/>
      <c r="B21" s="977" t="s">
        <v>4579</v>
      </c>
      <c r="C21" s="2269" t="s">
        <v>4580</v>
      </c>
      <c r="D21" s="981"/>
      <c r="E21" s="1881" t="s">
        <v>49</v>
      </c>
      <c r="F21" s="978">
        <v>3</v>
      </c>
      <c r="G21" s="983">
        <v>0</v>
      </c>
      <c r="H21" s="1543">
        <v>0</v>
      </c>
      <c r="I21" s="1421">
        <v>0</v>
      </c>
      <c r="J21" s="1410">
        <v>0</v>
      </c>
      <c r="K21" s="1415">
        <v>0</v>
      </c>
      <c r="L21" s="1410">
        <v>0.877</v>
      </c>
      <c r="M21" s="241">
        <f t="shared" si="14"/>
        <v>0.877</v>
      </c>
      <c r="N21" s="983">
        <v>0</v>
      </c>
      <c r="O21" s="1543">
        <v>0</v>
      </c>
      <c r="P21" s="1421">
        <v>0</v>
      </c>
      <c r="Q21" s="1410">
        <v>0</v>
      </c>
      <c r="R21" s="1415">
        <v>0</v>
      </c>
      <c r="S21" s="1410">
        <v>21.501000000000001</v>
      </c>
      <c r="T21" s="241">
        <f t="shared" si="0"/>
        <v>21.501000000000001</v>
      </c>
      <c r="U21" s="1727"/>
      <c r="V21" s="70"/>
      <c r="W21" s="868">
        <f t="shared" si="1"/>
        <v>0</v>
      </c>
      <c r="Y21" s="71"/>
      <c r="AA21" s="93">
        <f t="shared" si="2"/>
        <v>0</v>
      </c>
      <c r="AB21" s="93">
        <f t="shared" si="3"/>
        <v>0</v>
      </c>
      <c r="AC21" s="93">
        <f t="shared" si="4"/>
        <v>0</v>
      </c>
      <c r="AD21" s="93">
        <f t="shared" si="5"/>
        <v>0</v>
      </c>
      <c r="AE21" s="93">
        <f t="shared" si="6"/>
        <v>0</v>
      </c>
      <c r="AF21" s="93">
        <f t="shared" si="7"/>
        <v>0</v>
      </c>
      <c r="AG21" s="85"/>
      <c r="AH21" s="93">
        <f t="shared" si="8"/>
        <v>0</v>
      </c>
      <c r="AI21" s="93">
        <f t="shared" si="9"/>
        <v>0</v>
      </c>
      <c r="AJ21" s="93">
        <f t="shared" si="10"/>
        <v>0</v>
      </c>
      <c r="AK21" s="93">
        <f t="shared" si="11"/>
        <v>0</v>
      </c>
      <c r="AL21" s="93">
        <f t="shared" si="12"/>
        <v>0</v>
      </c>
      <c r="AM21" s="93">
        <f t="shared" si="13"/>
        <v>0</v>
      </c>
      <c r="AN21" s="71"/>
      <c r="AP21" s="71"/>
      <c r="AT21" s="71"/>
      <c r="AW21" s="977" t="s">
        <v>4579</v>
      </c>
      <c r="AX21" s="2677" t="s">
        <v>4580</v>
      </c>
      <c r="AY21" s="2677"/>
      <c r="AZ21" s="1881" t="s">
        <v>49</v>
      </c>
      <c r="BA21" s="978">
        <v>3</v>
      </c>
      <c r="BB21" s="2678" t="s">
        <v>4581</v>
      </c>
      <c r="BC21" s="2679" t="s">
        <v>4582</v>
      </c>
      <c r="BD21" s="2680" t="s">
        <v>4583</v>
      </c>
      <c r="BE21" s="2681" t="s">
        <v>4584</v>
      </c>
      <c r="BF21" s="2682" t="s">
        <v>4585</v>
      </c>
      <c r="BG21" s="2681" t="s">
        <v>4586</v>
      </c>
      <c r="BH21" s="1970" t="s">
        <v>4587</v>
      </c>
      <c r="BI21" s="2678" t="s">
        <v>4588</v>
      </c>
      <c r="BJ21" s="2679" t="s">
        <v>4589</v>
      </c>
      <c r="BK21" s="2681" t="s">
        <v>4590</v>
      </c>
      <c r="BL21" s="2682" t="s">
        <v>4591</v>
      </c>
      <c r="BM21" s="2680" t="s">
        <v>4592</v>
      </c>
      <c r="BN21" s="2681" t="s">
        <v>4593</v>
      </c>
      <c r="BO21" s="1970" t="s">
        <v>4594</v>
      </c>
      <c r="BP21" s="2019"/>
    </row>
    <row r="22" spans="1:68" s="192" customFormat="1">
      <c r="A22" s="851"/>
      <c r="B22" s="977" t="s">
        <v>4595</v>
      </c>
      <c r="C22" s="2269" t="s">
        <v>4596</v>
      </c>
      <c r="D22" s="981"/>
      <c r="E22" s="1881" t="s">
        <v>49</v>
      </c>
      <c r="F22" s="978">
        <v>3</v>
      </c>
      <c r="G22" s="983">
        <v>0</v>
      </c>
      <c r="H22" s="1543">
        <v>0.13500000000000001</v>
      </c>
      <c r="I22" s="1421">
        <v>1E-3</v>
      </c>
      <c r="J22" s="1410">
        <v>0</v>
      </c>
      <c r="K22" s="1415">
        <v>0.19600000000000001</v>
      </c>
      <c r="L22" s="1410">
        <v>0.52200000000000002</v>
      </c>
      <c r="M22" s="241">
        <f t="shared" si="14"/>
        <v>0.85400000000000009</v>
      </c>
      <c r="N22" s="983">
        <v>0</v>
      </c>
      <c r="O22" s="1543">
        <v>0.13500000000000001</v>
      </c>
      <c r="P22" s="1421">
        <v>1E-3</v>
      </c>
      <c r="Q22" s="1410">
        <v>4.0857999999999997E-4</v>
      </c>
      <c r="R22" s="1415">
        <v>0.19600000000000001</v>
      </c>
      <c r="S22" s="1410">
        <v>0.52200000000000002</v>
      </c>
      <c r="T22" s="241">
        <f t="shared" si="0"/>
        <v>0.85440858000000008</v>
      </c>
      <c r="U22" s="1727"/>
      <c r="V22" s="70"/>
      <c r="W22" s="868">
        <f t="shared" si="1"/>
        <v>0</v>
      </c>
      <c r="Y22" s="71"/>
      <c r="AA22" s="93">
        <f t="shared" si="2"/>
        <v>0</v>
      </c>
      <c r="AB22" s="93">
        <f t="shared" si="3"/>
        <v>0</v>
      </c>
      <c r="AC22" s="93">
        <f t="shared" si="4"/>
        <v>0</v>
      </c>
      <c r="AD22" s="93">
        <f t="shared" si="5"/>
        <v>0</v>
      </c>
      <c r="AE22" s="93">
        <f t="shared" si="6"/>
        <v>0</v>
      </c>
      <c r="AF22" s="93">
        <f t="shared" si="7"/>
        <v>0</v>
      </c>
      <c r="AG22" s="85"/>
      <c r="AH22" s="93">
        <f t="shared" si="8"/>
        <v>0</v>
      </c>
      <c r="AI22" s="93">
        <f t="shared" si="9"/>
        <v>0</v>
      </c>
      <c r="AJ22" s="93">
        <f t="shared" si="10"/>
        <v>0</v>
      </c>
      <c r="AK22" s="93">
        <f t="shared" si="11"/>
        <v>0</v>
      </c>
      <c r="AL22" s="93">
        <f t="shared" si="12"/>
        <v>0</v>
      </c>
      <c r="AM22" s="93">
        <f t="shared" si="13"/>
        <v>0</v>
      </c>
      <c r="AN22" s="71"/>
      <c r="AP22" s="71"/>
      <c r="AT22" s="71"/>
      <c r="AW22" s="977" t="s">
        <v>4595</v>
      </c>
      <c r="AX22" s="2677" t="s">
        <v>4596</v>
      </c>
      <c r="AY22" s="2677"/>
      <c r="AZ22" s="1881" t="s">
        <v>49</v>
      </c>
      <c r="BA22" s="978">
        <v>3</v>
      </c>
      <c r="BB22" s="2678" t="s">
        <v>4597</v>
      </c>
      <c r="BC22" s="2679" t="s">
        <v>4598</v>
      </c>
      <c r="BD22" s="2680" t="s">
        <v>4599</v>
      </c>
      <c r="BE22" s="2681" t="s">
        <v>4600</v>
      </c>
      <c r="BF22" s="2682" t="s">
        <v>4601</v>
      </c>
      <c r="BG22" s="2681" t="s">
        <v>4602</v>
      </c>
      <c r="BH22" s="1970" t="s">
        <v>4603</v>
      </c>
      <c r="BI22" s="2678" t="s">
        <v>4604</v>
      </c>
      <c r="BJ22" s="2679" t="s">
        <v>4605</v>
      </c>
      <c r="BK22" s="2681" t="s">
        <v>4606</v>
      </c>
      <c r="BL22" s="2682" t="s">
        <v>4607</v>
      </c>
      <c r="BM22" s="2680" t="s">
        <v>4608</v>
      </c>
      <c r="BN22" s="2681" t="s">
        <v>4609</v>
      </c>
      <c r="BO22" s="1970" t="s">
        <v>4610</v>
      </c>
      <c r="BP22" s="2019"/>
    </row>
    <row r="23" spans="1:68" s="192" customFormat="1">
      <c r="A23" s="851"/>
      <c r="B23" s="977" t="s">
        <v>4611</v>
      </c>
      <c r="C23" s="2269" t="s">
        <v>4612</v>
      </c>
      <c r="D23" s="981"/>
      <c r="E23" s="1881" t="s">
        <v>49</v>
      </c>
      <c r="F23" s="978">
        <v>3</v>
      </c>
      <c r="G23" s="979">
        <v>0</v>
      </c>
      <c r="H23" s="1543">
        <v>0</v>
      </c>
      <c r="I23" s="1421">
        <v>0</v>
      </c>
      <c r="J23" s="1410">
        <v>0</v>
      </c>
      <c r="K23" s="1415">
        <v>0</v>
      </c>
      <c r="L23" s="1410">
        <v>0</v>
      </c>
      <c r="M23" s="241">
        <f t="shared" ref="M23:M24" si="28">SUM(G23:L23)</f>
        <v>0</v>
      </c>
      <c r="N23" s="979">
        <v>0</v>
      </c>
      <c r="O23" s="1543">
        <v>0</v>
      </c>
      <c r="P23" s="1421">
        <v>0</v>
      </c>
      <c r="Q23" s="1410">
        <v>0</v>
      </c>
      <c r="R23" s="1415">
        <v>0</v>
      </c>
      <c r="S23" s="1410">
        <v>0</v>
      </c>
      <c r="T23" s="398">
        <f t="shared" ref="T23:T24" si="29">SUM(N23:S23)</f>
        <v>0</v>
      </c>
      <c r="U23" s="1727"/>
      <c r="V23" s="70"/>
      <c r="W23" s="868">
        <f t="shared" ref="W23:W24" si="30" xml:space="preserve"> IF( SUM( Y23:AN23 ) = 0, 0, $AB$5 )</f>
        <v>0</v>
      </c>
      <c r="Y23" s="71"/>
      <c r="AA23" s="93">
        <f t="shared" ref="AA23:AA24" si="31" xml:space="preserve"> IF( ISNUMBER( G23 ), 0, 1 )</f>
        <v>0</v>
      </c>
      <c r="AB23" s="93">
        <f t="shared" ref="AB23:AB24" si="32" xml:space="preserve"> IF( ISNUMBER( H23 ), 0, 1 )</f>
        <v>0</v>
      </c>
      <c r="AC23" s="93">
        <f t="shared" ref="AC23:AC24" si="33" xml:space="preserve"> IF( ISNUMBER( I23 ), 0, 1 )</f>
        <v>0</v>
      </c>
      <c r="AD23" s="93">
        <f t="shared" ref="AD23:AD24" si="34" xml:space="preserve"> IF( ISNUMBER( J23 ), 0, 1 )</f>
        <v>0</v>
      </c>
      <c r="AE23" s="93">
        <f t="shared" ref="AE23:AE24" si="35" xml:space="preserve"> IF( ISNUMBER( K23 ), 0, 1 )</f>
        <v>0</v>
      </c>
      <c r="AF23" s="93">
        <f t="shared" ref="AF23:AF24" si="36" xml:space="preserve"> IF( ISNUMBER( L23 ), 0, 1 )</f>
        <v>0</v>
      </c>
      <c r="AG23" s="85"/>
      <c r="AH23" s="93">
        <f t="shared" ref="AH23:AH24" si="37" xml:space="preserve"> IF( ISNUMBER( N23 ), 0, 1 )</f>
        <v>0</v>
      </c>
      <c r="AI23" s="93">
        <f t="shared" ref="AI23:AI24" si="38" xml:space="preserve"> IF( ISNUMBER( O23 ), 0, 1 )</f>
        <v>0</v>
      </c>
      <c r="AJ23" s="93">
        <f t="shared" ref="AJ23:AJ24" si="39" xml:space="preserve"> IF( ISNUMBER( P23 ), 0, 1 )</f>
        <v>0</v>
      </c>
      <c r="AK23" s="93">
        <f t="shared" ref="AK23:AK24" si="40" xml:space="preserve"> IF( ISNUMBER( Q23 ), 0, 1 )</f>
        <v>0</v>
      </c>
      <c r="AL23" s="93">
        <f t="shared" ref="AL23:AL24" si="41" xml:space="preserve"> IF( ISNUMBER( R23 ), 0, 1 )</f>
        <v>0</v>
      </c>
      <c r="AM23" s="93">
        <f t="shared" ref="AM23:AM24" si="42" xml:space="preserve"> IF( ISNUMBER( S23 ), 0, 1 )</f>
        <v>0</v>
      </c>
      <c r="AN23" s="71"/>
      <c r="AP23" s="71"/>
      <c r="AT23" s="71"/>
      <c r="AW23" s="977" t="s">
        <v>4611</v>
      </c>
      <c r="AX23" s="2677" t="s">
        <v>4612</v>
      </c>
      <c r="AY23" s="2677"/>
      <c r="AZ23" s="1881" t="s">
        <v>49</v>
      </c>
      <c r="BA23" s="978">
        <v>3</v>
      </c>
      <c r="BB23" s="2670" t="s">
        <v>4613</v>
      </c>
      <c r="BC23" s="2671" t="s">
        <v>4614</v>
      </c>
      <c r="BD23" s="2672" t="s">
        <v>4615</v>
      </c>
      <c r="BE23" s="2673" t="s">
        <v>4616</v>
      </c>
      <c r="BF23" s="2674" t="s">
        <v>4617</v>
      </c>
      <c r="BG23" s="2673" t="s">
        <v>4618</v>
      </c>
      <c r="BH23" s="1970" t="s">
        <v>4619</v>
      </c>
      <c r="BI23" s="2670" t="s">
        <v>4620</v>
      </c>
      <c r="BJ23" s="2671" t="s">
        <v>4621</v>
      </c>
      <c r="BK23" s="2672" t="s">
        <v>4622</v>
      </c>
      <c r="BL23" s="2673" t="s">
        <v>4623</v>
      </c>
      <c r="BM23" s="2674" t="s">
        <v>4624</v>
      </c>
      <c r="BN23" s="2673" t="s">
        <v>4625</v>
      </c>
      <c r="BO23" s="1970" t="s">
        <v>4626</v>
      </c>
      <c r="BP23" s="2019"/>
    </row>
    <row r="24" spans="1:68" s="192" customFormat="1">
      <c r="A24" s="851"/>
      <c r="B24" s="977" t="s">
        <v>4627</v>
      </c>
      <c r="C24" s="2269" t="s">
        <v>4628</v>
      </c>
      <c r="D24" s="981"/>
      <c r="E24" s="1881" t="s">
        <v>49</v>
      </c>
      <c r="F24" s="978">
        <v>3</v>
      </c>
      <c r="G24" s="979">
        <v>0</v>
      </c>
      <c r="H24" s="1543">
        <v>0.2</v>
      </c>
      <c r="I24" s="1421">
        <v>0</v>
      </c>
      <c r="J24" s="1410">
        <v>0</v>
      </c>
      <c r="K24" s="1415">
        <v>0</v>
      </c>
      <c r="L24" s="1410">
        <v>0</v>
      </c>
      <c r="M24" s="241">
        <f t="shared" si="28"/>
        <v>0.2</v>
      </c>
      <c r="N24" s="979">
        <v>0</v>
      </c>
      <c r="O24" s="1543">
        <v>0.2</v>
      </c>
      <c r="P24" s="1421">
        <v>0</v>
      </c>
      <c r="Q24" s="1410">
        <v>0</v>
      </c>
      <c r="R24" s="1415">
        <v>0</v>
      </c>
      <c r="S24" s="1410">
        <v>0</v>
      </c>
      <c r="T24" s="398">
        <f t="shared" si="29"/>
        <v>0.2</v>
      </c>
      <c r="U24" s="1727"/>
      <c r="V24" s="70"/>
      <c r="W24" s="868">
        <f t="shared" si="30"/>
        <v>0</v>
      </c>
      <c r="Y24" s="71"/>
      <c r="AA24" s="93">
        <f t="shared" si="31"/>
        <v>0</v>
      </c>
      <c r="AB24" s="93">
        <f t="shared" si="32"/>
        <v>0</v>
      </c>
      <c r="AC24" s="93">
        <f t="shared" si="33"/>
        <v>0</v>
      </c>
      <c r="AD24" s="93">
        <f t="shared" si="34"/>
        <v>0</v>
      </c>
      <c r="AE24" s="93">
        <f t="shared" si="35"/>
        <v>0</v>
      </c>
      <c r="AF24" s="93">
        <f t="shared" si="36"/>
        <v>0</v>
      </c>
      <c r="AG24" s="85"/>
      <c r="AH24" s="93">
        <f t="shared" si="37"/>
        <v>0</v>
      </c>
      <c r="AI24" s="93">
        <f t="shared" si="38"/>
        <v>0</v>
      </c>
      <c r="AJ24" s="93">
        <f t="shared" si="39"/>
        <v>0</v>
      </c>
      <c r="AK24" s="93">
        <f t="shared" si="40"/>
        <v>0</v>
      </c>
      <c r="AL24" s="93">
        <f t="shared" si="41"/>
        <v>0</v>
      </c>
      <c r="AM24" s="93">
        <f t="shared" si="42"/>
        <v>0</v>
      </c>
      <c r="AN24" s="71"/>
      <c r="AP24" s="71"/>
      <c r="AT24" s="71"/>
      <c r="AW24" s="977" t="s">
        <v>4627</v>
      </c>
      <c r="AX24" s="2677" t="s">
        <v>4628</v>
      </c>
      <c r="AY24" s="2677"/>
      <c r="AZ24" s="1881" t="s">
        <v>49</v>
      </c>
      <c r="BA24" s="978">
        <v>3</v>
      </c>
      <c r="BB24" s="2670" t="s">
        <v>4629</v>
      </c>
      <c r="BC24" s="2671" t="s">
        <v>4630</v>
      </c>
      <c r="BD24" s="2672" t="s">
        <v>4631</v>
      </c>
      <c r="BE24" s="2673" t="s">
        <v>4632</v>
      </c>
      <c r="BF24" s="2674" t="s">
        <v>4633</v>
      </c>
      <c r="BG24" s="2673" t="s">
        <v>4634</v>
      </c>
      <c r="BH24" s="1970" t="s">
        <v>4635</v>
      </c>
      <c r="BI24" s="2670" t="s">
        <v>4636</v>
      </c>
      <c r="BJ24" s="2671" t="s">
        <v>4637</v>
      </c>
      <c r="BK24" s="2672" t="s">
        <v>4638</v>
      </c>
      <c r="BL24" s="2673" t="s">
        <v>4639</v>
      </c>
      <c r="BM24" s="2674" t="s">
        <v>4640</v>
      </c>
      <c r="BN24" s="2673" t="s">
        <v>4641</v>
      </c>
      <c r="BO24" s="1970" t="s">
        <v>4642</v>
      </c>
      <c r="BP24" s="2019"/>
    </row>
    <row r="25" spans="1:68" s="192" customFormat="1">
      <c r="A25" s="851"/>
      <c r="B25" s="977" t="s">
        <v>4643</v>
      </c>
      <c r="C25" s="2269" t="s">
        <v>4644</v>
      </c>
      <c r="D25" s="1580"/>
      <c r="E25" s="1881" t="s">
        <v>49</v>
      </c>
      <c r="F25" s="978">
        <v>3</v>
      </c>
      <c r="G25" s="983">
        <v>0</v>
      </c>
      <c r="H25" s="1543">
        <v>0.13700000000000001</v>
      </c>
      <c r="I25" s="1421">
        <v>0</v>
      </c>
      <c r="J25" s="1410">
        <v>0</v>
      </c>
      <c r="K25" s="1415">
        <v>0</v>
      </c>
      <c r="L25" s="1410">
        <v>0</v>
      </c>
      <c r="M25" s="241">
        <f t="shared" si="14"/>
        <v>0.13700000000000001</v>
      </c>
      <c r="N25" s="983">
        <v>0</v>
      </c>
      <c r="O25" s="1543">
        <v>0.13700000000000001</v>
      </c>
      <c r="P25" s="1421">
        <v>0</v>
      </c>
      <c r="Q25" s="1410">
        <v>0</v>
      </c>
      <c r="R25" s="1415">
        <v>0</v>
      </c>
      <c r="S25" s="1410">
        <v>0</v>
      </c>
      <c r="T25" s="241">
        <f t="shared" si="0"/>
        <v>0.13700000000000001</v>
      </c>
      <c r="U25" s="1727"/>
      <c r="V25" s="70"/>
      <c r="W25" s="868">
        <f t="shared" si="1"/>
        <v>0</v>
      </c>
      <c r="Y25" s="71"/>
      <c r="AA25" s="93">
        <f t="shared" si="2"/>
        <v>0</v>
      </c>
      <c r="AB25" s="93">
        <f t="shared" si="3"/>
        <v>0</v>
      </c>
      <c r="AC25" s="93">
        <f t="shared" si="4"/>
        <v>0</v>
      </c>
      <c r="AD25" s="93">
        <f t="shared" si="5"/>
        <v>0</v>
      </c>
      <c r="AE25" s="93">
        <f t="shared" si="6"/>
        <v>0</v>
      </c>
      <c r="AF25" s="93">
        <f t="shared" si="7"/>
        <v>0</v>
      </c>
      <c r="AG25" s="85"/>
      <c r="AH25" s="93">
        <f t="shared" si="8"/>
        <v>0</v>
      </c>
      <c r="AI25" s="93">
        <f t="shared" si="9"/>
        <v>0</v>
      </c>
      <c r="AJ25" s="93">
        <f t="shared" si="10"/>
        <v>0</v>
      </c>
      <c r="AK25" s="93">
        <f t="shared" si="11"/>
        <v>0</v>
      </c>
      <c r="AL25" s="93">
        <f t="shared" si="12"/>
        <v>0</v>
      </c>
      <c r="AM25" s="93">
        <f t="shared" si="13"/>
        <v>0</v>
      </c>
      <c r="AN25" s="71"/>
      <c r="AP25" s="71"/>
      <c r="AT25" s="71"/>
      <c r="AW25" s="977" t="s">
        <v>4643</v>
      </c>
      <c r="AX25" s="2683" t="s">
        <v>4644</v>
      </c>
      <c r="AY25" s="2684"/>
      <c r="AZ25" s="1881" t="s">
        <v>49</v>
      </c>
      <c r="BA25" s="978">
        <v>3</v>
      </c>
      <c r="BB25" s="2678" t="s">
        <v>4645</v>
      </c>
      <c r="BC25" s="2679" t="s">
        <v>4646</v>
      </c>
      <c r="BD25" s="2680" t="s">
        <v>4647</v>
      </c>
      <c r="BE25" s="2681" t="s">
        <v>4648</v>
      </c>
      <c r="BF25" s="2682" t="s">
        <v>4649</v>
      </c>
      <c r="BG25" s="2681" t="s">
        <v>4650</v>
      </c>
      <c r="BH25" s="1970" t="s">
        <v>4651</v>
      </c>
      <c r="BI25" s="2678" t="s">
        <v>4652</v>
      </c>
      <c r="BJ25" s="2679" t="s">
        <v>4653</v>
      </c>
      <c r="BK25" s="2681" t="s">
        <v>4654</v>
      </c>
      <c r="BL25" s="2682" t="s">
        <v>4655</v>
      </c>
      <c r="BM25" s="2680" t="s">
        <v>4656</v>
      </c>
      <c r="BN25" s="2681" t="s">
        <v>4657</v>
      </c>
      <c r="BO25" s="1970" t="s">
        <v>4658</v>
      </c>
      <c r="BP25" s="2019"/>
    </row>
    <row r="26" spans="1:68" s="192" customFormat="1">
      <c r="A26" s="851"/>
      <c r="B26" s="977" t="s">
        <v>4659</v>
      </c>
      <c r="C26" s="2269" t="s">
        <v>4660</v>
      </c>
      <c r="D26" s="981"/>
      <c r="E26" s="1881" t="s">
        <v>49</v>
      </c>
      <c r="F26" s="978">
        <v>3</v>
      </c>
      <c r="G26" s="983">
        <v>0</v>
      </c>
      <c r="H26" s="1543">
        <v>0</v>
      </c>
      <c r="I26" s="1421">
        <v>0</v>
      </c>
      <c r="J26" s="1410">
        <v>0</v>
      </c>
      <c r="K26" s="1415">
        <v>0</v>
      </c>
      <c r="L26" s="1410">
        <v>0</v>
      </c>
      <c r="M26" s="241">
        <f t="shared" si="14"/>
        <v>0</v>
      </c>
      <c r="N26" s="983">
        <v>0</v>
      </c>
      <c r="O26" s="1543">
        <v>0</v>
      </c>
      <c r="P26" s="1421">
        <v>0</v>
      </c>
      <c r="Q26" s="1410">
        <v>0</v>
      </c>
      <c r="R26" s="1415">
        <v>0</v>
      </c>
      <c r="S26" s="1410">
        <v>0</v>
      </c>
      <c r="T26" s="241">
        <f t="shared" si="0"/>
        <v>0</v>
      </c>
      <c r="U26" s="1727"/>
      <c r="V26" s="70"/>
      <c r="W26" s="868">
        <f t="shared" si="1"/>
        <v>0</v>
      </c>
      <c r="Y26" s="71"/>
      <c r="AA26" s="93">
        <f t="shared" si="2"/>
        <v>0</v>
      </c>
      <c r="AB26" s="93">
        <f t="shared" si="3"/>
        <v>0</v>
      </c>
      <c r="AC26" s="93">
        <f t="shared" si="4"/>
        <v>0</v>
      </c>
      <c r="AD26" s="93">
        <f t="shared" si="5"/>
        <v>0</v>
      </c>
      <c r="AE26" s="93">
        <f t="shared" si="6"/>
        <v>0</v>
      </c>
      <c r="AF26" s="93">
        <f t="shared" si="7"/>
        <v>0</v>
      </c>
      <c r="AG26" s="85"/>
      <c r="AH26" s="93">
        <f t="shared" si="8"/>
        <v>0</v>
      </c>
      <c r="AI26" s="93">
        <f t="shared" si="9"/>
        <v>0</v>
      </c>
      <c r="AJ26" s="93">
        <f t="shared" si="10"/>
        <v>0</v>
      </c>
      <c r="AK26" s="93">
        <f t="shared" si="11"/>
        <v>0</v>
      </c>
      <c r="AL26" s="93">
        <f t="shared" si="12"/>
        <v>0</v>
      </c>
      <c r="AM26" s="93">
        <f t="shared" si="13"/>
        <v>0</v>
      </c>
      <c r="AN26" s="71"/>
      <c r="AP26" s="71"/>
      <c r="AT26" s="71"/>
      <c r="AW26" s="977" t="s">
        <v>4659</v>
      </c>
      <c r="AX26" s="2683" t="s">
        <v>4660</v>
      </c>
      <c r="AY26" s="2685"/>
      <c r="AZ26" s="1881" t="s">
        <v>49</v>
      </c>
      <c r="BA26" s="978">
        <v>3</v>
      </c>
      <c r="BB26" s="2678" t="s">
        <v>4661</v>
      </c>
      <c r="BC26" s="2679" t="s">
        <v>4662</v>
      </c>
      <c r="BD26" s="2680" t="s">
        <v>4663</v>
      </c>
      <c r="BE26" s="2681" t="s">
        <v>4664</v>
      </c>
      <c r="BF26" s="2682" t="s">
        <v>4665</v>
      </c>
      <c r="BG26" s="2681" t="s">
        <v>4666</v>
      </c>
      <c r="BH26" s="241" t="s">
        <v>4667</v>
      </c>
      <c r="BI26" s="2678" t="s">
        <v>4668</v>
      </c>
      <c r="BJ26" s="2679" t="s">
        <v>4669</v>
      </c>
      <c r="BK26" s="2681" t="s">
        <v>4670</v>
      </c>
      <c r="BL26" s="2682" t="s">
        <v>4671</v>
      </c>
      <c r="BM26" s="2680" t="s">
        <v>4672</v>
      </c>
      <c r="BN26" s="2681" t="s">
        <v>4673</v>
      </c>
      <c r="BO26" s="241" t="s">
        <v>4674</v>
      </c>
    </row>
    <row r="27" spans="1:68" s="192" customFormat="1">
      <c r="A27" s="851"/>
      <c r="B27" s="977" t="s">
        <v>4675</v>
      </c>
      <c r="C27" s="2269" t="s">
        <v>4676</v>
      </c>
      <c r="D27" s="981"/>
      <c r="E27" s="1881" t="s">
        <v>49</v>
      </c>
      <c r="F27" s="978">
        <v>3</v>
      </c>
      <c r="G27" s="983">
        <v>0</v>
      </c>
      <c r="H27" s="1543">
        <v>0</v>
      </c>
      <c r="I27" s="1421">
        <v>0</v>
      </c>
      <c r="J27" s="1410">
        <v>0</v>
      </c>
      <c r="K27" s="1415">
        <v>0</v>
      </c>
      <c r="L27" s="1410">
        <v>2.0179999999999998</v>
      </c>
      <c r="M27" s="241">
        <f t="shared" si="14"/>
        <v>2.0179999999999998</v>
      </c>
      <c r="N27" s="983">
        <v>0</v>
      </c>
      <c r="O27" s="1543">
        <v>0</v>
      </c>
      <c r="P27" s="1421">
        <v>0</v>
      </c>
      <c r="Q27" s="1410">
        <v>0</v>
      </c>
      <c r="R27" s="1415">
        <v>0</v>
      </c>
      <c r="S27" s="1410">
        <v>2.0179999999999998</v>
      </c>
      <c r="T27" s="241">
        <f t="shared" si="0"/>
        <v>2.0179999999999998</v>
      </c>
      <c r="U27" s="1727"/>
      <c r="V27" s="70"/>
      <c r="W27" s="868">
        <f t="shared" si="1"/>
        <v>0</v>
      </c>
      <c r="Y27" s="71"/>
      <c r="AA27" s="93">
        <f t="shared" si="2"/>
        <v>0</v>
      </c>
      <c r="AB27" s="93">
        <f t="shared" si="3"/>
        <v>0</v>
      </c>
      <c r="AC27" s="93">
        <f t="shared" si="4"/>
        <v>0</v>
      </c>
      <c r="AD27" s="93">
        <f t="shared" si="5"/>
        <v>0</v>
      </c>
      <c r="AE27" s="93">
        <f t="shared" si="6"/>
        <v>0</v>
      </c>
      <c r="AF27" s="93">
        <f t="shared" si="7"/>
        <v>0</v>
      </c>
      <c r="AG27" s="85"/>
      <c r="AH27" s="93">
        <f t="shared" si="8"/>
        <v>0</v>
      </c>
      <c r="AI27" s="93">
        <f t="shared" si="9"/>
        <v>0</v>
      </c>
      <c r="AJ27" s="93">
        <f t="shared" si="10"/>
        <v>0</v>
      </c>
      <c r="AK27" s="93">
        <f t="shared" si="11"/>
        <v>0</v>
      </c>
      <c r="AL27" s="93">
        <f t="shared" si="12"/>
        <v>0</v>
      </c>
      <c r="AM27" s="93">
        <f t="shared" si="13"/>
        <v>0</v>
      </c>
      <c r="AN27" s="71"/>
      <c r="AP27" s="71"/>
      <c r="AT27" s="71"/>
      <c r="AW27" s="977" t="s">
        <v>4675</v>
      </c>
      <c r="AX27" s="2683" t="s">
        <v>4676</v>
      </c>
      <c r="AY27" s="2685"/>
      <c r="AZ27" s="1881" t="s">
        <v>49</v>
      </c>
      <c r="BA27" s="978">
        <v>3</v>
      </c>
      <c r="BB27" s="2678" t="s">
        <v>4677</v>
      </c>
      <c r="BC27" s="2679" t="s">
        <v>4678</v>
      </c>
      <c r="BD27" s="2680" t="s">
        <v>4679</v>
      </c>
      <c r="BE27" s="2681" t="s">
        <v>4680</v>
      </c>
      <c r="BF27" s="2682" t="s">
        <v>4681</v>
      </c>
      <c r="BG27" s="2681" t="s">
        <v>4682</v>
      </c>
      <c r="BH27" s="241" t="s">
        <v>4683</v>
      </c>
      <c r="BI27" s="2678" t="s">
        <v>4684</v>
      </c>
      <c r="BJ27" s="2679" t="s">
        <v>4685</v>
      </c>
      <c r="BK27" s="2681" t="s">
        <v>4686</v>
      </c>
      <c r="BL27" s="2682" t="s">
        <v>4687</v>
      </c>
      <c r="BM27" s="2680" t="s">
        <v>4688</v>
      </c>
      <c r="BN27" s="2681" t="s">
        <v>4689</v>
      </c>
      <c r="BO27" s="241" t="s">
        <v>4690</v>
      </c>
    </row>
    <row r="28" spans="1:68" s="192" customFormat="1">
      <c r="A28" s="851"/>
      <c r="B28" s="977" t="s">
        <v>4691</v>
      </c>
      <c r="C28" s="981" t="s">
        <v>4692</v>
      </c>
      <c r="D28" s="981"/>
      <c r="E28" s="1881" t="s">
        <v>49</v>
      </c>
      <c r="F28" s="978">
        <v>3</v>
      </c>
      <c r="G28" s="983">
        <v>0</v>
      </c>
      <c r="H28" s="1543">
        <v>0</v>
      </c>
      <c r="I28" s="1421">
        <v>0</v>
      </c>
      <c r="J28" s="1410">
        <v>0</v>
      </c>
      <c r="K28" s="1415">
        <v>0</v>
      </c>
      <c r="L28" s="1410">
        <v>2.5270000000000001</v>
      </c>
      <c r="M28" s="241">
        <f t="shared" si="14"/>
        <v>2.5270000000000001</v>
      </c>
      <c r="N28" s="983">
        <v>0</v>
      </c>
      <c r="O28" s="1543">
        <v>0</v>
      </c>
      <c r="P28" s="1421">
        <v>0</v>
      </c>
      <c r="Q28" s="1410">
        <v>0</v>
      </c>
      <c r="R28" s="1415">
        <v>0</v>
      </c>
      <c r="S28" s="1410">
        <v>2.5270000000000001</v>
      </c>
      <c r="T28" s="241">
        <f t="shared" si="0"/>
        <v>2.5270000000000001</v>
      </c>
      <c r="U28" s="1727"/>
      <c r="V28" s="70"/>
      <c r="W28" s="868">
        <f t="shared" si="1"/>
        <v>0</v>
      </c>
      <c r="Y28" s="71"/>
      <c r="AA28" s="93">
        <f t="shared" si="2"/>
        <v>0</v>
      </c>
      <c r="AB28" s="93">
        <f t="shared" si="3"/>
        <v>0</v>
      </c>
      <c r="AC28" s="93">
        <f t="shared" si="4"/>
        <v>0</v>
      </c>
      <c r="AD28" s="93">
        <f t="shared" si="5"/>
        <v>0</v>
      </c>
      <c r="AE28" s="93">
        <f t="shared" si="6"/>
        <v>0</v>
      </c>
      <c r="AF28" s="93">
        <f t="shared" si="7"/>
        <v>0</v>
      </c>
      <c r="AG28" s="85"/>
      <c r="AH28" s="93">
        <f t="shared" si="8"/>
        <v>0</v>
      </c>
      <c r="AI28" s="93">
        <f t="shared" si="9"/>
        <v>0</v>
      </c>
      <c r="AJ28" s="93">
        <f t="shared" si="10"/>
        <v>0</v>
      </c>
      <c r="AK28" s="93">
        <f t="shared" si="11"/>
        <v>0</v>
      </c>
      <c r="AL28" s="93">
        <f t="shared" si="12"/>
        <v>0</v>
      </c>
      <c r="AM28" s="93">
        <f t="shared" si="13"/>
        <v>0</v>
      </c>
      <c r="AN28" s="71"/>
      <c r="AP28" s="71"/>
      <c r="AT28" s="71"/>
      <c r="AW28" s="977" t="s">
        <v>4691</v>
      </c>
      <c r="AX28" s="2683" t="s">
        <v>4692</v>
      </c>
      <c r="AY28" s="2685"/>
      <c r="AZ28" s="1881" t="s">
        <v>49</v>
      </c>
      <c r="BA28" s="978">
        <v>3</v>
      </c>
      <c r="BB28" s="2678" t="s">
        <v>4693</v>
      </c>
      <c r="BC28" s="2679" t="s">
        <v>4694</v>
      </c>
      <c r="BD28" s="2680" t="s">
        <v>4695</v>
      </c>
      <c r="BE28" s="2681" t="s">
        <v>4696</v>
      </c>
      <c r="BF28" s="2682" t="s">
        <v>4697</v>
      </c>
      <c r="BG28" s="2681" t="s">
        <v>4698</v>
      </c>
      <c r="BH28" s="241" t="s">
        <v>4699</v>
      </c>
      <c r="BI28" s="2678" t="s">
        <v>4700</v>
      </c>
      <c r="BJ28" s="2679" t="s">
        <v>4701</v>
      </c>
      <c r="BK28" s="2681" t="s">
        <v>4702</v>
      </c>
      <c r="BL28" s="2682" t="s">
        <v>4703</v>
      </c>
      <c r="BM28" s="2680" t="s">
        <v>4704</v>
      </c>
      <c r="BN28" s="2681" t="s">
        <v>4705</v>
      </c>
      <c r="BO28" s="241" t="s">
        <v>4706</v>
      </c>
    </row>
    <row r="29" spans="1:68" s="192" customFormat="1">
      <c r="A29" s="851"/>
      <c r="B29" s="977" t="s">
        <v>4707</v>
      </c>
      <c r="C29" s="981" t="s">
        <v>4708</v>
      </c>
      <c r="D29" s="981"/>
      <c r="E29" s="1881" t="s">
        <v>49</v>
      </c>
      <c r="F29" s="978">
        <v>3</v>
      </c>
      <c r="G29" s="983">
        <v>0</v>
      </c>
      <c r="H29" s="1543">
        <v>0</v>
      </c>
      <c r="I29" s="1421">
        <v>0</v>
      </c>
      <c r="J29" s="1410">
        <v>0</v>
      </c>
      <c r="K29" s="1415">
        <v>0</v>
      </c>
      <c r="L29" s="1410">
        <v>4.1000000000000002E-2</v>
      </c>
      <c r="M29" s="241">
        <f t="shared" si="14"/>
        <v>4.1000000000000002E-2</v>
      </c>
      <c r="N29" s="983">
        <v>0</v>
      </c>
      <c r="O29" s="1543">
        <v>0</v>
      </c>
      <c r="P29" s="1421">
        <v>0</v>
      </c>
      <c r="Q29" s="1410">
        <v>0</v>
      </c>
      <c r="R29" s="1415">
        <v>0</v>
      </c>
      <c r="S29" s="1410">
        <v>4.1000000000000002E-2</v>
      </c>
      <c r="T29" s="241">
        <f t="shared" si="0"/>
        <v>4.1000000000000002E-2</v>
      </c>
      <c r="U29" s="1727"/>
      <c r="V29" s="70"/>
      <c r="W29" s="868">
        <f t="shared" si="1"/>
        <v>0</v>
      </c>
      <c r="Y29" s="71"/>
      <c r="AA29" s="93">
        <f t="shared" si="2"/>
        <v>0</v>
      </c>
      <c r="AB29" s="93">
        <f t="shared" si="3"/>
        <v>0</v>
      </c>
      <c r="AC29" s="93">
        <f t="shared" si="4"/>
        <v>0</v>
      </c>
      <c r="AD29" s="93">
        <f t="shared" si="5"/>
        <v>0</v>
      </c>
      <c r="AE29" s="93">
        <f t="shared" si="6"/>
        <v>0</v>
      </c>
      <c r="AF29" s="93">
        <f t="shared" si="7"/>
        <v>0</v>
      </c>
      <c r="AG29" s="85"/>
      <c r="AH29" s="93">
        <f t="shared" si="8"/>
        <v>0</v>
      </c>
      <c r="AI29" s="93">
        <f t="shared" si="9"/>
        <v>0</v>
      </c>
      <c r="AJ29" s="93">
        <f t="shared" si="10"/>
        <v>0</v>
      </c>
      <c r="AK29" s="93">
        <f t="shared" si="11"/>
        <v>0</v>
      </c>
      <c r="AL29" s="93">
        <f t="shared" si="12"/>
        <v>0</v>
      </c>
      <c r="AM29" s="93">
        <f t="shared" si="13"/>
        <v>0</v>
      </c>
      <c r="AN29" s="71"/>
      <c r="AP29" s="71"/>
      <c r="AT29" s="71"/>
      <c r="AW29" s="977" t="s">
        <v>4707</v>
      </c>
      <c r="AX29" s="2683" t="s">
        <v>4708</v>
      </c>
      <c r="AY29" s="2685"/>
      <c r="AZ29" s="1881" t="s">
        <v>49</v>
      </c>
      <c r="BA29" s="978">
        <v>3</v>
      </c>
      <c r="BB29" s="2678" t="s">
        <v>4709</v>
      </c>
      <c r="BC29" s="2679" t="s">
        <v>4710</v>
      </c>
      <c r="BD29" s="2680" t="s">
        <v>4711</v>
      </c>
      <c r="BE29" s="2681" t="s">
        <v>4712</v>
      </c>
      <c r="BF29" s="2682" t="s">
        <v>4713</v>
      </c>
      <c r="BG29" s="2681" t="s">
        <v>4714</v>
      </c>
      <c r="BH29" s="241" t="s">
        <v>4715</v>
      </c>
      <c r="BI29" s="2678" t="s">
        <v>4716</v>
      </c>
      <c r="BJ29" s="2679" t="s">
        <v>4717</v>
      </c>
      <c r="BK29" s="2681" t="s">
        <v>4718</v>
      </c>
      <c r="BL29" s="2682" t="s">
        <v>4719</v>
      </c>
      <c r="BM29" s="2680" t="s">
        <v>4720</v>
      </c>
      <c r="BN29" s="2681" t="s">
        <v>4721</v>
      </c>
      <c r="BO29" s="241" t="s">
        <v>4722</v>
      </c>
    </row>
    <row r="30" spans="1:68" s="192" customFormat="1">
      <c r="A30" s="851"/>
      <c r="B30" s="977" t="s">
        <v>4723</v>
      </c>
      <c r="C30" s="984" t="s">
        <v>4724</v>
      </c>
      <c r="D30" s="981"/>
      <c r="E30" s="1881" t="s">
        <v>49</v>
      </c>
      <c r="F30" s="978">
        <v>3</v>
      </c>
      <c r="G30" s="983"/>
      <c r="H30" s="1543"/>
      <c r="I30" s="1421"/>
      <c r="J30" s="1410"/>
      <c r="K30" s="1415"/>
      <c r="L30" s="1410"/>
      <c r="M30" s="241">
        <f t="shared" si="14"/>
        <v>0</v>
      </c>
      <c r="N30" s="983"/>
      <c r="O30" s="1543"/>
      <c r="P30" s="1421"/>
      <c r="Q30" s="1410"/>
      <c r="R30" s="1415"/>
      <c r="S30" s="1410"/>
      <c r="T30" s="241">
        <f t="shared" si="0"/>
        <v>0</v>
      </c>
      <c r="U30" s="1727"/>
      <c r="V30" s="70"/>
      <c r="W30" s="868">
        <f t="shared" ref="W30:W44" si="43">(IF(SUM(AA30:AN30)=0,IF(Z30=1,AS$30,0),$AB$5))</f>
        <v>0</v>
      </c>
      <c r="Y30" s="71"/>
      <c r="Z30" s="93">
        <f xml:space="preserve"> IF( AND(OR($C30 = "Capital expenditure purpose - WATER additional line 1 [Other categories]",$C30=""), OR( G30 &lt;&gt; 0, H30 &lt;&gt; 0, I30 &lt;&gt; 0, J30 &lt;&gt; 0, K30 &lt;&gt; 0, L30 &lt;&gt; 0, N30 &lt;&gt; 0, O30 &lt;&gt; 0, P30 &lt;&gt; 0, Q30 &lt;&gt; 0, R30 &lt;&gt; 0, S30 &lt;&gt; 0) ), 1, 0 )</f>
        <v>0</v>
      </c>
      <c r="AA30" s="93">
        <f t="shared" ref="AA30:AF30" si="44" xml:space="preserve"> IF(AND($C30="Capital expenditure purpose - WATER additional line 1 [Other categories]",$M30=0), 0, IF( ISNUMBER( G30 ), 0, 1 ))</f>
        <v>0</v>
      </c>
      <c r="AB30" s="93">
        <f t="shared" si="44"/>
        <v>0</v>
      </c>
      <c r="AC30" s="93">
        <f t="shared" si="44"/>
        <v>0</v>
      </c>
      <c r="AD30" s="93">
        <f t="shared" si="44"/>
        <v>0</v>
      </c>
      <c r="AE30" s="93">
        <f t="shared" si="44"/>
        <v>0</v>
      </c>
      <c r="AF30" s="93">
        <f t="shared" si="44"/>
        <v>0</v>
      </c>
      <c r="AG30" s="85"/>
      <c r="AH30" s="93">
        <f t="shared" ref="AH30:AM30" si="45" xml:space="preserve"> IF(AND($C30="Capital expenditure purpose - WATER additional line 1 [Other categories]",$M30=0), 0, IF( ISNUMBER( N30 ), 0, 1 ))</f>
        <v>0</v>
      </c>
      <c r="AI30" s="93">
        <f t="shared" si="45"/>
        <v>0</v>
      </c>
      <c r="AJ30" s="93">
        <f t="shared" si="45"/>
        <v>0</v>
      </c>
      <c r="AK30" s="93">
        <f t="shared" si="45"/>
        <v>0</v>
      </c>
      <c r="AL30" s="93">
        <f t="shared" si="45"/>
        <v>0</v>
      </c>
      <c r="AM30" s="93">
        <f t="shared" si="45"/>
        <v>0</v>
      </c>
      <c r="AN30" s="71"/>
      <c r="AP30" s="71"/>
      <c r="AS30" s="483" t="s">
        <v>3842</v>
      </c>
      <c r="AT30" s="71"/>
      <c r="AW30" s="977" t="s">
        <v>4723</v>
      </c>
      <c r="AX30" s="2686" t="s">
        <v>4725</v>
      </c>
      <c r="AY30" s="2685"/>
      <c r="AZ30" s="1881" t="s">
        <v>49</v>
      </c>
      <c r="BA30" s="978">
        <v>3</v>
      </c>
      <c r="BB30" s="2678" t="s">
        <v>4725</v>
      </c>
      <c r="BC30" s="2679" t="s">
        <v>4726</v>
      </c>
      <c r="BD30" s="2680" t="s">
        <v>4727</v>
      </c>
      <c r="BE30" s="2681" t="s">
        <v>4728</v>
      </c>
      <c r="BF30" s="2682" t="s">
        <v>4729</v>
      </c>
      <c r="BG30" s="2681" t="s">
        <v>4730</v>
      </c>
      <c r="BH30" s="241" t="s">
        <v>4731</v>
      </c>
      <c r="BI30" s="2678" t="s">
        <v>4732</v>
      </c>
      <c r="BJ30" s="2679" t="s">
        <v>4733</v>
      </c>
      <c r="BK30" s="2681" t="s">
        <v>4734</v>
      </c>
      <c r="BL30" s="2682" t="s">
        <v>4735</v>
      </c>
      <c r="BM30" s="2680" t="s">
        <v>4736</v>
      </c>
      <c r="BN30" s="2681" t="s">
        <v>4737</v>
      </c>
      <c r="BO30" s="241" t="s">
        <v>4738</v>
      </c>
    </row>
    <row r="31" spans="1:68" s="192" customFormat="1">
      <c r="A31" s="851"/>
      <c r="B31" s="977" t="s">
        <v>4739</v>
      </c>
      <c r="C31" s="984" t="s">
        <v>4740</v>
      </c>
      <c r="D31" s="981"/>
      <c r="E31" s="1881" t="s">
        <v>49</v>
      </c>
      <c r="F31" s="978">
        <v>3</v>
      </c>
      <c r="G31" s="983"/>
      <c r="H31" s="1543"/>
      <c r="I31" s="1421"/>
      <c r="J31" s="1410"/>
      <c r="K31" s="1415"/>
      <c r="L31" s="1410"/>
      <c r="M31" s="241">
        <f t="shared" si="14"/>
        <v>0</v>
      </c>
      <c r="N31" s="983"/>
      <c r="O31" s="1543"/>
      <c r="P31" s="1421"/>
      <c r="Q31" s="1410"/>
      <c r="R31" s="1415"/>
      <c r="S31" s="1410"/>
      <c r="T31" s="241">
        <f t="shared" si="0"/>
        <v>0</v>
      </c>
      <c r="U31" s="1727"/>
      <c r="V31" s="70"/>
      <c r="W31" s="868">
        <f t="shared" si="43"/>
        <v>0</v>
      </c>
      <c r="Y31" s="71"/>
      <c r="Z31" s="93">
        <f xml:space="preserve"> IF( AND(OR($C31 = "Capital expenditure purpose - WATER additional line 2 [Other categories]",$C31=""), OR( G31 &lt;&gt; 0, H31 &lt;&gt; 0, I31 &lt;&gt; 0, J31 &lt;&gt; 0, K31 &lt;&gt; 0, L31 &lt;&gt; 0, N31 &lt;&gt; 0, O31 &lt;&gt; 0, P31 &lt;&gt; 0, Q31 &lt;&gt; 0, R31 &lt;&gt; 0, S31 &lt;&gt; 0) ), 1, 0 )</f>
        <v>0</v>
      </c>
      <c r="AA31" s="93">
        <f t="shared" ref="AA31:AF31" si="46" xml:space="preserve"> IF(AND($C31="Capital expenditure purpose - WATER additional line 2 [Other categories]",$M31=0), 0, IF( ISNUMBER( G31 ), 0, 1 ))</f>
        <v>0</v>
      </c>
      <c r="AB31" s="93">
        <f t="shared" si="46"/>
        <v>0</v>
      </c>
      <c r="AC31" s="93">
        <f t="shared" si="46"/>
        <v>0</v>
      </c>
      <c r="AD31" s="93">
        <f t="shared" si="46"/>
        <v>0</v>
      </c>
      <c r="AE31" s="93">
        <f t="shared" si="46"/>
        <v>0</v>
      </c>
      <c r="AF31" s="93">
        <f t="shared" si="46"/>
        <v>0</v>
      </c>
      <c r="AG31" s="85"/>
      <c r="AH31" s="93">
        <f t="shared" ref="AH31:AM31" si="47" xml:space="preserve"> IF(AND($C31="Capital expenditure purpose - WATER additional line 2 [Other categories]",$M31=0), 0, IF( ISNUMBER( N31 ), 0, 1 ))</f>
        <v>0</v>
      </c>
      <c r="AI31" s="93">
        <f t="shared" si="47"/>
        <v>0</v>
      </c>
      <c r="AJ31" s="93">
        <f t="shared" si="47"/>
        <v>0</v>
      </c>
      <c r="AK31" s="93">
        <f t="shared" si="47"/>
        <v>0</v>
      </c>
      <c r="AL31" s="93">
        <f t="shared" si="47"/>
        <v>0</v>
      </c>
      <c r="AM31" s="93">
        <f t="shared" si="47"/>
        <v>0</v>
      </c>
      <c r="AN31" s="71"/>
      <c r="AP31" s="71"/>
      <c r="AT31" s="71"/>
      <c r="AW31" s="977" t="s">
        <v>4739</v>
      </c>
      <c r="AX31" s="2686" t="s">
        <v>4741</v>
      </c>
      <c r="AY31" s="2685"/>
      <c r="AZ31" s="1881" t="s">
        <v>49</v>
      </c>
      <c r="BA31" s="978">
        <v>3</v>
      </c>
      <c r="BB31" s="2678" t="s">
        <v>4741</v>
      </c>
      <c r="BC31" s="2679" t="s">
        <v>4742</v>
      </c>
      <c r="BD31" s="2680" t="s">
        <v>4743</v>
      </c>
      <c r="BE31" s="2681" t="s">
        <v>4744</v>
      </c>
      <c r="BF31" s="2682" t="s">
        <v>4745</v>
      </c>
      <c r="BG31" s="2681" t="s">
        <v>4746</v>
      </c>
      <c r="BH31" s="241" t="s">
        <v>4747</v>
      </c>
      <c r="BI31" s="2678" t="s">
        <v>4748</v>
      </c>
      <c r="BJ31" s="2679" t="s">
        <v>4749</v>
      </c>
      <c r="BK31" s="2681" t="s">
        <v>4750</v>
      </c>
      <c r="BL31" s="2682" t="s">
        <v>4751</v>
      </c>
      <c r="BM31" s="2680" t="s">
        <v>4752</v>
      </c>
      <c r="BN31" s="2681" t="s">
        <v>4753</v>
      </c>
      <c r="BO31" s="241" t="s">
        <v>4754</v>
      </c>
    </row>
    <row r="32" spans="1:68" s="192" customFormat="1">
      <c r="A32" s="851"/>
      <c r="B32" s="977" t="s">
        <v>4755</v>
      </c>
      <c r="C32" s="984" t="s">
        <v>4756</v>
      </c>
      <c r="D32" s="981"/>
      <c r="E32" s="1881" t="s">
        <v>49</v>
      </c>
      <c r="F32" s="978">
        <v>3</v>
      </c>
      <c r="G32" s="983"/>
      <c r="H32" s="1543"/>
      <c r="I32" s="1421"/>
      <c r="J32" s="1410"/>
      <c r="K32" s="1415"/>
      <c r="L32" s="1410"/>
      <c r="M32" s="241">
        <f t="shared" si="14"/>
        <v>0</v>
      </c>
      <c r="N32" s="983"/>
      <c r="O32" s="1543"/>
      <c r="P32" s="1421"/>
      <c r="Q32" s="1410"/>
      <c r="R32" s="1415"/>
      <c r="S32" s="1410"/>
      <c r="T32" s="241">
        <f t="shared" si="0"/>
        <v>0</v>
      </c>
      <c r="U32" s="1727"/>
      <c r="V32" s="70"/>
      <c r="W32" s="868">
        <f t="shared" si="43"/>
        <v>0</v>
      </c>
      <c r="Y32" s="71"/>
      <c r="Z32" s="93">
        <f xml:space="preserve"> IF( AND(OR($C32 = "Capital expenditure purpose - WATER additional line 3 [Other categories]",$C32=""), OR( G32 &lt;&gt; 0, H32 &lt;&gt; 0, I32 &lt;&gt; 0, J32 &lt;&gt; 0, K32 &lt;&gt; 0, L32 &lt;&gt; 0, N32 &lt;&gt; 0, O32 &lt;&gt; 0, P32 &lt;&gt; 0, Q32 &lt;&gt; 0, R32 &lt;&gt; 0, S32 &lt;&gt; 0) ), 1, 0 )</f>
        <v>0</v>
      </c>
      <c r="AA32" s="93">
        <f t="shared" ref="AA32:AF32" si="48" xml:space="preserve"> IF(AND($C32="Capital expenditure purpose - WATER additional line 3 [Other categories]",$M32=0), 0, IF( ISNUMBER( G32 ), 0, 1 ))</f>
        <v>0</v>
      </c>
      <c r="AB32" s="93">
        <f t="shared" si="48"/>
        <v>0</v>
      </c>
      <c r="AC32" s="93">
        <f t="shared" si="48"/>
        <v>0</v>
      </c>
      <c r="AD32" s="93">
        <f t="shared" si="48"/>
        <v>0</v>
      </c>
      <c r="AE32" s="93">
        <f t="shared" si="48"/>
        <v>0</v>
      </c>
      <c r="AF32" s="93">
        <f t="shared" si="48"/>
        <v>0</v>
      </c>
      <c r="AG32" s="85"/>
      <c r="AH32" s="93">
        <f t="shared" ref="AH32:AM32" si="49" xml:space="preserve"> IF(AND($C32="Capital expenditure purpose - WATER additional line 3 [Other categories]",$M32=0), 0, IF( ISNUMBER( N32 ), 0, 1 ))</f>
        <v>0</v>
      </c>
      <c r="AI32" s="93">
        <f t="shared" si="49"/>
        <v>0</v>
      </c>
      <c r="AJ32" s="93">
        <f t="shared" si="49"/>
        <v>0</v>
      </c>
      <c r="AK32" s="93">
        <f t="shared" si="49"/>
        <v>0</v>
      </c>
      <c r="AL32" s="93">
        <f t="shared" si="49"/>
        <v>0</v>
      </c>
      <c r="AM32" s="93">
        <f t="shared" si="49"/>
        <v>0</v>
      </c>
      <c r="AN32" s="71"/>
      <c r="AP32" s="71"/>
      <c r="AT32" s="71"/>
      <c r="AW32" s="977" t="s">
        <v>4755</v>
      </c>
      <c r="AX32" s="2686" t="s">
        <v>4757</v>
      </c>
      <c r="AY32" s="2685"/>
      <c r="AZ32" s="1881" t="s">
        <v>49</v>
      </c>
      <c r="BA32" s="978">
        <v>3</v>
      </c>
      <c r="BB32" s="2678" t="s">
        <v>4757</v>
      </c>
      <c r="BC32" s="2679" t="s">
        <v>4758</v>
      </c>
      <c r="BD32" s="2680" t="s">
        <v>4759</v>
      </c>
      <c r="BE32" s="2681" t="s">
        <v>4760</v>
      </c>
      <c r="BF32" s="2682" t="s">
        <v>4761</v>
      </c>
      <c r="BG32" s="2681" t="s">
        <v>4762</v>
      </c>
      <c r="BH32" s="241" t="s">
        <v>4763</v>
      </c>
      <c r="BI32" s="2678" t="s">
        <v>4764</v>
      </c>
      <c r="BJ32" s="2679" t="s">
        <v>4765</v>
      </c>
      <c r="BK32" s="2681" t="s">
        <v>4766</v>
      </c>
      <c r="BL32" s="2682" t="s">
        <v>4767</v>
      </c>
      <c r="BM32" s="2680" t="s">
        <v>4768</v>
      </c>
      <c r="BN32" s="2681" t="s">
        <v>4769</v>
      </c>
      <c r="BO32" s="241" t="s">
        <v>4770</v>
      </c>
    </row>
    <row r="33" spans="1:67" s="192" customFormat="1">
      <c r="A33" s="851"/>
      <c r="B33" s="977" t="s">
        <v>4771</v>
      </c>
      <c r="C33" s="984" t="s">
        <v>4772</v>
      </c>
      <c r="D33" s="981"/>
      <c r="E33" s="1881" t="s">
        <v>49</v>
      </c>
      <c r="F33" s="978">
        <v>3</v>
      </c>
      <c r="G33" s="983"/>
      <c r="H33" s="1543"/>
      <c r="I33" s="1421"/>
      <c r="J33" s="1410"/>
      <c r="K33" s="1415"/>
      <c r="L33" s="1410"/>
      <c r="M33" s="241">
        <f t="shared" si="14"/>
        <v>0</v>
      </c>
      <c r="N33" s="983"/>
      <c r="O33" s="1543"/>
      <c r="P33" s="1421"/>
      <c r="Q33" s="1410"/>
      <c r="R33" s="1415"/>
      <c r="S33" s="1410"/>
      <c r="T33" s="241">
        <f t="shared" si="0"/>
        <v>0</v>
      </c>
      <c r="U33" s="1727"/>
      <c r="V33" s="70"/>
      <c r="W33" s="868">
        <f t="shared" si="43"/>
        <v>0</v>
      </c>
      <c r="Y33" s="71"/>
      <c r="Z33" s="93">
        <f xml:space="preserve"> IF( AND(OR($C33 = "Capital expenditure purpose - WATER additional line 4 [Other categories]",$C33=""), OR( G33 &lt;&gt; 0, H33 &lt;&gt; 0, I33 &lt;&gt; 0, J33 &lt;&gt; 0, K33 &lt;&gt; 0, L33 &lt;&gt; 0, N33 &lt;&gt; 0, O33 &lt;&gt; 0, P33 &lt;&gt; 0, Q33 &lt;&gt; 0, R33 &lt;&gt; 0, S33 &lt;&gt; 0) ), 1, 0 )</f>
        <v>0</v>
      </c>
      <c r="AA33" s="93">
        <f t="shared" ref="AA33:AF33" si="50" xml:space="preserve"> IF(AND($C33="Capital expenditure purpose - WATER additional line 4 [Other categories]",$M33=0), 0, IF( ISNUMBER( G33 ), 0, 1 ))</f>
        <v>0</v>
      </c>
      <c r="AB33" s="93">
        <f t="shared" si="50"/>
        <v>0</v>
      </c>
      <c r="AC33" s="93">
        <f t="shared" si="50"/>
        <v>0</v>
      </c>
      <c r="AD33" s="93">
        <f t="shared" si="50"/>
        <v>0</v>
      </c>
      <c r="AE33" s="93">
        <f t="shared" si="50"/>
        <v>0</v>
      </c>
      <c r="AF33" s="93">
        <f t="shared" si="50"/>
        <v>0</v>
      </c>
      <c r="AG33" s="85"/>
      <c r="AH33" s="93">
        <f t="shared" ref="AH33:AM33" si="51" xml:space="preserve"> IF(AND($C33="Capital expenditure purpose - WATER additional line 4 [Other categories]",$M33=0), 0, IF( ISNUMBER( N33 ), 0, 1 ))</f>
        <v>0</v>
      </c>
      <c r="AI33" s="93">
        <f t="shared" si="51"/>
        <v>0</v>
      </c>
      <c r="AJ33" s="93">
        <f t="shared" si="51"/>
        <v>0</v>
      </c>
      <c r="AK33" s="93">
        <f t="shared" si="51"/>
        <v>0</v>
      </c>
      <c r="AL33" s="93">
        <f t="shared" si="51"/>
        <v>0</v>
      </c>
      <c r="AM33" s="93">
        <f t="shared" si="51"/>
        <v>0</v>
      </c>
      <c r="AN33" s="71"/>
      <c r="AP33" s="71"/>
      <c r="AT33" s="71"/>
      <c r="AW33" s="977" t="s">
        <v>4771</v>
      </c>
      <c r="AX33" s="2686" t="s">
        <v>4773</v>
      </c>
      <c r="AY33" s="2685"/>
      <c r="AZ33" s="1881" t="s">
        <v>49</v>
      </c>
      <c r="BA33" s="978">
        <v>3</v>
      </c>
      <c r="BB33" s="2678" t="s">
        <v>4773</v>
      </c>
      <c r="BC33" s="2679" t="s">
        <v>4774</v>
      </c>
      <c r="BD33" s="2680" t="s">
        <v>4775</v>
      </c>
      <c r="BE33" s="2681" t="s">
        <v>4776</v>
      </c>
      <c r="BF33" s="2682" t="s">
        <v>4777</v>
      </c>
      <c r="BG33" s="2681" t="s">
        <v>4778</v>
      </c>
      <c r="BH33" s="241" t="s">
        <v>4779</v>
      </c>
      <c r="BI33" s="2678" t="s">
        <v>4780</v>
      </c>
      <c r="BJ33" s="2679" t="s">
        <v>4781</v>
      </c>
      <c r="BK33" s="2681" t="s">
        <v>4782</v>
      </c>
      <c r="BL33" s="2682" t="s">
        <v>4783</v>
      </c>
      <c r="BM33" s="2680" t="s">
        <v>4784</v>
      </c>
      <c r="BN33" s="2681" t="s">
        <v>4785</v>
      </c>
      <c r="BO33" s="241" t="s">
        <v>4786</v>
      </c>
    </row>
    <row r="34" spans="1:67" s="192" customFormat="1">
      <c r="A34" s="851"/>
      <c r="B34" s="977" t="s">
        <v>4787</v>
      </c>
      <c r="C34" s="984" t="s">
        <v>4788</v>
      </c>
      <c r="D34" s="981"/>
      <c r="E34" s="1881" t="s">
        <v>49</v>
      </c>
      <c r="F34" s="978">
        <v>3</v>
      </c>
      <c r="G34" s="983"/>
      <c r="H34" s="1543"/>
      <c r="I34" s="1421"/>
      <c r="J34" s="1410"/>
      <c r="K34" s="1415"/>
      <c r="L34" s="1410"/>
      <c r="M34" s="241">
        <f t="shared" si="14"/>
        <v>0</v>
      </c>
      <c r="N34" s="983"/>
      <c r="O34" s="1543"/>
      <c r="P34" s="1421"/>
      <c r="Q34" s="1410"/>
      <c r="R34" s="1415"/>
      <c r="S34" s="1410"/>
      <c r="T34" s="241">
        <f t="shared" si="0"/>
        <v>0</v>
      </c>
      <c r="U34" s="1727"/>
      <c r="V34" s="70"/>
      <c r="W34" s="868">
        <f t="shared" si="43"/>
        <v>0</v>
      </c>
      <c r="Y34" s="71"/>
      <c r="Z34" s="93">
        <f xml:space="preserve"> IF( AND(OR($C34 = "Capital expenditure purpose - WATER additional line 5 [Other categories]",$C34=""), OR( G34 &lt;&gt; 0, H34 &lt;&gt; 0, I34 &lt;&gt; 0, J34 &lt;&gt; 0, K34 &lt;&gt; 0, L34 &lt;&gt; 0, N34 &lt;&gt; 0, O34 &lt;&gt; 0, P34 &lt;&gt; 0, Q34 &lt;&gt; 0, R34 &lt;&gt; 0, S34 &lt;&gt; 0) ), 1, 0 )</f>
        <v>0</v>
      </c>
      <c r="AA34" s="93">
        <f t="shared" ref="AA34:AF34" si="52" xml:space="preserve"> IF(AND($C34="Capital expenditure purpose - WATER additional line 5 [Other categories]",$M34=0), 0, IF( ISNUMBER( G34 ), 0, 1 ))</f>
        <v>0</v>
      </c>
      <c r="AB34" s="93">
        <f t="shared" si="52"/>
        <v>0</v>
      </c>
      <c r="AC34" s="93">
        <f t="shared" si="52"/>
        <v>0</v>
      </c>
      <c r="AD34" s="93">
        <f t="shared" si="52"/>
        <v>0</v>
      </c>
      <c r="AE34" s="93">
        <f t="shared" si="52"/>
        <v>0</v>
      </c>
      <c r="AF34" s="93">
        <f t="shared" si="52"/>
        <v>0</v>
      </c>
      <c r="AG34" s="85"/>
      <c r="AH34" s="93">
        <f t="shared" ref="AH34:AM34" si="53" xml:space="preserve"> IF(AND($C34="Capital expenditure purpose - WATER additional line 5 [Other categories]",$M34=0), 0, IF( ISNUMBER( N34 ), 0, 1 ))</f>
        <v>0</v>
      </c>
      <c r="AI34" s="93">
        <f t="shared" si="53"/>
        <v>0</v>
      </c>
      <c r="AJ34" s="93">
        <f t="shared" si="53"/>
        <v>0</v>
      </c>
      <c r="AK34" s="93">
        <f t="shared" si="53"/>
        <v>0</v>
      </c>
      <c r="AL34" s="93">
        <f t="shared" si="53"/>
        <v>0</v>
      </c>
      <c r="AM34" s="93">
        <f t="shared" si="53"/>
        <v>0</v>
      </c>
      <c r="AN34" s="71"/>
      <c r="AP34" s="71"/>
      <c r="AT34" s="71"/>
      <c r="AW34" s="977" t="s">
        <v>4787</v>
      </c>
      <c r="AX34" s="2686" t="s">
        <v>4789</v>
      </c>
      <c r="AY34" s="2685"/>
      <c r="AZ34" s="1881" t="s">
        <v>49</v>
      </c>
      <c r="BA34" s="978">
        <v>3</v>
      </c>
      <c r="BB34" s="2678" t="s">
        <v>4789</v>
      </c>
      <c r="BC34" s="2679" t="s">
        <v>4790</v>
      </c>
      <c r="BD34" s="2680" t="s">
        <v>4791</v>
      </c>
      <c r="BE34" s="2681" t="s">
        <v>4792</v>
      </c>
      <c r="BF34" s="2682" t="s">
        <v>4793</v>
      </c>
      <c r="BG34" s="2681" t="s">
        <v>4794</v>
      </c>
      <c r="BH34" s="241" t="s">
        <v>4795</v>
      </c>
      <c r="BI34" s="2678" t="s">
        <v>4796</v>
      </c>
      <c r="BJ34" s="2679" t="s">
        <v>4797</v>
      </c>
      <c r="BK34" s="2681" t="s">
        <v>4798</v>
      </c>
      <c r="BL34" s="2682" t="s">
        <v>4799</v>
      </c>
      <c r="BM34" s="2680" t="s">
        <v>4800</v>
      </c>
      <c r="BN34" s="2681" t="s">
        <v>4801</v>
      </c>
      <c r="BO34" s="241" t="s">
        <v>4802</v>
      </c>
    </row>
    <row r="35" spans="1:67" s="192" customFormat="1">
      <c r="A35" s="851"/>
      <c r="B35" s="977" t="s">
        <v>4803</v>
      </c>
      <c r="C35" s="984" t="s">
        <v>4804</v>
      </c>
      <c r="D35" s="981"/>
      <c r="E35" s="1881" t="s">
        <v>49</v>
      </c>
      <c r="F35" s="978">
        <v>3</v>
      </c>
      <c r="G35" s="983"/>
      <c r="H35" s="1543"/>
      <c r="I35" s="1421"/>
      <c r="J35" s="1410"/>
      <c r="K35" s="1415"/>
      <c r="L35" s="1410"/>
      <c r="M35" s="241">
        <f t="shared" si="14"/>
        <v>0</v>
      </c>
      <c r="N35" s="983"/>
      <c r="O35" s="1543"/>
      <c r="P35" s="1421"/>
      <c r="Q35" s="1410"/>
      <c r="R35" s="1415"/>
      <c r="S35" s="1410"/>
      <c r="T35" s="241">
        <f t="shared" si="0"/>
        <v>0</v>
      </c>
      <c r="U35" s="1727"/>
      <c r="V35" s="70"/>
      <c r="W35" s="868">
        <f t="shared" si="43"/>
        <v>0</v>
      </c>
      <c r="Y35" s="71"/>
      <c r="Z35" s="93">
        <f xml:space="preserve"> IF( AND(OR($C35 = "Capital expenditure purpose - WATER additional line 6 [Other categories]",$C35=""), OR( G35 &lt;&gt; 0, H35 &lt;&gt; 0, I35 &lt;&gt; 0, J35 &lt;&gt; 0, K35 &lt;&gt; 0, L35 &lt;&gt; 0, N35 &lt;&gt; 0, O35 &lt;&gt; 0, P35 &lt;&gt; 0, Q35 &lt;&gt; 0, R35 &lt;&gt; 0, S35 &lt;&gt; 0) ), 1, 0 )</f>
        <v>0</v>
      </c>
      <c r="AA35" s="93">
        <f t="shared" ref="AA35:AF35" si="54" xml:space="preserve"> IF(AND($C35="Capital expenditure purpose - WATER additional line 6 [Other categories]",$M35=0), 0, IF( ISNUMBER( G35 ), 0, 1 ))</f>
        <v>0</v>
      </c>
      <c r="AB35" s="93">
        <f t="shared" si="54"/>
        <v>0</v>
      </c>
      <c r="AC35" s="93">
        <f t="shared" si="54"/>
        <v>0</v>
      </c>
      <c r="AD35" s="93">
        <f t="shared" si="54"/>
        <v>0</v>
      </c>
      <c r="AE35" s="93">
        <f t="shared" si="54"/>
        <v>0</v>
      </c>
      <c r="AF35" s="93">
        <f t="shared" si="54"/>
        <v>0</v>
      </c>
      <c r="AG35" s="85"/>
      <c r="AH35" s="93">
        <f t="shared" ref="AH35:AM35" si="55" xml:space="preserve"> IF(AND($C35="Capital expenditure purpose - WATER additional line 6 [Other categories]",$M35=0), 0, IF( ISNUMBER( N35 ), 0, 1 ))</f>
        <v>0</v>
      </c>
      <c r="AI35" s="93">
        <f t="shared" si="55"/>
        <v>0</v>
      </c>
      <c r="AJ35" s="93">
        <f t="shared" si="55"/>
        <v>0</v>
      </c>
      <c r="AK35" s="93">
        <f t="shared" si="55"/>
        <v>0</v>
      </c>
      <c r="AL35" s="93">
        <f t="shared" si="55"/>
        <v>0</v>
      </c>
      <c r="AM35" s="93">
        <f t="shared" si="55"/>
        <v>0</v>
      </c>
      <c r="AN35" s="71"/>
      <c r="AP35" s="71"/>
      <c r="AT35" s="71"/>
      <c r="AW35" s="977" t="s">
        <v>4803</v>
      </c>
      <c r="AX35" s="2686" t="s">
        <v>4805</v>
      </c>
      <c r="AY35" s="2685"/>
      <c r="AZ35" s="1881" t="s">
        <v>49</v>
      </c>
      <c r="BA35" s="978">
        <v>3</v>
      </c>
      <c r="BB35" s="2678" t="s">
        <v>4805</v>
      </c>
      <c r="BC35" s="2679" t="s">
        <v>4806</v>
      </c>
      <c r="BD35" s="2680" t="s">
        <v>4807</v>
      </c>
      <c r="BE35" s="2681" t="s">
        <v>4808</v>
      </c>
      <c r="BF35" s="2682" t="s">
        <v>4809</v>
      </c>
      <c r="BG35" s="2681" t="s">
        <v>4810</v>
      </c>
      <c r="BH35" s="241" t="s">
        <v>4811</v>
      </c>
      <c r="BI35" s="2678" t="s">
        <v>4812</v>
      </c>
      <c r="BJ35" s="2679" t="s">
        <v>4813</v>
      </c>
      <c r="BK35" s="2681" t="s">
        <v>4814</v>
      </c>
      <c r="BL35" s="2682" t="s">
        <v>4815</v>
      </c>
      <c r="BM35" s="2680" t="s">
        <v>4816</v>
      </c>
      <c r="BN35" s="2681" t="s">
        <v>4817</v>
      </c>
      <c r="BO35" s="241" t="s">
        <v>4818</v>
      </c>
    </row>
    <row r="36" spans="1:67" s="192" customFormat="1">
      <c r="A36" s="851"/>
      <c r="B36" s="977" t="s">
        <v>4819</v>
      </c>
      <c r="C36" s="984" t="s">
        <v>4820</v>
      </c>
      <c r="D36" s="981"/>
      <c r="E36" s="1881" t="s">
        <v>49</v>
      </c>
      <c r="F36" s="978">
        <v>3</v>
      </c>
      <c r="G36" s="983"/>
      <c r="H36" s="1543"/>
      <c r="I36" s="1421"/>
      <c r="J36" s="1410"/>
      <c r="K36" s="1415"/>
      <c r="L36" s="1410"/>
      <c r="M36" s="241">
        <f t="shared" si="14"/>
        <v>0</v>
      </c>
      <c r="N36" s="983"/>
      <c r="O36" s="1543"/>
      <c r="P36" s="1421"/>
      <c r="Q36" s="1410"/>
      <c r="R36" s="1415"/>
      <c r="S36" s="1410"/>
      <c r="T36" s="241">
        <f t="shared" si="0"/>
        <v>0</v>
      </c>
      <c r="U36" s="1727"/>
      <c r="V36" s="70"/>
      <c r="W36" s="868">
        <f t="shared" si="43"/>
        <v>0</v>
      </c>
      <c r="Y36" s="71"/>
      <c r="Z36" s="93">
        <f xml:space="preserve"> IF( AND(OR($C36 = "Capital expenditure purpose - WATER additional line 7 [Other categories]",$C36=""), OR( G36 &lt;&gt; 0, H36 &lt;&gt; 0, I36 &lt;&gt; 0, J36 &lt;&gt; 0, K36 &lt;&gt; 0, L36 &lt;&gt; 0, N36 &lt;&gt; 0, O36 &lt;&gt; 0, P36 &lt;&gt; 0, Q36 &lt;&gt; 0, R36 &lt;&gt; 0, S36 &lt;&gt; 0) ), 1, 0 )</f>
        <v>0</v>
      </c>
      <c r="AA36" s="93">
        <f t="shared" ref="AA36:AF36" si="56" xml:space="preserve"> IF(AND($C36="Capital expenditure purpose - WATER additional line 7 [Other categories]",$M36=0), 0, IF( ISNUMBER( G36 ), 0, 1 ))</f>
        <v>0</v>
      </c>
      <c r="AB36" s="93">
        <f t="shared" si="56"/>
        <v>0</v>
      </c>
      <c r="AC36" s="93">
        <f t="shared" si="56"/>
        <v>0</v>
      </c>
      <c r="AD36" s="93">
        <f t="shared" si="56"/>
        <v>0</v>
      </c>
      <c r="AE36" s="93">
        <f t="shared" si="56"/>
        <v>0</v>
      </c>
      <c r="AF36" s="93">
        <f t="shared" si="56"/>
        <v>0</v>
      </c>
      <c r="AG36" s="85"/>
      <c r="AH36" s="93">
        <f t="shared" ref="AH36:AM36" si="57" xml:space="preserve"> IF(AND($C36="Capital expenditure purpose - WATER additional line 7 [Other categories]",$M36=0), 0, IF( ISNUMBER( N36 ), 0, 1 ))</f>
        <v>0</v>
      </c>
      <c r="AI36" s="93">
        <f t="shared" si="57"/>
        <v>0</v>
      </c>
      <c r="AJ36" s="93">
        <f t="shared" si="57"/>
        <v>0</v>
      </c>
      <c r="AK36" s="93">
        <f t="shared" si="57"/>
        <v>0</v>
      </c>
      <c r="AL36" s="93">
        <f t="shared" si="57"/>
        <v>0</v>
      </c>
      <c r="AM36" s="93">
        <f t="shared" si="57"/>
        <v>0</v>
      </c>
      <c r="AN36" s="71"/>
      <c r="AP36" s="71"/>
      <c r="AT36" s="71"/>
      <c r="AW36" s="977" t="s">
        <v>4819</v>
      </c>
      <c r="AX36" s="2686" t="s">
        <v>4821</v>
      </c>
      <c r="AY36" s="2685"/>
      <c r="AZ36" s="1881" t="s">
        <v>49</v>
      </c>
      <c r="BA36" s="978">
        <v>3</v>
      </c>
      <c r="BB36" s="2678" t="s">
        <v>4821</v>
      </c>
      <c r="BC36" s="2679" t="s">
        <v>4822</v>
      </c>
      <c r="BD36" s="2680" t="s">
        <v>4823</v>
      </c>
      <c r="BE36" s="2681" t="s">
        <v>4824</v>
      </c>
      <c r="BF36" s="2682" t="s">
        <v>4825</v>
      </c>
      <c r="BG36" s="2681" t="s">
        <v>4826</v>
      </c>
      <c r="BH36" s="241" t="s">
        <v>4827</v>
      </c>
      <c r="BI36" s="2678" t="s">
        <v>4828</v>
      </c>
      <c r="BJ36" s="2679" t="s">
        <v>4829</v>
      </c>
      <c r="BK36" s="2681" t="s">
        <v>4830</v>
      </c>
      <c r="BL36" s="2682" t="s">
        <v>4831</v>
      </c>
      <c r="BM36" s="2680" t="s">
        <v>4832</v>
      </c>
      <c r="BN36" s="2681" t="s">
        <v>4833</v>
      </c>
      <c r="BO36" s="241" t="s">
        <v>4834</v>
      </c>
    </row>
    <row r="37" spans="1:67" s="192" customFormat="1">
      <c r="A37" s="851"/>
      <c r="B37" s="977" t="s">
        <v>4835</v>
      </c>
      <c r="C37" s="984" t="s">
        <v>4836</v>
      </c>
      <c r="D37" s="981"/>
      <c r="E37" s="1881" t="s">
        <v>49</v>
      </c>
      <c r="F37" s="978">
        <v>3</v>
      </c>
      <c r="G37" s="983"/>
      <c r="H37" s="1543"/>
      <c r="I37" s="1421"/>
      <c r="J37" s="1410"/>
      <c r="K37" s="1415"/>
      <c r="L37" s="1410"/>
      <c r="M37" s="241">
        <f t="shared" si="14"/>
        <v>0</v>
      </c>
      <c r="N37" s="983"/>
      <c r="O37" s="1543"/>
      <c r="P37" s="1421"/>
      <c r="Q37" s="1410"/>
      <c r="R37" s="1415"/>
      <c r="S37" s="1410"/>
      <c r="T37" s="241">
        <f t="shared" si="0"/>
        <v>0</v>
      </c>
      <c r="U37" s="1727"/>
      <c r="V37" s="70"/>
      <c r="W37" s="868">
        <f t="shared" si="43"/>
        <v>0</v>
      </c>
      <c r="Y37" s="71"/>
      <c r="Z37" s="93">
        <f xml:space="preserve"> IF( AND(OR($C37 = "Capital expenditure purpose - WATER additional line 8 [Other categories]",$C37=""), OR( G37 &lt;&gt; 0, H37 &lt;&gt; 0, I37 &lt;&gt; 0, J37 &lt;&gt; 0, K37 &lt;&gt; 0, L37 &lt;&gt; 0, N37 &lt;&gt; 0, O37 &lt;&gt; 0, P37 &lt;&gt; 0, Q37 &lt;&gt; 0, R37 &lt;&gt; 0, S37 &lt;&gt; 0) ), 1, 0 )</f>
        <v>0</v>
      </c>
      <c r="AA37" s="93">
        <f t="shared" ref="AA37:AF37" si="58" xml:space="preserve"> IF(AND($C37="Capital expenditure purpose - WATER additional line 8 [Other categories]",$M37=0), 0, IF( ISNUMBER( G37 ), 0, 1 ))</f>
        <v>0</v>
      </c>
      <c r="AB37" s="93">
        <f t="shared" si="58"/>
        <v>0</v>
      </c>
      <c r="AC37" s="93">
        <f t="shared" si="58"/>
        <v>0</v>
      </c>
      <c r="AD37" s="93">
        <f t="shared" si="58"/>
        <v>0</v>
      </c>
      <c r="AE37" s="93">
        <f t="shared" si="58"/>
        <v>0</v>
      </c>
      <c r="AF37" s="93">
        <f t="shared" si="58"/>
        <v>0</v>
      </c>
      <c r="AG37" s="85"/>
      <c r="AH37" s="93">
        <f t="shared" ref="AH37:AM37" si="59" xml:space="preserve"> IF(AND($C37="Capital expenditure purpose - WATER additional line 8 [Other categories]",$M37=0), 0, IF( ISNUMBER( N37 ), 0, 1 ))</f>
        <v>0</v>
      </c>
      <c r="AI37" s="93">
        <f t="shared" si="59"/>
        <v>0</v>
      </c>
      <c r="AJ37" s="93">
        <f t="shared" si="59"/>
        <v>0</v>
      </c>
      <c r="AK37" s="93">
        <f t="shared" si="59"/>
        <v>0</v>
      </c>
      <c r="AL37" s="93">
        <f t="shared" si="59"/>
        <v>0</v>
      </c>
      <c r="AM37" s="93">
        <f t="shared" si="59"/>
        <v>0</v>
      </c>
      <c r="AN37" s="71"/>
      <c r="AP37" s="71"/>
      <c r="AT37" s="71"/>
      <c r="AW37" s="977" t="s">
        <v>4835</v>
      </c>
      <c r="AX37" s="2686" t="s">
        <v>4837</v>
      </c>
      <c r="AY37" s="2685"/>
      <c r="AZ37" s="1881" t="s">
        <v>49</v>
      </c>
      <c r="BA37" s="978">
        <v>3</v>
      </c>
      <c r="BB37" s="2678" t="s">
        <v>4837</v>
      </c>
      <c r="BC37" s="2679" t="s">
        <v>4838</v>
      </c>
      <c r="BD37" s="2680" t="s">
        <v>4839</v>
      </c>
      <c r="BE37" s="2681" t="s">
        <v>4840</v>
      </c>
      <c r="BF37" s="2682" t="s">
        <v>4841</v>
      </c>
      <c r="BG37" s="2681" t="s">
        <v>4842</v>
      </c>
      <c r="BH37" s="241" t="s">
        <v>4843</v>
      </c>
      <c r="BI37" s="2678" t="s">
        <v>4844</v>
      </c>
      <c r="BJ37" s="2679" t="s">
        <v>4845</v>
      </c>
      <c r="BK37" s="2681" t="s">
        <v>4846</v>
      </c>
      <c r="BL37" s="2682" t="s">
        <v>4847</v>
      </c>
      <c r="BM37" s="2680" t="s">
        <v>4848</v>
      </c>
      <c r="BN37" s="2681" t="s">
        <v>4849</v>
      </c>
      <c r="BO37" s="241" t="s">
        <v>4850</v>
      </c>
    </row>
    <row r="38" spans="1:67" s="192" customFormat="1">
      <c r="A38" s="851"/>
      <c r="B38" s="977" t="s">
        <v>4851</v>
      </c>
      <c r="C38" s="984" t="s">
        <v>4852</v>
      </c>
      <c r="D38" s="981"/>
      <c r="E38" s="1881" t="s">
        <v>49</v>
      </c>
      <c r="F38" s="978">
        <v>3</v>
      </c>
      <c r="G38" s="983"/>
      <c r="H38" s="1543"/>
      <c r="I38" s="1421"/>
      <c r="J38" s="1410"/>
      <c r="K38" s="1415"/>
      <c r="L38" s="1410"/>
      <c r="M38" s="241">
        <f t="shared" si="14"/>
        <v>0</v>
      </c>
      <c r="N38" s="983"/>
      <c r="O38" s="1543"/>
      <c r="P38" s="1421"/>
      <c r="Q38" s="1410"/>
      <c r="R38" s="1415"/>
      <c r="S38" s="1410"/>
      <c r="T38" s="241">
        <f t="shared" si="0"/>
        <v>0</v>
      </c>
      <c r="U38" s="1727"/>
      <c r="V38" s="70"/>
      <c r="W38" s="868">
        <f t="shared" si="43"/>
        <v>0</v>
      </c>
      <c r="Y38" s="71"/>
      <c r="Z38" s="93">
        <f xml:space="preserve"> IF( AND(OR($C38 = "Capital expenditure purpose - WATER additional line 9 [Other categories]",$C38=""), OR( G38 &lt;&gt; 0, H38 &lt;&gt; 0, I38 &lt;&gt; 0, J38 &lt;&gt; 0, K38 &lt;&gt; 0, L38 &lt;&gt; 0, N38 &lt;&gt; 0, O38 &lt;&gt; 0, P38 &lt;&gt; 0, Q38 &lt;&gt; 0, R38 &lt;&gt; 0, S38 &lt;&gt; 0) ), 1, 0 )</f>
        <v>0</v>
      </c>
      <c r="AA38" s="93">
        <f t="shared" ref="AA38:AF38" si="60" xml:space="preserve"> IF(AND($C38="Capital expenditure purpose - WATER additional line 9 [Other categories]",$M38=0), 0, IF( ISNUMBER( G38 ), 0, 1 ))</f>
        <v>0</v>
      </c>
      <c r="AB38" s="93">
        <f t="shared" si="60"/>
        <v>0</v>
      </c>
      <c r="AC38" s="93">
        <f t="shared" si="60"/>
        <v>0</v>
      </c>
      <c r="AD38" s="93">
        <f t="shared" si="60"/>
        <v>0</v>
      </c>
      <c r="AE38" s="93">
        <f t="shared" si="60"/>
        <v>0</v>
      </c>
      <c r="AF38" s="93">
        <f t="shared" si="60"/>
        <v>0</v>
      </c>
      <c r="AG38" s="85"/>
      <c r="AH38" s="93">
        <f t="shared" ref="AH38:AM38" si="61" xml:space="preserve"> IF(AND($C38="Capital expenditure purpose - WATER additional line 9 [Other categories]",$M38=0), 0, IF( ISNUMBER( N38 ), 0, 1 ))</f>
        <v>0</v>
      </c>
      <c r="AI38" s="93">
        <f t="shared" si="61"/>
        <v>0</v>
      </c>
      <c r="AJ38" s="93">
        <f t="shared" si="61"/>
        <v>0</v>
      </c>
      <c r="AK38" s="93">
        <f t="shared" si="61"/>
        <v>0</v>
      </c>
      <c r="AL38" s="93">
        <f t="shared" si="61"/>
        <v>0</v>
      </c>
      <c r="AM38" s="93">
        <f t="shared" si="61"/>
        <v>0</v>
      </c>
      <c r="AN38" s="71"/>
      <c r="AP38" s="71"/>
      <c r="AT38" s="71"/>
      <c r="AW38" s="977" t="s">
        <v>4851</v>
      </c>
      <c r="AX38" s="2686" t="s">
        <v>4853</v>
      </c>
      <c r="AY38" s="2685"/>
      <c r="AZ38" s="1881" t="s">
        <v>49</v>
      </c>
      <c r="BA38" s="978">
        <v>3</v>
      </c>
      <c r="BB38" s="2678" t="s">
        <v>4853</v>
      </c>
      <c r="BC38" s="2679" t="s">
        <v>4854</v>
      </c>
      <c r="BD38" s="2680" t="s">
        <v>4855</v>
      </c>
      <c r="BE38" s="2681" t="s">
        <v>4856</v>
      </c>
      <c r="BF38" s="2682" t="s">
        <v>4857</v>
      </c>
      <c r="BG38" s="2681" t="s">
        <v>4858</v>
      </c>
      <c r="BH38" s="241" t="s">
        <v>4859</v>
      </c>
      <c r="BI38" s="2678" t="s">
        <v>4860</v>
      </c>
      <c r="BJ38" s="2679" t="s">
        <v>4861</v>
      </c>
      <c r="BK38" s="2681" t="s">
        <v>4862</v>
      </c>
      <c r="BL38" s="2682" t="s">
        <v>4863</v>
      </c>
      <c r="BM38" s="2680" t="s">
        <v>4864</v>
      </c>
      <c r="BN38" s="2681" t="s">
        <v>4865</v>
      </c>
      <c r="BO38" s="241" t="s">
        <v>4866</v>
      </c>
    </row>
    <row r="39" spans="1:67" s="192" customFormat="1">
      <c r="A39" s="851"/>
      <c r="B39" s="977" t="s">
        <v>4867</v>
      </c>
      <c r="C39" s="984" t="s">
        <v>4868</v>
      </c>
      <c r="D39" s="1106"/>
      <c r="E39" s="1881" t="s">
        <v>49</v>
      </c>
      <c r="F39" s="978">
        <v>3</v>
      </c>
      <c r="G39" s="983"/>
      <c r="H39" s="1543"/>
      <c r="I39" s="1421"/>
      <c r="J39" s="1410"/>
      <c r="K39" s="1415"/>
      <c r="L39" s="1410"/>
      <c r="M39" s="241">
        <f t="shared" si="14"/>
        <v>0</v>
      </c>
      <c r="N39" s="983"/>
      <c r="O39" s="1543"/>
      <c r="P39" s="1421"/>
      <c r="Q39" s="1410"/>
      <c r="R39" s="1415"/>
      <c r="S39" s="1410"/>
      <c r="T39" s="241">
        <f t="shared" ref="T39:T43" si="62">SUM(N39:S39)</f>
        <v>0</v>
      </c>
      <c r="U39" s="1727"/>
      <c r="V39" s="70"/>
      <c r="W39" s="868">
        <f t="shared" si="43"/>
        <v>0</v>
      </c>
      <c r="Y39" s="71"/>
      <c r="Z39" s="93">
        <f xml:space="preserve"> IF( AND(OR($C39 = "Capital expenditure purpose - WATER additional line 10 [Other categories]",$C39=""), OR( G39 &lt;&gt; 0, H39 &lt;&gt; 0, I39 &lt;&gt; 0, J39 &lt;&gt; 0, K39 &lt;&gt; 0, L39 &lt;&gt; 0, N39 &lt;&gt; 0, O39 &lt;&gt; 0, P39 &lt;&gt; 0, Q39 &lt;&gt; 0, R39 &lt;&gt; 0, S39 &lt;&gt; 0) ), 1, 0 )</f>
        <v>0</v>
      </c>
      <c r="AA39" s="93">
        <f t="shared" ref="AA39:AF39" si="63" xml:space="preserve"> IF(AND($C39="Capital expenditure purpose - WATER additional line 10 [Other categories]",$M39=0), 0, IF( ISNUMBER( G39 ), 0, 1 ))</f>
        <v>0</v>
      </c>
      <c r="AB39" s="93">
        <f t="shared" si="63"/>
        <v>0</v>
      </c>
      <c r="AC39" s="93">
        <f t="shared" si="63"/>
        <v>0</v>
      </c>
      <c r="AD39" s="93">
        <f t="shared" si="63"/>
        <v>0</v>
      </c>
      <c r="AE39" s="93">
        <f t="shared" si="63"/>
        <v>0</v>
      </c>
      <c r="AF39" s="93">
        <f t="shared" si="63"/>
        <v>0</v>
      </c>
      <c r="AG39" s="85"/>
      <c r="AH39" s="93">
        <f t="shared" ref="AH39:AM39" si="64" xml:space="preserve"> IF(AND($C39="Capital expenditure purpose - WATER additional line 10 [Other categories]",$M39=0), 0, IF( ISNUMBER( N39 ), 0, 1 ))</f>
        <v>0</v>
      </c>
      <c r="AI39" s="93">
        <f t="shared" si="64"/>
        <v>0</v>
      </c>
      <c r="AJ39" s="93">
        <f t="shared" si="64"/>
        <v>0</v>
      </c>
      <c r="AK39" s="93">
        <f t="shared" si="64"/>
        <v>0</v>
      </c>
      <c r="AL39" s="93">
        <f t="shared" si="64"/>
        <v>0</v>
      </c>
      <c r="AM39" s="93">
        <f t="shared" si="64"/>
        <v>0</v>
      </c>
      <c r="AN39" s="71"/>
      <c r="AP39" s="71"/>
      <c r="AT39" s="71"/>
      <c r="AW39" s="977" t="s">
        <v>4867</v>
      </c>
      <c r="AX39" s="2686" t="s">
        <v>4869</v>
      </c>
      <c r="AY39" s="2687"/>
      <c r="AZ39" s="1881" t="s">
        <v>49</v>
      </c>
      <c r="BA39" s="978">
        <v>3</v>
      </c>
      <c r="BB39" s="2688" t="s">
        <v>4869</v>
      </c>
      <c r="BC39" s="2689" t="s">
        <v>4870</v>
      </c>
      <c r="BD39" s="2690" t="s">
        <v>4871</v>
      </c>
      <c r="BE39" s="2691" t="s">
        <v>4872</v>
      </c>
      <c r="BF39" s="2692" t="s">
        <v>4873</v>
      </c>
      <c r="BG39" s="2691" t="s">
        <v>4874</v>
      </c>
      <c r="BH39" s="241" t="s">
        <v>4875</v>
      </c>
      <c r="BI39" s="2688" t="s">
        <v>4876</v>
      </c>
      <c r="BJ39" s="2689" t="s">
        <v>4877</v>
      </c>
      <c r="BK39" s="2691" t="s">
        <v>4878</v>
      </c>
      <c r="BL39" s="2692" t="s">
        <v>4879</v>
      </c>
      <c r="BM39" s="2690" t="s">
        <v>4880</v>
      </c>
      <c r="BN39" s="2691" t="s">
        <v>4881</v>
      </c>
      <c r="BO39" s="241" t="s">
        <v>4882</v>
      </c>
    </row>
    <row r="40" spans="1:67" s="192" customFormat="1">
      <c r="A40" s="851"/>
      <c r="B40" s="977" t="s">
        <v>4883</v>
      </c>
      <c r="C40" s="984" t="s">
        <v>4884</v>
      </c>
      <c r="D40" s="1106"/>
      <c r="E40" s="1881" t="s">
        <v>49</v>
      </c>
      <c r="F40" s="978">
        <v>3</v>
      </c>
      <c r="G40" s="983"/>
      <c r="H40" s="1543"/>
      <c r="I40" s="1421"/>
      <c r="J40" s="1410"/>
      <c r="K40" s="1415"/>
      <c r="L40" s="1410"/>
      <c r="M40" s="241">
        <f t="shared" si="14"/>
        <v>0</v>
      </c>
      <c r="N40" s="983"/>
      <c r="O40" s="1543"/>
      <c r="P40" s="1421"/>
      <c r="Q40" s="1410"/>
      <c r="R40" s="1415"/>
      <c r="S40" s="1410"/>
      <c r="T40" s="241">
        <f t="shared" si="62"/>
        <v>0</v>
      </c>
      <c r="U40" s="1727"/>
      <c r="V40" s="70"/>
      <c r="W40" s="868">
        <f t="shared" si="43"/>
        <v>0</v>
      </c>
      <c r="Y40" s="71"/>
      <c r="Z40" s="93">
        <f xml:space="preserve"> IF( AND(OR($C40 = "Capital expenditure purpose - WATER additional line 11 [Other categories]",$C40=""), OR( G40 &lt;&gt; 0, H40 &lt;&gt; 0, I40 &lt;&gt; 0, J40 &lt;&gt; 0, K40 &lt;&gt; 0, L40 &lt;&gt; 0, N40 &lt;&gt; 0, O40 &lt;&gt; 0, P40 &lt;&gt; 0, Q40 &lt;&gt; 0, R40 &lt;&gt; 0, S40 &lt;&gt; 0) ), 1, 0 )</f>
        <v>0</v>
      </c>
      <c r="AA40" s="93">
        <f t="shared" ref="AA40:AF40" si="65" xml:space="preserve"> IF(AND($C40="Capital expenditure purpose - WATER additional line 11 [Other categories]",$M40=0), 0, IF( ISNUMBER( G40 ), 0, 1 ))</f>
        <v>0</v>
      </c>
      <c r="AB40" s="93">
        <f t="shared" si="65"/>
        <v>0</v>
      </c>
      <c r="AC40" s="93">
        <f t="shared" si="65"/>
        <v>0</v>
      </c>
      <c r="AD40" s="93">
        <f t="shared" si="65"/>
        <v>0</v>
      </c>
      <c r="AE40" s="93">
        <f t="shared" si="65"/>
        <v>0</v>
      </c>
      <c r="AF40" s="93">
        <f t="shared" si="65"/>
        <v>0</v>
      </c>
      <c r="AG40" s="85"/>
      <c r="AH40" s="93">
        <f t="shared" ref="AH40:AM40" si="66" xml:space="preserve"> IF(AND($C40="Capital expenditure purpose - WATER additional line 11 [Other categories]",$M40=0), 0, IF( ISNUMBER( N40 ), 0, 1 ))</f>
        <v>0</v>
      </c>
      <c r="AI40" s="93">
        <f t="shared" si="66"/>
        <v>0</v>
      </c>
      <c r="AJ40" s="93">
        <f t="shared" si="66"/>
        <v>0</v>
      </c>
      <c r="AK40" s="93">
        <f t="shared" si="66"/>
        <v>0</v>
      </c>
      <c r="AL40" s="93">
        <f t="shared" si="66"/>
        <v>0</v>
      </c>
      <c r="AM40" s="93">
        <f t="shared" si="66"/>
        <v>0</v>
      </c>
      <c r="AN40" s="71"/>
      <c r="AP40" s="71"/>
      <c r="AT40" s="71"/>
      <c r="AW40" s="977" t="s">
        <v>4883</v>
      </c>
      <c r="AX40" s="2686" t="s">
        <v>4885</v>
      </c>
      <c r="AY40" s="2687"/>
      <c r="AZ40" s="1881" t="s">
        <v>49</v>
      </c>
      <c r="BA40" s="978">
        <v>3</v>
      </c>
      <c r="BB40" s="2688" t="s">
        <v>4885</v>
      </c>
      <c r="BC40" s="2689" t="s">
        <v>4886</v>
      </c>
      <c r="BD40" s="2690" t="s">
        <v>4887</v>
      </c>
      <c r="BE40" s="2691" t="s">
        <v>4888</v>
      </c>
      <c r="BF40" s="2692" t="s">
        <v>4889</v>
      </c>
      <c r="BG40" s="2691" t="s">
        <v>4890</v>
      </c>
      <c r="BH40" s="241" t="s">
        <v>4891</v>
      </c>
      <c r="BI40" s="2688" t="s">
        <v>4892</v>
      </c>
      <c r="BJ40" s="2689" t="s">
        <v>4893</v>
      </c>
      <c r="BK40" s="2691" t="s">
        <v>4894</v>
      </c>
      <c r="BL40" s="2692" t="s">
        <v>4895</v>
      </c>
      <c r="BM40" s="2690" t="s">
        <v>4896</v>
      </c>
      <c r="BN40" s="2691" t="s">
        <v>4897</v>
      </c>
      <c r="BO40" s="241" t="s">
        <v>4898</v>
      </c>
    </row>
    <row r="41" spans="1:67" s="192" customFormat="1">
      <c r="A41" s="851"/>
      <c r="B41" s="977" t="s">
        <v>4899</v>
      </c>
      <c r="C41" s="984" t="s">
        <v>4900</v>
      </c>
      <c r="D41" s="1106"/>
      <c r="E41" s="1881" t="s">
        <v>49</v>
      </c>
      <c r="F41" s="978">
        <v>3</v>
      </c>
      <c r="G41" s="983"/>
      <c r="H41" s="1543"/>
      <c r="I41" s="1421"/>
      <c r="J41" s="1410"/>
      <c r="K41" s="1415"/>
      <c r="L41" s="1410"/>
      <c r="M41" s="241">
        <f t="shared" si="14"/>
        <v>0</v>
      </c>
      <c r="N41" s="983"/>
      <c r="O41" s="1543"/>
      <c r="P41" s="1421"/>
      <c r="Q41" s="1410"/>
      <c r="R41" s="1415"/>
      <c r="S41" s="1410"/>
      <c r="T41" s="241">
        <f t="shared" si="62"/>
        <v>0</v>
      </c>
      <c r="U41" s="1727"/>
      <c r="V41" s="70"/>
      <c r="W41" s="868">
        <f t="shared" si="43"/>
        <v>0</v>
      </c>
      <c r="Y41" s="71"/>
      <c r="Z41" s="93">
        <f xml:space="preserve"> IF( AND(OR($C41 = "Capital expenditure purpose - WATER additional line 12 [Other categories]",$C41=""), OR( G41 &lt;&gt; 0, H41 &lt;&gt; 0, I41 &lt;&gt; 0, J41 &lt;&gt; 0, K41 &lt;&gt; 0, L41 &lt;&gt; 0, N41 &lt;&gt; 0, O41 &lt;&gt; 0, P41 &lt;&gt; 0, Q41 &lt;&gt; 0, R41 &lt;&gt; 0, S41 &lt;&gt; 0) ), 1, 0 )</f>
        <v>0</v>
      </c>
      <c r="AA41" s="93">
        <f t="shared" ref="AA41:AF41" si="67" xml:space="preserve"> IF(AND($C41="Capital expenditure purpose - WATER additional line 12 [Other categories]",$M41=0), 0, IF( ISNUMBER( G41 ), 0, 1 ))</f>
        <v>0</v>
      </c>
      <c r="AB41" s="93">
        <f t="shared" si="67"/>
        <v>0</v>
      </c>
      <c r="AC41" s="93">
        <f t="shared" si="67"/>
        <v>0</v>
      </c>
      <c r="AD41" s="93">
        <f t="shared" si="67"/>
        <v>0</v>
      </c>
      <c r="AE41" s="93">
        <f t="shared" si="67"/>
        <v>0</v>
      </c>
      <c r="AF41" s="93">
        <f t="shared" si="67"/>
        <v>0</v>
      </c>
      <c r="AG41" s="85"/>
      <c r="AH41" s="93">
        <f t="shared" ref="AH41:AM41" si="68" xml:space="preserve"> IF(AND($C41="Capital expenditure purpose - WATER additional line 12 [Other categories]",$M41=0), 0, IF( ISNUMBER( N41 ), 0, 1 ))</f>
        <v>0</v>
      </c>
      <c r="AI41" s="93">
        <f t="shared" si="68"/>
        <v>0</v>
      </c>
      <c r="AJ41" s="93">
        <f t="shared" si="68"/>
        <v>0</v>
      </c>
      <c r="AK41" s="93">
        <f t="shared" si="68"/>
        <v>0</v>
      </c>
      <c r="AL41" s="93">
        <f t="shared" si="68"/>
        <v>0</v>
      </c>
      <c r="AM41" s="93">
        <f t="shared" si="68"/>
        <v>0</v>
      </c>
      <c r="AN41" s="71"/>
      <c r="AP41" s="71"/>
      <c r="AT41" s="71"/>
      <c r="AW41" s="977" t="s">
        <v>4899</v>
      </c>
      <c r="AX41" s="2686" t="s">
        <v>4901</v>
      </c>
      <c r="AY41" s="2687"/>
      <c r="AZ41" s="1881" t="s">
        <v>49</v>
      </c>
      <c r="BA41" s="978">
        <v>3</v>
      </c>
      <c r="BB41" s="2688" t="s">
        <v>4901</v>
      </c>
      <c r="BC41" s="2689" t="s">
        <v>4902</v>
      </c>
      <c r="BD41" s="2690" t="s">
        <v>4903</v>
      </c>
      <c r="BE41" s="2691" t="s">
        <v>4904</v>
      </c>
      <c r="BF41" s="2692" t="s">
        <v>4905</v>
      </c>
      <c r="BG41" s="2691" t="s">
        <v>4906</v>
      </c>
      <c r="BH41" s="241" t="s">
        <v>4907</v>
      </c>
      <c r="BI41" s="2688" t="s">
        <v>4908</v>
      </c>
      <c r="BJ41" s="2689" t="s">
        <v>4909</v>
      </c>
      <c r="BK41" s="2691" t="s">
        <v>4910</v>
      </c>
      <c r="BL41" s="2692" t="s">
        <v>4911</v>
      </c>
      <c r="BM41" s="2690" t="s">
        <v>4912</v>
      </c>
      <c r="BN41" s="2691" t="s">
        <v>4913</v>
      </c>
      <c r="BO41" s="241" t="s">
        <v>4914</v>
      </c>
    </row>
    <row r="42" spans="1:67" s="192" customFormat="1">
      <c r="A42" s="851"/>
      <c r="B42" s="977" t="s">
        <v>4915</v>
      </c>
      <c r="C42" s="984" t="s">
        <v>4916</v>
      </c>
      <c r="D42" s="1106"/>
      <c r="E42" s="1881" t="s">
        <v>49</v>
      </c>
      <c r="F42" s="978">
        <v>3</v>
      </c>
      <c r="G42" s="983"/>
      <c r="H42" s="1543"/>
      <c r="I42" s="1421"/>
      <c r="J42" s="1410"/>
      <c r="K42" s="1415"/>
      <c r="L42" s="1410"/>
      <c r="M42" s="241">
        <f t="shared" si="14"/>
        <v>0</v>
      </c>
      <c r="N42" s="983"/>
      <c r="O42" s="1543"/>
      <c r="P42" s="1421"/>
      <c r="Q42" s="1410"/>
      <c r="R42" s="1415"/>
      <c r="S42" s="1410"/>
      <c r="T42" s="241">
        <f t="shared" si="62"/>
        <v>0</v>
      </c>
      <c r="U42" s="1727"/>
      <c r="V42" s="70"/>
      <c r="W42" s="868">
        <f t="shared" si="43"/>
        <v>0</v>
      </c>
      <c r="Y42" s="71"/>
      <c r="Z42" s="93">
        <f xml:space="preserve"> IF( AND(OR($C42 = "Capital expenditure purpose - WATER additional line 13 [Other categories]",$C42=""), OR( G42 &lt;&gt; 0, H42 &lt;&gt; 0, I42 &lt;&gt; 0, J42 &lt;&gt; 0, K42 &lt;&gt; 0, L42 &lt;&gt; 0, N42 &lt;&gt; 0, O42 &lt;&gt; 0, P42 &lt;&gt; 0, Q42 &lt;&gt; 0, R42 &lt;&gt; 0, S42 &lt;&gt; 0) ), 1, 0 )</f>
        <v>0</v>
      </c>
      <c r="AA42" s="93">
        <f t="shared" ref="AA42:AF42" si="69" xml:space="preserve"> IF(AND($C42="Capital expenditure purpose - WATER additional line 13 [Other categories]",$M42=0), 0, IF( ISNUMBER( G42 ), 0, 1 ))</f>
        <v>0</v>
      </c>
      <c r="AB42" s="93">
        <f t="shared" si="69"/>
        <v>0</v>
      </c>
      <c r="AC42" s="93">
        <f t="shared" si="69"/>
        <v>0</v>
      </c>
      <c r="AD42" s="93">
        <f t="shared" si="69"/>
        <v>0</v>
      </c>
      <c r="AE42" s="93">
        <f t="shared" si="69"/>
        <v>0</v>
      </c>
      <c r="AF42" s="93">
        <f t="shared" si="69"/>
        <v>0</v>
      </c>
      <c r="AG42" s="85"/>
      <c r="AH42" s="93">
        <f t="shared" ref="AH42:AM42" si="70" xml:space="preserve"> IF(AND($C42="Capital expenditure purpose - WATER additional line 13 [Other categories]",$M42=0), 0, IF( ISNUMBER( N42 ), 0, 1 ))</f>
        <v>0</v>
      </c>
      <c r="AI42" s="93">
        <f t="shared" si="70"/>
        <v>0</v>
      </c>
      <c r="AJ42" s="93">
        <f t="shared" si="70"/>
        <v>0</v>
      </c>
      <c r="AK42" s="93">
        <f t="shared" si="70"/>
        <v>0</v>
      </c>
      <c r="AL42" s="93">
        <f t="shared" si="70"/>
        <v>0</v>
      </c>
      <c r="AM42" s="93">
        <f t="shared" si="70"/>
        <v>0</v>
      </c>
      <c r="AN42" s="71"/>
      <c r="AP42" s="71"/>
      <c r="AT42" s="71"/>
      <c r="AW42" s="977" t="s">
        <v>4915</v>
      </c>
      <c r="AX42" s="2686" t="s">
        <v>4917</v>
      </c>
      <c r="AY42" s="2687"/>
      <c r="AZ42" s="1881" t="s">
        <v>49</v>
      </c>
      <c r="BA42" s="978">
        <v>3</v>
      </c>
      <c r="BB42" s="2688" t="s">
        <v>4917</v>
      </c>
      <c r="BC42" s="2689" t="s">
        <v>4918</v>
      </c>
      <c r="BD42" s="2690" t="s">
        <v>4919</v>
      </c>
      <c r="BE42" s="2691" t="s">
        <v>4920</v>
      </c>
      <c r="BF42" s="2692" t="s">
        <v>4921</v>
      </c>
      <c r="BG42" s="2691" t="s">
        <v>4922</v>
      </c>
      <c r="BH42" s="241" t="s">
        <v>4923</v>
      </c>
      <c r="BI42" s="2688" t="s">
        <v>4924</v>
      </c>
      <c r="BJ42" s="2689" t="s">
        <v>4925</v>
      </c>
      <c r="BK42" s="2691" t="s">
        <v>4926</v>
      </c>
      <c r="BL42" s="2692" t="s">
        <v>4927</v>
      </c>
      <c r="BM42" s="2690" t="s">
        <v>4928</v>
      </c>
      <c r="BN42" s="2691" t="s">
        <v>4929</v>
      </c>
      <c r="BO42" s="241" t="s">
        <v>4930</v>
      </c>
    </row>
    <row r="43" spans="1:67" s="192" customFormat="1">
      <c r="A43" s="851"/>
      <c r="B43" s="977" t="s">
        <v>4931</v>
      </c>
      <c r="C43" s="984" t="s">
        <v>4932</v>
      </c>
      <c r="D43" s="1106"/>
      <c r="E43" s="1881" t="s">
        <v>49</v>
      </c>
      <c r="F43" s="978">
        <v>3</v>
      </c>
      <c r="G43" s="983"/>
      <c r="H43" s="1543"/>
      <c r="I43" s="1421"/>
      <c r="J43" s="1410"/>
      <c r="K43" s="1415"/>
      <c r="L43" s="1410"/>
      <c r="M43" s="241">
        <f t="shared" si="14"/>
        <v>0</v>
      </c>
      <c r="N43" s="983"/>
      <c r="O43" s="1543"/>
      <c r="P43" s="1421"/>
      <c r="Q43" s="1410"/>
      <c r="R43" s="1415"/>
      <c r="S43" s="1410"/>
      <c r="T43" s="241">
        <f t="shared" si="62"/>
        <v>0</v>
      </c>
      <c r="U43" s="1727"/>
      <c r="V43" s="70"/>
      <c r="W43" s="868">
        <f t="shared" si="43"/>
        <v>0</v>
      </c>
      <c r="Y43" s="71"/>
      <c r="Z43" s="93">
        <f xml:space="preserve"> IF( AND(OR($C43 = "Capital expenditure purpose - WATER additional line 14 [Other categories]",$C43=""), OR( G43 &lt;&gt; 0, H43 &lt;&gt; 0, I43 &lt;&gt; 0, J43 &lt;&gt; 0, K43 &lt;&gt; 0, L43 &lt;&gt; 0, N43 &lt;&gt; 0, O43 &lt;&gt; 0, P43 &lt;&gt; 0, Q43 &lt;&gt; 0, R43 &lt;&gt; 0, S43 &lt;&gt; 0) ), 1, 0 )</f>
        <v>0</v>
      </c>
      <c r="AA43" s="93">
        <f t="shared" ref="AA43:AF43" si="71" xml:space="preserve"> IF(AND($C43="Capital expenditure purpose - WATER additional line 14 [Other categories]",$M43=0), 0, IF( ISNUMBER( G43 ), 0, 1 ))</f>
        <v>0</v>
      </c>
      <c r="AB43" s="93">
        <f t="shared" si="71"/>
        <v>0</v>
      </c>
      <c r="AC43" s="93">
        <f t="shared" si="71"/>
        <v>0</v>
      </c>
      <c r="AD43" s="93">
        <f t="shared" si="71"/>
        <v>0</v>
      </c>
      <c r="AE43" s="93">
        <f t="shared" si="71"/>
        <v>0</v>
      </c>
      <c r="AF43" s="93">
        <f t="shared" si="71"/>
        <v>0</v>
      </c>
      <c r="AG43" s="85"/>
      <c r="AH43" s="93">
        <f t="shared" ref="AH43:AM43" si="72" xml:space="preserve"> IF(AND($C43="Capital expenditure purpose - WATER additional line 14 [Other categories]",$M43=0), 0, IF( ISNUMBER( N43 ), 0, 1 ))</f>
        <v>0</v>
      </c>
      <c r="AI43" s="93">
        <f t="shared" si="72"/>
        <v>0</v>
      </c>
      <c r="AJ43" s="93">
        <f t="shared" si="72"/>
        <v>0</v>
      </c>
      <c r="AK43" s="93">
        <f t="shared" si="72"/>
        <v>0</v>
      </c>
      <c r="AL43" s="93">
        <f t="shared" si="72"/>
        <v>0</v>
      </c>
      <c r="AM43" s="93">
        <f t="shared" si="72"/>
        <v>0</v>
      </c>
      <c r="AN43" s="71"/>
      <c r="AP43" s="71"/>
      <c r="AT43" s="71"/>
      <c r="AW43" s="977" t="s">
        <v>4931</v>
      </c>
      <c r="AX43" s="2686" t="s">
        <v>4933</v>
      </c>
      <c r="AY43" s="2687"/>
      <c r="AZ43" s="1881" t="s">
        <v>49</v>
      </c>
      <c r="BA43" s="978">
        <v>3</v>
      </c>
      <c r="BB43" s="2688" t="s">
        <v>4933</v>
      </c>
      <c r="BC43" s="2689" t="s">
        <v>4934</v>
      </c>
      <c r="BD43" s="2690" t="s">
        <v>4935</v>
      </c>
      <c r="BE43" s="2691" t="s">
        <v>4936</v>
      </c>
      <c r="BF43" s="2692" t="s">
        <v>4937</v>
      </c>
      <c r="BG43" s="2691" t="s">
        <v>4938</v>
      </c>
      <c r="BH43" s="241" t="s">
        <v>4939</v>
      </c>
      <c r="BI43" s="2688" t="s">
        <v>4940</v>
      </c>
      <c r="BJ43" s="2689" t="s">
        <v>4941</v>
      </c>
      <c r="BK43" s="2691" t="s">
        <v>4942</v>
      </c>
      <c r="BL43" s="2692" t="s">
        <v>4943</v>
      </c>
      <c r="BM43" s="2690" t="s">
        <v>4944</v>
      </c>
      <c r="BN43" s="2691" t="s">
        <v>4945</v>
      </c>
      <c r="BO43" s="241" t="s">
        <v>4946</v>
      </c>
    </row>
    <row r="44" spans="1:67" s="192" customFormat="1" ht="14.5" thickBot="1">
      <c r="A44" s="851"/>
      <c r="B44" s="977" t="s">
        <v>4947</v>
      </c>
      <c r="C44" s="986" t="s">
        <v>4948</v>
      </c>
      <c r="D44" s="1086"/>
      <c r="E44" s="987" t="s">
        <v>49</v>
      </c>
      <c r="F44" s="988">
        <v>3</v>
      </c>
      <c r="G44" s="1412"/>
      <c r="H44" s="1544"/>
      <c r="I44" s="1422"/>
      <c r="J44" s="1419"/>
      <c r="K44" s="1416"/>
      <c r="L44" s="1411"/>
      <c r="M44" s="241">
        <f t="shared" si="14"/>
        <v>0</v>
      </c>
      <c r="N44" s="1412"/>
      <c r="O44" s="1544"/>
      <c r="P44" s="1422"/>
      <c r="Q44" s="1419"/>
      <c r="R44" s="1416"/>
      <c r="S44" s="1411"/>
      <c r="T44" s="241">
        <f t="shared" si="0"/>
        <v>0</v>
      </c>
      <c r="U44" s="1728"/>
      <c r="V44" s="70"/>
      <c r="W44" s="868">
        <f t="shared" si="43"/>
        <v>0</v>
      </c>
      <c r="Y44" s="71"/>
      <c r="Z44" s="93">
        <f xml:space="preserve"> IF( AND(OR($C44 = "Capital expenditure purpose - WATER additional line 15 [Other categories]",$C44=""), OR( G44 &lt;&gt; 0, H44 &lt;&gt; 0, I44 &lt;&gt; 0, J44 &lt;&gt; 0, K44 &lt;&gt; 0, L44 &lt;&gt; 0, N44 &lt;&gt; 0, O44 &lt;&gt; 0, P44 &lt;&gt; 0, Q44 &lt;&gt; 0, R44 &lt;&gt; 0, S44 &lt;&gt; 0) ), 1, 0 )</f>
        <v>0</v>
      </c>
      <c r="AA44" s="93">
        <f t="shared" ref="AA44:AF44" si="73" xml:space="preserve"> IF(AND($C44="Capital expenditure purpose - WATER additional line 15 [Other categories]",$M44=0), 0, IF( ISNUMBER( G44 ), 0, 1 ))</f>
        <v>0</v>
      </c>
      <c r="AB44" s="93">
        <f t="shared" si="73"/>
        <v>0</v>
      </c>
      <c r="AC44" s="93">
        <f t="shared" si="73"/>
        <v>0</v>
      </c>
      <c r="AD44" s="93">
        <f t="shared" si="73"/>
        <v>0</v>
      </c>
      <c r="AE44" s="93">
        <f t="shared" si="73"/>
        <v>0</v>
      </c>
      <c r="AF44" s="93">
        <f t="shared" si="73"/>
        <v>0</v>
      </c>
      <c r="AG44" s="85"/>
      <c r="AH44" s="93">
        <f t="shared" ref="AH44:AM44" si="74" xml:space="preserve"> IF(AND($C44="Capital expenditure purpose - WATER additional line 15 [Other categories]",$M44=0), 0, IF( ISNUMBER( N44 ), 0, 1 ))</f>
        <v>0</v>
      </c>
      <c r="AI44" s="93">
        <f t="shared" si="74"/>
        <v>0</v>
      </c>
      <c r="AJ44" s="93">
        <f t="shared" si="74"/>
        <v>0</v>
      </c>
      <c r="AK44" s="93">
        <f t="shared" si="74"/>
        <v>0</v>
      </c>
      <c r="AL44" s="93">
        <f t="shared" si="74"/>
        <v>0</v>
      </c>
      <c r="AM44" s="93">
        <f t="shared" si="74"/>
        <v>0</v>
      </c>
      <c r="AN44" s="71"/>
      <c r="AP44" s="71"/>
      <c r="AT44" s="71"/>
      <c r="AW44" s="977" t="s">
        <v>4947</v>
      </c>
      <c r="AX44" s="2693" t="s">
        <v>4949</v>
      </c>
      <c r="AY44" s="2694"/>
      <c r="AZ44" s="987" t="s">
        <v>49</v>
      </c>
      <c r="BA44" s="988">
        <v>3</v>
      </c>
      <c r="BB44" s="2695" t="s">
        <v>4949</v>
      </c>
      <c r="BC44" s="2696" t="s">
        <v>4950</v>
      </c>
      <c r="BD44" s="2697" t="s">
        <v>4951</v>
      </c>
      <c r="BE44" s="2698" t="s">
        <v>4952</v>
      </c>
      <c r="BF44" s="2699" t="s">
        <v>4953</v>
      </c>
      <c r="BG44" s="2691" t="s">
        <v>4954</v>
      </c>
      <c r="BH44" s="241" t="s">
        <v>4955</v>
      </c>
      <c r="BI44" s="2695" t="s">
        <v>4956</v>
      </c>
      <c r="BJ44" s="2696" t="s">
        <v>4957</v>
      </c>
      <c r="BK44" s="2698" t="s">
        <v>4958</v>
      </c>
      <c r="BL44" s="2699" t="s">
        <v>4959</v>
      </c>
      <c r="BM44" s="2697" t="s">
        <v>4960</v>
      </c>
      <c r="BN44" s="2691" t="s">
        <v>4961</v>
      </c>
      <c r="BO44" s="241" t="s">
        <v>4962</v>
      </c>
    </row>
    <row r="45" spans="1:67" s="192" customFormat="1" ht="24.75" customHeight="1" thickBot="1">
      <c r="A45" s="851"/>
      <c r="B45" s="990" t="s">
        <v>4963</v>
      </c>
      <c r="C45" s="991" t="s">
        <v>4964</v>
      </c>
      <c r="D45" s="992"/>
      <c r="E45" s="987" t="s">
        <v>49</v>
      </c>
      <c r="F45" s="988">
        <v>3</v>
      </c>
      <c r="G45" s="1789">
        <f t="shared" ref="G45:L45" si="75">SUM(G8:G44)</f>
        <v>0</v>
      </c>
      <c r="H45" s="1790">
        <f t="shared" si="75"/>
        <v>1.069</v>
      </c>
      <c r="I45" s="1791">
        <f t="shared" si="75"/>
        <v>1E-3</v>
      </c>
      <c r="J45" s="1792">
        <f t="shared" si="75"/>
        <v>0</v>
      </c>
      <c r="K45" s="1793">
        <f t="shared" si="75"/>
        <v>0.36099999999999999</v>
      </c>
      <c r="L45" s="1791">
        <f t="shared" si="75"/>
        <v>16.902000000000001</v>
      </c>
      <c r="M45" s="200">
        <f t="shared" si="14"/>
        <v>18.333000000000002</v>
      </c>
      <c r="N45" s="1789">
        <f t="shared" ref="N45:S45" si="76">SUM(N8:N44)</f>
        <v>0</v>
      </c>
      <c r="O45" s="1790">
        <f t="shared" si="76"/>
        <v>1.746</v>
      </c>
      <c r="P45" s="1792">
        <f t="shared" si="76"/>
        <v>1E-3</v>
      </c>
      <c r="Q45" s="1793">
        <f t="shared" si="76"/>
        <v>4.0857999999999997E-4</v>
      </c>
      <c r="R45" s="1791">
        <f t="shared" si="76"/>
        <v>2.387</v>
      </c>
      <c r="S45" s="1791">
        <f t="shared" si="76"/>
        <v>46.167999999999999</v>
      </c>
      <c r="T45" s="200">
        <f t="shared" si="0"/>
        <v>50.302408579999998</v>
      </c>
      <c r="U45" s="1794"/>
      <c r="V45" s="70"/>
      <c r="W45" s="1339">
        <f>IF(SUM(AN45:AP45)&lt;&gt;0,$AS$45,IF(SUM(AN46:AP47)=0,0,$AS$46))</f>
        <v>0</v>
      </c>
      <c r="Y45" s="71"/>
      <c r="AB45" s="70"/>
      <c r="AC45" s="70"/>
      <c r="AD45" s="70"/>
      <c r="AE45" s="70"/>
      <c r="AF45" s="70"/>
      <c r="AG45" s="85"/>
      <c r="AH45" s="70"/>
      <c r="AI45" s="70"/>
      <c r="AJ45" s="70"/>
      <c r="AK45" s="70"/>
      <c r="AL45" s="70"/>
      <c r="AM45" s="70"/>
      <c r="AN45" s="71"/>
      <c r="AO45" s="93">
        <f xml:space="preserve"> IF( (AQ45 - AR45) = 0, 0, 1 )</f>
        <v>0</v>
      </c>
      <c r="AP45" s="124"/>
      <c r="AQ45" s="112">
        <f>ROUND(M45,3)</f>
        <v>18.332999999999998</v>
      </c>
      <c r="AR45" s="112">
        <f xml:space="preserve"> ROUND( ('4D'!M23+'4D'!M24+'4D'!M25), 3 )</f>
        <v>18.332999999999998</v>
      </c>
      <c r="AS45" s="139" t="s">
        <v>4965</v>
      </c>
      <c r="AT45" s="71"/>
      <c r="AW45" s="990" t="s">
        <v>4963</v>
      </c>
      <c r="AX45" s="2700" t="s">
        <v>4964</v>
      </c>
      <c r="AY45" s="2701"/>
      <c r="AZ45" s="987" t="s">
        <v>49</v>
      </c>
      <c r="BA45" s="988">
        <v>3</v>
      </c>
      <c r="BB45" s="1789" t="s">
        <v>4966</v>
      </c>
      <c r="BC45" s="1790" t="s">
        <v>4967</v>
      </c>
      <c r="BD45" s="1791" t="s">
        <v>4968</v>
      </c>
      <c r="BE45" s="1792" t="s">
        <v>4969</v>
      </c>
      <c r="BF45" s="1793" t="s">
        <v>4970</v>
      </c>
      <c r="BG45" s="1791" t="s">
        <v>4971</v>
      </c>
      <c r="BH45" s="200" t="s">
        <v>4972</v>
      </c>
      <c r="BI45" s="1789" t="s">
        <v>4973</v>
      </c>
      <c r="BJ45" s="1790" t="s">
        <v>4974</v>
      </c>
      <c r="BK45" s="1792" t="s">
        <v>4975</v>
      </c>
      <c r="BL45" s="1793" t="s">
        <v>4976</v>
      </c>
      <c r="BM45" s="1791" t="s">
        <v>4977</v>
      </c>
      <c r="BN45" s="1791" t="s">
        <v>4978</v>
      </c>
      <c r="BO45" s="200" t="s">
        <v>4979</v>
      </c>
    </row>
    <row r="46" spans="1:67" s="192" customFormat="1">
      <c r="A46" s="851"/>
      <c r="B46" s="995"/>
      <c r="C46" s="996"/>
      <c r="D46" s="996"/>
      <c r="E46" s="997"/>
      <c r="F46" s="998"/>
      <c r="G46" s="1541">
        <f>IF('4J'!G49=0,(IF(ROUND(G45,3)=ROUND('4J'!G24+'4J'!G25+'4J'!G26,3),0,1)),0)</f>
        <v>0</v>
      </c>
      <c r="H46" s="1541">
        <f>IF('4J'!H49=0,(IF(ROUND(H45,3)=ROUND('4J'!H24+'4J'!H25+'4J'!H26,3),0,1)),0)</f>
        <v>0</v>
      </c>
      <c r="I46" s="1541">
        <f>IF('4J'!I49=0,(IF(ROUND(I45,3)=ROUND('4J'!I24+'4J'!I25+'4J'!I26,3),0,1)),0)</f>
        <v>0</v>
      </c>
      <c r="J46" s="1541">
        <f>IF('4J'!J49=0,(IF(ROUND(J45,3)=ROUND('4J'!J24+'4J'!J25+'4J'!J26,3),0,1)),0)</f>
        <v>0</v>
      </c>
      <c r="K46" s="1541">
        <f>IF('4J'!K49=0,(IF(ROUND(K45,3)=ROUND('4J'!K24+'4J'!K25+'4J'!K26,3),0,1)),0)</f>
        <v>0</v>
      </c>
      <c r="L46" s="1541">
        <f>IF('4J'!L49=0,(IF(ROUND(L45,3)=ROUND('4J'!L24+'4J'!L25+'4J'!L26,3),0,1)),0)</f>
        <v>0</v>
      </c>
      <c r="M46" s="1541">
        <f>IF('4J'!M49=0,(IF(ROUND(M45,3)=ROUND('4J'!M24+'4J'!M25+'4J'!M26,3),0,1)),0)</f>
        <v>0</v>
      </c>
      <c r="N46" s="998"/>
      <c r="O46" s="998"/>
      <c r="P46" s="998"/>
      <c r="Q46" s="998"/>
      <c r="R46" s="998"/>
      <c r="S46" s="998"/>
      <c r="T46" s="998"/>
      <c r="U46" s="998"/>
      <c r="V46" s="998"/>
      <c r="W46" s="998"/>
      <c r="X46" s="999"/>
      <c r="Y46" s="71"/>
      <c r="AB46" s="999"/>
      <c r="AC46" s="999"/>
      <c r="AD46" s="999"/>
      <c r="AE46" s="999"/>
      <c r="AF46" s="999"/>
      <c r="AG46" s="999"/>
      <c r="AH46" s="999"/>
      <c r="AI46" s="999"/>
      <c r="AJ46" s="999"/>
      <c r="AK46" s="999"/>
      <c r="AL46" s="999"/>
      <c r="AM46" s="999"/>
      <c r="AN46" s="71"/>
      <c r="AO46" s="93">
        <f xml:space="preserve"> IF( (AQ46 - AR46) = 0, 0, 1 )</f>
        <v>0</v>
      </c>
      <c r="AP46" s="124"/>
      <c r="AQ46" s="112">
        <f>IF(AR46=0,0,ROUND(M45,3))</f>
        <v>0</v>
      </c>
      <c r="AR46" s="112">
        <f xml:space="preserve"> IF('4J'!M49 = 0,ROUND( ('4J'!M24+'4J'!M25+'4J'!M26), 3 ),0)</f>
        <v>0</v>
      </c>
      <c r="AS46" s="139" t="s">
        <v>4980</v>
      </c>
      <c r="AT46" s="71"/>
      <c r="AU46" s="126"/>
    </row>
    <row r="47" spans="1:67" s="192" customFormat="1">
      <c r="A47" s="851"/>
      <c r="B47" s="3114" t="s">
        <v>241</v>
      </c>
      <c r="C47" s="3114"/>
      <c r="D47" s="996"/>
      <c r="E47" s="997"/>
      <c r="F47" s="998"/>
      <c r="G47" s="998"/>
      <c r="H47" s="998"/>
      <c r="I47" s="998"/>
      <c r="J47" s="998"/>
      <c r="K47" s="998"/>
      <c r="L47" s="998"/>
      <c r="M47" s="998"/>
      <c r="N47" s="998"/>
      <c r="O47" s="998"/>
      <c r="P47" s="998"/>
      <c r="Q47" s="998"/>
      <c r="R47" s="998"/>
      <c r="S47" s="998"/>
      <c r="T47" s="998"/>
      <c r="U47" s="998"/>
      <c r="V47" s="998"/>
      <c r="W47" s="998"/>
      <c r="X47" s="999"/>
      <c r="Y47" s="1653"/>
      <c r="Z47" s="999"/>
      <c r="AA47" s="999"/>
      <c r="AB47" s="999"/>
      <c r="AC47" s="999"/>
      <c r="AD47" s="999"/>
      <c r="AE47" s="999"/>
      <c r="AF47" s="999"/>
      <c r="AG47" s="999"/>
      <c r="AH47" s="999"/>
      <c r="AI47" s="999"/>
      <c r="AJ47" s="999"/>
      <c r="AK47" s="999"/>
      <c r="AL47" s="999"/>
      <c r="AM47" s="999"/>
      <c r="AN47" s="71"/>
      <c r="AO47" s="93">
        <f xml:space="preserve"> IF(  M46 = 0, 0, 1 )</f>
        <v>0</v>
      </c>
      <c r="AP47" s="124"/>
      <c r="AQ47" s="999"/>
      <c r="AR47" s="999"/>
      <c r="AS47" s="139"/>
      <c r="AT47" s="71"/>
      <c r="AU47" s="126"/>
    </row>
    <row r="48" spans="1:67" s="1004" customFormat="1">
      <c r="A48" s="1001"/>
      <c r="B48" s="995"/>
      <c r="C48" s="1002"/>
      <c r="D48" s="996"/>
      <c r="E48" s="997"/>
      <c r="F48" s="998"/>
      <c r="G48" s="998"/>
      <c r="H48" s="998"/>
      <c r="I48" s="998"/>
      <c r="J48" s="998"/>
      <c r="K48" s="998"/>
      <c r="L48" s="998"/>
      <c r="M48" s="998"/>
      <c r="N48" s="998"/>
      <c r="O48" s="998"/>
      <c r="P48" s="998"/>
      <c r="Q48" s="998"/>
      <c r="R48" s="998"/>
      <c r="S48" s="998"/>
      <c r="T48" s="998"/>
      <c r="U48" s="998"/>
      <c r="V48" s="998"/>
      <c r="W48" s="998"/>
      <c r="X48" s="1003"/>
      <c r="Y48" s="1654"/>
      <c r="Z48" s="1003"/>
      <c r="AA48" s="1003"/>
      <c r="AB48" s="1003"/>
      <c r="AC48" s="1003"/>
      <c r="AD48" s="1003"/>
      <c r="AE48" s="1003"/>
      <c r="AF48" s="1003"/>
      <c r="AG48" s="1003"/>
      <c r="AH48" s="1003"/>
      <c r="AI48" s="1003"/>
      <c r="AJ48" s="1003"/>
      <c r="AK48" s="1003"/>
      <c r="AL48" s="1003"/>
      <c r="AM48" s="1003"/>
      <c r="AN48" s="1654"/>
      <c r="AO48" s="1003"/>
      <c r="AP48" s="1654"/>
      <c r="AQ48" s="1003"/>
      <c r="AR48" s="1003"/>
      <c r="AS48" s="1000"/>
      <c r="AT48" s="1644"/>
      <c r="AU48" s="126"/>
    </row>
    <row r="49" spans="1:47" s="163" customFormat="1" ht="11.5">
      <c r="B49" s="929"/>
      <c r="C49" s="930" t="s">
        <v>188</v>
      </c>
      <c r="D49" s="930"/>
      <c r="Y49" s="1645"/>
      <c r="Z49" s="318"/>
      <c r="AA49" s="318"/>
      <c r="AN49" s="1645"/>
      <c r="AP49" s="1645"/>
      <c r="AT49" s="119"/>
      <c r="AU49" s="126"/>
    </row>
    <row r="50" spans="1:47" s="163" customFormat="1" ht="11.5">
      <c r="B50" s="927"/>
      <c r="C50" s="928"/>
      <c r="D50" s="928"/>
      <c r="Y50" s="1645"/>
      <c r="Z50" s="318"/>
      <c r="AA50" s="318"/>
      <c r="AN50" s="1645"/>
      <c r="AP50" s="1645"/>
      <c r="AT50" s="119"/>
      <c r="AU50" s="126"/>
    </row>
    <row r="51" spans="1:47" s="163" customFormat="1" ht="11.5">
      <c r="B51" s="931"/>
      <c r="C51" s="930" t="s">
        <v>189</v>
      </c>
      <c r="D51" s="930"/>
      <c r="Y51" s="1645"/>
      <c r="Z51" s="318"/>
      <c r="AA51" s="318"/>
      <c r="AN51" s="1645"/>
      <c r="AP51" s="1645"/>
      <c r="AT51" s="119"/>
      <c r="AU51" s="126"/>
    </row>
    <row r="52" spans="1:47" s="110" customFormat="1">
      <c r="C52" s="152"/>
      <c r="D52" s="152"/>
      <c r="Y52" s="1646"/>
      <c r="Z52" s="286"/>
      <c r="AA52" s="286"/>
      <c r="AN52" s="1646"/>
      <c r="AP52" s="1646"/>
      <c r="AT52" s="119"/>
      <c r="AU52" s="126"/>
    </row>
    <row r="53" spans="1:47" s="110" customFormat="1" ht="14.5" thickBot="1">
      <c r="C53" s="152"/>
      <c r="D53" s="152"/>
      <c r="Y53" s="1646"/>
      <c r="Z53" s="286"/>
      <c r="AA53" s="286"/>
      <c r="AN53" s="1646"/>
      <c r="AP53" s="1646"/>
      <c r="AT53" s="119"/>
      <c r="AU53" s="126"/>
    </row>
    <row r="54" spans="1:47" s="110" customFormat="1" ht="15.5" thickBot="1">
      <c r="B54" s="2866" t="str">
        <f>'4K'!B61</f>
        <v>Please refer to RAG 4.08 - Guideline for the table definitions in the annual performance report for the reporting year 2019-20</v>
      </c>
      <c r="C54" s="2867"/>
      <c r="D54" s="2867"/>
      <c r="E54" s="2867"/>
      <c r="F54" s="2867"/>
      <c r="G54" s="2867"/>
      <c r="H54" s="2867"/>
      <c r="I54" s="2867"/>
      <c r="J54" s="2867"/>
      <c r="K54" s="2867"/>
      <c r="L54" s="2867"/>
      <c r="M54" s="2867"/>
      <c r="N54" s="2867"/>
      <c r="O54" s="2868"/>
      <c r="Y54" s="1646"/>
      <c r="Z54" s="286"/>
      <c r="AA54" s="286"/>
      <c r="AN54" s="1646"/>
      <c r="AP54" s="1646"/>
      <c r="AT54" s="119"/>
      <c r="AU54" s="126"/>
    </row>
    <row r="55" spans="1:47" s="110" customFormat="1" ht="14.5" thickBot="1">
      <c r="C55" s="152"/>
      <c r="D55" s="152"/>
      <c r="Y55" s="1646"/>
      <c r="Z55" s="286"/>
      <c r="AA55" s="286"/>
      <c r="AN55" s="1646"/>
      <c r="AP55" s="1646"/>
      <c r="AT55" s="119"/>
      <c r="AU55" s="126"/>
    </row>
    <row r="56" spans="1:47" s="110" customFormat="1" ht="15.5" hidden="1" thickBot="1">
      <c r="A56" s="1528"/>
      <c r="B56" s="3195" t="str">
        <f ca="1" xml:space="preserve"> RIGHT(CELL("filename", $A$1), LEN(CELL("filename", $A$1)) - SEARCH("]", CELL("filename", $A$1)))&amp;" - Line definitions"</f>
        <v>4L - Line definitions</v>
      </c>
      <c r="C56" s="3196"/>
      <c r="D56" s="3196"/>
      <c r="E56" s="3196"/>
      <c r="F56" s="3196"/>
      <c r="G56" s="3196"/>
      <c r="H56" s="3196"/>
      <c r="I56" s="3196"/>
      <c r="J56" s="3196"/>
      <c r="K56" s="3196"/>
      <c r="L56" s="3196"/>
      <c r="M56" s="3196"/>
      <c r="N56" s="3196"/>
      <c r="O56" s="3197"/>
      <c r="Y56" s="1646"/>
      <c r="Z56" s="286"/>
      <c r="AA56" s="286"/>
      <c r="AN56" s="1646"/>
      <c r="AP56" s="1646"/>
      <c r="AS56" s="935"/>
      <c r="AT56" s="1657"/>
      <c r="AU56" s="126"/>
    </row>
    <row r="57" spans="1:47" s="110" customFormat="1" ht="14.5" hidden="1" thickBot="1">
      <c r="A57" s="1528"/>
      <c r="B57" s="851"/>
      <c r="C57" s="1005"/>
      <c r="D57" s="1005"/>
      <c r="E57" s="851"/>
      <c r="F57" s="851"/>
      <c r="G57" s="851"/>
      <c r="H57" s="851"/>
      <c r="I57" s="851"/>
      <c r="J57" s="851"/>
      <c r="K57" s="851"/>
      <c r="L57" s="851"/>
      <c r="M57" s="851"/>
      <c r="N57" s="851"/>
      <c r="O57" s="851"/>
      <c r="P57" s="851"/>
      <c r="Q57" s="851"/>
      <c r="R57" s="851"/>
      <c r="S57" s="851"/>
      <c r="T57" s="851"/>
      <c r="U57" s="851"/>
      <c r="V57" s="851"/>
      <c r="W57" s="851"/>
      <c r="X57" s="851"/>
      <c r="Y57" s="1643"/>
      <c r="Z57" s="851"/>
      <c r="AA57" s="851"/>
      <c r="AB57" s="851"/>
      <c r="AC57" s="851"/>
      <c r="AD57" s="851"/>
      <c r="AE57" s="851"/>
      <c r="AF57" s="851"/>
      <c r="AG57" s="851"/>
      <c r="AH57" s="851"/>
      <c r="AI57" s="851"/>
      <c r="AJ57" s="851"/>
      <c r="AK57" s="851"/>
      <c r="AL57" s="851"/>
      <c r="AM57" s="851"/>
      <c r="AN57" s="1643"/>
      <c r="AO57" s="851"/>
      <c r="AP57" s="1643"/>
      <c r="AQ57" s="851"/>
      <c r="AR57" s="851"/>
      <c r="AT57" s="1657"/>
      <c r="AU57" s="126"/>
    </row>
    <row r="58" spans="1:47" s="178" customFormat="1" ht="14.5" hidden="1" thickBot="1">
      <c r="A58" s="1529"/>
      <c r="B58" s="1006" t="s">
        <v>191</v>
      </c>
      <c r="C58" s="3198" t="s">
        <v>192</v>
      </c>
      <c r="D58" s="3199"/>
      <c r="E58" s="3199"/>
      <c r="F58" s="3199"/>
      <c r="G58" s="3199"/>
      <c r="H58" s="3199"/>
      <c r="I58" s="3199"/>
      <c r="J58" s="3199"/>
      <c r="K58" s="3199"/>
      <c r="L58" s="3199"/>
      <c r="M58" s="3199"/>
      <c r="N58" s="3199"/>
      <c r="O58" s="3200"/>
      <c r="P58" s="851"/>
      <c r="Q58" s="851"/>
      <c r="R58" s="851"/>
      <c r="S58" s="851"/>
      <c r="T58" s="851"/>
      <c r="U58" s="851"/>
      <c r="V58" s="851"/>
      <c r="W58" s="851"/>
      <c r="X58" s="851"/>
      <c r="Y58" s="1643"/>
      <c r="Z58" s="851"/>
      <c r="AA58" s="851"/>
      <c r="AB58" s="1007"/>
      <c r="AC58" s="1007"/>
      <c r="AD58" s="1007"/>
      <c r="AE58" s="1007"/>
      <c r="AF58" s="1007"/>
      <c r="AG58" s="1007"/>
      <c r="AH58" s="1007"/>
      <c r="AI58" s="1007"/>
      <c r="AJ58" s="1007"/>
      <c r="AK58" s="1007"/>
      <c r="AL58" s="1007"/>
      <c r="AM58" s="1007"/>
      <c r="AN58" s="1648"/>
      <c r="AO58" s="1007"/>
      <c r="AP58" s="1648"/>
      <c r="AQ58" s="1007"/>
      <c r="AR58" s="1007"/>
      <c r="AS58" s="1007"/>
      <c r="AT58" s="1657"/>
      <c r="AU58" s="120"/>
    </row>
    <row r="59" spans="1:47" s="110" customFormat="1" hidden="1">
      <c r="A59" s="1528"/>
      <c r="B59" s="1008">
        <v>1</v>
      </c>
      <c r="C59" s="3172" t="s">
        <v>4981</v>
      </c>
      <c r="D59" s="3173"/>
      <c r="E59" s="3173"/>
      <c r="F59" s="3173"/>
      <c r="G59" s="3173"/>
      <c r="H59" s="3173"/>
      <c r="I59" s="3173"/>
      <c r="J59" s="3173"/>
      <c r="K59" s="3173"/>
      <c r="L59" s="3173"/>
      <c r="M59" s="3173"/>
      <c r="N59" s="3173"/>
      <c r="O59" s="3174"/>
      <c r="Y59" s="1646"/>
      <c r="Z59" s="286"/>
      <c r="AA59" s="286"/>
      <c r="AB59" s="1009"/>
      <c r="AC59" s="1009"/>
      <c r="AD59" s="1009"/>
      <c r="AE59" s="1009"/>
      <c r="AF59" s="1009"/>
      <c r="AG59" s="1009"/>
      <c r="AH59" s="1009"/>
      <c r="AI59" s="1009"/>
      <c r="AJ59" s="1009"/>
      <c r="AK59" s="1009"/>
      <c r="AL59" s="1009"/>
      <c r="AM59" s="1009"/>
      <c r="AN59" s="1655"/>
      <c r="AO59" s="1009"/>
      <c r="AP59" s="1655"/>
      <c r="AQ59" s="1009"/>
      <c r="AR59" s="1009"/>
      <c r="AS59" s="1010"/>
      <c r="AT59" s="1657"/>
      <c r="AU59" s="120"/>
    </row>
    <row r="60" spans="1:47" s="110" customFormat="1" hidden="1">
      <c r="A60" s="1528"/>
      <c r="B60" s="1011">
        <f>+B59+1</f>
        <v>2</v>
      </c>
      <c r="C60" s="3172" t="s">
        <v>4982</v>
      </c>
      <c r="D60" s="3173"/>
      <c r="E60" s="3173"/>
      <c r="F60" s="3173"/>
      <c r="G60" s="3173"/>
      <c r="H60" s="3173"/>
      <c r="I60" s="3173"/>
      <c r="J60" s="3173"/>
      <c r="K60" s="3173"/>
      <c r="L60" s="3173"/>
      <c r="M60" s="3173"/>
      <c r="N60" s="3173"/>
      <c r="O60" s="3174"/>
      <c r="Y60" s="1646"/>
      <c r="Z60" s="286"/>
      <c r="AA60" s="286"/>
      <c r="AB60" s="1009"/>
      <c r="AC60" s="1009"/>
      <c r="AD60" s="1009"/>
      <c r="AE60" s="1009"/>
      <c r="AF60" s="1009"/>
      <c r="AG60" s="1009"/>
      <c r="AH60" s="1009"/>
      <c r="AI60" s="1009"/>
      <c r="AJ60" s="1009"/>
      <c r="AK60" s="1009"/>
      <c r="AL60" s="1009"/>
      <c r="AM60" s="1009"/>
      <c r="AN60" s="1655"/>
      <c r="AO60" s="1009"/>
      <c r="AP60" s="1655"/>
      <c r="AQ60" s="1009"/>
      <c r="AR60" s="1009"/>
      <c r="AS60" s="1010"/>
      <c r="AT60" s="1657"/>
      <c r="AU60" s="120"/>
    </row>
    <row r="61" spans="1:47" s="110" customFormat="1" hidden="1">
      <c r="A61" s="1528"/>
      <c r="B61" s="1011">
        <f t="shared" ref="B61:B80" si="77">+B60+1</f>
        <v>3</v>
      </c>
      <c r="C61" s="3172" t="s">
        <v>4983</v>
      </c>
      <c r="D61" s="3173"/>
      <c r="E61" s="3173"/>
      <c r="F61" s="3173"/>
      <c r="G61" s="3173"/>
      <c r="H61" s="3173"/>
      <c r="I61" s="3173"/>
      <c r="J61" s="3173"/>
      <c r="K61" s="3173"/>
      <c r="L61" s="3173"/>
      <c r="M61" s="3173"/>
      <c r="N61" s="3173"/>
      <c r="O61" s="3174"/>
      <c r="Y61" s="1646"/>
      <c r="Z61" s="286"/>
      <c r="AA61" s="286"/>
      <c r="AB61" s="1009"/>
      <c r="AC61" s="1009"/>
      <c r="AD61" s="1009"/>
      <c r="AE61" s="1009"/>
      <c r="AF61" s="1009"/>
      <c r="AG61" s="1009"/>
      <c r="AH61" s="1009"/>
      <c r="AI61" s="1009"/>
      <c r="AJ61" s="1009"/>
      <c r="AK61" s="1009"/>
      <c r="AL61" s="1009"/>
      <c r="AM61" s="1009"/>
      <c r="AN61" s="1655"/>
      <c r="AO61" s="1009"/>
      <c r="AP61" s="1655"/>
      <c r="AQ61" s="1009"/>
      <c r="AR61" s="1009"/>
      <c r="AS61" s="1010"/>
      <c r="AT61" s="1657"/>
      <c r="AU61" s="120"/>
    </row>
    <row r="62" spans="1:47" s="110" customFormat="1" hidden="1">
      <c r="A62" s="1528"/>
      <c r="B62" s="1011">
        <f t="shared" si="77"/>
        <v>4</v>
      </c>
      <c r="C62" s="3172" t="s">
        <v>4984</v>
      </c>
      <c r="D62" s="3173"/>
      <c r="E62" s="3173"/>
      <c r="F62" s="3173"/>
      <c r="G62" s="3173"/>
      <c r="H62" s="3173"/>
      <c r="I62" s="3173"/>
      <c r="J62" s="3173"/>
      <c r="K62" s="3173"/>
      <c r="L62" s="3173"/>
      <c r="M62" s="3173"/>
      <c r="N62" s="3173"/>
      <c r="O62" s="3174"/>
      <c r="Y62" s="1646"/>
      <c r="Z62" s="286"/>
      <c r="AA62" s="286"/>
      <c r="AB62" s="1009"/>
      <c r="AC62" s="1009"/>
      <c r="AD62" s="1009"/>
      <c r="AE62" s="1009"/>
      <c r="AF62" s="1009"/>
      <c r="AG62" s="1009"/>
      <c r="AH62" s="1009"/>
      <c r="AI62" s="1009"/>
      <c r="AJ62" s="1009"/>
      <c r="AK62" s="1009"/>
      <c r="AL62" s="1009"/>
      <c r="AM62" s="1009"/>
      <c r="AN62" s="1655"/>
      <c r="AO62" s="1009"/>
      <c r="AP62" s="1655"/>
      <c r="AQ62" s="1009"/>
      <c r="AR62" s="1009"/>
      <c r="AS62" s="1010"/>
      <c r="AT62" s="1657"/>
      <c r="AU62" s="120"/>
    </row>
    <row r="63" spans="1:47" s="110" customFormat="1" hidden="1">
      <c r="A63" s="1528"/>
      <c r="B63" s="1011">
        <f t="shared" si="77"/>
        <v>5</v>
      </c>
      <c r="C63" s="3172" t="s">
        <v>4985</v>
      </c>
      <c r="D63" s="3173"/>
      <c r="E63" s="3173"/>
      <c r="F63" s="3173"/>
      <c r="G63" s="3173"/>
      <c r="H63" s="3173"/>
      <c r="I63" s="3173"/>
      <c r="J63" s="3173"/>
      <c r="K63" s="3173"/>
      <c r="L63" s="3173"/>
      <c r="M63" s="3173"/>
      <c r="N63" s="3173"/>
      <c r="O63" s="3174"/>
      <c r="Y63" s="1646"/>
      <c r="Z63" s="286"/>
      <c r="AA63" s="286"/>
      <c r="AB63" s="1009"/>
      <c r="AC63" s="1009"/>
      <c r="AD63" s="1009"/>
      <c r="AE63" s="1009"/>
      <c r="AF63" s="1009"/>
      <c r="AG63" s="1009"/>
      <c r="AH63" s="1009"/>
      <c r="AI63" s="1009"/>
      <c r="AJ63" s="1009"/>
      <c r="AK63" s="1009"/>
      <c r="AL63" s="1009"/>
      <c r="AM63" s="1009"/>
      <c r="AN63" s="1655"/>
      <c r="AO63" s="1009"/>
      <c r="AP63" s="1655"/>
      <c r="AQ63" s="1009"/>
      <c r="AR63" s="1009"/>
      <c r="AS63" s="1010"/>
      <c r="AT63" s="1657"/>
      <c r="AU63" s="120"/>
    </row>
    <row r="64" spans="1:47" s="110" customFormat="1" ht="40.5" hidden="1" customHeight="1">
      <c r="A64" s="1528"/>
      <c r="B64" s="1011">
        <f t="shared" si="77"/>
        <v>6</v>
      </c>
      <c r="C64" s="3172" t="s">
        <v>4986</v>
      </c>
      <c r="D64" s="3173"/>
      <c r="E64" s="3173"/>
      <c r="F64" s="3173"/>
      <c r="G64" s="3173"/>
      <c r="H64" s="3173"/>
      <c r="I64" s="3173"/>
      <c r="J64" s="3173"/>
      <c r="K64" s="3173"/>
      <c r="L64" s="3173"/>
      <c r="M64" s="3173"/>
      <c r="N64" s="3173"/>
      <c r="O64" s="3174"/>
      <c r="Y64" s="1646"/>
      <c r="Z64" s="286"/>
      <c r="AA64" s="286"/>
      <c r="AB64" s="1009"/>
      <c r="AC64" s="1009"/>
      <c r="AD64" s="1009"/>
      <c r="AE64" s="1009"/>
      <c r="AF64" s="1009"/>
      <c r="AG64" s="1009"/>
      <c r="AH64" s="1009"/>
      <c r="AI64" s="1009"/>
      <c r="AJ64" s="1009"/>
      <c r="AK64" s="1009"/>
      <c r="AL64" s="1009"/>
      <c r="AM64" s="1009"/>
      <c r="AN64" s="1655"/>
      <c r="AO64" s="1009"/>
      <c r="AP64" s="1655"/>
      <c r="AQ64" s="1009"/>
      <c r="AR64" s="1009"/>
      <c r="AS64" s="1010"/>
      <c r="AT64" s="1657"/>
      <c r="AU64" s="120"/>
    </row>
    <row r="65" spans="1:47" s="110" customFormat="1" ht="24" hidden="1" customHeight="1">
      <c r="A65" s="1528"/>
      <c r="B65" s="1011">
        <f t="shared" si="77"/>
        <v>7</v>
      </c>
      <c r="C65" s="3172" t="s">
        <v>4987</v>
      </c>
      <c r="D65" s="3173"/>
      <c r="E65" s="3173"/>
      <c r="F65" s="3173"/>
      <c r="G65" s="3173"/>
      <c r="H65" s="3173"/>
      <c r="I65" s="3173"/>
      <c r="J65" s="3173"/>
      <c r="K65" s="3173"/>
      <c r="L65" s="3173"/>
      <c r="M65" s="3173"/>
      <c r="N65" s="3173"/>
      <c r="O65" s="3174"/>
      <c r="Y65" s="1646"/>
      <c r="Z65" s="286"/>
      <c r="AA65" s="286"/>
      <c r="AB65" s="1009"/>
      <c r="AC65" s="1009"/>
      <c r="AD65" s="1009"/>
      <c r="AE65" s="1009"/>
      <c r="AF65" s="1009"/>
      <c r="AG65" s="1009"/>
      <c r="AH65" s="1009"/>
      <c r="AI65" s="1009"/>
      <c r="AJ65" s="1009"/>
      <c r="AK65" s="1009"/>
      <c r="AL65" s="1009"/>
      <c r="AM65" s="1009"/>
      <c r="AN65" s="1655"/>
      <c r="AO65" s="1009"/>
      <c r="AP65" s="1655"/>
      <c r="AQ65" s="1009"/>
      <c r="AR65" s="1009"/>
      <c r="AS65" s="1010"/>
      <c r="AT65" s="1657"/>
      <c r="AU65" s="120"/>
    </row>
    <row r="66" spans="1:47" s="110" customFormat="1" ht="24" hidden="1" customHeight="1">
      <c r="A66" s="1528"/>
      <c r="B66" s="1011">
        <f t="shared" si="77"/>
        <v>8</v>
      </c>
      <c r="C66" s="3172" t="s">
        <v>4988</v>
      </c>
      <c r="D66" s="3173"/>
      <c r="E66" s="3173"/>
      <c r="F66" s="3173"/>
      <c r="G66" s="3173"/>
      <c r="H66" s="3173"/>
      <c r="I66" s="3173"/>
      <c r="J66" s="3173"/>
      <c r="K66" s="3173"/>
      <c r="L66" s="3173"/>
      <c r="M66" s="3173"/>
      <c r="N66" s="3173"/>
      <c r="O66" s="3174"/>
      <c r="Y66" s="1646"/>
      <c r="Z66" s="286"/>
      <c r="AA66" s="286"/>
      <c r="AB66" s="1009"/>
      <c r="AC66" s="1009"/>
      <c r="AD66" s="1009"/>
      <c r="AE66" s="1009"/>
      <c r="AF66" s="1009"/>
      <c r="AG66" s="1009"/>
      <c r="AH66" s="1009"/>
      <c r="AI66" s="1009"/>
      <c r="AJ66" s="1009"/>
      <c r="AK66" s="1009"/>
      <c r="AL66" s="1009"/>
      <c r="AM66" s="1009"/>
      <c r="AN66" s="1655"/>
      <c r="AO66" s="1009"/>
      <c r="AP66" s="1655"/>
      <c r="AQ66" s="1009"/>
      <c r="AR66" s="1009"/>
      <c r="AS66" s="1010"/>
      <c r="AT66" s="1657"/>
      <c r="AU66" s="120"/>
    </row>
    <row r="67" spans="1:47" s="110" customFormat="1" ht="24" hidden="1" customHeight="1">
      <c r="A67" s="1528"/>
      <c r="B67" s="1011">
        <f t="shared" si="77"/>
        <v>9</v>
      </c>
      <c r="C67" s="3172" t="s">
        <v>4989</v>
      </c>
      <c r="D67" s="3173"/>
      <c r="E67" s="3173"/>
      <c r="F67" s="3173"/>
      <c r="G67" s="3173"/>
      <c r="H67" s="3173"/>
      <c r="I67" s="3173"/>
      <c r="J67" s="3173"/>
      <c r="K67" s="3173"/>
      <c r="L67" s="3173"/>
      <c r="M67" s="3173"/>
      <c r="N67" s="3173"/>
      <c r="O67" s="3174"/>
      <c r="Y67" s="1646"/>
      <c r="Z67" s="286"/>
      <c r="AA67" s="286"/>
      <c r="AB67" s="1009"/>
      <c r="AC67" s="1009"/>
      <c r="AD67" s="1009"/>
      <c r="AE67" s="1009"/>
      <c r="AF67" s="1009"/>
      <c r="AG67" s="1009"/>
      <c r="AH67" s="1009"/>
      <c r="AI67" s="1009"/>
      <c r="AJ67" s="1009"/>
      <c r="AK67" s="1009"/>
      <c r="AL67" s="1009"/>
      <c r="AM67" s="1009"/>
      <c r="AN67" s="1655"/>
      <c r="AO67" s="1009"/>
      <c r="AP67" s="1655"/>
      <c r="AQ67" s="1009"/>
      <c r="AR67" s="1009"/>
      <c r="AS67" s="1010"/>
      <c r="AT67" s="1657"/>
      <c r="AU67" s="120"/>
    </row>
    <row r="68" spans="1:47" s="110" customFormat="1" ht="24" hidden="1" customHeight="1">
      <c r="A68" s="1528"/>
      <c r="B68" s="1011">
        <f t="shared" si="77"/>
        <v>10</v>
      </c>
      <c r="C68" s="3172" t="s">
        <v>4990</v>
      </c>
      <c r="D68" s="3173"/>
      <c r="E68" s="3173"/>
      <c r="F68" s="3173"/>
      <c r="G68" s="3173"/>
      <c r="H68" s="3173"/>
      <c r="I68" s="3173"/>
      <c r="J68" s="3173"/>
      <c r="K68" s="3173"/>
      <c r="L68" s="3173"/>
      <c r="M68" s="3173"/>
      <c r="N68" s="3173"/>
      <c r="O68" s="3174"/>
      <c r="Y68" s="1646"/>
      <c r="Z68" s="286"/>
      <c r="AA68" s="286"/>
      <c r="AB68" s="1009"/>
      <c r="AC68" s="1009"/>
      <c r="AD68" s="1009"/>
      <c r="AE68" s="1009"/>
      <c r="AF68" s="1009"/>
      <c r="AG68" s="1009"/>
      <c r="AH68" s="1009"/>
      <c r="AI68" s="1009"/>
      <c r="AJ68" s="1009"/>
      <c r="AK68" s="1009"/>
      <c r="AL68" s="1009"/>
      <c r="AM68" s="1009"/>
      <c r="AN68" s="1655"/>
      <c r="AO68" s="1009"/>
      <c r="AP68" s="1655"/>
      <c r="AQ68" s="1009"/>
      <c r="AR68" s="1009"/>
      <c r="AS68" s="1010"/>
      <c r="AT68" s="1657"/>
      <c r="AU68" s="120"/>
    </row>
    <row r="69" spans="1:47" s="110" customFormat="1" ht="31.5" hidden="1" customHeight="1">
      <c r="A69" s="1528"/>
      <c r="B69" s="1011">
        <f t="shared" si="77"/>
        <v>11</v>
      </c>
      <c r="C69" s="3172" t="s">
        <v>4991</v>
      </c>
      <c r="D69" s="3173"/>
      <c r="E69" s="3173"/>
      <c r="F69" s="3173"/>
      <c r="G69" s="3173"/>
      <c r="H69" s="3173"/>
      <c r="I69" s="3173"/>
      <c r="J69" s="3173"/>
      <c r="K69" s="3173"/>
      <c r="L69" s="3173"/>
      <c r="M69" s="3173"/>
      <c r="N69" s="3173"/>
      <c r="O69" s="3174"/>
      <c r="Y69" s="1646"/>
      <c r="Z69" s="286"/>
      <c r="AA69" s="286"/>
      <c r="AB69" s="1009"/>
      <c r="AC69" s="1009"/>
      <c r="AD69" s="1009"/>
      <c r="AE69" s="1009"/>
      <c r="AF69" s="1009"/>
      <c r="AG69" s="1009"/>
      <c r="AH69" s="1009"/>
      <c r="AI69" s="1009"/>
      <c r="AJ69" s="1009"/>
      <c r="AK69" s="1009"/>
      <c r="AL69" s="1009"/>
      <c r="AM69" s="1009"/>
      <c r="AN69" s="1655"/>
      <c r="AO69" s="1009"/>
      <c r="AP69" s="1655"/>
      <c r="AQ69" s="1009"/>
      <c r="AR69" s="1009"/>
      <c r="AS69" s="1010"/>
      <c r="AT69" s="1657"/>
      <c r="AU69" s="120"/>
    </row>
    <row r="70" spans="1:47" s="110" customFormat="1" ht="15" hidden="1" customHeight="1">
      <c r="A70" s="1528"/>
      <c r="B70" s="1011">
        <f t="shared" si="77"/>
        <v>12</v>
      </c>
      <c r="C70" s="3172" t="s">
        <v>4992</v>
      </c>
      <c r="D70" s="3173"/>
      <c r="E70" s="3173"/>
      <c r="F70" s="3173"/>
      <c r="G70" s="3173"/>
      <c r="H70" s="3173"/>
      <c r="I70" s="3173"/>
      <c r="J70" s="3173"/>
      <c r="K70" s="3173"/>
      <c r="L70" s="3173"/>
      <c r="M70" s="3173"/>
      <c r="N70" s="3173"/>
      <c r="O70" s="3174"/>
      <c r="Y70" s="1646"/>
      <c r="Z70" s="286"/>
      <c r="AA70" s="286"/>
      <c r="AB70" s="1009"/>
      <c r="AC70" s="1009"/>
      <c r="AD70" s="1009"/>
      <c r="AE70" s="1009"/>
      <c r="AF70" s="1009"/>
      <c r="AG70" s="1009"/>
      <c r="AH70" s="1009"/>
      <c r="AI70" s="1009"/>
      <c r="AJ70" s="1009"/>
      <c r="AK70" s="1009"/>
      <c r="AL70" s="1009"/>
      <c r="AM70" s="1009"/>
      <c r="AN70" s="1655"/>
      <c r="AO70" s="1009"/>
      <c r="AP70" s="1655"/>
      <c r="AQ70" s="1009"/>
      <c r="AR70" s="1009"/>
      <c r="AS70" s="1010"/>
      <c r="AT70" s="1657"/>
      <c r="AU70" s="120"/>
    </row>
    <row r="71" spans="1:47" hidden="1">
      <c r="A71" s="1662"/>
      <c r="B71" s="1011">
        <f>+B70+1</f>
        <v>13</v>
      </c>
      <c r="C71" s="3172" t="s">
        <v>4993</v>
      </c>
      <c r="D71" s="3173"/>
      <c r="E71" s="3173"/>
      <c r="F71" s="3173"/>
      <c r="G71" s="3173"/>
      <c r="H71" s="3173"/>
      <c r="I71" s="3173"/>
      <c r="J71" s="3173"/>
      <c r="K71" s="3173"/>
      <c r="L71" s="3173"/>
      <c r="M71" s="3173"/>
      <c r="N71" s="3173"/>
      <c r="O71" s="3174"/>
      <c r="P71" s="110"/>
      <c r="Q71" s="110"/>
      <c r="R71" s="110"/>
      <c r="S71" s="110"/>
      <c r="T71" s="110"/>
      <c r="U71" s="110"/>
      <c r="V71" s="110"/>
      <c r="W71" s="110"/>
      <c r="X71" s="110"/>
      <c r="Y71" s="1646"/>
      <c r="Z71" s="286"/>
      <c r="AA71" s="286"/>
      <c r="AB71" s="1009"/>
      <c r="AC71" s="1009"/>
      <c r="AD71" s="1009"/>
      <c r="AE71" s="1009"/>
      <c r="AF71" s="1009"/>
      <c r="AG71" s="1009"/>
      <c r="AH71" s="1009"/>
      <c r="AI71" s="1009"/>
      <c r="AJ71" s="1009"/>
      <c r="AK71" s="1009"/>
      <c r="AL71" s="1009"/>
      <c r="AM71" s="1009"/>
      <c r="AN71" s="1655"/>
      <c r="AO71" s="1009"/>
      <c r="AP71" s="1655"/>
      <c r="AQ71" s="1009"/>
      <c r="AR71" s="1009"/>
      <c r="AS71" s="1010"/>
      <c r="AT71" s="1657"/>
    </row>
    <row r="72" spans="1:47" s="110" customFormat="1" hidden="1">
      <c r="A72" s="1528"/>
      <c r="B72" s="1011">
        <f t="shared" si="77"/>
        <v>14</v>
      </c>
      <c r="C72" s="3172" t="s">
        <v>4994</v>
      </c>
      <c r="D72" s="3173"/>
      <c r="E72" s="3173"/>
      <c r="F72" s="3173"/>
      <c r="G72" s="3173"/>
      <c r="H72" s="3173"/>
      <c r="I72" s="3173"/>
      <c r="J72" s="3173"/>
      <c r="K72" s="3173"/>
      <c r="L72" s="3173"/>
      <c r="M72" s="3173"/>
      <c r="N72" s="3173"/>
      <c r="O72" s="3174"/>
      <c r="Y72" s="1646"/>
      <c r="Z72" s="286"/>
      <c r="AA72" s="286"/>
      <c r="AB72" s="1009"/>
      <c r="AC72" s="1009"/>
      <c r="AD72" s="1009"/>
      <c r="AE72" s="1009"/>
      <c r="AF72" s="1009"/>
      <c r="AG72" s="1009"/>
      <c r="AH72" s="1009"/>
      <c r="AI72" s="1009"/>
      <c r="AJ72" s="1009"/>
      <c r="AK72" s="1009"/>
      <c r="AL72" s="1009"/>
      <c r="AM72" s="1009"/>
      <c r="AN72" s="1655"/>
      <c r="AO72" s="1009"/>
      <c r="AP72" s="1655"/>
      <c r="AQ72" s="1009"/>
      <c r="AR72" s="1009"/>
      <c r="AS72" s="1010"/>
      <c r="AT72" s="1657"/>
      <c r="AU72" s="120"/>
    </row>
    <row r="73" spans="1:47" ht="36" hidden="1" customHeight="1">
      <c r="A73" s="1662"/>
      <c r="B73" s="1011">
        <f t="shared" si="77"/>
        <v>15</v>
      </c>
      <c r="C73" s="3172" t="s">
        <v>4995</v>
      </c>
      <c r="D73" s="3173"/>
      <c r="E73" s="3173"/>
      <c r="F73" s="3173"/>
      <c r="G73" s="3173"/>
      <c r="H73" s="3173"/>
      <c r="I73" s="3173"/>
      <c r="J73" s="3173"/>
      <c r="K73" s="3173"/>
      <c r="L73" s="3173"/>
      <c r="M73" s="3173"/>
      <c r="N73" s="3173"/>
      <c r="O73" s="3174"/>
      <c r="P73" s="110"/>
      <c r="Q73" s="110"/>
      <c r="R73" s="110"/>
      <c r="S73" s="110"/>
      <c r="T73" s="110"/>
      <c r="U73" s="110"/>
      <c r="V73" s="110"/>
      <c r="W73" s="110"/>
      <c r="X73" s="110"/>
      <c r="Y73" s="1646"/>
      <c r="Z73" s="286"/>
      <c r="AA73" s="286"/>
      <c r="AB73" s="1009"/>
      <c r="AC73" s="1009"/>
      <c r="AD73" s="1009"/>
      <c r="AE73" s="1009"/>
      <c r="AF73" s="1009"/>
      <c r="AG73" s="1009"/>
      <c r="AH73" s="1009"/>
      <c r="AI73" s="1009"/>
      <c r="AJ73" s="1009"/>
      <c r="AK73" s="1009"/>
      <c r="AL73" s="1009"/>
      <c r="AM73" s="1009"/>
      <c r="AN73" s="1655"/>
      <c r="AO73" s="1009"/>
      <c r="AP73" s="1655"/>
      <c r="AQ73" s="1009"/>
      <c r="AR73" s="1009"/>
      <c r="AS73" s="1010"/>
      <c r="AT73" s="1657"/>
    </row>
    <row r="74" spans="1:47" ht="36" hidden="1" customHeight="1">
      <c r="A74" s="1662"/>
      <c r="B74" s="1011">
        <f t="shared" si="77"/>
        <v>16</v>
      </c>
      <c r="C74" s="3172" t="s">
        <v>4996</v>
      </c>
      <c r="D74" s="3173"/>
      <c r="E74" s="3173"/>
      <c r="F74" s="3173"/>
      <c r="G74" s="3173"/>
      <c r="H74" s="3173"/>
      <c r="I74" s="3173"/>
      <c r="J74" s="3173"/>
      <c r="K74" s="3173"/>
      <c r="L74" s="3173"/>
      <c r="M74" s="3173"/>
      <c r="N74" s="3173"/>
      <c r="O74" s="3174"/>
      <c r="P74" s="110"/>
      <c r="Q74" s="110"/>
      <c r="R74" s="110"/>
      <c r="S74" s="110"/>
      <c r="T74" s="110"/>
      <c r="U74" s="110"/>
      <c r="V74" s="110"/>
      <c r="W74" s="110"/>
      <c r="X74" s="110"/>
      <c r="Y74" s="1646"/>
      <c r="Z74" s="286"/>
      <c r="AA74" s="286"/>
      <c r="AB74" s="1009"/>
      <c r="AC74" s="1009"/>
      <c r="AD74" s="1009"/>
      <c r="AE74" s="1009"/>
      <c r="AF74" s="1009"/>
      <c r="AG74" s="1009"/>
      <c r="AH74" s="1009"/>
      <c r="AI74" s="1009"/>
      <c r="AJ74" s="1009"/>
      <c r="AK74" s="1009"/>
      <c r="AL74" s="1009"/>
      <c r="AM74" s="1009"/>
      <c r="AN74" s="1655"/>
      <c r="AO74" s="1009"/>
      <c r="AP74" s="1655"/>
      <c r="AQ74" s="1009"/>
      <c r="AR74" s="1009"/>
      <c r="AS74" s="1010"/>
      <c r="AT74" s="1657"/>
    </row>
    <row r="75" spans="1:47" ht="36" hidden="1" customHeight="1">
      <c r="A75" s="1662"/>
      <c r="B75" s="1011">
        <f t="shared" si="77"/>
        <v>17</v>
      </c>
      <c r="C75" s="3172" t="s">
        <v>4997</v>
      </c>
      <c r="D75" s="3173"/>
      <c r="E75" s="3173"/>
      <c r="F75" s="3173"/>
      <c r="G75" s="3173"/>
      <c r="H75" s="3173"/>
      <c r="I75" s="3173"/>
      <c r="J75" s="3173"/>
      <c r="K75" s="3173"/>
      <c r="L75" s="3173"/>
      <c r="M75" s="3173"/>
      <c r="N75" s="3173"/>
      <c r="O75" s="3174"/>
      <c r="P75" s="110"/>
      <c r="Q75" s="110"/>
      <c r="R75" s="110"/>
      <c r="S75" s="110"/>
      <c r="T75" s="110"/>
      <c r="U75" s="110"/>
      <c r="V75" s="110"/>
      <c r="W75" s="110"/>
      <c r="X75" s="110"/>
      <c r="Y75" s="1646"/>
      <c r="Z75" s="286"/>
      <c r="AA75" s="286"/>
      <c r="AB75" s="1009"/>
      <c r="AC75" s="1009"/>
      <c r="AD75" s="1009"/>
      <c r="AE75" s="1009"/>
      <c r="AF75" s="1009"/>
      <c r="AG75" s="1009"/>
      <c r="AH75" s="1009"/>
      <c r="AI75" s="1009"/>
      <c r="AJ75" s="1009"/>
      <c r="AK75" s="1009"/>
      <c r="AL75" s="1009"/>
      <c r="AM75" s="1009"/>
      <c r="AN75" s="1655"/>
      <c r="AO75" s="1009"/>
      <c r="AP75" s="1655"/>
      <c r="AQ75" s="1009"/>
      <c r="AR75" s="1009"/>
      <c r="AS75" s="1010"/>
      <c r="AT75" s="1657"/>
    </row>
    <row r="76" spans="1:47" hidden="1">
      <c r="A76" s="1662"/>
      <c r="B76" s="1011">
        <f t="shared" si="77"/>
        <v>18</v>
      </c>
      <c r="C76" s="3172" t="s">
        <v>4998</v>
      </c>
      <c r="D76" s="3173"/>
      <c r="E76" s="3173"/>
      <c r="F76" s="3173"/>
      <c r="G76" s="3173"/>
      <c r="H76" s="3173"/>
      <c r="I76" s="3173"/>
      <c r="J76" s="3173"/>
      <c r="K76" s="3173"/>
      <c r="L76" s="3173"/>
      <c r="M76" s="3173"/>
      <c r="N76" s="3173"/>
      <c r="O76" s="3174"/>
      <c r="P76" s="110"/>
      <c r="Q76" s="110"/>
      <c r="R76" s="110"/>
      <c r="S76" s="110"/>
      <c r="T76" s="110"/>
      <c r="U76" s="110"/>
      <c r="V76" s="110"/>
      <c r="W76" s="110"/>
      <c r="X76" s="110"/>
      <c r="Y76" s="1646"/>
      <c r="Z76" s="286"/>
      <c r="AA76" s="286"/>
      <c r="AB76" s="1009"/>
      <c r="AC76" s="1009"/>
      <c r="AD76" s="1009"/>
      <c r="AE76" s="1009"/>
      <c r="AF76" s="1009"/>
      <c r="AG76" s="1009"/>
      <c r="AH76" s="1009"/>
      <c r="AI76" s="1009"/>
      <c r="AJ76" s="1009"/>
      <c r="AK76" s="1009"/>
      <c r="AL76" s="1009"/>
      <c r="AM76" s="1009"/>
      <c r="AN76" s="1655"/>
      <c r="AO76" s="1009"/>
      <c r="AP76" s="1655"/>
      <c r="AQ76" s="1009"/>
      <c r="AR76" s="1009"/>
      <c r="AS76" s="1010"/>
      <c r="AT76" s="1657"/>
    </row>
    <row r="77" spans="1:47" hidden="1">
      <c r="A77" s="1662"/>
      <c r="B77" s="1011">
        <f t="shared" si="77"/>
        <v>19</v>
      </c>
      <c r="C77" s="3172" t="s">
        <v>4999</v>
      </c>
      <c r="D77" s="3173"/>
      <c r="E77" s="3173"/>
      <c r="F77" s="3173"/>
      <c r="G77" s="3173"/>
      <c r="H77" s="3173"/>
      <c r="I77" s="3173"/>
      <c r="J77" s="3173"/>
      <c r="K77" s="3173"/>
      <c r="L77" s="3173"/>
      <c r="M77" s="3173"/>
      <c r="N77" s="3173"/>
      <c r="O77" s="3174"/>
      <c r="P77" s="110"/>
      <c r="Q77" s="110"/>
      <c r="R77" s="110"/>
      <c r="S77" s="110"/>
      <c r="T77" s="110"/>
      <c r="U77" s="110"/>
      <c r="V77" s="110"/>
      <c r="W77" s="110"/>
      <c r="X77" s="110"/>
      <c r="Y77" s="1646"/>
      <c r="Z77" s="286"/>
      <c r="AA77" s="286"/>
      <c r="AB77" s="1009"/>
      <c r="AC77" s="1009"/>
      <c r="AD77" s="1009"/>
      <c r="AE77" s="1009"/>
      <c r="AF77" s="1009"/>
      <c r="AG77" s="1009"/>
      <c r="AH77" s="1009"/>
      <c r="AI77" s="1009"/>
      <c r="AJ77" s="1009"/>
      <c r="AK77" s="1009"/>
      <c r="AL77" s="1009"/>
      <c r="AM77" s="1009"/>
      <c r="AN77" s="1655"/>
      <c r="AO77" s="1009"/>
      <c r="AP77" s="1655"/>
      <c r="AQ77" s="1009"/>
      <c r="AR77" s="1009"/>
      <c r="AS77" s="1010"/>
      <c r="AT77" s="1657"/>
    </row>
    <row r="78" spans="1:47" hidden="1">
      <c r="A78" s="1662"/>
      <c r="B78" s="1011">
        <f t="shared" si="77"/>
        <v>20</v>
      </c>
      <c r="C78" s="3172" t="s">
        <v>5000</v>
      </c>
      <c r="D78" s="3173"/>
      <c r="E78" s="3173"/>
      <c r="F78" s="3173"/>
      <c r="G78" s="3173"/>
      <c r="H78" s="3173"/>
      <c r="I78" s="3173"/>
      <c r="J78" s="3173"/>
      <c r="K78" s="3173"/>
      <c r="L78" s="3173"/>
      <c r="M78" s="3173"/>
      <c r="N78" s="3173"/>
      <c r="O78" s="3174"/>
      <c r="P78" s="110"/>
      <c r="Q78" s="110"/>
      <c r="R78" s="110"/>
      <c r="S78" s="110"/>
      <c r="T78" s="110"/>
      <c r="U78" s="110"/>
      <c r="V78" s="110"/>
      <c r="W78" s="110"/>
      <c r="X78" s="110"/>
      <c r="Y78" s="1646"/>
      <c r="Z78" s="286"/>
      <c r="AA78" s="286"/>
      <c r="AB78" s="1009"/>
      <c r="AC78" s="1009"/>
      <c r="AD78" s="1009"/>
      <c r="AE78" s="1009"/>
      <c r="AF78" s="1009"/>
      <c r="AG78" s="1009"/>
      <c r="AH78" s="1009"/>
      <c r="AI78" s="1009"/>
      <c r="AJ78" s="1009"/>
      <c r="AK78" s="1009"/>
      <c r="AL78" s="1009"/>
      <c r="AM78" s="1009"/>
      <c r="AN78" s="1655"/>
      <c r="AO78" s="1009"/>
      <c r="AP78" s="1655"/>
      <c r="AQ78" s="1009"/>
      <c r="AR78" s="1009"/>
      <c r="AS78" s="1010"/>
      <c r="AT78" s="1657"/>
    </row>
    <row r="79" spans="1:47" ht="14.25" hidden="1" customHeight="1">
      <c r="A79" s="1662"/>
      <c r="B79" s="1011">
        <f t="shared" si="77"/>
        <v>21</v>
      </c>
      <c r="C79" s="3172" t="s">
        <v>5001</v>
      </c>
      <c r="D79" s="3173"/>
      <c r="E79" s="3173"/>
      <c r="F79" s="3173"/>
      <c r="G79" s="3173"/>
      <c r="H79" s="3173"/>
      <c r="I79" s="3173"/>
      <c r="J79" s="3173"/>
      <c r="K79" s="3173"/>
      <c r="L79" s="3173"/>
      <c r="M79" s="3173"/>
      <c r="N79" s="3173"/>
      <c r="O79" s="3174"/>
      <c r="P79" s="110"/>
      <c r="Q79" s="110"/>
      <c r="R79" s="110"/>
      <c r="S79" s="110"/>
      <c r="T79" s="110"/>
      <c r="U79" s="110"/>
      <c r="V79" s="110"/>
      <c r="W79" s="110"/>
      <c r="X79" s="110"/>
      <c r="Y79" s="1646"/>
      <c r="Z79" s="286"/>
      <c r="AA79" s="286"/>
      <c r="AB79" s="1009"/>
      <c r="AC79" s="1009"/>
      <c r="AD79" s="1009"/>
      <c r="AE79" s="1009"/>
      <c r="AF79" s="1009"/>
      <c r="AG79" s="1009"/>
      <c r="AH79" s="1009"/>
      <c r="AI79" s="1009"/>
      <c r="AJ79" s="1009"/>
      <c r="AK79" s="1009"/>
      <c r="AL79" s="1009"/>
      <c r="AM79" s="1009"/>
      <c r="AN79" s="1655"/>
      <c r="AO79" s="1009"/>
      <c r="AP79" s="1655"/>
      <c r="AQ79" s="1009"/>
      <c r="AR79" s="1009"/>
      <c r="AS79" s="1010"/>
      <c r="AT79" s="1657"/>
    </row>
    <row r="80" spans="1:47" ht="14.25" hidden="1" customHeight="1">
      <c r="A80" s="1662"/>
      <c r="B80" s="1011">
        <f t="shared" si="77"/>
        <v>22</v>
      </c>
      <c r="C80" s="3172" t="s">
        <v>5002</v>
      </c>
      <c r="D80" s="3173"/>
      <c r="E80" s="3173"/>
      <c r="F80" s="3173"/>
      <c r="G80" s="3173"/>
      <c r="H80" s="3173"/>
      <c r="I80" s="3173"/>
      <c r="J80" s="3173"/>
      <c r="K80" s="3173"/>
      <c r="L80" s="3173"/>
      <c r="M80" s="3173"/>
      <c r="N80" s="3173"/>
      <c r="O80" s="3174"/>
      <c r="P80" s="110"/>
      <c r="Q80" s="110"/>
      <c r="R80" s="110"/>
      <c r="S80" s="110"/>
      <c r="T80" s="110"/>
      <c r="U80" s="110"/>
      <c r="V80" s="110"/>
      <c r="W80" s="110"/>
      <c r="X80" s="110"/>
      <c r="Y80" s="1646"/>
      <c r="Z80" s="286"/>
      <c r="AA80" s="286"/>
      <c r="AB80" s="1009"/>
      <c r="AC80" s="1009"/>
      <c r="AD80" s="1009"/>
      <c r="AE80" s="1009"/>
      <c r="AF80" s="1009"/>
      <c r="AG80" s="1009"/>
      <c r="AH80" s="1009"/>
      <c r="AI80" s="1009"/>
      <c r="AJ80" s="1009"/>
      <c r="AK80" s="1009"/>
      <c r="AL80" s="1009"/>
      <c r="AM80" s="1009"/>
      <c r="AN80" s="1655"/>
      <c r="AO80" s="1009"/>
      <c r="AP80" s="1655"/>
      <c r="AQ80" s="1009"/>
      <c r="AR80" s="1009"/>
      <c r="AS80" s="1010"/>
      <c r="AT80" s="1657"/>
    </row>
    <row r="81" spans="1:46" hidden="1">
      <c r="A81" s="1662"/>
      <c r="B81" s="1012" t="s">
        <v>5003</v>
      </c>
      <c r="C81" s="3172" t="s">
        <v>5004</v>
      </c>
      <c r="D81" s="3173"/>
      <c r="E81" s="3173"/>
      <c r="F81" s="3173"/>
      <c r="G81" s="3173"/>
      <c r="H81" s="3173"/>
      <c r="I81" s="3173"/>
      <c r="J81" s="3173"/>
      <c r="K81" s="3173"/>
      <c r="L81" s="3173"/>
      <c r="M81" s="3173"/>
      <c r="N81" s="3173"/>
      <c r="O81" s="3174"/>
      <c r="P81" s="110"/>
      <c r="Q81" s="110"/>
      <c r="R81" s="110"/>
      <c r="S81" s="110"/>
      <c r="T81" s="110"/>
      <c r="U81" s="110"/>
      <c r="V81" s="110"/>
      <c r="W81" s="110"/>
      <c r="X81" s="110"/>
      <c r="Y81" s="1646"/>
      <c r="Z81" s="286"/>
      <c r="AA81" s="286"/>
      <c r="AB81" s="1013"/>
      <c r="AC81" s="1013"/>
      <c r="AD81" s="1013"/>
      <c r="AE81" s="1013"/>
      <c r="AF81" s="1013"/>
      <c r="AG81" s="1013"/>
      <c r="AH81" s="1013"/>
      <c r="AI81" s="1013"/>
      <c r="AJ81" s="1013"/>
      <c r="AK81" s="1013"/>
      <c r="AL81" s="1013"/>
      <c r="AM81" s="1013"/>
      <c r="AN81" s="1655"/>
      <c r="AO81" s="1013"/>
      <c r="AP81" s="1655"/>
      <c r="AQ81" s="1013"/>
      <c r="AR81" s="1013"/>
      <c r="AS81" s="1010"/>
      <c r="AT81" s="1657"/>
    </row>
    <row r="82" spans="1:46" ht="25.5" hidden="1" customHeight="1" thickBot="1">
      <c r="A82" s="1662"/>
      <c r="B82" s="1014">
        <v>38</v>
      </c>
      <c r="C82" s="3181" t="s">
        <v>5005</v>
      </c>
      <c r="D82" s="3182"/>
      <c r="E82" s="3182"/>
      <c r="F82" s="3182"/>
      <c r="G82" s="3182"/>
      <c r="H82" s="3182"/>
      <c r="I82" s="3182"/>
      <c r="J82" s="3182"/>
      <c r="K82" s="3182"/>
      <c r="L82" s="3182"/>
      <c r="M82" s="3182"/>
      <c r="N82" s="3182"/>
      <c r="O82" s="3183"/>
      <c r="P82" s="110"/>
      <c r="Q82" s="110"/>
      <c r="R82" s="110"/>
      <c r="S82" s="110"/>
      <c r="T82" s="110"/>
      <c r="U82" s="110"/>
      <c r="V82" s="110"/>
      <c r="W82" s="110"/>
      <c r="X82" s="110"/>
      <c r="Y82" s="1646"/>
      <c r="Z82" s="286"/>
      <c r="AA82" s="286"/>
      <c r="AB82" s="1009"/>
      <c r="AC82" s="1009"/>
      <c r="AD82" s="1009"/>
      <c r="AE82" s="1009"/>
      <c r="AF82" s="1009"/>
      <c r="AG82" s="1009"/>
      <c r="AH82" s="1009"/>
      <c r="AI82" s="1009"/>
      <c r="AJ82" s="1009"/>
      <c r="AK82" s="1009"/>
      <c r="AL82" s="1009"/>
      <c r="AM82" s="1009"/>
      <c r="AN82" s="1655"/>
      <c r="AO82" s="1009"/>
      <c r="AP82" s="1655"/>
      <c r="AQ82" s="1009"/>
      <c r="AR82" s="1009"/>
    </row>
    <row r="83" spans="1:46" ht="14.5" hidden="1" thickBot="1">
      <c r="A83" s="1662"/>
      <c r="C83" s="927"/>
      <c r="D83" s="927"/>
      <c r="E83" s="927"/>
      <c r="F83" s="927"/>
      <c r="G83" s="927"/>
      <c r="H83" s="927"/>
      <c r="I83" s="927"/>
      <c r="J83" s="927"/>
      <c r="K83" s="927"/>
      <c r="L83" s="927"/>
      <c r="M83" s="927"/>
      <c r="N83" s="927"/>
      <c r="O83" s="927"/>
      <c r="P83" s="110"/>
      <c r="Q83" s="110"/>
      <c r="R83" s="110"/>
      <c r="S83" s="110"/>
      <c r="T83" s="110"/>
      <c r="U83" s="110"/>
      <c r="V83" s="110"/>
      <c r="W83" s="110"/>
      <c r="X83" s="110"/>
      <c r="Y83" s="1646"/>
      <c r="Z83" s="286"/>
      <c r="AA83" s="286"/>
    </row>
    <row r="84" spans="1:46" ht="15.5" thickBot="1">
      <c r="B84" s="3175" t="s">
        <v>5006</v>
      </c>
      <c r="C84" s="3176"/>
      <c r="D84" s="3176"/>
      <c r="E84" s="3176"/>
      <c r="F84" s="3176"/>
      <c r="G84" s="3176"/>
      <c r="H84" s="3176"/>
      <c r="I84" s="3176"/>
      <c r="J84" s="3176"/>
      <c r="K84" s="3176"/>
      <c r="L84" s="3176"/>
      <c r="M84" s="3176"/>
      <c r="N84" s="3176"/>
      <c r="O84" s="3177"/>
      <c r="P84" s="110"/>
      <c r="Q84" s="110"/>
      <c r="R84" s="110"/>
      <c r="S84" s="110"/>
      <c r="T84" s="110"/>
      <c r="U84" s="110"/>
      <c r="V84" s="110"/>
      <c r="W84" s="110"/>
      <c r="X84" s="110"/>
      <c r="Y84" s="1646"/>
      <c r="Z84" s="286"/>
      <c r="AA84" s="286"/>
    </row>
    <row r="85" spans="1:46" ht="27.75" customHeight="1" thickBot="1">
      <c r="B85" s="3178" t="s">
        <v>5007</v>
      </c>
      <c r="C85" s="3179"/>
      <c r="D85" s="3179"/>
      <c r="E85" s="3179"/>
      <c r="F85" s="3179"/>
      <c r="G85" s="3179"/>
      <c r="H85" s="3179"/>
      <c r="I85" s="3179"/>
      <c r="J85" s="3179"/>
      <c r="K85" s="3179"/>
      <c r="L85" s="3179"/>
      <c r="M85" s="3179"/>
      <c r="N85" s="3179"/>
      <c r="O85" s="3180"/>
      <c r="P85" s="110"/>
      <c r="Q85" s="110"/>
      <c r="R85" s="110"/>
      <c r="S85" s="110"/>
      <c r="T85" s="110"/>
      <c r="U85" s="110"/>
      <c r="V85" s="110"/>
      <c r="W85" s="110"/>
      <c r="X85" s="110"/>
      <c r="Y85" s="1646"/>
      <c r="Z85" s="286"/>
      <c r="AA85" s="286"/>
    </row>
    <row r="86" spans="1:46"/>
  </sheetData>
  <sheetProtection algorithmName="SHA-512" hashValue="U9OwtGGMNmNRhSwPOBsHCGNY8mXRedeLnwDSA1h/Ux4OgTAUjrZER9EAh4hTRSqhCHH2DriLQppnW3Iz/yiEgg==" saltValue="f9C37RCGGpU2FYRbVces3w==" spinCount="100000" sheet="1" objects="1" scenarios="1"/>
  <mergeCells count="51">
    <mergeCell ref="B3:C5"/>
    <mergeCell ref="D3:D5"/>
    <mergeCell ref="E3:E5"/>
    <mergeCell ref="F3:F5"/>
    <mergeCell ref="C62:O62"/>
    <mergeCell ref="G3:M3"/>
    <mergeCell ref="N3:T3"/>
    <mergeCell ref="B47:C47"/>
    <mergeCell ref="B56:O56"/>
    <mergeCell ref="C58:O58"/>
    <mergeCell ref="C59:O59"/>
    <mergeCell ref="C60:O60"/>
    <mergeCell ref="C61:O61"/>
    <mergeCell ref="U3:U5"/>
    <mergeCell ref="W3:W5"/>
    <mergeCell ref="G4:H4"/>
    <mergeCell ref="I4:L4"/>
    <mergeCell ref="M4:M5"/>
    <mergeCell ref="N4:O4"/>
    <mergeCell ref="P4:S4"/>
    <mergeCell ref="T4:T5"/>
    <mergeCell ref="B84:O84"/>
    <mergeCell ref="B85:O85"/>
    <mergeCell ref="C77:O77"/>
    <mergeCell ref="C78:O78"/>
    <mergeCell ref="C79:O79"/>
    <mergeCell ref="C80:O80"/>
    <mergeCell ref="C81:O81"/>
    <mergeCell ref="C82:O82"/>
    <mergeCell ref="C76:O76"/>
    <mergeCell ref="C63:O63"/>
    <mergeCell ref="C64:O64"/>
    <mergeCell ref="C65:O65"/>
    <mergeCell ref="C66:O66"/>
    <mergeCell ref="C67:O67"/>
    <mergeCell ref="C68:O68"/>
    <mergeCell ref="C69:O69"/>
    <mergeCell ref="C70:O70"/>
    <mergeCell ref="C71:O71"/>
    <mergeCell ref="C72:O72"/>
    <mergeCell ref="C73:O73"/>
    <mergeCell ref="C74:O74"/>
    <mergeCell ref="C75:O75"/>
    <mergeCell ref="BB3:BH3"/>
    <mergeCell ref="BI3:BO3"/>
    <mergeCell ref="BB4:BC4"/>
    <mergeCell ref="BD4:BG4"/>
    <mergeCell ref="BH4:BH5"/>
    <mergeCell ref="BI4:BJ4"/>
    <mergeCell ref="BK4:BN4"/>
    <mergeCell ref="BO4:BO5"/>
  </mergeCells>
  <conditionalFormatting sqref="W11:W22 W25:W44">
    <cfRule type="cellIs" dxfId="177" priority="9" operator="equal">
      <formula>$AS$30</formula>
    </cfRule>
  </conditionalFormatting>
  <conditionalFormatting sqref="W8:W9 W11:W22 W25:W44">
    <cfRule type="cellIs" dxfId="176" priority="7" operator="equal">
      <formula>0</formula>
    </cfRule>
  </conditionalFormatting>
  <conditionalFormatting sqref="W45">
    <cfRule type="cellIs" dxfId="175" priority="5" operator="equal">
      <formula>0</formula>
    </cfRule>
  </conditionalFormatting>
  <conditionalFormatting sqref="W10">
    <cfRule type="cellIs" dxfId="174" priority="3" operator="equal">
      <formula>0</formula>
    </cfRule>
  </conditionalFormatting>
  <conditionalFormatting sqref="W23:W24">
    <cfRule type="cellIs" dxfId="17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57" orientation="landscape"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8" operator="containsText" id="{3C53A28C-F1C4-433F-8F29-CC7ADF4A0B22}">
            <xm:f>NOT(ISERROR(SEARCH('4J'!$T$5,W8)))</xm:f>
            <xm:f>'4J'!$T$5</xm:f>
            <x14:dxf>
              <fill>
                <patternFill>
                  <bgColor rgb="FFFF0000"/>
                </patternFill>
              </fill>
            </x14:dxf>
          </x14:cfRule>
          <xm:sqref>W8:W9 W11:W22 W25:W44</xm:sqref>
        </x14:conditionalFormatting>
        <x14:conditionalFormatting xmlns:xm="http://schemas.microsoft.com/office/excel/2006/main">
          <x14:cfRule type="containsText" priority="4" operator="containsText" id="{ADE86AB6-C1FC-43B4-B14F-B3FA78847F31}">
            <xm:f>NOT(ISERROR(SEARCH('4J'!$T$5,W10)))</xm:f>
            <xm:f>'4J'!$T$5</xm:f>
            <x14:dxf>
              <fill>
                <patternFill>
                  <bgColor rgb="FFFF0000"/>
                </patternFill>
              </fill>
            </x14:dxf>
          </x14:cfRule>
          <xm:sqref>W10</xm:sqref>
        </x14:conditionalFormatting>
        <x14:conditionalFormatting xmlns:xm="http://schemas.microsoft.com/office/excel/2006/main">
          <x14:cfRule type="containsText" priority="2" operator="containsText" id="{538F1F88-7333-45A3-BED8-EC9336992EFE}">
            <xm:f>NOT(ISERROR(SEARCH('4J'!$T$5,W23)))</xm:f>
            <xm:f>'4J'!$T$5</xm:f>
            <x14:dxf>
              <fill>
                <patternFill>
                  <bgColor rgb="FFFF0000"/>
                </patternFill>
              </fill>
            </x14:dxf>
          </x14:cfRule>
          <xm:sqref>W23:W24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K71"/>
  <sheetViews>
    <sheetView workbookViewId="0">
      <selection activeCell="B1" sqref="B1:K29"/>
    </sheetView>
  </sheetViews>
  <sheetFormatPr defaultColWidth="0" defaultRowHeight="14" zeroHeight="1"/>
  <cols>
    <col min="1" max="1" width="0.58203125" style="70" customWidth="1"/>
    <col min="2" max="2" width="5" style="70" customWidth="1"/>
    <col min="3" max="3" width="38" style="70" bestFit="1" customWidth="1"/>
    <col min="4" max="4" width="2.58203125" style="70" hidden="1" customWidth="1"/>
    <col min="5" max="6" width="5.08203125" style="70" customWidth="1"/>
    <col min="7" max="11" width="12.5" style="70" customWidth="1"/>
    <col min="12" max="12" width="2.58203125" style="70" customWidth="1"/>
    <col min="13" max="13" width="21.58203125" style="70" customWidth="1"/>
    <col min="14" max="14" width="1.58203125" style="70" customWidth="1"/>
    <col min="15" max="15" width="1.58203125" style="71" hidden="1" customWidth="1"/>
    <col min="16" max="18" width="8.08203125" style="70" hidden="1" customWidth="1"/>
    <col min="19" max="19" width="1.58203125" style="71" hidden="1" customWidth="1"/>
    <col min="20" max="24" width="8.58203125" style="70" hidden="1" customWidth="1"/>
    <col min="25" max="26" width="0" style="70" hidden="1" customWidth="1"/>
    <col min="27" max="27" width="4.83203125" style="70" customWidth="1"/>
    <col min="28" max="28" width="38" style="70" bestFit="1" customWidth="1"/>
    <col min="29" max="29" width="2.58203125" style="70" hidden="1" customWidth="1"/>
    <col min="30" max="31" width="5.08203125" style="70" customWidth="1"/>
    <col min="32" max="36" width="12.5" style="70" customWidth="1"/>
    <col min="37" max="37" width="2.33203125" style="70" customWidth="1"/>
    <col min="38" max="16384" width="8.08203125" style="70" hidden="1"/>
  </cols>
  <sheetData>
    <row r="1" spans="2:36" ht="24" customHeight="1">
      <c r="B1" s="66" t="s">
        <v>31</v>
      </c>
      <c r="C1" s="66"/>
      <c r="D1" s="66"/>
      <c r="E1" s="66"/>
      <c r="F1" s="66"/>
      <c r="G1" s="66"/>
      <c r="H1" s="66"/>
      <c r="I1" s="66"/>
      <c r="J1" s="66"/>
      <c r="K1" s="68" t="str">
        <f>Validation!B3</f>
        <v>Bristol Water</v>
      </c>
      <c r="L1" s="66"/>
      <c r="M1" s="69" t="s">
        <v>32</v>
      </c>
      <c r="AA1" s="66" t="s">
        <v>33</v>
      </c>
      <c r="AB1" s="66"/>
      <c r="AC1" s="66"/>
      <c r="AD1" s="66"/>
      <c r="AE1" s="66"/>
      <c r="AF1" s="66"/>
      <c r="AG1" s="66"/>
      <c r="AH1" s="66"/>
      <c r="AI1" s="66"/>
      <c r="AJ1" s="68"/>
    </row>
    <row r="2" spans="2:36" ht="14.5" thickBot="1">
      <c r="B2" s="73" t="s">
        <v>18</v>
      </c>
      <c r="AA2" s="73" t="str">
        <f>+B2</f>
        <v>For the 12 months ended 31 March 2020</v>
      </c>
    </row>
    <row r="3" spans="2:36" ht="15" customHeight="1">
      <c r="B3" s="2894" t="s">
        <v>34</v>
      </c>
      <c r="C3" s="2895"/>
      <c r="D3" s="2820" t="s">
        <v>35</v>
      </c>
      <c r="E3" s="2898" t="s">
        <v>36</v>
      </c>
      <c r="F3" s="2900" t="s">
        <v>37</v>
      </c>
      <c r="G3" s="2902" t="s">
        <v>38</v>
      </c>
      <c r="H3" s="2904" t="s">
        <v>39</v>
      </c>
      <c r="I3" s="2905"/>
      <c r="J3" s="2906"/>
      <c r="K3" s="2907" t="s">
        <v>40</v>
      </c>
      <c r="M3" s="2907" t="s">
        <v>41</v>
      </c>
      <c r="AA3" s="2894" t="s">
        <v>34</v>
      </c>
      <c r="AB3" s="2895"/>
      <c r="AC3" s="2820" t="s">
        <v>35</v>
      </c>
      <c r="AD3" s="2898" t="s">
        <v>36</v>
      </c>
      <c r="AE3" s="2900" t="s">
        <v>37</v>
      </c>
      <c r="AF3" s="2902" t="s">
        <v>38</v>
      </c>
      <c r="AG3" s="2904" t="s">
        <v>39</v>
      </c>
      <c r="AH3" s="2905"/>
      <c r="AI3" s="2906"/>
      <c r="AJ3" s="2907" t="s">
        <v>40</v>
      </c>
    </row>
    <row r="4" spans="2:36" ht="54.5" thickBot="1">
      <c r="B4" s="2896"/>
      <c r="C4" s="2897"/>
      <c r="D4" s="2821"/>
      <c r="E4" s="2899"/>
      <c r="F4" s="2901"/>
      <c r="G4" s="2903"/>
      <c r="H4" s="2832" t="s">
        <v>42</v>
      </c>
      <c r="I4" s="78" t="s">
        <v>43</v>
      </c>
      <c r="J4" s="2833" t="s">
        <v>44</v>
      </c>
      <c r="K4" s="2908"/>
      <c r="M4" s="2908"/>
      <c r="P4" s="2909" t="s">
        <v>45</v>
      </c>
      <c r="Q4" s="2909"/>
      <c r="R4" s="2909"/>
      <c r="AA4" s="2896"/>
      <c r="AB4" s="2897"/>
      <c r="AC4" s="2821"/>
      <c r="AD4" s="2899"/>
      <c r="AE4" s="2901"/>
      <c r="AF4" s="2903"/>
      <c r="AG4" s="2832" t="s">
        <v>42</v>
      </c>
      <c r="AH4" s="78" t="s">
        <v>43</v>
      </c>
      <c r="AI4" s="2833" t="s">
        <v>44</v>
      </c>
      <c r="AJ4" s="2908"/>
    </row>
    <row r="5" spans="2:36" ht="14.5" thickBot="1">
      <c r="P5" s="164" t="s">
        <v>46</v>
      </c>
      <c r="Q5" s="127"/>
      <c r="R5" s="127"/>
    </row>
    <row r="6" spans="2:36">
      <c r="B6" s="86" t="s">
        <v>47</v>
      </c>
      <c r="C6" s="117" t="s">
        <v>48</v>
      </c>
      <c r="D6" s="117"/>
      <c r="E6" s="88" t="s">
        <v>49</v>
      </c>
      <c r="F6" s="89">
        <v>3</v>
      </c>
      <c r="G6" s="471">
        <v>125.47499999999999</v>
      </c>
      <c r="H6" s="414">
        <v>-2.13</v>
      </c>
      <c r="I6" s="425">
        <v>1.091</v>
      </c>
      <c r="J6" s="190">
        <f xml:space="preserve"> H6 - I6</f>
        <v>-3.2210000000000001</v>
      </c>
      <c r="K6" s="196">
        <f xml:space="preserve"> G6 + J6</f>
        <v>122.25399999999999</v>
      </c>
      <c r="M6" s="24">
        <f t="shared" ref="M6:M8" si="0" xml:space="preserve"> IF( SUM( O6:S6 ) = 0, 0, $P$5 )</f>
        <v>0</v>
      </c>
      <c r="P6" s="93">
        <f xml:space="preserve"> IF( ISNUMBER( G6 ), 0, 1 )</f>
        <v>0</v>
      </c>
      <c r="Q6" s="93">
        <f t="shared" ref="Q6:R8" si="1" xml:space="preserve"> IF( ISNUMBER( H6 ), 0, 1 )</f>
        <v>0</v>
      </c>
      <c r="R6" s="93">
        <f t="shared" si="1"/>
        <v>0</v>
      </c>
      <c r="AA6" s="86" t="s">
        <v>47</v>
      </c>
      <c r="AB6" s="117" t="s">
        <v>48</v>
      </c>
      <c r="AC6" s="117"/>
      <c r="AD6" s="88" t="s">
        <v>49</v>
      </c>
      <c r="AE6" s="89">
        <v>3</v>
      </c>
      <c r="AF6" s="2379" t="s">
        <v>50</v>
      </c>
      <c r="AG6" s="2380" t="s">
        <v>51</v>
      </c>
      <c r="AH6" s="2381" t="s">
        <v>52</v>
      </c>
      <c r="AI6" s="190" t="s">
        <v>53</v>
      </c>
      <c r="AJ6" s="196" t="s">
        <v>54</v>
      </c>
    </row>
    <row r="7" spans="2:36">
      <c r="B7" s="94" t="s">
        <v>55</v>
      </c>
      <c r="C7" s="87" t="s">
        <v>56</v>
      </c>
      <c r="D7" s="87"/>
      <c r="E7" s="95" t="s">
        <v>49</v>
      </c>
      <c r="F7" s="96">
        <v>3</v>
      </c>
      <c r="G7" s="472">
        <v>-103.544</v>
      </c>
      <c r="H7" s="412">
        <v>-0.04</v>
      </c>
      <c r="I7" s="413">
        <v>-0.875</v>
      </c>
      <c r="J7" s="191">
        <f xml:space="preserve"> H7 - I7</f>
        <v>0.83499999999999996</v>
      </c>
      <c r="K7" s="197">
        <f t="shared" ref="K7:K22" si="2" xml:space="preserve"> G7 + J7</f>
        <v>-102.709</v>
      </c>
      <c r="M7" s="24">
        <f t="shared" si="0"/>
        <v>0</v>
      </c>
      <c r="P7" s="93">
        <f t="shared" ref="P7:P8" si="3" xml:space="preserve"> IF( ISNUMBER( G7 ), 0, 1 )</f>
        <v>0</v>
      </c>
      <c r="Q7" s="93">
        <f t="shared" si="1"/>
        <v>0</v>
      </c>
      <c r="R7" s="93">
        <f t="shared" si="1"/>
        <v>0</v>
      </c>
      <c r="AA7" s="94" t="s">
        <v>55</v>
      </c>
      <c r="AB7" s="87" t="s">
        <v>56</v>
      </c>
      <c r="AC7" s="87"/>
      <c r="AD7" s="95" t="s">
        <v>49</v>
      </c>
      <c r="AE7" s="96">
        <v>3</v>
      </c>
      <c r="AF7" s="2382" t="s">
        <v>57</v>
      </c>
      <c r="AG7" s="2383" t="s">
        <v>58</v>
      </c>
      <c r="AH7" s="2384" t="s">
        <v>59</v>
      </c>
      <c r="AI7" s="191" t="s">
        <v>60</v>
      </c>
      <c r="AJ7" s="197" t="s">
        <v>61</v>
      </c>
    </row>
    <row r="8" spans="2:36">
      <c r="B8" s="94" t="s">
        <v>62</v>
      </c>
      <c r="C8" s="87" t="s">
        <v>63</v>
      </c>
      <c r="D8" s="87"/>
      <c r="E8" s="95" t="s">
        <v>49</v>
      </c>
      <c r="F8" s="96">
        <v>3</v>
      </c>
      <c r="G8" s="472">
        <v>0.68700000000000006</v>
      </c>
      <c r="H8" s="412">
        <v>0</v>
      </c>
      <c r="I8" s="413">
        <v>0</v>
      </c>
      <c r="J8" s="191">
        <f xml:space="preserve"> H8 - I8</f>
        <v>0</v>
      </c>
      <c r="K8" s="197">
        <f t="shared" si="2"/>
        <v>0.68700000000000006</v>
      </c>
      <c r="M8" s="24">
        <f t="shared" si="0"/>
        <v>0</v>
      </c>
      <c r="P8" s="93">
        <f t="shared" si="3"/>
        <v>0</v>
      </c>
      <c r="Q8" s="93">
        <f t="shared" si="1"/>
        <v>0</v>
      </c>
      <c r="R8" s="93">
        <f t="shared" si="1"/>
        <v>0</v>
      </c>
      <c r="AA8" s="94" t="s">
        <v>62</v>
      </c>
      <c r="AB8" s="87" t="s">
        <v>63</v>
      </c>
      <c r="AC8" s="87"/>
      <c r="AD8" s="95" t="s">
        <v>49</v>
      </c>
      <c r="AE8" s="96">
        <v>3</v>
      </c>
      <c r="AF8" s="2382" t="s">
        <v>64</v>
      </c>
      <c r="AG8" s="2383" t="s">
        <v>65</v>
      </c>
      <c r="AH8" s="2384" t="s">
        <v>66</v>
      </c>
      <c r="AI8" s="191" t="s">
        <v>67</v>
      </c>
      <c r="AJ8" s="197" t="s">
        <v>68</v>
      </c>
    </row>
    <row r="9" spans="2:36" ht="14.5" thickBot="1">
      <c r="B9" s="101" t="s">
        <v>69</v>
      </c>
      <c r="C9" s="102" t="s">
        <v>70</v>
      </c>
      <c r="D9" s="102"/>
      <c r="E9" s="103" t="s">
        <v>49</v>
      </c>
      <c r="F9" s="100">
        <v>3</v>
      </c>
      <c r="G9" s="198">
        <f>SUM( G6:G8 )</f>
        <v>22.617999999999999</v>
      </c>
      <c r="H9" s="193">
        <f>SUM( H6:H8 )</f>
        <v>-2.17</v>
      </c>
      <c r="I9" s="194">
        <f>SUM( I6:I8 )</f>
        <v>0.21599999999999997</v>
      </c>
      <c r="J9" s="195">
        <f xml:space="preserve"> H9 - I9</f>
        <v>-2.3860000000000001</v>
      </c>
      <c r="K9" s="198">
        <f xml:space="preserve"> G9 + J9</f>
        <v>20.231999999999999</v>
      </c>
      <c r="M9" s="126"/>
      <c r="P9" s="127"/>
      <c r="Q9" s="127"/>
      <c r="R9" s="127"/>
      <c r="AA9" s="101" t="s">
        <v>69</v>
      </c>
      <c r="AB9" s="102" t="s">
        <v>70</v>
      </c>
      <c r="AC9" s="102"/>
      <c r="AD9" s="103" t="s">
        <v>49</v>
      </c>
      <c r="AE9" s="100">
        <v>3</v>
      </c>
      <c r="AF9" s="198" t="s">
        <v>71</v>
      </c>
      <c r="AG9" s="193" t="s">
        <v>72</v>
      </c>
      <c r="AH9" s="194" t="s">
        <v>73</v>
      </c>
      <c r="AI9" s="195" t="s">
        <v>74</v>
      </c>
      <c r="AJ9" s="198" t="s">
        <v>75</v>
      </c>
    </row>
    <row r="10" spans="2:36" ht="14.5" thickBot="1">
      <c r="M10" s="126"/>
      <c r="P10" s="127"/>
      <c r="Q10" s="127"/>
      <c r="R10" s="127"/>
    </row>
    <row r="11" spans="2:36">
      <c r="B11" s="86" t="s">
        <v>76</v>
      </c>
      <c r="C11" s="117" t="s">
        <v>77</v>
      </c>
      <c r="D11" s="117"/>
      <c r="E11" s="88" t="s">
        <v>49</v>
      </c>
      <c r="F11" s="89">
        <v>3</v>
      </c>
      <c r="G11" s="467">
        <v>0</v>
      </c>
      <c r="H11" s="414">
        <v>2.0150000000000001</v>
      </c>
      <c r="I11" s="425">
        <v>0</v>
      </c>
      <c r="J11" s="190">
        <f xml:space="preserve"> H11 - I11</f>
        <v>2.0150000000000001</v>
      </c>
      <c r="K11" s="196">
        <f xml:space="preserve"> G11 + J11</f>
        <v>2.0150000000000001</v>
      </c>
      <c r="M11" s="24">
        <f t="shared" ref="M11:M13" si="4" xml:space="preserve"> IF( SUM( O11:S11 ) = 0, 0, $P$5 )</f>
        <v>0</v>
      </c>
      <c r="P11" s="93">
        <f xml:space="preserve"> IF( ISNUMBER( G11 ), 0, 1 )</f>
        <v>0</v>
      </c>
      <c r="Q11" s="93">
        <f t="shared" ref="Q11:R14" si="5" xml:space="preserve"> IF( ISNUMBER( H11 ), 0, 1 )</f>
        <v>0</v>
      </c>
      <c r="R11" s="93">
        <f t="shared" si="5"/>
        <v>0</v>
      </c>
      <c r="AA11" s="86" t="s">
        <v>76</v>
      </c>
      <c r="AB11" s="117" t="s">
        <v>77</v>
      </c>
      <c r="AC11" s="117"/>
      <c r="AD11" s="88" t="s">
        <v>49</v>
      </c>
      <c r="AE11" s="89">
        <v>3</v>
      </c>
      <c r="AF11" s="2385" t="s">
        <v>78</v>
      </c>
      <c r="AG11" s="2380" t="s">
        <v>79</v>
      </c>
      <c r="AH11" s="2381" t="s">
        <v>80</v>
      </c>
      <c r="AI11" s="190" t="s">
        <v>81</v>
      </c>
      <c r="AJ11" s="196" t="s">
        <v>82</v>
      </c>
    </row>
    <row r="12" spans="2:36">
      <c r="B12" s="94" t="s">
        <v>83</v>
      </c>
      <c r="C12" s="87" t="s">
        <v>84</v>
      </c>
      <c r="D12" s="87"/>
      <c r="E12" s="95" t="s">
        <v>49</v>
      </c>
      <c r="F12" s="96">
        <v>3</v>
      </c>
      <c r="G12" s="463">
        <v>4.1130000000000004</v>
      </c>
      <c r="H12" s="412">
        <v>0</v>
      </c>
      <c r="I12" s="413">
        <v>0</v>
      </c>
      <c r="J12" s="191">
        <f xml:space="preserve"> H12 - I12</f>
        <v>0</v>
      </c>
      <c r="K12" s="197">
        <f xml:space="preserve"> G12 + J12</f>
        <v>4.1130000000000004</v>
      </c>
      <c r="M12" s="24">
        <f t="shared" si="4"/>
        <v>0</v>
      </c>
      <c r="P12" s="93">
        <f t="shared" ref="P12:P14" si="6" xml:space="preserve"> IF( ISNUMBER( G12 ), 0, 1 )</f>
        <v>0</v>
      </c>
      <c r="Q12" s="93">
        <f t="shared" si="5"/>
        <v>0</v>
      </c>
      <c r="R12" s="93">
        <f t="shared" si="5"/>
        <v>0</v>
      </c>
      <c r="AA12" s="94" t="s">
        <v>83</v>
      </c>
      <c r="AB12" s="87" t="s">
        <v>84</v>
      </c>
      <c r="AC12" s="87"/>
      <c r="AD12" s="95" t="s">
        <v>49</v>
      </c>
      <c r="AE12" s="96">
        <v>3</v>
      </c>
      <c r="AF12" s="2386" t="s">
        <v>85</v>
      </c>
      <c r="AG12" s="2383" t="s">
        <v>86</v>
      </c>
      <c r="AH12" s="2384" t="s">
        <v>87</v>
      </c>
      <c r="AI12" s="191" t="s">
        <v>88</v>
      </c>
      <c r="AJ12" s="197" t="s">
        <v>89</v>
      </c>
    </row>
    <row r="13" spans="2:36">
      <c r="B13" s="94" t="s">
        <v>90</v>
      </c>
      <c r="C13" s="87" t="s">
        <v>91</v>
      </c>
      <c r="D13" s="87"/>
      <c r="E13" s="95" t="s">
        <v>49</v>
      </c>
      <c r="F13" s="96">
        <v>3</v>
      </c>
      <c r="G13" s="463">
        <v>-17.988</v>
      </c>
      <c r="H13" s="412">
        <v>-0.32800000000000001</v>
      </c>
      <c r="I13" s="413">
        <v>0</v>
      </c>
      <c r="J13" s="191">
        <f xml:space="preserve"> H13 - I13</f>
        <v>-0.32800000000000001</v>
      </c>
      <c r="K13" s="197">
        <f t="shared" si="2"/>
        <v>-18.315999999999999</v>
      </c>
      <c r="M13" s="24">
        <f t="shared" si="4"/>
        <v>0</v>
      </c>
      <c r="P13" s="93">
        <f t="shared" si="6"/>
        <v>0</v>
      </c>
      <c r="Q13" s="93">
        <f t="shared" si="5"/>
        <v>0</v>
      </c>
      <c r="R13" s="93">
        <f t="shared" si="5"/>
        <v>0</v>
      </c>
      <c r="AA13" s="94" t="s">
        <v>90</v>
      </c>
      <c r="AB13" s="87" t="s">
        <v>91</v>
      </c>
      <c r="AC13" s="87"/>
      <c r="AD13" s="95" t="s">
        <v>49</v>
      </c>
      <c r="AE13" s="96">
        <v>3</v>
      </c>
      <c r="AF13" s="2386" t="s">
        <v>92</v>
      </c>
      <c r="AG13" s="2383" t="s">
        <v>93</v>
      </c>
      <c r="AH13" s="2384" t="s">
        <v>94</v>
      </c>
      <c r="AI13" s="191" t="s">
        <v>95</v>
      </c>
      <c r="AJ13" s="197" t="s">
        <v>96</v>
      </c>
    </row>
    <row r="14" spans="2:36">
      <c r="B14" s="94" t="s">
        <v>97</v>
      </c>
      <c r="C14" s="87" t="s">
        <v>98</v>
      </c>
      <c r="D14" s="87"/>
      <c r="E14" s="95" t="s">
        <v>49</v>
      </c>
      <c r="F14" s="96">
        <v>3</v>
      </c>
      <c r="G14" s="463">
        <v>0.36</v>
      </c>
      <c r="H14" s="412">
        <v>0</v>
      </c>
      <c r="I14" s="413">
        <v>0</v>
      </c>
      <c r="J14" s="191">
        <f xml:space="preserve"> H14 - I14</f>
        <v>0</v>
      </c>
      <c r="K14" s="197">
        <f t="shared" si="2"/>
        <v>0.36</v>
      </c>
      <c r="M14" s="24">
        <f xml:space="preserve"> IF( SUM( O14:S14 ) = 0, 0, $P$5 )</f>
        <v>0</v>
      </c>
      <c r="P14" s="93">
        <f t="shared" si="6"/>
        <v>0</v>
      </c>
      <c r="Q14" s="93">
        <f t="shared" si="5"/>
        <v>0</v>
      </c>
      <c r="R14" s="93">
        <f t="shared" si="5"/>
        <v>0</v>
      </c>
      <c r="AA14" s="94" t="s">
        <v>97</v>
      </c>
      <c r="AB14" s="87" t="s">
        <v>98</v>
      </c>
      <c r="AC14" s="87"/>
      <c r="AD14" s="95" t="s">
        <v>49</v>
      </c>
      <c r="AE14" s="96">
        <v>3</v>
      </c>
      <c r="AF14" s="2386" t="s">
        <v>99</v>
      </c>
      <c r="AG14" s="2383" t="s">
        <v>100</v>
      </c>
      <c r="AH14" s="2384" t="s">
        <v>101</v>
      </c>
      <c r="AI14" s="191" t="s">
        <v>102</v>
      </c>
      <c r="AJ14" s="197" t="s">
        <v>103</v>
      </c>
    </row>
    <row r="15" spans="2:36" ht="14.5" thickBot="1">
      <c r="B15" s="101" t="s">
        <v>104</v>
      </c>
      <c r="C15" s="102" t="s">
        <v>105</v>
      </c>
      <c r="D15" s="102"/>
      <c r="E15" s="103" t="s">
        <v>49</v>
      </c>
      <c r="F15" s="100">
        <v>3</v>
      </c>
      <c r="G15" s="195">
        <f xml:space="preserve"> G9 + SUM( G11:G14 )</f>
        <v>9.102999999999998</v>
      </c>
      <c r="H15" s="193">
        <f xml:space="preserve"> H9 + SUM( H11:H14 )</f>
        <v>-0.48299999999999987</v>
      </c>
      <c r="I15" s="194">
        <f xml:space="preserve"> I9 + SUM( I11:I14 )</f>
        <v>0.21599999999999997</v>
      </c>
      <c r="J15" s="195">
        <f xml:space="preserve"> H15 - I15</f>
        <v>-0.69899999999999984</v>
      </c>
      <c r="K15" s="198">
        <f t="shared" si="2"/>
        <v>8.4039999999999981</v>
      </c>
      <c r="M15" s="126"/>
      <c r="P15" s="127"/>
      <c r="Q15" s="127"/>
      <c r="R15" s="127"/>
      <c r="AA15" s="101" t="s">
        <v>104</v>
      </c>
      <c r="AB15" s="102" t="s">
        <v>105</v>
      </c>
      <c r="AC15" s="102"/>
      <c r="AD15" s="103" t="s">
        <v>49</v>
      </c>
      <c r="AE15" s="100">
        <v>3</v>
      </c>
      <c r="AF15" s="195" t="s">
        <v>106</v>
      </c>
      <c r="AG15" s="193" t="s">
        <v>107</v>
      </c>
      <c r="AH15" s="194" t="s">
        <v>108</v>
      </c>
      <c r="AI15" s="195" t="s">
        <v>109</v>
      </c>
      <c r="AJ15" s="198" t="s">
        <v>110</v>
      </c>
    </row>
    <row r="16" spans="2:36" ht="14.5" thickBot="1">
      <c r="M16" s="126"/>
      <c r="P16" s="127"/>
      <c r="Q16" s="127"/>
      <c r="R16" s="127"/>
    </row>
    <row r="17" spans="2:36">
      <c r="B17" s="86" t="s">
        <v>111</v>
      </c>
      <c r="C17" s="117" t="s">
        <v>112</v>
      </c>
      <c r="D17" s="117"/>
      <c r="E17" s="88" t="s">
        <v>49</v>
      </c>
      <c r="F17" s="89">
        <v>3</v>
      </c>
      <c r="G17" s="471">
        <v>0</v>
      </c>
      <c r="H17" s="414">
        <v>0</v>
      </c>
      <c r="I17" s="425">
        <v>0</v>
      </c>
      <c r="J17" s="190">
        <f xml:space="preserve"> H17 - I17</f>
        <v>0</v>
      </c>
      <c r="K17" s="199">
        <f t="shared" si="2"/>
        <v>0</v>
      </c>
      <c r="M17" s="24">
        <f t="shared" ref="M17" si="7" xml:space="preserve"> IF( SUM( O17:S17 ) = 0, 0, $P$5 )</f>
        <v>0</v>
      </c>
      <c r="P17" s="93">
        <f t="shared" ref="P17:R17" si="8" xml:space="preserve"> IF( ISNUMBER( G17 ), 0, 1 )</f>
        <v>0</v>
      </c>
      <c r="Q17" s="93">
        <f t="shared" si="8"/>
        <v>0</v>
      </c>
      <c r="R17" s="93">
        <f t="shared" si="8"/>
        <v>0</v>
      </c>
      <c r="AA17" s="86" t="s">
        <v>111</v>
      </c>
      <c r="AB17" s="117" t="s">
        <v>112</v>
      </c>
      <c r="AC17" s="117"/>
      <c r="AD17" s="88" t="s">
        <v>49</v>
      </c>
      <c r="AE17" s="89">
        <v>3</v>
      </c>
      <c r="AF17" s="2379" t="s">
        <v>113</v>
      </c>
      <c r="AG17" s="2380" t="s">
        <v>114</v>
      </c>
      <c r="AH17" s="2381" t="s">
        <v>115</v>
      </c>
      <c r="AI17" s="190" t="s">
        <v>116</v>
      </c>
      <c r="AJ17" s="199" t="s">
        <v>117</v>
      </c>
    </row>
    <row r="18" spans="2:36" ht="14.5" thickBot="1">
      <c r="B18" s="101" t="s">
        <v>118</v>
      </c>
      <c r="C18" s="102" t="s">
        <v>119</v>
      </c>
      <c r="D18" s="102"/>
      <c r="E18" s="103" t="s">
        <v>49</v>
      </c>
      <c r="F18" s="100">
        <v>3</v>
      </c>
      <c r="G18" s="198">
        <f xml:space="preserve"> G15 + G17</f>
        <v>9.102999999999998</v>
      </c>
      <c r="H18" s="193">
        <f xml:space="preserve"> H15 + H17</f>
        <v>-0.48299999999999987</v>
      </c>
      <c r="I18" s="194">
        <f xml:space="preserve"> I15 + I17</f>
        <v>0.21599999999999997</v>
      </c>
      <c r="J18" s="195">
        <f xml:space="preserve"> H18 - I18</f>
        <v>-0.69899999999999984</v>
      </c>
      <c r="K18" s="200">
        <f t="shared" si="2"/>
        <v>8.4039999999999981</v>
      </c>
      <c r="M18" s="126"/>
      <c r="P18" s="127"/>
      <c r="Q18" s="127"/>
      <c r="R18" s="127"/>
      <c r="AA18" s="101" t="s">
        <v>118</v>
      </c>
      <c r="AB18" s="102" t="s">
        <v>119</v>
      </c>
      <c r="AC18" s="102"/>
      <c r="AD18" s="103" t="s">
        <v>49</v>
      </c>
      <c r="AE18" s="100">
        <v>3</v>
      </c>
      <c r="AF18" s="198" t="s">
        <v>120</v>
      </c>
      <c r="AG18" s="193" t="s">
        <v>121</v>
      </c>
      <c r="AH18" s="194" t="s">
        <v>122</v>
      </c>
      <c r="AI18" s="195" t="s">
        <v>123</v>
      </c>
      <c r="AJ18" s="200" t="s">
        <v>124</v>
      </c>
    </row>
    <row r="19" spans="2:36" ht="14.5" thickBot="1">
      <c r="M19" s="126"/>
      <c r="P19" s="127"/>
      <c r="Q19" s="127"/>
      <c r="R19" s="127"/>
    </row>
    <row r="20" spans="2:36">
      <c r="B20" s="86" t="s">
        <v>125</v>
      </c>
      <c r="C20" s="117" t="s">
        <v>126</v>
      </c>
      <c r="D20" s="117"/>
      <c r="E20" s="88" t="s">
        <v>49</v>
      </c>
      <c r="F20" s="89">
        <v>3</v>
      </c>
      <c r="G20" s="196">
        <f>(-1 * G29)</f>
        <v>-0.97900000000000009</v>
      </c>
      <c r="H20" s="188">
        <f>(-1 * H29)</f>
        <v>0</v>
      </c>
      <c r="I20" s="189">
        <f>(-1 * I29)</f>
        <v>-4.1000000000000002E-2</v>
      </c>
      <c r="J20" s="190">
        <f xml:space="preserve"> H20 - I20</f>
        <v>4.1000000000000002E-2</v>
      </c>
      <c r="K20" s="199">
        <f t="shared" si="2"/>
        <v>-0.93800000000000006</v>
      </c>
      <c r="M20" s="24">
        <f t="shared" ref="M20:M21" si="9" xml:space="preserve"> IF( SUM( O20:S20 ) = 0, 0, $P$5 )</f>
        <v>0</v>
      </c>
      <c r="P20" s="93">
        <f t="shared" ref="P20:R21" si="10" xml:space="preserve"> IF( ISNUMBER( G20 ), 0, 1 )</f>
        <v>0</v>
      </c>
      <c r="Q20" s="93">
        <f t="shared" si="10"/>
        <v>0</v>
      </c>
      <c r="R20" s="93">
        <f t="shared" si="10"/>
        <v>0</v>
      </c>
      <c r="AA20" s="86" t="s">
        <v>125</v>
      </c>
      <c r="AB20" s="117" t="s">
        <v>126</v>
      </c>
      <c r="AC20" s="117"/>
      <c r="AD20" s="88" t="s">
        <v>49</v>
      </c>
      <c r="AE20" s="89">
        <v>3</v>
      </c>
      <c r="AF20" s="196" t="s">
        <v>127</v>
      </c>
      <c r="AG20" s="188" t="s">
        <v>128</v>
      </c>
      <c r="AH20" s="189" t="s">
        <v>129</v>
      </c>
      <c r="AI20" s="190" t="s">
        <v>130</v>
      </c>
      <c r="AJ20" s="199" t="s">
        <v>131</v>
      </c>
    </row>
    <row r="21" spans="2:36">
      <c r="B21" s="94" t="s">
        <v>132</v>
      </c>
      <c r="C21" s="87" t="s">
        <v>133</v>
      </c>
      <c r="D21" s="87"/>
      <c r="E21" s="95" t="s">
        <v>49</v>
      </c>
      <c r="F21" s="96">
        <v>3</v>
      </c>
      <c r="G21" s="472">
        <v>-7.7270000000000003</v>
      </c>
      <c r="H21" s="412">
        <v>9.1999999999999998E-2</v>
      </c>
      <c r="I21" s="413">
        <v>0</v>
      </c>
      <c r="J21" s="191">
        <f xml:space="preserve"> H21 - I21</f>
        <v>9.1999999999999998E-2</v>
      </c>
      <c r="K21" s="241">
        <f t="shared" si="2"/>
        <v>-7.6350000000000007</v>
      </c>
      <c r="M21" s="24">
        <f t="shared" si="9"/>
        <v>0</v>
      </c>
      <c r="P21" s="93">
        <f t="shared" si="10"/>
        <v>0</v>
      </c>
      <c r="Q21" s="93">
        <f t="shared" si="10"/>
        <v>0</v>
      </c>
      <c r="R21" s="93">
        <f t="shared" si="10"/>
        <v>0</v>
      </c>
      <c r="AA21" s="94" t="s">
        <v>132</v>
      </c>
      <c r="AB21" s="87" t="s">
        <v>133</v>
      </c>
      <c r="AC21" s="87"/>
      <c r="AD21" s="95" t="s">
        <v>49</v>
      </c>
      <c r="AE21" s="96">
        <v>3</v>
      </c>
      <c r="AF21" s="2382" t="s">
        <v>134</v>
      </c>
      <c r="AG21" s="2383" t="s">
        <v>135</v>
      </c>
      <c r="AH21" s="2384" t="s">
        <v>136</v>
      </c>
      <c r="AI21" s="191" t="s">
        <v>137</v>
      </c>
      <c r="AJ21" s="241" t="s">
        <v>138</v>
      </c>
    </row>
    <row r="22" spans="2:36" ht="14.5" thickBot="1">
      <c r="B22" s="101" t="s">
        <v>139</v>
      </c>
      <c r="C22" s="102" t="s">
        <v>140</v>
      </c>
      <c r="D22" s="102"/>
      <c r="E22" s="103" t="s">
        <v>49</v>
      </c>
      <c r="F22" s="100">
        <v>3</v>
      </c>
      <c r="G22" s="198">
        <f xml:space="preserve"> G18 + (SUM( G20:G21 ))</f>
        <v>0.39699999999999847</v>
      </c>
      <c r="H22" s="193">
        <f xml:space="preserve"> H18 + (SUM( H20:H21 ))</f>
        <v>-0.3909999999999999</v>
      </c>
      <c r="I22" s="194">
        <f xml:space="preserve"> I18 + (SUM( I20:I21 ))</f>
        <v>0.17499999999999996</v>
      </c>
      <c r="J22" s="195">
        <f xml:space="preserve"> H22 - I22</f>
        <v>-0.56599999999999984</v>
      </c>
      <c r="K22" s="200">
        <f t="shared" si="2"/>
        <v>-0.16900000000000137</v>
      </c>
      <c r="M22" s="126"/>
      <c r="AA22" s="101" t="s">
        <v>139</v>
      </c>
      <c r="AB22" s="102" t="s">
        <v>140</v>
      </c>
      <c r="AC22" s="102"/>
      <c r="AD22" s="103" t="s">
        <v>49</v>
      </c>
      <c r="AE22" s="100">
        <v>3</v>
      </c>
      <c r="AF22" s="198" t="s">
        <v>141</v>
      </c>
      <c r="AG22" s="193" t="s">
        <v>142</v>
      </c>
      <c r="AH22" s="194" t="s">
        <v>143</v>
      </c>
      <c r="AI22" s="195" t="s">
        <v>144</v>
      </c>
      <c r="AJ22" s="200" t="s">
        <v>145</v>
      </c>
    </row>
    <row r="23" spans="2:36" s="110" customFormat="1" ht="14.5" thickBot="1">
      <c r="C23" s="152"/>
      <c r="D23" s="152"/>
      <c r="H23" s="163"/>
      <c r="J23" s="118"/>
      <c r="K23" s="118"/>
      <c r="L23" s="118"/>
      <c r="M23" s="126"/>
      <c r="N23" s="118"/>
      <c r="O23" s="124"/>
      <c r="P23" s="280"/>
      <c r="S23" s="124"/>
      <c r="AB23" s="152"/>
      <c r="AC23" s="152"/>
      <c r="AG23" s="163"/>
      <c r="AI23" s="118"/>
      <c r="AJ23" s="118"/>
    </row>
    <row r="24" spans="2:36" s="110" customFormat="1" ht="14.5" thickBot="1">
      <c r="B24" s="597" t="s">
        <v>146</v>
      </c>
      <c r="C24" s="598" t="s">
        <v>147</v>
      </c>
      <c r="D24" s="598"/>
      <c r="E24" s="133" t="s">
        <v>49</v>
      </c>
      <c r="F24" s="134">
        <v>3</v>
      </c>
      <c r="G24" s="427">
        <v>-6.2670000000000003</v>
      </c>
      <c r="H24" s="452">
        <v>0</v>
      </c>
      <c r="I24" s="460">
        <v>-0.17499999999999999</v>
      </c>
      <c r="J24" s="247">
        <f xml:space="preserve"> H24 - I24</f>
        <v>0.17499999999999999</v>
      </c>
      <c r="K24" s="490">
        <f t="shared" ref="K24" si="11" xml:space="preserve"> G24 + J24</f>
        <v>-6.0920000000000005</v>
      </c>
      <c r="L24" s="70"/>
      <c r="M24" s="24">
        <f t="shared" ref="M24" si="12" xml:space="preserve"> IF( SUM( O24:S24 ) = 0, 0, $P$5 )</f>
        <v>0</v>
      </c>
      <c r="N24" s="118"/>
      <c r="O24" s="124"/>
      <c r="P24" s="93">
        <f t="shared" ref="P24" si="13" xml:space="preserve"> IF( ISNUMBER( G24 ), 0, 1 )</f>
        <v>0</v>
      </c>
      <c r="Q24" s="93">
        <f t="shared" ref="Q24" si="14" xml:space="preserve"> IF( ISNUMBER( H24 ), 0, 1 )</f>
        <v>0</v>
      </c>
      <c r="R24" s="93">
        <f t="shared" ref="R24" si="15" xml:space="preserve"> IF( ISNUMBER( I24 ), 0, 1 )</f>
        <v>0</v>
      </c>
      <c r="S24" s="124"/>
      <c r="AA24" s="597" t="s">
        <v>146</v>
      </c>
      <c r="AB24" s="598" t="s">
        <v>147</v>
      </c>
      <c r="AC24" s="598"/>
      <c r="AD24" s="133" t="s">
        <v>49</v>
      </c>
      <c r="AE24" s="134">
        <v>3</v>
      </c>
      <c r="AF24" s="2387" t="s">
        <v>148</v>
      </c>
      <c r="AG24" s="2388" t="s">
        <v>149</v>
      </c>
      <c r="AH24" s="2389" t="s">
        <v>150</v>
      </c>
      <c r="AI24" s="247" t="s">
        <v>151</v>
      </c>
      <c r="AJ24" s="490" t="s">
        <v>152</v>
      </c>
    </row>
    <row r="25" spans="2:36" s="110" customFormat="1" ht="14.5" thickBot="1">
      <c r="C25" s="152"/>
      <c r="D25" s="152"/>
      <c r="H25" s="163"/>
      <c r="J25" s="118"/>
      <c r="K25" s="118"/>
      <c r="L25" s="118"/>
      <c r="M25" s="126"/>
      <c r="N25" s="118"/>
      <c r="O25" s="124"/>
      <c r="P25" s="280"/>
      <c r="S25" s="124"/>
      <c r="AB25" s="152"/>
      <c r="AC25" s="152"/>
      <c r="AG25" s="163"/>
      <c r="AI25" s="118"/>
      <c r="AJ25" s="118"/>
    </row>
    <row r="26" spans="2:36" ht="14.5" thickBot="1">
      <c r="B26" s="2865" t="s">
        <v>153</v>
      </c>
      <c r="C26" s="83" t="s">
        <v>154</v>
      </c>
      <c r="D26" s="1473"/>
      <c r="M26" s="126"/>
      <c r="AA26" s="2865" t="s">
        <v>153</v>
      </c>
      <c r="AB26" s="83" t="s">
        <v>154</v>
      </c>
      <c r="AC26" s="1473"/>
    </row>
    <row r="27" spans="2:36">
      <c r="B27" s="86" t="s">
        <v>155</v>
      </c>
      <c r="C27" s="117" t="s">
        <v>156</v>
      </c>
      <c r="D27" s="117"/>
      <c r="E27" s="88" t="s">
        <v>49</v>
      </c>
      <c r="F27" s="89">
        <v>3</v>
      </c>
      <c r="G27" s="467">
        <v>1.1890000000000001</v>
      </c>
      <c r="H27" s="414">
        <v>0</v>
      </c>
      <c r="I27" s="425">
        <v>4.1000000000000002E-2</v>
      </c>
      <c r="J27" s="190">
        <f xml:space="preserve"> H27 - I27</f>
        <v>-4.1000000000000002E-2</v>
      </c>
      <c r="K27" s="196">
        <f xml:space="preserve"> G27 + J27</f>
        <v>1.1480000000000001</v>
      </c>
      <c r="M27" s="24">
        <f t="shared" ref="M27:M28" si="16" xml:space="preserve"> IF( SUM( O27:S27 ) = 0, 0, $P$5 )</f>
        <v>0</v>
      </c>
      <c r="P27" s="93">
        <f t="shared" ref="P27:R28" si="17" xml:space="preserve"> IF( ISNUMBER( G27 ), 0, 1 )</f>
        <v>0</v>
      </c>
      <c r="Q27" s="93">
        <f t="shared" si="17"/>
        <v>0</v>
      </c>
      <c r="R27" s="93">
        <f t="shared" si="17"/>
        <v>0</v>
      </c>
      <c r="AA27" s="86" t="s">
        <v>155</v>
      </c>
      <c r="AB27" s="117" t="s">
        <v>156</v>
      </c>
      <c r="AC27" s="117"/>
      <c r="AD27" s="88" t="s">
        <v>49</v>
      </c>
      <c r="AE27" s="89">
        <v>3</v>
      </c>
      <c r="AF27" s="2390" t="s">
        <v>157</v>
      </c>
      <c r="AG27" s="2217" t="s">
        <v>158</v>
      </c>
      <c r="AH27" s="2391" t="s">
        <v>159</v>
      </c>
      <c r="AI27" s="1883" t="s">
        <v>160</v>
      </c>
      <c r="AJ27" s="1884" t="s">
        <v>161</v>
      </c>
    </row>
    <row r="28" spans="2:36">
      <c r="B28" s="94" t="s">
        <v>162</v>
      </c>
      <c r="C28" s="87" t="s">
        <v>163</v>
      </c>
      <c r="D28" s="87"/>
      <c r="E28" s="95" t="s">
        <v>49</v>
      </c>
      <c r="F28" s="96">
        <v>3</v>
      </c>
      <c r="G28" s="463">
        <v>-0.21</v>
      </c>
      <c r="H28" s="412">
        <v>0</v>
      </c>
      <c r="I28" s="413">
        <v>0</v>
      </c>
      <c r="J28" s="191">
        <f xml:space="preserve"> H28 - I28</f>
        <v>0</v>
      </c>
      <c r="K28" s="197">
        <f xml:space="preserve"> G28 + J28</f>
        <v>-0.21</v>
      </c>
      <c r="M28" s="24">
        <f t="shared" si="16"/>
        <v>0</v>
      </c>
      <c r="P28" s="93">
        <f t="shared" si="17"/>
        <v>0</v>
      </c>
      <c r="Q28" s="93">
        <f t="shared" si="17"/>
        <v>0</v>
      </c>
      <c r="R28" s="93">
        <f t="shared" si="17"/>
        <v>0</v>
      </c>
      <c r="AA28" s="94" t="s">
        <v>162</v>
      </c>
      <c r="AB28" s="87" t="s">
        <v>163</v>
      </c>
      <c r="AC28" s="87"/>
      <c r="AD28" s="95" t="s">
        <v>49</v>
      </c>
      <c r="AE28" s="96">
        <v>3</v>
      </c>
      <c r="AF28" s="2392" t="s">
        <v>164</v>
      </c>
      <c r="AG28" s="2219" t="s">
        <v>165</v>
      </c>
      <c r="AH28" s="2393" t="s">
        <v>166</v>
      </c>
      <c r="AI28" s="1885" t="s">
        <v>167</v>
      </c>
      <c r="AJ28" s="1886" t="s">
        <v>168</v>
      </c>
    </row>
    <row r="29" spans="2:36" ht="14.5" thickBot="1">
      <c r="B29" s="101" t="s">
        <v>169</v>
      </c>
      <c r="C29" s="102" t="s">
        <v>126</v>
      </c>
      <c r="D29" s="102"/>
      <c r="E29" s="103" t="s">
        <v>49</v>
      </c>
      <c r="F29" s="100">
        <v>3</v>
      </c>
      <c r="G29" s="195">
        <f>SUM( G27:G28 )</f>
        <v>0.97900000000000009</v>
      </c>
      <c r="H29" s="1576">
        <f>SUM( H27:H28 )</f>
        <v>0</v>
      </c>
      <c r="I29" s="194">
        <f>SUM( I27:I28 )</f>
        <v>4.1000000000000002E-2</v>
      </c>
      <c r="J29" s="198">
        <f xml:space="preserve"> H29 - I29</f>
        <v>-4.1000000000000002E-2</v>
      </c>
      <c r="K29" s="198">
        <f xml:space="preserve"> G29 + J29</f>
        <v>0.93800000000000006</v>
      </c>
      <c r="M29" s="126"/>
      <c r="AA29" s="101" t="s">
        <v>169</v>
      </c>
      <c r="AB29" s="102" t="s">
        <v>126</v>
      </c>
      <c r="AC29" s="102"/>
      <c r="AD29" s="103" t="s">
        <v>49</v>
      </c>
      <c r="AE29" s="100">
        <v>3</v>
      </c>
      <c r="AF29" s="1887" t="s">
        <v>170</v>
      </c>
      <c r="AG29" s="1888" t="s">
        <v>171</v>
      </c>
      <c r="AH29" s="1889" t="s">
        <v>172</v>
      </c>
      <c r="AI29" s="1890" t="s">
        <v>173</v>
      </c>
      <c r="AJ29" s="1890" t="s">
        <v>174</v>
      </c>
    </row>
    <row r="30" spans="2:36" s="110" customFormat="1" ht="14.5" thickBot="1">
      <c r="C30" s="152"/>
      <c r="D30" s="152"/>
      <c r="H30" s="163"/>
      <c r="J30" s="118"/>
      <c r="K30" s="118"/>
      <c r="L30" s="118"/>
      <c r="M30" s="126"/>
      <c r="N30" s="118"/>
      <c r="O30" s="124"/>
      <c r="P30" s="280"/>
      <c r="S30" s="124"/>
      <c r="AB30" s="152"/>
      <c r="AC30" s="152"/>
      <c r="AG30" s="163"/>
      <c r="AI30" s="118"/>
      <c r="AJ30" s="118"/>
    </row>
    <row r="31" spans="2:36" s="110" customFormat="1" ht="14.5" thickBot="1">
      <c r="C31" s="152"/>
      <c r="D31" s="152"/>
      <c r="G31" s="350" t="s">
        <v>43</v>
      </c>
      <c r="H31" s="163"/>
      <c r="J31" s="118"/>
      <c r="K31" s="118"/>
      <c r="L31" s="118"/>
      <c r="M31" s="126"/>
      <c r="N31" s="118"/>
      <c r="O31" s="124"/>
      <c r="P31" s="280"/>
      <c r="S31" s="124"/>
      <c r="AB31" s="152"/>
      <c r="AC31" s="152"/>
      <c r="AF31" s="350" t="s">
        <v>43</v>
      </c>
      <c r="AG31" s="163"/>
      <c r="AI31" s="118"/>
      <c r="AJ31" s="118"/>
    </row>
    <row r="32" spans="2:36" ht="14.5" thickBot="1">
      <c r="B32" s="2865" t="s">
        <v>175</v>
      </c>
      <c r="C32" s="83" t="s">
        <v>176</v>
      </c>
      <c r="D32" s="1473"/>
      <c r="M32" s="126"/>
      <c r="AA32" s="2865" t="s">
        <v>175</v>
      </c>
      <c r="AB32" s="83" t="s">
        <v>176</v>
      </c>
      <c r="AC32" s="1473"/>
    </row>
    <row r="33" spans="1:36">
      <c r="B33" s="86" t="s">
        <v>177</v>
      </c>
      <c r="C33" s="117" t="s">
        <v>178</v>
      </c>
      <c r="D33" s="117"/>
      <c r="E33" s="88" t="s">
        <v>49</v>
      </c>
      <c r="F33" s="89">
        <v>3</v>
      </c>
      <c r="G33" s="428">
        <v>0</v>
      </c>
      <c r="M33" s="24">
        <f t="shared" ref="M33:M34" si="18" xml:space="preserve"> IF( SUM( O33:S33 ) = 0, 0, $P$5 )</f>
        <v>0</v>
      </c>
      <c r="P33" s="93">
        <f t="shared" ref="P33:P34" si="19" xml:space="preserve"> IF( ISNUMBER( G33 ), 0, 1 )</f>
        <v>0</v>
      </c>
      <c r="Q33" s="127"/>
      <c r="R33" s="127"/>
      <c r="AA33" s="86" t="s">
        <v>177</v>
      </c>
      <c r="AB33" s="117" t="s">
        <v>178</v>
      </c>
      <c r="AC33" s="117"/>
      <c r="AD33" s="88" t="s">
        <v>49</v>
      </c>
      <c r="AE33" s="89">
        <v>3</v>
      </c>
      <c r="AF33" s="2218" t="s">
        <v>179</v>
      </c>
    </row>
    <row r="34" spans="1:36">
      <c r="B34" s="94" t="s">
        <v>180</v>
      </c>
      <c r="C34" s="87" t="s">
        <v>181</v>
      </c>
      <c r="D34" s="87"/>
      <c r="E34" s="95" t="s">
        <v>49</v>
      </c>
      <c r="F34" s="96">
        <v>3</v>
      </c>
      <c r="G34" s="411">
        <v>0</v>
      </c>
      <c r="M34" s="24">
        <f t="shared" si="18"/>
        <v>0</v>
      </c>
      <c r="P34" s="93">
        <f t="shared" si="19"/>
        <v>0</v>
      </c>
      <c r="Q34" s="127"/>
      <c r="R34" s="127"/>
      <c r="AA34" s="94" t="s">
        <v>180</v>
      </c>
      <c r="AB34" s="87" t="s">
        <v>181</v>
      </c>
      <c r="AC34" s="87"/>
      <c r="AD34" s="95" t="s">
        <v>49</v>
      </c>
      <c r="AE34" s="96">
        <v>3</v>
      </c>
      <c r="AF34" s="2220" t="s">
        <v>182</v>
      </c>
    </row>
    <row r="35" spans="1:36">
      <c r="B35" s="94" t="s">
        <v>183</v>
      </c>
      <c r="C35" s="219" t="s">
        <v>184</v>
      </c>
      <c r="D35" s="219"/>
      <c r="E35" s="95" t="s">
        <v>49</v>
      </c>
      <c r="F35" s="96">
        <v>3</v>
      </c>
      <c r="G35" s="742">
        <v>1.091</v>
      </c>
      <c r="M35" s="24">
        <f t="shared" ref="M35" si="20" xml:space="preserve"> IF( SUM( O35:S35 ) = 0, 0, $P$5 )</f>
        <v>0</v>
      </c>
      <c r="P35" s="93">
        <f t="shared" ref="P35" si="21" xml:space="preserve"> IF( ISNUMBER( G35 ), 0, 1 )</f>
        <v>0</v>
      </c>
      <c r="Q35" s="127"/>
      <c r="R35" s="127"/>
      <c r="AA35" s="94" t="s">
        <v>183</v>
      </c>
      <c r="AB35" s="219" t="s">
        <v>184</v>
      </c>
      <c r="AC35" s="219"/>
      <c r="AD35" s="95" t="s">
        <v>49</v>
      </c>
      <c r="AE35" s="96">
        <v>3</v>
      </c>
      <c r="AF35" s="2394" t="s">
        <v>185</v>
      </c>
    </row>
    <row r="36" spans="1:36" ht="14.5" thickBot="1">
      <c r="B36" s="101" t="s">
        <v>186</v>
      </c>
      <c r="C36" s="102" t="s">
        <v>48</v>
      </c>
      <c r="D36" s="102"/>
      <c r="E36" s="103" t="s">
        <v>49</v>
      </c>
      <c r="F36" s="100">
        <v>3</v>
      </c>
      <c r="G36" s="200">
        <f>SUM( G33:G35 )</f>
        <v>1.091</v>
      </c>
      <c r="M36" s="126"/>
      <c r="AA36" s="101" t="s">
        <v>186</v>
      </c>
      <c r="AB36" s="102" t="s">
        <v>48</v>
      </c>
      <c r="AC36" s="102"/>
      <c r="AD36" s="103" t="s">
        <v>49</v>
      </c>
      <c r="AE36" s="100">
        <v>3</v>
      </c>
      <c r="AF36" s="1891" t="s">
        <v>187</v>
      </c>
    </row>
    <row r="37" spans="1:36" s="163" customFormat="1" ht="11.5">
      <c r="B37" s="141"/>
      <c r="C37" s="142"/>
      <c r="D37" s="142"/>
      <c r="J37" s="126"/>
      <c r="K37" s="126"/>
      <c r="L37" s="126"/>
      <c r="M37" s="126"/>
      <c r="N37" s="126"/>
      <c r="O37" s="119"/>
      <c r="P37" s="203"/>
      <c r="S37" s="119"/>
      <c r="AA37" s="141"/>
      <c r="AB37" s="142"/>
      <c r="AC37" s="142"/>
      <c r="AI37" s="126"/>
      <c r="AJ37" s="126"/>
    </row>
    <row r="38" spans="1:36" s="163" customFormat="1" ht="11.5">
      <c r="B38" s="25"/>
      <c r="C38" s="143" t="s">
        <v>188</v>
      </c>
      <c r="D38" s="143"/>
      <c r="J38" s="126"/>
      <c r="K38" s="126"/>
      <c r="L38" s="126"/>
      <c r="M38" s="126"/>
      <c r="N38" s="126"/>
      <c r="O38" s="119"/>
      <c r="P38" s="203"/>
      <c r="S38" s="119"/>
      <c r="AA38" s="143"/>
      <c r="AG38" s="126"/>
      <c r="AH38" s="126"/>
    </row>
    <row r="39" spans="1:36" s="163" customFormat="1" ht="11.5">
      <c r="B39" s="141"/>
      <c r="C39" s="142"/>
      <c r="D39" s="142"/>
      <c r="J39" s="126"/>
      <c r="K39" s="126"/>
      <c r="L39" s="126"/>
      <c r="M39" s="126"/>
      <c r="N39" s="126"/>
      <c r="O39" s="119"/>
      <c r="P39" s="203"/>
      <c r="S39" s="119"/>
      <c r="AA39" s="142"/>
      <c r="AG39" s="126"/>
      <c r="AH39" s="126"/>
    </row>
    <row r="40" spans="1:36" s="163" customFormat="1" ht="11.5">
      <c r="B40" s="144"/>
      <c r="C40" s="143" t="s">
        <v>189</v>
      </c>
      <c r="D40" s="143"/>
      <c r="J40" s="126"/>
      <c r="K40" s="126"/>
      <c r="L40" s="126"/>
      <c r="M40" s="126"/>
      <c r="N40" s="126"/>
      <c r="O40" s="119"/>
      <c r="P40" s="203"/>
      <c r="S40" s="119"/>
      <c r="AA40" s="143"/>
      <c r="AG40" s="126"/>
      <c r="AH40" s="126"/>
    </row>
    <row r="41" spans="1:36" s="163" customFormat="1" ht="11.5">
      <c r="B41" s="145"/>
      <c r="C41" s="143"/>
      <c r="D41" s="143"/>
      <c r="J41" s="126"/>
      <c r="K41" s="126"/>
      <c r="L41" s="126"/>
      <c r="M41" s="126"/>
      <c r="N41" s="126"/>
      <c r="O41" s="119"/>
      <c r="P41" s="203"/>
      <c r="S41" s="119"/>
      <c r="AA41" s="143"/>
      <c r="AG41" s="126"/>
      <c r="AH41" s="126"/>
    </row>
    <row r="42" spans="1:36" s="178" customFormat="1" ht="13" thickBot="1">
      <c r="C42" s="179"/>
      <c r="D42" s="179"/>
      <c r="J42" s="130"/>
      <c r="K42" s="130"/>
      <c r="L42" s="130"/>
      <c r="M42" s="126"/>
      <c r="N42" s="126"/>
      <c r="O42" s="119"/>
      <c r="P42" s="302"/>
      <c r="S42" s="119"/>
      <c r="AA42" s="179"/>
      <c r="AG42" s="130"/>
      <c r="AH42" s="130"/>
    </row>
    <row r="43" spans="1:36" s="178" customFormat="1" ht="20.5" thickBot="1">
      <c r="B43" s="2886" t="s">
        <v>190</v>
      </c>
      <c r="C43" s="147"/>
      <c r="D43" s="147"/>
      <c r="E43" s="148"/>
      <c r="F43" s="148"/>
      <c r="G43" s="148"/>
      <c r="H43" s="148"/>
      <c r="I43" s="148"/>
      <c r="J43" s="148"/>
      <c r="K43" s="154"/>
      <c r="L43" s="130"/>
      <c r="M43" s="126"/>
      <c r="N43" s="126"/>
      <c r="O43" s="119"/>
      <c r="P43" s="302"/>
      <c r="S43" s="119"/>
    </row>
    <row r="44" spans="1:36" s="178" customFormat="1" ht="12.5">
      <c r="C44" s="179"/>
      <c r="D44" s="179"/>
      <c r="J44" s="130"/>
      <c r="K44" s="130"/>
      <c r="L44" s="130"/>
      <c r="M44" s="126"/>
      <c r="N44" s="126"/>
      <c r="O44" s="119"/>
      <c r="P44" s="302"/>
      <c r="S44" s="119"/>
    </row>
    <row r="45" spans="1:36" s="110" customFormat="1" ht="20.5" hidden="1" thickBot="1">
      <c r="A45" s="1528"/>
      <c r="B45" s="146" t="str">
        <f ca="1" xml:space="preserve"> RIGHT(CELL("filename", $A$1), LEN(CELL("filename", $A$1)) - SEARCH("]", CELL("filename", $A$1)))&amp;" - Line definitions"</f>
        <v>1A - Line definitions</v>
      </c>
      <c r="C45" s="147"/>
      <c r="D45" s="147"/>
      <c r="E45" s="148"/>
      <c r="F45" s="148"/>
      <c r="G45" s="148"/>
      <c r="H45" s="148"/>
      <c r="I45" s="148"/>
      <c r="J45" s="148"/>
      <c r="K45" s="154"/>
      <c r="L45" s="118"/>
      <c r="M45" s="120"/>
      <c r="N45" s="118"/>
      <c r="O45" s="124"/>
      <c r="P45" s="280"/>
      <c r="S45" s="124"/>
    </row>
    <row r="46" spans="1:36" s="110" customFormat="1" ht="14.5" hidden="1" thickBot="1">
      <c r="A46" s="1528"/>
      <c r="B46" s="74"/>
      <c r="C46" s="155"/>
      <c r="D46" s="155"/>
      <c r="E46" s="74"/>
      <c r="F46" s="74"/>
      <c r="G46" s="74"/>
      <c r="J46" s="118"/>
      <c r="K46" s="118"/>
      <c r="L46" s="118"/>
      <c r="M46" s="120"/>
      <c r="N46" s="118"/>
      <c r="O46" s="124"/>
      <c r="P46" s="280"/>
      <c r="S46" s="124"/>
    </row>
    <row r="47" spans="1:36" s="178" customFormat="1" hidden="1" thickBot="1">
      <c r="A47" s="1529"/>
      <c r="B47" s="287" t="s">
        <v>191</v>
      </c>
      <c r="C47" s="2847" t="s">
        <v>192</v>
      </c>
      <c r="D47" s="2848"/>
      <c r="E47" s="2848"/>
      <c r="F47" s="2848"/>
      <c r="G47" s="2848"/>
      <c r="H47" s="2848"/>
      <c r="I47" s="2848"/>
      <c r="J47" s="2848"/>
      <c r="K47" s="157"/>
      <c r="L47" s="346"/>
      <c r="M47" s="130"/>
      <c r="N47" s="118"/>
      <c r="O47" s="124"/>
      <c r="P47" s="85" t="s">
        <v>193</v>
      </c>
      <c r="S47" s="124"/>
    </row>
    <row r="48" spans="1:36" s="110" customFormat="1" ht="35.25" hidden="1" customHeight="1">
      <c r="A48" s="1528"/>
      <c r="B48" s="181" t="str">
        <f>B6</f>
        <v>1A.1</v>
      </c>
      <c r="C48" s="2910" t="s">
        <v>194</v>
      </c>
      <c r="D48" s="2910"/>
      <c r="E48" s="2910"/>
      <c r="F48" s="2910"/>
      <c r="G48" s="2910"/>
      <c r="H48" s="2910"/>
      <c r="I48" s="2910"/>
      <c r="J48" s="2910"/>
      <c r="K48" s="2911"/>
      <c r="L48" s="348"/>
      <c r="M48" s="120"/>
      <c r="N48" s="118"/>
      <c r="O48" s="403"/>
      <c r="P48" s="161" t="s">
        <v>195</v>
      </c>
      <c r="S48" s="124"/>
    </row>
    <row r="49" spans="1:19" s="110" customFormat="1" hidden="1">
      <c r="A49" s="1528"/>
      <c r="B49" s="159" t="str">
        <f>B7</f>
        <v>1A.2</v>
      </c>
      <c r="C49" s="2892" t="s">
        <v>196</v>
      </c>
      <c r="D49" s="2892"/>
      <c r="E49" s="2892"/>
      <c r="F49" s="2892"/>
      <c r="G49" s="2892"/>
      <c r="H49" s="2892"/>
      <c r="I49" s="2892"/>
      <c r="J49" s="2892"/>
      <c r="K49" s="2893"/>
      <c r="L49" s="349"/>
      <c r="M49" s="120"/>
      <c r="N49" s="118"/>
      <c r="O49" s="403"/>
      <c r="P49" s="206">
        <v>1</v>
      </c>
      <c r="S49" s="124"/>
    </row>
    <row r="50" spans="1:19" s="110" customFormat="1" ht="24" hidden="1">
      <c r="A50" s="1528"/>
      <c r="B50" s="159" t="str">
        <f>B8</f>
        <v>1A.3</v>
      </c>
      <c r="C50" s="2892" t="s">
        <v>197</v>
      </c>
      <c r="D50" s="2892"/>
      <c r="E50" s="2892"/>
      <c r="F50" s="2892"/>
      <c r="G50" s="2892"/>
      <c r="H50" s="2892"/>
      <c r="I50" s="2892"/>
      <c r="J50" s="2892"/>
      <c r="K50" s="2893"/>
      <c r="L50" s="348"/>
      <c r="M50" s="120"/>
      <c r="N50" s="118"/>
      <c r="O50" s="403"/>
      <c r="P50" s="207" t="s">
        <v>195</v>
      </c>
      <c r="S50" s="124"/>
    </row>
    <row r="51" spans="1:19" s="120" customFormat="1" hidden="1">
      <c r="A51" s="1530"/>
      <c r="B51" s="159" t="str">
        <f>B9</f>
        <v>1A.4</v>
      </c>
      <c r="C51" s="2892" t="s">
        <v>198</v>
      </c>
      <c r="D51" s="2892"/>
      <c r="E51" s="2892"/>
      <c r="F51" s="2892"/>
      <c r="G51" s="2892"/>
      <c r="H51" s="2892"/>
      <c r="I51" s="2892"/>
      <c r="J51" s="2892"/>
      <c r="K51" s="2893"/>
      <c r="L51" s="349"/>
      <c r="N51" s="118"/>
      <c r="O51" s="403"/>
      <c r="P51" s="206">
        <v>1</v>
      </c>
      <c r="S51" s="124"/>
    </row>
    <row r="52" spans="1:19" s="120" customFormat="1" ht="120" hidden="1">
      <c r="A52" s="1530"/>
      <c r="B52" s="159" t="str">
        <f>B11</f>
        <v>1A.5</v>
      </c>
      <c r="C52" s="2892" t="s">
        <v>199</v>
      </c>
      <c r="D52" s="2892"/>
      <c r="E52" s="2892"/>
      <c r="F52" s="2892"/>
      <c r="G52" s="2892"/>
      <c r="H52" s="2892"/>
      <c r="I52" s="2892"/>
      <c r="J52" s="2892"/>
      <c r="K52" s="2893"/>
      <c r="L52" s="349"/>
      <c r="N52" s="118"/>
      <c r="O52" s="403"/>
      <c r="P52" s="161" t="s">
        <v>200</v>
      </c>
      <c r="S52" s="124"/>
    </row>
    <row r="53" spans="1:19" s="120" customFormat="1" hidden="1">
      <c r="A53" s="1530"/>
      <c r="B53" s="159" t="str">
        <f>B12</f>
        <v>1A.6</v>
      </c>
      <c r="C53" s="2892" t="s">
        <v>201</v>
      </c>
      <c r="D53" s="2892"/>
      <c r="E53" s="2892"/>
      <c r="F53" s="2892"/>
      <c r="G53" s="2892"/>
      <c r="H53" s="2892"/>
      <c r="I53" s="2892"/>
      <c r="J53" s="2892"/>
      <c r="K53" s="2893"/>
      <c r="L53" s="349"/>
      <c r="N53" s="118"/>
      <c r="O53" s="403"/>
      <c r="P53" s="206">
        <v>1</v>
      </c>
      <c r="S53" s="124"/>
    </row>
    <row r="54" spans="1:19" hidden="1">
      <c r="A54" s="1531"/>
      <c r="B54" s="159" t="str">
        <f>B13</f>
        <v>1A.7</v>
      </c>
      <c r="C54" s="2892" t="s">
        <v>202</v>
      </c>
      <c r="D54" s="2892"/>
      <c r="E54" s="2892"/>
      <c r="F54" s="2892"/>
      <c r="G54" s="2892"/>
      <c r="H54" s="2892"/>
      <c r="I54" s="2892"/>
      <c r="J54" s="2892"/>
      <c r="K54" s="2893"/>
      <c r="L54" s="321"/>
      <c r="O54" s="404"/>
      <c r="P54" s="158">
        <v>1</v>
      </c>
    </row>
    <row r="55" spans="1:19" hidden="1">
      <c r="A55" s="1531"/>
      <c r="B55" s="159" t="str">
        <f>B14</f>
        <v>1A.8</v>
      </c>
      <c r="C55" s="2892" t="s">
        <v>203</v>
      </c>
      <c r="D55" s="2892"/>
      <c r="E55" s="2892"/>
      <c r="F55" s="2892"/>
      <c r="G55" s="2892"/>
      <c r="H55" s="2892"/>
      <c r="I55" s="2892"/>
      <c r="J55" s="2892"/>
      <c r="K55" s="2893"/>
      <c r="L55" s="320"/>
      <c r="O55" s="404"/>
      <c r="P55" s="161">
        <v>1</v>
      </c>
    </row>
    <row r="56" spans="1:19" hidden="1">
      <c r="A56" s="1531"/>
      <c r="B56" s="159" t="str">
        <f>B15</f>
        <v>1A.9</v>
      </c>
      <c r="C56" s="2892" t="s">
        <v>204</v>
      </c>
      <c r="D56" s="2892"/>
      <c r="E56" s="2892"/>
      <c r="F56" s="2892"/>
      <c r="G56" s="2892"/>
      <c r="H56" s="2892"/>
      <c r="I56" s="2892"/>
      <c r="J56" s="2892"/>
      <c r="K56" s="2893"/>
      <c r="L56" s="321"/>
      <c r="O56" s="404"/>
      <c r="P56" s="158">
        <v>1</v>
      </c>
    </row>
    <row r="57" spans="1:19" hidden="1">
      <c r="A57" s="1531"/>
      <c r="B57" s="159" t="str">
        <f>B17</f>
        <v>1A.10</v>
      </c>
      <c r="C57" s="2892" t="s">
        <v>205</v>
      </c>
      <c r="D57" s="2892"/>
      <c r="E57" s="2892"/>
      <c r="F57" s="2892"/>
      <c r="G57" s="2892"/>
      <c r="H57" s="2892"/>
      <c r="I57" s="2892"/>
      <c r="J57" s="2892"/>
      <c r="K57" s="2893"/>
      <c r="L57" s="321"/>
      <c r="O57" s="404"/>
      <c r="P57" s="161">
        <v>1</v>
      </c>
    </row>
    <row r="58" spans="1:19" hidden="1">
      <c r="A58" s="1531"/>
      <c r="B58" s="159" t="str">
        <f>B18</f>
        <v>1A.11</v>
      </c>
      <c r="C58" s="2892" t="s">
        <v>206</v>
      </c>
      <c r="D58" s="2892"/>
      <c r="E58" s="2892"/>
      <c r="F58" s="2892"/>
      <c r="G58" s="2892"/>
      <c r="H58" s="2892"/>
      <c r="I58" s="2892"/>
      <c r="J58" s="2892"/>
      <c r="K58" s="2893"/>
      <c r="L58" s="321"/>
      <c r="O58" s="404"/>
      <c r="P58" s="158">
        <v>1</v>
      </c>
    </row>
    <row r="59" spans="1:19" ht="24" hidden="1">
      <c r="A59" s="1531"/>
      <c r="B59" s="159" t="str">
        <f>B20</f>
        <v>1A.12</v>
      </c>
      <c r="C59" s="2892" t="s">
        <v>207</v>
      </c>
      <c r="D59" s="2892"/>
      <c r="E59" s="2892"/>
      <c r="F59" s="2892"/>
      <c r="G59" s="2892"/>
      <c r="H59" s="2892"/>
      <c r="I59" s="2892"/>
      <c r="J59" s="2892"/>
      <c r="K59" s="2893"/>
      <c r="L59" s="320"/>
      <c r="O59" s="404"/>
      <c r="P59" s="161" t="s">
        <v>195</v>
      </c>
    </row>
    <row r="60" spans="1:19" hidden="1">
      <c r="A60" s="1531"/>
      <c r="B60" s="159" t="str">
        <f>B21</f>
        <v>1A.13</v>
      </c>
      <c r="C60" s="2892" t="s">
        <v>208</v>
      </c>
      <c r="D60" s="2892"/>
      <c r="E60" s="2892"/>
      <c r="F60" s="2892"/>
      <c r="G60" s="2892"/>
      <c r="H60" s="2892"/>
      <c r="I60" s="2892"/>
      <c r="J60" s="2892"/>
      <c r="K60" s="2893"/>
      <c r="L60" s="321"/>
      <c r="O60" s="404"/>
      <c r="P60" s="158">
        <v>1</v>
      </c>
    </row>
    <row r="61" spans="1:19" ht="14.25" hidden="1" customHeight="1">
      <c r="A61" s="1531"/>
      <c r="B61" s="159" t="str">
        <f>B22</f>
        <v>1A.14</v>
      </c>
      <c r="C61" s="2892" t="s">
        <v>209</v>
      </c>
      <c r="D61" s="2892"/>
      <c r="E61" s="2892"/>
      <c r="F61" s="2892"/>
      <c r="G61" s="2892"/>
      <c r="H61" s="2892"/>
      <c r="I61" s="2892"/>
      <c r="J61" s="2892"/>
      <c r="K61" s="2893"/>
      <c r="L61" s="321"/>
      <c r="O61" s="404"/>
      <c r="P61" s="158">
        <v>1</v>
      </c>
    </row>
    <row r="62" spans="1:19" hidden="1">
      <c r="A62" s="1531"/>
      <c r="B62" s="159" t="str">
        <f>B24</f>
        <v>1A.15</v>
      </c>
      <c r="C62" s="2892" t="s">
        <v>210</v>
      </c>
      <c r="D62" s="2892"/>
      <c r="E62" s="2892"/>
      <c r="F62" s="2892"/>
      <c r="G62" s="2892"/>
      <c r="H62" s="2892"/>
      <c r="I62" s="2892"/>
      <c r="J62" s="2892"/>
      <c r="K62" s="2893"/>
      <c r="L62" s="321"/>
      <c r="O62" s="404"/>
      <c r="P62" s="158">
        <v>1</v>
      </c>
    </row>
    <row r="63" spans="1:19" ht="24" hidden="1">
      <c r="A63" s="1531"/>
      <c r="B63" s="159" t="str">
        <f>B27</f>
        <v>1A.16</v>
      </c>
      <c r="C63" s="2892" t="s">
        <v>211</v>
      </c>
      <c r="D63" s="2892"/>
      <c r="E63" s="2892"/>
      <c r="F63" s="2892"/>
      <c r="G63" s="2892"/>
      <c r="H63" s="2892"/>
      <c r="I63" s="2892"/>
      <c r="J63" s="2892"/>
      <c r="K63" s="2893"/>
      <c r="L63" s="321"/>
      <c r="O63" s="404"/>
      <c r="P63" s="161" t="s">
        <v>195</v>
      </c>
    </row>
    <row r="64" spans="1:19" hidden="1">
      <c r="A64" s="1531"/>
      <c r="B64" s="159" t="str">
        <f>B28</f>
        <v>1A.17</v>
      </c>
      <c r="C64" s="2892" t="s">
        <v>212</v>
      </c>
      <c r="D64" s="2892"/>
      <c r="E64" s="2892"/>
      <c r="F64" s="2892"/>
      <c r="G64" s="2892"/>
      <c r="H64" s="2892"/>
      <c r="I64" s="2892"/>
      <c r="J64" s="2892"/>
      <c r="K64" s="2893"/>
      <c r="L64" s="321"/>
      <c r="O64" s="404"/>
      <c r="P64" s="158">
        <v>1</v>
      </c>
    </row>
    <row r="65" spans="1:16" hidden="1">
      <c r="A65" s="1531"/>
      <c r="B65" s="159" t="str">
        <f>B29</f>
        <v>1A.18</v>
      </c>
      <c r="C65" s="2892" t="s">
        <v>213</v>
      </c>
      <c r="D65" s="2892"/>
      <c r="E65" s="2892"/>
      <c r="F65" s="2892"/>
      <c r="G65" s="2892"/>
      <c r="H65" s="2892"/>
      <c r="I65" s="2892"/>
      <c r="J65" s="2892"/>
      <c r="K65" s="2893"/>
      <c r="P65" s="158">
        <v>1</v>
      </c>
    </row>
    <row r="66" spans="1:16" hidden="1">
      <c r="A66" s="1531"/>
      <c r="B66" s="159" t="str">
        <f>B33</f>
        <v>1A.19</v>
      </c>
      <c r="C66" s="2892" t="s">
        <v>214</v>
      </c>
      <c r="D66" s="2892"/>
      <c r="E66" s="2892"/>
      <c r="F66" s="2892"/>
      <c r="G66" s="2892"/>
      <c r="H66" s="2892"/>
      <c r="I66" s="2892"/>
      <c r="J66" s="2892"/>
      <c r="K66" s="2893"/>
      <c r="P66" s="158">
        <v>1</v>
      </c>
    </row>
    <row r="67" spans="1:16" hidden="1">
      <c r="A67" s="1531"/>
      <c r="B67" s="159" t="str">
        <f t="shared" ref="B67:B69" si="22">B34</f>
        <v>1A.20</v>
      </c>
      <c r="C67" s="2892" t="s">
        <v>215</v>
      </c>
      <c r="D67" s="2892"/>
      <c r="E67" s="2892"/>
      <c r="F67" s="2892"/>
      <c r="G67" s="2892"/>
      <c r="H67" s="2892"/>
      <c r="I67" s="2892"/>
      <c r="J67" s="2892"/>
      <c r="K67" s="2893"/>
      <c r="P67" s="158">
        <v>1</v>
      </c>
    </row>
    <row r="68" spans="1:16" hidden="1">
      <c r="A68" s="1531"/>
      <c r="B68" s="159" t="str">
        <f t="shared" si="22"/>
        <v>1A.21</v>
      </c>
      <c r="C68" s="2892" t="s">
        <v>216</v>
      </c>
      <c r="D68" s="2892"/>
      <c r="E68" s="2892"/>
      <c r="F68" s="2892"/>
      <c r="G68" s="2892"/>
      <c r="H68" s="2892"/>
      <c r="I68" s="2892"/>
      <c r="J68" s="2892"/>
      <c r="K68" s="2893"/>
      <c r="P68" s="158">
        <v>1</v>
      </c>
    </row>
    <row r="69" spans="1:16" ht="14.5" hidden="1" thickBot="1">
      <c r="A69" s="1531"/>
      <c r="B69" s="183" t="str">
        <f t="shared" si="22"/>
        <v>1A.22</v>
      </c>
      <c r="C69" s="2912" t="s">
        <v>217</v>
      </c>
      <c r="D69" s="2912"/>
      <c r="E69" s="2912"/>
      <c r="F69" s="2912"/>
      <c r="G69" s="2912"/>
      <c r="H69" s="2912"/>
      <c r="I69" s="2912"/>
      <c r="J69" s="2912"/>
      <c r="K69" s="2913"/>
      <c r="P69" s="158">
        <v>1</v>
      </c>
    </row>
    <row r="70" spans="1:16" hidden="1">
      <c r="A70" s="1531"/>
    </row>
    <row r="71" spans="1:16" hidden="1">
      <c r="A71" s="1531"/>
    </row>
  </sheetData>
  <sheetProtection algorithmName="SHA-512" hashValue="XfOcX0FJNQvmP6dIktCIDHlZTtjELF6uEb2T1Kpk7nkaXv/dlQBE92X7jc5ParMs2S4xmJ7PQvxQWYgpg0WrWg==" saltValue="Zb1F1Za+JmeTDzsp2XJQEQ==" spinCount="100000" sheet="1" objects="1" scenarios="1"/>
  <mergeCells count="36">
    <mergeCell ref="AJ3:AJ4"/>
    <mergeCell ref="AA3:AB4"/>
    <mergeCell ref="AD3:AD4"/>
    <mergeCell ref="AE3:AE4"/>
    <mergeCell ref="AF3:AF4"/>
    <mergeCell ref="AG3:AI3"/>
    <mergeCell ref="C67:K67"/>
    <mergeCell ref="C68:K68"/>
    <mergeCell ref="C69:K69"/>
    <mergeCell ref="C62:K62"/>
    <mergeCell ref="C63:K63"/>
    <mergeCell ref="C64:K64"/>
    <mergeCell ref="C65:K65"/>
    <mergeCell ref="C66:K66"/>
    <mergeCell ref="C60:K60"/>
    <mergeCell ref="C61:K61"/>
    <mergeCell ref="C54:K54"/>
    <mergeCell ref="C55:K55"/>
    <mergeCell ref="C57:K57"/>
    <mergeCell ref="C58:K58"/>
    <mergeCell ref="C59:K59"/>
    <mergeCell ref="C56:K56"/>
    <mergeCell ref="M3:M4"/>
    <mergeCell ref="P4:R4"/>
    <mergeCell ref="C48:K48"/>
    <mergeCell ref="C49:K49"/>
    <mergeCell ref="C51:K51"/>
    <mergeCell ref="C52:K52"/>
    <mergeCell ref="C53:K53"/>
    <mergeCell ref="C50:K50"/>
    <mergeCell ref="B3:C4"/>
    <mergeCell ref="E3:E4"/>
    <mergeCell ref="F3:F4"/>
    <mergeCell ref="G3:G4"/>
    <mergeCell ref="H3:J3"/>
    <mergeCell ref="K3:K4"/>
  </mergeCells>
  <conditionalFormatting sqref="M6:M8 M20:M21 M17 M11:M14">
    <cfRule type="cellIs" dxfId="534" priority="8" operator="equal">
      <formula>0</formula>
    </cfRule>
  </conditionalFormatting>
  <conditionalFormatting sqref="M24">
    <cfRule type="cellIs" dxfId="533" priority="7" operator="equal">
      <formula>0</formula>
    </cfRule>
  </conditionalFormatting>
  <conditionalFormatting sqref="M27">
    <cfRule type="cellIs" dxfId="532" priority="5" operator="equal">
      <formula>0</formula>
    </cfRule>
  </conditionalFormatting>
  <conditionalFormatting sqref="M28">
    <cfRule type="cellIs" dxfId="531" priority="4" operator="equal">
      <formula>0</formula>
    </cfRule>
  </conditionalFormatting>
  <conditionalFormatting sqref="M33">
    <cfRule type="cellIs" dxfId="530" priority="3" operator="equal">
      <formula>0</formula>
    </cfRule>
  </conditionalFormatting>
  <conditionalFormatting sqref="M34">
    <cfRule type="cellIs" dxfId="529" priority="2" operator="equal">
      <formula>0</formula>
    </cfRule>
  </conditionalFormatting>
  <conditionalFormatting sqref="M35">
    <cfRule type="cellIs" dxfId="52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80" orientation="landscape" r:id="rId1"/>
  <headerFooter>
    <oddHeader>&amp;L&amp;9&amp;K857362Page &amp;P of &amp;N&amp;C&amp;9 &amp;K8573622019-20 annual performance report tables&amp;R&amp;G</oddHeader>
    <oddFooter>&amp;L&amp;9&amp;K857362&amp;A&amp;R&amp;9&amp;K857362Printed: &amp;D &amp;T</oddFooter>
  </headerFooter>
  <ignoredErrors>
    <ignoredError sqref="G20:H20" unlockedFormula="1"/>
  </ignoredError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0" tint="-0.499984740745262"/>
    <pageSetUpPr fitToPage="1"/>
  </sheetPr>
  <dimension ref="A1:CA96"/>
  <sheetViews>
    <sheetView workbookViewId="0"/>
  </sheetViews>
  <sheetFormatPr defaultColWidth="0" defaultRowHeight="14" zeroHeight="1"/>
  <cols>
    <col min="1" max="1" width="0.58203125" customWidth="1"/>
    <col min="2" max="2" width="8.58203125" customWidth="1"/>
    <col min="3" max="3" width="66.08203125" customWidth="1"/>
    <col min="4" max="4" width="1.08203125" hidden="1" customWidth="1"/>
    <col min="5" max="6" width="8.58203125" customWidth="1"/>
    <col min="7" max="7" width="11.58203125" customWidth="1"/>
    <col min="8" max="8" width="11.08203125" customWidth="1"/>
    <col min="9" max="24" width="10.58203125" customWidth="1"/>
    <col min="25" max="25" width="29.58203125" customWidth="1"/>
    <col min="26" max="26" width="1.5" customWidth="1"/>
    <col min="27" max="27" width="34" style="851" customWidth="1"/>
    <col min="28" max="28" width="1.58203125" style="851" customWidth="1"/>
    <col min="29" max="29" width="1.08203125" style="1643" hidden="1" customWidth="1"/>
    <col min="30" max="30" width="5.08203125" style="851" hidden="1" customWidth="1"/>
    <col min="31" max="47" width="4" style="851" hidden="1" customWidth="1"/>
    <col min="48" max="48" width="1.08203125" style="1643" hidden="1" customWidth="1"/>
    <col min="49" max="49" width="12.08203125" hidden="1" customWidth="1"/>
    <col min="50" max="50" width="1.08203125" style="1635" hidden="1" customWidth="1"/>
    <col min="51" max="52" width="0" hidden="1" customWidth="1"/>
    <col min="53" max="53" width="67.5" hidden="1" customWidth="1"/>
    <col min="54" max="54" width="1.08203125" style="1635" hidden="1" customWidth="1"/>
    <col min="55" max="56" width="8.58203125" customWidth="1"/>
    <col min="57" max="57" width="62.08203125" bestFit="1" customWidth="1"/>
    <col min="58" max="58" width="0.83203125" customWidth="1"/>
    <col min="59" max="60" width="8.58203125" customWidth="1"/>
    <col min="61" max="61" width="10.58203125" bestFit="1" customWidth="1"/>
    <col min="62" max="62" width="13.08203125" bestFit="1" customWidth="1"/>
    <col min="63" max="63" width="11.08203125" bestFit="1" customWidth="1"/>
    <col min="64" max="64" width="12.08203125" bestFit="1" customWidth="1"/>
    <col min="65" max="65" width="11.58203125" bestFit="1" customWidth="1"/>
    <col min="66" max="67" width="12.08203125" bestFit="1" customWidth="1"/>
    <col min="68" max="68" width="12.5" bestFit="1" customWidth="1"/>
    <col min="69" max="69" width="10.58203125" bestFit="1" customWidth="1"/>
    <col min="70" max="70" width="14.58203125" bestFit="1" customWidth="1"/>
    <col min="71" max="71" width="16.58203125" bestFit="1" customWidth="1"/>
    <col min="72" max="72" width="15" bestFit="1" customWidth="1"/>
    <col min="73" max="76" width="15.58203125" bestFit="1" customWidth="1"/>
    <col min="77" max="77" width="16.08203125" bestFit="1" customWidth="1"/>
    <col min="78" max="78" width="14.08203125" bestFit="1" customWidth="1"/>
    <col min="79" max="79" width="3.08203125" customWidth="1"/>
    <col min="80" max="16384" width="8.58203125" hidden="1"/>
  </cols>
  <sheetData>
    <row r="1" spans="1:78" ht="20">
      <c r="A1" s="1015"/>
      <c r="B1" s="1016" t="s">
        <v>5008</v>
      </c>
      <c r="C1" s="1017"/>
      <c r="D1" s="1018"/>
      <c r="E1" s="68"/>
      <c r="F1" s="68"/>
      <c r="G1" s="68"/>
      <c r="H1" s="68"/>
      <c r="I1" s="68"/>
      <c r="J1" s="68"/>
      <c r="K1" s="68"/>
      <c r="L1" s="68"/>
      <c r="M1" s="68"/>
      <c r="N1" s="68"/>
      <c r="O1" s="68"/>
      <c r="P1" s="68"/>
      <c r="Q1" s="68"/>
      <c r="R1" s="68"/>
      <c r="S1" s="68"/>
      <c r="T1" s="68"/>
      <c r="U1" s="68"/>
      <c r="V1" s="68"/>
      <c r="W1" s="68"/>
      <c r="X1" s="68"/>
      <c r="Y1" s="68" t="str">
        <f>Validation!B3</f>
        <v>Bristol Water</v>
      </c>
      <c r="Z1" s="68"/>
      <c r="AA1" s="69" t="s">
        <v>32</v>
      </c>
      <c r="AC1" s="71"/>
      <c r="AD1" s="192"/>
      <c r="AE1" s="70"/>
      <c r="AF1" s="70"/>
      <c r="AG1" s="70"/>
      <c r="AH1" s="70"/>
      <c r="AI1" s="70"/>
      <c r="AJ1" s="70"/>
      <c r="AK1" s="70"/>
      <c r="AL1" s="70"/>
      <c r="AM1" s="192"/>
      <c r="AN1" s="70"/>
      <c r="AO1" s="70"/>
      <c r="AP1" s="70"/>
      <c r="AQ1" s="70"/>
      <c r="AR1" s="70"/>
      <c r="AS1" s="70"/>
      <c r="AT1" s="70"/>
      <c r="AU1" s="70"/>
      <c r="AV1" s="71"/>
      <c r="AW1" s="1882"/>
      <c r="AY1" s="1882"/>
      <c r="AZ1" s="1882"/>
      <c r="BA1" s="1882"/>
      <c r="BC1" s="1882"/>
      <c r="BD1" s="1016" t="s">
        <v>5008</v>
      </c>
      <c r="BE1" s="1017"/>
      <c r="BF1" s="1018"/>
      <c r="BG1" s="68"/>
      <c r="BH1" s="68"/>
      <c r="BI1" s="68"/>
      <c r="BJ1" s="68"/>
      <c r="BK1" s="68"/>
      <c r="BL1" s="68"/>
      <c r="BM1" s="68"/>
      <c r="BN1" s="68"/>
      <c r="BO1" s="68"/>
      <c r="BP1" s="68"/>
      <c r="BQ1" s="68"/>
      <c r="BR1" s="68"/>
      <c r="BS1" s="68"/>
      <c r="BT1" s="68"/>
      <c r="BU1" s="68"/>
      <c r="BV1" s="68"/>
      <c r="BW1" s="68"/>
      <c r="BX1" s="68"/>
      <c r="BY1" s="68"/>
      <c r="BZ1" s="68"/>
    </row>
    <row r="2" spans="1:78" ht="16.5" thickBot="1">
      <c r="A2" s="966"/>
      <c r="B2" s="73" t="str">
        <f>'4L'!B2</f>
        <v>For the 12 months ended 31 March 2020</v>
      </c>
      <c r="C2" s="1019"/>
      <c r="D2" s="1019"/>
      <c r="E2" s="966"/>
      <c r="F2" s="966"/>
      <c r="G2" s="966"/>
      <c r="H2" s="966"/>
      <c r="I2" s="966"/>
      <c r="J2" s="966"/>
      <c r="K2" s="966"/>
      <c r="L2" s="966"/>
      <c r="M2" s="966"/>
      <c r="N2" s="966"/>
      <c r="O2" s="966"/>
      <c r="P2" s="1882"/>
      <c r="Q2" s="1882"/>
      <c r="R2" s="1882"/>
      <c r="S2" s="1882"/>
      <c r="T2" s="1882"/>
      <c r="U2" s="1882"/>
      <c r="V2" s="1882"/>
      <c r="W2" s="1882"/>
      <c r="X2" s="1882"/>
      <c r="Y2" s="966"/>
      <c r="Z2" s="1882"/>
      <c r="AA2" s="70"/>
      <c r="AC2" s="71"/>
      <c r="AD2" s="192"/>
      <c r="AE2" s="70"/>
      <c r="AF2" s="70"/>
      <c r="AG2" s="70"/>
      <c r="AH2" s="70"/>
      <c r="AI2" s="70"/>
      <c r="AJ2" s="70"/>
      <c r="AK2" s="70"/>
      <c r="AL2" s="70"/>
      <c r="AM2" s="192"/>
      <c r="AN2" s="70"/>
      <c r="AO2" s="70"/>
      <c r="AP2" s="70"/>
      <c r="AQ2" s="70"/>
      <c r="AR2" s="70"/>
      <c r="AS2" s="70"/>
      <c r="AT2" s="70"/>
      <c r="AU2" s="70"/>
      <c r="AV2" s="71"/>
      <c r="AW2" s="1882"/>
      <c r="AY2" s="1882"/>
      <c r="AZ2" s="1882"/>
      <c r="BA2" s="1882"/>
      <c r="BC2" s="1882"/>
      <c r="BD2" s="73" t="str">
        <f>+B2</f>
        <v>For the 12 months ended 31 March 2020</v>
      </c>
      <c r="BE2" s="1019"/>
      <c r="BF2" s="1019"/>
      <c r="BG2" s="2702"/>
      <c r="BH2" s="2702"/>
      <c r="BI2" s="2702"/>
      <c r="BJ2" s="2702"/>
      <c r="BK2" s="2702"/>
      <c r="BL2" s="2702"/>
      <c r="BM2" s="2702"/>
      <c r="BN2" s="2702"/>
      <c r="BO2" s="2702"/>
      <c r="BP2" s="2702"/>
      <c r="BQ2" s="2702"/>
      <c r="BR2" s="2703"/>
      <c r="BS2" s="2703"/>
      <c r="BT2" s="2703"/>
      <c r="BU2" s="2703"/>
      <c r="BV2" s="2703"/>
      <c r="BW2" s="2703"/>
      <c r="BX2" s="2703"/>
      <c r="BY2" s="2703"/>
      <c r="BZ2" s="2703"/>
    </row>
    <row r="3" spans="1:78" ht="16.5" thickBot="1">
      <c r="A3" s="1020"/>
      <c r="B3" s="3124" t="s">
        <v>34</v>
      </c>
      <c r="C3" s="3125"/>
      <c r="D3" s="3186" t="s">
        <v>2462</v>
      </c>
      <c r="E3" s="3186" t="s">
        <v>36</v>
      </c>
      <c r="F3" s="3189" t="s">
        <v>37</v>
      </c>
      <c r="G3" s="3237" t="s">
        <v>4368</v>
      </c>
      <c r="H3" s="3238"/>
      <c r="I3" s="3238"/>
      <c r="J3" s="3193"/>
      <c r="K3" s="3193"/>
      <c r="L3" s="3193"/>
      <c r="M3" s="3193"/>
      <c r="N3" s="3193"/>
      <c r="O3" s="3239"/>
      <c r="P3" s="3192" t="s">
        <v>4369</v>
      </c>
      <c r="Q3" s="3193"/>
      <c r="R3" s="3193"/>
      <c r="S3" s="3193"/>
      <c r="T3" s="3193"/>
      <c r="U3" s="3193"/>
      <c r="V3" s="3193"/>
      <c r="W3" s="3193"/>
      <c r="X3" s="3238"/>
      <c r="Y3" s="3240" t="s">
        <v>3638</v>
      </c>
      <c r="Z3" s="1882"/>
      <c r="AA3" s="2907" t="s">
        <v>41</v>
      </c>
      <c r="AB3" s="192"/>
      <c r="AC3" s="71"/>
      <c r="AD3" s="77"/>
      <c r="AE3" s="76" t="s">
        <v>45</v>
      </c>
      <c r="AF3" s="76"/>
      <c r="AG3" s="76"/>
      <c r="AH3" s="76"/>
      <c r="AI3" s="76"/>
      <c r="AJ3" s="76"/>
      <c r="AK3" s="682"/>
      <c r="AL3" s="682"/>
      <c r="AM3" s="682"/>
      <c r="AN3" s="682"/>
      <c r="AO3" s="682"/>
      <c r="AP3" s="682"/>
      <c r="AQ3" s="682"/>
      <c r="AR3" s="682"/>
      <c r="AS3" s="682"/>
      <c r="AT3" s="682"/>
      <c r="AU3" s="682"/>
      <c r="AV3" s="71"/>
      <c r="AW3" s="1882"/>
      <c r="AY3" s="1882"/>
      <c r="AZ3" s="1882"/>
      <c r="BA3" s="1882"/>
      <c r="BC3" s="1882"/>
      <c r="BD3" s="1021" t="s">
        <v>191</v>
      </c>
      <c r="BE3" s="968" t="s">
        <v>3980</v>
      </c>
      <c r="BF3" s="968" t="s">
        <v>2462</v>
      </c>
      <c r="BG3" s="969" t="s">
        <v>36</v>
      </c>
      <c r="BH3" s="1292" t="s">
        <v>37</v>
      </c>
      <c r="BI3" s="3201" t="s">
        <v>4368</v>
      </c>
      <c r="BJ3" s="3202"/>
      <c r="BK3" s="3202"/>
      <c r="BL3" s="3164"/>
      <c r="BM3" s="3164"/>
      <c r="BN3" s="3164"/>
      <c r="BO3" s="3164"/>
      <c r="BP3" s="3164"/>
      <c r="BQ3" s="3203"/>
      <c r="BR3" s="3163" t="s">
        <v>4369</v>
      </c>
      <c r="BS3" s="3164"/>
      <c r="BT3" s="3164"/>
      <c r="BU3" s="3164"/>
      <c r="BV3" s="3164"/>
      <c r="BW3" s="3164"/>
      <c r="BX3" s="3164"/>
      <c r="BY3" s="3164"/>
      <c r="BZ3" s="3202"/>
    </row>
    <row r="4" spans="1:78" ht="28.5" customHeight="1">
      <c r="A4" s="1023"/>
      <c r="B4" s="3184"/>
      <c r="C4" s="3185"/>
      <c r="D4" s="3187"/>
      <c r="E4" s="3187"/>
      <c r="F4" s="3190"/>
      <c r="G4" s="3061" t="s">
        <v>5009</v>
      </c>
      <c r="H4" s="3062"/>
      <c r="I4" s="3083"/>
      <c r="J4" s="3082" t="s">
        <v>5010</v>
      </c>
      <c r="K4" s="3083"/>
      <c r="L4" s="3082" t="s">
        <v>909</v>
      </c>
      <c r="M4" s="3062"/>
      <c r="N4" s="3083"/>
      <c r="O4" s="2907" t="s">
        <v>708</v>
      </c>
      <c r="P4" s="3061" t="s">
        <v>5009</v>
      </c>
      <c r="Q4" s="3062"/>
      <c r="R4" s="3083"/>
      <c r="S4" s="3082" t="s">
        <v>5010</v>
      </c>
      <c r="T4" s="3083"/>
      <c r="U4" s="3082" t="s">
        <v>909</v>
      </c>
      <c r="V4" s="3062"/>
      <c r="W4" s="3083"/>
      <c r="X4" s="2907" t="s">
        <v>708</v>
      </c>
      <c r="Y4" s="3241"/>
      <c r="Z4" s="1882"/>
      <c r="AA4" s="2933"/>
      <c r="AB4" s="192"/>
      <c r="AC4" s="71"/>
      <c r="AD4" s="192"/>
      <c r="AE4" s="637"/>
      <c r="AF4" s="637"/>
      <c r="AG4" s="637"/>
      <c r="AH4" s="637"/>
      <c r="AI4" s="637"/>
      <c r="AJ4" s="637"/>
      <c r="AK4" s="1882"/>
      <c r="AL4" s="1882"/>
      <c r="AM4" s="648"/>
      <c r="AN4" s="1882"/>
      <c r="AO4" s="1882"/>
      <c r="AP4" s="1882"/>
      <c r="AQ4" s="1882"/>
      <c r="AR4" s="1882"/>
      <c r="AS4" s="1882"/>
      <c r="AT4" s="1882"/>
      <c r="AU4" s="1882"/>
      <c r="AV4" s="71"/>
      <c r="AW4" s="1882"/>
      <c r="AY4" s="1882"/>
      <c r="AZ4" s="1882"/>
      <c r="BA4" s="1882"/>
      <c r="BC4" s="1882"/>
      <c r="BD4" s="1024"/>
      <c r="BE4" s="1024"/>
      <c r="BF4" s="1025"/>
      <c r="BG4" s="1026"/>
      <c r="BH4" s="1026"/>
      <c r="BI4" s="3204" t="s">
        <v>5009</v>
      </c>
      <c r="BJ4" s="3205"/>
      <c r="BK4" s="3206"/>
      <c r="BL4" s="3130" t="s">
        <v>5010</v>
      </c>
      <c r="BM4" s="3134"/>
      <c r="BN4" s="3207" t="s">
        <v>909</v>
      </c>
      <c r="BO4" s="3208"/>
      <c r="BP4" s="3209"/>
      <c r="BQ4" s="2907" t="s">
        <v>708</v>
      </c>
      <c r="BR4" s="3207" t="s">
        <v>5009</v>
      </c>
      <c r="BS4" s="3208"/>
      <c r="BT4" s="3211"/>
      <c r="BU4" s="3212" t="s">
        <v>5010</v>
      </c>
      <c r="BV4" s="3207"/>
      <c r="BW4" s="3057" t="s">
        <v>909</v>
      </c>
      <c r="BX4" s="3208"/>
      <c r="BY4" s="3209"/>
      <c r="BZ4" s="3213" t="s">
        <v>708</v>
      </c>
    </row>
    <row r="5" spans="1:78" ht="41" thickBot="1">
      <c r="A5" s="1027"/>
      <c r="B5" s="3126"/>
      <c r="C5" s="3127"/>
      <c r="D5" s="3188"/>
      <c r="E5" s="3188"/>
      <c r="F5" s="3191"/>
      <c r="G5" s="211" t="s">
        <v>2885</v>
      </c>
      <c r="H5" s="212" t="s">
        <v>2886</v>
      </c>
      <c r="I5" s="213" t="s">
        <v>2887</v>
      </c>
      <c r="J5" s="214" t="s">
        <v>2888</v>
      </c>
      <c r="K5" s="213" t="s">
        <v>3981</v>
      </c>
      <c r="L5" s="214" t="s">
        <v>2890</v>
      </c>
      <c r="M5" s="212" t="s">
        <v>2891</v>
      </c>
      <c r="N5" s="213" t="s">
        <v>2892</v>
      </c>
      <c r="O5" s="3227"/>
      <c r="P5" s="211" t="s">
        <v>2885</v>
      </c>
      <c r="Q5" s="212" t="s">
        <v>2886</v>
      </c>
      <c r="R5" s="213" t="s">
        <v>2887</v>
      </c>
      <c r="S5" s="214" t="s">
        <v>2888</v>
      </c>
      <c r="T5" s="213" t="s">
        <v>3981</v>
      </c>
      <c r="U5" s="214" t="s">
        <v>2890</v>
      </c>
      <c r="V5" s="212" t="s">
        <v>2891</v>
      </c>
      <c r="W5" s="213" t="s">
        <v>2892</v>
      </c>
      <c r="X5" s="3227"/>
      <c r="Y5" s="3242"/>
      <c r="Z5" s="1882"/>
      <c r="AA5" s="2908"/>
      <c r="AB5" s="192"/>
      <c r="AC5" s="71"/>
      <c r="AD5" s="192"/>
      <c r="AE5" s="85" t="s">
        <v>46</v>
      </c>
      <c r="AF5" s="85"/>
      <c r="AG5" s="85"/>
      <c r="AH5" s="85"/>
      <c r="AI5" s="85"/>
      <c r="AJ5" s="85"/>
      <c r="AK5" s="85"/>
      <c r="AL5" s="85"/>
      <c r="AM5" s="164"/>
      <c r="AN5" s="85"/>
      <c r="AO5" s="85"/>
      <c r="AP5" s="85"/>
      <c r="AQ5" s="85"/>
      <c r="AR5" s="85"/>
      <c r="AS5" s="85"/>
      <c r="AT5" s="85"/>
      <c r="AU5" s="85"/>
      <c r="AV5" s="71"/>
      <c r="AW5" s="93" t="s">
        <v>24</v>
      </c>
      <c r="AX5" s="71"/>
      <c r="AY5" s="76" t="s">
        <v>902</v>
      </c>
      <c r="AZ5" s="2822"/>
      <c r="BA5" s="2822"/>
      <c r="BB5" s="71"/>
      <c r="BC5" s="1882"/>
      <c r="BD5" s="1028"/>
      <c r="BE5" s="2704"/>
      <c r="BF5" s="2705"/>
      <c r="BG5" s="851"/>
      <c r="BH5" s="851"/>
      <c r="BI5" s="1548" t="s">
        <v>2885</v>
      </c>
      <c r="BJ5" s="1549" t="s">
        <v>2886</v>
      </c>
      <c r="BK5" s="1549" t="s">
        <v>2887</v>
      </c>
      <c r="BL5" s="1549" t="s">
        <v>2888</v>
      </c>
      <c r="BM5" s="1549" t="s">
        <v>3981</v>
      </c>
      <c r="BN5" s="1549" t="s">
        <v>2890</v>
      </c>
      <c r="BO5" s="1549" t="s">
        <v>2891</v>
      </c>
      <c r="BP5" s="1550" t="s">
        <v>2892</v>
      </c>
      <c r="BQ5" s="3210"/>
      <c r="BR5" s="1551" t="s">
        <v>2885</v>
      </c>
      <c r="BS5" s="1549" t="s">
        <v>2886</v>
      </c>
      <c r="BT5" s="1549" t="s">
        <v>2887</v>
      </c>
      <c r="BU5" s="1030" t="s">
        <v>2888</v>
      </c>
      <c r="BV5" s="1549" t="s">
        <v>3981</v>
      </c>
      <c r="BW5" s="1549" t="s">
        <v>2890</v>
      </c>
      <c r="BX5" s="1549" t="s">
        <v>2891</v>
      </c>
      <c r="BY5" s="1550" t="s">
        <v>2892</v>
      </c>
      <c r="BZ5" s="3214"/>
    </row>
    <row r="6" spans="1:78" ht="16.5" thickBot="1">
      <c r="A6" s="1027"/>
      <c r="B6" s="1660"/>
      <c r="C6" s="1029"/>
      <c r="D6" s="1029"/>
      <c r="E6" s="851"/>
      <c r="F6" s="851"/>
      <c r="G6" s="851"/>
      <c r="H6" s="851"/>
      <c r="I6" s="851"/>
      <c r="J6" s="851"/>
      <c r="K6" s="851"/>
      <c r="L6" s="851"/>
      <c r="M6" s="851"/>
      <c r="N6" s="851"/>
      <c r="O6" s="851"/>
      <c r="P6" s="851"/>
      <c r="Q6" s="851"/>
      <c r="R6" s="851"/>
      <c r="S6" s="851"/>
      <c r="T6" s="851"/>
      <c r="U6" s="851"/>
      <c r="V6" s="851"/>
      <c r="W6" s="851"/>
      <c r="X6" s="851"/>
      <c r="Y6" s="851"/>
      <c r="Z6" s="851"/>
      <c r="AB6" s="192"/>
      <c r="AC6" s="71"/>
      <c r="AD6" s="192"/>
      <c r="AE6" s="85"/>
      <c r="AF6" s="85"/>
      <c r="AG6" s="85"/>
      <c r="AH6" s="85"/>
      <c r="AI6" s="85"/>
      <c r="AJ6" s="85"/>
      <c r="AK6" s="85"/>
      <c r="AL6" s="85"/>
      <c r="AM6" s="164"/>
      <c r="AN6" s="85"/>
      <c r="AO6" s="85"/>
      <c r="AP6" s="85"/>
      <c r="AQ6" s="85"/>
      <c r="AR6" s="85"/>
      <c r="AS6" s="85"/>
      <c r="AT6" s="85"/>
      <c r="AU6" s="85"/>
      <c r="AV6" s="71"/>
      <c r="AW6" s="93"/>
      <c r="AX6" s="71"/>
      <c r="AY6" s="76"/>
      <c r="AZ6" s="2822"/>
      <c r="BA6" s="2822"/>
      <c r="BB6" s="71"/>
      <c r="BC6" s="1882"/>
      <c r="BD6" s="1660"/>
      <c r="BE6" s="2705"/>
      <c r="BF6" s="2705"/>
      <c r="BG6" s="851"/>
      <c r="BH6" s="851"/>
      <c r="BI6" s="851"/>
      <c r="BJ6" s="851"/>
      <c r="BK6" s="851"/>
      <c r="BL6" s="851"/>
      <c r="BM6" s="851"/>
      <c r="BN6" s="851"/>
      <c r="BO6" s="851"/>
      <c r="BP6" s="851"/>
      <c r="BQ6" s="851"/>
      <c r="BR6" s="851"/>
      <c r="BS6" s="851"/>
      <c r="BT6" s="851"/>
      <c r="BU6" s="851"/>
      <c r="BV6" s="851"/>
      <c r="BW6" s="851"/>
      <c r="BX6" s="851"/>
      <c r="BY6" s="851"/>
      <c r="BZ6" s="2706"/>
    </row>
    <row r="7" spans="1:78" ht="16.5" thickBot="1">
      <c r="A7" s="1027"/>
      <c r="B7" s="2863" t="s">
        <v>153</v>
      </c>
      <c r="C7" s="1031" t="s">
        <v>5011</v>
      </c>
      <c r="D7" s="1029"/>
      <c r="E7" s="851"/>
      <c r="F7" s="851"/>
      <c r="G7" s="851"/>
      <c r="H7" s="851"/>
      <c r="I7" s="851"/>
      <c r="J7" s="851"/>
      <c r="K7" s="851"/>
      <c r="L7" s="851"/>
      <c r="M7" s="851"/>
      <c r="N7" s="851"/>
      <c r="O7" s="851"/>
      <c r="P7" s="851"/>
      <c r="Q7" s="851"/>
      <c r="R7" s="851"/>
      <c r="S7" s="851"/>
      <c r="T7" s="851"/>
      <c r="U7" s="851"/>
      <c r="V7" s="851"/>
      <c r="W7" s="851"/>
      <c r="X7" s="851"/>
      <c r="Y7" s="1882"/>
      <c r="Z7" s="1882"/>
      <c r="AA7" s="70"/>
      <c r="AB7" s="192"/>
      <c r="AC7" s="71"/>
      <c r="AD7" s="192"/>
      <c r="AE7" s="85"/>
      <c r="AF7" s="85"/>
      <c r="AG7" s="85"/>
      <c r="AH7" s="85"/>
      <c r="AI7" s="85"/>
      <c r="AJ7" s="85"/>
      <c r="AK7" s="85"/>
      <c r="AL7" s="85"/>
      <c r="AM7" s="164"/>
      <c r="AN7" s="85"/>
      <c r="AO7" s="85"/>
      <c r="AP7" s="85"/>
      <c r="AQ7" s="85"/>
      <c r="AR7" s="85"/>
      <c r="AS7" s="85"/>
      <c r="AT7" s="85"/>
      <c r="AU7" s="85"/>
      <c r="AV7" s="71"/>
      <c r="AW7" s="1882"/>
      <c r="AY7" s="1882"/>
      <c r="AZ7" s="1882"/>
      <c r="BA7" s="1882"/>
      <c r="BC7" s="1882"/>
      <c r="BD7" s="2863" t="s">
        <v>153</v>
      </c>
      <c r="BE7" s="2707" t="s">
        <v>5011</v>
      </c>
      <c r="BF7" s="2705"/>
      <c r="BG7" s="851"/>
      <c r="BH7" s="851"/>
      <c r="BI7" s="851"/>
      <c r="BJ7" s="851"/>
      <c r="BK7" s="851"/>
      <c r="BL7" s="851"/>
      <c r="BM7" s="851"/>
      <c r="BN7" s="851"/>
      <c r="BO7" s="851"/>
      <c r="BP7" s="851"/>
      <c r="BQ7" s="851"/>
      <c r="BR7" s="851"/>
      <c r="BS7" s="851"/>
      <c r="BT7" s="851"/>
      <c r="BU7" s="851"/>
      <c r="BV7" s="851"/>
      <c r="BW7" s="851"/>
      <c r="BX7" s="851"/>
      <c r="BY7" s="851"/>
      <c r="BZ7" s="851"/>
    </row>
    <row r="8" spans="1:78" ht="16">
      <c r="A8" s="966"/>
      <c r="B8" s="971" t="s">
        <v>5012</v>
      </c>
      <c r="C8" s="117" t="s">
        <v>5013</v>
      </c>
      <c r="D8" s="117"/>
      <c r="E8" s="88" t="s">
        <v>49</v>
      </c>
      <c r="F8" s="89">
        <v>3</v>
      </c>
      <c r="G8" s="1056"/>
      <c r="H8" s="1424"/>
      <c r="I8" s="1430"/>
      <c r="J8" s="1032"/>
      <c r="K8" s="1430"/>
      <c r="L8" s="1545"/>
      <c r="M8" s="1427"/>
      <c r="N8" s="1430"/>
      <c r="O8" s="1033">
        <f t="shared" ref="O8:O52" si="0">+SUM(G8:N8)</f>
        <v>0</v>
      </c>
      <c r="P8" s="1056"/>
      <c r="Q8" s="1424"/>
      <c r="R8" s="1430"/>
      <c r="S8" s="1032"/>
      <c r="T8" s="1430"/>
      <c r="U8" s="1545"/>
      <c r="V8" s="1427"/>
      <c r="W8" s="1430"/>
      <c r="X8" s="1033">
        <f t="shared" ref="X8:X52" si="1">+SUM(P8:W8)</f>
        <v>0</v>
      </c>
      <c r="Y8" s="1729"/>
      <c r="Z8" s="1882"/>
      <c r="AA8" s="868">
        <f xml:space="preserve"> IF( SUM( AC8:AV8 ) = 0, 0, $AE$5 )</f>
        <v>0</v>
      </c>
      <c r="AB8" s="192"/>
      <c r="AC8" s="71"/>
      <c r="AD8" s="192"/>
      <c r="AE8" s="93">
        <f>IF(Validation!$H$3=1,0,IF(ISNUMBER(G8),0,1))</f>
        <v>0</v>
      </c>
      <c r="AF8" s="93">
        <f>IF(Validation!$H$3=1,0,IF(ISNUMBER(H8),0,1))</f>
        <v>0</v>
      </c>
      <c r="AG8" s="93">
        <f>IF(Validation!$H$3=1,0,IF(ISNUMBER(I8),0,1))</f>
        <v>0</v>
      </c>
      <c r="AH8" s="93">
        <f>IF(Validation!$H$3=1,0,IF(ISNUMBER(J8),0,1))</f>
        <v>0</v>
      </c>
      <c r="AI8" s="93">
        <f>IF(Validation!$H$3=1,0,IF(ISNUMBER(K8),0,1))</f>
        <v>0</v>
      </c>
      <c r="AJ8" s="93">
        <f>IF(Validation!$H$3=1,0,IF(ISNUMBER(L8),0,1))</f>
        <v>0</v>
      </c>
      <c r="AK8" s="93">
        <f>IF(Validation!$H$3=1,0,IF(ISNUMBER(M8),0,1))</f>
        <v>0</v>
      </c>
      <c r="AL8" s="93">
        <f>IF(Validation!$H$3=1,0,IF(ISNUMBER(N8),0,1))</f>
        <v>0</v>
      </c>
      <c r="AM8" s="127"/>
      <c r="AN8" s="93">
        <f>IF(Validation!$H$3=1,0,IF(ISNUMBER(P8),0,1))</f>
        <v>0</v>
      </c>
      <c r="AO8" s="93">
        <f>IF(Validation!$H$3=1,0,IF(ISNUMBER(Q8),0,1))</f>
        <v>0</v>
      </c>
      <c r="AP8" s="93">
        <f>IF(Validation!$H$3=1,0,IF(ISNUMBER(R8),0,1))</f>
        <v>0</v>
      </c>
      <c r="AQ8" s="93">
        <f>IF(Validation!$H$3=1,0,IF(ISNUMBER(S8),0,1))</f>
        <v>0</v>
      </c>
      <c r="AR8" s="93">
        <f>IF(Validation!$H$3=1,0,IF(ISNUMBER(T8),0,1))</f>
        <v>0</v>
      </c>
      <c r="AS8" s="93">
        <f>IF(Validation!$H$3=1,0,IF(ISNUMBER(U8),0,1))</f>
        <v>0</v>
      </c>
      <c r="AT8" s="93">
        <f>IF(Validation!$H$3=1,0,IF(ISNUMBER(V8),0,1))</f>
        <v>0</v>
      </c>
      <c r="AU8" s="93">
        <f>IF(Validation!$H$3=1,0,IF(ISNUMBER(W8),0,1))</f>
        <v>0</v>
      </c>
      <c r="AV8" s="71"/>
      <c r="AW8" s="1882"/>
      <c r="AY8" s="1882"/>
      <c r="AZ8" s="1882"/>
      <c r="BA8" s="1882"/>
      <c r="BC8" s="1882"/>
      <c r="BD8" s="971" t="s">
        <v>5012</v>
      </c>
      <c r="BE8" s="117" t="s">
        <v>5013</v>
      </c>
      <c r="BF8" s="117"/>
      <c r="BG8" s="88" t="s">
        <v>49</v>
      </c>
      <c r="BH8" s="89">
        <v>3</v>
      </c>
      <c r="BI8" s="2708" t="s">
        <v>5014</v>
      </c>
      <c r="BJ8" s="2709" t="s">
        <v>5015</v>
      </c>
      <c r="BK8" s="2710" t="s">
        <v>5016</v>
      </c>
      <c r="BL8" s="2711" t="s">
        <v>5017</v>
      </c>
      <c r="BM8" s="2709" t="s">
        <v>5018</v>
      </c>
      <c r="BN8" s="2709" t="s">
        <v>5019</v>
      </c>
      <c r="BO8" s="2712" t="s">
        <v>5020</v>
      </c>
      <c r="BP8" s="2710" t="s">
        <v>5021</v>
      </c>
      <c r="BQ8" s="2020" t="s">
        <v>5022</v>
      </c>
      <c r="BR8" s="2713" t="s">
        <v>5023</v>
      </c>
      <c r="BS8" s="2709" t="s">
        <v>5024</v>
      </c>
      <c r="BT8" s="2710" t="s">
        <v>5025</v>
      </c>
      <c r="BU8" s="2711" t="s">
        <v>5026</v>
      </c>
      <c r="BV8" s="2709" t="s">
        <v>5027</v>
      </c>
      <c r="BW8" s="2709" t="s">
        <v>5028</v>
      </c>
      <c r="BX8" s="2712" t="s">
        <v>5029</v>
      </c>
      <c r="BY8" s="2710" t="s">
        <v>5030</v>
      </c>
      <c r="BZ8" s="2020" t="s">
        <v>5031</v>
      </c>
    </row>
    <row r="9" spans="1:78" ht="16">
      <c r="A9" s="966"/>
      <c r="B9" s="977" t="s">
        <v>5032</v>
      </c>
      <c r="C9" s="981" t="s">
        <v>5033</v>
      </c>
      <c r="D9" s="981"/>
      <c r="E9" s="1881" t="s">
        <v>49</v>
      </c>
      <c r="F9" s="978">
        <v>3</v>
      </c>
      <c r="G9" s="1061"/>
      <c r="H9" s="1425"/>
      <c r="I9" s="1431"/>
      <c r="J9" s="1034"/>
      <c r="K9" s="1431"/>
      <c r="L9" s="1546"/>
      <c r="M9" s="1428"/>
      <c r="N9" s="1431"/>
      <c r="O9" s="241">
        <f t="shared" si="0"/>
        <v>0</v>
      </c>
      <c r="P9" s="1061"/>
      <c r="Q9" s="1425"/>
      <c r="R9" s="1431"/>
      <c r="S9" s="1034"/>
      <c r="T9" s="1431"/>
      <c r="U9" s="1546"/>
      <c r="V9" s="1428"/>
      <c r="W9" s="1431"/>
      <c r="X9" s="241">
        <f t="shared" si="1"/>
        <v>0</v>
      </c>
      <c r="Y9" s="1730"/>
      <c r="Z9" s="1882"/>
      <c r="AA9" s="868">
        <f t="shared" ref="AA9:AA35" si="2" xml:space="preserve"> IF( SUM( AC9:AV9 ) = 0, 0, $AE$5 )</f>
        <v>0</v>
      </c>
      <c r="AB9" s="192"/>
      <c r="AC9" s="71"/>
      <c r="AD9" s="192"/>
      <c r="AE9" s="93">
        <f>IF(Validation!$H$3=1,0,IF(ISNUMBER(G9),0,1))</f>
        <v>0</v>
      </c>
      <c r="AF9" s="93">
        <f>IF(Validation!$H$3=1,0,IF(ISNUMBER(H9),0,1))</f>
        <v>0</v>
      </c>
      <c r="AG9" s="93">
        <f>IF(Validation!$H$3=1,0,IF(ISNUMBER(I9),0,1))</f>
        <v>0</v>
      </c>
      <c r="AH9" s="93">
        <f>IF(Validation!$H$3=1,0,IF(ISNUMBER(J9),0,1))</f>
        <v>0</v>
      </c>
      <c r="AI9" s="93">
        <f>IF(Validation!$H$3=1,0,IF(ISNUMBER(K9),0,1))</f>
        <v>0</v>
      </c>
      <c r="AJ9" s="93">
        <f>IF(Validation!$H$3=1,0,IF(ISNUMBER(L9),0,1))</f>
        <v>0</v>
      </c>
      <c r="AK9" s="93">
        <f>IF(Validation!$H$3=1,0,IF(ISNUMBER(M9),0,1))</f>
        <v>0</v>
      </c>
      <c r="AL9" s="93">
        <f>IF(Validation!$H$3=1,0,IF(ISNUMBER(N9),0,1))</f>
        <v>0</v>
      </c>
      <c r="AM9" s="127"/>
      <c r="AN9" s="93">
        <f>IF(Validation!$H$3=1,0,IF(ISNUMBER(P9),0,1))</f>
        <v>0</v>
      </c>
      <c r="AO9" s="93">
        <f>IF(Validation!$H$3=1,0,IF(ISNUMBER(Q9),0,1))</f>
        <v>0</v>
      </c>
      <c r="AP9" s="93">
        <f>IF(Validation!$H$3=1,0,IF(ISNUMBER(R9),0,1))</f>
        <v>0</v>
      </c>
      <c r="AQ9" s="93">
        <f>IF(Validation!$H$3=1,0,IF(ISNUMBER(S9),0,1))</f>
        <v>0</v>
      </c>
      <c r="AR9" s="93">
        <f>IF(Validation!$H$3=1,0,IF(ISNUMBER(T9),0,1))</f>
        <v>0</v>
      </c>
      <c r="AS9" s="93">
        <f>IF(Validation!$H$3=1,0,IF(ISNUMBER(U9),0,1))</f>
        <v>0</v>
      </c>
      <c r="AT9" s="93">
        <f>IF(Validation!$H$3=1,0,IF(ISNUMBER(V9),0,1))</f>
        <v>0</v>
      </c>
      <c r="AU9" s="93">
        <f>IF(Validation!$H$3=1,0,IF(ISNUMBER(W9),0,1))</f>
        <v>0</v>
      </c>
      <c r="AV9" s="71"/>
      <c r="AW9" s="1882"/>
      <c r="AY9" s="1882"/>
      <c r="AZ9" s="1882"/>
      <c r="BA9" s="1882"/>
      <c r="BC9" s="1882"/>
      <c r="BD9" s="977" t="s">
        <v>5032</v>
      </c>
      <c r="BE9" s="2683" t="s">
        <v>5033</v>
      </c>
      <c r="BF9" s="2683"/>
      <c r="BG9" s="1881" t="s">
        <v>49</v>
      </c>
      <c r="BH9" s="978">
        <v>3</v>
      </c>
      <c r="BI9" s="2714" t="s">
        <v>5034</v>
      </c>
      <c r="BJ9" s="2715" t="s">
        <v>5035</v>
      </c>
      <c r="BK9" s="2716" t="s">
        <v>5036</v>
      </c>
      <c r="BL9" s="2717" t="s">
        <v>5037</v>
      </c>
      <c r="BM9" s="2715" t="s">
        <v>5038</v>
      </c>
      <c r="BN9" s="2715" t="s">
        <v>5039</v>
      </c>
      <c r="BO9" s="2718" t="s">
        <v>5040</v>
      </c>
      <c r="BP9" s="2716" t="s">
        <v>5041</v>
      </c>
      <c r="BQ9" s="1970" t="s">
        <v>5042</v>
      </c>
      <c r="BR9" s="2719" t="s">
        <v>5043</v>
      </c>
      <c r="BS9" s="2715" t="s">
        <v>5044</v>
      </c>
      <c r="BT9" s="2716" t="s">
        <v>5045</v>
      </c>
      <c r="BU9" s="2717" t="s">
        <v>5046</v>
      </c>
      <c r="BV9" s="2715" t="s">
        <v>5047</v>
      </c>
      <c r="BW9" s="2715" t="s">
        <v>5048</v>
      </c>
      <c r="BX9" s="2718" t="s">
        <v>5049</v>
      </c>
      <c r="BY9" s="2716" t="s">
        <v>5050</v>
      </c>
      <c r="BZ9" s="1970" t="s">
        <v>5051</v>
      </c>
    </row>
    <row r="10" spans="1:78" ht="16">
      <c r="A10" s="966"/>
      <c r="B10" s="977" t="s">
        <v>5052</v>
      </c>
      <c r="C10" s="981" t="s">
        <v>5053</v>
      </c>
      <c r="D10" s="981"/>
      <c r="E10" s="1881" t="s">
        <v>49</v>
      </c>
      <c r="F10" s="978">
        <v>3</v>
      </c>
      <c r="G10" s="1061"/>
      <c r="H10" s="1425"/>
      <c r="I10" s="1431"/>
      <c r="J10" s="1034"/>
      <c r="K10" s="1431"/>
      <c r="L10" s="1546"/>
      <c r="M10" s="1428"/>
      <c r="N10" s="1431"/>
      <c r="O10" s="241">
        <f t="shared" si="0"/>
        <v>0</v>
      </c>
      <c r="P10" s="1061"/>
      <c r="Q10" s="1425"/>
      <c r="R10" s="1431"/>
      <c r="S10" s="1034"/>
      <c r="T10" s="1431"/>
      <c r="U10" s="1546"/>
      <c r="V10" s="1428"/>
      <c r="W10" s="1431"/>
      <c r="X10" s="241">
        <f t="shared" si="1"/>
        <v>0</v>
      </c>
      <c r="Y10" s="1730"/>
      <c r="Z10" s="1882"/>
      <c r="AA10" s="868">
        <f t="shared" si="2"/>
        <v>0</v>
      </c>
      <c r="AB10" s="192"/>
      <c r="AC10" s="71"/>
      <c r="AD10" s="192"/>
      <c r="AE10" s="93">
        <f>IF(Validation!$H$3=1,0,IF(ISNUMBER(G10),0,1))</f>
        <v>0</v>
      </c>
      <c r="AF10" s="93">
        <f>IF(Validation!$H$3=1,0,IF(ISNUMBER(H10),0,1))</f>
        <v>0</v>
      </c>
      <c r="AG10" s="93">
        <f>IF(Validation!$H$3=1,0,IF(ISNUMBER(I10),0,1))</f>
        <v>0</v>
      </c>
      <c r="AH10" s="93">
        <f>IF(Validation!$H$3=1,0,IF(ISNUMBER(J10),0,1))</f>
        <v>0</v>
      </c>
      <c r="AI10" s="93">
        <f>IF(Validation!$H$3=1,0,IF(ISNUMBER(K10),0,1))</f>
        <v>0</v>
      </c>
      <c r="AJ10" s="93">
        <f>IF(Validation!$H$3=1,0,IF(ISNUMBER(L10),0,1))</f>
        <v>0</v>
      </c>
      <c r="AK10" s="93">
        <f>IF(Validation!$H$3=1,0,IF(ISNUMBER(M10),0,1))</f>
        <v>0</v>
      </c>
      <c r="AL10" s="93">
        <f>IF(Validation!$H$3=1,0,IF(ISNUMBER(N10),0,1))</f>
        <v>0</v>
      </c>
      <c r="AM10" s="127"/>
      <c r="AN10" s="93">
        <f>IF(Validation!$H$3=1,0,IF(ISNUMBER(P10),0,1))</f>
        <v>0</v>
      </c>
      <c r="AO10" s="93">
        <f>IF(Validation!$H$3=1,0,IF(ISNUMBER(Q10),0,1))</f>
        <v>0</v>
      </c>
      <c r="AP10" s="93">
        <f>IF(Validation!$H$3=1,0,IF(ISNUMBER(R10),0,1))</f>
        <v>0</v>
      </c>
      <c r="AQ10" s="93">
        <f>IF(Validation!$H$3=1,0,IF(ISNUMBER(S10),0,1))</f>
        <v>0</v>
      </c>
      <c r="AR10" s="93">
        <f>IF(Validation!$H$3=1,0,IF(ISNUMBER(T10),0,1))</f>
        <v>0</v>
      </c>
      <c r="AS10" s="93">
        <f>IF(Validation!$H$3=1,0,IF(ISNUMBER(U10),0,1))</f>
        <v>0</v>
      </c>
      <c r="AT10" s="93">
        <f>IF(Validation!$H$3=1,0,IF(ISNUMBER(V10),0,1))</f>
        <v>0</v>
      </c>
      <c r="AU10" s="93">
        <f>IF(Validation!$H$3=1,0,IF(ISNUMBER(W10),0,1))</f>
        <v>0</v>
      </c>
      <c r="AV10" s="71"/>
      <c r="AW10" s="1882"/>
      <c r="AY10" s="1882"/>
      <c r="AZ10" s="1882"/>
      <c r="BA10" s="1882"/>
      <c r="BC10" s="1882"/>
      <c r="BD10" s="977" t="s">
        <v>5052</v>
      </c>
      <c r="BE10" s="2683" t="s">
        <v>5053</v>
      </c>
      <c r="BF10" s="2683"/>
      <c r="BG10" s="1881" t="s">
        <v>49</v>
      </c>
      <c r="BH10" s="978">
        <v>3</v>
      </c>
      <c r="BI10" s="2714" t="s">
        <v>5054</v>
      </c>
      <c r="BJ10" s="2715" t="s">
        <v>5055</v>
      </c>
      <c r="BK10" s="2716" t="s">
        <v>5056</v>
      </c>
      <c r="BL10" s="2717" t="s">
        <v>5057</v>
      </c>
      <c r="BM10" s="2715" t="s">
        <v>5058</v>
      </c>
      <c r="BN10" s="2715" t="s">
        <v>5059</v>
      </c>
      <c r="BO10" s="2718" t="s">
        <v>5060</v>
      </c>
      <c r="BP10" s="2716" t="s">
        <v>5061</v>
      </c>
      <c r="BQ10" s="1970" t="s">
        <v>5062</v>
      </c>
      <c r="BR10" s="2719" t="s">
        <v>5063</v>
      </c>
      <c r="BS10" s="2715" t="s">
        <v>5064</v>
      </c>
      <c r="BT10" s="2716" t="s">
        <v>5065</v>
      </c>
      <c r="BU10" s="2717" t="s">
        <v>5066</v>
      </c>
      <c r="BV10" s="2715" t="s">
        <v>5067</v>
      </c>
      <c r="BW10" s="2715" t="s">
        <v>5068</v>
      </c>
      <c r="BX10" s="2718" t="s">
        <v>5069</v>
      </c>
      <c r="BY10" s="2716" t="s">
        <v>5070</v>
      </c>
      <c r="BZ10" s="1970" t="s">
        <v>5071</v>
      </c>
    </row>
    <row r="11" spans="1:78" ht="16">
      <c r="A11" s="966"/>
      <c r="B11" s="977" t="s">
        <v>5072</v>
      </c>
      <c r="C11" s="981" t="s">
        <v>5073</v>
      </c>
      <c r="D11" s="981"/>
      <c r="E11" s="1881" t="s">
        <v>49</v>
      </c>
      <c r="F11" s="978">
        <v>3</v>
      </c>
      <c r="G11" s="1061"/>
      <c r="H11" s="1425"/>
      <c r="I11" s="1431"/>
      <c r="J11" s="1034"/>
      <c r="K11" s="1431"/>
      <c r="L11" s="1546"/>
      <c r="M11" s="1428"/>
      <c r="N11" s="1431"/>
      <c r="O11" s="241">
        <f t="shared" si="0"/>
        <v>0</v>
      </c>
      <c r="P11" s="1061"/>
      <c r="Q11" s="1425"/>
      <c r="R11" s="1431"/>
      <c r="S11" s="1034"/>
      <c r="T11" s="1431"/>
      <c r="U11" s="1546"/>
      <c r="V11" s="1428"/>
      <c r="W11" s="1431"/>
      <c r="X11" s="241">
        <f t="shared" si="1"/>
        <v>0</v>
      </c>
      <c r="Y11" s="1730"/>
      <c r="Z11" s="1882"/>
      <c r="AA11" s="868">
        <f t="shared" si="2"/>
        <v>0</v>
      </c>
      <c r="AB11" s="192"/>
      <c r="AC11" s="71"/>
      <c r="AD11" s="192"/>
      <c r="AE11" s="93">
        <f>IF(Validation!$H$3=1,0,IF(ISNUMBER(G11),0,1))</f>
        <v>0</v>
      </c>
      <c r="AF11" s="93">
        <f>IF(Validation!$H$3=1,0,IF(ISNUMBER(H11),0,1))</f>
        <v>0</v>
      </c>
      <c r="AG11" s="93">
        <f>IF(Validation!$H$3=1,0,IF(ISNUMBER(I11),0,1))</f>
        <v>0</v>
      </c>
      <c r="AH11" s="93">
        <f>IF(Validation!$H$3=1,0,IF(ISNUMBER(J11),0,1))</f>
        <v>0</v>
      </c>
      <c r="AI11" s="93">
        <f>IF(Validation!$H$3=1,0,IF(ISNUMBER(K11),0,1))</f>
        <v>0</v>
      </c>
      <c r="AJ11" s="93">
        <f>IF(Validation!$H$3=1,0,IF(ISNUMBER(L11),0,1))</f>
        <v>0</v>
      </c>
      <c r="AK11" s="93">
        <f>IF(Validation!$H$3=1,0,IF(ISNUMBER(M11),0,1))</f>
        <v>0</v>
      </c>
      <c r="AL11" s="93">
        <f>IF(Validation!$H$3=1,0,IF(ISNUMBER(N11),0,1))</f>
        <v>0</v>
      </c>
      <c r="AM11" s="127"/>
      <c r="AN11" s="93">
        <f>IF(Validation!$H$3=1,0,IF(ISNUMBER(P11),0,1))</f>
        <v>0</v>
      </c>
      <c r="AO11" s="93">
        <f>IF(Validation!$H$3=1,0,IF(ISNUMBER(Q11),0,1))</f>
        <v>0</v>
      </c>
      <c r="AP11" s="93">
        <f>IF(Validation!$H$3=1,0,IF(ISNUMBER(R11),0,1))</f>
        <v>0</v>
      </c>
      <c r="AQ11" s="93">
        <f>IF(Validation!$H$3=1,0,IF(ISNUMBER(S11),0,1))</f>
        <v>0</v>
      </c>
      <c r="AR11" s="93">
        <f>IF(Validation!$H$3=1,0,IF(ISNUMBER(T11),0,1))</f>
        <v>0</v>
      </c>
      <c r="AS11" s="93">
        <f>IF(Validation!$H$3=1,0,IF(ISNUMBER(U11),0,1))</f>
        <v>0</v>
      </c>
      <c r="AT11" s="93">
        <f>IF(Validation!$H$3=1,0,IF(ISNUMBER(V11),0,1))</f>
        <v>0</v>
      </c>
      <c r="AU11" s="93">
        <f>IF(Validation!$H$3=1,0,IF(ISNUMBER(W11),0,1))</f>
        <v>0</v>
      </c>
      <c r="AV11" s="71"/>
      <c r="AW11" s="1882"/>
      <c r="AY11" s="1882"/>
      <c r="AZ11" s="1882"/>
      <c r="BA11" s="1882"/>
      <c r="BC11" s="1882"/>
      <c r="BD11" s="977" t="s">
        <v>5072</v>
      </c>
      <c r="BE11" s="2683" t="s">
        <v>5073</v>
      </c>
      <c r="BF11" s="2683"/>
      <c r="BG11" s="1881" t="s">
        <v>49</v>
      </c>
      <c r="BH11" s="978">
        <v>3</v>
      </c>
      <c r="BI11" s="2714" t="s">
        <v>5074</v>
      </c>
      <c r="BJ11" s="2715" t="s">
        <v>5075</v>
      </c>
      <c r="BK11" s="2716" t="s">
        <v>5076</v>
      </c>
      <c r="BL11" s="2717" t="s">
        <v>5077</v>
      </c>
      <c r="BM11" s="2715" t="s">
        <v>5078</v>
      </c>
      <c r="BN11" s="2715" t="s">
        <v>5079</v>
      </c>
      <c r="BO11" s="2718" t="s">
        <v>5080</v>
      </c>
      <c r="BP11" s="2716" t="s">
        <v>5081</v>
      </c>
      <c r="BQ11" s="1970" t="s">
        <v>5082</v>
      </c>
      <c r="BR11" s="2719" t="s">
        <v>5083</v>
      </c>
      <c r="BS11" s="2715" t="s">
        <v>5084</v>
      </c>
      <c r="BT11" s="2716" t="s">
        <v>5085</v>
      </c>
      <c r="BU11" s="2717" t="s">
        <v>5086</v>
      </c>
      <c r="BV11" s="2715" t="s">
        <v>5087</v>
      </c>
      <c r="BW11" s="2715" t="s">
        <v>5088</v>
      </c>
      <c r="BX11" s="2718" t="s">
        <v>5089</v>
      </c>
      <c r="BY11" s="2716" t="s">
        <v>5090</v>
      </c>
      <c r="BZ11" s="1970" t="s">
        <v>5091</v>
      </c>
    </row>
    <row r="12" spans="1:78" ht="16">
      <c r="A12" s="966"/>
      <c r="B12" s="977" t="s">
        <v>5092</v>
      </c>
      <c r="C12" s="981" t="s">
        <v>5093</v>
      </c>
      <c r="D12" s="981"/>
      <c r="E12" s="1881" t="s">
        <v>49</v>
      </c>
      <c r="F12" s="978">
        <v>3</v>
      </c>
      <c r="G12" s="1061"/>
      <c r="H12" s="1425"/>
      <c r="I12" s="1431"/>
      <c r="J12" s="1034"/>
      <c r="K12" s="1431"/>
      <c r="L12" s="1546"/>
      <c r="M12" s="1428"/>
      <c r="N12" s="1431"/>
      <c r="O12" s="241">
        <f t="shared" si="0"/>
        <v>0</v>
      </c>
      <c r="P12" s="1061"/>
      <c r="Q12" s="1425"/>
      <c r="R12" s="1431"/>
      <c r="S12" s="1034"/>
      <c r="T12" s="1431"/>
      <c r="U12" s="1546"/>
      <c r="V12" s="1428"/>
      <c r="W12" s="1431"/>
      <c r="X12" s="241">
        <f t="shared" si="1"/>
        <v>0</v>
      </c>
      <c r="Y12" s="1730"/>
      <c r="Z12" s="1882"/>
      <c r="AA12" s="868">
        <f t="shared" si="2"/>
        <v>0</v>
      </c>
      <c r="AB12" s="192"/>
      <c r="AC12" s="71"/>
      <c r="AD12" s="192"/>
      <c r="AE12" s="93">
        <f>IF(Validation!$H$3=1,0,IF(ISNUMBER(G12),0,1))</f>
        <v>0</v>
      </c>
      <c r="AF12" s="93">
        <f>IF(Validation!$H$3=1,0,IF(ISNUMBER(H12),0,1))</f>
        <v>0</v>
      </c>
      <c r="AG12" s="93">
        <f>IF(Validation!$H$3=1,0,IF(ISNUMBER(I12),0,1))</f>
        <v>0</v>
      </c>
      <c r="AH12" s="93">
        <f>IF(Validation!$H$3=1,0,IF(ISNUMBER(J12),0,1))</f>
        <v>0</v>
      </c>
      <c r="AI12" s="93">
        <f>IF(Validation!$H$3=1,0,IF(ISNUMBER(K12),0,1))</f>
        <v>0</v>
      </c>
      <c r="AJ12" s="93">
        <f>IF(Validation!$H$3=1,0,IF(ISNUMBER(L12),0,1))</f>
        <v>0</v>
      </c>
      <c r="AK12" s="93">
        <f>IF(Validation!$H$3=1,0,IF(ISNUMBER(M12),0,1))</f>
        <v>0</v>
      </c>
      <c r="AL12" s="93">
        <f>IF(Validation!$H$3=1,0,IF(ISNUMBER(N12),0,1))</f>
        <v>0</v>
      </c>
      <c r="AM12" s="127"/>
      <c r="AN12" s="93">
        <f>IF(Validation!$H$3=1,0,IF(ISNUMBER(P12),0,1))</f>
        <v>0</v>
      </c>
      <c r="AO12" s="93">
        <f>IF(Validation!$H$3=1,0,IF(ISNUMBER(Q12),0,1))</f>
        <v>0</v>
      </c>
      <c r="AP12" s="93">
        <f>IF(Validation!$H$3=1,0,IF(ISNUMBER(R12),0,1))</f>
        <v>0</v>
      </c>
      <c r="AQ12" s="93">
        <f>IF(Validation!$H$3=1,0,IF(ISNUMBER(S12),0,1))</f>
        <v>0</v>
      </c>
      <c r="AR12" s="93">
        <f>IF(Validation!$H$3=1,0,IF(ISNUMBER(T12),0,1))</f>
        <v>0</v>
      </c>
      <c r="AS12" s="93">
        <f>IF(Validation!$H$3=1,0,IF(ISNUMBER(U12),0,1))</f>
        <v>0</v>
      </c>
      <c r="AT12" s="93">
        <f>IF(Validation!$H$3=1,0,IF(ISNUMBER(V12),0,1))</f>
        <v>0</v>
      </c>
      <c r="AU12" s="93">
        <f>IF(Validation!$H$3=1,0,IF(ISNUMBER(W12),0,1))</f>
        <v>0</v>
      </c>
      <c r="AV12" s="71"/>
      <c r="AW12" s="1882"/>
      <c r="AY12" s="1882"/>
      <c r="AZ12" s="1882"/>
      <c r="BA12" s="1882"/>
      <c r="BC12" s="1882"/>
      <c r="BD12" s="977" t="s">
        <v>5092</v>
      </c>
      <c r="BE12" s="2683" t="s">
        <v>5093</v>
      </c>
      <c r="BF12" s="2683"/>
      <c r="BG12" s="1881" t="s">
        <v>49</v>
      </c>
      <c r="BH12" s="978">
        <v>3</v>
      </c>
      <c r="BI12" s="2714" t="s">
        <v>5094</v>
      </c>
      <c r="BJ12" s="2715" t="s">
        <v>5095</v>
      </c>
      <c r="BK12" s="2716" t="s">
        <v>5096</v>
      </c>
      <c r="BL12" s="2717" t="s">
        <v>5097</v>
      </c>
      <c r="BM12" s="2715" t="s">
        <v>5098</v>
      </c>
      <c r="BN12" s="2715" t="s">
        <v>5099</v>
      </c>
      <c r="BO12" s="2718" t="s">
        <v>5100</v>
      </c>
      <c r="BP12" s="2716" t="s">
        <v>5101</v>
      </c>
      <c r="BQ12" s="1970" t="s">
        <v>5102</v>
      </c>
      <c r="BR12" s="2719" t="s">
        <v>5103</v>
      </c>
      <c r="BS12" s="2715" t="s">
        <v>5104</v>
      </c>
      <c r="BT12" s="2716" t="s">
        <v>5105</v>
      </c>
      <c r="BU12" s="2717" t="s">
        <v>5106</v>
      </c>
      <c r="BV12" s="2715" t="s">
        <v>5107</v>
      </c>
      <c r="BW12" s="2715" t="s">
        <v>5108</v>
      </c>
      <c r="BX12" s="2718" t="s">
        <v>5109</v>
      </c>
      <c r="BY12" s="2716" t="s">
        <v>5110</v>
      </c>
      <c r="BZ12" s="1970" t="s">
        <v>5111</v>
      </c>
    </row>
    <row r="13" spans="1:78" ht="16">
      <c r="A13" s="966"/>
      <c r="B13" s="977" t="s">
        <v>5112</v>
      </c>
      <c r="C13" s="981" t="s">
        <v>5113</v>
      </c>
      <c r="D13" s="981"/>
      <c r="E13" s="1881" t="s">
        <v>49</v>
      </c>
      <c r="F13" s="978">
        <v>3</v>
      </c>
      <c r="G13" s="1061"/>
      <c r="H13" s="1425"/>
      <c r="I13" s="1431"/>
      <c r="J13" s="1034"/>
      <c r="K13" s="1431"/>
      <c r="L13" s="1546"/>
      <c r="M13" s="1428"/>
      <c r="N13" s="1431"/>
      <c r="O13" s="241">
        <f t="shared" si="0"/>
        <v>0</v>
      </c>
      <c r="P13" s="1061"/>
      <c r="Q13" s="1425"/>
      <c r="R13" s="1431"/>
      <c r="S13" s="1034"/>
      <c r="T13" s="1431"/>
      <c r="U13" s="1546"/>
      <c r="V13" s="1428"/>
      <c r="W13" s="1431"/>
      <c r="X13" s="241">
        <f t="shared" si="1"/>
        <v>0</v>
      </c>
      <c r="Y13" s="1730"/>
      <c r="Z13" s="1882"/>
      <c r="AA13" s="868">
        <f t="shared" si="2"/>
        <v>0</v>
      </c>
      <c r="AB13" s="192"/>
      <c r="AC13" s="71"/>
      <c r="AD13" s="192"/>
      <c r="AE13" s="93">
        <f>IF(Validation!$H$3=1,0,IF(ISNUMBER(G13),0,1))</f>
        <v>0</v>
      </c>
      <c r="AF13" s="93">
        <f>IF(Validation!$H$3=1,0,IF(ISNUMBER(H13),0,1))</f>
        <v>0</v>
      </c>
      <c r="AG13" s="93">
        <f>IF(Validation!$H$3=1,0,IF(ISNUMBER(I13),0,1))</f>
        <v>0</v>
      </c>
      <c r="AH13" s="93">
        <f>IF(Validation!$H$3=1,0,IF(ISNUMBER(J13),0,1))</f>
        <v>0</v>
      </c>
      <c r="AI13" s="93">
        <f>IF(Validation!$H$3=1,0,IF(ISNUMBER(K13),0,1))</f>
        <v>0</v>
      </c>
      <c r="AJ13" s="93">
        <f>IF(Validation!$H$3=1,0,IF(ISNUMBER(L13),0,1))</f>
        <v>0</v>
      </c>
      <c r="AK13" s="93">
        <f>IF(Validation!$H$3=1,0,IF(ISNUMBER(M13),0,1))</f>
        <v>0</v>
      </c>
      <c r="AL13" s="93">
        <f>IF(Validation!$H$3=1,0,IF(ISNUMBER(N13),0,1))</f>
        <v>0</v>
      </c>
      <c r="AM13" s="127"/>
      <c r="AN13" s="93">
        <f>IF(Validation!$H$3=1,0,IF(ISNUMBER(P13),0,1))</f>
        <v>0</v>
      </c>
      <c r="AO13" s="93">
        <f>IF(Validation!$H$3=1,0,IF(ISNUMBER(Q13),0,1))</f>
        <v>0</v>
      </c>
      <c r="AP13" s="93">
        <f>IF(Validation!$H$3=1,0,IF(ISNUMBER(R13),0,1))</f>
        <v>0</v>
      </c>
      <c r="AQ13" s="93">
        <f>IF(Validation!$H$3=1,0,IF(ISNUMBER(S13),0,1))</f>
        <v>0</v>
      </c>
      <c r="AR13" s="93">
        <f>IF(Validation!$H$3=1,0,IF(ISNUMBER(T13),0,1))</f>
        <v>0</v>
      </c>
      <c r="AS13" s="93">
        <f>IF(Validation!$H$3=1,0,IF(ISNUMBER(U13),0,1))</f>
        <v>0</v>
      </c>
      <c r="AT13" s="93">
        <f>IF(Validation!$H$3=1,0,IF(ISNUMBER(V13),0,1))</f>
        <v>0</v>
      </c>
      <c r="AU13" s="93">
        <f>IF(Validation!$H$3=1,0,IF(ISNUMBER(W13),0,1))</f>
        <v>0</v>
      </c>
      <c r="AV13" s="71"/>
      <c r="AW13" s="1882"/>
      <c r="AY13" s="1882"/>
      <c r="AZ13" s="1882"/>
      <c r="BA13" s="1882"/>
      <c r="BC13" s="1882"/>
      <c r="BD13" s="977" t="s">
        <v>5112</v>
      </c>
      <c r="BE13" s="2683" t="s">
        <v>5113</v>
      </c>
      <c r="BF13" s="2683"/>
      <c r="BG13" s="1881" t="s">
        <v>49</v>
      </c>
      <c r="BH13" s="978">
        <v>3</v>
      </c>
      <c r="BI13" s="2714" t="s">
        <v>5114</v>
      </c>
      <c r="BJ13" s="2715" t="s">
        <v>5115</v>
      </c>
      <c r="BK13" s="2716" t="s">
        <v>5116</v>
      </c>
      <c r="BL13" s="2717" t="s">
        <v>5117</v>
      </c>
      <c r="BM13" s="2715" t="s">
        <v>5118</v>
      </c>
      <c r="BN13" s="2715" t="s">
        <v>5119</v>
      </c>
      <c r="BO13" s="2718" t="s">
        <v>5120</v>
      </c>
      <c r="BP13" s="2716" t="s">
        <v>5121</v>
      </c>
      <c r="BQ13" s="1970" t="s">
        <v>5122</v>
      </c>
      <c r="BR13" s="2719" t="s">
        <v>5123</v>
      </c>
      <c r="BS13" s="2715" t="s">
        <v>5124</v>
      </c>
      <c r="BT13" s="2716" t="s">
        <v>5125</v>
      </c>
      <c r="BU13" s="2717" t="s">
        <v>5126</v>
      </c>
      <c r="BV13" s="2715" t="s">
        <v>5127</v>
      </c>
      <c r="BW13" s="2715" t="s">
        <v>5128</v>
      </c>
      <c r="BX13" s="2718" t="s">
        <v>5129</v>
      </c>
      <c r="BY13" s="2716" t="s">
        <v>5130</v>
      </c>
      <c r="BZ13" s="1970" t="s">
        <v>5131</v>
      </c>
    </row>
    <row r="14" spans="1:78" ht="16">
      <c r="A14" s="966"/>
      <c r="B14" s="977" t="s">
        <v>5132</v>
      </c>
      <c r="C14" s="981" t="s">
        <v>5133</v>
      </c>
      <c r="D14" s="981"/>
      <c r="E14" s="1881" t="s">
        <v>49</v>
      </c>
      <c r="F14" s="978">
        <v>3</v>
      </c>
      <c r="G14" s="1061"/>
      <c r="H14" s="1425"/>
      <c r="I14" s="1431"/>
      <c r="J14" s="1034"/>
      <c r="K14" s="1431"/>
      <c r="L14" s="1546"/>
      <c r="M14" s="1428"/>
      <c r="N14" s="1431"/>
      <c r="O14" s="241">
        <f t="shared" si="0"/>
        <v>0</v>
      </c>
      <c r="P14" s="1061"/>
      <c r="Q14" s="1425"/>
      <c r="R14" s="1431"/>
      <c r="S14" s="1034"/>
      <c r="T14" s="1431"/>
      <c r="U14" s="1546"/>
      <c r="V14" s="1428"/>
      <c r="W14" s="1431"/>
      <c r="X14" s="241">
        <f t="shared" si="1"/>
        <v>0</v>
      </c>
      <c r="Y14" s="1730"/>
      <c r="Z14" s="1882"/>
      <c r="AA14" s="868">
        <f t="shared" si="2"/>
        <v>0</v>
      </c>
      <c r="AB14" s="192"/>
      <c r="AC14" s="71"/>
      <c r="AD14" s="192"/>
      <c r="AE14" s="93">
        <f>IF(Validation!$H$3=1,0,IF(ISNUMBER(G14),0,1))</f>
        <v>0</v>
      </c>
      <c r="AF14" s="93">
        <f>IF(Validation!$H$3=1,0,IF(ISNUMBER(H14),0,1))</f>
        <v>0</v>
      </c>
      <c r="AG14" s="93">
        <f>IF(Validation!$H$3=1,0,IF(ISNUMBER(I14),0,1))</f>
        <v>0</v>
      </c>
      <c r="AH14" s="93">
        <f>IF(Validation!$H$3=1,0,IF(ISNUMBER(J14),0,1))</f>
        <v>0</v>
      </c>
      <c r="AI14" s="93">
        <f>IF(Validation!$H$3=1,0,IF(ISNUMBER(K14),0,1))</f>
        <v>0</v>
      </c>
      <c r="AJ14" s="93">
        <f>IF(Validation!$H$3=1,0,IF(ISNUMBER(L14),0,1))</f>
        <v>0</v>
      </c>
      <c r="AK14" s="93">
        <f>IF(Validation!$H$3=1,0,IF(ISNUMBER(M14),0,1))</f>
        <v>0</v>
      </c>
      <c r="AL14" s="93">
        <f>IF(Validation!$H$3=1,0,IF(ISNUMBER(N14),0,1))</f>
        <v>0</v>
      </c>
      <c r="AM14" s="127"/>
      <c r="AN14" s="93">
        <f>IF(Validation!$H$3=1,0,IF(ISNUMBER(P14),0,1))</f>
        <v>0</v>
      </c>
      <c r="AO14" s="93">
        <f>IF(Validation!$H$3=1,0,IF(ISNUMBER(Q14),0,1))</f>
        <v>0</v>
      </c>
      <c r="AP14" s="93">
        <f>IF(Validation!$H$3=1,0,IF(ISNUMBER(R14),0,1))</f>
        <v>0</v>
      </c>
      <c r="AQ14" s="93">
        <f>IF(Validation!$H$3=1,0,IF(ISNUMBER(S14),0,1))</f>
        <v>0</v>
      </c>
      <c r="AR14" s="93">
        <f>IF(Validation!$H$3=1,0,IF(ISNUMBER(T14),0,1))</f>
        <v>0</v>
      </c>
      <c r="AS14" s="93">
        <f>IF(Validation!$H$3=1,0,IF(ISNUMBER(U14),0,1))</f>
        <v>0</v>
      </c>
      <c r="AT14" s="93">
        <f>IF(Validation!$H$3=1,0,IF(ISNUMBER(V14),0,1))</f>
        <v>0</v>
      </c>
      <c r="AU14" s="93">
        <f>IF(Validation!$H$3=1,0,IF(ISNUMBER(W14),0,1))</f>
        <v>0</v>
      </c>
      <c r="AV14" s="71"/>
      <c r="AW14" s="1882"/>
      <c r="AY14" s="1882"/>
      <c r="AZ14" s="1882"/>
      <c r="BA14" s="1882"/>
      <c r="BC14" s="1882"/>
      <c r="BD14" s="977" t="s">
        <v>5132</v>
      </c>
      <c r="BE14" s="2683" t="s">
        <v>5133</v>
      </c>
      <c r="BF14" s="2683"/>
      <c r="BG14" s="1881" t="s">
        <v>49</v>
      </c>
      <c r="BH14" s="978">
        <v>3</v>
      </c>
      <c r="BI14" s="2714" t="s">
        <v>5134</v>
      </c>
      <c r="BJ14" s="2715" t="s">
        <v>5135</v>
      </c>
      <c r="BK14" s="2716" t="s">
        <v>5136</v>
      </c>
      <c r="BL14" s="2717" t="s">
        <v>5137</v>
      </c>
      <c r="BM14" s="2715" t="s">
        <v>5138</v>
      </c>
      <c r="BN14" s="2715" t="s">
        <v>5139</v>
      </c>
      <c r="BO14" s="2718" t="s">
        <v>5140</v>
      </c>
      <c r="BP14" s="2716" t="s">
        <v>5141</v>
      </c>
      <c r="BQ14" s="1970" t="s">
        <v>5142</v>
      </c>
      <c r="BR14" s="2719" t="s">
        <v>5143</v>
      </c>
      <c r="BS14" s="2715" t="s">
        <v>5144</v>
      </c>
      <c r="BT14" s="2716" t="s">
        <v>5145</v>
      </c>
      <c r="BU14" s="2717" t="s">
        <v>5146</v>
      </c>
      <c r="BV14" s="2715" t="s">
        <v>5147</v>
      </c>
      <c r="BW14" s="2715" t="s">
        <v>5148</v>
      </c>
      <c r="BX14" s="2718" t="s">
        <v>5149</v>
      </c>
      <c r="BY14" s="2716" t="s">
        <v>5150</v>
      </c>
      <c r="BZ14" s="1970" t="s">
        <v>5151</v>
      </c>
    </row>
    <row r="15" spans="1:78" ht="16">
      <c r="A15" s="966"/>
      <c r="B15" s="977" t="s">
        <v>5152</v>
      </c>
      <c r="C15" s="981" t="s">
        <v>5153</v>
      </c>
      <c r="D15" s="981"/>
      <c r="E15" s="1881" t="s">
        <v>49</v>
      </c>
      <c r="F15" s="978">
        <v>3</v>
      </c>
      <c r="G15" s="1061"/>
      <c r="H15" s="1425"/>
      <c r="I15" s="1431"/>
      <c r="J15" s="1034"/>
      <c r="K15" s="1431"/>
      <c r="L15" s="1546"/>
      <c r="M15" s="1428"/>
      <c r="N15" s="1431"/>
      <c r="O15" s="241">
        <f t="shared" si="0"/>
        <v>0</v>
      </c>
      <c r="P15" s="1061"/>
      <c r="Q15" s="1425"/>
      <c r="R15" s="1431"/>
      <c r="S15" s="1034"/>
      <c r="T15" s="1431"/>
      <c r="U15" s="1546"/>
      <c r="V15" s="1428"/>
      <c r="W15" s="1431"/>
      <c r="X15" s="241">
        <f t="shared" si="1"/>
        <v>0</v>
      </c>
      <c r="Y15" s="1730"/>
      <c r="Z15" s="1882"/>
      <c r="AA15" s="868">
        <f t="shared" si="2"/>
        <v>0</v>
      </c>
      <c r="AB15" s="192"/>
      <c r="AC15" s="71"/>
      <c r="AD15" s="192"/>
      <c r="AE15" s="93">
        <f>IF(Validation!$H$3=1,0,IF(ISNUMBER(G15),0,1))</f>
        <v>0</v>
      </c>
      <c r="AF15" s="93">
        <f>IF(Validation!$H$3=1,0,IF(ISNUMBER(H15),0,1))</f>
        <v>0</v>
      </c>
      <c r="AG15" s="93">
        <f>IF(Validation!$H$3=1,0,IF(ISNUMBER(I15),0,1))</f>
        <v>0</v>
      </c>
      <c r="AH15" s="93">
        <f>IF(Validation!$H$3=1,0,IF(ISNUMBER(J15),0,1))</f>
        <v>0</v>
      </c>
      <c r="AI15" s="93">
        <f>IF(Validation!$H$3=1,0,IF(ISNUMBER(K15),0,1))</f>
        <v>0</v>
      </c>
      <c r="AJ15" s="93">
        <f>IF(Validation!$H$3=1,0,IF(ISNUMBER(L15),0,1))</f>
        <v>0</v>
      </c>
      <c r="AK15" s="93">
        <f>IF(Validation!$H$3=1,0,IF(ISNUMBER(M15),0,1))</f>
        <v>0</v>
      </c>
      <c r="AL15" s="93">
        <f>IF(Validation!$H$3=1,0,IF(ISNUMBER(N15),0,1))</f>
        <v>0</v>
      </c>
      <c r="AM15" s="127"/>
      <c r="AN15" s="93">
        <f>IF(Validation!$H$3=1,0,IF(ISNUMBER(P15),0,1))</f>
        <v>0</v>
      </c>
      <c r="AO15" s="93">
        <f>IF(Validation!$H$3=1,0,IF(ISNUMBER(Q15),0,1))</f>
        <v>0</v>
      </c>
      <c r="AP15" s="93">
        <f>IF(Validation!$H$3=1,0,IF(ISNUMBER(R15),0,1))</f>
        <v>0</v>
      </c>
      <c r="AQ15" s="93">
        <f>IF(Validation!$H$3=1,0,IF(ISNUMBER(S15),0,1))</f>
        <v>0</v>
      </c>
      <c r="AR15" s="93">
        <f>IF(Validation!$H$3=1,0,IF(ISNUMBER(T15),0,1))</f>
        <v>0</v>
      </c>
      <c r="AS15" s="93">
        <f>IF(Validation!$H$3=1,0,IF(ISNUMBER(U15),0,1))</f>
        <v>0</v>
      </c>
      <c r="AT15" s="93">
        <f>IF(Validation!$H$3=1,0,IF(ISNUMBER(V15),0,1))</f>
        <v>0</v>
      </c>
      <c r="AU15" s="93">
        <f>IF(Validation!$H$3=1,0,IF(ISNUMBER(W15),0,1))</f>
        <v>0</v>
      </c>
      <c r="AV15" s="71"/>
      <c r="AW15" s="1882"/>
      <c r="AY15" s="1882"/>
      <c r="AZ15" s="1882"/>
      <c r="BA15" s="1882"/>
      <c r="BC15" s="1882"/>
      <c r="BD15" s="977" t="s">
        <v>5152</v>
      </c>
      <c r="BE15" s="2683" t="s">
        <v>5153</v>
      </c>
      <c r="BF15" s="2683"/>
      <c r="BG15" s="1881" t="s">
        <v>49</v>
      </c>
      <c r="BH15" s="978">
        <v>3</v>
      </c>
      <c r="BI15" s="2714" t="s">
        <v>5154</v>
      </c>
      <c r="BJ15" s="2715" t="s">
        <v>5155</v>
      </c>
      <c r="BK15" s="2716" t="s">
        <v>5156</v>
      </c>
      <c r="BL15" s="2717" t="s">
        <v>5157</v>
      </c>
      <c r="BM15" s="2715" t="s">
        <v>5158</v>
      </c>
      <c r="BN15" s="2715" t="s">
        <v>5159</v>
      </c>
      <c r="BO15" s="2718" t="s">
        <v>5160</v>
      </c>
      <c r="BP15" s="2716" t="s">
        <v>5161</v>
      </c>
      <c r="BQ15" s="1970" t="s">
        <v>5162</v>
      </c>
      <c r="BR15" s="2719" t="s">
        <v>5163</v>
      </c>
      <c r="BS15" s="2715" t="s">
        <v>5164</v>
      </c>
      <c r="BT15" s="2716" t="s">
        <v>5165</v>
      </c>
      <c r="BU15" s="2717" t="s">
        <v>5166</v>
      </c>
      <c r="BV15" s="2715" t="s">
        <v>5167</v>
      </c>
      <c r="BW15" s="2715" t="s">
        <v>5168</v>
      </c>
      <c r="BX15" s="2718" t="s">
        <v>5169</v>
      </c>
      <c r="BY15" s="2716" t="s">
        <v>5170</v>
      </c>
      <c r="BZ15" s="1970" t="s">
        <v>5171</v>
      </c>
    </row>
    <row r="16" spans="1:78" ht="16">
      <c r="A16" s="966"/>
      <c r="B16" s="977" t="s">
        <v>5172</v>
      </c>
      <c r="C16" s="981" t="s">
        <v>5173</v>
      </c>
      <c r="D16" s="981"/>
      <c r="E16" s="1881" t="s">
        <v>49</v>
      </c>
      <c r="F16" s="978">
        <v>3</v>
      </c>
      <c r="G16" s="1061"/>
      <c r="H16" s="1425"/>
      <c r="I16" s="1431"/>
      <c r="J16" s="1034"/>
      <c r="K16" s="1431"/>
      <c r="L16" s="1546"/>
      <c r="M16" s="1428"/>
      <c r="N16" s="1431"/>
      <c r="O16" s="241">
        <f t="shared" si="0"/>
        <v>0</v>
      </c>
      <c r="P16" s="1061"/>
      <c r="Q16" s="1425"/>
      <c r="R16" s="1431"/>
      <c r="S16" s="1034"/>
      <c r="T16" s="1431"/>
      <c r="U16" s="1546"/>
      <c r="V16" s="1428"/>
      <c r="W16" s="1431"/>
      <c r="X16" s="241">
        <f t="shared" si="1"/>
        <v>0</v>
      </c>
      <c r="Y16" s="1730"/>
      <c r="Z16" s="1882"/>
      <c r="AA16" s="868">
        <f t="shared" si="2"/>
        <v>0</v>
      </c>
      <c r="AB16" s="192"/>
      <c r="AC16" s="71"/>
      <c r="AD16" s="192"/>
      <c r="AE16" s="93">
        <f>IF(Validation!$H$3=1,0,IF(ISNUMBER(G16),0,1))</f>
        <v>0</v>
      </c>
      <c r="AF16" s="93">
        <f>IF(Validation!$H$3=1,0,IF(ISNUMBER(H16),0,1))</f>
        <v>0</v>
      </c>
      <c r="AG16" s="93">
        <f>IF(Validation!$H$3=1,0,IF(ISNUMBER(I16),0,1))</f>
        <v>0</v>
      </c>
      <c r="AH16" s="93">
        <f>IF(Validation!$H$3=1,0,IF(ISNUMBER(J16),0,1))</f>
        <v>0</v>
      </c>
      <c r="AI16" s="93">
        <f>IF(Validation!$H$3=1,0,IF(ISNUMBER(K16),0,1))</f>
        <v>0</v>
      </c>
      <c r="AJ16" s="93">
        <f>IF(Validation!$H$3=1,0,IF(ISNUMBER(L16),0,1))</f>
        <v>0</v>
      </c>
      <c r="AK16" s="93">
        <f>IF(Validation!$H$3=1,0,IF(ISNUMBER(M16),0,1))</f>
        <v>0</v>
      </c>
      <c r="AL16" s="93">
        <f>IF(Validation!$H$3=1,0,IF(ISNUMBER(N16),0,1))</f>
        <v>0</v>
      </c>
      <c r="AM16" s="127"/>
      <c r="AN16" s="93">
        <f>IF(Validation!$H$3=1,0,IF(ISNUMBER(P16),0,1))</f>
        <v>0</v>
      </c>
      <c r="AO16" s="93">
        <f>IF(Validation!$H$3=1,0,IF(ISNUMBER(Q16),0,1))</f>
        <v>0</v>
      </c>
      <c r="AP16" s="93">
        <f>IF(Validation!$H$3=1,0,IF(ISNUMBER(R16),0,1))</f>
        <v>0</v>
      </c>
      <c r="AQ16" s="93">
        <f>IF(Validation!$H$3=1,0,IF(ISNUMBER(S16),0,1))</f>
        <v>0</v>
      </c>
      <c r="AR16" s="93">
        <f>IF(Validation!$H$3=1,0,IF(ISNUMBER(T16),0,1))</f>
        <v>0</v>
      </c>
      <c r="AS16" s="93">
        <f>IF(Validation!$H$3=1,0,IF(ISNUMBER(U16),0,1))</f>
        <v>0</v>
      </c>
      <c r="AT16" s="93">
        <f>IF(Validation!$H$3=1,0,IF(ISNUMBER(V16),0,1))</f>
        <v>0</v>
      </c>
      <c r="AU16" s="93">
        <f>IF(Validation!$H$3=1,0,IF(ISNUMBER(W16),0,1))</f>
        <v>0</v>
      </c>
      <c r="AV16" s="71"/>
      <c r="AW16" s="1882"/>
      <c r="AY16" s="1882"/>
      <c r="AZ16" s="1882"/>
      <c r="BA16" s="1882"/>
      <c r="BC16" s="1882"/>
      <c r="BD16" s="977" t="s">
        <v>5172</v>
      </c>
      <c r="BE16" s="2683" t="s">
        <v>5173</v>
      </c>
      <c r="BF16" s="2683"/>
      <c r="BG16" s="1881" t="s">
        <v>49</v>
      </c>
      <c r="BH16" s="978">
        <v>3</v>
      </c>
      <c r="BI16" s="2714" t="s">
        <v>5174</v>
      </c>
      <c r="BJ16" s="2715" t="s">
        <v>5175</v>
      </c>
      <c r="BK16" s="2716" t="s">
        <v>5176</v>
      </c>
      <c r="BL16" s="2717" t="s">
        <v>5177</v>
      </c>
      <c r="BM16" s="2715" t="s">
        <v>5178</v>
      </c>
      <c r="BN16" s="2715" t="s">
        <v>5179</v>
      </c>
      <c r="BO16" s="2718" t="s">
        <v>5180</v>
      </c>
      <c r="BP16" s="2716" t="s">
        <v>5181</v>
      </c>
      <c r="BQ16" s="1970" t="s">
        <v>5182</v>
      </c>
      <c r="BR16" s="2719" t="s">
        <v>5183</v>
      </c>
      <c r="BS16" s="2715" t="s">
        <v>5184</v>
      </c>
      <c r="BT16" s="2716" t="s">
        <v>5185</v>
      </c>
      <c r="BU16" s="2717" t="s">
        <v>5186</v>
      </c>
      <c r="BV16" s="2715" t="s">
        <v>5187</v>
      </c>
      <c r="BW16" s="2715" t="s">
        <v>5188</v>
      </c>
      <c r="BX16" s="2718" t="s">
        <v>5189</v>
      </c>
      <c r="BY16" s="2716" t="s">
        <v>5190</v>
      </c>
      <c r="BZ16" s="1970" t="s">
        <v>5191</v>
      </c>
    </row>
    <row r="17" spans="1:78" ht="16">
      <c r="A17" s="966"/>
      <c r="B17" s="977" t="s">
        <v>5192</v>
      </c>
      <c r="C17" s="981" t="s">
        <v>5193</v>
      </c>
      <c r="D17" s="981"/>
      <c r="E17" s="1881" t="s">
        <v>49</v>
      </c>
      <c r="F17" s="978">
        <v>3</v>
      </c>
      <c r="G17" s="1061"/>
      <c r="H17" s="1425"/>
      <c r="I17" s="1431"/>
      <c r="J17" s="1034"/>
      <c r="K17" s="1431"/>
      <c r="L17" s="1546"/>
      <c r="M17" s="1428"/>
      <c r="N17" s="1431"/>
      <c r="O17" s="241">
        <f t="shared" si="0"/>
        <v>0</v>
      </c>
      <c r="P17" s="1061"/>
      <c r="Q17" s="1425"/>
      <c r="R17" s="1431"/>
      <c r="S17" s="1034"/>
      <c r="T17" s="1431"/>
      <c r="U17" s="1546"/>
      <c r="V17" s="1428"/>
      <c r="W17" s="1431"/>
      <c r="X17" s="241">
        <f t="shared" si="1"/>
        <v>0</v>
      </c>
      <c r="Y17" s="1730"/>
      <c r="Z17" s="1882"/>
      <c r="AA17" s="868">
        <f t="shared" si="2"/>
        <v>0</v>
      </c>
      <c r="AB17" s="192"/>
      <c r="AC17" s="71"/>
      <c r="AD17" s="192"/>
      <c r="AE17" s="93">
        <f>IF(Validation!$H$3=1,0,IF(ISNUMBER(G17),0,1))</f>
        <v>0</v>
      </c>
      <c r="AF17" s="93">
        <f>IF(Validation!$H$3=1,0,IF(ISNUMBER(H17),0,1))</f>
        <v>0</v>
      </c>
      <c r="AG17" s="93">
        <f>IF(Validation!$H$3=1,0,IF(ISNUMBER(I17),0,1))</f>
        <v>0</v>
      </c>
      <c r="AH17" s="93">
        <f>IF(Validation!$H$3=1,0,IF(ISNUMBER(J17),0,1))</f>
        <v>0</v>
      </c>
      <c r="AI17" s="93">
        <f>IF(Validation!$H$3=1,0,IF(ISNUMBER(K17),0,1))</f>
        <v>0</v>
      </c>
      <c r="AJ17" s="93">
        <f>IF(Validation!$H$3=1,0,IF(ISNUMBER(L17),0,1))</f>
        <v>0</v>
      </c>
      <c r="AK17" s="93">
        <f>IF(Validation!$H$3=1,0,IF(ISNUMBER(M17),0,1))</f>
        <v>0</v>
      </c>
      <c r="AL17" s="93">
        <f>IF(Validation!$H$3=1,0,IF(ISNUMBER(N17),0,1))</f>
        <v>0</v>
      </c>
      <c r="AM17" s="127"/>
      <c r="AN17" s="93">
        <f>IF(Validation!$H$3=1,0,IF(ISNUMBER(P17),0,1))</f>
        <v>0</v>
      </c>
      <c r="AO17" s="93">
        <f>IF(Validation!$H$3=1,0,IF(ISNUMBER(Q17),0,1))</f>
        <v>0</v>
      </c>
      <c r="AP17" s="93">
        <f>IF(Validation!$H$3=1,0,IF(ISNUMBER(R17),0,1))</f>
        <v>0</v>
      </c>
      <c r="AQ17" s="93">
        <f>IF(Validation!$H$3=1,0,IF(ISNUMBER(S17),0,1))</f>
        <v>0</v>
      </c>
      <c r="AR17" s="93">
        <f>IF(Validation!$H$3=1,0,IF(ISNUMBER(T17),0,1))</f>
        <v>0</v>
      </c>
      <c r="AS17" s="93">
        <f>IF(Validation!$H$3=1,0,IF(ISNUMBER(U17),0,1))</f>
        <v>0</v>
      </c>
      <c r="AT17" s="93">
        <f>IF(Validation!$H$3=1,0,IF(ISNUMBER(V17),0,1))</f>
        <v>0</v>
      </c>
      <c r="AU17" s="93">
        <f>IF(Validation!$H$3=1,0,IF(ISNUMBER(W17),0,1))</f>
        <v>0</v>
      </c>
      <c r="AV17" s="71"/>
      <c r="AW17" s="1882"/>
      <c r="AY17" s="1882"/>
      <c r="AZ17" s="1882"/>
      <c r="BA17" s="1882"/>
      <c r="BC17" s="1882"/>
      <c r="BD17" s="977" t="s">
        <v>5192</v>
      </c>
      <c r="BE17" s="2683" t="s">
        <v>5193</v>
      </c>
      <c r="BF17" s="2683"/>
      <c r="BG17" s="1881" t="s">
        <v>49</v>
      </c>
      <c r="BH17" s="978">
        <v>3</v>
      </c>
      <c r="BI17" s="2714" t="s">
        <v>5194</v>
      </c>
      <c r="BJ17" s="2715" t="s">
        <v>5195</v>
      </c>
      <c r="BK17" s="2716" t="s">
        <v>5196</v>
      </c>
      <c r="BL17" s="2717" t="s">
        <v>5197</v>
      </c>
      <c r="BM17" s="2715" t="s">
        <v>5198</v>
      </c>
      <c r="BN17" s="2715" t="s">
        <v>5199</v>
      </c>
      <c r="BO17" s="2718" t="s">
        <v>5200</v>
      </c>
      <c r="BP17" s="2716" t="s">
        <v>5201</v>
      </c>
      <c r="BQ17" s="1970" t="s">
        <v>5202</v>
      </c>
      <c r="BR17" s="2719" t="s">
        <v>5203</v>
      </c>
      <c r="BS17" s="2715" t="s">
        <v>5204</v>
      </c>
      <c r="BT17" s="2716" t="s">
        <v>5205</v>
      </c>
      <c r="BU17" s="2717" t="s">
        <v>5206</v>
      </c>
      <c r="BV17" s="2715" t="s">
        <v>5207</v>
      </c>
      <c r="BW17" s="2715" t="s">
        <v>5208</v>
      </c>
      <c r="BX17" s="2718" t="s">
        <v>5209</v>
      </c>
      <c r="BY17" s="2716" t="s">
        <v>5210</v>
      </c>
      <c r="BZ17" s="1970" t="s">
        <v>5211</v>
      </c>
    </row>
    <row r="18" spans="1:78" ht="16">
      <c r="A18" s="966"/>
      <c r="B18" s="977" t="s">
        <v>5212</v>
      </c>
      <c r="C18" s="981" t="s">
        <v>5213</v>
      </c>
      <c r="D18" s="981"/>
      <c r="E18" s="1881" t="s">
        <v>49</v>
      </c>
      <c r="F18" s="978">
        <v>3</v>
      </c>
      <c r="G18" s="1061"/>
      <c r="H18" s="1425"/>
      <c r="I18" s="1431"/>
      <c r="J18" s="1034"/>
      <c r="K18" s="1431"/>
      <c r="L18" s="1546"/>
      <c r="M18" s="1428"/>
      <c r="N18" s="1431"/>
      <c r="O18" s="241">
        <f t="shared" si="0"/>
        <v>0</v>
      </c>
      <c r="P18" s="1061"/>
      <c r="Q18" s="1425"/>
      <c r="R18" s="1431"/>
      <c r="S18" s="1034"/>
      <c r="T18" s="1431"/>
      <c r="U18" s="1546"/>
      <c r="V18" s="1428"/>
      <c r="W18" s="1431"/>
      <c r="X18" s="241">
        <f t="shared" si="1"/>
        <v>0</v>
      </c>
      <c r="Y18" s="1730"/>
      <c r="Z18" s="1882"/>
      <c r="AA18" s="868">
        <f t="shared" si="2"/>
        <v>0</v>
      </c>
      <c r="AB18" s="192"/>
      <c r="AC18" s="71"/>
      <c r="AD18" s="192"/>
      <c r="AE18" s="93">
        <f>IF(Validation!$H$3=1,0,IF(ISNUMBER(G18),0,1))</f>
        <v>0</v>
      </c>
      <c r="AF18" s="93">
        <f>IF(Validation!$H$3=1,0,IF(ISNUMBER(H18),0,1))</f>
        <v>0</v>
      </c>
      <c r="AG18" s="93">
        <f>IF(Validation!$H$3=1,0,IF(ISNUMBER(I18),0,1))</f>
        <v>0</v>
      </c>
      <c r="AH18" s="93">
        <f>IF(Validation!$H$3=1,0,IF(ISNUMBER(J18),0,1))</f>
        <v>0</v>
      </c>
      <c r="AI18" s="93">
        <f>IF(Validation!$H$3=1,0,IF(ISNUMBER(K18),0,1))</f>
        <v>0</v>
      </c>
      <c r="AJ18" s="93">
        <f>IF(Validation!$H$3=1,0,IF(ISNUMBER(L18),0,1))</f>
        <v>0</v>
      </c>
      <c r="AK18" s="93">
        <f>IF(Validation!$H$3=1,0,IF(ISNUMBER(M18),0,1))</f>
        <v>0</v>
      </c>
      <c r="AL18" s="93">
        <f>IF(Validation!$H$3=1,0,IF(ISNUMBER(N18),0,1))</f>
        <v>0</v>
      </c>
      <c r="AM18" s="127"/>
      <c r="AN18" s="93">
        <f>IF(Validation!$H$3=1,0,IF(ISNUMBER(P18),0,1))</f>
        <v>0</v>
      </c>
      <c r="AO18" s="93">
        <f>IF(Validation!$H$3=1,0,IF(ISNUMBER(Q18),0,1))</f>
        <v>0</v>
      </c>
      <c r="AP18" s="93">
        <f>IF(Validation!$H$3=1,0,IF(ISNUMBER(R18),0,1))</f>
        <v>0</v>
      </c>
      <c r="AQ18" s="93">
        <f>IF(Validation!$H$3=1,0,IF(ISNUMBER(S18),0,1))</f>
        <v>0</v>
      </c>
      <c r="AR18" s="93">
        <f>IF(Validation!$H$3=1,0,IF(ISNUMBER(T18),0,1))</f>
        <v>0</v>
      </c>
      <c r="AS18" s="93">
        <f>IF(Validation!$H$3=1,0,IF(ISNUMBER(U18),0,1))</f>
        <v>0</v>
      </c>
      <c r="AT18" s="93">
        <f>IF(Validation!$H$3=1,0,IF(ISNUMBER(V18),0,1))</f>
        <v>0</v>
      </c>
      <c r="AU18" s="93">
        <f>IF(Validation!$H$3=1,0,IF(ISNUMBER(W18),0,1))</f>
        <v>0</v>
      </c>
      <c r="AV18" s="71"/>
      <c r="AW18" s="1882"/>
      <c r="AY18" s="1882"/>
      <c r="AZ18" s="1882"/>
      <c r="BA18" s="1882"/>
      <c r="BC18" s="1882"/>
      <c r="BD18" s="977" t="s">
        <v>5212</v>
      </c>
      <c r="BE18" s="2683" t="s">
        <v>5213</v>
      </c>
      <c r="BF18" s="2683"/>
      <c r="BG18" s="1881" t="s">
        <v>49</v>
      </c>
      <c r="BH18" s="978">
        <v>3</v>
      </c>
      <c r="BI18" s="2714" t="s">
        <v>5214</v>
      </c>
      <c r="BJ18" s="2715" t="s">
        <v>5215</v>
      </c>
      <c r="BK18" s="2716" t="s">
        <v>5216</v>
      </c>
      <c r="BL18" s="2717" t="s">
        <v>5217</v>
      </c>
      <c r="BM18" s="2715" t="s">
        <v>5218</v>
      </c>
      <c r="BN18" s="2715" t="s">
        <v>5219</v>
      </c>
      <c r="BO18" s="2718" t="s">
        <v>5220</v>
      </c>
      <c r="BP18" s="2716" t="s">
        <v>5221</v>
      </c>
      <c r="BQ18" s="1970" t="s">
        <v>5222</v>
      </c>
      <c r="BR18" s="2719" t="s">
        <v>5223</v>
      </c>
      <c r="BS18" s="2715" t="s">
        <v>5224</v>
      </c>
      <c r="BT18" s="2716" t="s">
        <v>5225</v>
      </c>
      <c r="BU18" s="2717" t="s">
        <v>5226</v>
      </c>
      <c r="BV18" s="2715" t="s">
        <v>5227</v>
      </c>
      <c r="BW18" s="2715" t="s">
        <v>5228</v>
      </c>
      <c r="BX18" s="2718" t="s">
        <v>5229</v>
      </c>
      <c r="BY18" s="2716" t="s">
        <v>5230</v>
      </c>
      <c r="BZ18" s="1970" t="s">
        <v>5231</v>
      </c>
    </row>
    <row r="19" spans="1:78" ht="16">
      <c r="A19" s="966"/>
      <c r="B19" s="977" t="s">
        <v>5232</v>
      </c>
      <c r="C19" s="981" t="s">
        <v>5233</v>
      </c>
      <c r="D19" s="981"/>
      <c r="E19" s="1881" t="s">
        <v>49</v>
      </c>
      <c r="F19" s="978">
        <v>3</v>
      </c>
      <c r="G19" s="1061"/>
      <c r="H19" s="1425"/>
      <c r="I19" s="1431"/>
      <c r="J19" s="1034"/>
      <c r="K19" s="1431"/>
      <c r="L19" s="1546"/>
      <c r="M19" s="1428"/>
      <c r="N19" s="1431"/>
      <c r="O19" s="241">
        <f t="shared" si="0"/>
        <v>0</v>
      </c>
      <c r="P19" s="1061"/>
      <c r="Q19" s="1425"/>
      <c r="R19" s="1431"/>
      <c r="S19" s="1034"/>
      <c r="T19" s="1431"/>
      <c r="U19" s="1546"/>
      <c r="V19" s="1428"/>
      <c r="W19" s="1431"/>
      <c r="X19" s="241">
        <f t="shared" si="1"/>
        <v>0</v>
      </c>
      <c r="Y19" s="1730"/>
      <c r="Z19" s="1882"/>
      <c r="AA19" s="868">
        <f t="shared" si="2"/>
        <v>0</v>
      </c>
      <c r="AB19" s="192"/>
      <c r="AC19" s="71"/>
      <c r="AD19" s="192"/>
      <c r="AE19" s="93">
        <f>IF(Validation!$H$3=1,0,IF(ISNUMBER(G19),0,1))</f>
        <v>0</v>
      </c>
      <c r="AF19" s="93">
        <f>IF(Validation!$H$3=1,0,IF(ISNUMBER(H19),0,1))</f>
        <v>0</v>
      </c>
      <c r="AG19" s="93">
        <f>IF(Validation!$H$3=1,0,IF(ISNUMBER(I19),0,1))</f>
        <v>0</v>
      </c>
      <c r="AH19" s="93">
        <f>IF(Validation!$H$3=1,0,IF(ISNUMBER(J19),0,1))</f>
        <v>0</v>
      </c>
      <c r="AI19" s="93">
        <f>IF(Validation!$H$3=1,0,IF(ISNUMBER(K19),0,1))</f>
        <v>0</v>
      </c>
      <c r="AJ19" s="93">
        <f>IF(Validation!$H$3=1,0,IF(ISNUMBER(L19),0,1))</f>
        <v>0</v>
      </c>
      <c r="AK19" s="93">
        <f>IF(Validation!$H$3=1,0,IF(ISNUMBER(M19),0,1))</f>
        <v>0</v>
      </c>
      <c r="AL19" s="93">
        <f>IF(Validation!$H$3=1,0,IF(ISNUMBER(N19),0,1))</f>
        <v>0</v>
      </c>
      <c r="AM19" s="127"/>
      <c r="AN19" s="93">
        <f>IF(Validation!$H$3=1,0,IF(ISNUMBER(P19),0,1))</f>
        <v>0</v>
      </c>
      <c r="AO19" s="93">
        <f>IF(Validation!$H$3=1,0,IF(ISNUMBER(Q19),0,1))</f>
        <v>0</v>
      </c>
      <c r="AP19" s="93">
        <f>IF(Validation!$H$3=1,0,IF(ISNUMBER(R19),0,1))</f>
        <v>0</v>
      </c>
      <c r="AQ19" s="93">
        <f>IF(Validation!$H$3=1,0,IF(ISNUMBER(S19),0,1))</f>
        <v>0</v>
      </c>
      <c r="AR19" s="93">
        <f>IF(Validation!$H$3=1,0,IF(ISNUMBER(T19),0,1))</f>
        <v>0</v>
      </c>
      <c r="AS19" s="93">
        <f>IF(Validation!$H$3=1,0,IF(ISNUMBER(U19),0,1))</f>
        <v>0</v>
      </c>
      <c r="AT19" s="93">
        <f>IF(Validation!$H$3=1,0,IF(ISNUMBER(V19),0,1))</f>
        <v>0</v>
      </c>
      <c r="AU19" s="93">
        <f>IF(Validation!$H$3=1,0,IF(ISNUMBER(W19),0,1))</f>
        <v>0</v>
      </c>
      <c r="AV19" s="71"/>
      <c r="AW19" s="1882"/>
      <c r="AY19" s="1882"/>
      <c r="AZ19" s="1882"/>
      <c r="BA19" s="1882"/>
      <c r="BC19" s="1882"/>
      <c r="BD19" s="977" t="s">
        <v>5232</v>
      </c>
      <c r="BE19" s="2683" t="s">
        <v>5233</v>
      </c>
      <c r="BF19" s="2683"/>
      <c r="BG19" s="1881" t="s">
        <v>49</v>
      </c>
      <c r="BH19" s="978">
        <v>3</v>
      </c>
      <c r="BI19" s="2714" t="s">
        <v>5234</v>
      </c>
      <c r="BJ19" s="2715" t="s">
        <v>5235</v>
      </c>
      <c r="BK19" s="2716" t="s">
        <v>5236</v>
      </c>
      <c r="BL19" s="2717" t="s">
        <v>5237</v>
      </c>
      <c r="BM19" s="2715" t="s">
        <v>5238</v>
      </c>
      <c r="BN19" s="2715" t="s">
        <v>5239</v>
      </c>
      <c r="BO19" s="2718" t="s">
        <v>5240</v>
      </c>
      <c r="BP19" s="2716" t="s">
        <v>5241</v>
      </c>
      <c r="BQ19" s="1970" t="s">
        <v>5242</v>
      </c>
      <c r="BR19" s="2719" t="s">
        <v>5243</v>
      </c>
      <c r="BS19" s="2715" t="s">
        <v>5244</v>
      </c>
      <c r="BT19" s="2716" t="s">
        <v>5245</v>
      </c>
      <c r="BU19" s="2717" t="s">
        <v>5246</v>
      </c>
      <c r="BV19" s="2715" t="s">
        <v>5247</v>
      </c>
      <c r="BW19" s="2715" t="s">
        <v>5248</v>
      </c>
      <c r="BX19" s="2718" t="s">
        <v>5249</v>
      </c>
      <c r="BY19" s="2716" t="s">
        <v>5250</v>
      </c>
      <c r="BZ19" s="1970" t="s">
        <v>5251</v>
      </c>
    </row>
    <row r="20" spans="1:78" ht="16">
      <c r="A20" s="966"/>
      <c r="B20" s="977" t="s">
        <v>5252</v>
      </c>
      <c r="C20" s="981" t="s">
        <v>5253</v>
      </c>
      <c r="D20" s="981"/>
      <c r="E20" s="1881" t="s">
        <v>49</v>
      </c>
      <c r="F20" s="978">
        <v>3</v>
      </c>
      <c r="G20" s="1061"/>
      <c r="H20" s="1425"/>
      <c r="I20" s="1431"/>
      <c r="J20" s="1034"/>
      <c r="K20" s="1431"/>
      <c r="L20" s="1546"/>
      <c r="M20" s="1428"/>
      <c r="N20" s="1431"/>
      <c r="O20" s="241">
        <f t="shared" si="0"/>
        <v>0</v>
      </c>
      <c r="P20" s="1061"/>
      <c r="Q20" s="1425"/>
      <c r="R20" s="1431"/>
      <c r="S20" s="1034"/>
      <c r="T20" s="1431"/>
      <c r="U20" s="1546"/>
      <c r="V20" s="1428"/>
      <c r="W20" s="1431"/>
      <c r="X20" s="241">
        <f t="shared" si="1"/>
        <v>0</v>
      </c>
      <c r="Y20" s="1730"/>
      <c r="Z20" s="1882"/>
      <c r="AA20" s="868">
        <f t="shared" si="2"/>
        <v>0</v>
      </c>
      <c r="AB20" s="192"/>
      <c r="AC20" s="71"/>
      <c r="AD20" s="192"/>
      <c r="AE20" s="93">
        <f>IF(Validation!$H$3=1,0,IF(ISNUMBER(G20),0,1))</f>
        <v>0</v>
      </c>
      <c r="AF20" s="93">
        <f>IF(Validation!$H$3=1,0,IF(ISNUMBER(H20),0,1))</f>
        <v>0</v>
      </c>
      <c r="AG20" s="93">
        <f>IF(Validation!$H$3=1,0,IF(ISNUMBER(I20),0,1))</f>
        <v>0</v>
      </c>
      <c r="AH20" s="93">
        <f>IF(Validation!$H$3=1,0,IF(ISNUMBER(J20),0,1))</f>
        <v>0</v>
      </c>
      <c r="AI20" s="93">
        <f>IF(Validation!$H$3=1,0,IF(ISNUMBER(K20),0,1))</f>
        <v>0</v>
      </c>
      <c r="AJ20" s="93">
        <f>IF(Validation!$H$3=1,0,IF(ISNUMBER(L20),0,1))</f>
        <v>0</v>
      </c>
      <c r="AK20" s="93">
        <f>IF(Validation!$H$3=1,0,IF(ISNUMBER(M20),0,1))</f>
        <v>0</v>
      </c>
      <c r="AL20" s="93">
        <f>IF(Validation!$H$3=1,0,IF(ISNUMBER(N20),0,1))</f>
        <v>0</v>
      </c>
      <c r="AM20" s="127"/>
      <c r="AN20" s="93">
        <f>IF(Validation!$H$3=1,0,IF(ISNUMBER(P20),0,1))</f>
        <v>0</v>
      </c>
      <c r="AO20" s="93">
        <f>IF(Validation!$H$3=1,0,IF(ISNUMBER(Q20),0,1))</f>
        <v>0</v>
      </c>
      <c r="AP20" s="93">
        <f>IF(Validation!$H$3=1,0,IF(ISNUMBER(R20),0,1))</f>
        <v>0</v>
      </c>
      <c r="AQ20" s="93">
        <f>IF(Validation!$H$3=1,0,IF(ISNUMBER(S20),0,1))</f>
        <v>0</v>
      </c>
      <c r="AR20" s="93">
        <f>IF(Validation!$H$3=1,0,IF(ISNUMBER(T20),0,1))</f>
        <v>0</v>
      </c>
      <c r="AS20" s="93">
        <f>IF(Validation!$H$3=1,0,IF(ISNUMBER(U20),0,1))</f>
        <v>0</v>
      </c>
      <c r="AT20" s="93">
        <f>IF(Validation!$H$3=1,0,IF(ISNUMBER(V20),0,1))</f>
        <v>0</v>
      </c>
      <c r="AU20" s="93">
        <f>IF(Validation!$H$3=1,0,IF(ISNUMBER(W20),0,1))</f>
        <v>0</v>
      </c>
      <c r="AV20" s="71"/>
      <c r="AW20" s="1882"/>
      <c r="AY20" s="1882"/>
      <c r="AZ20" s="1882"/>
      <c r="BA20" s="1882"/>
      <c r="BC20" s="1882"/>
      <c r="BD20" s="977" t="s">
        <v>5252</v>
      </c>
      <c r="BE20" s="2683" t="s">
        <v>5253</v>
      </c>
      <c r="BF20" s="2683"/>
      <c r="BG20" s="1881" t="s">
        <v>49</v>
      </c>
      <c r="BH20" s="978">
        <v>3</v>
      </c>
      <c r="BI20" s="2714" t="s">
        <v>5254</v>
      </c>
      <c r="BJ20" s="2715" t="s">
        <v>5255</v>
      </c>
      <c r="BK20" s="2716" t="s">
        <v>5256</v>
      </c>
      <c r="BL20" s="2717" t="s">
        <v>5257</v>
      </c>
      <c r="BM20" s="2715" t="s">
        <v>5258</v>
      </c>
      <c r="BN20" s="2715" t="s">
        <v>5259</v>
      </c>
      <c r="BO20" s="2718" t="s">
        <v>5260</v>
      </c>
      <c r="BP20" s="2716" t="s">
        <v>5261</v>
      </c>
      <c r="BQ20" s="1970" t="s">
        <v>5262</v>
      </c>
      <c r="BR20" s="2719" t="s">
        <v>5263</v>
      </c>
      <c r="BS20" s="2715" t="s">
        <v>5264</v>
      </c>
      <c r="BT20" s="2716" t="s">
        <v>5265</v>
      </c>
      <c r="BU20" s="2717" t="s">
        <v>5266</v>
      </c>
      <c r="BV20" s="2715" t="s">
        <v>5267</v>
      </c>
      <c r="BW20" s="2715" t="s">
        <v>5268</v>
      </c>
      <c r="BX20" s="2718" t="s">
        <v>5269</v>
      </c>
      <c r="BY20" s="2716" t="s">
        <v>5270</v>
      </c>
      <c r="BZ20" s="1970" t="s">
        <v>5271</v>
      </c>
    </row>
    <row r="21" spans="1:78" ht="16">
      <c r="A21" s="966"/>
      <c r="B21" s="977" t="s">
        <v>5272</v>
      </c>
      <c r="C21" s="981" t="s">
        <v>5273</v>
      </c>
      <c r="D21" s="981"/>
      <c r="E21" s="1881" t="s">
        <v>49</v>
      </c>
      <c r="F21" s="978">
        <v>3</v>
      </c>
      <c r="G21" s="1061"/>
      <c r="H21" s="1425"/>
      <c r="I21" s="1431"/>
      <c r="J21" s="1034"/>
      <c r="K21" s="1431"/>
      <c r="L21" s="1546"/>
      <c r="M21" s="1428"/>
      <c r="N21" s="1431"/>
      <c r="O21" s="241">
        <f t="shared" si="0"/>
        <v>0</v>
      </c>
      <c r="P21" s="1061"/>
      <c r="Q21" s="1425"/>
      <c r="R21" s="1431"/>
      <c r="S21" s="1034"/>
      <c r="T21" s="1431"/>
      <c r="U21" s="1546"/>
      <c r="V21" s="1428"/>
      <c r="W21" s="1431"/>
      <c r="X21" s="241">
        <f t="shared" si="1"/>
        <v>0</v>
      </c>
      <c r="Y21" s="1730"/>
      <c r="Z21" s="1882"/>
      <c r="AA21" s="868">
        <f t="shared" si="2"/>
        <v>0</v>
      </c>
      <c r="AB21" s="192"/>
      <c r="AC21" s="71"/>
      <c r="AD21" s="192"/>
      <c r="AE21" s="93">
        <f>IF(Validation!$H$3=1,0,IF(ISNUMBER(G21),0,1))</f>
        <v>0</v>
      </c>
      <c r="AF21" s="93">
        <f>IF(Validation!$H$3=1,0,IF(ISNUMBER(H21),0,1))</f>
        <v>0</v>
      </c>
      <c r="AG21" s="93">
        <f>IF(Validation!$H$3=1,0,IF(ISNUMBER(I21),0,1))</f>
        <v>0</v>
      </c>
      <c r="AH21" s="93">
        <f>IF(Validation!$H$3=1,0,IF(ISNUMBER(J21),0,1))</f>
        <v>0</v>
      </c>
      <c r="AI21" s="93">
        <f>IF(Validation!$H$3=1,0,IF(ISNUMBER(K21),0,1))</f>
        <v>0</v>
      </c>
      <c r="AJ21" s="93">
        <f>IF(Validation!$H$3=1,0,IF(ISNUMBER(L21),0,1))</f>
        <v>0</v>
      </c>
      <c r="AK21" s="93">
        <f>IF(Validation!$H$3=1,0,IF(ISNUMBER(M21),0,1))</f>
        <v>0</v>
      </c>
      <c r="AL21" s="93">
        <f>IF(Validation!$H$3=1,0,IF(ISNUMBER(N21),0,1))</f>
        <v>0</v>
      </c>
      <c r="AM21" s="127"/>
      <c r="AN21" s="93">
        <f>IF(Validation!$H$3=1,0,IF(ISNUMBER(P21),0,1))</f>
        <v>0</v>
      </c>
      <c r="AO21" s="93">
        <f>IF(Validation!$H$3=1,0,IF(ISNUMBER(Q21),0,1))</f>
        <v>0</v>
      </c>
      <c r="AP21" s="93">
        <f>IF(Validation!$H$3=1,0,IF(ISNUMBER(R21),0,1))</f>
        <v>0</v>
      </c>
      <c r="AQ21" s="93">
        <f>IF(Validation!$H$3=1,0,IF(ISNUMBER(S21),0,1))</f>
        <v>0</v>
      </c>
      <c r="AR21" s="93">
        <f>IF(Validation!$H$3=1,0,IF(ISNUMBER(T21),0,1))</f>
        <v>0</v>
      </c>
      <c r="AS21" s="93">
        <f>IF(Validation!$H$3=1,0,IF(ISNUMBER(U21),0,1))</f>
        <v>0</v>
      </c>
      <c r="AT21" s="93">
        <f>IF(Validation!$H$3=1,0,IF(ISNUMBER(V21),0,1))</f>
        <v>0</v>
      </c>
      <c r="AU21" s="93">
        <f>IF(Validation!$H$3=1,0,IF(ISNUMBER(W21),0,1))</f>
        <v>0</v>
      </c>
      <c r="AV21" s="71"/>
      <c r="AW21" s="1882"/>
      <c r="AY21" s="1882"/>
      <c r="AZ21" s="1882"/>
      <c r="BA21" s="1882"/>
      <c r="BC21" s="1882"/>
      <c r="BD21" s="977" t="s">
        <v>5272</v>
      </c>
      <c r="BE21" s="2683" t="s">
        <v>5273</v>
      </c>
      <c r="BF21" s="2683"/>
      <c r="BG21" s="1881" t="s">
        <v>49</v>
      </c>
      <c r="BH21" s="978">
        <v>3</v>
      </c>
      <c r="BI21" s="2714" t="s">
        <v>5274</v>
      </c>
      <c r="BJ21" s="2715" t="s">
        <v>5275</v>
      </c>
      <c r="BK21" s="2716" t="s">
        <v>5276</v>
      </c>
      <c r="BL21" s="2717" t="s">
        <v>5277</v>
      </c>
      <c r="BM21" s="2715" t="s">
        <v>5278</v>
      </c>
      <c r="BN21" s="2715" t="s">
        <v>5279</v>
      </c>
      <c r="BO21" s="2718" t="s">
        <v>5280</v>
      </c>
      <c r="BP21" s="2716" t="s">
        <v>5281</v>
      </c>
      <c r="BQ21" s="1970" t="s">
        <v>5282</v>
      </c>
      <c r="BR21" s="2719" t="s">
        <v>5283</v>
      </c>
      <c r="BS21" s="2715" t="s">
        <v>5284</v>
      </c>
      <c r="BT21" s="2716" t="s">
        <v>5285</v>
      </c>
      <c r="BU21" s="2717" t="s">
        <v>5286</v>
      </c>
      <c r="BV21" s="2715" t="s">
        <v>5287</v>
      </c>
      <c r="BW21" s="2715" t="s">
        <v>5288</v>
      </c>
      <c r="BX21" s="2718" t="s">
        <v>5289</v>
      </c>
      <c r="BY21" s="2716" t="s">
        <v>5290</v>
      </c>
      <c r="BZ21" s="1970" t="s">
        <v>5291</v>
      </c>
    </row>
    <row r="22" spans="1:78" ht="16">
      <c r="A22" s="966"/>
      <c r="B22" s="977" t="s">
        <v>5292</v>
      </c>
      <c r="C22" s="981" t="s">
        <v>4644</v>
      </c>
      <c r="D22" s="981"/>
      <c r="E22" s="1881" t="s">
        <v>49</v>
      </c>
      <c r="F22" s="978">
        <v>3</v>
      </c>
      <c r="G22" s="1061"/>
      <c r="H22" s="1425"/>
      <c r="I22" s="1431"/>
      <c r="J22" s="1034"/>
      <c r="K22" s="1431"/>
      <c r="L22" s="1546"/>
      <c r="M22" s="1428"/>
      <c r="N22" s="1431"/>
      <c r="O22" s="241">
        <f t="shared" si="0"/>
        <v>0</v>
      </c>
      <c r="P22" s="1061"/>
      <c r="Q22" s="1425"/>
      <c r="R22" s="1431"/>
      <c r="S22" s="1034"/>
      <c r="T22" s="1431"/>
      <c r="U22" s="1546"/>
      <c r="V22" s="1428"/>
      <c r="W22" s="1431"/>
      <c r="X22" s="241">
        <f t="shared" si="1"/>
        <v>0</v>
      </c>
      <c r="Y22" s="1730"/>
      <c r="Z22" s="1882"/>
      <c r="AA22" s="868">
        <f t="shared" si="2"/>
        <v>0</v>
      </c>
      <c r="AB22" s="192"/>
      <c r="AC22" s="71"/>
      <c r="AD22" s="192"/>
      <c r="AE22" s="93">
        <f>IF(Validation!$H$3=1,0,IF(ISNUMBER(G22),0,1))</f>
        <v>0</v>
      </c>
      <c r="AF22" s="93">
        <f>IF(Validation!$H$3=1,0,IF(ISNUMBER(H22),0,1))</f>
        <v>0</v>
      </c>
      <c r="AG22" s="93">
        <f>IF(Validation!$H$3=1,0,IF(ISNUMBER(I22),0,1))</f>
        <v>0</v>
      </c>
      <c r="AH22" s="93">
        <f>IF(Validation!$H$3=1,0,IF(ISNUMBER(J22),0,1))</f>
        <v>0</v>
      </c>
      <c r="AI22" s="93">
        <f>IF(Validation!$H$3=1,0,IF(ISNUMBER(K22),0,1))</f>
        <v>0</v>
      </c>
      <c r="AJ22" s="93">
        <f>IF(Validation!$H$3=1,0,IF(ISNUMBER(L22),0,1))</f>
        <v>0</v>
      </c>
      <c r="AK22" s="93">
        <f>IF(Validation!$H$3=1,0,IF(ISNUMBER(M22),0,1))</f>
        <v>0</v>
      </c>
      <c r="AL22" s="93">
        <f>IF(Validation!$H$3=1,0,IF(ISNUMBER(N22),0,1))</f>
        <v>0</v>
      </c>
      <c r="AM22" s="127"/>
      <c r="AN22" s="93">
        <f>IF(Validation!$H$3=1,0,IF(ISNUMBER(P22),0,1))</f>
        <v>0</v>
      </c>
      <c r="AO22" s="93">
        <f>IF(Validation!$H$3=1,0,IF(ISNUMBER(Q22),0,1))</f>
        <v>0</v>
      </c>
      <c r="AP22" s="93">
        <f>IF(Validation!$H$3=1,0,IF(ISNUMBER(R22),0,1))</f>
        <v>0</v>
      </c>
      <c r="AQ22" s="93">
        <f>IF(Validation!$H$3=1,0,IF(ISNUMBER(S22),0,1))</f>
        <v>0</v>
      </c>
      <c r="AR22" s="93">
        <f>IF(Validation!$H$3=1,0,IF(ISNUMBER(T22),0,1))</f>
        <v>0</v>
      </c>
      <c r="AS22" s="93">
        <f>IF(Validation!$H$3=1,0,IF(ISNUMBER(U22),0,1))</f>
        <v>0</v>
      </c>
      <c r="AT22" s="93">
        <f>IF(Validation!$H$3=1,0,IF(ISNUMBER(V22),0,1))</f>
        <v>0</v>
      </c>
      <c r="AU22" s="93">
        <f>IF(Validation!$H$3=1,0,IF(ISNUMBER(W22),0,1))</f>
        <v>0</v>
      </c>
      <c r="AV22" s="71"/>
      <c r="AW22" s="1882"/>
      <c r="AY22" s="1882"/>
      <c r="AZ22" s="1882"/>
      <c r="BA22" s="1882"/>
      <c r="BC22" s="1882"/>
      <c r="BD22" s="977" t="s">
        <v>5292</v>
      </c>
      <c r="BE22" s="2683" t="s">
        <v>4644</v>
      </c>
      <c r="BF22" s="2683"/>
      <c r="BG22" s="1881" t="s">
        <v>49</v>
      </c>
      <c r="BH22" s="978">
        <v>3</v>
      </c>
      <c r="BI22" s="2714" t="s">
        <v>5293</v>
      </c>
      <c r="BJ22" s="2715" t="s">
        <v>5294</v>
      </c>
      <c r="BK22" s="2716" t="s">
        <v>5295</v>
      </c>
      <c r="BL22" s="2717" t="s">
        <v>5296</v>
      </c>
      <c r="BM22" s="2715" t="s">
        <v>5297</v>
      </c>
      <c r="BN22" s="2715" t="s">
        <v>5298</v>
      </c>
      <c r="BO22" s="2718" t="s">
        <v>5299</v>
      </c>
      <c r="BP22" s="2716" t="s">
        <v>5300</v>
      </c>
      <c r="BQ22" s="1970" t="s">
        <v>5301</v>
      </c>
      <c r="BR22" s="2719" t="s">
        <v>5302</v>
      </c>
      <c r="BS22" s="2715" t="s">
        <v>5303</v>
      </c>
      <c r="BT22" s="2716" t="s">
        <v>5304</v>
      </c>
      <c r="BU22" s="2717" t="s">
        <v>5305</v>
      </c>
      <c r="BV22" s="2715" t="s">
        <v>5306</v>
      </c>
      <c r="BW22" s="2715" t="s">
        <v>5307</v>
      </c>
      <c r="BX22" s="2718" t="s">
        <v>5308</v>
      </c>
      <c r="BY22" s="2716" t="s">
        <v>5309</v>
      </c>
      <c r="BZ22" s="1970" t="s">
        <v>5310</v>
      </c>
    </row>
    <row r="23" spans="1:78" ht="16">
      <c r="A23" s="966"/>
      <c r="B23" s="977" t="s">
        <v>5311</v>
      </c>
      <c r="C23" s="981" t="s">
        <v>5312</v>
      </c>
      <c r="D23" s="981"/>
      <c r="E23" s="1881" t="s">
        <v>49</v>
      </c>
      <c r="F23" s="978">
        <v>3</v>
      </c>
      <c r="G23" s="1061"/>
      <c r="H23" s="1425"/>
      <c r="I23" s="1431"/>
      <c r="J23" s="1034"/>
      <c r="K23" s="1431"/>
      <c r="L23" s="1546"/>
      <c r="M23" s="1428"/>
      <c r="N23" s="1431"/>
      <c r="O23" s="241">
        <f t="shared" si="0"/>
        <v>0</v>
      </c>
      <c r="P23" s="1061"/>
      <c r="Q23" s="1425"/>
      <c r="R23" s="1431"/>
      <c r="S23" s="1034"/>
      <c r="T23" s="1431"/>
      <c r="U23" s="1546"/>
      <c r="V23" s="1428"/>
      <c r="W23" s="1431"/>
      <c r="X23" s="241">
        <f t="shared" si="1"/>
        <v>0</v>
      </c>
      <c r="Y23" s="1730"/>
      <c r="Z23" s="1882"/>
      <c r="AA23" s="868">
        <f t="shared" si="2"/>
        <v>0</v>
      </c>
      <c r="AB23" s="192"/>
      <c r="AC23" s="71"/>
      <c r="AD23" s="192"/>
      <c r="AE23" s="93">
        <f>IF(Validation!$H$3=1,0,IF(ISNUMBER(G23),0,1))</f>
        <v>0</v>
      </c>
      <c r="AF23" s="93">
        <f>IF(Validation!$H$3=1,0,IF(ISNUMBER(H23),0,1))</f>
        <v>0</v>
      </c>
      <c r="AG23" s="93">
        <f>IF(Validation!$H$3=1,0,IF(ISNUMBER(I23),0,1))</f>
        <v>0</v>
      </c>
      <c r="AH23" s="93">
        <f>IF(Validation!$H$3=1,0,IF(ISNUMBER(J23),0,1))</f>
        <v>0</v>
      </c>
      <c r="AI23" s="93">
        <f>IF(Validation!$H$3=1,0,IF(ISNUMBER(K23),0,1))</f>
        <v>0</v>
      </c>
      <c r="AJ23" s="93">
        <f>IF(Validation!$H$3=1,0,IF(ISNUMBER(L23),0,1))</f>
        <v>0</v>
      </c>
      <c r="AK23" s="93">
        <f>IF(Validation!$H$3=1,0,IF(ISNUMBER(M23),0,1))</f>
        <v>0</v>
      </c>
      <c r="AL23" s="93">
        <f>IF(Validation!$H$3=1,0,IF(ISNUMBER(N23),0,1))</f>
        <v>0</v>
      </c>
      <c r="AM23" s="127"/>
      <c r="AN23" s="93">
        <f>IF(Validation!$H$3=1,0,IF(ISNUMBER(P23),0,1))</f>
        <v>0</v>
      </c>
      <c r="AO23" s="93">
        <f>IF(Validation!$H$3=1,0,IF(ISNUMBER(Q23),0,1))</f>
        <v>0</v>
      </c>
      <c r="AP23" s="93">
        <f>IF(Validation!$H$3=1,0,IF(ISNUMBER(R23),0,1))</f>
        <v>0</v>
      </c>
      <c r="AQ23" s="93">
        <f>IF(Validation!$H$3=1,0,IF(ISNUMBER(S23),0,1))</f>
        <v>0</v>
      </c>
      <c r="AR23" s="93">
        <f>IF(Validation!$H$3=1,0,IF(ISNUMBER(T23),0,1))</f>
        <v>0</v>
      </c>
      <c r="AS23" s="93">
        <f>IF(Validation!$H$3=1,0,IF(ISNUMBER(U23),0,1))</f>
        <v>0</v>
      </c>
      <c r="AT23" s="93">
        <f>IF(Validation!$H$3=1,0,IF(ISNUMBER(V23),0,1))</f>
        <v>0</v>
      </c>
      <c r="AU23" s="93">
        <f>IF(Validation!$H$3=1,0,IF(ISNUMBER(W23),0,1))</f>
        <v>0</v>
      </c>
      <c r="AV23" s="71"/>
      <c r="AW23" s="1882"/>
      <c r="AY23" s="1882"/>
      <c r="AZ23" s="1882"/>
      <c r="BA23" s="1882"/>
      <c r="BC23" s="1882"/>
      <c r="BD23" s="977" t="s">
        <v>5311</v>
      </c>
      <c r="BE23" s="2683" t="s">
        <v>5312</v>
      </c>
      <c r="BF23" s="2683"/>
      <c r="BG23" s="1881" t="s">
        <v>49</v>
      </c>
      <c r="BH23" s="978">
        <v>3</v>
      </c>
      <c r="BI23" s="2714" t="s">
        <v>5313</v>
      </c>
      <c r="BJ23" s="2715" t="s">
        <v>5314</v>
      </c>
      <c r="BK23" s="2716" t="s">
        <v>5315</v>
      </c>
      <c r="BL23" s="2717" t="s">
        <v>5316</v>
      </c>
      <c r="BM23" s="2715" t="s">
        <v>5317</v>
      </c>
      <c r="BN23" s="2715" t="s">
        <v>5318</v>
      </c>
      <c r="BO23" s="2718" t="s">
        <v>5319</v>
      </c>
      <c r="BP23" s="2716" t="s">
        <v>5320</v>
      </c>
      <c r="BQ23" s="1970" t="s">
        <v>5321</v>
      </c>
      <c r="BR23" s="2719" t="s">
        <v>5322</v>
      </c>
      <c r="BS23" s="2715" t="s">
        <v>5323</v>
      </c>
      <c r="BT23" s="2716" t="s">
        <v>5324</v>
      </c>
      <c r="BU23" s="2717" t="s">
        <v>5325</v>
      </c>
      <c r="BV23" s="2715" t="s">
        <v>5326</v>
      </c>
      <c r="BW23" s="2715" t="s">
        <v>5327</v>
      </c>
      <c r="BX23" s="2718" t="s">
        <v>5328</v>
      </c>
      <c r="BY23" s="2716" t="s">
        <v>5329</v>
      </c>
      <c r="BZ23" s="1970" t="s">
        <v>5330</v>
      </c>
    </row>
    <row r="24" spans="1:78" ht="16">
      <c r="A24" s="966"/>
      <c r="B24" s="977" t="s">
        <v>5331</v>
      </c>
      <c r="C24" s="981" t="s">
        <v>5332</v>
      </c>
      <c r="D24" s="981"/>
      <c r="E24" s="1881" t="s">
        <v>49</v>
      </c>
      <c r="F24" s="978">
        <v>3</v>
      </c>
      <c r="G24" s="1061"/>
      <c r="H24" s="1425"/>
      <c r="I24" s="1431"/>
      <c r="J24" s="1034"/>
      <c r="K24" s="1431"/>
      <c r="L24" s="1546"/>
      <c r="M24" s="1428"/>
      <c r="N24" s="1431"/>
      <c r="O24" s="241">
        <f t="shared" si="0"/>
        <v>0</v>
      </c>
      <c r="P24" s="1061"/>
      <c r="Q24" s="1425"/>
      <c r="R24" s="1431"/>
      <c r="S24" s="1034"/>
      <c r="T24" s="1431"/>
      <c r="U24" s="1546"/>
      <c r="V24" s="1428"/>
      <c r="W24" s="1431"/>
      <c r="X24" s="241">
        <f t="shared" si="1"/>
        <v>0</v>
      </c>
      <c r="Y24" s="1730"/>
      <c r="Z24" s="1882"/>
      <c r="AA24" s="868">
        <f t="shared" si="2"/>
        <v>0</v>
      </c>
      <c r="AB24" s="192"/>
      <c r="AC24" s="71"/>
      <c r="AD24" s="192"/>
      <c r="AE24" s="93">
        <f>IF(Validation!$H$3=1,0,IF(ISNUMBER(G24),0,1))</f>
        <v>0</v>
      </c>
      <c r="AF24" s="93">
        <f>IF(Validation!$H$3=1,0,IF(ISNUMBER(H24),0,1))</f>
        <v>0</v>
      </c>
      <c r="AG24" s="93">
        <f>IF(Validation!$H$3=1,0,IF(ISNUMBER(I24),0,1))</f>
        <v>0</v>
      </c>
      <c r="AH24" s="93">
        <f>IF(Validation!$H$3=1,0,IF(ISNUMBER(J24),0,1))</f>
        <v>0</v>
      </c>
      <c r="AI24" s="93">
        <f>IF(Validation!$H$3=1,0,IF(ISNUMBER(K24),0,1))</f>
        <v>0</v>
      </c>
      <c r="AJ24" s="93">
        <f>IF(Validation!$H$3=1,0,IF(ISNUMBER(L24),0,1))</f>
        <v>0</v>
      </c>
      <c r="AK24" s="93">
        <f>IF(Validation!$H$3=1,0,IF(ISNUMBER(M24),0,1))</f>
        <v>0</v>
      </c>
      <c r="AL24" s="93">
        <f>IF(Validation!$H$3=1,0,IF(ISNUMBER(N24),0,1))</f>
        <v>0</v>
      </c>
      <c r="AM24" s="127"/>
      <c r="AN24" s="93">
        <f>IF(Validation!$H$3=1,0,IF(ISNUMBER(P24),0,1))</f>
        <v>0</v>
      </c>
      <c r="AO24" s="93">
        <f>IF(Validation!$H$3=1,0,IF(ISNUMBER(Q24),0,1))</f>
        <v>0</v>
      </c>
      <c r="AP24" s="93">
        <f>IF(Validation!$H$3=1,0,IF(ISNUMBER(R24),0,1))</f>
        <v>0</v>
      </c>
      <c r="AQ24" s="93">
        <f>IF(Validation!$H$3=1,0,IF(ISNUMBER(S24),0,1))</f>
        <v>0</v>
      </c>
      <c r="AR24" s="93">
        <f>IF(Validation!$H$3=1,0,IF(ISNUMBER(T24),0,1))</f>
        <v>0</v>
      </c>
      <c r="AS24" s="93">
        <f>IF(Validation!$H$3=1,0,IF(ISNUMBER(U24),0,1))</f>
        <v>0</v>
      </c>
      <c r="AT24" s="93">
        <f>IF(Validation!$H$3=1,0,IF(ISNUMBER(V24),0,1))</f>
        <v>0</v>
      </c>
      <c r="AU24" s="93">
        <f>IF(Validation!$H$3=1,0,IF(ISNUMBER(W24),0,1))</f>
        <v>0</v>
      </c>
      <c r="AV24" s="71"/>
      <c r="AW24" s="1882"/>
      <c r="AY24" s="1882"/>
      <c r="AZ24" s="1882"/>
      <c r="BA24" s="1882"/>
      <c r="BC24" s="1882"/>
      <c r="BD24" s="977" t="s">
        <v>5331</v>
      </c>
      <c r="BE24" s="2683" t="s">
        <v>5332</v>
      </c>
      <c r="BF24" s="2683"/>
      <c r="BG24" s="1881" t="s">
        <v>49</v>
      </c>
      <c r="BH24" s="978">
        <v>3</v>
      </c>
      <c r="BI24" s="2714" t="s">
        <v>5333</v>
      </c>
      <c r="BJ24" s="2715" t="s">
        <v>5334</v>
      </c>
      <c r="BK24" s="2716" t="s">
        <v>5335</v>
      </c>
      <c r="BL24" s="2717" t="s">
        <v>5336</v>
      </c>
      <c r="BM24" s="2715" t="s">
        <v>5337</v>
      </c>
      <c r="BN24" s="2715" t="s">
        <v>5338</v>
      </c>
      <c r="BO24" s="2718" t="s">
        <v>5339</v>
      </c>
      <c r="BP24" s="2716" t="s">
        <v>5340</v>
      </c>
      <c r="BQ24" s="1970" t="s">
        <v>5341</v>
      </c>
      <c r="BR24" s="2719" t="s">
        <v>5342</v>
      </c>
      <c r="BS24" s="2715" t="s">
        <v>5343</v>
      </c>
      <c r="BT24" s="2716" t="s">
        <v>5344</v>
      </c>
      <c r="BU24" s="2717" t="s">
        <v>5345</v>
      </c>
      <c r="BV24" s="2715" t="s">
        <v>5346</v>
      </c>
      <c r="BW24" s="2715" t="s">
        <v>5347</v>
      </c>
      <c r="BX24" s="2718" t="s">
        <v>5348</v>
      </c>
      <c r="BY24" s="2716" t="s">
        <v>5349</v>
      </c>
      <c r="BZ24" s="1970" t="s">
        <v>5350</v>
      </c>
    </row>
    <row r="25" spans="1:78" ht="16">
      <c r="A25" s="966"/>
      <c r="B25" s="977" t="s">
        <v>5351</v>
      </c>
      <c r="C25" s="981" t="s">
        <v>5352</v>
      </c>
      <c r="D25" s="981"/>
      <c r="E25" s="1881" t="s">
        <v>49</v>
      </c>
      <c r="F25" s="978">
        <v>3</v>
      </c>
      <c r="G25" s="1061"/>
      <c r="H25" s="1425"/>
      <c r="I25" s="1431"/>
      <c r="J25" s="1034"/>
      <c r="K25" s="1431"/>
      <c r="L25" s="1546"/>
      <c r="M25" s="1428"/>
      <c r="N25" s="1431"/>
      <c r="O25" s="241">
        <f t="shared" si="0"/>
        <v>0</v>
      </c>
      <c r="P25" s="1061"/>
      <c r="Q25" s="1425"/>
      <c r="R25" s="1431"/>
      <c r="S25" s="1034"/>
      <c r="T25" s="1431"/>
      <c r="U25" s="1546"/>
      <c r="V25" s="1428"/>
      <c r="W25" s="1431"/>
      <c r="X25" s="241">
        <f t="shared" si="1"/>
        <v>0</v>
      </c>
      <c r="Y25" s="1730"/>
      <c r="Z25" s="1882"/>
      <c r="AA25" s="868">
        <f t="shared" si="2"/>
        <v>0</v>
      </c>
      <c r="AB25" s="192"/>
      <c r="AC25" s="71"/>
      <c r="AD25" s="192"/>
      <c r="AE25" s="93">
        <f>IF(Validation!$H$3=1,0,IF(ISNUMBER(G25),0,1))</f>
        <v>0</v>
      </c>
      <c r="AF25" s="93">
        <f>IF(Validation!$H$3=1,0,IF(ISNUMBER(H25),0,1))</f>
        <v>0</v>
      </c>
      <c r="AG25" s="93">
        <f>IF(Validation!$H$3=1,0,IF(ISNUMBER(I25),0,1))</f>
        <v>0</v>
      </c>
      <c r="AH25" s="93">
        <f>IF(Validation!$H$3=1,0,IF(ISNUMBER(J25),0,1))</f>
        <v>0</v>
      </c>
      <c r="AI25" s="93">
        <f>IF(Validation!$H$3=1,0,IF(ISNUMBER(K25),0,1))</f>
        <v>0</v>
      </c>
      <c r="AJ25" s="93">
        <f>IF(Validation!$H$3=1,0,IF(ISNUMBER(L25),0,1))</f>
        <v>0</v>
      </c>
      <c r="AK25" s="93">
        <f>IF(Validation!$H$3=1,0,IF(ISNUMBER(M25),0,1))</f>
        <v>0</v>
      </c>
      <c r="AL25" s="93">
        <f>IF(Validation!$H$3=1,0,IF(ISNUMBER(N25),0,1))</f>
        <v>0</v>
      </c>
      <c r="AM25" s="127"/>
      <c r="AN25" s="93">
        <f>IF(Validation!$H$3=1,0,IF(ISNUMBER(P25),0,1))</f>
        <v>0</v>
      </c>
      <c r="AO25" s="93">
        <f>IF(Validation!$H$3=1,0,IF(ISNUMBER(Q25),0,1))</f>
        <v>0</v>
      </c>
      <c r="AP25" s="93">
        <f>IF(Validation!$H$3=1,0,IF(ISNUMBER(R25),0,1))</f>
        <v>0</v>
      </c>
      <c r="AQ25" s="93">
        <f>IF(Validation!$H$3=1,0,IF(ISNUMBER(S25),0,1))</f>
        <v>0</v>
      </c>
      <c r="AR25" s="93">
        <f>IF(Validation!$H$3=1,0,IF(ISNUMBER(T25),0,1))</f>
        <v>0</v>
      </c>
      <c r="AS25" s="93">
        <f>IF(Validation!$H$3=1,0,IF(ISNUMBER(U25),0,1))</f>
        <v>0</v>
      </c>
      <c r="AT25" s="93">
        <f>IF(Validation!$H$3=1,0,IF(ISNUMBER(V25),0,1))</f>
        <v>0</v>
      </c>
      <c r="AU25" s="93">
        <f>IF(Validation!$H$3=1,0,IF(ISNUMBER(W25),0,1))</f>
        <v>0</v>
      </c>
      <c r="AV25" s="71"/>
      <c r="AW25" s="1882"/>
      <c r="AY25" s="1882"/>
      <c r="AZ25" s="1882"/>
      <c r="BA25" s="1882"/>
      <c r="BC25" s="1882"/>
      <c r="BD25" s="977" t="s">
        <v>5351</v>
      </c>
      <c r="BE25" s="2683" t="s">
        <v>5352</v>
      </c>
      <c r="BF25" s="2683"/>
      <c r="BG25" s="1881" t="s">
        <v>49</v>
      </c>
      <c r="BH25" s="978">
        <v>3</v>
      </c>
      <c r="BI25" s="2714" t="s">
        <v>5353</v>
      </c>
      <c r="BJ25" s="2715" t="s">
        <v>5354</v>
      </c>
      <c r="BK25" s="2716" t="s">
        <v>5355</v>
      </c>
      <c r="BL25" s="2717" t="s">
        <v>5356</v>
      </c>
      <c r="BM25" s="2715" t="s">
        <v>5357</v>
      </c>
      <c r="BN25" s="2715" t="s">
        <v>5358</v>
      </c>
      <c r="BO25" s="2718" t="s">
        <v>5359</v>
      </c>
      <c r="BP25" s="2716" t="s">
        <v>5360</v>
      </c>
      <c r="BQ25" s="1970" t="s">
        <v>5361</v>
      </c>
      <c r="BR25" s="2719" t="s">
        <v>5362</v>
      </c>
      <c r="BS25" s="2715" t="s">
        <v>5363</v>
      </c>
      <c r="BT25" s="2716" t="s">
        <v>5364</v>
      </c>
      <c r="BU25" s="2717" t="s">
        <v>5365</v>
      </c>
      <c r="BV25" s="2715" t="s">
        <v>5366</v>
      </c>
      <c r="BW25" s="2715" t="s">
        <v>5367</v>
      </c>
      <c r="BX25" s="2718" t="s">
        <v>5368</v>
      </c>
      <c r="BY25" s="2716" t="s">
        <v>5369</v>
      </c>
      <c r="BZ25" s="1970" t="s">
        <v>5370</v>
      </c>
    </row>
    <row r="26" spans="1:78" ht="16">
      <c r="A26" s="966"/>
      <c r="B26" s="977" t="s">
        <v>5371</v>
      </c>
      <c r="C26" s="981" t="s">
        <v>5372</v>
      </c>
      <c r="D26" s="981"/>
      <c r="E26" s="1881" t="s">
        <v>49</v>
      </c>
      <c r="F26" s="978">
        <v>3</v>
      </c>
      <c r="G26" s="1061"/>
      <c r="H26" s="1425"/>
      <c r="I26" s="1431"/>
      <c r="J26" s="1034"/>
      <c r="K26" s="1431"/>
      <c r="L26" s="1546"/>
      <c r="M26" s="1428"/>
      <c r="N26" s="1431"/>
      <c r="O26" s="241">
        <f t="shared" si="0"/>
        <v>0</v>
      </c>
      <c r="P26" s="1061"/>
      <c r="Q26" s="1425"/>
      <c r="R26" s="1431"/>
      <c r="S26" s="1034"/>
      <c r="T26" s="1431"/>
      <c r="U26" s="1546"/>
      <c r="V26" s="1428"/>
      <c r="W26" s="1431"/>
      <c r="X26" s="241">
        <f t="shared" si="1"/>
        <v>0</v>
      </c>
      <c r="Y26" s="1730"/>
      <c r="Z26" s="1882"/>
      <c r="AA26" s="868">
        <f t="shared" si="2"/>
        <v>0</v>
      </c>
      <c r="AB26" s="192"/>
      <c r="AC26" s="71"/>
      <c r="AD26" s="192"/>
      <c r="AE26" s="93">
        <f>IF(Validation!$H$3=1,0,IF(ISNUMBER(G26),0,1))</f>
        <v>0</v>
      </c>
      <c r="AF26" s="93">
        <f>IF(Validation!$H$3=1,0,IF(ISNUMBER(H26),0,1))</f>
        <v>0</v>
      </c>
      <c r="AG26" s="93">
        <f>IF(Validation!$H$3=1,0,IF(ISNUMBER(I26),0,1))</f>
        <v>0</v>
      </c>
      <c r="AH26" s="93">
        <f>IF(Validation!$H$3=1,0,IF(ISNUMBER(J26),0,1))</f>
        <v>0</v>
      </c>
      <c r="AI26" s="93">
        <f>IF(Validation!$H$3=1,0,IF(ISNUMBER(K26),0,1))</f>
        <v>0</v>
      </c>
      <c r="AJ26" s="93">
        <f>IF(Validation!$H$3=1,0,IF(ISNUMBER(L26),0,1))</f>
        <v>0</v>
      </c>
      <c r="AK26" s="93">
        <f>IF(Validation!$H$3=1,0,IF(ISNUMBER(M26),0,1))</f>
        <v>0</v>
      </c>
      <c r="AL26" s="93">
        <f>IF(Validation!$H$3=1,0,IF(ISNUMBER(N26),0,1))</f>
        <v>0</v>
      </c>
      <c r="AM26" s="127"/>
      <c r="AN26" s="93">
        <f>IF(Validation!$H$3=1,0,IF(ISNUMBER(P26),0,1))</f>
        <v>0</v>
      </c>
      <c r="AO26" s="93">
        <f>IF(Validation!$H$3=1,0,IF(ISNUMBER(Q26),0,1))</f>
        <v>0</v>
      </c>
      <c r="AP26" s="93">
        <f>IF(Validation!$H$3=1,0,IF(ISNUMBER(R26),0,1))</f>
        <v>0</v>
      </c>
      <c r="AQ26" s="93">
        <f>IF(Validation!$H$3=1,0,IF(ISNUMBER(S26),0,1))</f>
        <v>0</v>
      </c>
      <c r="AR26" s="93">
        <f>IF(Validation!$H$3=1,0,IF(ISNUMBER(T26),0,1))</f>
        <v>0</v>
      </c>
      <c r="AS26" s="93">
        <f>IF(Validation!$H$3=1,0,IF(ISNUMBER(U26),0,1))</f>
        <v>0</v>
      </c>
      <c r="AT26" s="93">
        <f>IF(Validation!$H$3=1,0,IF(ISNUMBER(V26),0,1))</f>
        <v>0</v>
      </c>
      <c r="AU26" s="93">
        <f>IF(Validation!$H$3=1,0,IF(ISNUMBER(W26),0,1))</f>
        <v>0</v>
      </c>
      <c r="AV26" s="71"/>
      <c r="AW26" s="1882"/>
      <c r="AY26" s="1882"/>
      <c r="AZ26" s="1882"/>
      <c r="BA26" s="1882"/>
      <c r="BC26" s="1882"/>
      <c r="BD26" s="977" t="s">
        <v>5371</v>
      </c>
      <c r="BE26" s="2683" t="s">
        <v>5372</v>
      </c>
      <c r="BF26" s="2683"/>
      <c r="BG26" s="1881" t="s">
        <v>49</v>
      </c>
      <c r="BH26" s="978">
        <v>3</v>
      </c>
      <c r="BI26" s="2714" t="s">
        <v>5373</v>
      </c>
      <c r="BJ26" s="2715" t="s">
        <v>5374</v>
      </c>
      <c r="BK26" s="2716" t="s">
        <v>5375</v>
      </c>
      <c r="BL26" s="2717" t="s">
        <v>5376</v>
      </c>
      <c r="BM26" s="2715" t="s">
        <v>5377</v>
      </c>
      <c r="BN26" s="2715" t="s">
        <v>5378</v>
      </c>
      <c r="BO26" s="2718" t="s">
        <v>5379</v>
      </c>
      <c r="BP26" s="2716" t="s">
        <v>5380</v>
      </c>
      <c r="BQ26" s="1970" t="s">
        <v>5381</v>
      </c>
      <c r="BR26" s="2719" t="s">
        <v>5382</v>
      </c>
      <c r="BS26" s="2715" t="s">
        <v>5383</v>
      </c>
      <c r="BT26" s="2716" t="s">
        <v>5384</v>
      </c>
      <c r="BU26" s="2717" t="s">
        <v>5385</v>
      </c>
      <c r="BV26" s="2715" t="s">
        <v>5386</v>
      </c>
      <c r="BW26" s="2715" t="s">
        <v>5387</v>
      </c>
      <c r="BX26" s="2718" t="s">
        <v>5388</v>
      </c>
      <c r="BY26" s="2716" t="s">
        <v>5389</v>
      </c>
      <c r="BZ26" s="1970" t="s">
        <v>5390</v>
      </c>
    </row>
    <row r="27" spans="1:78" ht="16">
      <c r="A27" s="966"/>
      <c r="B27" s="977" t="s">
        <v>5391</v>
      </c>
      <c r="C27" s="981" t="s">
        <v>5392</v>
      </c>
      <c r="D27" s="981"/>
      <c r="E27" s="1881" t="s">
        <v>49</v>
      </c>
      <c r="F27" s="978">
        <v>3</v>
      </c>
      <c r="G27" s="1061"/>
      <c r="H27" s="1425"/>
      <c r="I27" s="1431"/>
      <c r="J27" s="1034"/>
      <c r="K27" s="1431"/>
      <c r="L27" s="1546"/>
      <c r="M27" s="1428"/>
      <c r="N27" s="1431"/>
      <c r="O27" s="241">
        <f t="shared" si="0"/>
        <v>0</v>
      </c>
      <c r="P27" s="1061"/>
      <c r="Q27" s="1425"/>
      <c r="R27" s="1431"/>
      <c r="S27" s="1034"/>
      <c r="T27" s="1431"/>
      <c r="U27" s="1546"/>
      <c r="V27" s="1428"/>
      <c r="W27" s="1431"/>
      <c r="X27" s="241">
        <f t="shared" si="1"/>
        <v>0</v>
      </c>
      <c r="Y27" s="1730"/>
      <c r="Z27" s="1882"/>
      <c r="AA27" s="868">
        <f t="shared" si="2"/>
        <v>0</v>
      </c>
      <c r="AB27" s="192"/>
      <c r="AC27" s="71"/>
      <c r="AD27" s="192"/>
      <c r="AE27" s="93">
        <f>IF(Validation!$H$3=1,0,IF(ISNUMBER(G27),0,1))</f>
        <v>0</v>
      </c>
      <c r="AF27" s="93">
        <f>IF(Validation!$H$3=1,0,IF(ISNUMBER(H27),0,1))</f>
        <v>0</v>
      </c>
      <c r="AG27" s="93">
        <f>IF(Validation!$H$3=1,0,IF(ISNUMBER(I27),0,1))</f>
        <v>0</v>
      </c>
      <c r="AH27" s="93">
        <f>IF(Validation!$H$3=1,0,IF(ISNUMBER(J27),0,1))</f>
        <v>0</v>
      </c>
      <c r="AI27" s="93">
        <f>IF(Validation!$H$3=1,0,IF(ISNUMBER(K27),0,1))</f>
        <v>0</v>
      </c>
      <c r="AJ27" s="93">
        <f>IF(Validation!$H$3=1,0,IF(ISNUMBER(L27),0,1))</f>
        <v>0</v>
      </c>
      <c r="AK27" s="93">
        <f>IF(Validation!$H$3=1,0,IF(ISNUMBER(M27),0,1))</f>
        <v>0</v>
      </c>
      <c r="AL27" s="93">
        <f>IF(Validation!$H$3=1,0,IF(ISNUMBER(N27),0,1))</f>
        <v>0</v>
      </c>
      <c r="AM27" s="127"/>
      <c r="AN27" s="93">
        <f>IF(Validation!$H$3=1,0,IF(ISNUMBER(P27),0,1))</f>
        <v>0</v>
      </c>
      <c r="AO27" s="93">
        <f>IF(Validation!$H$3=1,0,IF(ISNUMBER(Q27),0,1))</f>
        <v>0</v>
      </c>
      <c r="AP27" s="93">
        <f>IF(Validation!$H$3=1,0,IF(ISNUMBER(R27),0,1))</f>
        <v>0</v>
      </c>
      <c r="AQ27" s="93">
        <f>IF(Validation!$H$3=1,0,IF(ISNUMBER(S27),0,1))</f>
        <v>0</v>
      </c>
      <c r="AR27" s="93">
        <f>IF(Validation!$H$3=1,0,IF(ISNUMBER(T27),0,1))</f>
        <v>0</v>
      </c>
      <c r="AS27" s="93">
        <f>IF(Validation!$H$3=1,0,IF(ISNUMBER(U27),0,1))</f>
        <v>0</v>
      </c>
      <c r="AT27" s="93">
        <f>IF(Validation!$H$3=1,0,IF(ISNUMBER(V27),0,1))</f>
        <v>0</v>
      </c>
      <c r="AU27" s="93">
        <f>IF(Validation!$H$3=1,0,IF(ISNUMBER(W27),0,1))</f>
        <v>0</v>
      </c>
      <c r="AV27" s="71"/>
      <c r="AW27" s="1882"/>
      <c r="AY27" s="1882"/>
      <c r="AZ27" s="1882"/>
      <c r="BA27" s="1882"/>
      <c r="BC27" s="1882"/>
      <c r="BD27" s="977" t="s">
        <v>5391</v>
      </c>
      <c r="BE27" s="2683" t="s">
        <v>5392</v>
      </c>
      <c r="BF27" s="2683"/>
      <c r="BG27" s="1881" t="s">
        <v>49</v>
      </c>
      <c r="BH27" s="978">
        <v>3</v>
      </c>
      <c r="BI27" s="2714" t="s">
        <v>5393</v>
      </c>
      <c r="BJ27" s="2715" t="s">
        <v>5394</v>
      </c>
      <c r="BK27" s="2716" t="s">
        <v>5395</v>
      </c>
      <c r="BL27" s="2717" t="s">
        <v>5396</v>
      </c>
      <c r="BM27" s="2715" t="s">
        <v>5397</v>
      </c>
      <c r="BN27" s="2715" t="s">
        <v>5398</v>
      </c>
      <c r="BO27" s="2718" t="s">
        <v>5399</v>
      </c>
      <c r="BP27" s="2716" t="s">
        <v>5400</v>
      </c>
      <c r="BQ27" s="1970" t="s">
        <v>5401</v>
      </c>
      <c r="BR27" s="2719" t="s">
        <v>5402</v>
      </c>
      <c r="BS27" s="2715" t="s">
        <v>5403</v>
      </c>
      <c r="BT27" s="2716" t="s">
        <v>5404</v>
      </c>
      <c r="BU27" s="2717" t="s">
        <v>5405</v>
      </c>
      <c r="BV27" s="2715" t="s">
        <v>5406</v>
      </c>
      <c r="BW27" s="2715" t="s">
        <v>5407</v>
      </c>
      <c r="BX27" s="2718" t="s">
        <v>5408</v>
      </c>
      <c r="BY27" s="2716" t="s">
        <v>5409</v>
      </c>
      <c r="BZ27" s="1970" t="s">
        <v>5410</v>
      </c>
    </row>
    <row r="28" spans="1:78" ht="16">
      <c r="A28" s="966"/>
      <c r="B28" s="977" t="s">
        <v>5411</v>
      </c>
      <c r="C28" s="981" t="s">
        <v>5412</v>
      </c>
      <c r="D28" s="981"/>
      <c r="E28" s="1881" t="s">
        <v>49</v>
      </c>
      <c r="F28" s="978">
        <v>3</v>
      </c>
      <c r="G28" s="1061"/>
      <c r="H28" s="1425"/>
      <c r="I28" s="1431"/>
      <c r="J28" s="1034"/>
      <c r="K28" s="1431"/>
      <c r="L28" s="1546"/>
      <c r="M28" s="1428"/>
      <c r="N28" s="1431"/>
      <c r="O28" s="241">
        <f t="shared" si="0"/>
        <v>0</v>
      </c>
      <c r="P28" s="1061"/>
      <c r="Q28" s="1425"/>
      <c r="R28" s="1431"/>
      <c r="S28" s="1034"/>
      <c r="T28" s="1431"/>
      <c r="U28" s="1546"/>
      <c r="V28" s="1428"/>
      <c r="W28" s="1431"/>
      <c r="X28" s="241">
        <f t="shared" si="1"/>
        <v>0</v>
      </c>
      <c r="Y28" s="1730"/>
      <c r="Z28" s="1882"/>
      <c r="AA28" s="868">
        <f t="shared" si="2"/>
        <v>0</v>
      </c>
      <c r="AB28" s="192"/>
      <c r="AC28" s="71"/>
      <c r="AD28" s="192"/>
      <c r="AE28" s="93">
        <f>IF(Validation!$H$3=1,0,IF(ISNUMBER(G28),0,1))</f>
        <v>0</v>
      </c>
      <c r="AF28" s="93">
        <f>IF(Validation!$H$3=1,0,IF(ISNUMBER(H28),0,1))</f>
        <v>0</v>
      </c>
      <c r="AG28" s="93">
        <f>IF(Validation!$H$3=1,0,IF(ISNUMBER(I28),0,1))</f>
        <v>0</v>
      </c>
      <c r="AH28" s="93">
        <f>IF(Validation!$H$3=1,0,IF(ISNUMBER(J28),0,1))</f>
        <v>0</v>
      </c>
      <c r="AI28" s="93">
        <f>IF(Validation!$H$3=1,0,IF(ISNUMBER(K28),0,1))</f>
        <v>0</v>
      </c>
      <c r="AJ28" s="93">
        <f>IF(Validation!$H$3=1,0,IF(ISNUMBER(L28),0,1))</f>
        <v>0</v>
      </c>
      <c r="AK28" s="93">
        <f>IF(Validation!$H$3=1,0,IF(ISNUMBER(M28),0,1))</f>
        <v>0</v>
      </c>
      <c r="AL28" s="93">
        <f>IF(Validation!$H$3=1,0,IF(ISNUMBER(N28),0,1))</f>
        <v>0</v>
      </c>
      <c r="AM28" s="127"/>
      <c r="AN28" s="93">
        <f>IF(Validation!$H$3=1,0,IF(ISNUMBER(P28),0,1))</f>
        <v>0</v>
      </c>
      <c r="AO28" s="93">
        <f>IF(Validation!$H$3=1,0,IF(ISNUMBER(Q28),0,1))</f>
        <v>0</v>
      </c>
      <c r="AP28" s="93">
        <f>IF(Validation!$H$3=1,0,IF(ISNUMBER(R28),0,1))</f>
        <v>0</v>
      </c>
      <c r="AQ28" s="93">
        <f>IF(Validation!$H$3=1,0,IF(ISNUMBER(S28),0,1))</f>
        <v>0</v>
      </c>
      <c r="AR28" s="93">
        <f>IF(Validation!$H$3=1,0,IF(ISNUMBER(T28),0,1))</f>
        <v>0</v>
      </c>
      <c r="AS28" s="93">
        <f>IF(Validation!$H$3=1,0,IF(ISNUMBER(U28),0,1))</f>
        <v>0</v>
      </c>
      <c r="AT28" s="93">
        <f>IF(Validation!$H$3=1,0,IF(ISNUMBER(V28),0,1))</f>
        <v>0</v>
      </c>
      <c r="AU28" s="93">
        <f>IF(Validation!$H$3=1,0,IF(ISNUMBER(W28),0,1))</f>
        <v>0</v>
      </c>
      <c r="AV28" s="71"/>
      <c r="AW28" s="1882"/>
      <c r="AY28" s="1882"/>
      <c r="AZ28" s="1882"/>
      <c r="BA28" s="1882"/>
      <c r="BC28" s="1882"/>
      <c r="BD28" s="977" t="s">
        <v>5411</v>
      </c>
      <c r="BE28" s="2683" t="s">
        <v>5412</v>
      </c>
      <c r="BF28" s="2683"/>
      <c r="BG28" s="1881" t="s">
        <v>49</v>
      </c>
      <c r="BH28" s="978">
        <v>3</v>
      </c>
      <c r="BI28" s="2714" t="s">
        <v>5413</v>
      </c>
      <c r="BJ28" s="2715" t="s">
        <v>5414</v>
      </c>
      <c r="BK28" s="2716" t="s">
        <v>5415</v>
      </c>
      <c r="BL28" s="2717" t="s">
        <v>5416</v>
      </c>
      <c r="BM28" s="2715" t="s">
        <v>5417</v>
      </c>
      <c r="BN28" s="2715" t="s">
        <v>5418</v>
      </c>
      <c r="BO28" s="2718" t="s">
        <v>5419</v>
      </c>
      <c r="BP28" s="2716" t="s">
        <v>5420</v>
      </c>
      <c r="BQ28" s="1970" t="s">
        <v>5421</v>
      </c>
      <c r="BR28" s="2719" t="s">
        <v>5422</v>
      </c>
      <c r="BS28" s="2715" t="s">
        <v>5423</v>
      </c>
      <c r="BT28" s="2716" t="s">
        <v>5424</v>
      </c>
      <c r="BU28" s="2717" t="s">
        <v>5425</v>
      </c>
      <c r="BV28" s="2715" t="s">
        <v>5426</v>
      </c>
      <c r="BW28" s="2715" t="s">
        <v>5427</v>
      </c>
      <c r="BX28" s="2718" t="s">
        <v>5428</v>
      </c>
      <c r="BY28" s="2716" t="s">
        <v>5429</v>
      </c>
      <c r="BZ28" s="1970" t="s">
        <v>5430</v>
      </c>
    </row>
    <row r="29" spans="1:78" ht="16">
      <c r="A29" s="966"/>
      <c r="B29" s="977" t="s">
        <v>5431</v>
      </c>
      <c r="C29" s="981" t="s">
        <v>5432</v>
      </c>
      <c r="D29" s="981"/>
      <c r="E29" s="1881" t="s">
        <v>49</v>
      </c>
      <c r="F29" s="978">
        <v>3</v>
      </c>
      <c r="G29" s="1061"/>
      <c r="H29" s="1425"/>
      <c r="I29" s="1431"/>
      <c r="J29" s="1034"/>
      <c r="K29" s="1431"/>
      <c r="L29" s="1546"/>
      <c r="M29" s="1428"/>
      <c r="N29" s="1431"/>
      <c r="O29" s="241">
        <f t="shared" si="0"/>
        <v>0</v>
      </c>
      <c r="P29" s="1061"/>
      <c r="Q29" s="1425"/>
      <c r="R29" s="1431"/>
      <c r="S29" s="1034"/>
      <c r="T29" s="1431"/>
      <c r="U29" s="1546"/>
      <c r="V29" s="1428"/>
      <c r="W29" s="1431"/>
      <c r="X29" s="241">
        <f t="shared" si="1"/>
        <v>0</v>
      </c>
      <c r="Y29" s="1730"/>
      <c r="Z29" s="1882"/>
      <c r="AA29" s="868">
        <f t="shared" si="2"/>
        <v>0</v>
      </c>
      <c r="AB29" s="192"/>
      <c r="AC29" s="71"/>
      <c r="AD29" s="192"/>
      <c r="AE29" s="93">
        <f>IF(Validation!$H$3=1,0,IF(ISNUMBER(G29),0,1))</f>
        <v>0</v>
      </c>
      <c r="AF29" s="93">
        <f>IF(Validation!$H$3=1,0,IF(ISNUMBER(H29),0,1))</f>
        <v>0</v>
      </c>
      <c r="AG29" s="93">
        <f>IF(Validation!$H$3=1,0,IF(ISNUMBER(I29),0,1))</f>
        <v>0</v>
      </c>
      <c r="AH29" s="93">
        <f>IF(Validation!$H$3=1,0,IF(ISNUMBER(J29),0,1))</f>
        <v>0</v>
      </c>
      <c r="AI29" s="93">
        <f>IF(Validation!$H$3=1,0,IF(ISNUMBER(K29),0,1))</f>
        <v>0</v>
      </c>
      <c r="AJ29" s="93">
        <f>IF(Validation!$H$3=1,0,IF(ISNUMBER(L29),0,1))</f>
        <v>0</v>
      </c>
      <c r="AK29" s="93">
        <f>IF(Validation!$H$3=1,0,IF(ISNUMBER(M29),0,1))</f>
        <v>0</v>
      </c>
      <c r="AL29" s="93">
        <f>IF(Validation!$H$3=1,0,IF(ISNUMBER(N29),0,1))</f>
        <v>0</v>
      </c>
      <c r="AM29" s="127"/>
      <c r="AN29" s="93">
        <f>IF(Validation!$H$3=1,0,IF(ISNUMBER(P29),0,1))</f>
        <v>0</v>
      </c>
      <c r="AO29" s="93">
        <f>IF(Validation!$H$3=1,0,IF(ISNUMBER(Q29),0,1))</f>
        <v>0</v>
      </c>
      <c r="AP29" s="93">
        <f>IF(Validation!$H$3=1,0,IF(ISNUMBER(R29),0,1))</f>
        <v>0</v>
      </c>
      <c r="AQ29" s="93">
        <f>IF(Validation!$H$3=1,0,IF(ISNUMBER(S29),0,1))</f>
        <v>0</v>
      </c>
      <c r="AR29" s="93">
        <f>IF(Validation!$H$3=1,0,IF(ISNUMBER(T29),0,1))</f>
        <v>0</v>
      </c>
      <c r="AS29" s="93">
        <f>IF(Validation!$H$3=1,0,IF(ISNUMBER(U29),0,1))</f>
        <v>0</v>
      </c>
      <c r="AT29" s="93">
        <f>IF(Validation!$H$3=1,0,IF(ISNUMBER(V29),0,1))</f>
        <v>0</v>
      </c>
      <c r="AU29" s="93">
        <f>IF(Validation!$H$3=1,0,IF(ISNUMBER(W29),0,1))</f>
        <v>0</v>
      </c>
      <c r="AV29" s="71"/>
      <c r="AW29" s="1882"/>
      <c r="AY29" s="1882"/>
      <c r="AZ29" s="1882"/>
      <c r="BA29" s="1882"/>
      <c r="BC29" s="1882"/>
      <c r="BD29" s="977" t="s">
        <v>5431</v>
      </c>
      <c r="BE29" s="2683" t="s">
        <v>5432</v>
      </c>
      <c r="BF29" s="2683"/>
      <c r="BG29" s="1881" t="s">
        <v>49</v>
      </c>
      <c r="BH29" s="978">
        <v>3</v>
      </c>
      <c r="BI29" s="2714" t="s">
        <v>5433</v>
      </c>
      <c r="BJ29" s="2715" t="s">
        <v>5434</v>
      </c>
      <c r="BK29" s="2716" t="s">
        <v>5435</v>
      </c>
      <c r="BL29" s="2717" t="s">
        <v>5436</v>
      </c>
      <c r="BM29" s="2715" t="s">
        <v>5437</v>
      </c>
      <c r="BN29" s="2715" t="s">
        <v>5438</v>
      </c>
      <c r="BO29" s="2718" t="s">
        <v>5439</v>
      </c>
      <c r="BP29" s="2716" t="s">
        <v>5440</v>
      </c>
      <c r="BQ29" s="1970" t="s">
        <v>5441</v>
      </c>
      <c r="BR29" s="2719" t="s">
        <v>5442</v>
      </c>
      <c r="BS29" s="2715" t="s">
        <v>5443</v>
      </c>
      <c r="BT29" s="2716" t="s">
        <v>5444</v>
      </c>
      <c r="BU29" s="2717" t="s">
        <v>5445</v>
      </c>
      <c r="BV29" s="2715" t="s">
        <v>5446</v>
      </c>
      <c r="BW29" s="2715" t="s">
        <v>5447</v>
      </c>
      <c r="BX29" s="2718" t="s">
        <v>5448</v>
      </c>
      <c r="BY29" s="2716" t="s">
        <v>5449</v>
      </c>
      <c r="BZ29" s="1970" t="s">
        <v>5450</v>
      </c>
    </row>
    <row r="30" spans="1:78" ht="16">
      <c r="A30" s="966"/>
      <c r="B30" s="977" t="s">
        <v>5451</v>
      </c>
      <c r="C30" s="981" t="s">
        <v>5452</v>
      </c>
      <c r="D30" s="981"/>
      <c r="E30" s="1881" t="s">
        <v>49</v>
      </c>
      <c r="F30" s="978">
        <v>3</v>
      </c>
      <c r="G30" s="1061"/>
      <c r="H30" s="1425"/>
      <c r="I30" s="1431"/>
      <c r="J30" s="1034"/>
      <c r="K30" s="1431"/>
      <c r="L30" s="1546"/>
      <c r="M30" s="1428"/>
      <c r="N30" s="1431"/>
      <c r="O30" s="241">
        <f t="shared" si="0"/>
        <v>0</v>
      </c>
      <c r="P30" s="1061"/>
      <c r="Q30" s="1425"/>
      <c r="R30" s="1431"/>
      <c r="S30" s="1034"/>
      <c r="T30" s="1431"/>
      <c r="U30" s="1546"/>
      <c r="V30" s="1428"/>
      <c r="W30" s="1431"/>
      <c r="X30" s="241">
        <f t="shared" si="1"/>
        <v>0</v>
      </c>
      <c r="Y30" s="1730"/>
      <c r="Z30" s="1882"/>
      <c r="AA30" s="868">
        <f t="shared" si="2"/>
        <v>0</v>
      </c>
      <c r="AB30" s="192"/>
      <c r="AC30" s="71"/>
      <c r="AD30" s="192"/>
      <c r="AE30" s="93">
        <f>IF(Validation!$H$3=1,0,IF(ISNUMBER(G30),0,1))</f>
        <v>0</v>
      </c>
      <c r="AF30" s="93">
        <f>IF(Validation!$H$3=1,0,IF(ISNUMBER(H30),0,1))</f>
        <v>0</v>
      </c>
      <c r="AG30" s="93">
        <f>IF(Validation!$H$3=1,0,IF(ISNUMBER(I30),0,1))</f>
        <v>0</v>
      </c>
      <c r="AH30" s="93">
        <f>IF(Validation!$H$3=1,0,IF(ISNUMBER(J30),0,1))</f>
        <v>0</v>
      </c>
      <c r="AI30" s="93">
        <f>IF(Validation!$H$3=1,0,IF(ISNUMBER(K30),0,1))</f>
        <v>0</v>
      </c>
      <c r="AJ30" s="93">
        <f>IF(Validation!$H$3=1,0,IF(ISNUMBER(L30),0,1))</f>
        <v>0</v>
      </c>
      <c r="AK30" s="93">
        <f>IF(Validation!$H$3=1,0,IF(ISNUMBER(M30),0,1))</f>
        <v>0</v>
      </c>
      <c r="AL30" s="93">
        <f>IF(Validation!$H$3=1,0,IF(ISNUMBER(N30),0,1))</f>
        <v>0</v>
      </c>
      <c r="AM30" s="127"/>
      <c r="AN30" s="93">
        <f>IF(Validation!$H$3=1,0,IF(ISNUMBER(P30),0,1))</f>
        <v>0</v>
      </c>
      <c r="AO30" s="93">
        <f>IF(Validation!$H$3=1,0,IF(ISNUMBER(Q30),0,1))</f>
        <v>0</v>
      </c>
      <c r="AP30" s="93">
        <f>IF(Validation!$H$3=1,0,IF(ISNUMBER(R30),0,1))</f>
        <v>0</v>
      </c>
      <c r="AQ30" s="93">
        <f>IF(Validation!$H$3=1,0,IF(ISNUMBER(S30),0,1))</f>
        <v>0</v>
      </c>
      <c r="AR30" s="93">
        <f>IF(Validation!$H$3=1,0,IF(ISNUMBER(T30),0,1))</f>
        <v>0</v>
      </c>
      <c r="AS30" s="93">
        <f>IF(Validation!$H$3=1,0,IF(ISNUMBER(U30),0,1))</f>
        <v>0</v>
      </c>
      <c r="AT30" s="93">
        <f>IF(Validation!$H$3=1,0,IF(ISNUMBER(V30),0,1))</f>
        <v>0</v>
      </c>
      <c r="AU30" s="93">
        <f>IF(Validation!$H$3=1,0,IF(ISNUMBER(W30),0,1))</f>
        <v>0</v>
      </c>
      <c r="AV30" s="71"/>
      <c r="AW30" s="1882"/>
      <c r="AY30" s="1882"/>
      <c r="AZ30" s="1882"/>
      <c r="BA30" s="1882"/>
      <c r="BC30" s="1882"/>
      <c r="BD30" s="977" t="s">
        <v>5451</v>
      </c>
      <c r="BE30" s="2683" t="s">
        <v>5452</v>
      </c>
      <c r="BF30" s="2683"/>
      <c r="BG30" s="1881" t="s">
        <v>49</v>
      </c>
      <c r="BH30" s="978">
        <v>3</v>
      </c>
      <c r="BI30" s="2714" t="s">
        <v>5453</v>
      </c>
      <c r="BJ30" s="2715" t="s">
        <v>5454</v>
      </c>
      <c r="BK30" s="2716" t="s">
        <v>5455</v>
      </c>
      <c r="BL30" s="2717" t="s">
        <v>5456</v>
      </c>
      <c r="BM30" s="2715" t="s">
        <v>5457</v>
      </c>
      <c r="BN30" s="2715" t="s">
        <v>5458</v>
      </c>
      <c r="BO30" s="2718" t="s">
        <v>5459</v>
      </c>
      <c r="BP30" s="2716" t="s">
        <v>5460</v>
      </c>
      <c r="BQ30" s="1970" t="s">
        <v>5461</v>
      </c>
      <c r="BR30" s="2719" t="s">
        <v>5462</v>
      </c>
      <c r="BS30" s="2715" t="s">
        <v>5463</v>
      </c>
      <c r="BT30" s="2716" t="s">
        <v>5464</v>
      </c>
      <c r="BU30" s="2717" t="s">
        <v>5465</v>
      </c>
      <c r="BV30" s="2715" t="s">
        <v>5466</v>
      </c>
      <c r="BW30" s="2715" t="s">
        <v>5467</v>
      </c>
      <c r="BX30" s="2718" t="s">
        <v>5468</v>
      </c>
      <c r="BY30" s="2716" t="s">
        <v>5469</v>
      </c>
      <c r="BZ30" s="1970" t="s">
        <v>5470</v>
      </c>
    </row>
    <row r="31" spans="1:78" ht="16">
      <c r="A31" s="966"/>
      <c r="B31" s="977" t="s">
        <v>5471</v>
      </c>
      <c r="C31" s="981" t="s">
        <v>5472</v>
      </c>
      <c r="D31" s="981"/>
      <c r="E31" s="1881" t="s">
        <v>49</v>
      </c>
      <c r="F31" s="978">
        <v>3</v>
      </c>
      <c r="G31" s="1061"/>
      <c r="H31" s="1425"/>
      <c r="I31" s="1431"/>
      <c r="J31" s="1034"/>
      <c r="K31" s="1431"/>
      <c r="L31" s="1546"/>
      <c r="M31" s="1428"/>
      <c r="N31" s="1431"/>
      <c r="O31" s="241">
        <f t="shared" si="0"/>
        <v>0</v>
      </c>
      <c r="P31" s="1061"/>
      <c r="Q31" s="1425"/>
      <c r="R31" s="1431"/>
      <c r="S31" s="1034"/>
      <c r="T31" s="1431"/>
      <c r="U31" s="1546"/>
      <c r="V31" s="1428"/>
      <c r="W31" s="1431"/>
      <c r="X31" s="241">
        <f t="shared" si="1"/>
        <v>0</v>
      </c>
      <c r="Y31" s="1730"/>
      <c r="Z31" s="1882"/>
      <c r="AA31" s="868">
        <f t="shared" si="2"/>
        <v>0</v>
      </c>
      <c r="AB31" s="192"/>
      <c r="AC31" s="71"/>
      <c r="AD31" s="192"/>
      <c r="AE31" s="93">
        <f>IF(Validation!$H$3=1,0,IF(ISNUMBER(G31),0,1))</f>
        <v>0</v>
      </c>
      <c r="AF31" s="93">
        <f>IF(Validation!$H$3=1,0,IF(ISNUMBER(H31),0,1))</f>
        <v>0</v>
      </c>
      <c r="AG31" s="93">
        <f>IF(Validation!$H$3=1,0,IF(ISNUMBER(I31),0,1))</f>
        <v>0</v>
      </c>
      <c r="AH31" s="93">
        <f>IF(Validation!$H$3=1,0,IF(ISNUMBER(J31),0,1))</f>
        <v>0</v>
      </c>
      <c r="AI31" s="93">
        <f>IF(Validation!$H$3=1,0,IF(ISNUMBER(K31),0,1))</f>
        <v>0</v>
      </c>
      <c r="AJ31" s="93">
        <f>IF(Validation!$H$3=1,0,IF(ISNUMBER(L31),0,1))</f>
        <v>0</v>
      </c>
      <c r="AK31" s="93">
        <f>IF(Validation!$H$3=1,0,IF(ISNUMBER(M31),0,1))</f>
        <v>0</v>
      </c>
      <c r="AL31" s="93">
        <f>IF(Validation!$H$3=1,0,IF(ISNUMBER(N31),0,1))</f>
        <v>0</v>
      </c>
      <c r="AM31" s="127"/>
      <c r="AN31" s="93">
        <f>IF(Validation!$H$3=1,0,IF(ISNUMBER(P31),0,1))</f>
        <v>0</v>
      </c>
      <c r="AO31" s="93">
        <f>IF(Validation!$H$3=1,0,IF(ISNUMBER(Q31),0,1))</f>
        <v>0</v>
      </c>
      <c r="AP31" s="93">
        <f>IF(Validation!$H$3=1,0,IF(ISNUMBER(R31),0,1))</f>
        <v>0</v>
      </c>
      <c r="AQ31" s="93">
        <f>IF(Validation!$H$3=1,0,IF(ISNUMBER(S31),0,1))</f>
        <v>0</v>
      </c>
      <c r="AR31" s="93">
        <f>IF(Validation!$H$3=1,0,IF(ISNUMBER(T31),0,1))</f>
        <v>0</v>
      </c>
      <c r="AS31" s="93">
        <f>IF(Validation!$H$3=1,0,IF(ISNUMBER(U31),0,1))</f>
        <v>0</v>
      </c>
      <c r="AT31" s="93">
        <f>IF(Validation!$H$3=1,0,IF(ISNUMBER(V31),0,1))</f>
        <v>0</v>
      </c>
      <c r="AU31" s="93">
        <f>IF(Validation!$H$3=1,0,IF(ISNUMBER(W31),0,1))</f>
        <v>0</v>
      </c>
      <c r="AV31" s="71"/>
      <c r="AW31" s="1882"/>
      <c r="AY31" s="1882"/>
      <c r="AZ31" s="1882"/>
      <c r="BA31" s="1882"/>
      <c r="BC31" s="1882"/>
      <c r="BD31" s="977" t="s">
        <v>5471</v>
      </c>
      <c r="BE31" s="2683" t="s">
        <v>5472</v>
      </c>
      <c r="BF31" s="2683"/>
      <c r="BG31" s="1881" t="s">
        <v>49</v>
      </c>
      <c r="BH31" s="978">
        <v>3</v>
      </c>
      <c r="BI31" s="2714" t="s">
        <v>5473</v>
      </c>
      <c r="BJ31" s="2715" t="s">
        <v>5474</v>
      </c>
      <c r="BK31" s="2716" t="s">
        <v>5475</v>
      </c>
      <c r="BL31" s="2717" t="s">
        <v>5476</v>
      </c>
      <c r="BM31" s="2715" t="s">
        <v>5477</v>
      </c>
      <c r="BN31" s="2715" t="s">
        <v>5478</v>
      </c>
      <c r="BO31" s="2718" t="s">
        <v>5479</v>
      </c>
      <c r="BP31" s="2716" t="s">
        <v>5480</v>
      </c>
      <c r="BQ31" s="1970" t="s">
        <v>5481</v>
      </c>
      <c r="BR31" s="2719" t="s">
        <v>5482</v>
      </c>
      <c r="BS31" s="2715" t="s">
        <v>5483</v>
      </c>
      <c r="BT31" s="2716" t="s">
        <v>5484</v>
      </c>
      <c r="BU31" s="2717" t="s">
        <v>5485</v>
      </c>
      <c r="BV31" s="2715" t="s">
        <v>5486</v>
      </c>
      <c r="BW31" s="2715" t="s">
        <v>5487</v>
      </c>
      <c r="BX31" s="2718" t="s">
        <v>5488</v>
      </c>
      <c r="BY31" s="2716" t="s">
        <v>5489</v>
      </c>
      <c r="BZ31" s="1970" t="s">
        <v>5490</v>
      </c>
    </row>
    <row r="32" spans="1:78" ht="16">
      <c r="A32" s="966"/>
      <c r="B32" s="977" t="s">
        <v>5491</v>
      </c>
      <c r="C32" s="981" t="s">
        <v>5492</v>
      </c>
      <c r="D32" s="981"/>
      <c r="E32" s="1881" t="s">
        <v>49</v>
      </c>
      <c r="F32" s="978">
        <v>3</v>
      </c>
      <c r="G32" s="1061"/>
      <c r="H32" s="1425"/>
      <c r="I32" s="1431"/>
      <c r="J32" s="1034"/>
      <c r="K32" s="1431"/>
      <c r="L32" s="1546"/>
      <c r="M32" s="1428"/>
      <c r="N32" s="1431"/>
      <c r="O32" s="241">
        <f t="shared" si="0"/>
        <v>0</v>
      </c>
      <c r="P32" s="1061"/>
      <c r="Q32" s="1425"/>
      <c r="R32" s="1431"/>
      <c r="S32" s="1034"/>
      <c r="T32" s="1431"/>
      <c r="U32" s="1546"/>
      <c r="V32" s="1428"/>
      <c r="W32" s="1431"/>
      <c r="X32" s="241">
        <f t="shared" si="1"/>
        <v>0</v>
      </c>
      <c r="Y32" s="1730"/>
      <c r="Z32" s="1882"/>
      <c r="AA32" s="868">
        <f t="shared" si="2"/>
        <v>0</v>
      </c>
      <c r="AB32" s="192"/>
      <c r="AC32" s="71"/>
      <c r="AD32" s="192"/>
      <c r="AE32" s="93">
        <f>IF(Validation!$H$3=1,0,IF(ISNUMBER(G32),0,1))</f>
        <v>0</v>
      </c>
      <c r="AF32" s="93">
        <f>IF(Validation!$H$3=1,0,IF(ISNUMBER(H32),0,1))</f>
        <v>0</v>
      </c>
      <c r="AG32" s="93">
        <f>IF(Validation!$H$3=1,0,IF(ISNUMBER(I32),0,1))</f>
        <v>0</v>
      </c>
      <c r="AH32" s="93">
        <f>IF(Validation!$H$3=1,0,IF(ISNUMBER(J32),0,1))</f>
        <v>0</v>
      </c>
      <c r="AI32" s="93">
        <f>IF(Validation!$H$3=1,0,IF(ISNUMBER(K32),0,1))</f>
        <v>0</v>
      </c>
      <c r="AJ32" s="93">
        <f>IF(Validation!$H$3=1,0,IF(ISNUMBER(L32),0,1))</f>
        <v>0</v>
      </c>
      <c r="AK32" s="93">
        <f>IF(Validation!$H$3=1,0,IF(ISNUMBER(M32),0,1))</f>
        <v>0</v>
      </c>
      <c r="AL32" s="93">
        <f>IF(Validation!$H$3=1,0,IF(ISNUMBER(N32),0,1))</f>
        <v>0</v>
      </c>
      <c r="AM32" s="127"/>
      <c r="AN32" s="93">
        <f>IF(Validation!$H$3=1,0,IF(ISNUMBER(P32),0,1))</f>
        <v>0</v>
      </c>
      <c r="AO32" s="93">
        <f>IF(Validation!$H$3=1,0,IF(ISNUMBER(Q32),0,1))</f>
        <v>0</v>
      </c>
      <c r="AP32" s="93">
        <f>IF(Validation!$H$3=1,0,IF(ISNUMBER(R32),0,1))</f>
        <v>0</v>
      </c>
      <c r="AQ32" s="93">
        <f>IF(Validation!$H$3=1,0,IF(ISNUMBER(S32),0,1))</f>
        <v>0</v>
      </c>
      <c r="AR32" s="93">
        <f>IF(Validation!$H$3=1,0,IF(ISNUMBER(T32),0,1))</f>
        <v>0</v>
      </c>
      <c r="AS32" s="93">
        <f>IF(Validation!$H$3=1,0,IF(ISNUMBER(U32),0,1))</f>
        <v>0</v>
      </c>
      <c r="AT32" s="93">
        <f>IF(Validation!$H$3=1,0,IF(ISNUMBER(V32),0,1))</f>
        <v>0</v>
      </c>
      <c r="AU32" s="93">
        <f>IF(Validation!$H$3=1,0,IF(ISNUMBER(W32),0,1))</f>
        <v>0</v>
      </c>
      <c r="AV32" s="71"/>
      <c r="AW32" s="1882"/>
      <c r="AY32" s="1882"/>
      <c r="AZ32" s="1882"/>
      <c r="BA32" s="1882"/>
      <c r="BC32" s="1882"/>
      <c r="BD32" s="977" t="s">
        <v>5491</v>
      </c>
      <c r="BE32" s="2683" t="s">
        <v>5492</v>
      </c>
      <c r="BF32" s="2683"/>
      <c r="BG32" s="1881" t="s">
        <v>49</v>
      </c>
      <c r="BH32" s="978">
        <v>3</v>
      </c>
      <c r="BI32" s="2714" t="s">
        <v>5493</v>
      </c>
      <c r="BJ32" s="2715" t="s">
        <v>5494</v>
      </c>
      <c r="BK32" s="2716" t="s">
        <v>5495</v>
      </c>
      <c r="BL32" s="2717" t="s">
        <v>5496</v>
      </c>
      <c r="BM32" s="2715" t="s">
        <v>5497</v>
      </c>
      <c r="BN32" s="2715" t="s">
        <v>5498</v>
      </c>
      <c r="BO32" s="2718" t="s">
        <v>5499</v>
      </c>
      <c r="BP32" s="2716" t="s">
        <v>5500</v>
      </c>
      <c r="BQ32" s="1970" t="s">
        <v>5501</v>
      </c>
      <c r="BR32" s="2719" t="s">
        <v>5502</v>
      </c>
      <c r="BS32" s="2715" t="s">
        <v>5503</v>
      </c>
      <c r="BT32" s="2716" t="s">
        <v>5504</v>
      </c>
      <c r="BU32" s="2717" t="s">
        <v>5505</v>
      </c>
      <c r="BV32" s="2715" t="s">
        <v>5506</v>
      </c>
      <c r="BW32" s="2715" t="s">
        <v>5507</v>
      </c>
      <c r="BX32" s="2718" t="s">
        <v>5508</v>
      </c>
      <c r="BY32" s="2716" t="s">
        <v>5509</v>
      </c>
      <c r="BZ32" s="1970" t="s">
        <v>5510</v>
      </c>
    </row>
    <row r="33" spans="1:79" ht="16">
      <c r="A33" s="966"/>
      <c r="B33" s="977" t="s">
        <v>5511</v>
      </c>
      <c r="C33" s="981" t="s">
        <v>4580</v>
      </c>
      <c r="D33" s="981"/>
      <c r="E33" s="1881" t="s">
        <v>49</v>
      </c>
      <c r="F33" s="978">
        <v>3</v>
      </c>
      <c r="G33" s="1061"/>
      <c r="H33" s="1425"/>
      <c r="I33" s="1431"/>
      <c r="J33" s="1034"/>
      <c r="K33" s="1431"/>
      <c r="L33" s="1546"/>
      <c r="M33" s="1428"/>
      <c r="N33" s="1431"/>
      <c r="O33" s="241">
        <f t="shared" si="0"/>
        <v>0</v>
      </c>
      <c r="P33" s="1061"/>
      <c r="Q33" s="1425"/>
      <c r="R33" s="1431"/>
      <c r="S33" s="1034"/>
      <c r="T33" s="1431"/>
      <c r="U33" s="1546"/>
      <c r="V33" s="1428"/>
      <c r="W33" s="1431"/>
      <c r="X33" s="241">
        <f t="shared" si="1"/>
        <v>0</v>
      </c>
      <c r="Y33" s="1730"/>
      <c r="Z33" s="1882"/>
      <c r="AA33" s="868">
        <f t="shared" si="2"/>
        <v>0</v>
      </c>
      <c r="AB33" s="192"/>
      <c r="AC33" s="71"/>
      <c r="AD33" s="192"/>
      <c r="AE33" s="93">
        <f>IF(Validation!$H$3=1,0,IF(ISNUMBER(G33),0,1))</f>
        <v>0</v>
      </c>
      <c r="AF33" s="93">
        <f>IF(Validation!$H$3=1,0,IF(ISNUMBER(H33),0,1))</f>
        <v>0</v>
      </c>
      <c r="AG33" s="93">
        <f>IF(Validation!$H$3=1,0,IF(ISNUMBER(I33),0,1))</f>
        <v>0</v>
      </c>
      <c r="AH33" s="93">
        <f>IF(Validation!$H$3=1,0,IF(ISNUMBER(J33),0,1))</f>
        <v>0</v>
      </c>
      <c r="AI33" s="93">
        <f>IF(Validation!$H$3=1,0,IF(ISNUMBER(K33),0,1))</f>
        <v>0</v>
      </c>
      <c r="AJ33" s="93">
        <f>IF(Validation!$H$3=1,0,IF(ISNUMBER(L33),0,1))</f>
        <v>0</v>
      </c>
      <c r="AK33" s="93">
        <f>IF(Validation!$H$3=1,0,IF(ISNUMBER(M33),0,1))</f>
        <v>0</v>
      </c>
      <c r="AL33" s="93">
        <f>IF(Validation!$H$3=1,0,IF(ISNUMBER(N33),0,1))</f>
        <v>0</v>
      </c>
      <c r="AM33" s="127"/>
      <c r="AN33" s="93">
        <f>IF(Validation!$H$3=1,0,IF(ISNUMBER(P33),0,1))</f>
        <v>0</v>
      </c>
      <c r="AO33" s="93">
        <f>IF(Validation!$H$3=1,0,IF(ISNUMBER(Q33),0,1))</f>
        <v>0</v>
      </c>
      <c r="AP33" s="93">
        <f>IF(Validation!$H$3=1,0,IF(ISNUMBER(R33),0,1))</f>
        <v>0</v>
      </c>
      <c r="AQ33" s="93">
        <f>IF(Validation!$H$3=1,0,IF(ISNUMBER(S33),0,1))</f>
        <v>0</v>
      </c>
      <c r="AR33" s="93">
        <f>IF(Validation!$H$3=1,0,IF(ISNUMBER(T33),0,1))</f>
        <v>0</v>
      </c>
      <c r="AS33" s="93">
        <f>IF(Validation!$H$3=1,0,IF(ISNUMBER(U33),0,1))</f>
        <v>0</v>
      </c>
      <c r="AT33" s="93">
        <f>IF(Validation!$H$3=1,0,IF(ISNUMBER(V33),0,1))</f>
        <v>0</v>
      </c>
      <c r="AU33" s="93">
        <f>IF(Validation!$H$3=1,0,IF(ISNUMBER(W33),0,1))</f>
        <v>0</v>
      </c>
      <c r="AV33" s="71"/>
      <c r="AW33" s="1882"/>
      <c r="AY33" s="1882"/>
      <c r="AZ33" s="1882"/>
      <c r="BA33" s="1882"/>
      <c r="BC33" s="1882"/>
      <c r="BD33" s="977" t="s">
        <v>5511</v>
      </c>
      <c r="BE33" s="2683" t="s">
        <v>4580</v>
      </c>
      <c r="BF33" s="2683"/>
      <c r="BG33" s="1881" t="s">
        <v>49</v>
      </c>
      <c r="BH33" s="978">
        <v>3</v>
      </c>
      <c r="BI33" s="2714" t="s">
        <v>5512</v>
      </c>
      <c r="BJ33" s="2715" t="s">
        <v>5513</v>
      </c>
      <c r="BK33" s="2716" t="s">
        <v>5514</v>
      </c>
      <c r="BL33" s="2717" t="s">
        <v>5515</v>
      </c>
      <c r="BM33" s="2715" t="s">
        <v>5516</v>
      </c>
      <c r="BN33" s="2715" t="s">
        <v>5517</v>
      </c>
      <c r="BO33" s="2718" t="s">
        <v>5518</v>
      </c>
      <c r="BP33" s="2716" t="s">
        <v>5519</v>
      </c>
      <c r="BQ33" s="1970" t="s">
        <v>5520</v>
      </c>
      <c r="BR33" s="2719" t="s">
        <v>5521</v>
      </c>
      <c r="BS33" s="2715" t="s">
        <v>5522</v>
      </c>
      <c r="BT33" s="2716" t="s">
        <v>5523</v>
      </c>
      <c r="BU33" s="2717" t="s">
        <v>5524</v>
      </c>
      <c r="BV33" s="2715" t="s">
        <v>5525</v>
      </c>
      <c r="BW33" s="2715" t="s">
        <v>5526</v>
      </c>
      <c r="BX33" s="2718" t="s">
        <v>5527</v>
      </c>
      <c r="BY33" s="2716" t="s">
        <v>5528</v>
      </c>
      <c r="BZ33" s="1970" t="s">
        <v>5529</v>
      </c>
      <c r="CA33" s="1882"/>
    </row>
    <row r="34" spans="1:79" ht="16">
      <c r="A34" s="966"/>
      <c r="B34" s="977" t="s">
        <v>5530</v>
      </c>
      <c r="C34" s="981" t="s">
        <v>4596</v>
      </c>
      <c r="D34" s="981"/>
      <c r="E34" s="1881" t="s">
        <v>49</v>
      </c>
      <c r="F34" s="978">
        <v>3</v>
      </c>
      <c r="G34" s="1061"/>
      <c r="H34" s="1425"/>
      <c r="I34" s="1431"/>
      <c r="J34" s="1034"/>
      <c r="K34" s="1431"/>
      <c r="L34" s="1546"/>
      <c r="M34" s="1428"/>
      <c r="N34" s="1431"/>
      <c r="O34" s="241">
        <f t="shared" si="0"/>
        <v>0</v>
      </c>
      <c r="P34" s="1061"/>
      <c r="Q34" s="1425"/>
      <c r="R34" s="1431"/>
      <c r="S34" s="1034"/>
      <c r="T34" s="1431"/>
      <c r="U34" s="1546"/>
      <c r="V34" s="1428"/>
      <c r="W34" s="1431"/>
      <c r="X34" s="241">
        <f t="shared" si="1"/>
        <v>0</v>
      </c>
      <c r="Y34" s="1730"/>
      <c r="Z34" s="1882"/>
      <c r="AA34" s="868">
        <f t="shared" si="2"/>
        <v>0</v>
      </c>
      <c r="AB34" s="192"/>
      <c r="AC34" s="71"/>
      <c r="AD34" s="192"/>
      <c r="AE34" s="93">
        <f>IF(Validation!$H$3=1,0,IF(ISNUMBER(G34),0,1))</f>
        <v>0</v>
      </c>
      <c r="AF34" s="93">
        <f>IF(Validation!$H$3=1,0,IF(ISNUMBER(H34),0,1))</f>
        <v>0</v>
      </c>
      <c r="AG34" s="93">
        <f>IF(Validation!$H$3=1,0,IF(ISNUMBER(I34),0,1))</f>
        <v>0</v>
      </c>
      <c r="AH34" s="93">
        <f>IF(Validation!$H$3=1,0,IF(ISNUMBER(J34),0,1))</f>
        <v>0</v>
      </c>
      <c r="AI34" s="93">
        <f>IF(Validation!$H$3=1,0,IF(ISNUMBER(K34),0,1))</f>
        <v>0</v>
      </c>
      <c r="AJ34" s="93">
        <f>IF(Validation!$H$3=1,0,IF(ISNUMBER(L34),0,1))</f>
        <v>0</v>
      </c>
      <c r="AK34" s="93">
        <f>IF(Validation!$H$3=1,0,IF(ISNUMBER(M34),0,1))</f>
        <v>0</v>
      </c>
      <c r="AL34" s="93">
        <f>IF(Validation!$H$3=1,0,IF(ISNUMBER(N34),0,1))</f>
        <v>0</v>
      </c>
      <c r="AM34" s="127"/>
      <c r="AN34" s="93">
        <f>IF(Validation!$H$3=1,0,IF(ISNUMBER(P34),0,1))</f>
        <v>0</v>
      </c>
      <c r="AO34" s="93">
        <f>IF(Validation!$H$3=1,0,IF(ISNUMBER(Q34),0,1))</f>
        <v>0</v>
      </c>
      <c r="AP34" s="93">
        <f>IF(Validation!$H$3=1,0,IF(ISNUMBER(R34),0,1))</f>
        <v>0</v>
      </c>
      <c r="AQ34" s="93">
        <f>IF(Validation!$H$3=1,0,IF(ISNUMBER(S34),0,1))</f>
        <v>0</v>
      </c>
      <c r="AR34" s="93">
        <f>IF(Validation!$H$3=1,0,IF(ISNUMBER(T34),0,1))</f>
        <v>0</v>
      </c>
      <c r="AS34" s="93">
        <f>IF(Validation!$H$3=1,0,IF(ISNUMBER(U34),0,1))</f>
        <v>0</v>
      </c>
      <c r="AT34" s="93">
        <f>IF(Validation!$H$3=1,0,IF(ISNUMBER(V34),0,1))</f>
        <v>0</v>
      </c>
      <c r="AU34" s="93">
        <f>IF(Validation!$H$3=1,0,IF(ISNUMBER(W34),0,1))</f>
        <v>0</v>
      </c>
      <c r="AV34" s="71"/>
      <c r="AW34" s="1882"/>
      <c r="AY34" s="1882"/>
      <c r="AZ34" s="1882"/>
      <c r="BA34" s="1882"/>
      <c r="BC34" s="1882"/>
      <c r="BD34" s="977" t="s">
        <v>5530</v>
      </c>
      <c r="BE34" s="2683" t="s">
        <v>4596</v>
      </c>
      <c r="BF34" s="2683"/>
      <c r="BG34" s="1881" t="s">
        <v>49</v>
      </c>
      <c r="BH34" s="978">
        <v>3</v>
      </c>
      <c r="BI34" s="2714" t="s">
        <v>5531</v>
      </c>
      <c r="BJ34" s="2715" t="s">
        <v>5532</v>
      </c>
      <c r="BK34" s="2716" t="s">
        <v>5533</v>
      </c>
      <c r="BL34" s="2717" t="s">
        <v>5534</v>
      </c>
      <c r="BM34" s="2715" t="s">
        <v>5535</v>
      </c>
      <c r="BN34" s="2715" t="s">
        <v>5536</v>
      </c>
      <c r="BO34" s="2718" t="s">
        <v>5537</v>
      </c>
      <c r="BP34" s="2716" t="s">
        <v>5538</v>
      </c>
      <c r="BQ34" s="1970" t="s">
        <v>5539</v>
      </c>
      <c r="BR34" s="2719" t="s">
        <v>5540</v>
      </c>
      <c r="BS34" s="2715" t="s">
        <v>5541</v>
      </c>
      <c r="BT34" s="2716" t="s">
        <v>5542</v>
      </c>
      <c r="BU34" s="2717" t="s">
        <v>5543</v>
      </c>
      <c r="BV34" s="2715" t="s">
        <v>5544</v>
      </c>
      <c r="BW34" s="2715" t="s">
        <v>5545</v>
      </c>
      <c r="BX34" s="2718" t="s">
        <v>5546</v>
      </c>
      <c r="BY34" s="2716" t="s">
        <v>5547</v>
      </c>
      <c r="BZ34" s="1970" t="s">
        <v>5548</v>
      </c>
      <c r="CA34" s="1882"/>
    </row>
    <row r="35" spans="1:79" ht="16">
      <c r="A35" s="966"/>
      <c r="B35" s="977" t="s">
        <v>5549</v>
      </c>
      <c r="C35" s="981" t="s">
        <v>5550</v>
      </c>
      <c r="D35" s="981"/>
      <c r="E35" s="1881" t="s">
        <v>49</v>
      </c>
      <c r="F35" s="978">
        <v>3</v>
      </c>
      <c r="G35" s="1061"/>
      <c r="H35" s="1425"/>
      <c r="I35" s="1431"/>
      <c r="J35" s="1034"/>
      <c r="K35" s="1431"/>
      <c r="L35" s="1546"/>
      <c r="M35" s="1428"/>
      <c r="N35" s="1431"/>
      <c r="O35" s="241">
        <f t="shared" si="0"/>
        <v>0</v>
      </c>
      <c r="P35" s="1061"/>
      <c r="Q35" s="1425"/>
      <c r="R35" s="1431"/>
      <c r="S35" s="1034"/>
      <c r="T35" s="1431"/>
      <c r="U35" s="1546"/>
      <c r="V35" s="1428"/>
      <c r="W35" s="1431"/>
      <c r="X35" s="241">
        <f t="shared" si="1"/>
        <v>0</v>
      </c>
      <c r="Y35" s="1730"/>
      <c r="Z35" s="1882"/>
      <c r="AA35" s="868">
        <f t="shared" si="2"/>
        <v>0</v>
      </c>
      <c r="AB35" s="192"/>
      <c r="AC35" s="71"/>
      <c r="AD35" s="192"/>
      <c r="AE35" s="93">
        <f>IF(Validation!$H$3=1,0,IF(ISNUMBER(G35),0,1))</f>
        <v>0</v>
      </c>
      <c r="AF35" s="93">
        <f>IF(Validation!$H$3=1,0,IF(ISNUMBER(H35),0,1))</f>
        <v>0</v>
      </c>
      <c r="AG35" s="93">
        <f>IF(Validation!$H$3=1,0,IF(ISNUMBER(I35),0,1))</f>
        <v>0</v>
      </c>
      <c r="AH35" s="93">
        <f>IF(Validation!$H$3=1,0,IF(ISNUMBER(J35),0,1))</f>
        <v>0</v>
      </c>
      <c r="AI35" s="93">
        <f>IF(Validation!$H$3=1,0,IF(ISNUMBER(K35),0,1))</f>
        <v>0</v>
      </c>
      <c r="AJ35" s="93">
        <f>IF(Validation!$H$3=1,0,IF(ISNUMBER(L35),0,1))</f>
        <v>0</v>
      </c>
      <c r="AK35" s="93">
        <f>IF(Validation!$H$3=1,0,IF(ISNUMBER(M35),0,1))</f>
        <v>0</v>
      </c>
      <c r="AL35" s="93">
        <f>IF(Validation!$H$3=1,0,IF(ISNUMBER(N35),0,1))</f>
        <v>0</v>
      </c>
      <c r="AM35" s="127"/>
      <c r="AN35" s="93">
        <f>IF(Validation!$H$3=1,0,IF(ISNUMBER(P35),0,1))</f>
        <v>0</v>
      </c>
      <c r="AO35" s="93">
        <f>IF(Validation!$H$3=1,0,IF(ISNUMBER(Q35),0,1))</f>
        <v>0</v>
      </c>
      <c r="AP35" s="93">
        <f>IF(Validation!$H$3=1,0,IF(ISNUMBER(R35),0,1))</f>
        <v>0</v>
      </c>
      <c r="AQ35" s="93">
        <f>IF(Validation!$H$3=1,0,IF(ISNUMBER(S35),0,1))</f>
        <v>0</v>
      </c>
      <c r="AR35" s="93">
        <f>IF(Validation!$H$3=1,0,IF(ISNUMBER(T35),0,1))</f>
        <v>0</v>
      </c>
      <c r="AS35" s="93">
        <f>IF(Validation!$H$3=1,0,IF(ISNUMBER(U35),0,1))</f>
        <v>0</v>
      </c>
      <c r="AT35" s="93">
        <f>IF(Validation!$H$3=1,0,IF(ISNUMBER(V35),0,1))</f>
        <v>0</v>
      </c>
      <c r="AU35" s="93">
        <f>IF(Validation!$H$3=1,0,IF(ISNUMBER(W35),0,1))</f>
        <v>0</v>
      </c>
      <c r="AV35" s="71"/>
      <c r="AW35" s="1882"/>
      <c r="AY35" s="1882"/>
      <c r="AZ35" s="1882"/>
      <c r="BA35" s="1882"/>
      <c r="BC35" s="1882"/>
      <c r="BD35" s="977" t="s">
        <v>5549</v>
      </c>
      <c r="BE35" s="2683" t="s">
        <v>5550</v>
      </c>
      <c r="BF35" s="2683"/>
      <c r="BG35" s="1881" t="s">
        <v>49</v>
      </c>
      <c r="BH35" s="978">
        <v>3</v>
      </c>
      <c r="BI35" s="2714" t="s">
        <v>5551</v>
      </c>
      <c r="BJ35" s="2715" t="s">
        <v>5552</v>
      </c>
      <c r="BK35" s="2716" t="s">
        <v>5553</v>
      </c>
      <c r="BL35" s="2717" t="s">
        <v>5554</v>
      </c>
      <c r="BM35" s="2715" t="s">
        <v>5555</v>
      </c>
      <c r="BN35" s="2715" t="s">
        <v>5556</v>
      </c>
      <c r="BO35" s="2718" t="s">
        <v>5557</v>
      </c>
      <c r="BP35" s="2716" t="s">
        <v>5558</v>
      </c>
      <c r="BQ35" s="1970" t="s">
        <v>5559</v>
      </c>
      <c r="BR35" s="2719" t="s">
        <v>5560</v>
      </c>
      <c r="BS35" s="2715" t="s">
        <v>5561</v>
      </c>
      <c r="BT35" s="2716" t="s">
        <v>5562</v>
      </c>
      <c r="BU35" s="2717" t="s">
        <v>5563</v>
      </c>
      <c r="BV35" s="2715" t="s">
        <v>5564</v>
      </c>
      <c r="BW35" s="2715" t="s">
        <v>5565</v>
      </c>
      <c r="BX35" s="2718" t="s">
        <v>5566</v>
      </c>
      <c r="BY35" s="2716" t="s">
        <v>5567</v>
      </c>
      <c r="BZ35" s="1970" t="s">
        <v>5568</v>
      </c>
      <c r="CA35" s="1882"/>
    </row>
    <row r="36" spans="1:79" s="1882" customFormat="1" ht="16">
      <c r="A36" s="966"/>
      <c r="B36" s="977" t="s">
        <v>5569</v>
      </c>
      <c r="C36" s="2269" t="s">
        <v>5570</v>
      </c>
      <c r="D36" s="981"/>
      <c r="E36" s="1881" t="s">
        <v>49</v>
      </c>
      <c r="F36" s="978">
        <v>3</v>
      </c>
      <c r="G36" s="1061"/>
      <c r="H36" s="1425"/>
      <c r="I36" s="1431"/>
      <c r="J36" s="1034"/>
      <c r="K36" s="1431"/>
      <c r="L36" s="1546"/>
      <c r="M36" s="1428"/>
      <c r="N36" s="1431"/>
      <c r="O36" s="241">
        <f t="shared" si="0"/>
        <v>0</v>
      </c>
      <c r="P36" s="1061"/>
      <c r="Q36" s="1425"/>
      <c r="R36" s="1431"/>
      <c r="S36" s="1034"/>
      <c r="T36" s="1431"/>
      <c r="U36" s="1546"/>
      <c r="V36" s="1428"/>
      <c r="W36" s="1431"/>
      <c r="X36" s="241">
        <f t="shared" si="1"/>
        <v>0</v>
      </c>
      <c r="Y36" s="1731"/>
      <c r="AA36" s="868">
        <f t="shared" ref="AA36" si="3" xml:space="preserve"> IF( SUM( AC36:AV36 ) = 0, 0, $AE$5 )</f>
        <v>0</v>
      </c>
      <c r="AB36" s="192"/>
      <c r="AC36" s="71"/>
      <c r="AD36" s="192"/>
      <c r="AE36" s="93">
        <f>IF(Validation!$H$3=1,0,IF(ISNUMBER(G36),0,1))</f>
        <v>0</v>
      </c>
      <c r="AF36" s="93">
        <f>IF(Validation!$H$3=1,0,IF(ISNUMBER(H36),0,1))</f>
        <v>0</v>
      </c>
      <c r="AG36" s="93">
        <f>IF(Validation!$H$3=1,0,IF(ISNUMBER(I36),0,1))</f>
        <v>0</v>
      </c>
      <c r="AH36" s="93">
        <f>IF(Validation!$H$3=1,0,IF(ISNUMBER(J36),0,1))</f>
        <v>0</v>
      </c>
      <c r="AI36" s="93">
        <f>IF(Validation!$H$3=1,0,IF(ISNUMBER(K36),0,1))</f>
        <v>0</v>
      </c>
      <c r="AJ36" s="93">
        <f>IF(Validation!$H$3=1,0,IF(ISNUMBER(L36),0,1))</f>
        <v>0</v>
      </c>
      <c r="AK36" s="93">
        <f>IF(Validation!$H$3=1,0,IF(ISNUMBER(M36),0,1))</f>
        <v>0</v>
      </c>
      <c r="AL36" s="93">
        <f>IF(Validation!$H$3=1,0,IF(ISNUMBER(N36),0,1))</f>
        <v>0</v>
      </c>
      <c r="AM36" s="127"/>
      <c r="AN36" s="93">
        <f>IF(Validation!$H$3=1,0,IF(ISNUMBER(P36),0,1))</f>
        <v>0</v>
      </c>
      <c r="AO36" s="93">
        <f>IF(Validation!$H$3=1,0,IF(ISNUMBER(Q36),0,1))</f>
        <v>0</v>
      </c>
      <c r="AP36" s="93">
        <f>IF(Validation!$H$3=1,0,IF(ISNUMBER(R36),0,1))</f>
        <v>0</v>
      </c>
      <c r="AQ36" s="93">
        <f>IF(Validation!$H$3=1,0,IF(ISNUMBER(S36),0,1))</f>
        <v>0</v>
      </c>
      <c r="AR36" s="93">
        <f>IF(Validation!$H$3=1,0,IF(ISNUMBER(T36),0,1))</f>
        <v>0</v>
      </c>
      <c r="AS36" s="93">
        <f>IF(Validation!$H$3=1,0,IF(ISNUMBER(U36),0,1))</f>
        <v>0</v>
      </c>
      <c r="AT36" s="93">
        <f>IF(Validation!$H$3=1,0,IF(ISNUMBER(V36),0,1))</f>
        <v>0</v>
      </c>
      <c r="AU36" s="93">
        <f>IF(Validation!$H$3=1,0,IF(ISNUMBER(W36),0,1))</f>
        <v>0</v>
      </c>
      <c r="AV36" s="71"/>
      <c r="AX36" s="1635"/>
      <c r="BB36" s="1635"/>
      <c r="BD36" s="977" t="s">
        <v>5569</v>
      </c>
      <c r="BE36" s="2677" t="s">
        <v>5570</v>
      </c>
      <c r="BF36" s="2677"/>
      <c r="BG36" s="1881" t="s">
        <v>49</v>
      </c>
      <c r="BH36" s="978">
        <v>3</v>
      </c>
      <c r="BI36" s="2714" t="s">
        <v>5571</v>
      </c>
      <c r="BJ36" s="2715" t="s">
        <v>5572</v>
      </c>
      <c r="BK36" s="2716" t="s">
        <v>5573</v>
      </c>
      <c r="BL36" s="2717" t="s">
        <v>5574</v>
      </c>
      <c r="BM36" s="2715" t="s">
        <v>5575</v>
      </c>
      <c r="BN36" s="2715" t="s">
        <v>5576</v>
      </c>
      <c r="BO36" s="2718" t="s">
        <v>5577</v>
      </c>
      <c r="BP36" s="2716" t="s">
        <v>5578</v>
      </c>
      <c r="BQ36" s="1970" t="s">
        <v>5579</v>
      </c>
      <c r="BR36" s="2719" t="s">
        <v>5580</v>
      </c>
      <c r="BS36" s="2715" t="s">
        <v>5581</v>
      </c>
      <c r="BT36" s="2716" t="s">
        <v>5582</v>
      </c>
      <c r="BU36" s="2717" t="s">
        <v>5583</v>
      </c>
      <c r="BV36" s="2715" t="s">
        <v>5584</v>
      </c>
      <c r="BW36" s="2715" t="s">
        <v>5585</v>
      </c>
      <c r="BX36" s="2718" t="s">
        <v>5586</v>
      </c>
      <c r="BY36" s="2716" t="s">
        <v>5587</v>
      </c>
      <c r="BZ36" s="1970" t="s">
        <v>5588</v>
      </c>
      <c r="CA36" s="1629"/>
    </row>
    <row r="37" spans="1:79" ht="16">
      <c r="A37" s="966"/>
      <c r="B37" s="977" t="s">
        <v>5589</v>
      </c>
      <c r="C37" s="1035" t="s">
        <v>5590</v>
      </c>
      <c r="D37" s="981"/>
      <c r="E37" s="1881" t="s">
        <v>49</v>
      </c>
      <c r="F37" s="978">
        <v>3</v>
      </c>
      <c r="G37" s="1061"/>
      <c r="H37" s="1425"/>
      <c r="I37" s="1431"/>
      <c r="J37" s="1034"/>
      <c r="K37" s="1431"/>
      <c r="L37" s="1546"/>
      <c r="M37" s="1428"/>
      <c r="N37" s="1431"/>
      <c r="O37" s="241">
        <f t="shared" si="0"/>
        <v>0</v>
      </c>
      <c r="P37" s="1061"/>
      <c r="Q37" s="1425"/>
      <c r="R37" s="1431"/>
      <c r="S37" s="1034"/>
      <c r="T37" s="1431"/>
      <c r="U37" s="1546"/>
      <c r="V37" s="1428"/>
      <c r="W37" s="1431"/>
      <c r="X37" s="241">
        <f t="shared" si="1"/>
        <v>0</v>
      </c>
      <c r="Y37" s="1731"/>
      <c r="Z37" s="1882"/>
      <c r="AA37" s="868">
        <f t="shared" ref="AA37:AA51" si="4">(IF(SUM(AE37:AV37)=0,IF(AD37=1,BA$37,0),$AE$5))</f>
        <v>0</v>
      </c>
      <c r="AB37" s="192"/>
      <c r="AC37" s="71"/>
      <c r="AD37" s="93">
        <f xml:space="preserve"> IF( AND(OR($C37 = "Capital expenditure purpose - WASTEWATER additional line 1 [Other categories]",$C37=""), OR( G37 &lt;&gt; 0, H37 &lt;&gt; 0, I37 &lt;&gt; 0, J37 &lt;&gt; 0, K37 &lt;&gt; 0, L37 &lt;&gt; 0, M37 &lt;&gt; 0, N37 &lt;&gt; 0, P37 &lt;&gt; 0, Q37 &lt;&gt; 0, R37 &lt;&gt; 0, S37 &lt;&gt; 0, T37 &lt;&gt; 0, U37 &lt;&gt; 0, V37 &lt;&gt; 0, W37 &lt;&gt; 0) ), 1, 0 )</f>
        <v>0</v>
      </c>
      <c r="AE37" s="93">
        <f t="shared" ref="AE37:AL37" si="5" xml:space="preserve"> IF(AND($C37="Capital expenditure purpose - WASTEWATER additional line 1 [Other categories]",$O37=0), 0, IF( ISNUMBER( G37 ), 0, 1 ))</f>
        <v>0</v>
      </c>
      <c r="AF37" s="93">
        <f t="shared" si="5"/>
        <v>0</v>
      </c>
      <c r="AG37" s="93">
        <f t="shared" si="5"/>
        <v>0</v>
      </c>
      <c r="AH37" s="93">
        <f t="shared" si="5"/>
        <v>0</v>
      </c>
      <c r="AI37" s="93">
        <f t="shared" si="5"/>
        <v>0</v>
      </c>
      <c r="AJ37" s="93">
        <f t="shared" si="5"/>
        <v>0</v>
      </c>
      <c r="AK37" s="93">
        <f t="shared" si="5"/>
        <v>0</v>
      </c>
      <c r="AL37" s="93">
        <f t="shared" si="5"/>
        <v>0</v>
      </c>
      <c r="AM37" s="127"/>
      <c r="AN37" s="93">
        <f t="shared" ref="AN37:AU37" si="6" xml:space="preserve"> IF(AND($C37="Capital expenditure purpose - WASTEWATER additional line 1 [Other categories]",$O37=0), 0, IF( ISNUMBER( P37 ), 0, 1 ))</f>
        <v>0</v>
      </c>
      <c r="AO37" s="93">
        <f t="shared" si="6"/>
        <v>0</v>
      </c>
      <c r="AP37" s="93">
        <f t="shared" si="6"/>
        <v>0</v>
      </c>
      <c r="AQ37" s="93">
        <f t="shared" si="6"/>
        <v>0</v>
      </c>
      <c r="AR37" s="93">
        <f t="shared" si="6"/>
        <v>0</v>
      </c>
      <c r="AS37" s="93">
        <f t="shared" si="6"/>
        <v>0</v>
      </c>
      <c r="AT37" s="93">
        <f t="shared" si="6"/>
        <v>0</v>
      </c>
      <c r="AU37" s="93">
        <f t="shared" si="6"/>
        <v>0</v>
      </c>
      <c r="AV37" s="71"/>
      <c r="AW37" s="1882"/>
      <c r="AY37" s="1882"/>
      <c r="AZ37" s="1882"/>
      <c r="BA37" s="483" t="s">
        <v>3842</v>
      </c>
      <c r="BC37" s="1882"/>
      <c r="BD37" s="977" t="s">
        <v>5569</v>
      </c>
      <c r="BE37" s="2720" t="s">
        <v>5591</v>
      </c>
      <c r="BF37" s="2683"/>
      <c r="BG37" s="1881" t="s">
        <v>49</v>
      </c>
      <c r="BH37" s="978">
        <v>3</v>
      </c>
      <c r="BI37" s="2721" t="s">
        <v>5591</v>
      </c>
      <c r="BJ37" s="2722" t="s">
        <v>5592</v>
      </c>
      <c r="BK37" s="2723" t="s">
        <v>5593</v>
      </c>
      <c r="BL37" s="2724" t="s">
        <v>5594</v>
      </c>
      <c r="BM37" s="2722" t="s">
        <v>5595</v>
      </c>
      <c r="BN37" s="2722" t="s">
        <v>5596</v>
      </c>
      <c r="BO37" s="2725" t="s">
        <v>5597</v>
      </c>
      <c r="BP37" s="2723" t="s">
        <v>5598</v>
      </c>
      <c r="BQ37" s="1970" t="s">
        <v>5599</v>
      </c>
      <c r="BR37" s="2726" t="s">
        <v>5600</v>
      </c>
      <c r="BS37" s="2722" t="s">
        <v>5601</v>
      </c>
      <c r="BT37" s="2723" t="s">
        <v>5602</v>
      </c>
      <c r="BU37" s="2724" t="s">
        <v>5603</v>
      </c>
      <c r="BV37" s="2722" t="s">
        <v>5604</v>
      </c>
      <c r="BW37" s="2722" t="s">
        <v>5605</v>
      </c>
      <c r="BX37" s="2725" t="s">
        <v>5606</v>
      </c>
      <c r="BY37" s="2723" t="s">
        <v>5607</v>
      </c>
      <c r="BZ37" s="1970" t="s">
        <v>5608</v>
      </c>
      <c r="CA37" s="1882"/>
    </row>
    <row r="38" spans="1:79" ht="16">
      <c r="A38" s="966"/>
      <c r="B38" s="977" t="s">
        <v>5609</v>
      </c>
      <c r="C38" s="1035" t="s">
        <v>5610</v>
      </c>
      <c r="D38" s="981"/>
      <c r="E38" s="1881" t="s">
        <v>49</v>
      </c>
      <c r="F38" s="978">
        <v>3</v>
      </c>
      <c r="G38" s="1061"/>
      <c r="H38" s="1425"/>
      <c r="I38" s="1431"/>
      <c r="J38" s="1034"/>
      <c r="K38" s="1431"/>
      <c r="L38" s="1546"/>
      <c r="M38" s="1428"/>
      <c r="N38" s="1431"/>
      <c r="O38" s="241">
        <f t="shared" si="0"/>
        <v>0</v>
      </c>
      <c r="P38" s="1061"/>
      <c r="Q38" s="1425"/>
      <c r="R38" s="1431"/>
      <c r="S38" s="1034"/>
      <c r="T38" s="1431"/>
      <c r="U38" s="1546"/>
      <c r="V38" s="1428"/>
      <c r="W38" s="1431"/>
      <c r="X38" s="241">
        <f t="shared" si="1"/>
        <v>0</v>
      </c>
      <c r="Y38" s="1731"/>
      <c r="Z38" s="1882"/>
      <c r="AA38" s="868">
        <f t="shared" si="4"/>
        <v>0</v>
      </c>
      <c r="AB38" s="192"/>
      <c r="AC38" s="71"/>
      <c r="AD38" s="93">
        <f xml:space="preserve"> IF( AND(OR($C38 = "Capital expenditure purpose - WASTEWATER additional line 2 [Other categories]",$C38=""), OR( G38 &lt;&gt; 0, H38 &lt;&gt; 0, I38 &lt;&gt; 0, J38 &lt;&gt; 0, K38 &lt;&gt; 0, L38 &lt;&gt; 0, M38 &lt;&gt; 0, N38 &lt;&gt; 0, P38 &lt;&gt; 0, Q38 &lt;&gt; 0, R38 &lt;&gt; 0, S38 &lt;&gt; 0, T38 &lt;&gt; 0, U38 &lt;&gt; 0, V38 &lt;&gt; 0, W38 &lt;&gt; 0) ), 1, 0 )</f>
        <v>0</v>
      </c>
      <c r="AE38" s="93">
        <f t="shared" ref="AE38:AL38" si="7" xml:space="preserve"> IF(AND($C38="Capital expenditure purpose - WASTEWATER additional line 2 [Other categories]",$O38=0), 0, IF( ISNUMBER( G38 ), 0, 1 ))</f>
        <v>0</v>
      </c>
      <c r="AF38" s="93">
        <f t="shared" si="7"/>
        <v>0</v>
      </c>
      <c r="AG38" s="93">
        <f t="shared" si="7"/>
        <v>0</v>
      </c>
      <c r="AH38" s="93">
        <f t="shared" si="7"/>
        <v>0</v>
      </c>
      <c r="AI38" s="93">
        <f t="shared" si="7"/>
        <v>0</v>
      </c>
      <c r="AJ38" s="93">
        <f t="shared" si="7"/>
        <v>0</v>
      </c>
      <c r="AK38" s="93">
        <f t="shared" si="7"/>
        <v>0</v>
      </c>
      <c r="AL38" s="93">
        <f t="shared" si="7"/>
        <v>0</v>
      </c>
      <c r="AM38" s="127"/>
      <c r="AN38" s="93">
        <f t="shared" ref="AN38:AU38" si="8" xml:space="preserve"> IF(AND($C38="Capital expenditure purpose - WASTEWATER additional line 2 [Other categories]",$O38=0), 0, IF( ISNUMBER( P38 ), 0, 1 ))</f>
        <v>0</v>
      </c>
      <c r="AO38" s="93">
        <f t="shared" si="8"/>
        <v>0</v>
      </c>
      <c r="AP38" s="93">
        <f t="shared" si="8"/>
        <v>0</v>
      </c>
      <c r="AQ38" s="93">
        <f t="shared" si="8"/>
        <v>0</v>
      </c>
      <c r="AR38" s="93">
        <f t="shared" si="8"/>
        <v>0</v>
      </c>
      <c r="AS38" s="93">
        <f t="shared" si="8"/>
        <v>0</v>
      </c>
      <c r="AT38" s="93">
        <f t="shared" si="8"/>
        <v>0</v>
      </c>
      <c r="AU38" s="93">
        <f t="shared" si="8"/>
        <v>0</v>
      </c>
      <c r="AV38" s="71"/>
      <c r="AW38" s="1882"/>
      <c r="AY38" s="1882"/>
      <c r="AZ38" s="1882"/>
      <c r="BA38" s="1882"/>
      <c r="BC38" s="1882"/>
      <c r="BD38" s="977" t="s">
        <v>5589</v>
      </c>
      <c r="BE38" s="2720" t="s">
        <v>5611</v>
      </c>
      <c r="BF38" s="2683"/>
      <c r="BG38" s="1881" t="s">
        <v>49</v>
      </c>
      <c r="BH38" s="978">
        <v>3</v>
      </c>
      <c r="BI38" s="2721" t="s">
        <v>5611</v>
      </c>
      <c r="BJ38" s="2722" t="s">
        <v>5612</v>
      </c>
      <c r="BK38" s="2723" t="s">
        <v>5613</v>
      </c>
      <c r="BL38" s="2724" t="s">
        <v>5614</v>
      </c>
      <c r="BM38" s="2722" t="s">
        <v>5615</v>
      </c>
      <c r="BN38" s="2722" t="s">
        <v>5616</v>
      </c>
      <c r="BO38" s="2725" t="s">
        <v>5617</v>
      </c>
      <c r="BP38" s="2723" t="s">
        <v>5618</v>
      </c>
      <c r="BQ38" s="1970" t="s">
        <v>5619</v>
      </c>
      <c r="BR38" s="2726" t="s">
        <v>5620</v>
      </c>
      <c r="BS38" s="2722" t="s">
        <v>5621</v>
      </c>
      <c r="BT38" s="2723" t="s">
        <v>5622</v>
      </c>
      <c r="BU38" s="2724" t="s">
        <v>5623</v>
      </c>
      <c r="BV38" s="2722" t="s">
        <v>5624</v>
      </c>
      <c r="BW38" s="2722" t="s">
        <v>5625</v>
      </c>
      <c r="BX38" s="2725" t="s">
        <v>5626</v>
      </c>
      <c r="BY38" s="2723" t="s">
        <v>5627</v>
      </c>
      <c r="BZ38" s="1970" t="s">
        <v>5628</v>
      </c>
      <c r="CA38" s="1882"/>
    </row>
    <row r="39" spans="1:79" ht="16">
      <c r="A39" s="966"/>
      <c r="B39" s="977" t="s">
        <v>5629</v>
      </c>
      <c r="C39" s="1035" t="s">
        <v>5630</v>
      </c>
      <c r="D39" s="981"/>
      <c r="E39" s="1881" t="s">
        <v>49</v>
      </c>
      <c r="F39" s="978">
        <v>3</v>
      </c>
      <c r="G39" s="1061"/>
      <c r="H39" s="1425"/>
      <c r="I39" s="1431"/>
      <c r="J39" s="1034"/>
      <c r="K39" s="1431"/>
      <c r="L39" s="1546"/>
      <c r="M39" s="1428"/>
      <c r="N39" s="1431"/>
      <c r="O39" s="241">
        <f t="shared" si="0"/>
        <v>0</v>
      </c>
      <c r="P39" s="1061"/>
      <c r="Q39" s="1425"/>
      <c r="R39" s="1431"/>
      <c r="S39" s="1034"/>
      <c r="T39" s="1431"/>
      <c r="U39" s="1546"/>
      <c r="V39" s="1428"/>
      <c r="W39" s="1431"/>
      <c r="X39" s="241">
        <f t="shared" si="1"/>
        <v>0</v>
      </c>
      <c r="Y39" s="1731"/>
      <c r="Z39" s="1882"/>
      <c r="AA39" s="868">
        <f t="shared" si="4"/>
        <v>0</v>
      </c>
      <c r="AB39" s="192"/>
      <c r="AC39" s="71"/>
      <c r="AD39" s="93">
        <f xml:space="preserve"> IF( AND(OR($C39 = "Capital expenditure purpose - WASTEWATER additional line 3 [Other categories]",$C39=""), OR( G39 &lt;&gt; 0, H39 &lt;&gt; 0, I39 &lt;&gt; 0, J39 &lt;&gt; 0, K39 &lt;&gt; 0, L39 &lt;&gt; 0, M39 &lt;&gt; 0, N39 &lt;&gt; 0, P39 &lt;&gt; 0, Q39 &lt;&gt; 0, R39 &lt;&gt; 0, S39 &lt;&gt; 0, T39 &lt;&gt; 0, U39 &lt;&gt; 0, V39 &lt;&gt; 0, W39 &lt;&gt; 0) ), 1, 0 )</f>
        <v>0</v>
      </c>
      <c r="AE39" s="93">
        <f t="shared" ref="AE39:AL39" si="9" xml:space="preserve"> IF(AND($C39="Capital expenditure purpose - WASTEWATER additional line 3 [Other categories]",$O39=0), 0, IF( ISNUMBER( G39 ), 0, 1 ))</f>
        <v>0</v>
      </c>
      <c r="AF39" s="93">
        <f t="shared" si="9"/>
        <v>0</v>
      </c>
      <c r="AG39" s="93">
        <f t="shared" si="9"/>
        <v>0</v>
      </c>
      <c r="AH39" s="93">
        <f t="shared" si="9"/>
        <v>0</v>
      </c>
      <c r="AI39" s="93">
        <f t="shared" si="9"/>
        <v>0</v>
      </c>
      <c r="AJ39" s="93">
        <f t="shared" si="9"/>
        <v>0</v>
      </c>
      <c r="AK39" s="93">
        <f t="shared" si="9"/>
        <v>0</v>
      </c>
      <c r="AL39" s="93">
        <f t="shared" si="9"/>
        <v>0</v>
      </c>
      <c r="AM39" s="127"/>
      <c r="AN39" s="93">
        <f t="shared" ref="AN39:AU39" si="10" xml:space="preserve"> IF(AND($C39="Capital expenditure purpose - WASTEWATER additional line 3 [Other categories]",$O39=0), 0, IF( ISNUMBER( P39 ), 0, 1 ))</f>
        <v>0</v>
      </c>
      <c r="AO39" s="93">
        <f t="shared" si="10"/>
        <v>0</v>
      </c>
      <c r="AP39" s="93">
        <f t="shared" si="10"/>
        <v>0</v>
      </c>
      <c r="AQ39" s="93">
        <f t="shared" si="10"/>
        <v>0</v>
      </c>
      <c r="AR39" s="93">
        <f t="shared" si="10"/>
        <v>0</v>
      </c>
      <c r="AS39" s="93">
        <f t="shared" si="10"/>
        <v>0</v>
      </c>
      <c r="AT39" s="93">
        <f t="shared" si="10"/>
        <v>0</v>
      </c>
      <c r="AU39" s="93">
        <f t="shared" si="10"/>
        <v>0</v>
      </c>
      <c r="AV39" s="71"/>
      <c r="AW39" s="1882"/>
      <c r="AY39" s="1882"/>
      <c r="AZ39" s="1882"/>
      <c r="BA39" s="1882"/>
      <c r="BC39" s="1882"/>
      <c r="BD39" s="977" t="s">
        <v>5609</v>
      </c>
      <c r="BE39" s="2720" t="s">
        <v>5631</v>
      </c>
      <c r="BF39" s="2683"/>
      <c r="BG39" s="1881" t="s">
        <v>49</v>
      </c>
      <c r="BH39" s="978">
        <v>3</v>
      </c>
      <c r="BI39" s="2721" t="s">
        <v>5631</v>
      </c>
      <c r="BJ39" s="2722" t="s">
        <v>5632</v>
      </c>
      <c r="BK39" s="2723" t="s">
        <v>5633</v>
      </c>
      <c r="BL39" s="2724" t="s">
        <v>5634</v>
      </c>
      <c r="BM39" s="2722" t="s">
        <v>5635</v>
      </c>
      <c r="BN39" s="2722" t="s">
        <v>5636</v>
      </c>
      <c r="BO39" s="2725" t="s">
        <v>5637</v>
      </c>
      <c r="BP39" s="2723" t="s">
        <v>5638</v>
      </c>
      <c r="BQ39" s="1970" t="s">
        <v>5639</v>
      </c>
      <c r="BR39" s="2726" t="s">
        <v>5640</v>
      </c>
      <c r="BS39" s="2722" t="s">
        <v>5641</v>
      </c>
      <c r="BT39" s="2723" t="s">
        <v>5642</v>
      </c>
      <c r="BU39" s="2724" t="s">
        <v>5643</v>
      </c>
      <c r="BV39" s="2722" t="s">
        <v>5644</v>
      </c>
      <c r="BW39" s="2722" t="s">
        <v>5645</v>
      </c>
      <c r="BX39" s="2725" t="s">
        <v>5646</v>
      </c>
      <c r="BY39" s="2723" t="s">
        <v>5647</v>
      </c>
      <c r="BZ39" s="1970" t="s">
        <v>5648</v>
      </c>
      <c r="CA39" s="1882"/>
    </row>
    <row r="40" spans="1:79" ht="16">
      <c r="A40" s="966"/>
      <c r="B40" s="977" t="s">
        <v>5649</v>
      </c>
      <c r="C40" s="1035" t="s">
        <v>5650</v>
      </c>
      <c r="D40" s="981"/>
      <c r="E40" s="1881" t="s">
        <v>49</v>
      </c>
      <c r="F40" s="978">
        <v>3</v>
      </c>
      <c r="G40" s="1061"/>
      <c r="H40" s="1425"/>
      <c r="I40" s="1431"/>
      <c r="J40" s="1034"/>
      <c r="K40" s="1431"/>
      <c r="L40" s="1546"/>
      <c r="M40" s="1428"/>
      <c r="N40" s="1431"/>
      <c r="O40" s="241">
        <f t="shared" si="0"/>
        <v>0</v>
      </c>
      <c r="P40" s="1061"/>
      <c r="Q40" s="1425"/>
      <c r="R40" s="1431"/>
      <c r="S40" s="1034"/>
      <c r="T40" s="1431"/>
      <c r="U40" s="1546"/>
      <c r="V40" s="1428"/>
      <c r="W40" s="1431"/>
      <c r="X40" s="241">
        <f t="shared" si="1"/>
        <v>0</v>
      </c>
      <c r="Y40" s="1731"/>
      <c r="Z40" s="1882"/>
      <c r="AA40" s="868">
        <f t="shared" si="4"/>
        <v>0</v>
      </c>
      <c r="AB40" s="192"/>
      <c r="AC40" s="71"/>
      <c r="AD40" s="93">
        <f xml:space="preserve"> IF( AND(OR($C40 = "Capital expenditure purpose - WASTEWATER additional line 4 [Other categories]",$C40=""), OR( G40 &lt;&gt; 0, H40 &lt;&gt; 0, I40 &lt;&gt; 0, J40 &lt;&gt; 0, K40 &lt;&gt; 0, L40 &lt;&gt; 0, M40 &lt;&gt; 0, N40 &lt;&gt; 0, P40 &lt;&gt; 0, Q40 &lt;&gt; 0, R40 &lt;&gt; 0, S40 &lt;&gt; 0, T40 &lt;&gt; 0, U40 &lt;&gt; 0, V40 &lt;&gt; 0, W40 &lt;&gt; 0) ), 1, 0 )</f>
        <v>0</v>
      </c>
      <c r="AE40" s="93">
        <f t="shared" ref="AE40:AL40" si="11" xml:space="preserve"> IF(AND($C40="Capital expenditure purpose - WASTEWATER additional line 4 [Other categories]",$O40=0), 0, IF( ISNUMBER( G40 ), 0, 1 ))</f>
        <v>0</v>
      </c>
      <c r="AF40" s="93">
        <f t="shared" si="11"/>
        <v>0</v>
      </c>
      <c r="AG40" s="93">
        <f t="shared" si="11"/>
        <v>0</v>
      </c>
      <c r="AH40" s="93">
        <f t="shared" si="11"/>
        <v>0</v>
      </c>
      <c r="AI40" s="93">
        <f t="shared" si="11"/>
        <v>0</v>
      </c>
      <c r="AJ40" s="93">
        <f t="shared" si="11"/>
        <v>0</v>
      </c>
      <c r="AK40" s="93">
        <f t="shared" si="11"/>
        <v>0</v>
      </c>
      <c r="AL40" s="93">
        <f t="shared" si="11"/>
        <v>0</v>
      </c>
      <c r="AM40" s="127"/>
      <c r="AN40" s="93">
        <f t="shared" ref="AN40:AU40" si="12" xml:space="preserve"> IF(AND($C40="Capital expenditure purpose - WASTEWATER additional line 4 [Other categories]",$O40=0), 0, IF( ISNUMBER( P40 ), 0, 1 ))</f>
        <v>0</v>
      </c>
      <c r="AO40" s="93">
        <f t="shared" si="12"/>
        <v>0</v>
      </c>
      <c r="AP40" s="93">
        <f t="shared" si="12"/>
        <v>0</v>
      </c>
      <c r="AQ40" s="93">
        <f t="shared" si="12"/>
        <v>0</v>
      </c>
      <c r="AR40" s="93">
        <f t="shared" si="12"/>
        <v>0</v>
      </c>
      <c r="AS40" s="93">
        <f t="shared" si="12"/>
        <v>0</v>
      </c>
      <c r="AT40" s="93">
        <f t="shared" si="12"/>
        <v>0</v>
      </c>
      <c r="AU40" s="93">
        <f t="shared" si="12"/>
        <v>0</v>
      </c>
      <c r="AV40" s="71"/>
      <c r="AW40" s="1882"/>
      <c r="AY40" s="1882"/>
      <c r="AZ40" s="1882"/>
      <c r="BA40" s="1882"/>
      <c r="BC40" s="1882"/>
      <c r="BD40" s="977" t="s">
        <v>5629</v>
      </c>
      <c r="BE40" s="2720" t="s">
        <v>5651</v>
      </c>
      <c r="BF40" s="2683"/>
      <c r="BG40" s="1881" t="s">
        <v>49</v>
      </c>
      <c r="BH40" s="978">
        <v>3</v>
      </c>
      <c r="BI40" s="2721" t="s">
        <v>5651</v>
      </c>
      <c r="BJ40" s="2722" t="s">
        <v>5652</v>
      </c>
      <c r="BK40" s="2723" t="s">
        <v>5653</v>
      </c>
      <c r="BL40" s="2724" t="s">
        <v>5654</v>
      </c>
      <c r="BM40" s="2722" t="s">
        <v>5655</v>
      </c>
      <c r="BN40" s="2722" t="s">
        <v>5656</v>
      </c>
      <c r="BO40" s="2725" t="s">
        <v>5657</v>
      </c>
      <c r="BP40" s="2723" t="s">
        <v>5658</v>
      </c>
      <c r="BQ40" s="1970" t="s">
        <v>5659</v>
      </c>
      <c r="BR40" s="2726" t="s">
        <v>5660</v>
      </c>
      <c r="BS40" s="2722" t="s">
        <v>5661</v>
      </c>
      <c r="BT40" s="2723" t="s">
        <v>5662</v>
      </c>
      <c r="BU40" s="2724" t="s">
        <v>5663</v>
      </c>
      <c r="BV40" s="2722" t="s">
        <v>5664</v>
      </c>
      <c r="BW40" s="2722" t="s">
        <v>5665</v>
      </c>
      <c r="BX40" s="2725" t="s">
        <v>5666</v>
      </c>
      <c r="BY40" s="2723" t="s">
        <v>5667</v>
      </c>
      <c r="BZ40" s="1970" t="s">
        <v>5668</v>
      </c>
      <c r="CA40" s="1882"/>
    </row>
    <row r="41" spans="1:79" ht="16">
      <c r="A41" s="966"/>
      <c r="B41" s="977" t="s">
        <v>5669</v>
      </c>
      <c r="C41" s="1035" t="s">
        <v>5670</v>
      </c>
      <c r="D41" s="981"/>
      <c r="E41" s="1881" t="s">
        <v>49</v>
      </c>
      <c r="F41" s="978">
        <v>3</v>
      </c>
      <c r="G41" s="1061"/>
      <c r="H41" s="1425"/>
      <c r="I41" s="1431"/>
      <c r="J41" s="1034"/>
      <c r="K41" s="1431"/>
      <c r="L41" s="1546"/>
      <c r="M41" s="1428"/>
      <c r="N41" s="1431"/>
      <c r="O41" s="241">
        <f t="shared" si="0"/>
        <v>0</v>
      </c>
      <c r="P41" s="1061"/>
      <c r="Q41" s="1425"/>
      <c r="R41" s="1431"/>
      <c r="S41" s="1034"/>
      <c r="T41" s="1431"/>
      <c r="U41" s="1546"/>
      <c r="V41" s="1428"/>
      <c r="W41" s="1431"/>
      <c r="X41" s="241">
        <f t="shared" si="1"/>
        <v>0</v>
      </c>
      <c r="Y41" s="1731"/>
      <c r="Z41" s="1882"/>
      <c r="AA41" s="868">
        <f t="shared" si="4"/>
        <v>0</v>
      </c>
      <c r="AB41" s="192"/>
      <c r="AC41" s="71"/>
      <c r="AD41" s="93">
        <f xml:space="preserve"> IF( AND(OR($C41 = "Capital expenditure purpose - WASTEWATER additional line 5 [Other categories]",$C41=""), OR( G41 &lt;&gt; 0, H41 &lt;&gt; 0, I41 &lt;&gt; 0, J41 &lt;&gt; 0, K41 &lt;&gt; 0, L41 &lt;&gt; 0, M41 &lt;&gt; 0, N41 &lt;&gt; 0, P41 &lt;&gt; 0, Q41 &lt;&gt; 0, R41 &lt;&gt; 0, S41 &lt;&gt; 0, T41 &lt;&gt; 0, U41 &lt;&gt; 0, V41 &lt;&gt; 0, W41 &lt;&gt; 0) ), 1, 0 )</f>
        <v>0</v>
      </c>
      <c r="AE41" s="93">
        <f t="shared" ref="AE41:AL41" si="13" xml:space="preserve"> IF(AND($C41="Capital expenditure purpose - WASTEWATER additional line 5 [Other categories]",$O41=0), 0, IF( ISNUMBER( G41 ), 0, 1 ))</f>
        <v>0</v>
      </c>
      <c r="AF41" s="93">
        <f t="shared" si="13"/>
        <v>0</v>
      </c>
      <c r="AG41" s="93">
        <f t="shared" si="13"/>
        <v>0</v>
      </c>
      <c r="AH41" s="93">
        <f t="shared" si="13"/>
        <v>0</v>
      </c>
      <c r="AI41" s="93">
        <f t="shared" si="13"/>
        <v>0</v>
      </c>
      <c r="AJ41" s="93">
        <f t="shared" si="13"/>
        <v>0</v>
      </c>
      <c r="AK41" s="93">
        <f t="shared" si="13"/>
        <v>0</v>
      </c>
      <c r="AL41" s="93">
        <f t="shared" si="13"/>
        <v>0</v>
      </c>
      <c r="AM41" s="127"/>
      <c r="AN41" s="93">
        <f t="shared" ref="AN41:AU41" si="14" xml:space="preserve"> IF(AND($C41="Capital expenditure purpose - WASTEWATER additional line 5 [Other categories]",$O41=0), 0, IF( ISNUMBER( P41 ), 0, 1 ))</f>
        <v>0</v>
      </c>
      <c r="AO41" s="93">
        <f t="shared" si="14"/>
        <v>0</v>
      </c>
      <c r="AP41" s="93">
        <f t="shared" si="14"/>
        <v>0</v>
      </c>
      <c r="AQ41" s="93">
        <f t="shared" si="14"/>
        <v>0</v>
      </c>
      <c r="AR41" s="93">
        <f t="shared" si="14"/>
        <v>0</v>
      </c>
      <c r="AS41" s="93">
        <f t="shared" si="14"/>
        <v>0</v>
      </c>
      <c r="AT41" s="93">
        <f t="shared" si="14"/>
        <v>0</v>
      </c>
      <c r="AU41" s="93">
        <f t="shared" si="14"/>
        <v>0</v>
      </c>
      <c r="AV41" s="71"/>
      <c r="AW41" s="1882"/>
      <c r="AY41" s="1882"/>
      <c r="AZ41" s="1882"/>
      <c r="BA41" s="1882"/>
      <c r="BC41" s="1882"/>
      <c r="BD41" s="977" t="s">
        <v>5649</v>
      </c>
      <c r="BE41" s="2720" t="s">
        <v>5671</v>
      </c>
      <c r="BF41" s="2683"/>
      <c r="BG41" s="1881" t="s">
        <v>49</v>
      </c>
      <c r="BH41" s="978">
        <v>3</v>
      </c>
      <c r="BI41" s="2721" t="s">
        <v>5671</v>
      </c>
      <c r="BJ41" s="2722" t="s">
        <v>5672</v>
      </c>
      <c r="BK41" s="2723" t="s">
        <v>5673</v>
      </c>
      <c r="BL41" s="2724" t="s">
        <v>5674</v>
      </c>
      <c r="BM41" s="2722" t="s">
        <v>5675</v>
      </c>
      <c r="BN41" s="2722" t="s">
        <v>5676</v>
      </c>
      <c r="BO41" s="2725" t="s">
        <v>5677</v>
      </c>
      <c r="BP41" s="2723" t="s">
        <v>5678</v>
      </c>
      <c r="BQ41" s="1970" t="s">
        <v>5679</v>
      </c>
      <c r="BR41" s="2726" t="s">
        <v>5680</v>
      </c>
      <c r="BS41" s="2722" t="s">
        <v>5681</v>
      </c>
      <c r="BT41" s="2723" t="s">
        <v>5682</v>
      </c>
      <c r="BU41" s="2724" t="s">
        <v>5683</v>
      </c>
      <c r="BV41" s="2722" t="s">
        <v>5684</v>
      </c>
      <c r="BW41" s="2722" t="s">
        <v>5685</v>
      </c>
      <c r="BX41" s="2725" t="s">
        <v>5686</v>
      </c>
      <c r="BY41" s="2723" t="s">
        <v>5687</v>
      </c>
      <c r="BZ41" s="1970" t="s">
        <v>5688</v>
      </c>
      <c r="CA41" s="1882"/>
    </row>
    <row r="42" spans="1:79" ht="16">
      <c r="A42" s="966"/>
      <c r="B42" s="977" t="s">
        <v>5689</v>
      </c>
      <c r="C42" s="1035" t="s">
        <v>5690</v>
      </c>
      <c r="D42" s="981"/>
      <c r="E42" s="1881" t="s">
        <v>49</v>
      </c>
      <c r="F42" s="978">
        <v>3</v>
      </c>
      <c r="G42" s="1061"/>
      <c r="H42" s="1425"/>
      <c r="I42" s="1431"/>
      <c r="J42" s="1034"/>
      <c r="K42" s="1431"/>
      <c r="L42" s="1546"/>
      <c r="M42" s="1428"/>
      <c r="N42" s="1431"/>
      <c r="O42" s="241">
        <f t="shared" si="0"/>
        <v>0</v>
      </c>
      <c r="P42" s="1061"/>
      <c r="Q42" s="1425"/>
      <c r="R42" s="1431"/>
      <c r="S42" s="1034"/>
      <c r="T42" s="1431"/>
      <c r="U42" s="1546"/>
      <c r="V42" s="1428"/>
      <c r="W42" s="1431"/>
      <c r="X42" s="241">
        <f t="shared" si="1"/>
        <v>0</v>
      </c>
      <c r="Y42" s="1731"/>
      <c r="Z42" s="1882"/>
      <c r="AA42" s="868">
        <f t="shared" si="4"/>
        <v>0</v>
      </c>
      <c r="AB42" s="192"/>
      <c r="AC42" s="71"/>
      <c r="AD42" s="93">
        <f xml:space="preserve"> IF( AND(OR($C42 = "Capital expenditure purpose - WASTEWATER additional line 6 [Other categories]",$C42=""), OR( G42 &lt;&gt; 0, H42 &lt;&gt; 0, I42 &lt;&gt; 0, J42 &lt;&gt; 0, K42 &lt;&gt; 0, L42 &lt;&gt; 0, M42 &lt;&gt; 0, N42 &lt;&gt; 0, P42 &lt;&gt; 0, Q42 &lt;&gt; 0, R42 &lt;&gt; 0, S42 &lt;&gt; 0, T42 &lt;&gt; 0, U42 &lt;&gt; 0, V42 &lt;&gt; 0, W42 &lt;&gt; 0) ), 1, 0 )</f>
        <v>0</v>
      </c>
      <c r="AE42" s="93">
        <f t="shared" ref="AE42:AL42" si="15" xml:space="preserve"> IF(AND($C42="Capital expenditure purpose - WASTEWATER additional line 6 [Other categories]",$O42=0), 0, IF( ISNUMBER( G42 ), 0, 1 ))</f>
        <v>0</v>
      </c>
      <c r="AF42" s="93">
        <f t="shared" si="15"/>
        <v>0</v>
      </c>
      <c r="AG42" s="93">
        <f t="shared" si="15"/>
        <v>0</v>
      </c>
      <c r="AH42" s="93">
        <f t="shared" si="15"/>
        <v>0</v>
      </c>
      <c r="AI42" s="93">
        <f t="shared" si="15"/>
        <v>0</v>
      </c>
      <c r="AJ42" s="93">
        <f t="shared" si="15"/>
        <v>0</v>
      </c>
      <c r="AK42" s="93">
        <f t="shared" si="15"/>
        <v>0</v>
      </c>
      <c r="AL42" s="93">
        <f t="shared" si="15"/>
        <v>0</v>
      </c>
      <c r="AM42" s="127"/>
      <c r="AN42" s="93">
        <f t="shared" ref="AN42:AU42" si="16" xml:space="preserve"> IF(AND($C42="Capital expenditure purpose - WASTEWATER additional line 6 [Other categories]",$O42=0), 0, IF( ISNUMBER( P42 ), 0, 1 ))</f>
        <v>0</v>
      </c>
      <c r="AO42" s="93">
        <f t="shared" si="16"/>
        <v>0</v>
      </c>
      <c r="AP42" s="93">
        <f t="shared" si="16"/>
        <v>0</v>
      </c>
      <c r="AQ42" s="93">
        <f t="shared" si="16"/>
        <v>0</v>
      </c>
      <c r="AR42" s="93">
        <f t="shared" si="16"/>
        <v>0</v>
      </c>
      <c r="AS42" s="93">
        <f t="shared" si="16"/>
        <v>0</v>
      </c>
      <c r="AT42" s="93">
        <f t="shared" si="16"/>
        <v>0</v>
      </c>
      <c r="AU42" s="93">
        <f t="shared" si="16"/>
        <v>0</v>
      </c>
      <c r="AV42" s="71"/>
      <c r="AW42" s="1882"/>
      <c r="AY42" s="1882"/>
      <c r="AZ42" s="1882"/>
      <c r="BA42" s="1882"/>
      <c r="BC42" s="1882"/>
      <c r="BD42" s="977" t="s">
        <v>5669</v>
      </c>
      <c r="BE42" s="2720" t="s">
        <v>5691</v>
      </c>
      <c r="BF42" s="2683"/>
      <c r="BG42" s="1881" t="s">
        <v>49</v>
      </c>
      <c r="BH42" s="978">
        <v>3</v>
      </c>
      <c r="BI42" s="2721" t="s">
        <v>5691</v>
      </c>
      <c r="BJ42" s="2722" t="s">
        <v>5692</v>
      </c>
      <c r="BK42" s="2723" t="s">
        <v>5693</v>
      </c>
      <c r="BL42" s="2724" t="s">
        <v>5694</v>
      </c>
      <c r="BM42" s="2722" t="s">
        <v>5695</v>
      </c>
      <c r="BN42" s="2722" t="s">
        <v>5696</v>
      </c>
      <c r="BO42" s="2725" t="s">
        <v>5697</v>
      </c>
      <c r="BP42" s="2723" t="s">
        <v>5698</v>
      </c>
      <c r="BQ42" s="1970" t="s">
        <v>5699</v>
      </c>
      <c r="BR42" s="2726" t="s">
        <v>5700</v>
      </c>
      <c r="BS42" s="2722" t="s">
        <v>5701</v>
      </c>
      <c r="BT42" s="2723" t="s">
        <v>5702</v>
      </c>
      <c r="BU42" s="2724" t="s">
        <v>5703</v>
      </c>
      <c r="BV42" s="2722" t="s">
        <v>5704</v>
      </c>
      <c r="BW42" s="2722" t="s">
        <v>5705</v>
      </c>
      <c r="BX42" s="2725" t="s">
        <v>5706</v>
      </c>
      <c r="BY42" s="2723" t="s">
        <v>5707</v>
      </c>
      <c r="BZ42" s="1970" t="s">
        <v>5708</v>
      </c>
      <c r="CA42" s="1882"/>
    </row>
    <row r="43" spans="1:79" ht="16">
      <c r="A43" s="966"/>
      <c r="B43" s="977" t="s">
        <v>5709</v>
      </c>
      <c r="C43" s="1035" t="s">
        <v>5710</v>
      </c>
      <c r="D43" s="981"/>
      <c r="E43" s="1881" t="s">
        <v>49</v>
      </c>
      <c r="F43" s="978">
        <v>3</v>
      </c>
      <c r="G43" s="1061"/>
      <c r="H43" s="1425"/>
      <c r="I43" s="1431"/>
      <c r="J43" s="1034"/>
      <c r="K43" s="1431"/>
      <c r="L43" s="1546"/>
      <c r="M43" s="1428"/>
      <c r="N43" s="1431"/>
      <c r="O43" s="241">
        <f t="shared" si="0"/>
        <v>0</v>
      </c>
      <c r="P43" s="1061"/>
      <c r="Q43" s="1425"/>
      <c r="R43" s="1431"/>
      <c r="S43" s="1034"/>
      <c r="T43" s="1431"/>
      <c r="U43" s="1546"/>
      <c r="V43" s="1428"/>
      <c r="W43" s="1431"/>
      <c r="X43" s="241">
        <f t="shared" si="1"/>
        <v>0</v>
      </c>
      <c r="Y43" s="1731"/>
      <c r="Z43" s="1882"/>
      <c r="AA43" s="868">
        <f t="shared" si="4"/>
        <v>0</v>
      </c>
      <c r="AB43" s="192"/>
      <c r="AC43" s="71"/>
      <c r="AD43" s="93">
        <f xml:space="preserve"> IF( AND(OR($C43 = "Capital expenditure purpose - WASTEWATER additional line 7 [Other categories]",$C43=""), OR( G43 &lt;&gt; 0, H43 &lt;&gt; 0, I43 &lt;&gt; 0, J43 &lt;&gt; 0, K43 &lt;&gt; 0, L43 &lt;&gt; 0, M43 &lt;&gt; 0, N43 &lt;&gt; 0, P43 &lt;&gt; 0, Q43 &lt;&gt; 0, R43 &lt;&gt; 0, S43 &lt;&gt; 0, T43 &lt;&gt; 0, U43 &lt;&gt; 0, V43 &lt;&gt; 0, W43 &lt;&gt; 0) ), 1, 0 )</f>
        <v>0</v>
      </c>
      <c r="AE43" s="93">
        <f t="shared" ref="AE43:AL43" si="17" xml:space="preserve"> IF(AND($C43="Capital expenditure purpose - WASTEWATER additional line 7 [Other categories]",$O43=0), 0, IF( ISNUMBER( G43 ), 0, 1 ))</f>
        <v>0</v>
      </c>
      <c r="AF43" s="93">
        <f t="shared" si="17"/>
        <v>0</v>
      </c>
      <c r="AG43" s="93">
        <f t="shared" si="17"/>
        <v>0</v>
      </c>
      <c r="AH43" s="93">
        <f t="shared" si="17"/>
        <v>0</v>
      </c>
      <c r="AI43" s="93">
        <f t="shared" si="17"/>
        <v>0</v>
      </c>
      <c r="AJ43" s="93">
        <f t="shared" si="17"/>
        <v>0</v>
      </c>
      <c r="AK43" s="93">
        <f t="shared" si="17"/>
        <v>0</v>
      </c>
      <c r="AL43" s="93">
        <f t="shared" si="17"/>
        <v>0</v>
      </c>
      <c r="AM43" s="127"/>
      <c r="AN43" s="93">
        <f t="shared" ref="AN43:AU43" si="18" xml:space="preserve"> IF(AND($C43="Capital expenditure purpose - WASTEWATER additional line 7 [Other categories]",$O43=0), 0, IF( ISNUMBER( P43 ), 0, 1 ))</f>
        <v>0</v>
      </c>
      <c r="AO43" s="93">
        <f t="shared" si="18"/>
        <v>0</v>
      </c>
      <c r="AP43" s="93">
        <f t="shared" si="18"/>
        <v>0</v>
      </c>
      <c r="AQ43" s="93">
        <f t="shared" si="18"/>
        <v>0</v>
      </c>
      <c r="AR43" s="93">
        <f t="shared" si="18"/>
        <v>0</v>
      </c>
      <c r="AS43" s="93">
        <f t="shared" si="18"/>
        <v>0</v>
      </c>
      <c r="AT43" s="93">
        <f t="shared" si="18"/>
        <v>0</v>
      </c>
      <c r="AU43" s="93">
        <f t="shared" si="18"/>
        <v>0</v>
      </c>
      <c r="AV43" s="71"/>
      <c r="AW43" s="1882"/>
      <c r="AY43" s="1882"/>
      <c r="AZ43" s="1882"/>
      <c r="BA43" s="1882"/>
      <c r="BC43" s="1882"/>
      <c r="BD43" s="977" t="s">
        <v>5689</v>
      </c>
      <c r="BE43" s="2720" t="s">
        <v>5711</v>
      </c>
      <c r="BF43" s="2683"/>
      <c r="BG43" s="1881" t="s">
        <v>49</v>
      </c>
      <c r="BH43" s="978">
        <v>3</v>
      </c>
      <c r="BI43" s="2721" t="s">
        <v>5711</v>
      </c>
      <c r="BJ43" s="2722" t="s">
        <v>5712</v>
      </c>
      <c r="BK43" s="2723" t="s">
        <v>5713</v>
      </c>
      <c r="BL43" s="2724" t="s">
        <v>5714</v>
      </c>
      <c r="BM43" s="2722" t="s">
        <v>5715</v>
      </c>
      <c r="BN43" s="2722" t="s">
        <v>5716</v>
      </c>
      <c r="BO43" s="2725" t="s">
        <v>5717</v>
      </c>
      <c r="BP43" s="2723" t="s">
        <v>5718</v>
      </c>
      <c r="BQ43" s="1970" t="s">
        <v>5719</v>
      </c>
      <c r="BR43" s="2726" t="s">
        <v>5720</v>
      </c>
      <c r="BS43" s="2722" t="s">
        <v>5721</v>
      </c>
      <c r="BT43" s="2723" t="s">
        <v>5722</v>
      </c>
      <c r="BU43" s="2724" t="s">
        <v>5723</v>
      </c>
      <c r="BV43" s="2722" t="s">
        <v>5724</v>
      </c>
      <c r="BW43" s="2722" t="s">
        <v>5725</v>
      </c>
      <c r="BX43" s="2725" t="s">
        <v>5726</v>
      </c>
      <c r="BY43" s="2723" t="s">
        <v>5727</v>
      </c>
      <c r="BZ43" s="1970" t="s">
        <v>5728</v>
      </c>
      <c r="CA43" s="1882"/>
    </row>
    <row r="44" spans="1:79" ht="16">
      <c r="A44" s="966"/>
      <c r="B44" s="977" t="s">
        <v>5729</v>
      </c>
      <c r="C44" s="1035" t="s">
        <v>5730</v>
      </c>
      <c r="D44" s="981"/>
      <c r="E44" s="1881" t="s">
        <v>49</v>
      </c>
      <c r="F44" s="978">
        <v>3</v>
      </c>
      <c r="G44" s="1061"/>
      <c r="H44" s="1425"/>
      <c r="I44" s="1431"/>
      <c r="J44" s="1034"/>
      <c r="K44" s="1431"/>
      <c r="L44" s="1546"/>
      <c r="M44" s="1428"/>
      <c r="N44" s="1431"/>
      <c r="O44" s="241">
        <f t="shared" si="0"/>
        <v>0</v>
      </c>
      <c r="P44" s="1061"/>
      <c r="Q44" s="1425"/>
      <c r="R44" s="1431"/>
      <c r="S44" s="1034"/>
      <c r="T44" s="1431"/>
      <c r="U44" s="1546"/>
      <c r="V44" s="1428"/>
      <c r="W44" s="1431"/>
      <c r="X44" s="241">
        <f t="shared" si="1"/>
        <v>0</v>
      </c>
      <c r="Y44" s="1731"/>
      <c r="Z44" s="1882"/>
      <c r="AA44" s="868">
        <f t="shared" si="4"/>
        <v>0</v>
      </c>
      <c r="AB44" s="192"/>
      <c r="AC44" s="71"/>
      <c r="AD44" s="93">
        <f xml:space="preserve"> IF( AND(OR($C44 = "Capital expenditure purpose - WASTEWATER additional line 8 [Other categories]",$C44=""), OR( G44 &lt;&gt; 0, H44 &lt;&gt; 0, I44 &lt;&gt; 0, J44 &lt;&gt; 0, K44 &lt;&gt; 0, L44 &lt;&gt; 0, M44 &lt;&gt; 0, N44 &lt;&gt; 0, P44 &lt;&gt; 0, Q44 &lt;&gt; 0, R44 &lt;&gt; 0, S44 &lt;&gt; 0, T44 &lt;&gt; 0, U44 &lt;&gt; 0, V44 &lt;&gt; 0, W44 &lt;&gt; 0) ), 1, 0 )</f>
        <v>0</v>
      </c>
      <c r="AE44" s="93">
        <f t="shared" ref="AE44:AL44" si="19" xml:space="preserve"> IF(AND($C44="Capital expenditure purpose - WASTEWATER additional line 8 [Other categories]",$O44=0), 0, IF( ISNUMBER( G44 ), 0, 1 ))</f>
        <v>0</v>
      </c>
      <c r="AF44" s="93">
        <f t="shared" si="19"/>
        <v>0</v>
      </c>
      <c r="AG44" s="93">
        <f t="shared" si="19"/>
        <v>0</v>
      </c>
      <c r="AH44" s="93">
        <f t="shared" si="19"/>
        <v>0</v>
      </c>
      <c r="AI44" s="93">
        <f t="shared" si="19"/>
        <v>0</v>
      </c>
      <c r="AJ44" s="93">
        <f t="shared" si="19"/>
        <v>0</v>
      </c>
      <c r="AK44" s="93">
        <f t="shared" si="19"/>
        <v>0</v>
      </c>
      <c r="AL44" s="93">
        <f t="shared" si="19"/>
        <v>0</v>
      </c>
      <c r="AM44" s="127"/>
      <c r="AN44" s="93">
        <f t="shared" ref="AN44:AU44" si="20" xml:space="preserve"> IF(AND($C44="Capital expenditure purpose - WASTEWATER additional line 8 [Other categories]",$O44=0), 0, IF( ISNUMBER( P44 ), 0, 1 ))</f>
        <v>0</v>
      </c>
      <c r="AO44" s="93">
        <f t="shared" si="20"/>
        <v>0</v>
      </c>
      <c r="AP44" s="93">
        <f t="shared" si="20"/>
        <v>0</v>
      </c>
      <c r="AQ44" s="93">
        <f t="shared" si="20"/>
        <v>0</v>
      </c>
      <c r="AR44" s="93">
        <f t="shared" si="20"/>
        <v>0</v>
      </c>
      <c r="AS44" s="93">
        <f t="shared" si="20"/>
        <v>0</v>
      </c>
      <c r="AT44" s="93">
        <f t="shared" si="20"/>
        <v>0</v>
      </c>
      <c r="AU44" s="93">
        <f t="shared" si="20"/>
        <v>0</v>
      </c>
      <c r="AV44" s="71"/>
      <c r="AW44" s="1882"/>
      <c r="AY44" s="1882"/>
      <c r="AZ44" s="1882"/>
      <c r="BA44" s="1882"/>
      <c r="BC44" s="1882"/>
      <c r="BD44" s="977" t="s">
        <v>5709</v>
      </c>
      <c r="BE44" s="2720" t="s">
        <v>5731</v>
      </c>
      <c r="BF44" s="2683"/>
      <c r="BG44" s="1881" t="s">
        <v>49</v>
      </c>
      <c r="BH44" s="978">
        <v>3</v>
      </c>
      <c r="BI44" s="2721" t="s">
        <v>5731</v>
      </c>
      <c r="BJ44" s="2722" t="s">
        <v>5732</v>
      </c>
      <c r="BK44" s="2723" t="s">
        <v>5733</v>
      </c>
      <c r="BL44" s="2724" t="s">
        <v>5734</v>
      </c>
      <c r="BM44" s="2722" t="s">
        <v>5735</v>
      </c>
      <c r="BN44" s="2722" t="s">
        <v>5736</v>
      </c>
      <c r="BO44" s="2725" t="s">
        <v>5737</v>
      </c>
      <c r="BP44" s="2723" t="s">
        <v>5738</v>
      </c>
      <c r="BQ44" s="1970" t="s">
        <v>5739</v>
      </c>
      <c r="BR44" s="2726" t="s">
        <v>5740</v>
      </c>
      <c r="BS44" s="2722" t="s">
        <v>5741</v>
      </c>
      <c r="BT44" s="2723" t="s">
        <v>5742</v>
      </c>
      <c r="BU44" s="2724" t="s">
        <v>5743</v>
      </c>
      <c r="BV44" s="2722" t="s">
        <v>5744</v>
      </c>
      <c r="BW44" s="2722" t="s">
        <v>5745</v>
      </c>
      <c r="BX44" s="2725" t="s">
        <v>5746</v>
      </c>
      <c r="BY44" s="2723" t="s">
        <v>5747</v>
      </c>
      <c r="BZ44" s="1970" t="s">
        <v>5748</v>
      </c>
      <c r="CA44" s="1882"/>
    </row>
    <row r="45" spans="1:79" ht="16">
      <c r="A45" s="966"/>
      <c r="B45" s="977" t="s">
        <v>5749</v>
      </c>
      <c r="C45" s="1035" t="s">
        <v>5750</v>
      </c>
      <c r="D45" s="981"/>
      <c r="E45" s="1881" t="s">
        <v>49</v>
      </c>
      <c r="F45" s="978">
        <v>3</v>
      </c>
      <c r="G45" s="1061"/>
      <c r="H45" s="1425"/>
      <c r="I45" s="1431"/>
      <c r="J45" s="1034"/>
      <c r="K45" s="1431"/>
      <c r="L45" s="1546"/>
      <c r="M45" s="1428"/>
      <c r="N45" s="1431"/>
      <c r="O45" s="241">
        <f t="shared" si="0"/>
        <v>0</v>
      </c>
      <c r="P45" s="1061"/>
      <c r="Q45" s="1425"/>
      <c r="R45" s="1431"/>
      <c r="S45" s="1034"/>
      <c r="T45" s="1431"/>
      <c r="U45" s="1546"/>
      <c r="V45" s="1428"/>
      <c r="W45" s="1431"/>
      <c r="X45" s="241">
        <f t="shared" si="1"/>
        <v>0</v>
      </c>
      <c r="Y45" s="1731"/>
      <c r="Z45" s="1882"/>
      <c r="AA45" s="868">
        <f t="shared" si="4"/>
        <v>0</v>
      </c>
      <c r="AB45" s="192"/>
      <c r="AC45" s="71"/>
      <c r="AD45" s="93">
        <f xml:space="preserve"> IF( AND(OR($C45 = "Capital expenditure purpose - WASTEWATER additional line 9 [Other categories]",$C45=""), OR( G45 &lt;&gt; 0, H45 &lt;&gt; 0, I45 &lt;&gt; 0, J45 &lt;&gt; 0, K45 &lt;&gt; 0, L45 &lt;&gt; 0, M45 &lt;&gt; 0, N45 &lt;&gt; 0, P45 &lt;&gt; 0, Q45 &lt;&gt; 0, R45 &lt;&gt; 0, S45 &lt;&gt; 0, T45 &lt;&gt; 0, U45 &lt;&gt; 0, V45 &lt;&gt; 0, W45 &lt;&gt; 0) ), 1, 0 )</f>
        <v>0</v>
      </c>
      <c r="AE45" s="93">
        <f t="shared" ref="AE45:AL45" si="21" xml:space="preserve"> IF(AND($C45="Capital expenditure purpose - WASTEWATER additional line 9 [Other categories]",$O45=0), 0, IF( ISNUMBER( G45 ), 0, 1 ))</f>
        <v>0</v>
      </c>
      <c r="AF45" s="93">
        <f t="shared" si="21"/>
        <v>0</v>
      </c>
      <c r="AG45" s="93">
        <f t="shared" si="21"/>
        <v>0</v>
      </c>
      <c r="AH45" s="93">
        <f t="shared" si="21"/>
        <v>0</v>
      </c>
      <c r="AI45" s="93">
        <f t="shared" si="21"/>
        <v>0</v>
      </c>
      <c r="AJ45" s="93">
        <f t="shared" si="21"/>
        <v>0</v>
      </c>
      <c r="AK45" s="93">
        <f t="shared" si="21"/>
        <v>0</v>
      </c>
      <c r="AL45" s="93">
        <f t="shared" si="21"/>
        <v>0</v>
      </c>
      <c r="AM45" s="127"/>
      <c r="AN45" s="93">
        <f t="shared" ref="AN45:AU45" si="22" xml:space="preserve"> IF(AND($C45="Capital expenditure purpose - WASTEWATER additional line 9 [Other categories]",$O45=0), 0, IF( ISNUMBER( P45 ), 0, 1 ))</f>
        <v>0</v>
      </c>
      <c r="AO45" s="93">
        <f t="shared" si="22"/>
        <v>0</v>
      </c>
      <c r="AP45" s="93">
        <f t="shared" si="22"/>
        <v>0</v>
      </c>
      <c r="AQ45" s="93">
        <f t="shared" si="22"/>
        <v>0</v>
      </c>
      <c r="AR45" s="93">
        <f t="shared" si="22"/>
        <v>0</v>
      </c>
      <c r="AS45" s="93">
        <f t="shared" si="22"/>
        <v>0</v>
      </c>
      <c r="AT45" s="93">
        <f t="shared" si="22"/>
        <v>0</v>
      </c>
      <c r="AU45" s="93">
        <f t="shared" si="22"/>
        <v>0</v>
      </c>
      <c r="AV45" s="71"/>
      <c r="AW45" s="1882"/>
      <c r="AY45" s="1882"/>
      <c r="AZ45" s="1882"/>
      <c r="BA45" s="1882"/>
      <c r="BC45" s="1882"/>
      <c r="BD45" s="977" t="s">
        <v>5729</v>
      </c>
      <c r="BE45" s="2720" t="s">
        <v>5751</v>
      </c>
      <c r="BF45" s="2683"/>
      <c r="BG45" s="1881" t="s">
        <v>49</v>
      </c>
      <c r="BH45" s="978">
        <v>3</v>
      </c>
      <c r="BI45" s="2721" t="s">
        <v>5751</v>
      </c>
      <c r="BJ45" s="2722" t="s">
        <v>5752</v>
      </c>
      <c r="BK45" s="2723" t="s">
        <v>5753</v>
      </c>
      <c r="BL45" s="2724" t="s">
        <v>5754</v>
      </c>
      <c r="BM45" s="2722" t="s">
        <v>5755</v>
      </c>
      <c r="BN45" s="2722" t="s">
        <v>5756</v>
      </c>
      <c r="BO45" s="2725" t="s">
        <v>5757</v>
      </c>
      <c r="BP45" s="2723" t="s">
        <v>5758</v>
      </c>
      <c r="BQ45" s="1970" t="s">
        <v>5759</v>
      </c>
      <c r="BR45" s="2726" t="s">
        <v>5760</v>
      </c>
      <c r="BS45" s="2722" t="s">
        <v>5761</v>
      </c>
      <c r="BT45" s="2723" t="s">
        <v>5762</v>
      </c>
      <c r="BU45" s="2724" t="s">
        <v>5763</v>
      </c>
      <c r="BV45" s="2722" t="s">
        <v>5764</v>
      </c>
      <c r="BW45" s="2722" t="s">
        <v>5765</v>
      </c>
      <c r="BX45" s="2725" t="s">
        <v>5766</v>
      </c>
      <c r="BY45" s="2723" t="s">
        <v>5767</v>
      </c>
      <c r="BZ45" s="1970" t="s">
        <v>5768</v>
      </c>
      <c r="CA45" s="1882"/>
    </row>
    <row r="46" spans="1:79" ht="16">
      <c r="A46" s="966"/>
      <c r="B46" s="977" t="s">
        <v>5769</v>
      </c>
      <c r="C46" s="1442" t="s">
        <v>5770</v>
      </c>
      <c r="D46" s="1106"/>
      <c r="E46" s="1881" t="s">
        <v>49</v>
      </c>
      <c r="F46" s="978">
        <v>3</v>
      </c>
      <c r="G46" s="1061"/>
      <c r="H46" s="1425"/>
      <c r="I46" s="1431"/>
      <c r="J46" s="1034"/>
      <c r="K46" s="1431"/>
      <c r="L46" s="1546"/>
      <c r="M46" s="1428"/>
      <c r="N46" s="1431"/>
      <c r="O46" s="241">
        <f t="shared" ref="O46:O50" si="23">+SUM(G46:N46)</f>
        <v>0</v>
      </c>
      <c r="P46" s="1061"/>
      <c r="Q46" s="1425"/>
      <c r="R46" s="1431"/>
      <c r="S46" s="1034"/>
      <c r="T46" s="1431"/>
      <c r="U46" s="1546"/>
      <c r="V46" s="1428"/>
      <c r="W46" s="1431"/>
      <c r="X46" s="241">
        <f t="shared" ref="X46:X50" si="24">+SUM(P46:W46)</f>
        <v>0</v>
      </c>
      <c r="Y46" s="1731"/>
      <c r="Z46" s="1882"/>
      <c r="AA46" s="868">
        <f t="shared" si="4"/>
        <v>0</v>
      </c>
      <c r="AB46" s="192"/>
      <c r="AC46" s="71"/>
      <c r="AD46" s="93">
        <f xml:space="preserve"> IF( AND(OR($C46 = "Capital expenditure purpose - WASTEWATER additional line 10 [Other categories]",$C46=""), OR( G46 &lt;&gt; 0, H46 &lt;&gt; 0, I46 &lt;&gt; 0, J46 &lt;&gt; 0, K46 &lt;&gt; 0, L46 &lt;&gt; 0, M46 &lt;&gt; 0, N46 &lt;&gt; 0, P46 &lt;&gt; 0, Q46 &lt;&gt; 0, R46 &lt;&gt; 0, S46 &lt;&gt; 0, T46 &lt;&gt; 0, U46 &lt;&gt; 0, V46 &lt;&gt; 0, W46 &lt;&gt; 0) ), 1, 0 )</f>
        <v>0</v>
      </c>
      <c r="AE46" s="93">
        <f t="shared" ref="AE46:AL46" si="25" xml:space="preserve"> IF(AND($C46="Capital expenditure purpose - WASTEWATER additional line 10 [Other categories]",$O46=0), 0, IF( ISNUMBER( G46 ), 0, 1 ))</f>
        <v>0</v>
      </c>
      <c r="AF46" s="93">
        <f t="shared" si="25"/>
        <v>0</v>
      </c>
      <c r="AG46" s="93">
        <f t="shared" si="25"/>
        <v>0</v>
      </c>
      <c r="AH46" s="93">
        <f t="shared" si="25"/>
        <v>0</v>
      </c>
      <c r="AI46" s="93">
        <f t="shared" si="25"/>
        <v>0</v>
      </c>
      <c r="AJ46" s="93">
        <f t="shared" si="25"/>
        <v>0</v>
      </c>
      <c r="AK46" s="93">
        <f t="shared" si="25"/>
        <v>0</v>
      </c>
      <c r="AL46" s="93">
        <f t="shared" si="25"/>
        <v>0</v>
      </c>
      <c r="AM46" s="127"/>
      <c r="AN46" s="93">
        <f t="shared" ref="AN46:AU46" si="26" xml:space="preserve"> IF(AND($C46="Capital expenditure purpose - WASTEWATER additional line 10 [Other categories]",$O46=0), 0, IF( ISNUMBER( P46 ), 0, 1 ))</f>
        <v>0</v>
      </c>
      <c r="AO46" s="93">
        <f t="shared" si="26"/>
        <v>0</v>
      </c>
      <c r="AP46" s="93">
        <f t="shared" si="26"/>
        <v>0</v>
      </c>
      <c r="AQ46" s="93">
        <f t="shared" si="26"/>
        <v>0</v>
      </c>
      <c r="AR46" s="93">
        <f t="shared" si="26"/>
        <v>0</v>
      </c>
      <c r="AS46" s="93">
        <f t="shared" si="26"/>
        <v>0</v>
      </c>
      <c r="AT46" s="93">
        <f t="shared" si="26"/>
        <v>0</v>
      </c>
      <c r="AU46" s="93">
        <f t="shared" si="26"/>
        <v>0</v>
      </c>
      <c r="AV46" s="71"/>
      <c r="AW46" s="1882"/>
      <c r="AY46" s="1882"/>
      <c r="AZ46" s="1882"/>
      <c r="BA46" s="1882"/>
      <c r="BC46" s="1882"/>
      <c r="BD46" s="977" t="s">
        <v>5749</v>
      </c>
      <c r="BE46" s="2727" t="s">
        <v>5771</v>
      </c>
      <c r="BF46" s="2728"/>
      <c r="BG46" s="1881" t="s">
        <v>49</v>
      </c>
      <c r="BH46" s="978">
        <v>3</v>
      </c>
      <c r="BI46" s="2721" t="s">
        <v>5771</v>
      </c>
      <c r="BJ46" s="2722" t="s">
        <v>5772</v>
      </c>
      <c r="BK46" s="2723" t="s">
        <v>5773</v>
      </c>
      <c r="BL46" s="2724" t="s">
        <v>5774</v>
      </c>
      <c r="BM46" s="2722" t="s">
        <v>5775</v>
      </c>
      <c r="BN46" s="2722" t="s">
        <v>5776</v>
      </c>
      <c r="BO46" s="2725" t="s">
        <v>5777</v>
      </c>
      <c r="BP46" s="2723" t="s">
        <v>5778</v>
      </c>
      <c r="BQ46" s="1970" t="s">
        <v>5779</v>
      </c>
      <c r="BR46" s="2726" t="s">
        <v>5780</v>
      </c>
      <c r="BS46" s="2722" t="s">
        <v>5781</v>
      </c>
      <c r="BT46" s="2723" t="s">
        <v>5782</v>
      </c>
      <c r="BU46" s="2724" t="s">
        <v>5783</v>
      </c>
      <c r="BV46" s="2722" t="s">
        <v>5784</v>
      </c>
      <c r="BW46" s="2722" t="s">
        <v>5785</v>
      </c>
      <c r="BX46" s="2725" t="s">
        <v>5786</v>
      </c>
      <c r="BY46" s="2723" t="s">
        <v>5787</v>
      </c>
      <c r="BZ46" s="1970" t="s">
        <v>5788</v>
      </c>
      <c r="CA46" s="1882"/>
    </row>
    <row r="47" spans="1:79" ht="16">
      <c r="A47" s="966"/>
      <c r="B47" s="977" t="s">
        <v>5789</v>
      </c>
      <c r="C47" s="1442" t="s">
        <v>5790</v>
      </c>
      <c r="D47" s="1106"/>
      <c r="E47" s="1881" t="s">
        <v>49</v>
      </c>
      <c r="F47" s="978">
        <v>3</v>
      </c>
      <c r="G47" s="1061"/>
      <c r="H47" s="1425"/>
      <c r="I47" s="1431"/>
      <c r="J47" s="1034"/>
      <c r="K47" s="1431"/>
      <c r="L47" s="1546"/>
      <c r="M47" s="1428"/>
      <c r="N47" s="1431"/>
      <c r="O47" s="241">
        <f t="shared" si="23"/>
        <v>0</v>
      </c>
      <c r="P47" s="1061"/>
      <c r="Q47" s="1425"/>
      <c r="R47" s="1431"/>
      <c r="S47" s="1034"/>
      <c r="T47" s="1431"/>
      <c r="U47" s="1546"/>
      <c r="V47" s="1428"/>
      <c r="W47" s="1431"/>
      <c r="X47" s="241">
        <f t="shared" si="24"/>
        <v>0</v>
      </c>
      <c r="Y47" s="1731"/>
      <c r="Z47" s="1882"/>
      <c r="AA47" s="868">
        <f t="shared" si="4"/>
        <v>0</v>
      </c>
      <c r="AB47" s="192"/>
      <c r="AC47" s="71"/>
      <c r="AD47" s="93">
        <f xml:space="preserve"> IF( AND(OR($C47 = "Capital expenditure purpose - WASTEWATER additional line 11 [Other categories]",$C47=""), OR( G47 &lt;&gt; 0, H47 &lt;&gt; 0, I47 &lt;&gt; 0, J47 &lt;&gt; 0, K47 &lt;&gt; 0, L47 &lt;&gt; 0, M47 &lt;&gt; 0, N47 &lt;&gt; 0, P47 &lt;&gt; 0, Q47 &lt;&gt; 0, R47 &lt;&gt; 0, S47 &lt;&gt; 0, T47 &lt;&gt; 0, U47 &lt;&gt; 0, V47 &lt;&gt; 0, W47 &lt;&gt; 0) ), 1, 0 )</f>
        <v>0</v>
      </c>
      <c r="AE47" s="93">
        <f t="shared" ref="AE47:AL47" si="27" xml:space="preserve"> IF(AND($C47="Capital expenditure purpose - WASTEWATER additional line 11 [Other categories]",$O47=0), 0, IF( ISNUMBER( G47 ), 0, 1 ))</f>
        <v>0</v>
      </c>
      <c r="AF47" s="93">
        <f t="shared" si="27"/>
        <v>0</v>
      </c>
      <c r="AG47" s="93">
        <f t="shared" si="27"/>
        <v>0</v>
      </c>
      <c r="AH47" s="93">
        <f t="shared" si="27"/>
        <v>0</v>
      </c>
      <c r="AI47" s="93">
        <f t="shared" si="27"/>
        <v>0</v>
      </c>
      <c r="AJ47" s="93">
        <f t="shared" si="27"/>
        <v>0</v>
      </c>
      <c r="AK47" s="93">
        <f t="shared" si="27"/>
        <v>0</v>
      </c>
      <c r="AL47" s="93">
        <f t="shared" si="27"/>
        <v>0</v>
      </c>
      <c r="AM47" s="127"/>
      <c r="AN47" s="93">
        <f t="shared" ref="AN47:AU47" si="28" xml:space="preserve"> IF(AND($C47="Capital expenditure purpose - WASTEWATER additional line 11 [Other categories]",$O47=0), 0, IF( ISNUMBER( P47 ), 0, 1 ))</f>
        <v>0</v>
      </c>
      <c r="AO47" s="93">
        <f t="shared" si="28"/>
        <v>0</v>
      </c>
      <c r="AP47" s="93">
        <f t="shared" si="28"/>
        <v>0</v>
      </c>
      <c r="AQ47" s="93">
        <f t="shared" si="28"/>
        <v>0</v>
      </c>
      <c r="AR47" s="93">
        <f t="shared" si="28"/>
        <v>0</v>
      </c>
      <c r="AS47" s="93">
        <f t="shared" si="28"/>
        <v>0</v>
      </c>
      <c r="AT47" s="93">
        <f t="shared" si="28"/>
        <v>0</v>
      </c>
      <c r="AU47" s="93">
        <f t="shared" si="28"/>
        <v>0</v>
      </c>
      <c r="AV47" s="71"/>
      <c r="AW47" s="1882"/>
      <c r="AY47" s="1882"/>
      <c r="AZ47" s="1882"/>
      <c r="BA47" s="1882"/>
      <c r="BC47" s="1882"/>
      <c r="BD47" s="977" t="s">
        <v>5769</v>
      </c>
      <c r="BE47" s="2727" t="s">
        <v>5791</v>
      </c>
      <c r="BF47" s="2728"/>
      <c r="BG47" s="1881" t="s">
        <v>49</v>
      </c>
      <c r="BH47" s="978">
        <v>3</v>
      </c>
      <c r="BI47" s="2721" t="s">
        <v>5791</v>
      </c>
      <c r="BJ47" s="2722" t="s">
        <v>5792</v>
      </c>
      <c r="BK47" s="2723" t="s">
        <v>5793</v>
      </c>
      <c r="BL47" s="2724" t="s">
        <v>5794</v>
      </c>
      <c r="BM47" s="2722" t="s">
        <v>5795</v>
      </c>
      <c r="BN47" s="2722" t="s">
        <v>5796</v>
      </c>
      <c r="BO47" s="2725" t="s">
        <v>5797</v>
      </c>
      <c r="BP47" s="2723" t="s">
        <v>5798</v>
      </c>
      <c r="BQ47" s="1970" t="s">
        <v>5799</v>
      </c>
      <c r="BR47" s="2726" t="s">
        <v>5800</v>
      </c>
      <c r="BS47" s="2722" t="s">
        <v>5801</v>
      </c>
      <c r="BT47" s="2723" t="s">
        <v>5802</v>
      </c>
      <c r="BU47" s="2724" t="s">
        <v>5803</v>
      </c>
      <c r="BV47" s="2722" t="s">
        <v>5804</v>
      </c>
      <c r="BW47" s="2722" t="s">
        <v>5805</v>
      </c>
      <c r="BX47" s="2725" t="s">
        <v>5806</v>
      </c>
      <c r="BY47" s="2723" t="s">
        <v>5807</v>
      </c>
      <c r="BZ47" s="1970" t="s">
        <v>5808</v>
      </c>
      <c r="CA47" s="1882"/>
    </row>
    <row r="48" spans="1:79" ht="16">
      <c r="A48" s="966"/>
      <c r="B48" s="977" t="s">
        <v>5809</v>
      </c>
      <c r="C48" s="1442" t="s">
        <v>5810</v>
      </c>
      <c r="D48" s="1106"/>
      <c r="E48" s="1881" t="s">
        <v>49</v>
      </c>
      <c r="F48" s="978">
        <v>3</v>
      </c>
      <c r="G48" s="1061"/>
      <c r="H48" s="1425"/>
      <c r="I48" s="1431"/>
      <c r="J48" s="1034"/>
      <c r="K48" s="1431"/>
      <c r="L48" s="1546"/>
      <c r="M48" s="1428"/>
      <c r="N48" s="1431"/>
      <c r="O48" s="241">
        <f t="shared" si="23"/>
        <v>0</v>
      </c>
      <c r="P48" s="1061"/>
      <c r="Q48" s="1425"/>
      <c r="R48" s="1431"/>
      <c r="S48" s="1034"/>
      <c r="T48" s="1431"/>
      <c r="U48" s="1546"/>
      <c r="V48" s="1428"/>
      <c r="W48" s="1431"/>
      <c r="X48" s="241">
        <f t="shared" si="24"/>
        <v>0</v>
      </c>
      <c r="Y48" s="1731"/>
      <c r="Z48" s="1882"/>
      <c r="AA48" s="868">
        <f t="shared" si="4"/>
        <v>0</v>
      </c>
      <c r="AB48" s="192"/>
      <c r="AC48" s="71"/>
      <c r="AD48" s="93">
        <f xml:space="preserve"> IF( AND(OR($C48 = "Capital expenditure purpose - WASTEWATER additional line 12 [Other categories]",$C48=""), OR( G48 &lt;&gt; 0, H48 &lt;&gt; 0, I48 &lt;&gt; 0, J48 &lt;&gt; 0, K48 &lt;&gt; 0, L48 &lt;&gt; 0, M48 &lt;&gt; 0, N48 &lt;&gt; 0, P48 &lt;&gt; 0, Q48 &lt;&gt; 0, R48 &lt;&gt; 0, S48 &lt;&gt; 0, T48 &lt;&gt; 0, U48 &lt;&gt; 0, V48 &lt;&gt; 0, W48 &lt;&gt; 0) ), 1, 0 )</f>
        <v>0</v>
      </c>
      <c r="AE48" s="93">
        <f t="shared" ref="AE48:AL48" si="29" xml:space="preserve"> IF(AND($C48="Capital expenditure purpose - WASTEWATER additional line 12 [Other categories]",$O48=0), 0, IF( ISNUMBER( G48 ), 0, 1 ))</f>
        <v>0</v>
      </c>
      <c r="AF48" s="93">
        <f t="shared" si="29"/>
        <v>0</v>
      </c>
      <c r="AG48" s="93">
        <f t="shared" si="29"/>
        <v>0</v>
      </c>
      <c r="AH48" s="93">
        <f t="shared" si="29"/>
        <v>0</v>
      </c>
      <c r="AI48" s="93">
        <f t="shared" si="29"/>
        <v>0</v>
      </c>
      <c r="AJ48" s="93">
        <f t="shared" si="29"/>
        <v>0</v>
      </c>
      <c r="AK48" s="93">
        <f t="shared" si="29"/>
        <v>0</v>
      </c>
      <c r="AL48" s="93">
        <f t="shared" si="29"/>
        <v>0</v>
      </c>
      <c r="AM48" s="127"/>
      <c r="AN48" s="93">
        <f t="shared" ref="AN48:AU48" si="30" xml:space="preserve"> IF(AND($C48="Capital expenditure purpose - WASTEWATER additional line 12 [Other categories]",$O48=0), 0, IF( ISNUMBER( P48 ), 0, 1 ))</f>
        <v>0</v>
      </c>
      <c r="AO48" s="93">
        <f t="shared" si="30"/>
        <v>0</v>
      </c>
      <c r="AP48" s="93">
        <f t="shared" si="30"/>
        <v>0</v>
      </c>
      <c r="AQ48" s="93">
        <f t="shared" si="30"/>
        <v>0</v>
      </c>
      <c r="AR48" s="93">
        <f t="shared" si="30"/>
        <v>0</v>
      </c>
      <c r="AS48" s="93">
        <f t="shared" si="30"/>
        <v>0</v>
      </c>
      <c r="AT48" s="93">
        <f t="shared" si="30"/>
        <v>0</v>
      </c>
      <c r="AU48" s="93">
        <f t="shared" si="30"/>
        <v>0</v>
      </c>
      <c r="AV48" s="71"/>
      <c r="AW48" s="1882"/>
      <c r="AY48" s="1882"/>
      <c r="AZ48" s="1882"/>
      <c r="BA48" s="1882"/>
      <c r="BC48" s="1882"/>
      <c r="BD48" s="977" t="s">
        <v>5789</v>
      </c>
      <c r="BE48" s="2727" t="s">
        <v>5811</v>
      </c>
      <c r="BF48" s="2728"/>
      <c r="BG48" s="1881" t="s">
        <v>49</v>
      </c>
      <c r="BH48" s="978">
        <v>3</v>
      </c>
      <c r="BI48" s="2721" t="s">
        <v>5811</v>
      </c>
      <c r="BJ48" s="2722" t="s">
        <v>5812</v>
      </c>
      <c r="BK48" s="2723" t="s">
        <v>5813</v>
      </c>
      <c r="BL48" s="2724" t="s">
        <v>5814</v>
      </c>
      <c r="BM48" s="2722" t="s">
        <v>5815</v>
      </c>
      <c r="BN48" s="2722" t="s">
        <v>5816</v>
      </c>
      <c r="BO48" s="2725" t="s">
        <v>5817</v>
      </c>
      <c r="BP48" s="2723" t="s">
        <v>5818</v>
      </c>
      <c r="BQ48" s="1970" t="s">
        <v>5819</v>
      </c>
      <c r="BR48" s="2726" t="s">
        <v>5820</v>
      </c>
      <c r="BS48" s="2722" t="s">
        <v>5821</v>
      </c>
      <c r="BT48" s="2723" t="s">
        <v>5822</v>
      </c>
      <c r="BU48" s="2724" t="s">
        <v>5823</v>
      </c>
      <c r="BV48" s="2722" t="s">
        <v>5824</v>
      </c>
      <c r="BW48" s="2722" t="s">
        <v>5825</v>
      </c>
      <c r="BX48" s="2725" t="s">
        <v>5826</v>
      </c>
      <c r="BY48" s="2723" t="s">
        <v>5827</v>
      </c>
      <c r="BZ48" s="1970" t="s">
        <v>5828</v>
      </c>
      <c r="CA48" s="1882"/>
    </row>
    <row r="49" spans="1:78" ht="16">
      <c r="A49" s="966"/>
      <c r="B49" s="977" t="s">
        <v>5829</v>
      </c>
      <c r="C49" s="1442" t="s">
        <v>5830</v>
      </c>
      <c r="D49" s="1106"/>
      <c r="E49" s="1881" t="s">
        <v>49</v>
      </c>
      <c r="F49" s="978">
        <v>3</v>
      </c>
      <c r="G49" s="1061"/>
      <c r="H49" s="1425"/>
      <c r="I49" s="1431"/>
      <c r="J49" s="1034"/>
      <c r="K49" s="1431"/>
      <c r="L49" s="1546"/>
      <c r="M49" s="1428"/>
      <c r="N49" s="1431"/>
      <c r="O49" s="241">
        <f t="shared" si="23"/>
        <v>0</v>
      </c>
      <c r="P49" s="1061"/>
      <c r="Q49" s="1425"/>
      <c r="R49" s="1431"/>
      <c r="S49" s="1034"/>
      <c r="T49" s="1431"/>
      <c r="U49" s="1546"/>
      <c r="V49" s="1428"/>
      <c r="W49" s="1431"/>
      <c r="X49" s="241">
        <f t="shared" si="24"/>
        <v>0</v>
      </c>
      <c r="Y49" s="1731"/>
      <c r="Z49" s="1882"/>
      <c r="AA49" s="868">
        <f t="shared" si="4"/>
        <v>0</v>
      </c>
      <c r="AB49" s="192"/>
      <c r="AC49" s="71"/>
      <c r="AD49" s="93">
        <f xml:space="preserve"> IF( AND(OR($C49 = "Capital expenditure purpose - WASTEWATER additional line 13 [Other categories]",$C49=""), OR( G49 &lt;&gt; 0, H49 &lt;&gt; 0, I49 &lt;&gt; 0, J49 &lt;&gt; 0, K49 &lt;&gt; 0, L49 &lt;&gt; 0, M49 &lt;&gt; 0, N49 &lt;&gt; 0, P49 &lt;&gt; 0, Q49 &lt;&gt; 0, R49 &lt;&gt; 0, S49 &lt;&gt; 0, T49 &lt;&gt; 0, U49 &lt;&gt; 0, V49 &lt;&gt; 0, W49 &lt;&gt; 0) ), 1, 0 )</f>
        <v>0</v>
      </c>
      <c r="AE49" s="93">
        <f t="shared" ref="AE49:AL49" si="31" xml:space="preserve"> IF(AND($C49="Capital expenditure purpose - WASTEWATER additional line 13 [Other categories]",$O49=0), 0, IF( ISNUMBER( G49 ), 0, 1 ))</f>
        <v>0</v>
      </c>
      <c r="AF49" s="93">
        <f t="shared" si="31"/>
        <v>0</v>
      </c>
      <c r="AG49" s="93">
        <f t="shared" si="31"/>
        <v>0</v>
      </c>
      <c r="AH49" s="93">
        <f t="shared" si="31"/>
        <v>0</v>
      </c>
      <c r="AI49" s="93">
        <f t="shared" si="31"/>
        <v>0</v>
      </c>
      <c r="AJ49" s="93">
        <f t="shared" si="31"/>
        <v>0</v>
      </c>
      <c r="AK49" s="93">
        <f t="shared" si="31"/>
        <v>0</v>
      </c>
      <c r="AL49" s="93">
        <f t="shared" si="31"/>
        <v>0</v>
      </c>
      <c r="AM49" s="127"/>
      <c r="AN49" s="93">
        <f t="shared" ref="AN49:AU49" si="32" xml:space="preserve"> IF(AND($C49="Capital expenditure purpose - WASTEWATER additional line 13 [Other categories]",$O49=0), 0, IF( ISNUMBER( P49 ), 0, 1 ))</f>
        <v>0</v>
      </c>
      <c r="AO49" s="93">
        <f t="shared" si="32"/>
        <v>0</v>
      </c>
      <c r="AP49" s="93">
        <f t="shared" si="32"/>
        <v>0</v>
      </c>
      <c r="AQ49" s="93">
        <f t="shared" si="32"/>
        <v>0</v>
      </c>
      <c r="AR49" s="93">
        <f t="shared" si="32"/>
        <v>0</v>
      </c>
      <c r="AS49" s="93">
        <f t="shared" si="32"/>
        <v>0</v>
      </c>
      <c r="AT49" s="93">
        <f t="shared" si="32"/>
        <v>0</v>
      </c>
      <c r="AU49" s="93">
        <f t="shared" si="32"/>
        <v>0</v>
      </c>
      <c r="AV49" s="71"/>
      <c r="AW49" s="1882"/>
      <c r="AY49" s="1882"/>
      <c r="AZ49" s="1882"/>
      <c r="BA49" s="1882"/>
      <c r="BC49" s="1882"/>
      <c r="BD49" s="977" t="s">
        <v>5809</v>
      </c>
      <c r="BE49" s="2727" t="s">
        <v>5831</v>
      </c>
      <c r="BF49" s="2728"/>
      <c r="BG49" s="1881" t="s">
        <v>49</v>
      </c>
      <c r="BH49" s="978">
        <v>3</v>
      </c>
      <c r="BI49" s="2721" t="s">
        <v>5831</v>
      </c>
      <c r="BJ49" s="2722" t="s">
        <v>5832</v>
      </c>
      <c r="BK49" s="2723" t="s">
        <v>5833</v>
      </c>
      <c r="BL49" s="2724" t="s">
        <v>5834</v>
      </c>
      <c r="BM49" s="2722" t="s">
        <v>5835</v>
      </c>
      <c r="BN49" s="2722" t="s">
        <v>5836</v>
      </c>
      <c r="BO49" s="2725" t="s">
        <v>5837</v>
      </c>
      <c r="BP49" s="2723" t="s">
        <v>5838</v>
      </c>
      <c r="BQ49" s="1970" t="s">
        <v>5839</v>
      </c>
      <c r="BR49" s="2726" t="s">
        <v>5840</v>
      </c>
      <c r="BS49" s="2722" t="s">
        <v>5841</v>
      </c>
      <c r="BT49" s="2723" t="s">
        <v>5842</v>
      </c>
      <c r="BU49" s="2724" t="s">
        <v>5843</v>
      </c>
      <c r="BV49" s="2722" t="s">
        <v>5844</v>
      </c>
      <c r="BW49" s="2722" t="s">
        <v>5845</v>
      </c>
      <c r="BX49" s="2725" t="s">
        <v>5846</v>
      </c>
      <c r="BY49" s="2723" t="s">
        <v>5847</v>
      </c>
      <c r="BZ49" s="1970" t="s">
        <v>5848</v>
      </c>
    </row>
    <row r="50" spans="1:78" ht="16">
      <c r="A50" s="966"/>
      <c r="B50" s="977" t="s">
        <v>5849</v>
      </c>
      <c r="C50" s="1442" t="s">
        <v>5850</v>
      </c>
      <c r="D50" s="1106"/>
      <c r="E50" s="1881" t="s">
        <v>49</v>
      </c>
      <c r="F50" s="978">
        <v>3</v>
      </c>
      <c r="G50" s="1061"/>
      <c r="H50" s="1425"/>
      <c r="I50" s="1431"/>
      <c r="J50" s="1034"/>
      <c r="K50" s="1431"/>
      <c r="L50" s="1546"/>
      <c r="M50" s="1428"/>
      <c r="N50" s="1431"/>
      <c r="O50" s="241">
        <f t="shared" si="23"/>
        <v>0</v>
      </c>
      <c r="P50" s="1061"/>
      <c r="Q50" s="1425"/>
      <c r="R50" s="1431"/>
      <c r="S50" s="1034"/>
      <c r="T50" s="1431"/>
      <c r="U50" s="1546"/>
      <c r="V50" s="1428"/>
      <c r="W50" s="1431"/>
      <c r="X50" s="241">
        <f t="shared" si="24"/>
        <v>0</v>
      </c>
      <c r="Y50" s="1731"/>
      <c r="Z50" s="1882"/>
      <c r="AA50" s="868">
        <f t="shared" si="4"/>
        <v>0</v>
      </c>
      <c r="AB50" s="192"/>
      <c r="AC50" s="71"/>
      <c r="AD50" s="93">
        <f xml:space="preserve"> IF( AND(OR($C50 = "Capital expenditure purpose - WASTEWATER additional line 14 [Other categories]",$C50=""), OR( G50 &lt;&gt; 0, H50 &lt;&gt; 0, I50 &lt;&gt; 0, J50 &lt;&gt; 0, K50 &lt;&gt; 0, L50 &lt;&gt; 0, M50 &lt;&gt; 0, N50 &lt;&gt; 0, P50 &lt;&gt; 0, Q50 &lt;&gt; 0, R50 &lt;&gt; 0, S50 &lt;&gt; 0, T50 &lt;&gt; 0, U50 &lt;&gt; 0, V50 &lt;&gt; 0, W50 &lt;&gt; 0) ), 1, 0 )</f>
        <v>0</v>
      </c>
      <c r="AE50" s="93">
        <f t="shared" ref="AE50:AL50" si="33" xml:space="preserve"> IF(AND($C50="Capital expenditure purpose - WASTEWATER additional line 14 [Other categories]",$O50=0), 0, IF( ISNUMBER( G50 ), 0, 1 ))</f>
        <v>0</v>
      </c>
      <c r="AF50" s="93">
        <f t="shared" si="33"/>
        <v>0</v>
      </c>
      <c r="AG50" s="93">
        <f t="shared" si="33"/>
        <v>0</v>
      </c>
      <c r="AH50" s="93">
        <f t="shared" si="33"/>
        <v>0</v>
      </c>
      <c r="AI50" s="93">
        <f t="shared" si="33"/>
        <v>0</v>
      </c>
      <c r="AJ50" s="93">
        <f t="shared" si="33"/>
        <v>0</v>
      </c>
      <c r="AK50" s="93">
        <f t="shared" si="33"/>
        <v>0</v>
      </c>
      <c r="AL50" s="93">
        <f t="shared" si="33"/>
        <v>0</v>
      </c>
      <c r="AM50" s="127"/>
      <c r="AN50" s="93">
        <f t="shared" ref="AN50:AU50" si="34" xml:space="preserve"> IF(AND($C50="Capital expenditure purpose - WASTEWATER additional line 14 [Other categories]",$O50=0), 0, IF( ISNUMBER( P50 ), 0, 1 ))</f>
        <v>0</v>
      </c>
      <c r="AO50" s="93">
        <f t="shared" si="34"/>
        <v>0</v>
      </c>
      <c r="AP50" s="93">
        <f t="shared" si="34"/>
        <v>0</v>
      </c>
      <c r="AQ50" s="93">
        <f t="shared" si="34"/>
        <v>0</v>
      </c>
      <c r="AR50" s="93">
        <f t="shared" si="34"/>
        <v>0</v>
      </c>
      <c r="AS50" s="93">
        <f t="shared" si="34"/>
        <v>0</v>
      </c>
      <c r="AT50" s="93">
        <f t="shared" si="34"/>
        <v>0</v>
      </c>
      <c r="AU50" s="93">
        <f t="shared" si="34"/>
        <v>0</v>
      </c>
      <c r="AV50" s="71"/>
      <c r="AW50" s="1882"/>
      <c r="AY50" s="1882"/>
      <c r="AZ50" s="1882"/>
      <c r="BA50" s="1882"/>
      <c r="BC50" s="1882"/>
      <c r="BD50" s="977" t="s">
        <v>5829</v>
      </c>
      <c r="BE50" s="2727" t="s">
        <v>5851</v>
      </c>
      <c r="BF50" s="2728"/>
      <c r="BG50" s="1881" t="s">
        <v>49</v>
      </c>
      <c r="BH50" s="978">
        <v>3</v>
      </c>
      <c r="BI50" s="2721" t="s">
        <v>5851</v>
      </c>
      <c r="BJ50" s="2722" t="s">
        <v>5852</v>
      </c>
      <c r="BK50" s="2723" t="s">
        <v>5853</v>
      </c>
      <c r="BL50" s="2724" t="s">
        <v>5854</v>
      </c>
      <c r="BM50" s="2722" t="s">
        <v>5855</v>
      </c>
      <c r="BN50" s="2722" t="s">
        <v>5856</v>
      </c>
      <c r="BO50" s="2725" t="s">
        <v>5857</v>
      </c>
      <c r="BP50" s="2723" t="s">
        <v>5858</v>
      </c>
      <c r="BQ50" s="1970" t="s">
        <v>5859</v>
      </c>
      <c r="BR50" s="2726" t="s">
        <v>5860</v>
      </c>
      <c r="BS50" s="2722" t="s">
        <v>5861</v>
      </c>
      <c r="BT50" s="2723" t="s">
        <v>5862</v>
      </c>
      <c r="BU50" s="2724" t="s">
        <v>5863</v>
      </c>
      <c r="BV50" s="2722" t="s">
        <v>5864</v>
      </c>
      <c r="BW50" s="2722" t="s">
        <v>5865</v>
      </c>
      <c r="BX50" s="2725" t="s">
        <v>5866</v>
      </c>
      <c r="BY50" s="2723" t="s">
        <v>5867</v>
      </c>
      <c r="BZ50" s="1970" t="s">
        <v>5868</v>
      </c>
    </row>
    <row r="51" spans="1:78" ht="16.5" thickBot="1">
      <c r="A51" s="966"/>
      <c r="B51" s="1443" t="s">
        <v>5869</v>
      </c>
      <c r="C51" s="1037" t="s">
        <v>5870</v>
      </c>
      <c r="D51" s="987"/>
      <c r="E51" s="987" t="s">
        <v>49</v>
      </c>
      <c r="F51" s="988">
        <v>3</v>
      </c>
      <c r="G51" s="1423"/>
      <c r="H51" s="1426"/>
      <c r="I51" s="1432"/>
      <c r="J51" s="1038"/>
      <c r="K51" s="1432"/>
      <c r="L51" s="1547"/>
      <c r="M51" s="1429"/>
      <c r="N51" s="1432"/>
      <c r="O51" s="1039">
        <f t="shared" si="0"/>
        <v>0</v>
      </c>
      <c r="P51" s="1423"/>
      <c r="Q51" s="1426"/>
      <c r="R51" s="1432"/>
      <c r="S51" s="1038"/>
      <c r="T51" s="1432"/>
      <c r="U51" s="1547"/>
      <c r="V51" s="1429"/>
      <c r="W51" s="1432"/>
      <c r="X51" s="1039">
        <f t="shared" si="1"/>
        <v>0</v>
      </c>
      <c r="Y51" s="1732"/>
      <c r="Z51" s="1882"/>
      <c r="AA51" s="868">
        <f t="shared" si="4"/>
        <v>0</v>
      </c>
      <c r="AB51" s="192"/>
      <c r="AC51" s="71"/>
      <c r="AD51" s="93">
        <f xml:space="preserve"> IF( AND(OR($C51 = "Capital expenditure purpose - WASTEWATER additional line 15 [Other categories]",$C51=""), OR( G51 &lt;&gt; 0, H51 &lt;&gt; 0, I51 &lt;&gt; 0, J51 &lt;&gt; 0, K51 &lt;&gt; 0, L51 &lt;&gt; 0, M51 &lt;&gt; 0, N51 &lt;&gt; 0, P51 &lt;&gt; 0, Q51 &lt;&gt; 0, R51 &lt;&gt; 0, S51 &lt;&gt; 0, T51 &lt;&gt; 0, U51 &lt;&gt; 0, V51 &lt;&gt; 0, W51 &lt;&gt; 0) ), 1, 0 )</f>
        <v>0</v>
      </c>
      <c r="AE51" s="93">
        <f t="shared" ref="AE51:AL51" si="35" xml:space="preserve"> IF(AND($C51="Capital expenditure purpose - WASTEWATER additional line 15 [Other categories]",$O51=0), 0, IF( ISNUMBER( G51 ), 0, 1 ))</f>
        <v>0</v>
      </c>
      <c r="AF51" s="93">
        <f t="shared" si="35"/>
        <v>0</v>
      </c>
      <c r="AG51" s="93">
        <f t="shared" si="35"/>
        <v>0</v>
      </c>
      <c r="AH51" s="93">
        <f t="shared" si="35"/>
        <v>0</v>
      </c>
      <c r="AI51" s="93">
        <f t="shared" si="35"/>
        <v>0</v>
      </c>
      <c r="AJ51" s="93">
        <f t="shared" si="35"/>
        <v>0</v>
      </c>
      <c r="AK51" s="93">
        <f t="shared" si="35"/>
        <v>0</v>
      </c>
      <c r="AL51" s="93">
        <f t="shared" si="35"/>
        <v>0</v>
      </c>
      <c r="AM51" s="127"/>
      <c r="AN51" s="93">
        <f t="shared" ref="AN51:AU51" si="36" xml:space="preserve"> IF(AND($C51="Capital expenditure purpose - WASTEWATER additional line 15 [Other categories]",$O51=0), 0, IF( ISNUMBER( P51 ), 0, 1 ))</f>
        <v>0</v>
      </c>
      <c r="AO51" s="93">
        <f t="shared" si="36"/>
        <v>0</v>
      </c>
      <c r="AP51" s="93">
        <f t="shared" si="36"/>
        <v>0</v>
      </c>
      <c r="AQ51" s="93">
        <f t="shared" si="36"/>
        <v>0</v>
      </c>
      <c r="AR51" s="93">
        <f t="shared" si="36"/>
        <v>0</v>
      </c>
      <c r="AS51" s="93">
        <f t="shared" si="36"/>
        <v>0</v>
      </c>
      <c r="AT51" s="93">
        <f t="shared" si="36"/>
        <v>0</v>
      </c>
      <c r="AU51" s="93">
        <f t="shared" si="36"/>
        <v>0</v>
      </c>
      <c r="AV51" s="71"/>
      <c r="AW51" s="1882"/>
      <c r="AY51" s="1882"/>
      <c r="AZ51" s="1882"/>
      <c r="BA51" s="1882"/>
      <c r="BC51" s="1882"/>
      <c r="BD51" s="1443" t="s">
        <v>5849</v>
      </c>
      <c r="BE51" s="2729" t="s">
        <v>5871</v>
      </c>
      <c r="BF51" s="987"/>
      <c r="BG51" s="987" t="s">
        <v>49</v>
      </c>
      <c r="BH51" s="988">
        <v>3</v>
      </c>
      <c r="BI51" s="2730" t="s">
        <v>5871</v>
      </c>
      <c r="BJ51" s="2731" t="s">
        <v>5872</v>
      </c>
      <c r="BK51" s="2732" t="s">
        <v>5873</v>
      </c>
      <c r="BL51" s="2733" t="s">
        <v>5874</v>
      </c>
      <c r="BM51" s="2731" t="s">
        <v>5875</v>
      </c>
      <c r="BN51" s="2731" t="s">
        <v>5876</v>
      </c>
      <c r="BO51" s="2734" t="s">
        <v>5877</v>
      </c>
      <c r="BP51" s="2732" t="s">
        <v>5878</v>
      </c>
      <c r="BQ51" s="2021" t="s">
        <v>5879</v>
      </c>
      <c r="BR51" s="2735" t="s">
        <v>5880</v>
      </c>
      <c r="BS51" s="2731" t="s">
        <v>5881</v>
      </c>
      <c r="BT51" s="2732" t="s">
        <v>5882</v>
      </c>
      <c r="BU51" s="2733" t="s">
        <v>5883</v>
      </c>
      <c r="BV51" s="2731" t="s">
        <v>5884</v>
      </c>
      <c r="BW51" s="2731" t="s">
        <v>5885</v>
      </c>
      <c r="BX51" s="2734" t="s">
        <v>5886</v>
      </c>
      <c r="BY51" s="2732" t="s">
        <v>5887</v>
      </c>
      <c r="BZ51" s="2021" t="s">
        <v>5888</v>
      </c>
    </row>
    <row r="52" spans="1:78" ht="23.25" customHeight="1" thickBot="1">
      <c r="A52" s="966"/>
      <c r="B52" s="990" t="s">
        <v>5889</v>
      </c>
      <c r="C52" s="991" t="s">
        <v>4964</v>
      </c>
      <c r="D52" s="987"/>
      <c r="E52" s="987" t="s">
        <v>49</v>
      </c>
      <c r="F52" s="988">
        <v>3</v>
      </c>
      <c r="G52" s="1413">
        <f>SUM(G8:G51)</f>
        <v>0</v>
      </c>
      <c r="H52" s="1417">
        <f>SUM(H8:H51)</f>
        <v>0</v>
      </c>
      <c r="I52" s="1433">
        <f t="shared" ref="I52:M52" si="37">SUM(I8:I51)</f>
        <v>0</v>
      </c>
      <c r="J52" s="993">
        <f t="shared" si="37"/>
        <v>0</v>
      </c>
      <c r="K52" s="1433">
        <f t="shared" si="37"/>
        <v>0</v>
      </c>
      <c r="L52" s="994">
        <f t="shared" si="37"/>
        <v>0</v>
      </c>
      <c r="M52" s="1418">
        <f t="shared" si="37"/>
        <v>0</v>
      </c>
      <c r="N52" s="1433">
        <f>SUM(N8:N51)</f>
        <v>0</v>
      </c>
      <c r="O52" s="490">
        <f t="shared" si="0"/>
        <v>0</v>
      </c>
      <c r="P52" s="993">
        <f>SUM(P8:P51)</f>
        <v>0</v>
      </c>
      <c r="Q52" s="1417">
        <f t="shared" ref="Q52:V52" si="38">SUM(Q8:Q51)</f>
        <v>0</v>
      </c>
      <c r="R52" s="1433">
        <f t="shared" si="38"/>
        <v>0</v>
      </c>
      <c r="S52" s="993">
        <f t="shared" si="38"/>
        <v>0</v>
      </c>
      <c r="T52" s="1433">
        <f t="shared" si="38"/>
        <v>0</v>
      </c>
      <c r="U52" s="994">
        <f t="shared" si="38"/>
        <v>0</v>
      </c>
      <c r="V52" s="1418">
        <f t="shared" si="38"/>
        <v>0</v>
      </c>
      <c r="W52" s="1433">
        <f>SUM(W8:W51)</f>
        <v>0</v>
      </c>
      <c r="X52" s="490">
        <f t="shared" si="1"/>
        <v>0</v>
      </c>
      <c r="Y52" s="1732"/>
      <c r="Z52" s="1882"/>
      <c r="AA52" s="1339">
        <f>IF(SUM(AV52:AX52)&lt;&gt;0,$BA$52,IF(SUM(AV53:AX54)=0,0,$BA$53))</f>
        <v>0</v>
      </c>
      <c r="AB52" s="192"/>
      <c r="AC52" s="71"/>
      <c r="AD52" s="192"/>
      <c r="AM52" s="127"/>
      <c r="AV52" s="71"/>
      <c r="AW52" s="93">
        <f xml:space="preserve"> IF( (AY52 - AZ52) = 0, 0, 1 )</f>
        <v>0</v>
      </c>
      <c r="AX52" s="124"/>
      <c r="AY52" s="112">
        <f>ROUND(O52,3)</f>
        <v>0</v>
      </c>
      <c r="AZ52" s="112">
        <f xml:space="preserve"> ROUND( ('4E'!O23+'4E'!O24+'4E'!O25), 3 )</f>
        <v>0</v>
      </c>
      <c r="BA52" s="139" t="s">
        <v>5890</v>
      </c>
      <c r="BB52" s="71"/>
      <c r="BC52" s="1882"/>
      <c r="BD52" s="990" t="s">
        <v>5869</v>
      </c>
      <c r="BE52" s="2700" t="s">
        <v>4964</v>
      </c>
      <c r="BF52" s="987"/>
      <c r="BG52" s="987" t="s">
        <v>49</v>
      </c>
      <c r="BH52" s="988">
        <v>3</v>
      </c>
      <c r="BI52" s="1789" t="s">
        <v>5891</v>
      </c>
      <c r="BJ52" s="1793" t="s">
        <v>5892</v>
      </c>
      <c r="BK52" s="1790" t="s">
        <v>5893</v>
      </c>
      <c r="BL52" s="1791" t="s">
        <v>5894</v>
      </c>
      <c r="BM52" s="1793" t="s">
        <v>5895</v>
      </c>
      <c r="BN52" s="1793" t="s">
        <v>5896</v>
      </c>
      <c r="BO52" s="2736" t="s">
        <v>5897</v>
      </c>
      <c r="BP52" s="1790" t="s">
        <v>5898</v>
      </c>
      <c r="BQ52" s="1978" t="s">
        <v>5899</v>
      </c>
      <c r="BR52" s="2737" t="s">
        <v>5900</v>
      </c>
      <c r="BS52" s="1793" t="s">
        <v>5901</v>
      </c>
      <c r="BT52" s="1790" t="s">
        <v>5902</v>
      </c>
      <c r="BU52" s="1791" t="s">
        <v>5903</v>
      </c>
      <c r="BV52" s="1793" t="s">
        <v>5904</v>
      </c>
      <c r="BW52" s="1793" t="s">
        <v>5905</v>
      </c>
      <c r="BX52" s="2736" t="s">
        <v>5906</v>
      </c>
      <c r="BY52" s="1790" t="s">
        <v>5907</v>
      </c>
      <c r="BZ52" s="1978" t="s">
        <v>5908</v>
      </c>
    </row>
    <row r="53" spans="1:78" ht="16">
      <c r="A53" s="966"/>
      <c r="B53" s="966"/>
      <c r="C53" s="966"/>
      <c r="D53" s="966"/>
      <c r="E53" s="966"/>
      <c r="F53" s="966"/>
      <c r="G53" s="1541">
        <f>IF('4K'!G49=0,(IF(G52='4K'!G24+'4K'!G25+'4K'!G26,0,1)),0)</f>
        <v>0</v>
      </c>
      <c r="H53" s="1541">
        <f>IF('4K'!H49=0,(IF(H52='4K'!H24+'4K'!H25+'4K'!H26,0,1)),0)</f>
        <v>0</v>
      </c>
      <c r="I53" s="1541">
        <f>IF('4K'!I49=0,(IF(I52='4K'!I24+'4K'!I25+'4K'!I26,0,1)),0)</f>
        <v>0</v>
      </c>
      <c r="J53" s="1541">
        <f>IF('4K'!J49=0,(IF(J52='4K'!J24+'4K'!J25+'4K'!J26,0,1)),0)</f>
        <v>0</v>
      </c>
      <c r="K53" s="1541">
        <f>IF('4K'!K49=0,(IF(K52='4K'!K24+'4K'!K25+'4K'!K26,0,1)),0)</f>
        <v>0</v>
      </c>
      <c r="L53" s="1541">
        <f>IF('4K'!L49=0,(IF(L52='4K'!L24+'4K'!L25+'4K'!L26,0,1)),0)</f>
        <v>0</v>
      </c>
      <c r="M53" s="1541">
        <f>IF('4K'!M49=0,(IF(M52='4K'!M24+'4K'!M25+'4K'!M26,0,1)),0)</f>
        <v>0</v>
      </c>
      <c r="N53" s="1541">
        <f>IF('4K'!N49=0,(IF(N52='4K'!N24+'4K'!N25+'4K'!N26,0,1)),0)</f>
        <v>0</v>
      </c>
      <c r="O53" s="1553">
        <f>SUM(G53:N53)</f>
        <v>0</v>
      </c>
      <c r="P53" s="1882"/>
      <c r="Q53" s="1882"/>
      <c r="R53" s="1882"/>
      <c r="S53" s="1882"/>
      <c r="T53" s="1882"/>
      <c r="U53" s="1882"/>
      <c r="V53" s="1882"/>
      <c r="W53" s="1882"/>
      <c r="X53" s="1882"/>
      <c r="Y53" s="1882"/>
      <c r="Z53" s="1882"/>
      <c r="AA53" s="998"/>
      <c r="AB53" s="999"/>
      <c r="AC53" s="71"/>
      <c r="AD53" s="192"/>
      <c r="AJ53" s="1007"/>
      <c r="AK53" s="1007"/>
      <c r="AL53" s="1007"/>
      <c r="AM53" s="1719"/>
      <c r="AN53" s="1007"/>
      <c r="AO53" s="1007"/>
      <c r="AP53" s="1007"/>
      <c r="AQ53" s="1007"/>
      <c r="AR53" s="1007"/>
      <c r="AS53" s="1007"/>
      <c r="AT53" s="1007"/>
      <c r="AU53" s="1007"/>
      <c r="AV53" s="71"/>
      <c r="AW53" s="93">
        <f xml:space="preserve"> IF( (AY53 - AZ53) = 0, 0, 1 )</f>
        <v>0</v>
      </c>
      <c r="AX53" s="124"/>
      <c r="AY53" s="112">
        <f>IF(AZ53=0,0,ROUND(O52,3))</f>
        <v>0</v>
      </c>
      <c r="AZ53" s="112">
        <f xml:space="preserve"> IF('4K'!O49 = 0,ROUND( ('4K'!O24+'4K'!O25+'4K'!O26), 3 ),0)</f>
        <v>0</v>
      </c>
      <c r="BA53" s="139" t="s">
        <v>5909</v>
      </c>
      <c r="BB53" s="71"/>
      <c r="BC53" s="1882"/>
      <c r="BD53" s="483"/>
      <c r="BE53" s="483"/>
      <c r="BF53" s="483"/>
      <c r="BG53" s="483"/>
      <c r="BH53" s="483"/>
      <c r="BI53" s="1979"/>
      <c r="BJ53" s="1979"/>
      <c r="BK53" s="1979"/>
      <c r="BL53" s="1979"/>
      <c r="BM53" s="1979"/>
      <c r="BN53" s="1979"/>
      <c r="BO53" s="1979"/>
      <c r="BP53" s="1979"/>
      <c r="BQ53" s="1979"/>
      <c r="BR53" s="1979"/>
      <c r="BS53" s="1979"/>
      <c r="BT53" s="1979"/>
      <c r="BU53" s="1979"/>
      <c r="BV53" s="1979"/>
      <c r="BW53" s="1979"/>
      <c r="BX53" s="1979"/>
      <c r="BY53" s="1979"/>
      <c r="BZ53" s="1979"/>
    </row>
    <row r="54" spans="1:78" ht="16">
      <c r="A54" s="966"/>
      <c r="B54" s="1040" t="s">
        <v>241</v>
      </c>
      <c r="C54" s="2859"/>
      <c r="D54" s="2859"/>
      <c r="E54" s="966"/>
      <c r="F54" s="966"/>
      <c r="G54" s="966"/>
      <c r="H54" s="966"/>
      <c r="I54" s="966"/>
      <c r="J54" s="966"/>
      <c r="K54" s="966"/>
      <c r="L54" s="966"/>
      <c r="M54" s="966"/>
      <c r="N54" s="966"/>
      <c r="O54" s="966"/>
      <c r="P54" s="1882"/>
      <c r="Q54" s="1882"/>
      <c r="R54" s="1882"/>
      <c r="S54" s="1882"/>
      <c r="T54" s="1882"/>
      <c r="U54" s="1882"/>
      <c r="V54" s="1882"/>
      <c r="W54" s="1882"/>
      <c r="X54" s="1882"/>
      <c r="Y54" s="1882"/>
      <c r="Z54" s="1882"/>
      <c r="AA54" s="110"/>
      <c r="AB54" s="110"/>
      <c r="AC54" s="1646"/>
      <c r="AD54" s="286"/>
      <c r="AE54" s="110"/>
      <c r="AF54" s="110"/>
      <c r="AG54" s="110"/>
      <c r="AH54" s="110"/>
      <c r="AI54" s="110"/>
      <c r="AJ54" s="1009"/>
      <c r="AK54" s="1009"/>
      <c r="AL54" s="1009"/>
      <c r="AM54" s="1013"/>
      <c r="AN54" s="1009"/>
      <c r="AO54" s="1009"/>
      <c r="AP54" s="1009"/>
      <c r="AQ54" s="1009"/>
      <c r="AR54" s="1009"/>
      <c r="AS54" s="1009"/>
      <c r="AT54" s="1009"/>
      <c r="AU54" s="1009"/>
      <c r="AV54" s="1655"/>
      <c r="AW54" s="1009"/>
      <c r="AX54" s="1655"/>
      <c r="AY54" s="1882"/>
      <c r="AZ54" s="1882"/>
      <c r="BA54" s="1882"/>
      <c r="BC54" s="1882"/>
      <c r="BD54" s="483"/>
      <c r="BE54" s="483"/>
      <c r="BF54" s="483"/>
      <c r="BG54" s="483"/>
      <c r="BH54" s="483"/>
      <c r="BI54" s="483"/>
      <c r="BJ54" s="483"/>
      <c r="BK54" s="483"/>
      <c r="BL54" s="483"/>
      <c r="BM54" s="483"/>
      <c r="BN54" s="483"/>
      <c r="BO54" s="483"/>
      <c r="BP54" s="483"/>
      <c r="BQ54" s="483"/>
      <c r="BR54" s="483"/>
      <c r="BS54" s="483"/>
      <c r="BT54" s="483"/>
      <c r="BU54" s="483"/>
      <c r="BV54" s="483"/>
      <c r="BW54" s="483"/>
      <c r="BX54" s="483"/>
      <c r="BY54" s="483"/>
      <c r="BZ54" s="483"/>
    </row>
    <row r="55" spans="1:78" ht="16">
      <c r="A55" s="966"/>
      <c r="B55" s="995"/>
      <c r="C55" s="1002"/>
      <c r="D55" s="1002"/>
      <c r="E55" s="966"/>
      <c r="F55" s="966"/>
      <c r="G55" s="966"/>
      <c r="H55" s="966"/>
      <c r="I55" s="966"/>
      <c r="J55" s="966"/>
      <c r="K55" s="966"/>
      <c r="L55" s="966"/>
      <c r="M55" s="966"/>
      <c r="N55" s="966"/>
      <c r="O55" s="966"/>
      <c r="P55" s="1882"/>
      <c r="Q55" s="1882"/>
      <c r="R55" s="1882"/>
      <c r="S55" s="1882"/>
      <c r="T55" s="1882"/>
      <c r="U55" s="1882"/>
      <c r="V55" s="1882"/>
      <c r="W55" s="1882"/>
      <c r="X55" s="1882"/>
      <c r="Y55" s="1882"/>
      <c r="Z55" s="1882"/>
      <c r="AA55" s="110"/>
      <c r="AB55" s="110"/>
      <c r="AC55" s="1646"/>
      <c r="AD55" s="286"/>
      <c r="AE55" s="110"/>
      <c r="AF55" s="110"/>
      <c r="AG55" s="110"/>
      <c r="AH55" s="110"/>
      <c r="AI55" s="110"/>
      <c r="AJ55" s="1009"/>
      <c r="AK55" s="1009"/>
      <c r="AL55" s="1009"/>
      <c r="AM55" s="1013"/>
      <c r="AN55" s="1009"/>
      <c r="AO55" s="1009"/>
      <c r="AP55" s="1009"/>
      <c r="AQ55" s="1009"/>
      <c r="AR55" s="1009"/>
      <c r="AS55" s="1009"/>
      <c r="AT55" s="1009"/>
      <c r="AU55" s="1009"/>
      <c r="AV55" s="1655"/>
      <c r="AW55" s="1882"/>
      <c r="AY55" s="1882"/>
      <c r="AZ55" s="1882"/>
      <c r="BA55" s="1882"/>
      <c r="BC55" s="1882"/>
      <c r="BD55" s="1882"/>
      <c r="BE55" s="1882"/>
      <c r="BF55" s="1882"/>
      <c r="BG55" s="1882"/>
      <c r="BH55" s="1882"/>
      <c r="BI55" s="1882"/>
      <c r="BJ55" s="1882"/>
      <c r="BK55" s="1882"/>
      <c r="BL55" s="1882"/>
      <c r="BM55" s="1882"/>
      <c r="BN55" s="1882"/>
      <c r="BO55" s="1882"/>
      <c r="BP55" s="1882"/>
      <c r="BQ55" s="1882"/>
      <c r="BR55" s="1882"/>
      <c r="BS55" s="1882"/>
      <c r="BT55" s="1882"/>
      <c r="BU55" s="1882"/>
      <c r="BV55" s="1882"/>
      <c r="BW55" s="1882"/>
      <c r="BX55" s="1882"/>
      <c r="BY55" s="1882"/>
      <c r="BZ55" s="1882"/>
    </row>
    <row r="56" spans="1:78" ht="16">
      <c r="A56" s="966"/>
      <c r="B56" s="929"/>
      <c r="C56" s="930" t="s">
        <v>188</v>
      </c>
      <c r="D56" s="930"/>
      <c r="E56" s="966"/>
      <c r="F56" s="966"/>
      <c r="G56" s="966"/>
      <c r="H56" s="966"/>
      <c r="I56" s="966"/>
      <c r="J56" s="966"/>
      <c r="K56" s="966"/>
      <c r="L56" s="966"/>
      <c r="M56" s="966"/>
      <c r="N56" s="966"/>
      <c r="O56" s="966"/>
      <c r="P56" s="1882"/>
      <c r="Q56" s="1882"/>
      <c r="R56" s="1882"/>
      <c r="S56" s="1882"/>
      <c r="T56" s="1882"/>
      <c r="U56" s="1882"/>
      <c r="V56" s="1882"/>
      <c r="W56" s="1882"/>
      <c r="X56" s="1882"/>
      <c r="Y56" s="1882"/>
      <c r="Z56" s="1882"/>
      <c r="AA56" s="110"/>
      <c r="AB56" s="110"/>
      <c r="AC56" s="1646"/>
      <c r="AD56" s="286"/>
      <c r="AE56" s="110"/>
      <c r="AF56" s="110"/>
      <c r="AG56" s="110"/>
      <c r="AH56" s="110"/>
      <c r="AI56" s="110"/>
      <c r="AJ56" s="1009"/>
      <c r="AK56" s="1009"/>
      <c r="AL56" s="1009"/>
      <c r="AM56" s="1013"/>
      <c r="AN56" s="1009"/>
      <c r="AO56" s="1009"/>
      <c r="AP56" s="1009"/>
      <c r="AQ56" s="1009"/>
      <c r="AR56" s="1009"/>
      <c r="AS56" s="1009"/>
      <c r="AT56" s="1009"/>
      <c r="AU56" s="1009"/>
      <c r="AV56" s="1655"/>
      <c r="AW56" s="1882"/>
      <c r="AY56" s="1882"/>
      <c r="AZ56" s="1882"/>
      <c r="BA56" s="1882"/>
      <c r="BC56" s="1882"/>
      <c r="BD56" s="1882"/>
      <c r="BE56" s="1882"/>
      <c r="BF56" s="1882"/>
      <c r="BG56" s="1882"/>
      <c r="BH56" s="1882"/>
      <c r="BI56" s="1882"/>
      <c r="BJ56" s="1882"/>
      <c r="BK56" s="1882"/>
      <c r="BL56" s="1882"/>
      <c r="BM56" s="1882"/>
      <c r="BN56" s="1882"/>
      <c r="BO56" s="1882"/>
      <c r="BP56" s="1882"/>
      <c r="BQ56" s="1882"/>
      <c r="BR56" s="1882"/>
      <c r="BS56" s="1882"/>
      <c r="BT56" s="1882"/>
      <c r="BU56" s="1882"/>
      <c r="BV56" s="1882"/>
      <c r="BW56" s="1882"/>
      <c r="BX56" s="1882"/>
      <c r="BY56" s="1882"/>
      <c r="BZ56" s="1882"/>
    </row>
    <row r="57" spans="1:78" ht="16">
      <c r="A57" s="966"/>
      <c r="B57" s="927"/>
      <c r="C57" s="928"/>
      <c r="D57" s="928"/>
      <c r="E57" s="966"/>
      <c r="F57" s="966"/>
      <c r="G57" s="966"/>
      <c r="H57" s="966"/>
      <c r="I57" s="966"/>
      <c r="J57" s="966"/>
      <c r="K57" s="966"/>
      <c r="L57" s="966"/>
      <c r="M57" s="966"/>
      <c r="N57" s="966"/>
      <c r="O57" s="966"/>
      <c r="P57" s="1882"/>
      <c r="Q57" s="1882"/>
      <c r="R57" s="1882"/>
      <c r="S57" s="1882"/>
      <c r="T57" s="1882"/>
      <c r="U57" s="1882"/>
      <c r="V57" s="1882"/>
      <c r="W57" s="1882"/>
      <c r="X57" s="1882"/>
      <c r="Y57" s="1882"/>
      <c r="Z57" s="1882"/>
      <c r="AA57" s="110"/>
      <c r="AB57" s="110"/>
      <c r="AC57" s="1646"/>
      <c r="AD57" s="286"/>
      <c r="AE57" s="110"/>
      <c r="AF57" s="110"/>
      <c r="AG57" s="110"/>
      <c r="AH57" s="110"/>
      <c r="AI57" s="110"/>
      <c r="AJ57" s="1009"/>
      <c r="AK57" s="1009"/>
      <c r="AL57" s="1009"/>
      <c r="AM57" s="1013"/>
      <c r="AN57" s="1009"/>
      <c r="AO57" s="1009"/>
      <c r="AP57" s="1009"/>
      <c r="AQ57" s="1009"/>
      <c r="AR57" s="1009"/>
      <c r="AS57" s="1009"/>
      <c r="AT57" s="1009"/>
      <c r="AU57" s="1009"/>
      <c r="AV57" s="1655"/>
      <c r="AW57" s="1882"/>
      <c r="AY57" s="1882"/>
      <c r="AZ57" s="1882"/>
      <c r="BA57" s="1882"/>
      <c r="BC57" s="1882"/>
      <c r="BD57" s="1882"/>
      <c r="BE57" s="1882"/>
      <c r="BF57" s="1882"/>
      <c r="BG57" s="1882"/>
      <c r="BH57" s="1882"/>
      <c r="BI57" s="1882"/>
      <c r="BJ57" s="1882"/>
      <c r="BK57" s="1882"/>
      <c r="BL57" s="1882"/>
      <c r="BM57" s="1882"/>
      <c r="BN57" s="1882"/>
      <c r="BO57" s="1882"/>
      <c r="BP57" s="1882"/>
      <c r="BQ57" s="1882"/>
      <c r="BR57" s="1882"/>
      <c r="BS57" s="1882"/>
      <c r="BT57" s="1882"/>
      <c r="BU57" s="1882"/>
      <c r="BV57" s="1882"/>
      <c r="BW57" s="1882"/>
      <c r="BX57" s="1882"/>
      <c r="BY57" s="1882"/>
      <c r="BZ57" s="1882"/>
    </row>
    <row r="58" spans="1:78" ht="16">
      <c r="A58" s="966"/>
      <c r="B58" s="931"/>
      <c r="C58" s="930" t="s">
        <v>4346</v>
      </c>
      <c r="D58" s="930"/>
      <c r="E58" s="966"/>
      <c r="F58" s="966"/>
      <c r="G58" s="966"/>
      <c r="H58" s="966"/>
      <c r="I58" s="966"/>
      <c r="J58" s="966"/>
      <c r="K58" s="966"/>
      <c r="L58" s="966"/>
      <c r="M58" s="966"/>
      <c r="N58" s="966"/>
      <c r="O58" s="966"/>
      <c r="P58" s="1882"/>
      <c r="Q58" s="1882"/>
      <c r="R58" s="1882"/>
      <c r="S58" s="1882"/>
      <c r="T58" s="1882"/>
      <c r="U58" s="1882"/>
      <c r="V58" s="1882"/>
      <c r="W58" s="1882"/>
      <c r="X58" s="1882"/>
      <c r="Y58" s="1882"/>
      <c r="Z58" s="1882"/>
      <c r="AA58" s="110"/>
      <c r="AB58" s="110"/>
      <c r="AC58" s="1646"/>
      <c r="AD58" s="286"/>
      <c r="AE58" s="110"/>
      <c r="AF58" s="110"/>
      <c r="AG58" s="110"/>
      <c r="AH58" s="110"/>
      <c r="AI58" s="110"/>
      <c r="AJ58" s="1009"/>
      <c r="AK58" s="1009"/>
      <c r="AL58" s="1009"/>
      <c r="AM58" s="1013"/>
      <c r="AN58" s="1009"/>
      <c r="AO58" s="1009"/>
      <c r="AP58" s="1009"/>
      <c r="AQ58" s="1009"/>
      <c r="AR58" s="1009"/>
      <c r="AS58" s="1009"/>
      <c r="AT58" s="1009"/>
      <c r="AU58" s="1009"/>
      <c r="AV58" s="1655"/>
      <c r="AW58" s="1882"/>
      <c r="AY58" s="1882"/>
      <c r="AZ58" s="1882"/>
      <c r="BA58" s="1882"/>
      <c r="BC58" s="1882"/>
      <c r="BD58" s="1882"/>
      <c r="BE58" s="1882"/>
      <c r="BF58" s="1882"/>
      <c r="BG58" s="1882"/>
      <c r="BH58" s="1882"/>
      <c r="BI58" s="1882"/>
      <c r="BJ58" s="1882"/>
      <c r="BK58" s="1882"/>
      <c r="BL58" s="1882"/>
      <c r="BM58" s="1882"/>
      <c r="BN58" s="1882"/>
      <c r="BO58" s="1882"/>
      <c r="BP58" s="1882"/>
      <c r="BQ58" s="1882"/>
      <c r="BR58" s="1882"/>
      <c r="BS58" s="1882"/>
      <c r="BT58" s="1882"/>
      <c r="BU58" s="1882"/>
      <c r="BV58" s="1882"/>
      <c r="BW58" s="1882"/>
      <c r="BX58" s="1882"/>
      <c r="BY58" s="1882"/>
      <c r="BZ58" s="1882"/>
    </row>
    <row r="59" spans="1:78" ht="16">
      <c r="A59" s="966"/>
      <c r="B59" s="966"/>
      <c r="C59" s="966"/>
      <c r="D59" s="966"/>
      <c r="E59" s="966"/>
      <c r="F59" s="966"/>
      <c r="G59" s="966"/>
      <c r="H59" s="966"/>
      <c r="I59" s="966"/>
      <c r="J59" s="966"/>
      <c r="K59" s="966"/>
      <c r="L59" s="966"/>
      <c r="M59" s="966"/>
      <c r="N59" s="966"/>
      <c r="O59" s="966"/>
      <c r="P59" s="1882"/>
      <c r="Q59" s="1882"/>
      <c r="R59" s="1882"/>
      <c r="S59" s="1882"/>
      <c r="T59" s="1882"/>
      <c r="U59" s="1882"/>
      <c r="V59" s="1882"/>
      <c r="W59" s="1882"/>
      <c r="X59" s="1882"/>
      <c r="Y59" s="1882"/>
      <c r="Z59" s="1882"/>
      <c r="AA59" s="110"/>
      <c r="AB59" s="110"/>
      <c r="AC59" s="1646"/>
      <c r="AD59" s="286"/>
      <c r="AE59" s="110"/>
      <c r="AF59" s="110"/>
      <c r="AG59" s="110"/>
      <c r="AH59" s="110"/>
      <c r="AI59" s="110"/>
      <c r="AJ59" s="1009"/>
      <c r="AK59" s="1009"/>
      <c r="AL59" s="1009"/>
      <c r="AM59" s="1013"/>
      <c r="AN59" s="1009"/>
      <c r="AO59" s="1009"/>
      <c r="AP59" s="1009"/>
      <c r="AQ59" s="1009"/>
      <c r="AR59" s="1009"/>
      <c r="AS59" s="1009"/>
      <c r="AT59" s="1009"/>
      <c r="AU59" s="1009"/>
      <c r="AV59" s="1655"/>
      <c r="AW59" s="1882"/>
      <c r="AY59" s="1882"/>
      <c r="AZ59" s="1882"/>
      <c r="BA59" s="1882"/>
      <c r="BC59" s="1882"/>
      <c r="BD59" s="1882"/>
      <c r="BE59" s="1882"/>
      <c r="BF59" s="1882"/>
      <c r="BG59" s="1882"/>
      <c r="BH59" s="1882"/>
      <c r="BI59" s="1882"/>
      <c r="BJ59" s="1882"/>
      <c r="BK59" s="1882"/>
      <c r="BL59" s="1882"/>
      <c r="BM59" s="1882"/>
      <c r="BN59" s="1882"/>
      <c r="BO59" s="1882"/>
      <c r="BP59" s="1882"/>
      <c r="BQ59" s="1882"/>
      <c r="BR59" s="1882"/>
      <c r="BS59" s="1882"/>
      <c r="BT59" s="1882"/>
      <c r="BU59" s="1882"/>
      <c r="BV59" s="1882"/>
      <c r="BW59" s="1882"/>
      <c r="BX59" s="1882"/>
      <c r="BY59" s="1882"/>
      <c r="BZ59" s="1882"/>
    </row>
    <row r="60" spans="1:78" ht="16.5" thickBot="1">
      <c r="A60" s="966"/>
      <c r="B60" s="966"/>
      <c r="C60" s="966"/>
      <c r="D60" s="966"/>
      <c r="E60" s="966"/>
      <c r="F60" s="966"/>
      <c r="G60" s="966"/>
      <c r="H60" s="966"/>
      <c r="I60" s="966"/>
      <c r="J60" s="966"/>
      <c r="K60" s="966"/>
      <c r="L60" s="966"/>
      <c r="M60" s="966"/>
      <c r="N60" s="966"/>
      <c r="O60" s="966"/>
      <c r="P60" s="1882"/>
      <c r="Q60" s="1882"/>
      <c r="R60" s="1882"/>
      <c r="S60" s="1882"/>
      <c r="T60" s="1882"/>
      <c r="U60" s="1882"/>
      <c r="V60" s="1882"/>
      <c r="W60" s="1882"/>
      <c r="X60" s="1882"/>
      <c r="Y60" s="1882"/>
      <c r="Z60" s="1882"/>
      <c r="AA60" s="110"/>
      <c r="AB60" s="110"/>
      <c r="AC60" s="1646"/>
      <c r="AD60" s="286"/>
      <c r="AE60" s="110"/>
      <c r="AF60" s="110"/>
      <c r="AG60" s="110"/>
      <c r="AH60" s="110"/>
      <c r="AI60" s="110"/>
      <c r="AJ60" s="1009"/>
      <c r="AK60" s="1009"/>
      <c r="AL60" s="1009"/>
      <c r="AM60" s="1013"/>
      <c r="AN60" s="1009"/>
      <c r="AO60" s="1009"/>
      <c r="AP60" s="1009"/>
      <c r="AQ60" s="1009"/>
      <c r="AR60" s="1009"/>
      <c r="AS60" s="1009"/>
      <c r="AT60" s="1009"/>
      <c r="AU60" s="1009"/>
      <c r="AV60" s="1655"/>
      <c r="AW60" s="1882"/>
      <c r="AY60" s="1882"/>
      <c r="AZ60" s="1882"/>
      <c r="BA60" s="1882"/>
      <c r="BC60" s="1882"/>
      <c r="BD60" s="1882"/>
      <c r="BE60" s="1882"/>
      <c r="BF60" s="1882"/>
      <c r="BG60" s="1882"/>
      <c r="BH60" s="1882"/>
      <c r="BI60" s="1882"/>
      <c r="BJ60" s="1882"/>
      <c r="BK60" s="1882"/>
      <c r="BL60" s="1882"/>
      <c r="BM60" s="1882"/>
      <c r="BN60" s="1882"/>
      <c r="BO60" s="1882"/>
      <c r="BP60" s="1882"/>
      <c r="BQ60" s="1882"/>
      <c r="BR60" s="1882"/>
      <c r="BS60" s="1882"/>
      <c r="BT60" s="1882"/>
      <c r="BU60" s="1882"/>
      <c r="BV60" s="1882"/>
      <c r="BW60" s="1882"/>
      <c r="BX60" s="1882"/>
      <c r="BY60" s="1882"/>
      <c r="BZ60" s="1882"/>
    </row>
    <row r="61" spans="1:78" ht="16.5" thickBot="1">
      <c r="A61" s="966"/>
      <c r="B61" s="2866" t="str">
        <f>'4L'!B54</f>
        <v>Please refer to RAG 4.08 - Guideline for the table definitions in the annual performance report for the reporting year 2019-20</v>
      </c>
      <c r="C61" s="2867"/>
      <c r="D61" s="2867"/>
      <c r="E61" s="2867"/>
      <c r="F61" s="2867"/>
      <c r="G61" s="2867"/>
      <c r="H61" s="2867"/>
      <c r="I61" s="2867"/>
      <c r="J61" s="2867"/>
      <c r="K61" s="2867"/>
      <c r="L61" s="2867"/>
      <c r="M61" s="2867"/>
      <c r="N61" s="2867"/>
      <c r="O61" s="2868"/>
      <c r="P61" s="1882"/>
      <c r="Q61" s="1882"/>
      <c r="R61" s="1882"/>
      <c r="S61" s="1882"/>
      <c r="T61" s="1882"/>
      <c r="U61" s="1882"/>
      <c r="V61" s="1882"/>
      <c r="W61" s="1882"/>
      <c r="X61" s="1882"/>
      <c r="Y61" s="1882"/>
      <c r="Z61" s="1882"/>
      <c r="AA61" s="110"/>
      <c r="AB61" s="110"/>
      <c r="AC61" s="1646"/>
      <c r="AD61" s="286"/>
      <c r="AE61" s="110"/>
      <c r="AF61" s="110"/>
      <c r="AG61" s="110"/>
      <c r="AH61" s="110"/>
      <c r="AI61" s="110"/>
      <c r="AJ61" s="1009"/>
      <c r="AK61" s="1009"/>
      <c r="AL61" s="1009"/>
      <c r="AM61" s="1013"/>
      <c r="AN61" s="1009"/>
      <c r="AO61" s="1009"/>
      <c r="AP61" s="1009"/>
      <c r="AQ61" s="1009"/>
      <c r="AR61" s="1009"/>
      <c r="AS61" s="1009"/>
      <c r="AT61" s="1009"/>
      <c r="AU61" s="1009"/>
      <c r="AV61" s="1655"/>
      <c r="AW61" s="1882"/>
      <c r="AY61" s="1882"/>
      <c r="AZ61" s="1882"/>
      <c r="BA61" s="1882"/>
      <c r="BC61" s="1882"/>
      <c r="BD61" s="1882"/>
      <c r="BE61" s="1882"/>
      <c r="BF61" s="1882"/>
      <c r="BG61" s="1882"/>
      <c r="BH61" s="1882"/>
      <c r="BI61" s="1882"/>
      <c r="BJ61" s="1882"/>
      <c r="BK61" s="1882"/>
      <c r="BL61" s="1882"/>
      <c r="BM61" s="1882"/>
      <c r="BN61" s="1882"/>
      <c r="BO61" s="1882"/>
      <c r="BP61" s="1882"/>
      <c r="BQ61" s="1882"/>
      <c r="BR61" s="1882"/>
      <c r="BS61" s="1882"/>
      <c r="BT61" s="1882"/>
      <c r="BU61" s="1882"/>
      <c r="BV61" s="1882"/>
      <c r="BW61" s="1882"/>
      <c r="BX61" s="1882"/>
      <c r="BY61" s="1882"/>
      <c r="BZ61" s="1882"/>
    </row>
    <row r="62" spans="1:78" ht="16">
      <c r="A62" s="966"/>
      <c r="B62" s="966"/>
      <c r="C62" s="966"/>
      <c r="D62" s="966"/>
      <c r="E62" s="966"/>
      <c r="F62" s="966"/>
      <c r="G62" s="966"/>
      <c r="H62" s="966"/>
      <c r="I62" s="966"/>
      <c r="J62" s="966"/>
      <c r="K62" s="966"/>
      <c r="L62" s="966"/>
      <c r="M62" s="966"/>
      <c r="N62" s="966"/>
      <c r="O62" s="966"/>
      <c r="P62" s="1882"/>
      <c r="Q62" s="1882"/>
      <c r="R62" s="1882"/>
      <c r="S62" s="1882"/>
      <c r="T62" s="1882"/>
      <c r="U62" s="1882"/>
      <c r="V62" s="1882"/>
      <c r="W62" s="1882"/>
      <c r="X62" s="1882"/>
      <c r="Y62" s="1882"/>
      <c r="Z62" s="1882"/>
      <c r="AA62" s="110"/>
      <c r="AB62" s="110"/>
      <c r="AC62" s="1646"/>
      <c r="AD62" s="286"/>
      <c r="AE62" s="110"/>
      <c r="AF62" s="110"/>
      <c r="AG62" s="110"/>
      <c r="AH62" s="110"/>
      <c r="AI62" s="110"/>
      <c r="AJ62" s="1009"/>
      <c r="AK62" s="1009"/>
      <c r="AL62" s="1009"/>
      <c r="AM62" s="1013"/>
      <c r="AN62" s="1009"/>
      <c r="AO62" s="1009"/>
      <c r="AP62" s="1009"/>
      <c r="AQ62" s="1009"/>
      <c r="AR62" s="1009"/>
      <c r="AS62" s="1009"/>
      <c r="AT62" s="1009"/>
      <c r="AU62" s="1009"/>
      <c r="AV62" s="1655"/>
      <c r="AW62" s="1882"/>
      <c r="AY62" s="1882"/>
      <c r="AZ62" s="1882"/>
      <c r="BA62" s="1882"/>
      <c r="BC62" s="1882"/>
      <c r="BD62" s="1882"/>
      <c r="BE62" s="1882"/>
      <c r="BF62" s="1882"/>
      <c r="BG62" s="1882"/>
      <c r="BH62" s="1882"/>
      <c r="BI62" s="1882"/>
      <c r="BJ62" s="1882"/>
      <c r="BK62" s="1882"/>
      <c r="BL62" s="1882"/>
      <c r="BM62" s="1882"/>
      <c r="BN62" s="1882"/>
      <c r="BO62" s="1882"/>
      <c r="BP62" s="1882"/>
      <c r="BQ62" s="1882"/>
      <c r="BR62" s="1882"/>
      <c r="BS62" s="1882"/>
      <c r="BT62" s="1882"/>
      <c r="BU62" s="1882"/>
      <c r="BV62" s="1882"/>
      <c r="BW62" s="1882"/>
      <c r="BX62" s="1882"/>
      <c r="BY62" s="1882"/>
      <c r="BZ62" s="1882"/>
    </row>
    <row r="63" spans="1:78" ht="16.5" hidden="1" thickBot="1">
      <c r="A63" s="1663"/>
      <c r="B63" s="3228" t="str">
        <f ca="1" xml:space="preserve"> RIGHT(CELL("filename", $A$1), LEN(CELL("filename", $A$1)) - SEARCH("]", CELL("filename", $A$1)))&amp;" - Line definitions"</f>
        <v>4M - Line definitions</v>
      </c>
      <c r="C63" s="3229"/>
      <c r="D63" s="3229"/>
      <c r="E63" s="3229"/>
      <c r="F63" s="3229"/>
      <c r="G63" s="3229"/>
      <c r="H63" s="3229"/>
      <c r="I63" s="3229"/>
      <c r="J63" s="3229"/>
      <c r="K63" s="3229"/>
      <c r="L63" s="3229"/>
      <c r="M63" s="3229"/>
      <c r="N63" s="3229"/>
      <c r="O63" s="3230"/>
      <c r="P63" s="1882"/>
      <c r="Q63" s="1882"/>
      <c r="R63" s="1882"/>
      <c r="S63" s="1882"/>
      <c r="T63" s="1882"/>
      <c r="U63" s="1882"/>
      <c r="V63" s="1882"/>
      <c r="W63" s="1882"/>
      <c r="X63" s="1882"/>
      <c r="Y63" s="1882"/>
      <c r="Z63" s="1882"/>
      <c r="AA63" s="110"/>
      <c r="AB63" s="110"/>
      <c r="AC63" s="1646"/>
      <c r="AD63" s="286"/>
      <c r="AE63" s="110"/>
      <c r="AF63" s="110"/>
      <c r="AG63" s="110"/>
      <c r="AH63" s="110"/>
      <c r="AI63" s="110"/>
      <c r="AJ63" s="1009"/>
      <c r="AK63" s="1009"/>
      <c r="AL63" s="1009"/>
      <c r="AM63" s="1013"/>
      <c r="AN63" s="1009"/>
      <c r="AO63" s="1009"/>
      <c r="AP63" s="1009"/>
      <c r="AQ63" s="1009"/>
      <c r="AR63" s="1009"/>
      <c r="AS63" s="1009"/>
      <c r="AT63" s="1009"/>
      <c r="AU63" s="1009"/>
      <c r="AV63" s="1655"/>
      <c r="AW63" s="1882"/>
      <c r="AY63" s="1882"/>
      <c r="AZ63" s="1882"/>
      <c r="BA63" s="1882"/>
      <c r="BC63" s="1882"/>
      <c r="BD63" s="1882"/>
      <c r="BE63" s="1882"/>
      <c r="BF63" s="1882"/>
      <c r="BG63" s="1882"/>
      <c r="BH63" s="1882"/>
      <c r="BI63" s="1882"/>
      <c r="BJ63" s="1882"/>
      <c r="BK63" s="1882"/>
      <c r="BL63" s="1882"/>
      <c r="BM63" s="1882"/>
      <c r="BN63" s="1882"/>
      <c r="BO63" s="1882"/>
      <c r="BP63" s="1882"/>
      <c r="BQ63" s="1882"/>
      <c r="BR63" s="1882"/>
      <c r="BS63" s="1882"/>
      <c r="BT63" s="1882"/>
      <c r="BU63" s="1882"/>
      <c r="BV63" s="1882"/>
      <c r="BW63" s="1882"/>
      <c r="BX63" s="1882"/>
      <c r="BY63" s="1882"/>
      <c r="BZ63" s="1882"/>
    </row>
    <row r="64" spans="1:78" ht="16.5" hidden="1" thickBot="1">
      <c r="A64" s="1663"/>
      <c r="B64" s="1041"/>
      <c r="C64" s="1041"/>
      <c r="D64" s="1041"/>
      <c r="E64" s="1041"/>
      <c r="F64" s="1042"/>
      <c r="G64" s="1042"/>
      <c r="H64" s="1042"/>
      <c r="I64" s="1042"/>
      <c r="J64" s="1042"/>
      <c r="K64" s="1042"/>
      <c r="L64" s="1042"/>
      <c r="M64" s="1042"/>
      <c r="N64" s="1042"/>
      <c r="O64" s="1042"/>
      <c r="P64" s="1882"/>
      <c r="Q64" s="1882"/>
      <c r="R64" s="1882"/>
      <c r="S64" s="1882"/>
      <c r="T64" s="1882"/>
      <c r="U64" s="1882"/>
      <c r="V64" s="1882"/>
      <c r="W64" s="1882"/>
      <c r="X64" s="1882"/>
      <c r="Y64" s="1882"/>
      <c r="Z64" s="1882"/>
      <c r="AA64" s="110"/>
      <c r="AB64" s="110"/>
      <c r="AC64" s="1646"/>
      <c r="AD64" s="286"/>
      <c r="AE64" s="110"/>
      <c r="AF64" s="110"/>
      <c r="AG64" s="110"/>
      <c r="AH64" s="110"/>
      <c r="AI64" s="110"/>
      <c r="AJ64" s="1009"/>
      <c r="AK64" s="1009"/>
      <c r="AL64" s="1009"/>
      <c r="AM64" s="1013"/>
      <c r="AN64" s="1009"/>
      <c r="AO64" s="1009"/>
      <c r="AP64" s="1009"/>
      <c r="AQ64" s="1009"/>
      <c r="AR64" s="1009"/>
      <c r="AS64" s="1009"/>
      <c r="AT64" s="1009"/>
      <c r="AU64" s="1009"/>
      <c r="AV64" s="1655"/>
      <c r="AW64" s="1882"/>
      <c r="AY64" s="1882"/>
      <c r="AZ64" s="1882"/>
      <c r="BA64" s="1882"/>
      <c r="BC64" s="1882"/>
      <c r="BD64" s="1882"/>
      <c r="BE64" s="1882"/>
      <c r="BF64" s="1882"/>
      <c r="BG64" s="1882"/>
      <c r="BH64" s="1882"/>
      <c r="BI64" s="1882"/>
      <c r="BJ64" s="1882"/>
      <c r="BK64" s="1882"/>
      <c r="BL64" s="1882"/>
      <c r="BM64" s="1882"/>
      <c r="BN64" s="1882"/>
      <c r="BO64" s="1882"/>
      <c r="BP64" s="1882"/>
      <c r="BQ64" s="1882"/>
      <c r="BR64" s="1882"/>
      <c r="BS64" s="1882"/>
      <c r="BT64" s="1882"/>
      <c r="BU64" s="1882"/>
      <c r="BV64" s="1882"/>
      <c r="BW64" s="1882"/>
      <c r="BX64" s="1882"/>
      <c r="BY64" s="1882"/>
      <c r="BZ64" s="1882"/>
    </row>
    <row r="65" spans="1:48" ht="16.5" hidden="1" thickBot="1">
      <c r="A65" s="1663"/>
      <c r="B65" s="1043" t="s">
        <v>191</v>
      </c>
      <c r="C65" s="3231" t="s">
        <v>5910</v>
      </c>
      <c r="D65" s="3231"/>
      <c r="E65" s="3232"/>
      <c r="F65" s="3232"/>
      <c r="G65" s="3232"/>
      <c r="H65" s="3232"/>
      <c r="I65" s="3232"/>
      <c r="J65" s="3232"/>
      <c r="K65" s="3232"/>
      <c r="L65" s="3232"/>
      <c r="M65" s="3232"/>
      <c r="N65" s="3232"/>
      <c r="O65" s="3233"/>
      <c r="P65" s="1882"/>
      <c r="Q65" s="1882"/>
      <c r="R65" s="1882"/>
      <c r="S65" s="1882"/>
      <c r="T65" s="1882"/>
      <c r="U65" s="1882"/>
      <c r="V65" s="1882"/>
      <c r="W65" s="1882"/>
      <c r="X65" s="1882"/>
      <c r="Y65" s="1882"/>
      <c r="Z65" s="1882"/>
      <c r="AA65" s="110"/>
      <c r="AB65" s="110"/>
      <c r="AC65" s="1646"/>
      <c r="AD65" s="286"/>
      <c r="AE65" s="110"/>
      <c r="AF65" s="110"/>
      <c r="AG65" s="110"/>
      <c r="AH65" s="110"/>
      <c r="AI65" s="110"/>
      <c r="AJ65" s="1009"/>
      <c r="AK65" s="1009"/>
      <c r="AL65" s="1009"/>
      <c r="AM65" s="1013"/>
      <c r="AN65" s="1009"/>
      <c r="AO65" s="1009"/>
      <c r="AP65" s="1009"/>
      <c r="AQ65" s="1009"/>
      <c r="AR65" s="1009"/>
      <c r="AS65" s="1009"/>
      <c r="AT65" s="1009"/>
      <c r="AU65" s="1009"/>
      <c r="AV65" s="1655"/>
    </row>
    <row r="66" spans="1:48" ht="16" hidden="1">
      <c r="A66" s="1663"/>
      <c r="B66" s="1044">
        <v>1</v>
      </c>
      <c r="C66" s="3234" t="s">
        <v>5911</v>
      </c>
      <c r="D66" s="3235"/>
      <c r="E66" s="3235"/>
      <c r="F66" s="3235"/>
      <c r="G66" s="3235"/>
      <c r="H66" s="3235"/>
      <c r="I66" s="3235"/>
      <c r="J66" s="3235"/>
      <c r="K66" s="3235"/>
      <c r="L66" s="3235"/>
      <c r="M66" s="3235"/>
      <c r="N66" s="3235"/>
      <c r="O66" s="3236"/>
      <c r="P66" s="1882"/>
      <c r="Q66" s="1882"/>
      <c r="R66" s="1882"/>
      <c r="S66" s="1882"/>
      <c r="T66" s="1882"/>
      <c r="U66" s="1882"/>
      <c r="V66" s="1882"/>
      <c r="W66" s="1882"/>
      <c r="X66" s="1882"/>
      <c r="Y66" s="1882"/>
      <c r="Z66" s="1882"/>
      <c r="AA66" s="110"/>
      <c r="AB66" s="110"/>
      <c r="AC66" s="1646"/>
      <c r="AD66" s="286"/>
      <c r="AE66" s="110"/>
      <c r="AF66" s="110"/>
      <c r="AG66" s="110"/>
      <c r="AH66" s="110"/>
      <c r="AI66" s="110"/>
      <c r="AJ66" s="1009"/>
      <c r="AK66" s="1009"/>
      <c r="AL66" s="1009"/>
      <c r="AM66" s="1013"/>
      <c r="AN66" s="1009"/>
      <c r="AO66" s="1009"/>
      <c r="AP66" s="1009"/>
      <c r="AQ66" s="1009"/>
      <c r="AR66" s="1009"/>
      <c r="AS66" s="1009"/>
      <c r="AT66" s="1009"/>
      <c r="AU66" s="1009"/>
      <c r="AV66" s="1655"/>
    </row>
    <row r="67" spans="1:48" ht="16" hidden="1">
      <c r="A67" s="1663"/>
      <c r="B67" s="1045">
        <f>+B66+1</f>
        <v>2</v>
      </c>
      <c r="C67" s="3215" t="s">
        <v>5912</v>
      </c>
      <c r="D67" s="3216"/>
      <c r="E67" s="3216"/>
      <c r="F67" s="3216"/>
      <c r="G67" s="3216"/>
      <c r="H67" s="3216"/>
      <c r="I67" s="3216"/>
      <c r="J67" s="3216"/>
      <c r="K67" s="3216"/>
      <c r="L67" s="3216"/>
      <c r="M67" s="3216"/>
      <c r="N67" s="3216"/>
      <c r="O67" s="3217"/>
      <c r="P67" s="1882"/>
      <c r="Q67" s="1882"/>
      <c r="R67" s="1882"/>
      <c r="S67" s="1882"/>
      <c r="T67" s="1882"/>
      <c r="U67" s="1882"/>
      <c r="V67" s="1882"/>
      <c r="W67" s="1882"/>
      <c r="X67" s="1882"/>
      <c r="Y67" s="1882"/>
      <c r="Z67" s="1882"/>
      <c r="AA67" s="110"/>
      <c r="AB67" s="110"/>
      <c r="AC67" s="1646"/>
      <c r="AD67" s="286"/>
      <c r="AE67" s="110"/>
      <c r="AF67" s="110"/>
      <c r="AG67" s="110"/>
      <c r="AH67" s="110"/>
      <c r="AI67" s="110"/>
      <c r="AJ67" s="1009"/>
      <c r="AK67" s="1009"/>
      <c r="AL67" s="1009"/>
      <c r="AM67" s="1013"/>
      <c r="AN67" s="1009"/>
      <c r="AO67" s="1009"/>
      <c r="AP67" s="1009"/>
      <c r="AQ67" s="1009"/>
      <c r="AR67" s="1009"/>
      <c r="AS67" s="1009"/>
      <c r="AT67" s="1009"/>
      <c r="AU67" s="1009"/>
      <c r="AV67" s="1655"/>
    </row>
    <row r="68" spans="1:48" ht="16" hidden="1">
      <c r="A68" s="1663"/>
      <c r="B68" s="1045">
        <f t="shared" ref="B68:B93" si="39">+B67+1</f>
        <v>3</v>
      </c>
      <c r="C68" s="3215" t="s">
        <v>5913</v>
      </c>
      <c r="D68" s="3216"/>
      <c r="E68" s="3216"/>
      <c r="F68" s="3216"/>
      <c r="G68" s="3216"/>
      <c r="H68" s="3216"/>
      <c r="I68" s="3216"/>
      <c r="J68" s="3216"/>
      <c r="K68" s="3216"/>
      <c r="L68" s="3216"/>
      <c r="M68" s="3216"/>
      <c r="N68" s="3216"/>
      <c r="O68" s="3217"/>
      <c r="P68" s="1882"/>
      <c r="Q68" s="1882"/>
      <c r="R68" s="1882"/>
      <c r="S68" s="1882"/>
      <c r="T68" s="1882"/>
      <c r="U68" s="1882"/>
      <c r="V68" s="1882"/>
      <c r="W68" s="1882"/>
      <c r="X68" s="1882"/>
      <c r="Y68" s="1882"/>
      <c r="Z68" s="1882"/>
      <c r="AA68" s="110"/>
      <c r="AB68" s="110"/>
      <c r="AC68" s="1646"/>
      <c r="AD68" s="286"/>
      <c r="AE68" s="110"/>
      <c r="AF68" s="110"/>
      <c r="AG68" s="110"/>
      <c r="AH68" s="110"/>
      <c r="AI68" s="110"/>
      <c r="AJ68" s="1009"/>
      <c r="AK68" s="1009"/>
      <c r="AL68" s="1009"/>
      <c r="AM68" s="1013"/>
      <c r="AN68" s="1009"/>
      <c r="AO68" s="1009"/>
      <c r="AP68" s="1009"/>
      <c r="AQ68" s="1009"/>
      <c r="AR68" s="1009"/>
      <c r="AS68" s="1009"/>
      <c r="AT68" s="1009"/>
      <c r="AU68" s="1009"/>
      <c r="AV68" s="1655"/>
    </row>
    <row r="69" spans="1:48" ht="31.5" hidden="1" customHeight="1">
      <c r="A69" s="1663"/>
      <c r="B69" s="1045">
        <f t="shared" si="39"/>
        <v>4</v>
      </c>
      <c r="C69" s="3215" t="s">
        <v>5914</v>
      </c>
      <c r="D69" s="3216"/>
      <c r="E69" s="3216"/>
      <c r="F69" s="3216"/>
      <c r="G69" s="3216"/>
      <c r="H69" s="3216"/>
      <c r="I69" s="3216"/>
      <c r="J69" s="3216"/>
      <c r="K69" s="3216"/>
      <c r="L69" s="3216"/>
      <c r="M69" s="3216"/>
      <c r="N69" s="3216"/>
      <c r="O69" s="3217"/>
      <c r="P69" s="1882"/>
      <c r="Q69" s="1882"/>
      <c r="R69" s="1882"/>
      <c r="S69" s="1882"/>
      <c r="T69" s="1882"/>
      <c r="U69" s="1882"/>
      <c r="V69" s="1882"/>
      <c r="W69" s="1882"/>
      <c r="X69" s="1882"/>
      <c r="Y69" s="1882"/>
      <c r="Z69" s="1882"/>
      <c r="AA69" s="110"/>
      <c r="AB69" s="110"/>
      <c r="AC69" s="1646"/>
      <c r="AD69" s="286"/>
      <c r="AE69" s="110"/>
      <c r="AF69" s="110"/>
      <c r="AG69" s="110"/>
      <c r="AH69" s="110"/>
      <c r="AI69" s="110"/>
      <c r="AJ69" s="1009"/>
      <c r="AK69" s="1009"/>
      <c r="AL69" s="1009"/>
      <c r="AM69" s="1013"/>
      <c r="AN69" s="1009"/>
      <c r="AO69" s="1009"/>
      <c r="AP69" s="1009"/>
      <c r="AQ69" s="1009"/>
      <c r="AR69" s="1009"/>
      <c r="AS69" s="1009"/>
      <c r="AT69" s="1009"/>
      <c r="AU69" s="1009"/>
      <c r="AV69" s="1655"/>
    </row>
    <row r="70" spans="1:48" ht="16" hidden="1">
      <c r="A70" s="1663"/>
      <c r="B70" s="1045">
        <f t="shared" si="39"/>
        <v>5</v>
      </c>
      <c r="C70" s="3224" t="s">
        <v>5915</v>
      </c>
      <c r="D70" s="3225"/>
      <c r="E70" s="3225"/>
      <c r="F70" s="3225"/>
      <c r="G70" s="3225"/>
      <c r="H70" s="3225"/>
      <c r="I70" s="3225"/>
      <c r="J70" s="3225"/>
      <c r="K70" s="3225"/>
      <c r="L70" s="3225"/>
      <c r="M70" s="3225"/>
      <c r="N70" s="3225"/>
      <c r="O70" s="3226"/>
      <c r="P70" s="1882"/>
      <c r="Q70" s="1882"/>
      <c r="R70" s="1882"/>
      <c r="S70" s="1882"/>
      <c r="T70" s="1882"/>
      <c r="U70" s="1882"/>
      <c r="V70" s="1882"/>
      <c r="W70" s="1882"/>
      <c r="X70" s="1882"/>
      <c r="Y70" s="1882"/>
      <c r="Z70" s="1882"/>
      <c r="AA70" s="110"/>
      <c r="AB70" s="110"/>
      <c r="AC70" s="1646"/>
      <c r="AD70" s="286"/>
      <c r="AE70" s="110"/>
      <c r="AF70" s="110"/>
      <c r="AG70" s="110"/>
      <c r="AH70" s="110"/>
      <c r="AI70" s="110"/>
      <c r="AJ70" s="1009"/>
      <c r="AK70" s="1009"/>
      <c r="AL70" s="1009"/>
      <c r="AM70" s="1013"/>
      <c r="AN70" s="1009"/>
      <c r="AO70" s="1009"/>
      <c r="AP70" s="1009"/>
      <c r="AQ70" s="1009"/>
      <c r="AR70" s="1009"/>
      <c r="AS70" s="1009"/>
      <c r="AT70" s="1009"/>
      <c r="AU70" s="1009"/>
      <c r="AV70" s="1655"/>
    </row>
    <row r="71" spans="1:48" ht="44.25" hidden="1" customHeight="1">
      <c r="A71" s="1663"/>
      <c r="B71" s="1045">
        <f t="shared" si="39"/>
        <v>6</v>
      </c>
      <c r="C71" s="3215" t="s">
        <v>5916</v>
      </c>
      <c r="D71" s="3216"/>
      <c r="E71" s="3216"/>
      <c r="F71" s="3216"/>
      <c r="G71" s="3216"/>
      <c r="H71" s="3216"/>
      <c r="I71" s="3216"/>
      <c r="J71" s="3216"/>
      <c r="K71" s="3216"/>
      <c r="L71" s="3216"/>
      <c r="M71" s="3216"/>
      <c r="N71" s="3216"/>
      <c r="O71" s="3217"/>
      <c r="P71" s="1882"/>
      <c r="Q71" s="1882"/>
      <c r="R71" s="1882"/>
      <c r="S71" s="1882"/>
      <c r="T71" s="1882"/>
      <c r="U71" s="1882"/>
      <c r="V71" s="1882"/>
      <c r="W71" s="1882"/>
      <c r="X71" s="1882"/>
      <c r="Y71" s="1882"/>
      <c r="Z71" s="1882"/>
      <c r="AA71" s="110"/>
      <c r="AB71" s="110"/>
      <c r="AC71" s="1646"/>
      <c r="AD71" s="286"/>
      <c r="AE71" s="110"/>
      <c r="AF71" s="110"/>
      <c r="AG71" s="110"/>
      <c r="AH71" s="110"/>
      <c r="AI71" s="110"/>
      <c r="AJ71" s="1009"/>
      <c r="AK71" s="1009"/>
      <c r="AL71" s="1009"/>
      <c r="AM71" s="1013"/>
      <c r="AN71" s="1009"/>
      <c r="AO71" s="1009"/>
      <c r="AP71" s="1009"/>
      <c r="AQ71" s="1009"/>
      <c r="AR71" s="1009"/>
      <c r="AS71" s="1009"/>
      <c r="AT71" s="1009"/>
      <c r="AU71" s="1009"/>
      <c r="AV71" s="1655"/>
    </row>
    <row r="72" spans="1:48" ht="16" hidden="1">
      <c r="A72" s="1663"/>
      <c r="B72" s="1045">
        <f t="shared" si="39"/>
        <v>7</v>
      </c>
      <c r="C72" s="3215" t="s">
        <v>5917</v>
      </c>
      <c r="D72" s="3216"/>
      <c r="E72" s="3216"/>
      <c r="F72" s="3216"/>
      <c r="G72" s="3216"/>
      <c r="H72" s="3216"/>
      <c r="I72" s="3216"/>
      <c r="J72" s="3216"/>
      <c r="K72" s="3216"/>
      <c r="L72" s="3216"/>
      <c r="M72" s="3216"/>
      <c r="N72" s="3216"/>
      <c r="O72" s="3217"/>
      <c r="P72" s="1882"/>
      <c r="Q72" s="1882"/>
      <c r="R72" s="1882"/>
      <c r="S72" s="1882"/>
      <c r="T72" s="1882"/>
      <c r="U72" s="1882"/>
      <c r="V72" s="1882"/>
      <c r="W72" s="1882"/>
      <c r="X72" s="1882"/>
      <c r="Y72" s="1882"/>
      <c r="Z72" s="1882"/>
      <c r="AA72" s="110"/>
      <c r="AB72" s="110"/>
      <c r="AC72" s="1646"/>
      <c r="AD72" s="286"/>
      <c r="AE72" s="110"/>
      <c r="AF72" s="110"/>
      <c r="AG72" s="110"/>
      <c r="AH72" s="110"/>
      <c r="AI72" s="110"/>
      <c r="AJ72" s="1009"/>
      <c r="AK72" s="1009"/>
      <c r="AL72" s="1009"/>
      <c r="AM72" s="1013"/>
      <c r="AN72" s="1009"/>
      <c r="AO72" s="1009"/>
      <c r="AP72" s="1009"/>
      <c r="AQ72" s="1009"/>
      <c r="AR72" s="1009"/>
      <c r="AS72" s="1009"/>
      <c r="AT72" s="1009"/>
      <c r="AU72" s="1009"/>
      <c r="AV72" s="1655"/>
    </row>
    <row r="73" spans="1:48" ht="16" hidden="1">
      <c r="A73" s="1663"/>
      <c r="B73" s="1045">
        <f t="shared" si="39"/>
        <v>8</v>
      </c>
      <c r="C73" s="3215" t="s">
        <v>5918</v>
      </c>
      <c r="D73" s="3216"/>
      <c r="E73" s="3216"/>
      <c r="F73" s="3216"/>
      <c r="G73" s="3216"/>
      <c r="H73" s="3216"/>
      <c r="I73" s="3216"/>
      <c r="J73" s="3216"/>
      <c r="K73" s="3216"/>
      <c r="L73" s="3216"/>
      <c r="M73" s="3216"/>
      <c r="N73" s="3216"/>
      <c r="O73" s="3217"/>
      <c r="P73" s="1882"/>
      <c r="Q73" s="1882"/>
      <c r="R73" s="1882"/>
      <c r="S73" s="1882"/>
      <c r="T73" s="1882"/>
      <c r="U73" s="1882"/>
      <c r="V73" s="1882"/>
      <c r="W73" s="1882"/>
      <c r="X73" s="1882"/>
      <c r="Y73" s="1882"/>
      <c r="Z73" s="1882"/>
      <c r="AA73" s="110"/>
      <c r="AB73" s="110"/>
      <c r="AC73" s="1646"/>
      <c r="AD73" s="286"/>
      <c r="AE73" s="110"/>
      <c r="AF73" s="110"/>
      <c r="AG73" s="110"/>
      <c r="AH73" s="110"/>
      <c r="AI73" s="110"/>
      <c r="AJ73" s="1009"/>
      <c r="AK73" s="1009"/>
      <c r="AL73" s="1009"/>
      <c r="AM73" s="1013"/>
      <c r="AN73" s="1009"/>
      <c r="AO73" s="1009"/>
      <c r="AP73" s="1009"/>
      <c r="AQ73" s="1009"/>
      <c r="AR73" s="1009"/>
      <c r="AS73" s="1009"/>
      <c r="AT73" s="1009"/>
      <c r="AU73" s="1009"/>
      <c r="AV73" s="1655"/>
    </row>
    <row r="74" spans="1:48" ht="16" hidden="1">
      <c r="A74" s="1663"/>
      <c r="B74" s="1045">
        <f t="shared" si="39"/>
        <v>9</v>
      </c>
      <c r="C74" s="3224" t="s">
        <v>5919</v>
      </c>
      <c r="D74" s="3225"/>
      <c r="E74" s="3225"/>
      <c r="F74" s="3225"/>
      <c r="G74" s="3225"/>
      <c r="H74" s="3225"/>
      <c r="I74" s="3225"/>
      <c r="J74" s="3225"/>
      <c r="K74" s="3225"/>
      <c r="L74" s="3225"/>
      <c r="M74" s="3225"/>
      <c r="N74" s="3225"/>
      <c r="O74" s="3226"/>
      <c r="P74" s="1882"/>
      <c r="Q74" s="1882"/>
      <c r="R74" s="1882"/>
      <c r="S74" s="1882"/>
      <c r="T74" s="1882"/>
      <c r="U74" s="1882"/>
      <c r="V74" s="1882"/>
      <c r="W74" s="1882"/>
      <c r="X74" s="1882"/>
      <c r="Y74" s="1882"/>
      <c r="Z74" s="1882"/>
      <c r="AA74" s="110"/>
      <c r="AB74" s="110"/>
      <c r="AC74" s="1646"/>
      <c r="AD74" s="286"/>
      <c r="AE74" s="110"/>
      <c r="AF74" s="110"/>
      <c r="AG74" s="110"/>
      <c r="AH74" s="110"/>
      <c r="AI74" s="110"/>
      <c r="AJ74" s="1009"/>
      <c r="AK74" s="1009"/>
      <c r="AL74" s="1009"/>
      <c r="AM74" s="1013"/>
      <c r="AN74" s="1009"/>
      <c r="AO74" s="1009"/>
      <c r="AP74" s="1009"/>
      <c r="AQ74" s="1009"/>
      <c r="AR74" s="1009"/>
      <c r="AS74" s="1009"/>
      <c r="AT74" s="1009"/>
      <c r="AU74" s="1009"/>
      <c r="AV74" s="1655"/>
    </row>
    <row r="75" spans="1:48" ht="16" hidden="1">
      <c r="A75" s="1663"/>
      <c r="B75" s="1045">
        <f t="shared" si="39"/>
        <v>10</v>
      </c>
      <c r="C75" s="3224" t="s">
        <v>5920</v>
      </c>
      <c r="D75" s="3225"/>
      <c r="E75" s="3225"/>
      <c r="F75" s="3225"/>
      <c r="G75" s="3225"/>
      <c r="H75" s="3225"/>
      <c r="I75" s="3225"/>
      <c r="J75" s="3225"/>
      <c r="K75" s="3225"/>
      <c r="L75" s="3225"/>
      <c r="M75" s="3225"/>
      <c r="N75" s="3225"/>
      <c r="O75" s="3226"/>
      <c r="P75" s="1882"/>
      <c r="Q75" s="1882"/>
      <c r="R75" s="1882"/>
      <c r="S75" s="1882"/>
      <c r="T75" s="1882"/>
      <c r="U75" s="1882"/>
      <c r="V75" s="1882"/>
      <c r="W75" s="1882"/>
      <c r="X75" s="1882"/>
      <c r="Y75" s="1882"/>
      <c r="Z75" s="1882"/>
      <c r="AA75" s="110"/>
      <c r="AB75" s="110"/>
      <c r="AC75" s="1646"/>
      <c r="AD75" s="286"/>
      <c r="AE75" s="110"/>
      <c r="AF75" s="110"/>
      <c r="AG75" s="110"/>
      <c r="AH75" s="110"/>
      <c r="AI75" s="110"/>
      <c r="AJ75" s="1009"/>
      <c r="AK75" s="1009"/>
      <c r="AL75" s="1009"/>
      <c r="AM75" s="1013"/>
      <c r="AN75" s="1009"/>
      <c r="AO75" s="1009"/>
      <c r="AP75" s="1009"/>
      <c r="AQ75" s="1009"/>
      <c r="AR75" s="1009"/>
      <c r="AS75" s="1009"/>
      <c r="AT75" s="1009"/>
      <c r="AU75" s="1009"/>
      <c r="AV75" s="1655"/>
    </row>
    <row r="76" spans="1:48" ht="29.25" hidden="1" customHeight="1">
      <c r="A76" s="1663"/>
      <c r="B76" s="1045">
        <f t="shared" si="39"/>
        <v>11</v>
      </c>
      <c r="C76" s="3215" t="s">
        <v>5921</v>
      </c>
      <c r="D76" s="3216"/>
      <c r="E76" s="3216"/>
      <c r="F76" s="3216"/>
      <c r="G76" s="3216"/>
      <c r="H76" s="3216"/>
      <c r="I76" s="3216"/>
      <c r="J76" s="3216"/>
      <c r="K76" s="3216"/>
      <c r="L76" s="3216"/>
      <c r="M76" s="3216"/>
      <c r="N76" s="3216"/>
      <c r="O76" s="3217"/>
      <c r="P76" s="1882"/>
      <c r="Q76" s="1882"/>
      <c r="R76" s="1882"/>
      <c r="S76" s="1882"/>
      <c r="T76" s="1882"/>
      <c r="U76" s="1882"/>
      <c r="V76" s="1882"/>
      <c r="W76" s="1882"/>
      <c r="X76" s="1882"/>
      <c r="Y76" s="1882"/>
      <c r="Z76" s="1882"/>
      <c r="AA76" s="110"/>
      <c r="AB76" s="110"/>
      <c r="AC76" s="1646"/>
      <c r="AD76" s="286"/>
      <c r="AE76" s="110"/>
      <c r="AF76" s="110"/>
      <c r="AG76" s="110"/>
      <c r="AH76" s="110"/>
      <c r="AI76" s="110"/>
      <c r="AJ76" s="1013"/>
      <c r="AK76" s="1013"/>
      <c r="AL76" s="1013"/>
      <c r="AM76" s="1013"/>
      <c r="AN76" s="1013"/>
      <c r="AO76" s="1013"/>
      <c r="AP76" s="1013"/>
      <c r="AQ76" s="1013"/>
      <c r="AR76" s="1013"/>
      <c r="AS76" s="1013"/>
      <c r="AT76" s="1013"/>
      <c r="AU76" s="1013"/>
      <c r="AV76" s="1655"/>
    </row>
    <row r="77" spans="1:48" ht="34.5" hidden="1" customHeight="1">
      <c r="A77" s="1663"/>
      <c r="B77" s="1045">
        <f t="shared" si="39"/>
        <v>12</v>
      </c>
      <c r="C77" s="3215" t="s">
        <v>5922</v>
      </c>
      <c r="D77" s="3216"/>
      <c r="E77" s="3216"/>
      <c r="F77" s="3216"/>
      <c r="G77" s="3216"/>
      <c r="H77" s="3216"/>
      <c r="I77" s="3216"/>
      <c r="J77" s="3216"/>
      <c r="K77" s="3216"/>
      <c r="L77" s="3216"/>
      <c r="M77" s="3216"/>
      <c r="N77" s="3216"/>
      <c r="O77" s="3217"/>
      <c r="P77" s="1882"/>
      <c r="Q77" s="1882"/>
      <c r="R77" s="1882"/>
      <c r="S77" s="1882"/>
      <c r="T77" s="1882"/>
      <c r="U77" s="1882"/>
      <c r="V77" s="1882"/>
      <c r="W77" s="1882"/>
      <c r="X77" s="1882"/>
      <c r="Y77" s="1882"/>
      <c r="Z77" s="1882"/>
      <c r="AA77" s="110"/>
      <c r="AB77" s="110"/>
      <c r="AC77" s="1646"/>
      <c r="AD77" s="286"/>
      <c r="AE77" s="110"/>
      <c r="AF77" s="110"/>
      <c r="AG77" s="110"/>
      <c r="AH77" s="110"/>
      <c r="AI77" s="110"/>
      <c r="AJ77" s="1009"/>
      <c r="AK77" s="1009"/>
      <c r="AL77" s="1009"/>
      <c r="AM77" s="1013"/>
      <c r="AN77" s="1009"/>
      <c r="AO77" s="1009"/>
      <c r="AP77" s="1009"/>
      <c r="AQ77" s="1009"/>
      <c r="AR77" s="1009"/>
      <c r="AS77" s="1009"/>
      <c r="AT77" s="1009"/>
      <c r="AU77" s="1009"/>
      <c r="AV77" s="1655"/>
    </row>
    <row r="78" spans="1:48" ht="34.5" hidden="1" customHeight="1">
      <c r="A78" s="1663"/>
      <c r="B78" s="1045">
        <f t="shared" si="39"/>
        <v>13</v>
      </c>
      <c r="C78" s="3224" t="s">
        <v>5923</v>
      </c>
      <c r="D78" s="3225"/>
      <c r="E78" s="3225"/>
      <c r="F78" s="3225"/>
      <c r="G78" s="3225"/>
      <c r="H78" s="3225"/>
      <c r="I78" s="3225"/>
      <c r="J78" s="3225"/>
      <c r="K78" s="3225"/>
      <c r="L78" s="3225"/>
      <c r="M78" s="3225"/>
      <c r="N78" s="3225"/>
      <c r="O78" s="3226"/>
      <c r="P78" s="1882"/>
      <c r="Q78" s="1882"/>
      <c r="R78" s="1882"/>
      <c r="S78" s="1882"/>
      <c r="T78" s="1882"/>
      <c r="U78" s="1882"/>
      <c r="V78" s="1882"/>
      <c r="W78" s="1882"/>
      <c r="X78" s="1882"/>
      <c r="Y78" s="1882"/>
      <c r="Z78" s="1882"/>
      <c r="AA78" s="110"/>
      <c r="AB78" s="110"/>
      <c r="AC78" s="1646"/>
      <c r="AD78" s="286"/>
      <c r="AE78" s="110"/>
      <c r="AF78" s="110"/>
      <c r="AG78" s="110"/>
      <c r="AH78" s="110"/>
      <c r="AI78" s="110"/>
    </row>
    <row r="79" spans="1:48" ht="48" hidden="1" customHeight="1">
      <c r="A79" s="1663"/>
      <c r="B79" s="1045">
        <f t="shared" si="39"/>
        <v>14</v>
      </c>
      <c r="C79" s="3215" t="s">
        <v>5924</v>
      </c>
      <c r="D79" s="3216"/>
      <c r="E79" s="3216"/>
      <c r="F79" s="3216"/>
      <c r="G79" s="3216"/>
      <c r="H79" s="3216"/>
      <c r="I79" s="3216"/>
      <c r="J79" s="3216"/>
      <c r="K79" s="3216"/>
      <c r="L79" s="3216"/>
      <c r="M79" s="3216"/>
      <c r="N79" s="3216"/>
      <c r="O79" s="3217"/>
      <c r="P79" s="1926" t="s">
        <v>5925</v>
      </c>
      <c r="Q79" s="1882"/>
      <c r="R79" s="1882"/>
      <c r="S79" s="1882"/>
      <c r="T79" s="1882"/>
      <c r="U79" s="1882"/>
      <c r="V79" s="1882"/>
      <c r="W79" s="1882"/>
      <c r="X79" s="1882"/>
      <c r="Y79" s="1882"/>
      <c r="Z79" s="1882"/>
      <c r="AA79" s="110"/>
      <c r="AB79" s="110"/>
      <c r="AC79" s="1646"/>
      <c r="AD79" s="286"/>
      <c r="AE79" s="110"/>
      <c r="AF79" s="110"/>
      <c r="AG79" s="110"/>
      <c r="AH79" s="110"/>
      <c r="AI79" s="110"/>
    </row>
    <row r="80" spans="1:48" ht="58" hidden="1">
      <c r="A80" s="1663"/>
      <c r="B80" s="1045">
        <f t="shared" si="39"/>
        <v>15</v>
      </c>
      <c r="C80" s="3215" t="s">
        <v>5926</v>
      </c>
      <c r="D80" s="3216"/>
      <c r="E80" s="3216"/>
      <c r="F80" s="3216"/>
      <c r="G80" s="3216"/>
      <c r="H80" s="3216"/>
      <c r="I80" s="3216"/>
      <c r="J80" s="3216"/>
      <c r="K80" s="3216"/>
      <c r="L80" s="3216"/>
      <c r="M80" s="3216"/>
      <c r="N80" s="3216"/>
      <c r="O80" s="3217"/>
      <c r="P80" s="1926" t="s">
        <v>5927</v>
      </c>
      <c r="Q80" s="1882"/>
      <c r="R80" s="1882"/>
      <c r="S80" s="1882"/>
      <c r="T80" s="1882"/>
      <c r="U80" s="1882"/>
      <c r="V80" s="1882"/>
      <c r="W80" s="1882"/>
      <c r="X80" s="1882"/>
      <c r="Y80" s="1882"/>
      <c r="Z80" s="1882"/>
      <c r="AA80" s="110"/>
      <c r="AB80" s="110"/>
      <c r="AC80" s="1646"/>
      <c r="AD80" s="286"/>
      <c r="AE80" s="110"/>
      <c r="AF80" s="110"/>
      <c r="AG80" s="110"/>
      <c r="AH80" s="110"/>
      <c r="AI80" s="110"/>
    </row>
    <row r="81" spans="1:54" ht="16" hidden="1">
      <c r="A81" s="1663"/>
      <c r="B81" s="1045">
        <f t="shared" si="39"/>
        <v>16</v>
      </c>
      <c r="C81" s="3215" t="s">
        <v>5928</v>
      </c>
      <c r="D81" s="3216"/>
      <c r="E81" s="3216"/>
      <c r="F81" s="3216"/>
      <c r="G81" s="3216"/>
      <c r="H81" s="3216"/>
      <c r="I81" s="3216"/>
      <c r="J81" s="3216"/>
      <c r="K81" s="3216"/>
      <c r="L81" s="3216"/>
      <c r="M81" s="3216"/>
      <c r="N81" s="3216"/>
      <c r="O81" s="3217"/>
      <c r="P81" s="1882"/>
      <c r="Q81" s="1882"/>
      <c r="R81" s="1882"/>
      <c r="S81" s="1882"/>
      <c r="T81" s="1882"/>
      <c r="U81" s="1882"/>
      <c r="V81" s="1882"/>
      <c r="W81" s="1882"/>
      <c r="X81" s="1882"/>
      <c r="Y81" s="1882"/>
      <c r="Z81" s="1882"/>
      <c r="AW81" s="1882"/>
      <c r="AY81" s="1882"/>
      <c r="AZ81" s="1882"/>
      <c r="BA81" s="1882"/>
    </row>
    <row r="82" spans="1:54" ht="28.5" hidden="1" customHeight="1">
      <c r="A82" s="1663"/>
      <c r="B82" s="1045">
        <f t="shared" si="39"/>
        <v>17</v>
      </c>
      <c r="C82" s="3215" t="s">
        <v>5929</v>
      </c>
      <c r="D82" s="3216"/>
      <c r="E82" s="3216"/>
      <c r="F82" s="3216"/>
      <c r="G82" s="3216"/>
      <c r="H82" s="3216"/>
      <c r="I82" s="3216"/>
      <c r="J82" s="3216"/>
      <c r="K82" s="3216"/>
      <c r="L82" s="3216"/>
      <c r="M82" s="3216"/>
      <c r="N82" s="3216"/>
      <c r="O82" s="3217"/>
      <c r="P82" s="1882"/>
      <c r="Q82" s="1882"/>
      <c r="R82" s="1882"/>
      <c r="S82" s="1882"/>
      <c r="T82" s="1882"/>
      <c r="U82" s="1882"/>
      <c r="V82" s="1882"/>
      <c r="W82" s="1882"/>
      <c r="X82" s="1882"/>
      <c r="Y82" s="1882"/>
      <c r="Z82" s="1882"/>
      <c r="AW82" s="1882"/>
      <c r="AY82" s="1882"/>
      <c r="AZ82" s="1882"/>
      <c r="BA82" s="1882"/>
    </row>
    <row r="83" spans="1:54" ht="30" hidden="1" customHeight="1">
      <c r="A83" s="1663"/>
      <c r="B83" s="1045">
        <f t="shared" si="39"/>
        <v>18</v>
      </c>
      <c r="C83" s="3215" t="s">
        <v>5930</v>
      </c>
      <c r="D83" s="3216"/>
      <c r="E83" s="3216"/>
      <c r="F83" s="3216"/>
      <c r="G83" s="3216"/>
      <c r="H83" s="3216"/>
      <c r="I83" s="3216"/>
      <c r="J83" s="3216"/>
      <c r="K83" s="3216"/>
      <c r="L83" s="3216"/>
      <c r="M83" s="3216"/>
      <c r="N83" s="3216"/>
      <c r="O83" s="3217"/>
      <c r="P83" s="1882"/>
      <c r="Q83" s="1882"/>
      <c r="R83" s="1882"/>
      <c r="S83" s="1882"/>
      <c r="T83" s="1882"/>
      <c r="U83" s="1882"/>
      <c r="V83" s="1882"/>
      <c r="W83" s="1882"/>
      <c r="X83" s="1882"/>
      <c r="Y83" s="1882"/>
      <c r="Z83" s="1882"/>
      <c r="AW83" s="1882"/>
      <c r="AY83" s="1882"/>
      <c r="AZ83" s="1882"/>
      <c r="BA83" s="1882"/>
    </row>
    <row r="84" spans="1:54" ht="31.5" hidden="1" customHeight="1">
      <c r="A84" s="1663"/>
      <c r="B84" s="1045">
        <f t="shared" si="39"/>
        <v>19</v>
      </c>
      <c r="C84" s="3215" t="s">
        <v>5931</v>
      </c>
      <c r="D84" s="3216"/>
      <c r="E84" s="3216"/>
      <c r="F84" s="3216"/>
      <c r="G84" s="3216"/>
      <c r="H84" s="3216"/>
      <c r="I84" s="3216"/>
      <c r="J84" s="3216"/>
      <c r="K84" s="3216"/>
      <c r="L84" s="3216"/>
      <c r="M84" s="3216"/>
      <c r="N84" s="3216"/>
      <c r="O84" s="3217"/>
      <c r="P84" s="1882"/>
      <c r="Q84" s="1882"/>
      <c r="R84" s="1882"/>
      <c r="S84" s="1882"/>
      <c r="T84" s="1882"/>
      <c r="U84" s="1882"/>
      <c r="V84" s="1882"/>
      <c r="W84" s="1882"/>
      <c r="X84" s="1882"/>
      <c r="Y84" s="1882"/>
      <c r="Z84" s="1882"/>
      <c r="AW84" s="1882"/>
      <c r="AY84" s="1882"/>
      <c r="AZ84" s="1882"/>
      <c r="BA84" s="1882"/>
    </row>
    <row r="85" spans="1:54" ht="29.25" hidden="1" customHeight="1">
      <c r="A85" s="1663"/>
      <c r="B85" s="1045">
        <f t="shared" si="39"/>
        <v>20</v>
      </c>
      <c r="C85" s="3215" t="s">
        <v>5932</v>
      </c>
      <c r="D85" s="3216"/>
      <c r="E85" s="3216"/>
      <c r="F85" s="3216"/>
      <c r="G85" s="3216"/>
      <c r="H85" s="3216"/>
      <c r="I85" s="3216"/>
      <c r="J85" s="3216"/>
      <c r="K85" s="3216"/>
      <c r="L85" s="3216"/>
      <c r="M85" s="3216"/>
      <c r="N85" s="3216"/>
      <c r="O85" s="3217"/>
      <c r="P85" s="1882"/>
      <c r="Q85" s="1882"/>
      <c r="R85" s="1882"/>
      <c r="S85" s="1882"/>
      <c r="T85" s="1882"/>
      <c r="U85" s="1882"/>
      <c r="V85" s="1882"/>
      <c r="W85" s="1882"/>
      <c r="X85" s="1882"/>
      <c r="Y85" s="1882"/>
      <c r="Z85" s="1882"/>
      <c r="AW85" s="1882"/>
      <c r="AY85" s="1882"/>
      <c r="AZ85" s="1882"/>
      <c r="BA85" s="1882"/>
    </row>
    <row r="86" spans="1:54" ht="27" hidden="1" customHeight="1">
      <c r="A86" s="1663"/>
      <c r="B86" s="1045">
        <f t="shared" si="39"/>
        <v>21</v>
      </c>
      <c r="C86" s="3215" t="s">
        <v>5933</v>
      </c>
      <c r="D86" s="3216"/>
      <c r="E86" s="3216"/>
      <c r="F86" s="3216"/>
      <c r="G86" s="3216"/>
      <c r="H86" s="3216"/>
      <c r="I86" s="3216"/>
      <c r="J86" s="3216"/>
      <c r="K86" s="3216"/>
      <c r="L86" s="3216"/>
      <c r="M86" s="3216"/>
      <c r="N86" s="3216"/>
      <c r="O86" s="3217"/>
      <c r="P86" s="1882"/>
      <c r="Q86" s="1882"/>
      <c r="R86" s="1882"/>
      <c r="S86" s="1882"/>
      <c r="T86" s="1882"/>
      <c r="U86" s="1882"/>
      <c r="V86" s="1882"/>
      <c r="W86" s="1882"/>
      <c r="X86" s="1882"/>
      <c r="Y86" s="1882"/>
      <c r="Z86" s="1882"/>
      <c r="AW86" s="1882"/>
      <c r="AY86" s="1882"/>
      <c r="AZ86" s="1882"/>
      <c r="BA86" s="1882"/>
    </row>
    <row r="87" spans="1:54" ht="31.5" hidden="1" customHeight="1">
      <c r="A87" s="1663"/>
      <c r="B87" s="1045">
        <f t="shared" si="39"/>
        <v>22</v>
      </c>
      <c r="C87" s="3215" t="s">
        <v>5934</v>
      </c>
      <c r="D87" s="3216"/>
      <c r="E87" s="3216"/>
      <c r="F87" s="3216"/>
      <c r="G87" s="3216"/>
      <c r="H87" s="3216"/>
      <c r="I87" s="3216"/>
      <c r="J87" s="3216"/>
      <c r="K87" s="3216"/>
      <c r="L87" s="3216"/>
      <c r="M87" s="3216"/>
      <c r="N87" s="3216"/>
      <c r="O87" s="3217"/>
      <c r="P87" s="1882"/>
      <c r="Q87" s="1882"/>
      <c r="R87" s="1882"/>
      <c r="S87" s="1882"/>
      <c r="T87" s="1882"/>
      <c r="U87" s="1882"/>
      <c r="V87" s="1882"/>
      <c r="W87" s="1882"/>
      <c r="X87" s="1882"/>
      <c r="Y87" s="1882"/>
      <c r="Z87" s="1882"/>
      <c r="AW87" s="1882"/>
      <c r="AY87" s="1882"/>
      <c r="AZ87" s="1882"/>
      <c r="BA87" s="1882"/>
    </row>
    <row r="88" spans="1:54" ht="16" hidden="1">
      <c r="A88" s="1663"/>
      <c r="B88" s="1045">
        <f t="shared" si="39"/>
        <v>23</v>
      </c>
      <c r="C88" s="3215" t="s">
        <v>5935</v>
      </c>
      <c r="D88" s="3216"/>
      <c r="E88" s="3216"/>
      <c r="F88" s="3216"/>
      <c r="G88" s="3216"/>
      <c r="H88" s="3216"/>
      <c r="I88" s="3216"/>
      <c r="J88" s="3216"/>
      <c r="K88" s="3216"/>
      <c r="L88" s="3216"/>
      <c r="M88" s="3216"/>
      <c r="N88" s="3216"/>
      <c r="O88" s="3217"/>
      <c r="P88" s="1882"/>
      <c r="Q88" s="1882"/>
      <c r="R88" s="1882"/>
      <c r="S88" s="1882"/>
      <c r="T88" s="1882"/>
      <c r="U88" s="1882"/>
      <c r="V88" s="1882"/>
      <c r="W88" s="1882"/>
      <c r="X88" s="1882"/>
      <c r="Y88" s="1882"/>
      <c r="Z88" s="1882"/>
      <c r="AW88" s="1882"/>
      <c r="AY88" s="1882"/>
      <c r="AZ88" s="1882"/>
      <c r="BA88" s="1882"/>
    </row>
    <row r="89" spans="1:54" ht="48" hidden="1" customHeight="1">
      <c r="A89" s="1663"/>
      <c r="B89" s="1045">
        <f t="shared" si="39"/>
        <v>24</v>
      </c>
      <c r="C89" s="3215" t="s">
        <v>5936</v>
      </c>
      <c r="D89" s="3216"/>
      <c r="E89" s="3216"/>
      <c r="F89" s="3216"/>
      <c r="G89" s="3216"/>
      <c r="H89" s="3216"/>
      <c r="I89" s="3216"/>
      <c r="J89" s="3216"/>
      <c r="K89" s="3216"/>
      <c r="L89" s="3216"/>
      <c r="M89" s="3216"/>
      <c r="N89" s="3216"/>
      <c r="O89" s="3217"/>
      <c r="P89" s="1926" t="s">
        <v>5927</v>
      </c>
      <c r="Q89" s="1882"/>
      <c r="R89" s="1882"/>
      <c r="S89" s="1882"/>
      <c r="T89" s="1882"/>
      <c r="U89" s="1882"/>
      <c r="V89" s="1882"/>
      <c r="W89" s="1882"/>
      <c r="X89" s="1882"/>
      <c r="Y89" s="1882"/>
      <c r="Z89" s="1882"/>
      <c r="AW89" s="1882"/>
      <c r="AY89" s="1882"/>
      <c r="AZ89" s="1882"/>
      <c r="BA89" s="1882"/>
    </row>
    <row r="90" spans="1:54" ht="28.15" hidden="1" customHeight="1">
      <c r="A90" s="1663"/>
      <c r="B90" s="1045">
        <f t="shared" si="39"/>
        <v>25</v>
      </c>
      <c r="C90" s="3215" t="s">
        <v>5937</v>
      </c>
      <c r="D90" s="3216"/>
      <c r="E90" s="3216"/>
      <c r="F90" s="3216"/>
      <c r="G90" s="3216"/>
      <c r="H90" s="3216"/>
      <c r="I90" s="3216"/>
      <c r="J90" s="3216"/>
      <c r="K90" s="3216"/>
      <c r="L90" s="3216"/>
      <c r="M90" s="3216"/>
      <c r="N90" s="3216"/>
      <c r="O90" s="3217"/>
      <c r="P90" s="1882"/>
      <c r="Q90" s="1882"/>
      <c r="R90" s="1882"/>
      <c r="S90" s="1882"/>
      <c r="T90" s="1882"/>
      <c r="U90" s="1882"/>
      <c r="V90" s="1882"/>
      <c r="W90" s="1882"/>
      <c r="X90" s="1882"/>
      <c r="Y90" s="1882"/>
      <c r="Z90" s="1882"/>
      <c r="AW90" s="1882"/>
      <c r="AY90" s="1882"/>
      <c r="AZ90" s="1882"/>
      <c r="BA90" s="1882"/>
    </row>
    <row r="91" spans="1:54" ht="32.65" hidden="1" customHeight="1">
      <c r="A91" s="1663"/>
      <c r="B91" s="1045">
        <f t="shared" si="39"/>
        <v>26</v>
      </c>
      <c r="C91" s="3215" t="s">
        <v>5938</v>
      </c>
      <c r="D91" s="3216"/>
      <c r="E91" s="3216"/>
      <c r="F91" s="3216"/>
      <c r="G91" s="3216"/>
      <c r="H91" s="3216"/>
      <c r="I91" s="3216"/>
      <c r="J91" s="3216"/>
      <c r="K91" s="3216"/>
      <c r="L91" s="3216"/>
      <c r="M91" s="3216"/>
      <c r="N91" s="3216"/>
      <c r="O91" s="3217"/>
      <c r="P91" s="1882"/>
      <c r="Q91" s="1882"/>
      <c r="R91" s="1882"/>
      <c r="S91" s="1882"/>
      <c r="T91" s="1882"/>
      <c r="U91" s="1882"/>
      <c r="V91" s="1882"/>
      <c r="W91" s="1882"/>
      <c r="X91" s="1882"/>
      <c r="Y91" s="1882"/>
      <c r="Z91" s="1882"/>
      <c r="AW91" s="1882"/>
      <c r="AY91" s="1882"/>
      <c r="AZ91" s="1882"/>
      <c r="BA91" s="1882"/>
    </row>
    <row r="92" spans="1:54" ht="32.25" hidden="1" customHeight="1">
      <c r="A92" s="1663"/>
      <c r="B92" s="1045">
        <f t="shared" si="39"/>
        <v>27</v>
      </c>
      <c r="C92" s="3215" t="s">
        <v>5939</v>
      </c>
      <c r="D92" s="3216"/>
      <c r="E92" s="3216"/>
      <c r="F92" s="3216"/>
      <c r="G92" s="3216"/>
      <c r="H92" s="3216"/>
      <c r="I92" s="3216"/>
      <c r="J92" s="3216"/>
      <c r="K92" s="3216"/>
      <c r="L92" s="3216"/>
      <c r="M92" s="3216"/>
      <c r="N92" s="3216"/>
      <c r="O92" s="3217"/>
      <c r="P92" s="1882"/>
      <c r="Q92" s="1882"/>
      <c r="R92" s="1882"/>
      <c r="S92" s="1882"/>
      <c r="T92" s="1882"/>
      <c r="U92" s="1882"/>
      <c r="V92" s="1882"/>
      <c r="W92" s="1882"/>
      <c r="X92" s="1882"/>
      <c r="Y92" s="1882"/>
      <c r="Z92" s="1882"/>
      <c r="AW92" s="1882"/>
      <c r="AY92" s="1882"/>
      <c r="AZ92" s="1882"/>
      <c r="BA92" s="1882"/>
    </row>
    <row r="93" spans="1:54" ht="33.75" hidden="1" customHeight="1">
      <c r="A93" s="1663"/>
      <c r="B93" s="1045">
        <f t="shared" si="39"/>
        <v>28</v>
      </c>
      <c r="C93" s="3215" t="s">
        <v>5940</v>
      </c>
      <c r="D93" s="3216"/>
      <c r="E93" s="3216"/>
      <c r="F93" s="3216"/>
      <c r="G93" s="3216"/>
      <c r="H93" s="3216"/>
      <c r="I93" s="3216"/>
      <c r="J93" s="3216"/>
      <c r="K93" s="3216"/>
      <c r="L93" s="3216"/>
      <c r="M93" s="3216"/>
      <c r="N93" s="3216"/>
      <c r="O93" s="3217"/>
      <c r="P93" s="1882"/>
      <c r="Q93" s="1882"/>
      <c r="R93" s="1882"/>
      <c r="S93" s="1882"/>
      <c r="T93" s="1882"/>
      <c r="U93" s="1882"/>
      <c r="V93" s="1882"/>
      <c r="W93" s="1882"/>
      <c r="X93" s="1882"/>
      <c r="Y93" s="1882"/>
      <c r="Z93" s="1882"/>
      <c r="AW93" s="1882"/>
      <c r="AY93" s="1882"/>
      <c r="AZ93" s="1882"/>
      <c r="BA93" s="1882"/>
    </row>
    <row r="94" spans="1:54" s="1882" customFormat="1" ht="33.75" hidden="1" customHeight="1">
      <c r="A94" s="1663"/>
      <c r="B94" s="1045">
        <v>29</v>
      </c>
      <c r="C94" s="3221" t="s">
        <v>5941</v>
      </c>
      <c r="D94" s="3222"/>
      <c r="E94" s="3222"/>
      <c r="F94" s="3222"/>
      <c r="G94" s="3222"/>
      <c r="H94" s="3222"/>
      <c r="I94" s="3222"/>
      <c r="J94" s="3222"/>
      <c r="K94" s="3222"/>
      <c r="L94" s="3222"/>
      <c r="M94" s="3222"/>
      <c r="N94" s="3222"/>
      <c r="O94" s="3223"/>
      <c r="AA94" s="851"/>
      <c r="AB94" s="851"/>
      <c r="AC94" s="1643"/>
      <c r="AD94" s="851"/>
      <c r="AE94" s="851"/>
      <c r="AF94" s="851"/>
      <c r="AG94" s="851"/>
      <c r="AH94" s="851"/>
      <c r="AI94" s="851"/>
      <c r="AJ94" s="851"/>
      <c r="AK94" s="851"/>
      <c r="AL94" s="851"/>
      <c r="AM94" s="851"/>
      <c r="AN94" s="851"/>
      <c r="AO94" s="851"/>
      <c r="AP94" s="851"/>
      <c r="AQ94" s="851"/>
      <c r="AR94" s="851"/>
      <c r="AS94" s="851"/>
      <c r="AT94" s="851"/>
      <c r="AU94" s="851"/>
      <c r="AV94" s="1643"/>
      <c r="AX94" s="1635"/>
      <c r="BB94" s="1635"/>
    </row>
    <row r="95" spans="1:54" ht="33.75" hidden="1" customHeight="1">
      <c r="A95" s="1663"/>
      <c r="B95" s="1045" t="s">
        <v>5942</v>
      </c>
      <c r="C95" s="3215" t="s">
        <v>5943</v>
      </c>
      <c r="D95" s="3216"/>
      <c r="E95" s="3216"/>
      <c r="F95" s="3216"/>
      <c r="G95" s="3216"/>
      <c r="H95" s="3216"/>
      <c r="I95" s="3216"/>
      <c r="J95" s="3216"/>
      <c r="K95" s="3216"/>
      <c r="L95" s="3216"/>
      <c r="M95" s="3216"/>
      <c r="N95" s="3216"/>
      <c r="O95" s="3217"/>
      <c r="P95" s="1882"/>
      <c r="Q95" s="1882"/>
      <c r="R95" s="1882"/>
      <c r="S95" s="1882"/>
      <c r="T95" s="1882"/>
      <c r="U95" s="1882"/>
      <c r="V95" s="1882"/>
      <c r="W95" s="1882"/>
      <c r="X95" s="1882"/>
      <c r="Y95" s="1882"/>
      <c r="Z95" s="1882"/>
      <c r="AW95" s="1882"/>
      <c r="AY95" s="1882"/>
      <c r="AZ95" s="1882"/>
      <c r="BA95" s="1882"/>
    </row>
    <row r="96" spans="1:54" ht="16.5" hidden="1" thickBot="1">
      <c r="A96" s="1663"/>
      <c r="B96" s="1046">
        <v>45</v>
      </c>
      <c r="C96" s="3218" t="s">
        <v>5944</v>
      </c>
      <c r="D96" s="3219"/>
      <c r="E96" s="3219"/>
      <c r="F96" s="3219"/>
      <c r="G96" s="3219"/>
      <c r="H96" s="3219"/>
      <c r="I96" s="3219"/>
      <c r="J96" s="3219"/>
      <c r="K96" s="3219"/>
      <c r="L96" s="3219"/>
      <c r="M96" s="3219"/>
      <c r="N96" s="3219"/>
      <c r="O96" s="3220"/>
      <c r="P96" s="1882"/>
      <c r="Q96" s="1882"/>
      <c r="R96" s="1882"/>
      <c r="S96" s="1882"/>
      <c r="T96" s="1882"/>
      <c r="U96" s="1882"/>
      <c r="V96" s="1882"/>
      <c r="W96" s="1882"/>
      <c r="X96" s="1882"/>
      <c r="Y96" s="1882"/>
      <c r="Z96" s="1882"/>
      <c r="AW96" s="1882"/>
      <c r="AY96" s="1882"/>
      <c r="AZ96" s="1882"/>
      <c r="BA96" s="1882"/>
    </row>
  </sheetData>
  <sheetProtection algorithmName="SHA-512" hashValue="IkNuEgkK4SFDLyA+KceBfVLPxRfJYvwSomwXqCd6M1azxDhCPyUK9ZH56KFIFiT74NxeiTSVufG1JC77qQxGzA==" saltValue="BNbanwmOaeN7Clh8c/a99g==" spinCount="100000" sheet="1" objects="1" scenarios="1"/>
  <mergeCells count="59">
    <mergeCell ref="AA3:AA5"/>
    <mergeCell ref="G4:I4"/>
    <mergeCell ref="J4:K4"/>
    <mergeCell ref="L4:N4"/>
    <mergeCell ref="O4:O5"/>
    <mergeCell ref="P4:R4"/>
    <mergeCell ref="S4:T4"/>
    <mergeCell ref="G3:O3"/>
    <mergeCell ref="P3:X3"/>
    <mergeCell ref="Y3:Y5"/>
    <mergeCell ref="C73:O73"/>
    <mergeCell ref="U4:W4"/>
    <mergeCell ref="X4:X5"/>
    <mergeCell ref="B63:O63"/>
    <mergeCell ref="C65:O65"/>
    <mergeCell ref="C66:O66"/>
    <mergeCell ref="C67:O67"/>
    <mergeCell ref="C68:O68"/>
    <mergeCell ref="C69:O69"/>
    <mergeCell ref="C70:O70"/>
    <mergeCell ref="C71:O71"/>
    <mergeCell ref="C72:O72"/>
    <mergeCell ref="E3:E5"/>
    <mergeCell ref="F3:F5"/>
    <mergeCell ref="B3:C5"/>
    <mergeCell ref="D3:D5"/>
    <mergeCell ref="C85:O85"/>
    <mergeCell ref="C74:O74"/>
    <mergeCell ref="C75:O75"/>
    <mergeCell ref="C76:O76"/>
    <mergeCell ref="C77:O77"/>
    <mergeCell ref="C78:O78"/>
    <mergeCell ref="C79:O79"/>
    <mergeCell ref="C80:O80"/>
    <mergeCell ref="C81:O81"/>
    <mergeCell ref="C82:O82"/>
    <mergeCell ref="C83:O83"/>
    <mergeCell ref="C84:O84"/>
    <mergeCell ref="C92:O92"/>
    <mergeCell ref="C93:O93"/>
    <mergeCell ref="C95:O95"/>
    <mergeCell ref="C96:O96"/>
    <mergeCell ref="C86:O86"/>
    <mergeCell ref="C87:O87"/>
    <mergeCell ref="C88:O88"/>
    <mergeCell ref="C89:O89"/>
    <mergeCell ref="C90:O90"/>
    <mergeCell ref="C91:O91"/>
    <mergeCell ref="C94:O94"/>
    <mergeCell ref="BI3:BQ3"/>
    <mergeCell ref="BR3:BZ3"/>
    <mergeCell ref="BI4:BK4"/>
    <mergeCell ref="BL4:BM4"/>
    <mergeCell ref="BN4:BP4"/>
    <mergeCell ref="BQ4:BQ5"/>
    <mergeCell ref="BR4:BT4"/>
    <mergeCell ref="BU4:BV4"/>
    <mergeCell ref="BW4:BY4"/>
    <mergeCell ref="BZ4:BZ5"/>
  </mergeCells>
  <conditionalFormatting sqref="AA38">
    <cfRule type="cellIs" dxfId="169" priority="11" operator="equal">
      <formula>$BA$37</formula>
    </cfRule>
  </conditionalFormatting>
  <conditionalFormatting sqref="AA8:AA35 AA37:AA51">
    <cfRule type="cellIs" dxfId="168" priority="8" operator="equal">
      <formula>0</formula>
    </cfRule>
  </conditionalFormatting>
  <conditionalFormatting sqref="AA10:AA35 AA37:AA51">
    <cfRule type="cellIs" dxfId="167" priority="10" operator="equal">
      <formula>$BA$37</formula>
    </cfRule>
  </conditionalFormatting>
  <conditionalFormatting sqref="AA52">
    <cfRule type="cellIs" dxfId="166" priority="5" operator="equal">
      <formula>0</formula>
    </cfRule>
  </conditionalFormatting>
  <conditionalFormatting sqref="AA36">
    <cfRule type="cellIs" dxfId="165" priority="1" operator="equal">
      <formula>0</formula>
    </cfRule>
  </conditionalFormatting>
  <conditionalFormatting sqref="AA36">
    <cfRule type="cellIs" dxfId="164" priority="3" operator="equal">
      <formula>$BA$37</formula>
    </cfRule>
  </conditionalFormatting>
  <printOptions horizontalCentered="1"/>
  <pageMargins left="0.39370078740157483" right="0.39370078740157483" top="0.78740157480314965" bottom="0.78740157480314965" header="0.31496062992125984" footer="0.31496062992125984"/>
  <pageSetup paperSize="9" scale="25"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9" operator="containsText" id="{7D0D2DFB-7E25-4999-9455-62F30A369F59}">
            <xm:f>NOT(ISERROR(SEARCH($AE$5,AA8)))</xm:f>
            <xm:f>$AE$5</xm:f>
            <x14:dxf>
              <fill>
                <patternFill>
                  <bgColor rgb="FFFF0000"/>
                </patternFill>
              </fill>
            </x14:dxf>
          </x14:cfRule>
          <xm:sqref>AA8:AA35 AA37:AA51</xm:sqref>
        </x14:conditionalFormatting>
        <x14:conditionalFormatting xmlns:xm="http://schemas.microsoft.com/office/excel/2006/main">
          <x14:cfRule type="expression" priority="7" id="{EC577C40-4025-4E99-A4C8-E2EDCBAF105F}">
            <xm:f>Validation!$H$3=1</xm:f>
            <x14:dxf>
              <fill>
                <patternFill>
                  <bgColor theme="2"/>
                </patternFill>
              </fill>
            </x14:dxf>
          </x14:cfRule>
          <xm:sqref>G8:Y52</xm:sqref>
        </x14:conditionalFormatting>
        <x14:conditionalFormatting xmlns:xm="http://schemas.microsoft.com/office/excel/2006/main">
          <x14:cfRule type="expression" priority="4" id="{AE14522F-FDA8-42A3-BD36-B9994B635A63}">
            <xm:f>Validation!$H$3=1</xm:f>
            <x14:dxf>
              <fill>
                <patternFill>
                  <bgColor theme="2"/>
                </patternFill>
              </fill>
            </x14:dxf>
          </x14:cfRule>
          <xm:sqref>BI8:BZ52</xm:sqref>
        </x14:conditionalFormatting>
        <x14:conditionalFormatting xmlns:xm="http://schemas.microsoft.com/office/excel/2006/main">
          <x14:cfRule type="containsText" priority="2" operator="containsText" id="{EF2BBCD9-30CE-4BF0-9404-BB2E546DE097}">
            <xm:f>NOT(ISERROR(SEARCH($AE$5,AA36)))</xm:f>
            <xm:f>$AE$5</xm:f>
            <x14:dxf>
              <fill>
                <patternFill>
                  <bgColor rgb="FFFF0000"/>
                </patternFill>
              </fill>
            </x14:dxf>
          </x14:cfRule>
          <xm:sqref>AA36</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theme="0" tint="-0.499984740745262"/>
    <pageSetUpPr fitToPage="1"/>
  </sheetPr>
  <dimension ref="A1:V57"/>
  <sheetViews>
    <sheetView workbookViewId="0"/>
  </sheetViews>
  <sheetFormatPr defaultColWidth="0" defaultRowHeight="14" zeroHeight="1"/>
  <cols>
    <col min="1" max="1" width="0.58203125" customWidth="1"/>
    <col min="2" max="2" width="8.58203125" customWidth="1"/>
    <col min="3" max="3" width="54.58203125" customWidth="1"/>
    <col min="4" max="4" width="4.08203125" hidden="1" customWidth="1"/>
    <col min="5" max="6" width="8.58203125" customWidth="1"/>
    <col min="7" max="7" width="10.08203125" customWidth="1"/>
    <col min="8" max="8" width="38.58203125" customWidth="1"/>
    <col min="9" max="9" width="2.5" customWidth="1"/>
    <col min="10" max="10" width="21.08203125" customWidth="1"/>
    <col min="11" max="11" width="2.58203125" customWidth="1"/>
    <col min="12" max="12" width="1.58203125" style="71" hidden="1" customWidth="1"/>
    <col min="13" max="13" width="8.08203125" hidden="1" customWidth="1"/>
    <col min="14" max="14" width="1.58203125" style="71" hidden="1" customWidth="1"/>
    <col min="15" max="15" width="2.58203125" customWidth="1"/>
    <col min="16" max="16" width="8.58203125" customWidth="1"/>
    <col min="17" max="17" width="48.5" customWidth="1"/>
    <col min="18" max="18" width="0.58203125" customWidth="1"/>
    <col min="19" max="20" width="8.58203125" customWidth="1"/>
    <col min="21" max="21" width="14" bestFit="1" customWidth="1"/>
    <col min="22" max="22" width="2.33203125" customWidth="1"/>
    <col min="23" max="16384" width="8.58203125" hidden="1"/>
  </cols>
  <sheetData>
    <row r="1" spans="1:21" ht="20">
      <c r="A1" s="966"/>
      <c r="B1" s="66" t="s">
        <v>5945</v>
      </c>
      <c r="C1" s="66"/>
      <c r="D1" s="66"/>
      <c r="E1" s="66"/>
      <c r="F1" s="66"/>
      <c r="G1" s="66"/>
      <c r="H1" s="68" t="str">
        <f>Validation!B3</f>
        <v>Bristol Water</v>
      </c>
      <c r="I1" s="66"/>
      <c r="J1" s="69" t="s">
        <v>32</v>
      </c>
      <c r="K1" s="70"/>
      <c r="M1" s="70"/>
      <c r="O1" s="1882"/>
      <c r="P1" s="66" t="s">
        <v>5945</v>
      </c>
      <c r="Q1" s="66"/>
      <c r="R1" s="66"/>
      <c r="S1" s="66"/>
      <c r="T1" s="66"/>
      <c r="U1" s="66"/>
    </row>
    <row r="2" spans="1:21" ht="16.5" thickBot="1">
      <c r="A2" s="966"/>
      <c r="B2" s="73" t="str">
        <f>'4M'!B2</f>
        <v>For the 12 months ended 31 March 2020</v>
      </c>
      <c r="C2" s="966"/>
      <c r="D2" s="966"/>
      <c r="E2" s="966"/>
      <c r="F2" s="966"/>
      <c r="G2" s="966"/>
      <c r="H2" s="966"/>
      <c r="I2" s="966"/>
      <c r="J2" s="70"/>
      <c r="K2" s="70"/>
      <c r="M2" s="70"/>
      <c r="O2" s="1882"/>
      <c r="P2" s="73" t="str">
        <f>+B2</f>
        <v>For the 12 months ended 31 March 2020</v>
      </c>
      <c r="Q2" s="2738"/>
      <c r="R2" s="2738"/>
      <c r="S2" s="2738"/>
      <c r="T2" s="2738"/>
      <c r="U2" s="2738"/>
    </row>
    <row r="3" spans="1:21" ht="16.5" thickBot="1">
      <c r="A3" s="966"/>
      <c r="B3" s="3243" t="s">
        <v>34</v>
      </c>
      <c r="C3" s="3244"/>
      <c r="D3" s="969" t="s">
        <v>2462</v>
      </c>
      <c r="E3" s="969" t="s">
        <v>2308</v>
      </c>
      <c r="F3" s="1022" t="s">
        <v>37</v>
      </c>
      <c r="G3" s="186" t="s">
        <v>2614</v>
      </c>
      <c r="H3" s="2824" t="s">
        <v>3638</v>
      </c>
      <c r="I3" s="1047"/>
      <c r="J3" s="2824" t="s">
        <v>41</v>
      </c>
      <c r="K3" s="70"/>
      <c r="M3" s="637" t="s">
        <v>45</v>
      </c>
      <c r="O3" s="1882"/>
      <c r="P3" s="1021" t="s">
        <v>191</v>
      </c>
      <c r="Q3" s="968" t="s">
        <v>3980</v>
      </c>
      <c r="R3" s="969" t="s">
        <v>2462</v>
      </c>
      <c r="S3" s="969" t="s">
        <v>2308</v>
      </c>
      <c r="T3" s="1022" t="s">
        <v>37</v>
      </c>
      <c r="U3" s="186" t="s">
        <v>2614</v>
      </c>
    </row>
    <row r="4" spans="1:21" ht="16.5" thickBot="1">
      <c r="A4" s="1048"/>
      <c r="B4" s="1049"/>
      <c r="C4" s="1050"/>
      <c r="D4" s="1048"/>
      <c r="E4" s="1048"/>
      <c r="F4" s="1048"/>
      <c r="G4" s="1048"/>
      <c r="H4" s="1048"/>
      <c r="I4" s="1048"/>
      <c r="J4" s="1048"/>
      <c r="K4" s="70"/>
      <c r="M4" s="85" t="s">
        <v>5946</v>
      </c>
      <c r="O4" s="1882"/>
      <c r="P4" s="1049"/>
      <c r="Q4" s="2739"/>
      <c r="R4" s="2740"/>
      <c r="S4" s="2740"/>
      <c r="T4" s="2740"/>
      <c r="U4" s="2740"/>
    </row>
    <row r="5" spans="1:21" s="1882" customFormat="1" ht="16.5" thickBot="1">
      <c r="A5" s="1048"/>
      <c r="B5" s="2863" t="s">
        <v>153</v>
      </c>
      <c r="C5" s="1031" t="s">
        <v>5947</v>
      </c>
      <c r="D5" s="1048"/>
      <c r="E5" s="1048"/>
      <c r="F5" s="1048"/>
      <c r="G5" s="1048"/>
      <c r="H5" s="1048"/>
      <c r="I5" s="1048"/>
      <c r="J5" s="1048"/>
      <c r="K5" s="70"/>
      <c r="L5" s="71"/>
      <c r="M5" s="85"/>
      <c r="N5" s="71"/>
      <c r="P5" s="2869" t="s">
        <v>153</v>
      </c>
      <c r="Q5" s="2741" t="s">
        <v>5947</v>
      </c>
      <c r="R5" s="2740"/>
      <c r="S5" s="2740"/>
      <c r="T5" s="2740"/>
      <c r="U5" s="2740"/>
    </row>
    <row r="6" spans="1:21" ht="16">
      <c r="A6" s="1051"/>
      <c r="B6" s="1052" t="s">
        <v>5948</v>
      </c>
      <c r="C6" s="1053" t="s">
        <v>5949</v>
      </c>
      <c r="D6" s="1603"/>
      <c r="E6" s="1054" t="s">
        <v>1653</v>
      </c>
      <c r="F6" s="1055">
        <v>3</v>
      </c>
      <c r="G6" s="1056"/>
      <c r="H6" s="1733"/>
      <c r="I6" s="1048"/>
      <c r="J6" s="868">
        <f t="shared" ref="J6:J11" si="0" xml:space="preserve"> IF( SUM( L6:N6 ) = 0, 0, $M$4 )</f>
        <v>0</v>
      </c>
      <c r="K6" s="869"/>
      <c r="M6" s="93">
        <f>IF(Validation!$H$3=1,0,IF(ISNUMBER(G6),0,1))</f>
        <v>0</v>
      </c>
      <c r="O6" s="1882"/>
      <c r="P6" s="1052" t="s">
        <v>5948</v>
      </c>
      <c r="Q6" s="1053" t="s">
        <v>5949</v>
      </c>
      <c r="R6" s="1603"/>
      <c r="S6" s="1054" t="s">
        <v>1653</v>
      </c>
      <c r="T6" s="1055">
        <v>3</v>
      </c>
      <c r="U6" s="2742" t="s">
        <v>5950</v>
      </c>
    </row>
    <row r="7" spans="1:21" ht="16">
      <c r="A7" s="1051"/>
      <c r="B7" s="1057" t="s">
        <v>5951</v>
      </c>
      <c r="C7" s="1058" t="s">
        <v>5952</v>
      </c>
      <c r="D7" s="1604"/>
      <c r="E7" s="1059" t="s">
        <v>1653</v>
      </c>
      <c r="F7" s="1060">
        <v>3</v>
      </c>
      <c r="G7" s="1061"/>
      <c r="H7" s="1734"/>
      <c r="I7" s="1048"/>
      <c r="J7" s="868">
        <f t="shared" si="0"/>
        <v>0</v>
      </c>
      <c r="K7" s="869"/>
      <c r="M7" s="93">
        <f>IF(Validation!$H$3=1,0,IF(ISNUMBER(G7),0,1))</f>
        <v>0</v>
      </c>
      <c r="O7" s="1882"/>
      <c r="P7" s="1057" t="s">
        <v>5951</v>
      </c>
      <c r="Q7" s="2743" t="s">
        <v>5952</v>
      </c>
      <c r="R7" s="2744"/>
      <c r="S7" s="1059" t="s">
        <v>1653</v>
      </c>
      <c r="T7" s="1060">
        <v>3</v>
      </c>
      <c r="U7" s="2745" t="s">
        <v>5953</v>
      </c>
    </row>
    <row r="8" spans="1:21" ht="16">
      <c r="A8" s="1051"/>
      <c r="B8" s="1057" t="s">
        <v>5954</v>
      </c>
      <c r="C8" s="1058" t="s">
        <v>5955</v>
      </c>
      <c r="D8" s="1604"/>
      <c r="E8" s="1059" t="s">
        <v>1653</v>
      </c>
      <c r="F8" s="1060">
        <v>3</v>
      </c>
      <c r="G8" s="1061"/>
      <c r="H8" s="1734"/>
      <c r="I8" s="1048"/>
      <c r="J8" s="868">
        <f t="shared" si="0"/>
        <v>0</v>
      </c>
      <c r="K8" s="869"/>
      <c r="M8" s="93">
        <f>IF(Validation!$H$3=1,0,IF(ISNUMBER(G8),0,1))</f>
        <v>0</v>
      </c>
      <c r="O8" s="1882"/>
      <c r="P8" s="1057" t="s">
        <v>5954</v>
      </c>
      <c r="Q8" s="2743" t="s">
        <v>5955</v>
      </c>
      <c r="R8" s="2744"/>
      <c r="S8" s="1059" t="s">
        <v>1653</v>
      </c>
      <c r="T8" s="1060">
        <v>3</v>
      </c>
      <c r="U8" s="2745" t="s">
        <v>5956</v>
      </c>
    </row>
    <row r="9" spans="1:21" ht="16">
      <c r="A9" s="1051"/>
      <c r="B9" s="1057" t="s">
        <v>5957</v>
      </c>
      <c r="C9" s="1058" t="s">
        <v>5958</v>
      </c>
      <c r="D9" s="1604"/>
      <c r="E9" s="1059" t="s">
        <v>1653</v>
      </c>
      <c r="F9" s="1060">
        <v>3</v>
      </c>
      <c r="G9" s="1061"/>
      <c r="H9" s="1734"/>
      <c r="I9" s="1048"/>
      <c r="J9" s="868">
        <f t="shared" si="0"/>
        <v>0</v>
      </c>
      <c r="K9" s="869"/>
      <c r="M9" s="93">
        <f>IF(Validation!$H$3=1,0,IF(ISNUMBER(G9),0,1))</f>
        <v>0</v>
      </c>
      <c r="O9" s="1882"/>
      <c r="P9" s="1057" t="s">
        <v>5957</v>
      </c>
      <c r="Q9" s="2743" t="s">
        <v>5958</v>
      </c>
      <c r="R9" s="2744"/>
      <c r="S9" s="1059" t="s">
        <v>1653</v>
      </c>
      <c r="T9" s="1060">
        <v>3</v>
      </c>
      <c r="U9" s="2745" t="s">
        <v>5959</v>
      </c>
    </row>
    <row r="10" spans="1:21" ht="16">
      <c r="A10" s="1051"/>
      <c r="B10" s="1057" t="s">
        <v>5960</v>
      </c>
      <c r="C10" s="1058" t="s">
        <v>5961</v>
      </c>
      <c r="D10" s="1604"/>
      <c r="E10" s="1059" t="s">
        <v>1653</v>
      </c>
      <c r="F10" s="1060">
        <v>3</v>
      </c>
      <c r="G10" s="1061"/>
      <c r="H10" s="1734"/>
      <c r="I10" s="1048"/>
      <c r="J10" s="868">
        <f t="shared" si="0"/>
        <v>0</v>
      </c>
      <c r="K10" s="869"/>
      <c r="M10" s="93">
        <f>IF(Validation!$H$3=1,0,IF(ISNUMBER(G10),0,1))</f>
        <v>0</v>
      </c>
      <c r="O10" s="1882"/>
      <c r="P10" s="1057" t="s">
        <v>5960</v>
      </c>
      <c r="Q10" s="2743" t="s">
        <v>5961</v>
      </c>
      <c r="R10" s="2744"/>
      <c r="S10" s="1059" t="s">
        <v>1653</v>
      </c>
      <c r="T10" s="1060">
        <v>3</v>
      </c>
      <c r="U10" s="2745" t="s">
        <v>5962</v>
      </c>
    </row>
    <row r="11" spans="1:21" ht="16">
      <c r="A11" s="1051"/>
      <c r="B11" s="1057" t="s">
        <v>5963</v>
      </c>
      <c r="C11" s="1058" t="s">
        <v>5964</v>
      </c>
      <c r="D11" s="1604"/>
      <c r="E11" s="1059" t="s">
        <v>1653</v>
      </c>
      <c r="F11" s="1060">
        <v>3</v>
      </c>
      <c r="G11" s="1061"/>
      <c r="H11" s="1734"/>
      <c r="I11" s="1048"/>
      <c r="J11" s="868">
        <f t="shared" si="0"/>
        <v>0</v>
      </c>
      <c r="K11" s="869"/>
      <c r="M11" s="93">
        <f>IF(Validation!$H$3=1,0,IF(ISNUMBER(G11),0,1))</f>
        <v>0</v>
      </c>
      <c r="O11" s="1882"/>
      <c r="P11" s="1057" t="s">
        <v>5963</v>
      </c>
      <c r="Q11" s="2743" t="s">
        <v>5964</v>
      </c>
      <c r="R11" s="2744"/>
      <c r="S11" s="1059" t="s">
        <v>1653</v>
      </c>
      <c r="T11" s="1060">
        <v>3</v>
      </c>
      <c r="U11" s="2745" t="s">
        <v>5965</v>
      </c>
    </row>
    <row r="12" spans="1:21" s="1629" customFormat="1" ht="16.5" thickBot="1">
      <c r="A12" s="2270"/>
      <c r="B12" s="1272" t="s">
        <v>5966</v>
      </c>
      <c r="C12" s="2271" t="s">
        <v>5967</v>
      </c>
      <c r="D12" s="2272"/>
      <c r="E12" s="1907" t="s">
        <v>1653</v>
      </c>
      <c r="F12" s="1275">
        <v>3</v>
      </c>
      <c r="G12" s="1908">
        <f>+SUM(G6:G11)</f>
        <v>0</v>
      </c>
      <c r="H12" s="1909"/>
      <c r="I12" s="1996"/>
      <c r="J12" s="868"/>
      <c r="K12" s="2273"/>
      <c r="L12" s="2274"/>
      <c r="M12" s="2275"/>
      <c r="N12" s="2274"/>
      <c r="P12" s="1272" t="s">
        <v>5966</v>
      </c>
      <c r="Q12" s="2746" t="s">
        <v>5967</v>
      </c>
      <c r="R12" s="2747"/>
      <c r="S12" s="1907" t="s">
        <v>1653</v>
      </c>
      <c r="T12" s="1275">
        <v>3</v>
      </c>
      <c r="U12" s="2748" t="s">
        <v>5968</v>
      </c>
    </row>
    <row r="13" spans="1:21" s="1882" customFormat="1" ht="16.5" thickBot="1">
      <c r="B13" s="966"/>
      <c r="C13" s="966"/>
      <c r="D13" s="966"/>
      <c r="E13" s="966"/>
      <c r="F13" s="966"/>
      <c r="G13" s="1064"/>
      <c r="H13" s="966"/>
      <c r="I13" s="1048"/>
      <c r="J13" s="1063"/>
      <c r="K13" s="966"/>
      <c r="L13" s="71"/>
      <c r="M13" s="966"/>
      <c r="N13" s="71"/>
      <c r="P13" s="2738"/>
      <c r="Q13" s="2738"/>
      <c r="R13" s="2738"/>
      <c r="S13" s="2738"/>
      <c r="T13" s="2738"/>
      <c r="U13" s="483"/>
    </row>
    <row r="14" spans="1:21" s="1882" customFormat="1" ht="16.5" thickBot="1">
      <c r="B14" s="2863" t="s">
        <v>175</v>
      </c>
      <c r="C14" s="1031" t="s">
        <v>5969</v>
      </c>
      <c r="D14" s="966"/>
      <c r="E14" s="966"/>
      <c r="F14" s="966"/>
      <c r="G14" s="1064"/>
      <c r="H14" s="966"/>
      <c r="I14" s="1048"/>
      <c r="J14" s="1063"/>
      <c r="K14" s="966"/>
      <c r="L14" s="71"/>
      <c r="M14" s="966"/>
      <c r="N14" s="71"/>
      <c r="P14" s="2869" t="s">
        <v>175</v>
      </c>
      <c r="Q14" s="2741" t="s">
        <v>5969</v>
      </c>
      <c r="R14" s="2738"/>
      <c r="S14" s="2738"/>
      <c r="T14" s="2738"/>
      <c r="U14" s="483"/>
    </row>
    <row r="15" spans="1:21" ht="16">
      <c r="A15" s="1051"/>
      <c r="B15" s="1057" t="s">
        <v>5970</v>
      </c>
      <c r="C15" s="1058" t="s">
        <v>5971</v>
      </c>
      <c r="D15" s="1605"/>
      <c r="E15" s="1059" t="s">
        <v>1653</v>
      </c>
      <c r="F15" s="1060">
        <v>3</v>
      </c>
      <c r="G15" s="1640">
        <f>SUM('4O'!G18:CH18)</f>
        <v>0</v>
      </c>
      <c r="H15" s="1734"/>
      <c r="I15" s="1048"/>
      <c r="J15" s="868"/>
      <c r="K15" s="869"/>
      <c r="M15" s="966"/>
      <c r="O15" s="1882"/>
      <c r="P15" s="1264" t="s">
        <v>5970</v>
      </c>
      <c r="Q15" s="2749" t="s">
        <v>5971</v>
      </c>
      <c r="R15" s="2750"/>
      <c r="S15" s="2022" t="s">
        <v>1653</v>
      </c>
      <c r="T15" s="1267">
        <v>3</v>
      </c>
      <c r="U15" s="2742" t="s">
        <v>5972</v>
      </c>
    </row>
    <row r="16" spans="1:21" ht="16">
      <c r="A16" s="1051"/>
      <c r="B16" s="1057" t="s">
        <v>5973</v>
      </c>
      <c r="C16" s="1058" t="s">
        <v>5974</v>
      </c>
      <c r="D16" s="1605"/>
      <c r="E16" s="1059" t="s">
        <v>1653</v>
      </c>
      <c r="F16" s="1060">
        <v>3</v>
      </c>
      <c r="G16" s="1914">
        <f>SUM('4O'!G19:CH19)</f>
        <v>0</v>
      </c>
      <c r="H16" s="1734"/>
      <c r="I16" s="1048"/>
      <c r="J16" s="868">
        <f xml:space="preserve"> IF( SUM( L16:N16 ) = 0, 0, $M$4 )</f>
        <v>0</v>
      </c>
      <c r="K16" s="869"/>
      <c r="M16" s="966"/>
      <c r="O16" s="1882"/>
      <c r="P16" s="1057" t="s">
        <v>5973</v>
      </c>
      <c r="Q16" s="2743" t="s">
        <v>5974</v>
      </c>
      <c r="R16" s="2751"/>
      <c r="S16" s="1059" t="s">
        <v>1653</v>
      </c>
      <c r="T16" s="1060">
        <v>3</v>
      </c>
      <c r="U16" s="2745" t="s">
        <v>5975</v>
      </c>
    </row>
    <row r="17" spans="1:21" s="1629" customFormat="1" ht="16.5" thickBot="1">
      <c r="A17" s="2270"/>
      <c r="B17" s="1057" t="s">
        <v>5976</v>
      </c>
      <c r="C17" s="2276" t="s">
        <v>5977</v>
      </c>
      <c r="D17" s="2277"/>
      <c r="E17" s="1059" t="s">
        <v>1653</v>
      </c>
      <c r="F17" s="1060">
        <v>3</v>
      </c>
      <c r="G17" s="1914">
        <f>SUM('4O'!G20:CH20)</f>
        <v>0</v>
      </c>
      <c r="H17" s="1734"/>
      <c r="I17" s="1996"/>
      <c r="J17" s="868">
        <f xml:space="preserve"> IF( SUM( L17:N17 ) = 0, 0, $M$4 )</f>
        <v>0</v>
      </c>
      <c r="K17" s="2273"/>
      <c r="L17" s="2274"/>
      <c r="M17" s="2275"/>
      <c r="N17" s="2274"/>
      <c r="P17" s="1272" t="s">
        <v>5976</v>
      </c>
      <c r="Q17" s="2746" t="s">
        <v>5977</v>
      </c>
      <c r="R17" s="2747"/>
      <c r="S17" s="1907" t="s">
        <v>1653</v>
      </c>
      <c r="T17" s="1275">
        <v>3</v>
      </c>
      <c r="U17" s="2745" t="s">
        <v>5978</v>
      </c>
    </row>
    <row r="18" spans="1:21" ht="16">
      <c r="A18" s="1051"/>
      <c r="B18" s="2117" t="s">
        <v>5979</v>
      </c>
      <c r="C18" s="2118" t="s">
        <v>5980</v>
      </c>
      <c r="D18" s="2119"/>
      <c r="E18" s="2120" t="s">
        <v>1653</v>
      </c>
      <c r="F18" s="2121">
        <v>3</v>
      </c>
      <c r="G18" s="2122">
        <f>G15+G16+G17</f>
        <v>0</v>
      </c>
      <c r="H18" s="2123"/>
      <c r="I18" s="1048"/>
      <c r="J18" s="868"/>
      <c r="K18" s="869"/>
      <c r="M18" s="966"/>
      <c r="O18" s="1882"/>
      <c r="P18" s="1057" t="s">
        <v>5979</v>
      </c>
      <c r="Q18" s="2743" t="s">
        <v>5980</v>
      </c>
      <c r="R18" s="2744"/>
      <c r="S18" s="1059" t="s">
        <v>1653</v>
      </c>
      <c r="T18" s="1060">
        <v>3</v>
      </c>
      <c r="U18" s="1469" t="s">
        <v>5981</v>
      </c>
    </row>
    <row r="19" spans="1:21" ht="16">
      <c r="A19" s="1051"/>
      <c r="B19" s="1057" t="s">
        <v>5982</v>
      </c>
      <c r="C19" s="1058" t="s">
        <v>5983</v>
      </c>
      <c r="D19" s="1605"/>
      <c r="E19" s="1059" t="s">
        <v>1653</v>
      </c>
      <c r="F19" s="1060">
        <v>3</v>
      </c>
      <c r="G19" s="1914">
        <f>SUM('4O'!G22:CH22)</f>
        <v>0</v>
      </c>
      <c r="H19" s="1734"/>
      <c r="I19" s="1048"/>
      <c r="J19" s="868">
        <f xml:space="preserve"> IF( SUM( L19:N19 ) = 0, 0, $M$4 )</f>
        <v>0</v>
      </c>
      <c r="K19" s="869"/>
      <c r="M19" s="966"/>
      <c r="O19" s="1882"/>
      <c r="P19" s="1057" t="s">
        <v>5982</v>
      </c>
      <c r="Q19" s="2743" t="s">
        <v>5983</v>
      </c>
      <c r="R19" s="2751"/>
      <c r="S19" s="1059" t="s">
        <v>1653</v>
      </c>
      <c r="T19" s="1060">
        <v>3</v>
      </c>
      <c r="U19" s="2745" t="s">
        <v>5984</v>
      </c>
    </row>
    <row r="20" spans="1:21" s="1629" customFormat="1" ht="16.5" thickBot="1">
      <c r="A20" s="2270"/>
      <c r="B20" s="1057" t="s">
        <v>5985</v>
      </c>
      <c r="C20" s="2276" t="s">
        <v>5986</v>
      </c>
      <c r="D20" s="2278"/>
      <c r="E20" s="1059" t="s">
        <v>1653</v>
      </c>
      <c r="F20" s="1060">
        <v>3</v>
      </c>
      <c r="G20" s="1914">
        <f>+G18+G19</f>
        <v>0</v>
      </c>
      <c r="H20" s="1734"/>
      <c r="I20" s="1996"/>
      <c r="J20" s="868"/>
      <c r="K20" s="2273"/>
      <c r="L20" s="2274"/>
      <c r="M20" s="2275"/>
      <c r="N20" s="2274"/>
      <c r="P20" s="1434" t="s">
        <v>5985</v>
      </c>
      <c r="Q20" s="2752" t="s">
        <v>5986</v>
      </c>
      <c r="R20" s="2753"/>
      <c r="S20" s="1435" t="s">
        <v>1653</v>
      </c>
      <c r="T20" s="1436">
        <v>3</v>
      </c>
      <c r="U20" s="2754" t="s">
        <v>5987</v>
      </c>
    </row>
    <row r="21" spans="1:21" s="1629" customFormat="1" ht="16.5" thickBot="1">
      <c r="A21" s="2270"/>
      <c r="B21" s="2124" t="s">
        <v>5988</v>
      </c>
      <c r="C21" s="2279" t="s">
        <v>5989</v>
      </c>
      <c r="D21" s="2280"/>
      <c r="E21" s="2125" t="s">
        <v>1653</v>
      </c>
      <c r="F21" s="2126">
        <v>3</v>
      </c>
      <c r="G21" s="2127">
        <f>G12+G20</f>
        <v>0</v>
      </c>
      <c r="H21" s="2128"/>
      <c r="I21" s="1996"/>
      <c r="J21" s="868"/>
      <c r="K21" s="2273"/>
      <c r="L21" s="2274"/>
      <c r="M21" s="2275"/>
      <c r="N21" s="2274"/>
      <c r="P21" s="1437" t="s">
        <v>5988</v>
      </c>
      <c r="Q21" s="2755" t="s">
        <v>5989</v>
      </c>
      <c r="R21" s="2756"/>
      <c r="S21" s="1438" t="s">
        <v>1653</v>
      </c>
      <c r="T21" s="1439">
        <v>3</v>
      </c>
      <c r="U21" s="2757" t="s">
        <v>5990</v>
      </c>
    </row>
    <row r="22" spans="1:21" ht="16">
      <c r="A22" s="1882"/>
      <c r="B22" s="966"/>
      <c r="C22" s="966"/>
      <c r="D22" s="966"/>
      <c r="E22" s="966"/>
      <c r="F22" s="966"/>
      <c r="G22" s="1064"/>
      <c r="H22" s="966"/>
      <c r="I22" s="1048"/>
      <c r="J22" s="1063"/>
      <c r="K22" s="966"/>
      <c r="M22" s="966"/>
      <c r="O22" s="1882"/>
      <c r="P22" s="483"/>
      <c r="Q22" s="483"/>
      <c r="R22" s="483"/>
      <c r="S22" s="483"/>
      <c r="T22" s="483"/>
      <c r="U22" s="483"/>
    </row>
    <row r="23" spans="1:21" ht="16">
      <c r="A23" s="1882"/>
      <c r="B23" s="2884" t="s">
        <v>241</v>
      </c>
      <c r="C23" s="966"/>
      <c r="D23" s="966"/>
      <c r="E23" s="966"/>
      <c r="F23" s="966"/>
      <c r="G23" s="966"/>
      <c r="H23" s="966"/>
      <c r="I23" s="966"/>
      <c r="J23" s="966"/>
      <c r="K23" s="966"/>
      <c r="M23" s="966"/>
      <c r="O23" s="1882"/>
      <c r="P23" s="483"/>
      <c r="Q23" s="483"/>
      <c r="R23" s="483"/>
      <c r="S23" s="483"/>
      <c r="T23" s="483"/>
      <c r="U23" s="483"/>
    </row>
    <row r="24" spans="1:21" ht="16">
      <c r="A24" s="1882"/>
      <c r="B24" s="966"/>
      <c r="C24" s="966"/>
      <c r="D24" s="966"/>
      <c r="E24" s="966"/>
      <c r="F24" s="966"/>
      <c r="G24" s="966"/>
      <c r="H24" s="966"/>
      <c r="I24" s="966"/>
      <c r="J24" s="966"/>
      <c r="K24" s="966"/>
      <c r="M24" s="966"/>
      <c r="O24" s="1882"/>
      <c r="P24" s="1882"/>
      <c r="Q24" s="1882"/>
      <c r="R24" s="1882"/>
      <c r="S24" s="1882"/>
      <c r="T24" s="1882"/>
      <c r="U24" s="1882"/>
    </row>
    <row r="25" spans="1:21">
      <c r="A25" s="1882"/>
      <c r="B25" s="929"/>
      <c r="C25" s="1065" t="s">
        <v>5991</v>
      </c>
      <c r="D25" s="1066"/>
      <c r="E25" s="1066"/>
      <c r="F25" s="1066"/>
      <c r="G25" s="1066"/>
      <c r="H25" s="1066"/>
      <c r="I25" s="1066"/>
      <c r="J25" s="1066"/>
      <c r="K25" s="1066"/>
      <c r="M25" s="1066"/>
      <c r="O25" s="1882"/>
      <c r="P25" s="1882"/>
      <c r="Q25" s="1882"/>
      <c r="R25" s="1882"/>
      <c r="S25" s="1882"/>
      <c r="T25" s="1882"/>
      <c r="U25" s="1882"/>
    </row>
    <row r="26" spans="1:21" ht="16">
      <c r="A26" s="1882"/>
      <c r="B26" s="966"/>
      <c r="C26" s="1067"/>
      <c r="D26" s="966"/>
      <c r="E26" s="966"/>
      <c r="F26" s="966"/>
      <c r="G26" s="966"/>
      <c r="H26" s="966"/>
      <c r="I26" s="966"/>
      <c r="J26" s="966"/>
      <c r="K26" s="966"/>
      <c r="L26" s="119"/>
      <c r="M26" s="966"/>
      <c r="N26" s="119"/>
      <c r="O26" s="1882"/>
      <c r="P26" s="1882"/>
      <c r="Q26" s="1882"/>
      <c r="R26" s="1882"/>
      <c r="S26" s="1882"/>
      <c r="T26" s="1882"/>
      <c r="U26" s="1882"/>
    </row>
    <row r="27" spans="1:21" ht="16">
      <c r="A27" s="1882"/>
      <c r="B27" s="931"/>
      <c r="C27" s="1067" t="s">
        <v>4346</v>
      </c>
      <c r="D27" s="966"/>
      <c r="E27" s="966"/>
      <c r="F27" s="966"/>
      <c r="G27" s="966"/>
      <c r="H27" s="966"/>
      <c r="I27" s="966"/>
      <c r="J27" s="966"/>
      <c r="K27" s="966"/>
      <c r="L27" s="119"/>
      <c r="M27" s="966"/>
      <c r="N27" s="119"/>
      <c r="O27" s="1882"/>
      <c r="P27" s="1882"/>
      <c r="Q27" s="1882"/>
      <c r="R27" s="1882"/>
      <c r="S27" s="1882"/>
      <c r="T27" s="1882"/>
      <c r="U27" s="1882"/>
    </row>
    <row r="28" spans="1:21" ht="16">
      <c r="A28" s="1882"/>
      <c r="B28" s="966"/>
      <c r="C28" s="966"/>
      <c r="D28" s="966"/>
      <c r="E28" s="966"/>
      <c r="F28" s="966"/>
      <c r="G28" s="966"/>
      <c r="H28" s="966"/>
      <c r="I28" s="966"/>
      <c r="J28" s="966"/>
      <c r="K28" s="966"/>
      <c r="L28" s="119"/>
      <c r="M28" s="966"/>
      <c r="N28" s="119"/>
      <c r="O28" s="1882"/>
      <c r="P28" s="1882"/>
      <c r="Q28" s="1882"/>
      <c r="R28" s="1882"/>
      <c r="S28" s="1882"/>
      <c r="T28" s="1882"/>
      <c r="U28" s="1882"/>
    </row>
    <row r="29" spans="1:21" ht="16.5" thickBot="1">
      <c r="A29" s="1882"/>
      <c r="B29" s="966"/>
      <c r="C29" s="966"/>
      <c r="D29" s="966"/>
      <c r="E29" s="966"/>
      <c r="F29" s="966"/>
      <c r="G29" s="966"/>
      <c r="H29" s="966"/>
      <c r="I29" s="966"/>
      <c r="J29" s="966"/>
      <c r="K29" s="966"/>
      <c r="M29" s="966"/>
      <c r="O29" s="1882"/>
      <c r="P29" s="1882"/>
      <c r="Q29" s="1882"/>
      <c r="R29" s="1882"/>
      <c r="S29" s="1882"/>
      <c r="T29" s="1882"/>
      <c r="U29" s="1882"/>
    </row>
    <row r="30" spans="1:21" ht="16.5" thickBot="1">
      <c r="A30" s="1882"/>
      <c r="B30" s="2866" t="str">
        <f>'4M'!B61</f>
        <v>Please refer to RAG 4.08 - Guideline for the table definitions in the annual performance report for the reporting year 2019-20</v>
      </c>
      <c r="C30" s="2878"/>
      <c r="D30" s="2878"/>
      <c r="E30" s="2878"/>
      <c r="F30" s="2878"/>
      <c r="G30" s="2878"/>
      <c r="H30" s="2878"/>
      <c r="I30" s="2878"/>
      <c r="J30" s="2879"/>
      <c r="K30" s="966"/>
      <c r="M30" s="966"/>
      <c r="O30" s="1882"/>
      <c r="P30" s="1882"/>
      <c r="Q30" s="1882"/>
      <c r="R30" s="1882"/>
      <c r="S30" s="1882"/>
      <c r="T30" s="1882"/>
      <c r="U30" s="1882"/>
    </row>
    <row r="31" spans="1:21" ht="16">
      <c r="A31" s="1882"/>
      <c r="B31" s="966"/>
      <c r="C31" s="966"/>
      <c r="D31" s="966"/>
      <c r="E31" s="966"/>
      <c r="F31" s="966"/>
      <c r="G31" s="966"/>
      <c r="H31" s="966"/>
      <c r="I31" s="966"/>
      <c r="J31" s="966"/>
      <c r="K31" s="966"/>
      <c r="M31" s="966"/>
      <c r="O31" s="1882"/>
      <c r="P31" s="1882"/>
      <c r="Q31" s="1882"/>
      <c r="R31" s="1882"/>
      <c r="S31" s="1882"/>
      <c r="T31" s="1882"/>
      <c r="U31" s="1882"/>
    </row>
    <row r="32" spans="1:21" ht="16">
      <c r="A32" s="1882"/>
      <c r="B32" s="966"/>
      <c r="C32" s="966"/>
      <c r="D32" s="966"/>
      <c r="E32" s="966"/>
      <c r="F32" s="966"/>
      <c r="G32" s="966"/>
      <c r="H32" s="966"/>
      <c r="I32" s="966"/>
      <c r="J32" s="966"/>
      <c r="K32" s="966"/>
      <c r="M32" s="966"/>
      <c r="O32" s="1882"/>
      <c r="P32" s="1882"/>
      <c r="Q32" s="1882"/>
      <c r="R32" s="1882"/>
      <c r="S32" s="1882"/>
      <c r="T32" s="1882"/>
      <c r="U32" s="1882"/>
    </row>
    <row r="33" spans="1:14" ht="16">
      <c r="A33" s="1882"/>
      <c r="B33" s="966"/>
      <c r="C33" s="966"/>
      <c r="D33" s="966"/>
      <c r="E33" s="966"/>
      <c r="F33" s="966"/>
      <c r="G33" s="966"/>
      <c r="H33" s="966"/>
      <c r="I33" s="966"/>
      <c r="J33" s="966"/>
      <c r="K33" s="966"/>
      <c r="M33" s="966"/>
    </row>
    <row r="34" spans="1:14">
      <c r="A34" s="1882"/>
      <c r="B34" s="1882" t="s">
        <v>4365</v>
      </c>
      <c r="C34" s="1882"/>
      <c r="D34" s="1882"/>
      <c r="E34" s="1882"/>
      <c r="F34" s="1882"/>
      <c r="G34" s="1882"/>
      <c r="H34" s="1882"/>
      <c r="I34" s="1882"/>
      <c r="J34" s="1882"/>
      <c r="K34" s="1882"/>
      <c r="L34" s="124"/>
      <c r="M34" s="1882"/>
      <c r="N34" s="124"/>
    </row>
    <row r="35" spans="1:14" ht="16.5" thickBot="1">
      <c r="A35" s="1882"/>
      <c r="B35" s="966"/>
      <c r="C35" s="966"/>
      <c r="D35" s="966"/>
      <c r="E35" s="966"/>
      <c r="F35" s="966"/>
      <c r="G35" s="966"/>
      <c r="H35" s="966"/>
      <c r="I35" s="966"/>
      <c r="J35" s="966"/>
      <c r="K35" s="1882"/>
      <c r="L35" s="124"/>
      <c r="M35" s="1882"/>
      <c r="N35" s="124"/>
    </row>
    <row r="36" spans="1:14" ht="324" customHeight="1" thickBot="1">
      <c r="A36" s="1882"/>
      <c r="B36" s="3245" t="s">
        <v>5992</v>
      </c>
      <c r="C36" s="3246"/>
      <c r="D36" s="3246"/>
      <c r="E36" s="3246"/>
      <c r="F36" s="3246"/>
      <c r="G36" s="3246"/>
      <c r="H36" s="3246"/>
      <c r="I36" s="3246"/>
      <c r="J36" s="3247"/>
      <c r="K36" s="1882"/>
      <c r="L36" s="124"/>
      <c r="M36" s="1882"/>
      <c r="N36" s="124"/>
    </row>
    <row r="37" spans="1:14">
      <c r="A37" s="1882"/>
      <c r="B37" s="1882"/>
      <c r="C37" s="1882"/>
      <c r="D37" s="1882"/>
      <c r="E37" s="1882"/>
      <c r="F37" s="1882"/>
      <c r="G37" s="1882"/>
      <c r="H37" s="1882"/>
      <c r="I37" s="1882"/>
      <c r="J37" s="1882"/>
      <c r="K37" s="1882"/>
      <c r="L37" s="124"/>
      <c r="M37" s="1882"/>
      <c r="N37" s="124"/>
    </row>
    <row r="38" spans="1:14" hidden="1">
      <c r="A38" s="1882"/>
      <c r="B38" s="1882"/>
      <c r="C38" s="1882"/>
      <c r="D38" s="1882"/>
      <c r="E38" s="1882"/>
      <c r="F38" s="1882"/>
      <c r="G38" s="1882"/>
      <c r="H38" s="1882"/>
      <c r="I38" s="1882"/>
      <c r="J38" s="1882"/>
      <c r="K38" s="1882"/>
      <c r="L38" s="124"/>
      <c r="M38" s="1882"/>
      <c r="N38" s="124"/>
    </row>
    <row r="39" spans="1:14">
      <c r="A39" s="1882"/>
      <c r="B39" s="1882"/>
      <c r="C39" s="1882"/>
      <c r="D39" s="1882"/>
      <c r="E39" s="1882"/>
      <c r="F39" s="1882"/>
      <c r="G39" s="1882"/>
      <c r="H39" s="1882"/>
      <c r="I39" s="1882"/>
      <c r="J39" s="1882"/>
      <c r="K39" s="1882"/>
      <c r="M39" s="1882"/>
    </row>
    <row r="40" spans="1:14">
      <c r="A40" s="1882"/>
      <c r="B40" s="1882"/>
      <c r="C40" s="1882"/>
      <c r="D40" s="1882"/>
      <c r="E40" s="1882"/>
      <c r="F40" s="1882"/>
      <c r="G40" s="1882"/>
      <c r="H40" s="1882"/>
      <c r="I40" s="1882"/>
      <c r="J40" s="1882"/>
      <c r="K40" s="1882"/>
      <c r="M40" s="1882"/>
    </row>
    <row r="41" spans="1:14">
      <c r="A41" s="1882"/>
      <c r="B41" s="1882"/>
      <c r="C41" s="1882"/>
      <c r="D41" s="1882"/>
      <c r="E41" s="1882"/>
      <c r="F41" s="1882"/>
      <c r="G41" s="1882"/>
      <c r="H41" s="1882"/>
      <c r="I41" s="1882"/>
      <c r="J41" s="1882"/>
      <c r="K41" s="1882"/>
      <c r="M41" s="1882"/>
    </row>
    <row r="42" spans="1:14">
      <c r="A42" s="1882"/>
      <c r="B42" s="1882"/>
      <c r="C42" s="1882"/>
      <c r="D42" s="1882"/>
      <c r="E42" s="1882"/>
      <c r="F42" s="1882"/>
      <c r="G42" s="1882"/>
      <c r="H42" s="1882"/>
      <c r="I42" s="1882"/>
      <c r="J42" s="1882"/>
      <c r="K42" s="1882"/>
      <c r="M42" s="1882"/>
    </row>
    <row r="43" spans="1:14">
      <c r="A43" s="1882"/>
      <c r="B43" s="1882"/>
      <c r="C43" s="1882"/>
      <c r="D43" s="1882"/>
      <c r="E43" s="1882"/>
      <c r="F43" s="1882"/>
      <c r="G43" s="1882"/>
      <c r="H43" s="1882"/>
      <c r="I43" s="1882"/>
      <c r="J43" s="1882"/>
      <c r="K43" s="1882"/>
      <c r="M43" s="1882"/>
    </row>
    <row r="44" spans="1:14">
      <c r="A44" s="1882"/>
      <c r="B44" s="1882"/>
      <c r="C44" s="1882"/>
      <c r="D44" s="1882"/>
      <c r="E44" s="1882"/>
      <c r="F44" s="1882"/>
      <c r="G44" s="1882"/>
      <c r="H44" s="1882"/>
      <c r="I44" s="1882"/>
      <c r="J44" s="1882"/>
      <c r="K44" s="1882"/>
      <c r="M44" s="1882"/>
    </row>
    <row r="45" spans="1:14">
      <c r="A45" s="1882"/>
      <c r="B45" s="1882"/>
      <c r="C45" s="1882"/>
      <c r="D45" s="1882"/>
      <c r="E45" s="1882"/>
      <c r="F45" s="1882"/>
      <c r="G45" s="1882"/>
      <c r="H45" s="1882"/>
      <c r="I45" s="1882"/>
      <c r="J45" s="1882"/>
      <c r="K45" s="1882"/>
      <c r="M45" s="1882"/>
    </row>
    <row r="46" spans="1:14">
      <c r="A46" s="1882"/>
      <c r="B46" s="1882"/>
      <c r="C46" s="1882"/>
      <c r="D46" s="1882"/>
      <c r="E46" s="1882"/>
      <c r="F46" s="1882"/>
      <c r="G46" s="1882"/>
      <c r="H46" s="1882"/>
      <c r="I46" s="1882"/>
      <c r="J46" s="1882"/>
      <c r="K46" s="1882"/>
      <c r="M46" s="1882"/>
    </row>
    <row r="47" spans="1:14">
      <c r="A47" s="1882"/>
      <c r="B47" s="1882"/>
      <c r="C47" s="1882"/>
      <c r="D47" s="1882"/>
      <c r="E47" s="1882"/>
      <c r="F47" s="1882"/>
      <c r="G47" s="1882"/>
      <c r="H47" s="1882"/>
      <c r="I47" s="1882"/>
      <c r="J47" s="1882"/>
      <c r="K47" s="1882"/>
      <c r="M47" s="1882"/>
    </row>
    <row r="48" spans="1:14">
      <c r="A48" s="1882"/>
      <c r="B48" s="1882"/>
      <c r="C48" s="1882"/>
      <c r="D48" s="1882"/>
      <c r="E48" s="1882"/>
      <c r="F48" s="1882"/>
      <c r="G48" s="1882"/>
      <c r="H48" s="1882"/>
      <c r="I48" s="1882"/>
      <c r="J48" s="1882"/>
      <c r="K48" s="1882"/>
      <c r="M48" s="1882"/>
    </row>
    <row r="49"/>
    <row r="50"/>
    <row r="51"/>
    <row r="52"/>
    <row r="53"/>
    <row r="54"/>
    <row r="55"/>
    <row r="56"/>
    <row r="57"/>
  </sheetData>
  <sheetProtection algorithmName="SHA-512" hashValue="zKl5s/h5mytAF6b2H5jd4nHwfjWI7riz3149Wf3Rd11cOAzS626BPfRxRk7+HdT7utjiqIDeIOBADVH5xs8Ghw==" saltValue="tkqP6u4SxQjBIwXi1PiXdQ==" spinCount="100000" sheet="1" objects="1" scenarios="1"/>
  <mergeCells count="2">
    <mergeCell ref="B3:C3"/>
    <mergeCell ref="B36:J36"/>
  </mergeCells>
  <conditionalFormatting sqref="J7:J12 J18:J21">
    <cfRule type="cellIs" dxfId="159" priority="44" operator="equal">
      <formula>0</formula>
    </cfRule>
  </conditionalFormatting>
  <conditionalFormatting sqref="J9:J12">
    <cfRule type="cellIs" dxfId="158" priority="42" operator="equal">
      <formula>0</formula>
    </cfRule>
  </conditionalFormatting>
  <conditionalFormatting sqref="J21">
    <cfRule type="cellIs" dxfId="157" priority="39" operator="equal">
      <formula>0</formula>
    </cfRule>
  </conditionalFormatting>
  <conditionalFormatting sqref="J21">
    <cfRule type="cellIs" dxfId="156" priority="38" operator="equal">
      <formula>0</formula>
    </cfRule>
  </conditionalFormatting>
  <conditionalFormatting sqref="J6:J12">
    <cfRule type="cellIs" dxfId="155" priority="35" operator="equal">
      <formula>0</formula>
    </cfRule>
  </conditionalFormatting>
  <conditionalFormatting sqref="J15 J17">
    <cfRule type="cellIs" dxfId="154" priority="15" operator="equal">
      <formula>0</formula>
    </cfRule>
  </conditionalFormatting>
  <conditionalFormatting sqref="J19">
    <cfRule type="cellIs" dxfId="153" priority="9" operator="equal">
      <formula>0</formula>
    </cfRule>
  </conditionalFormatting>
  <conditionalFormatting sqref="J6:J12 J15 J17:J21">
    <cfRule type="cellIs" dxfId="152" priority="835" operator="equal">
      <formula>#REF!</formula>
    </cfRule>
    <cfRule type="containsText" dxfId="151" priority="836" operator="containsText" text="$P$4">
      <formula>NOT(ISERROR(SEARCH("$P$4",J6)))</formula>
    </cfRule>
  </conditionalFormatting>
  <conditionalFormatting sqref="J16">
    <cfRule type="cellIs" dxfId="150" priority="2" operator="equal">
      <formula>0</formula>
    </cfRule>
  </conditionalFormatting>
  <conditionalFormatting sqref="J16">
    <cfRule type="cellIs" dxfId="149" priority="4" operator="equal">
      <formula>#REF!</formula>
    </cfRule>
    <cfRule type="containsText" dxfId="148" priority="5" operator="containsText" text="$P$4">
      <formula>NOT(ISERROR(SEARCH("$P$4",J16)))</formula>
    </cfRule>
  </conditionalFormatting>
  <printOptions horizontalCentered="1"/>
  <pageMargins left="0.39370078740157483" right="0.39370078740157483" top="0.78740157480314965" bottom="0.78740157480314965" header="0.31496062992125984" footer="0.31496062992125984"/>
  <pageSetup paperSize="9" scale="57"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1" id="{62C2FA5B-B4F7-4D6D-91A4-17EEF0D39D42}">
            <xm:f>Validation!$H$3=1</xm:f>
            <x14:dxf>
              <fill>
                <patternFill>
                  <bgColor theme="2"/>
                </patternFill>
              </fill>
            </x14:dxf>
          </x14:cfRule>
          <xm:sqref>G6:H12 G15:H15 U18:U21 U15:U16 G18:H21 H16 G16:G19</xm:sqref>
        </x14:conditionalFormatting>
        <x14:conditionalFormatting xmlns:xm="http://schemas.microsoft.com/office/excel/2006/main">
          <x14:cfRule type="containsText" priority="367" operator="containsText" id="{4F118666-677F-478E-97F6-6DE61F718BB8}">
            <xm:f>NOT(ISERROR(SEARCH($M$4,J7)))</xm:f>
            <xm:f>$M$4</xm:f>
            <x14:dxf>
              <fill>
                <patternFill>
                  <bgColor rgb="FFFF0000"/>
                </patternFill>
              </fill>
            </x14:dxf>
          </x14:cfRule>
          <xm:sqref>J7:J12 J18:J21</xm:sqref>
        </x14:conditionalFormatting>
        <x14:conditionalFormatting xmlns:xm="http://schemas.microsoft.com/office/excel/2006/main">
          <x14:cfRule type="containsText" priority="40" operator="containsText" id="{0A95E134-B1E3-42E4-980C-2B0026FC9503}">
            <xm:f>NOT(ISERROR(SEARCH($M$4,J21)))</xm:f>
            <xm:f>$M$4</xm:f>
            <x14:dxf>
              <fill>
                <patternFill>
                  <bgColor rgb="FFFF0000"/>
                </patternFill>
              </fill>
            </x14:dxf>
          </x14:cfRule>
          <xm:sqref>J21</xm:sqref>
        </x14:conditionalFormatting>
        <x14:conditionalFormatting xmlns:xm="http://schemas.microsoft.com/office/excel/2006/main">
          <x14:cfRule type="expression" priority="37" id="{59978520-5C41-4F7F-AE01-85A53F3C2700}">
            <xm:f>Validation!$H$3=1</xm:f>
            <x14:dxf>
              <fill>
                <patternFill>
                  <bgColor theme="2"/>
                </patternFill>
              </fill>
            </x14:dxf>
          </x14:cfRule>
          <xm:sqref>U6:U12</xm:sqref>
        </x14:conditionalFormatting>
        <x14:conditionalFormatting xmlns:xm="http://schemas.microsoft.com/office/excel/2006/main">
          <x14:cfRule type="containsText" priority="36" operator="containsText" id="{AA6AF693-1F78-4720-9D49-972ABF4848B3}">
            <xm:f>NOT(ISERROR(SEARCH($M$4,J6)))</xm:f>
            <xm:f>$M$4</xm:f>
            <x14:dxf>
              <fill>
                <patternFill>
                  <bgColor rgb="FFFF0000"/>
                </patternFill>
              </fill>
            </x14:dxf>
          </x14:cfRule>
          <xm:sqref>J6:J12</xm:sqref>
        </x14:conditionalFormatting>
        <x14:conditionalFormatting xmlns:xm="http://schemas.microsoft.com/office/excel/2006/main">
          <x14:cfRule type="expression" priority="26" id="{C7D58511-CB4B-42E2-BB35-098269D3599A}">
            <xm:f>Validation!$H$3=1</xm:f>
            <x14:dxf>
              <fill>
                <patternFill>
                  <bgColor theme="2"/>
                </patternFill>
              </fill>
            </x14:dxf>
          </x14:cfRule>
          <xm:sqref>H17</xm:sqref>
        </x14:conditionalFormatting>
        <x14:conditionalFormatting xmlns:xm="http://schemas.microsoft.com/office/excel/2006/main">
          <x14:cfRule type="containsText" priority="16" operator="containsText" id="{69552B63-02D2-4D18-BBDD-EBF980AA494D}">
            <xm:f>NOT(ISERROR(SEARCH($M$4,J15)))</xm:f>
            <xm:f>$M$4</xm:f>
            <x14:dxf>
              <fill>
                <patternFill>
                  <bgColor rgb="FFFF0000"/>
                </patternFill>
              </fill>
            </x14:dxf>
          </x14:cfRule>
          <xm:sqref>J15 J17</xm:sqref>
        </x14:conditionalFormatting>
        <x14:conditionalFormatting xmlns:xm="http://schemas.microsoft.com/office/excel/2006/main">
          <x14:cfRule type="expression" priority="18" id="{99E3B638-ADC6-4736-8B46-B7EEC5713FF5}">
            <xm:f>Validation!$H$3=1</xm:f>
            <x14:dxf>
              <fill>
                <patternFill>
                  <bgColor theme="2"/>
                </patternFill>
              </fill>
            </x14:dxf>
          </x14:cfRule>
          <xm:sqref>U17</xm:sqref>
        </x14:conditionalFormatting>
        <x14:conditionalFormatting xmlns:xm="http://schemas.microsoft.com/office/excel/2006/main">
          <x14:cfRule type="expression" priority="17" id="{49DAAFEA-B6D8-482A-98D8-77F62B57C198}">
            <xm:f>Validation!$H$3=1</xm:f>
            <x14:dxf>
              <fill>
                <patternFill>
                  <bgColor theme="2"/>
                </patternFill>
              </fill>
            </x14:dxf>
          </x14:cfRule>
          <xm:sqref>G17</xm:sqref>
        </x14:conditionalFormatting>
        <x14:conditionalFormatting xmlns:xm="http://schemas.microsoft.com/office/excel/2006/main">
          <x14:cfRule type="containsText" priority="10" operator="containsText" id="{218EF1C9-2542-4CC7-94D9-4DC934BA09D5}">
            <xm:f>NOT(ISERROR(SEARCH($M$4,J19)))</xm:f>
            <xm:f>$M$4</xm:f>
            <x14:dxf>
              <fill>
                <patternFill>
                  <bgColor rgb="FFFF0000"/>
                </patternFill>
              </fill>
            </x14:dxf>
          </x14:cfRule>
          <xm:sqref>J19</xm:sqref>
        </x14:conditionalFormatting>
        <x14:conditionalFormatting xmlns:xm="http://schemas.microsoft.com/office/excel/2006/main">
          <x14:cfRule type="containsText" priority="839" operator="containsText" id="{AD2356BD-30C9-473C-BF82-B5BC6F3F78A0}">
            <xm:f>NOT(ISERROR(SEARCH(#REF!,J6)))</xm:f>
            <xm:f>#REF!</xm:f>
            <x14:dxf>
              <font>
                <color auto="1"/>
              </font>
              <fill>
                <patternFill>
                  <bgColor rgb="FFFF0000"/>
                </patternFill>
              </fill>
            </x14:dxf>
          </x14:cfRule>
          <x14:cfRule type="containsText" priority="840" operator="containsText" id="{08EA14A0-4941-4ADC-8D37-86F9CE2B1AD3}">
            <xm:f>NOT(ISERROR(SEARCH(#REF!,J6)))</xm:f>
            <xm:f>#REF!</xm:f>
            <x14:dxf>
              <fill>
                <patternFill>
                  <bgColor rgb="FFFF0000"/>
                </patternFill>
              </fill>
            </x14:dxf>
          </x14:cfRule>
          <xm:sqref>J6:J12 J15 J17:J21</xm:sqref>
        </x14:conditionalFormatting>
        <x14:conditionalFormatting xmlns:xm="http://schemas.microsoft.com/office/excel/2006/main">
          <x14:cfRule type="expression" priority="8" id="{0451392B-86E7-466A-A883-F75F958E7F53}">
            <xm:f>Validation!$H$3=1</xm:f>
            <x14:dxf>
              <fill>
                <patternFill>
                  <bgColor theme="2"/>
                </patternFill>
              </fill>
            </x14:dxf>
          </x14:cfRule>
          <xm:sqref>G16</xm:sqref>
        </x14:conditionalFormatting>
        <x14:conditionalFormatting xmlns:xm="http://schemas.microsoft.com/office/excel/2006/main">
          <x14:cfRule type="containsText" priority="3" operator="containsText" id="{B3993A22-C866-4FDD-B44F-28BAB225749A}">
            <xm:f>NOT(ISERROR(SEARCH($M$4,J16)))</xm:f>
            <xm:f>$M$4</xm:f>
            <x14:dxf>
              <fill>
                <patternFill>
                  <bgColor rgb="FFFF0000"/>
                </patternFill>
              </fill>
            </x14:dxf>
          </x14:cfRule>
          <xm:sqref>J16</xm:sqref>
        </x14:conditionalFormatting>
        <x14:conditionalFormatting xmlns:xm="http://schemas.microsoft.com/office/excel/2006/main">
          <x14:cfRule type="containsText" priority="6" operator="containsText" id="{C2909C3E-9C3B-4ACE-91BB-1C5CB7EF5E81}">
            <xm:f>NOT(ISERROR(SEARCH(#REF!,J16)))</xm:f>
            <xm:f>#REF!</xm:f>
            <x14:dxf>
              <font>
                <color auto="1"/>
              </font>
              <fill>
                <patternFill>
                  <bgColor rgb="FFFF0000"/>
                </patternFill>
              </fill>
            </x14:dxf>
          </x14:cfRule>
          <x14:cfRule type="containsText" priority="7" operator="containsText" id="{84C976D2-9A7A-468B-B0B8-741475093685}">
            <xm:f>NOT(ISERROR(SEARCH(#REF!,J16)))</xm:f>
            <xm:f>#REF!</xm:f>
            <x14:dxf>
              <fill>
                <patternFill>
                  <bgColor rgb="FFFF0000"/>
                </patternFill>
              </fill>
            </x14:dxf>
          </x14:cfRule>
          <xm:sqref>J16</xm:sqref>
        </x14:conditionalFormatting>
        <x14:conditionalFormatting xmlns:xm="http://schemas.microsoft.com/office/excel/2006/main">
          <x14:cfRule type="expression" priority="1" id="{5A98ED9F-81D2-4BCB-BBAE-D633E138AEC1}">
            <xm:f>Validation!$H$3=1</xm:f>
            <x14:dxf>
              <fill>
                <patternFill>
                  <bgColor theme="2"/>
                </patternFill>
              </fill>
            </x14:dxf>
          </x14:cfRule>
          <xm:sqref>G19</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theme="0" tint="-0.499984740745262"/>
    <pageSetUpPr fitToPage="1"/>
  </sheetPr>
  <dimension ref="A1:CJ82"/>
  <sheetViews>
    <sheetView workbookViewId="0"/>
  </sheetViews>
  <sheetFormatPr defaultColWidth="0" defaultRowHeight="14" zeroHeight="1"/>
  <cols>
    <col min="1" max="1" width="0.58203125" style="1066" customWidth="1"/>
    <col min="2" max="2" width="10.58203125" style="1066" customWidth="1"/>
    <col min="3" max="3" width="46.58203125" style="1066" customWidth="1"/>
    <col min="4" max="4" width="9" style="1066" customWidth="1"/>
    <col min="5" max="5" width="8.08203125" style="1066" customWidth="1"/>
    <col min="6" max="6" width="4.58203125" style="1066" bestFit="1" customWidth="1"/>
    <col min="7" max="11" width="15.58203125" style="1066" bestFit="1" customWidth="1"/>
    <col min="12" max="85" width="15.58203125" style="1066" customWidth="1"/>
    <col min="86" max="86" width="15.58203125" style="1066" bestFit="1" customWidth="1"/>
    <col min="87" max="87" width="36.58203125" style="1066" customWidth="1"/>
    <col min="88" max="88" width="10.58203125" style="1066" customWidth="1"/>
    <col min="89" max="16384" width="10.58203125" style="1066" hidden="1"/>
  </cols>
  <sheetData>
    <row r="1" spans="1:88" ht="20">
      <c r="A1" s="1068"/>
      <c r="B1" s="1018" t="s">
        <v>5993</v>
      </c>
      <c r="C1" s="1069"/>
      <c r="D1" s="66"/>
      <c r="E1" s="66"/>
      <c r="F1" s="66"/>
      <c r="G1" s="66"/>
      <c r="H1" s="66"/>
      <c r="I1" s="66"/>
      <c r="J1" s="66"/>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t="str">
        <f>Validation!B3</f>
        <v>Bristol Water</v>
      </c>
      <c r="CJ1" s="1068"/>
    </row>
    <row r="2" spans="1:88" ht="16.5" thickBot="1">
      <c r="A2" s="1070"/>
      <c r="B2" s="73" t="str">
        <f>'4N'!B2</f>
        <v>For the 12 months ended 31 March 2020</v>
      </c>
      <c r="C2" s="1071"/>
      <c r="D2" s="1071"/>
      <c r="E2" s="1071"/>
      <c r="F2" s="1071"/>
      <c r="G2" s="1068"/>
      <c r="H2" s="1068"/>
      <c r="I2" s="1068"/>
      <c r="J2" s="1068"/>
      <c r="K2" s="1068"/>
      <c r="L2" s="1068"/>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1068"/>
      <c r="AO2" s="1068"/>
      <c r="AP2" s="1068"/>
      <c r="AQ2" s="1068"/>
      <c r="AR2" s="1068"/>
      <c r="AS2" s="1068"/>
      <c r="AT2" s="1068"/>
      <c r="AU2" s="1068"/>
      <c r="AV2" s="1068"/>
      <c r="AW2" s="1068"/>
      <c r="AX2" s="1068"/>
      <c r="AY2" s="1068"/>
      <c r="AZ2" s="1068"/>
      <c r="BA2" s="1068"/>
      <c r="BB2" s="1068"/>
      <c r="BC2" s="1068"/>
      <c r="BD2" s="1068"/>
      <c r="BE2" s="1068"/>
      <c r="BF2" s="1068"/>
      <c r="BG2" s="1068"/>
      <c r="BH2" s="1068"/>
      <c r="BI2" s="1068"/>
      <c r="BJ2" s="1068"/>
      <c r="BK2" s="1068"/>
      <c r="BL2" s="1068"/>
      <c r="BM2" s="1068"/>
      <c r="BN2" s="1068"/>
      <c r="BO2" s="1068"/>
      <c r="BP2" s="1068"/>
      <c r="BQ2" s="1068"/>
      <c r="BR2" s="1068"/>
      <c r="BS2" s="1068"/>
      <c r="BT2" s="1068"/>
      <c r="BU2" s="1068"/>
      <c r="BV2" s="1068"/>
      <c r="BW2" s="1068"/>
      <c r="BX2" s="1068"/>
      <c r="BY2" s="1068"/>
      <c r="BZ2" s="1068"/>
      <c r="CA2" s="1068"/>
      <c r="CB2" s="1068"/>
      <c r="CC2" s="1068"/>
      <c r="CD2" s="1068"/>
      <c r="CE2" s="1068"/>
      <c r="CF2" s="1068"/>
      <c r="CG2" s="1068"/>
      <c r="CH2" s="1068"/>
      <c r="CI2" s="1068"/>
      <c r="CJ2" s="1068"/>
    </row>
    <row r="3" spans="1:88" s="1074" customFormat="1" ht="16.5" thickBot="1">
      <c r="A3" s="1072"/>
      <c r="B3" s="3252" t="s">
        <v>34</v>
      </c>
      <c r="C3" s="3253"/>
      <c r="D3" s="184" t="s">
        <v>2462</v>
      </c>
      <c r="E3" s="184" t="s">
        <v>36</v>
      </c>
      <c r="F3" s="185" t="s">
        <v>37</v>
      </c>
      <c r="G3" s="2824" t="s">
        <v>5994</v>
      </c>
      <c r="H3" s="2824" t="s">
        <v>5995</v>
      </c>
      <c r="I3" s="2824" t="s">
        <v>5996</v>
      </c>
      <c r="J3" s="2824" t="s">
        <v>5997</v>
      </c>
      <c r="K3" s="2824" t="s">
        <v>5998</v>
      </c>
      <c r="L3" s="2824" t="s">
        <v>5999</v>
      </c>
      <c r="M3" s="2824" t="s">
        <v>6000</v>
      </c>
      <c r="N3" s="2824" t="s">
        <v>6001</v>
      </c>
      <c r="O3" s="2824" t="s">
        <v>6002</v>
      </c>
      <c r="P3" s="2824" t="s">
        <v>6003</v>
      </c>
      <c r="Q3" s="2824" t="s">
        <v>6004</v>
      </c>
      <c r="R3" s="2824" t="s">
        <v>6005</v>
      </c>
      <c r="S3" s="2824" t="s">
        <v>6006</v>
      </c>
      <c r="T3" s="2824" t="s">
        <v>6007</v>
      </c>
      <c r="U3" s="2824" t="s">
        <v>6008</v>
      </c>
      <c r="V3" s="2824" t="s">
        <v>6009</v>
      </c>
      <c r="W3" s="2824" t="s">
        <v>6010</v>
      </c>
      <c r="X3" s="2824" t="s">
        <v>6011</v>
      </c>
      <c r="Y3" s="2824" t="s">
        <v>6012</v>
      </c>
      <c r="Z3" s="2824" t="s">
        <v>6013</v>
      </c>
      <c r="AA3" s="2824" t="s">
        <v>6014</v>
      </c>
      <c r="AB3" s="2824" t="s">
        <v>6015</v>
      </c>
      <c r="AC3" s="2824" t="s">
        <v>6016</v>
      </c>
      <c r="AD3" s="2824" t="s">
        <v>6017</v>
      </c>
      <c r="AE3" s="2824" t="s">
        <v>6018</v>
      </c>
      <c r="AF3" s="2824" t="s">
        <v>6019</v>
      </c>
      <c r="AG3" s="2824" t="s">
        <v>6020</v>
      </c>
      <c r="AH3" s="2824" t="s">
        <v>6021</v>
      </c>
      <c r="AI3" s="2824" t="s">
        <v>6022</v>
      </c>
      <c r="AJ3" s="2824" t="s">
        <v>6023</v>
      </c>
      <c r="AK3" s="2824" t="s">
        <v>6024</v>
      </c>
      <c r="AL3" s="2824" t="s">
        <v>6025</v>
      </c>
      <c r="AM3" s="2824" t="s">
        <v>6026</v>
      </c>
      <c r="AN3" s="2824" t="s">
        <v>6027</v>
      </c>
      <c r="AO3" s="2824" t="s">
        <v>6028</v>
      </c>
      <c r="AP3" s="2824" t="s">
        <v>6029</v>
      </c>
      <c r="AQ3" s="2824" t="s">
        <v>6030</v>
      </c>
      <c r="AR3" s="2824" t="s">
        <v>6031</v>
      </c>
      <c r="AS3" s="2824" t="s">
        <v>6032</v>
      </c>
      <c r="AT3" s="2824" t="s">
        <v>6033</v>
      </c>
      <c r="AU3" s="2824" t="s">
        <v>6034</v>
      </c>
      <c r="AV3" s="2824" t="s">
        <v>6035</v>
      </c>
      <c r="AW3" s="2824" t="s">
        <v>6036</v>
      </c>
      <c r="AX3" s="2824" t="s">
        <v>6037</v>
      </c>
      <c r="AY3" s="2824" t="s">
        <v>6038</v>
      </c>
      <c r="AZ3" s="2824" t="s">
        <v>6039</v>
      </c>
      <c r="BA3" s="2824" t="s">
        <v>6040</v>
      </c>
      <c r="BB3" s="2824" t="s">
        <v>6041</v>
      </c>
      <c r="BC3" s="2824" t="s">
        <v>6042</v>
      </c>
      <c r="BD3" s="2824" t="s">
        <v>6043</v>
      </c>
      <c r="BE3" s="2824" t="s">
        <v>6044</v>
      </c>
      <c r="BF3" s="2824" t="s">
        <v>6045</v>
      </c>
      <c r="BG3" s="2824" t="s">
        <v>6046</v>
      </c>
      <c r="BH3" s="2824" t="s">
        <v>6047</v>
      </c>
      <c r="BI3" s="2824" t="s">
        <v>6048</v>
      </c>
      <c r="BJ3" s="2824" t="s">
        <v>6049</v>
      </c>
      <c r="BK3" s="2824" t="s">
        <v>6050</v>
      </c>
      <c r="BL3" s="2824" t="s">
        <v>6051</v>
      </c>
      <c r="BM3" s="2824" t="s">
        <v>6052</v>
      </c>
      <c r="BN3" s="2824" t="s">
        <v>6053</v>
      </c>
      <c r="BO3" s="2824" t="s">
        <v>6054</v>
      </c>
      <c r="BP3" s="2824" t="s">
        <v>6055</v>
      </c>
      <c r="BQ3" s="2824" t="s">
        <v>6056</v>
      </c>
      <c r="BR3" s="2824" t="s">
        <v>6057</v>
      </c>
      <c r="BS3" s="2824" t="s">
        <v>6058</v>
      </c>
      <c r="BT3" s="2824" t="s">
        <v>6059</v>
      </c>
      <c r="BU3" s="2824" t="s">
        <v>6060</v>
      </c>
      <c r="BV3" s="2824" t="s">
        <v>6061</v>
      </c>
      <c r="BW3" s="2824" t="s">
        <v>6062</v>
      </c>
      <c r="BX3" s="2824" t="s">
        <v>6063</v>
      </c>
      <c r="BY3" s="2824" t="s">
        <v>6064</v>
      </c>
      <c r="BZ3" s="2824" t="s">
        <v>6065</v>
      </c>
      <c r="CA3" s="2824" t="s">
        <v>6066</v>
      </c>
      <c r="CB3" s="2824" t="s">
        <v>6067</v>
      </c>
      <c r="CC3" s="2824" t="s">
        <v>6068</v>
      </c>
      <c r="CD3" s="2824" t="s">
        <v>6069</v>
      </c>
      <c r="CE3" s="2824" t="s">
        <v>6070</v>
      </c>
      <c r="CF3" s="2824" t="s">
        <v>6071</v>
      </c>
      <c r="CG3" s="2824" t="s">
        <v>6072</v>
      </c>
      <c r="CH3" s="2824" t="s">
        <v>6073</v>
      </c>
      <c r="CI3" s="2824" t="s">
        <v>3638</v>
      </c>
      <c r="CJ3" s="1073"/>
    </row>
    <row r="4" spans="1:88" ht="16.5" thickBot="1">
      <c r="A4" s="1070"/>
      <c r="B4" s="1071"/>
      <c r="C4" s="1071"/>
      <c r="D4" s="1071"/>
      <c r="E4" s="1071"/>
      <c r="F4" s="1071"/>
      <c r="G4" s="1720"/>
      <c r="I4" s="1068"/>
      <c r="J4" s="1068"/>
      <c r="K4" s="1068"/>
      <c r="L4" s="1068"/>
      <c r="M4" s="1068"/>
      <c r="N4" s="1068"/>
      <c r="O4" s="1068"/>
      <c r="P4" s="1068"/>
      <c r="Q4" s="1068"/>
      <c r="R4" s="1068"/>
      <c r="S4" s="1068"/>
      <c r="T4" s="1068"/>
      <c r="U4" s="1068"/>
      <c r="V4" s="1068"/>
      <c r="W4" s="1068"/>
      <c r="X4" s="1068"/>
      <c r="Y4" s="1068"/>
      <c r="Z4" s="1068"/>
      <c r="AA4" s="1068"/>
      <c r="AB4" s="1068"/>
      <c r="AC4" s="1068"/>
      <c r="AD4" s="1068"/>
      <c r="AE4" s="1068"/>
      <c r="AF4" s="1068"/>
      <c r="AG4" s="1068"/>
      <c r="AH4" s="1068"/>
      <c r="AI4" s="1068"/>
      <c r="AJ4" s="1068"/>
      <c r="AK4" s="1068"/>
      <c r="AL4" s="1068"/>
      <c r="AM4" s="1068"/>
      <c r="AN4" s="1068"/>
      <c r="AO4" s="1068"/>
      <c r="AP4" s="1068"/>
      <c r="AQ4" s="1068"/>
      <c r="AR4" s="1068"/>
      <c r="AS4" s="1068"/>
      <c r="AT4" s="1068"/>
      <c r="AU4" s="1068"/>
      <c r="AV4" s="1068"/>
      <c r="AW4" s="1068"/>
      <c r="AX4" s="1068"/>
      <c r="AY4" s="1068"/>
      <c r="AZ4" s="1068"/>
      <c r="BA4" s="1068"/>
      <c r="BB4" s="1068"/>
      <c r="BC4" s="1068"/>
      <c r="BD4" s="1068"/>
      <c r="BE4" s="1068"/>
      <c r="BF4" s="1068"/>
      <c r="BG4" s="1068"/>
      <c r="BH4" s="1068"/>
      <c r="BI4" s="1068"/>
      <c r="BJ4" s="1068"/>
      <c r="BK4" s="1068"/>
      <c r="BL4" s="1068"/>
      <c r="BM4" s="1068"/>
      <c r="BN4" s="1068"/>
      <c r="BO4" s="1068"/>
      <c r="BP4" s="1068"/>
      <c r="BQ4" s="1068"/>
      <c r="BR4" s="1068"/>
      <c r="BS4" s="1068"/>
      <c r="BT4" s="1068"/>
      <c r="BU4" s="1068"/>
      <c r="BV4" s="1068"/>
      <c r="BW4" s="1068"/>
      <c r="BX4" s="1068"/>
      <c r="BY4" s="1068"/>
      <c r="BZ4" s="1068"/>
      <c r="CA4" s="1068"/>
      <c r="CB4" s="1068"/>
      <c r="CC4" s="1068"/>
      <c r="CD4" s="1068"/>
      <c r="CE4" s="1068"/>
      <c r="CF4" s="1068"/>
      <c r="CG4" s="1068"/>
      <c r="CH4" s="1068"/>
      <c r="CI4" s="1068"/>
      <c r="CJ4" s="1068"/>
    </row>
    <row r="5" spans="1:88" ht="16.5" thickBot="1">
      <c r="A5" s="1070"/>
      <c r="B5" s="2863" t="s">
        <v>153</v>
      </c>
      <c r="C5" s="1031" t="s">
        <v>6074</v>
      </c>
      <c r="D5" s="1075"/>
      <c r="E5" s="1071"/>
      <c r="F5" s="1071"/>
      <c r="I5" s="1068"/>
      <c r="J5" s="1068"/>
      <c r="K5" s="1068"/>
      <c r="L5" s="1068"/>
      <c r="M5" s="1068"/>
      <c r="N5" s="1068"/>
      <c r="O5" s="1068"/>
      <c r="P5" s="1068"/>
      <c r="Q5" s="1068"/>
      <c r="R5" s="1068"/>
      <c r="S5" s="1068"/>
      <c r="T5" s="1068"/>
      <c r="U5" s="1068"/>
      <c r="V5" s="1068"/>
      <c r="W5" s="1068"/>
      <c r="X5" s="1068"/>
      <c r="Y5" s="1068"/>
      <c r="Z5" s="1068"/>
      <c r="AA5" s="1068"/>
      <c r="AB5" s="1068"/>
      <c r="AC5" s="1068"/>
      <c r="AD5" s="1068"/>
      <c r="AE5" s="1068"/>
      <c r="AF5" s="1068"/>
      <c r="AG5" s="1068"/>
      <c r="AH5" s="1068"/>
      <c r="AI5" s="1068"/>
      <c r="AJ5" s="1068"/>
      <c r="AK5" s="1068"/>
      <c r="AL5" s="1068"/>
      <c r="AM5" s="1068"/>
      <c r="AN5" s="1068"/>
      <c r="AO5" s="1068"/>
      <c r="AP5" s="1068"/>
      <c r="AQ5" s="1068"/>
      <c r="AR5" s="1068"/>
      <c r="AS5" s="1068"/>
      <c r="AT5" s="1068"/>
      <c r="AU5" s="1068"/>
      <c r="AV5" s="1068"/>
      <c r="AW5" s="1068"/>
      <c r="AX5" s="1068"/>
      <c r="AY5" s="1068"/>
      <c r="AZ5" s="1068"/>
      <c r="BA5" s="1068"/>
      <c r="BB5" s="1068"/>
      <c r="BC5" s="1068"/>
      <c r="BD5" s="1068"/>
      <c r="BE5" s="1068"/>
      <c r="BF5" s="1068"/>
      <c r="BG5" s="1068"/>
      <c r="BH5" s="1068"/>
      <c r="BI5" s="1068"/>
      <c r="BJ5" s="1068"/>
      <c r="BK5" s="1068"/>
      <c r="BL5" s="1068"/>
      <c r="BM5" s="1068"/>
      <c r="BN5" s="1068"/>
      <c r="BO5" s="1068"/>
      <c r="BP5" s="1068"/>
      <c r="BQ5" s="1068"/>
      <c r="BR5" s="1068"/>
      <c r="BS5" s="1068"/>
      <c r="BT5" s="1068"/>
      <c r="BU5" s="1068"/>
      <c r="BV5" s="1068"/>
      <c r="BW5" s="1068"/>
      <c r="BX5" s="1068"/>
      <c r="BY5" s="1068"/>
      <c r="BZ5" s="1068"/>
      <c r="CA5" s="1068"/>
      <c r="CB5" s="1068"/>
      <c r="CC5" s="1068"/>
      <c r="CD5" s="1068"/>
      <c r="CE5" s="1068"/>
      <c r="CF5" s="1068"/>
      <c r="CG5" s="1068"/>
      <c r="CH5" s="1071"/>
      <c r="CI5" s="1068"/>
      <c r="CJ5" s="1068"/>
    </row>
    <row r="6" spans="1:88" ht="16">
      <c r="A6" s="1070"/>
      <c r="B6" s="971" t="s">
        <v>6075</v>
      </c>
      <c r="C6" s="1076" t="s">
        <v>6076</v>
      </c>
      <c r="D6" s="973" t="s">
        <v>6077</v>
      </c>
      <c r="E6" s="973" t="s">
        <v>3513</v>
      </c>
      <c r="F6" s="974">
        <v>0</v>
      </c>
      <c r="G6" s="1094" t="e">
        <f>IF(HLOOKUP($CI$1,LWTW!$A$2:$L$85,COLUMN(B$1),FALSE)="","",HLOOKUP($CI$1,LWTW!$A$2:$L$85,COLUMN(B$1),FALSE))</f>
        <v>#N/A</v>
      </c>
      <c r="H6" s="1094" t="e">
        <f>IF(HLOOKUP($CI$1,LWTW!$A$2:$L$85,COLUMN(C$1),FALSE)="","",HLOOKUP($CI$1,LWTW!$A$2:$L$85,COLUMN(C$1),FALSE))</f>
        <v>#N/A</v>
      </c>
      <c r="I6" s="1094" t="e">
        <f>IF(HLOOKUP($CI$1,LWTW!$A$2:$L$85,COLUMN(D$1),FALSE)="","",HLOOKUP($CI$1,LWTW!$A$2:$L$85,COLUMN(D$1),FALSE))</f>
        <v>#N/A</v>
      </c>
      <c r="J6" s="1094" t="e">
        <f>IF(HLOOKUP($CI$1,LWTW!$A$2:$L$85,COLUMN(E$1),FALSE)="","",HLOOKUP($CI$1,LWTW!$A$2:$L$85,COLUMN(E$1),FALSE))</f>
        <v>#N/A</v>
      </c>
      <c r="K6" s="1094" t="e">
        <f>IF(HLOOKUP($CI$1,LWTW!$A$2:$L$85,COLUMN(F$1),FALSE)="","",HLOOKUP($CI$1,LWTW!$A$2:$L$85,COLUMN(F$1),FALSE))</f>
        <v>#N/A</v>
      </c>
      <c r="L6" s="1094" t="e">
        <f>IF(HLOOKUP($CI$1,LWTW!$A$2:$L$85,COLUMN(G$1),FALSE)="","",HLOOKUP($CI$1,LWTW!$A$2:$L$85,COLUMN(G$1),FALSE))</f>
        <v>#N/A</v>
      </c>
      <c r="M6" s="1094" t="e">
        <f>IF(HLOOKUP($CI$1,LWTW!$A$2:$L$85,COLUMN(H$1),FALSE)="","",HLOOKUP($CI$1,LWTW!$A$2:$L$85,COLUMN(H$1),FALSE))</f>
        <v>#N/A</v>
      </c>
      <c r="N6" s="1094" t="e">
        <f>IF(HLOOKUP($CI$1,LWTW!$A$2:$L$85,COLUMN(I$1),FALSE)="","",HLOOKUP($CI$1,LWTW!$A$2:$L$85,COLUMN(I$1),FALSE))</f>
        <v>#N/A</v>
      </c>
      <c r="O6" s="1094" t="e">
        <f>IF(HLOOKUP($CI$1,LWTW!$A$2:$L$85,COLUMN(J$1),FALSE)="","",HLOOKUP($CI$1,LWTW!$A$2:$L$85,COLUMN(J$1),FALSE))</f>
        <v>#N/A</v>
      </c>
      <c r="P6" s="1094" t="e">
        <f>IF(HLOOKUP($CI$1,LWTW!$A$2:$L$85,COLUMN(K$1),FALSE)="","",HLOOKUP($CI$1,LWTW!$A$2:$L$85,COLUMN(K$1),FALSE))</f>
        <v>#N/A</v>
      </c>
      <c r="Q6" s="1094" t="e">
        <f>IF(HLOOKUP($CI$1,LWTW!$A$2:$L$85,COLUMN(L$1),FALSE)="","",HLOOKUP($CI$1,LWTW!$A$2:$L$85,COLUMN(L$1),FALSE))</f>
        <v>#N/A</v>
      </c>
      <c r="R6" s="1094" t="e">
        <f>IF(HLOOKUP($CI$1,LWTW!$A$2:$L$85,COLUMN(M$1),FALSE)="","",HLOOKUP($CI$1,LWTW!$A$2:$L$85,COLUMN(M$1),FALSE))</f>
        <v>#N/A</v>
      </c>
      <c r="S6" s="1094" t="e">
        <f>IF(HLOOKUP($CI$1,LWTW!$A$2:$L$85,COLUMN(N$1),FALSE)="","",HLOOKUP($CI$1,LWTW!$A$2:$L$85,COLUMN(N$1),FALSE))</f>
        <v>#N/A</v>
      </c>
      <c r="T6" s="1094" t="e">
        <f>IF(HLOOKUP($CI$1,LWTW!$A$2:$L$85,COLUMN(O$1),FALSE)="","",HLOOKUP($CI$1,LWTW!$A$2:$L$85,COLUMN(O$1),FALSE))</f>
        <v>#N/A</v>
      </c>
      <c r="U6" s="1094" t="e">
        <f>IF(HLOOKUP($CI$1,LWTW!$A$2:$L$85,COLUMN(P$1),FALSE)="","",HLOOKUP($CI$1,LWTW!$A$2:$L$85,COLUMN(P$1),FALSE))</f>
        <v>#N/A</v>
      </c>
      <c r="V6" s="1094" t="e">
        <f>IF(HLOOKUP($CI$1,LWTW!$A$2:$L$85,COLUMN(Q$1),FALSE)="","",HLOOKUP($CI$1,LWTW!$A$2:$L$85,COLUMN(Q$1),FALSE))</f>
        <v>#N/A</v>
      </c>
      <c r="W6" s="1094" t="e">
        <f>IF(HLOOKUP($CI$1,LWTW!$A$2:$L$85,COLUMN(R$1),FALSE)="","",HLOOKUP($CI$1,LWTW!$A$2:$L$85,COLUMN(R$1),FALSE))</f>
        <v>#N/A</v>
      </c>
      <c r="X6" s="1094" t="e">
        <f>IF(HLOOKUP($CI$1,LWTW!$A$2:$L$85,COLUMN(S$1),FALSE)="","",HLOOKUP($CI$1,LWTW!$A$2:$L$85,COLUMN(S$1),FALSE))</f>
        <v>#N/A</v>
      </c>
      <c r="Y6" s="1094" t="e">
        <f>IF(HLOOKUP($CI$1,LWTW!$A$2:$L$85,COLUMN(T$1),FALSE)="","",HLOOKUP($CI$1,LWTW!$A$2:$L$85,COLUMN(T$1),FALSE))</f>
        <v>#N/A</v>
      </c>
      <c r="Z6" s="1094" t="e">
        <f>IF(HLOOKUP($CI$1,LWTW!$A$2:$L$85,COLUMN(U$1),FALSE)="","",HLOOKUP($CI$1,LWTW!$A$2:$L$85,COLUMN(U$1),FALSE))</f>
        <v>#N/A</v>
      </c>
      <c r="AA6" s="1094" t="e">
        <f>IF(HLOOKUP($CI$1,LWTW!$A$2:$L$85,COLUMN(V$1),FALSE)="","",HLOOKUP($CI$1,LWTW!$A$2:$L$85,COLUMN(V$1),FALSE))</f>
        <v>#N/A</v>
      </c>
      <c r="AB6" s="1094" t="e">
        <f>IF(HLOOKUP($CI$1,LWTW!$A$2:$L$85,COLUMN(W$1),FALSE)="","",HLOOKUP($CI$1,LWTW!$A$2:$L$85,COLUMN(W$1),FALSE))</f>
        <v>#N/A</v>
      </c>
      <c r="AC6" s="1094" t="e">
        <f>IF(HLOOKUP($CI$1,LWTW!$A$2:$L$85,COLUMN(X$1),FALSE)="","",HLOOKUP($CI$1,LWTW!$A$2:$L$85,COLUMN(X$1),FALSE))</f>
        <v>#N/A</v>
      </c>
      <c r="AD6" s="1094" t="e">
        <f>IF(HLOOKUP($CI$1,LWTW!$A$2:$L$85,COLUMN(Y$1),FALSE)="","",HLOOKUP($CI$1,LWTW!$A$2:$L$85,COLUMN(Y$1),FALSE))</f>
        <v>#N/A</v>
      </c>
      <c r="AE6" s="1094" t="e">
        <f>IF(HLOOKUP($CI$1,LWTW!$A$2:$L$85,COLUMN(Z$1),FALSE)="","",HLOOKUP($CI$1,LWTW!$A$2:$L$85,COLUMN(Z$1),FALSE))</f>
        <v>#N/A</v>
      </c>
      <c r="AF6" s="1094" t="e">
        <f>IF(HLOOKUP($CI$1,LWTW!$A$2:$L$85,COLUMN(AA$1),FALSE)="","",HLOOKUP($CI$1,LWTW!$A$2:$L$85,COLUMN(AA$1),FALSE))</f>
        <v>#N/A</v>
      </c>
      <c r="AG6" s="1094" t="e">
        <f>IF(HLOOKUP($CI$1,LWTW!$A$2:$L$85,COLUMN(AB$1),FALSE)="","",HLOOKUP($CI$1,LWTW!$A$2:$L$85,COLUMN(AB$1),FALSE))</f>
        <v>#N/A</v>
      </c>
      <c r="AH6" s="1094" t="e">
        <f>IF(HLOOKUP($CI$1,LWTW!$A$2:$L$85,COLUMN(AC$1),FALSE)="","",HLOOKUP($CI$1,LWTW!$A$2:$L$85,COLUMN(AC$1),FALSE))</f>
        <v>#N/A</v>
      </c>
      <c r="AI6" s="1094" t="e">
        <f>IF(HLOOKUP($CI$1,LWTW!$A$2:$L$85,COLUMN(AD$1),FALSE)="","",HLOOKUP($CI$1,LWTW!$A$2:$L$85,COLUMN(AD$1),FALSE))</f>
        <v>#N/A</v>
      </c>
      <c r="AJ6" s="1094" t="e">
        <f>IF(HLOOKUP($CI$1,LWTW!$A$2:$L$85,COLUMN(AE$1),FALSE)="","",HLOOKUP($CI$1,LWTW!$A$2:$L$85,COLUMN(AE$1),FALSE))</f>
        <v>#N/A</v>
      </c>
      <c r="AK6" s="1094" t="e">
        <f>IF(HLOOKUP($CI$1,LWTW!$A$2:$L$85,COLUMN(AF$1),FALSE)="","",HLOOKUP($CI$1,LWTW!$A$2:$L$85,COLUMN(AF$1),FALSE))</f>
        <v>#N/A</v>
      </c>
      <c r="AL6" s="1094" t="e">
        <f>IF(HLOOKUP($CI$1,LWTW!$A$2:$L$85,COLUMN(AG$1),FALSE)="","",HLOOKUP($CI$1,LWTW!$A$2:$L$85,COLUMN(AG$1),FALSE))</f>
        <v>#N/A</v>
      </c>
      <c r="AM6" s="1094" t="e">
        <f>IF(HLOOKUP($CI$1,LWTW!$A$2:$L$85,COLUMN(AH$1),FALSE)="","",HLOOKUP($CI$1,LWTW!$A$2:$L$85,COLUMN(AH$1),FALSE))</f>
        <v>#N/A</v>
      </c>
      <c r="AN6" s="1094" t="e">
        <f>IF(HLOOKUP($CI$1,LWTW!$A$2:$L$85,COLUMN(AI$1),FALSE)="","",HLOOKUP($CI$1,LWTW!$A$2:$L$85,COLUMN(AI$1),FALSE))</f>
        <v>#N/A</v>
      </c>
      <c r="AO6" s="1094" t="e">
        <f>IF(HLOOKUP($CI$1,LWTW!$A$2:$L$85,COLUMN(AJ$1),FALSE)="","",HLOOKUP($CI$1,LWTW!$A$2:$L$85,COLUMN(AJ$1),FALSE))</f>
        <v>#N/A</v>
      </c>
      <c r="AP6" s="1094" t="e">
        <f>IF(HLOOKUP($CI$1,LWTW!$A$2:$L$85,COLUMN(AK$1),FALSE)="","",HLOOKUP($CI$1,LWTW!$A$2:$L$85,COLUMN(AK$1),FALSE))</f>
        <v>#N/A</v>
      </c>
      <c r="AQ6" s="1094" t="e">
        <f>IF(HLOOKUP($CI$1,LWTW!$A$2:$L$85,COLUMN(AL$1),FALSE)="","",HLOOKUP($CI$1,LWTW!$A$2:$L$85,COLUMN(AL$1),FALSE))</f>
        <v>#N/A</v>
      </c>
      <c r="AR6" s="1094" t="e">
        <f>IF(HLOOKUP($CI$1,LWTW!$A$2:$L$85,COLUMN(AM$1),FALSE)="","",HLOOKUP($CI$1,LWTW!$A$2:$L$85,COLUMN(AM$1),FALSE))</f>
        <v>#N/A</v>
      </c>
      <c r="AS6" s="1094" t="e">
        <f>IF(HLOOKUP($CI$1,LWTW!$A$2:$L$85,COLUMN(AN$1),FALSE)="","",HLOOKUP($CI$1,LWTW!$A$2:$L$85,COLUMN(AN$1),FALSE))</f>
        <v>#N/A</v>
      </c>
      <c r="AT6" s="1094" t="e">
        <f>IF(HLOOKUP($CI$1,LWTW!$A$2:$L$85,COLUMN(AO$1),FALSE)="","",HLOOKUP($CI$1,LWTW!$A$2:$L$85,COLUMN(AO$1),FALSE))</f>
        <v>#N/A</v>
      </c>
      <c r="AU6" s="1094" t="e">
        <f>IF(HLOOKUP($CI$1,LWTW!$A$2:$L$85,COLUMN(AP$1),FALSE)="","",HLOOKUP($CI$1,LWTW!$A$2:$L$85,COLUMN(AP$1),FALSE))</f>
        <v>#N/A</v>
      </c>
      <c r="AV6" s="1094" t="e">
        <f>IF(HLOOKUP($CI$1,LWTW!$A$2:$L$85,COLUMN(AQ$1),FALSE)="","",HLOOKUP($CI$1,LWTW!$A$2:$L$85,COLUMN(AQ$1),FALSE))</f>
        <v>#N/A</v>
      </c>
      <c r="AW6" s="1094" t="e">
        <f>IF(HLOOKUP($CI$1,LWTW!$A$2:$L$85,COLUMN(AR$1),FALSE)="","",HLOOKUP($CI$1,LWTW!$A$2:$L$85,COLUMN(AR$1),FALSE))</f>
        <v>#N/A</v>
      </c>
      <c r="AX6" s="1094" t="e">
        <f>IF(HLOOKUP($CI$1,LWTW!$A$2:$L$85,COLUMN(AS$1),FALSE)="","",HLOOKUP($CI$1,LWTW!$A$2:$L$85,COLUMN(AS$1),FALSE))</f>
        <v>#N/A</v>
      </c>
      <c r="AY6" s="1094" t="e">
        <f>IF(HLOOKUP($CI$1,LWTW!$A$2:$L$85,COLUMN(AT$1),FALSE)="","",HLOOKUP($CI$1,LWTW!$A$2:$L$85,COLUMN(AT$1),FALSE))</f>
        <v>#N/A</v>
      </c>
      <c r="AZ6" s="1094" t="e">
        <f>IF(HLOOKUP($CI$1,LWTW!$A$2:$L$85,COLUMN(AU$1),FALSE)="","",HLOOKUP($CI$1,LWTW!$A$2:$L$85,COLUMN(AU$1),FALSE))</f>
        <v>#N/A</v>
      </c>
      <c r="BA6" s="1094" t="e">
        <f>IF(HLOOKUP($CI$1,LWTW!$A$2:$L$85,COLUMN(AV$1),FALSE)="","",HLOOKUP($CI$1,LWTW!$A$2:$L$85,COLUMN(AV$1),FALSE))</f>
        <v>#N/A</v>
      </c>
      <c r="BB6" s="1094" t="e">
        <f>IF(HLOOKUP($CI$1,LWTW!$A$2:$L$85,COLUMN(AW$1),FALSE)="","",HLOOKUP($CI$1,LWTW!$A$2:$L$85,COLUMN(AW$1),FALSE))</f>
        <v>#N/A</v>
      </c>
      <c r="BC6" s="1094" t="e">
        <f>IF(HLOOKUP($CI$1,LWTW!$A$2:$L$85,COLUMN(AX$1),FALSE)="","",HLOOKUP($CI$1,LWTW!$A$2:$L$85,COLUMN(AX$1),FALSE))</f>
        <v>#N/A</v>
      </c>
      <c r="BD6" s="1094" t="e">
        <f>IF(HLOOKUP($CI$1,LWTW!$A$2:$L$85,COLUMN(AY$1),FALSE)="","",HLOOKUP($CI$1,LWTW!$A$2:$L$85,COLUMN(AY$1),FALSE))</f>
        <v>#N/A</v>
      </c>
      <c r="BE6" s="1094" t="e">
        <f>IF(HLOOKUP($CI$1,LWTW!$A$2:$L$85,COLUMN(AZ$1),FALSE)="","",HLOOKUP($CI$1,LWTW!$A$2:$L$85,COLUMN(AZ$1),FALSE))</f>
        <v>#N/A</v>
      </c>
      <c r="BF6" s="1094" t="e">
        <f>IF(HLOOKUP($CI$1,LWTW!$A$2:$L$85,COLUMN(BA$1),FALSE)="","",HLOOKUP($CI$1,LWTW!$A$2:$L$85,COLUMN(BA$1),FALSE))</f>
        <v>#N/A</v>
      </c>
      <c r="BG6" s="1094" t="e">
        <f>IF(HLOOKUP($CI$1,LWTW!$A$2:$L$85,COLUMN(BB$1),FALSE)="","",HLOOKUP($CI$1,LWTW!$A$2:$L$85,COLUMN(BB$1),FALSE))</f>
        <v>#N/A</v>
      </c>
      <c r="BH6" s="1094" t="e">
        <f>IF(HLOOKUP($CI$1,LWTW!$A$2:$L$85,COLUMN(BC$1),FALSE)="","",HLOOKUP($CI$1,LWTW!$A$2:$L$85,COLUMN(BC$1),FALSE))</f>
        <v>#N/A</v>
      </c>
      <c r="BI6" s="1094" t="e">
        <f>IF(HLOOKUP($CI$1,LWTW!$A$2:$L$85,COLUMN(BD$1),FALSE)="","",HLOOKUP($CI$1,LWTW!$A$2:$L$85,COLUMN(BD$1),FALSE))</f>
        <v>#N/A</v>
      </c>
      <c r="BJ6" s="1094" t="e">
        <f>IF(HLOOKUP($CI$1,LWTW!$A$2:$L$85,COLUMN(BE$1),FALSE)="","",HLOOKUP($CI$1,LWTW!$A$2:$L$85,COLUMN(BE$1),FALSE))</f>
        <v>#N/A</v>
      </c>
      <c r="BK6" s="1094" t="e">
        <f>IF(HLOOKUP($CI$1,LWTW!$A$2:$L$85,COLUMN(BF$1),FALSE)="","",HLOOKUP($CI$1,LWTW!$A$2:$L$85,COLUMN(BF$1),FALSE))</f>
        <v>#N/A</v>
      </c>
      <c r="BL6" s="1094" t="e">
        <f>IF(HLOOKUP($CI$1,LWTW!$A$2:$L$85,COLUMN(BG$1),FALSE)="","",HLOOKUP($CI$1,LWTW!$A$2:$L$85,COLUMN(BG$1),FALSE))</f>
        <v>#N/A</v>
      </c>
      <c r="BM6" s="1094" t="e">
        <f>IF(HLOOKUP($CI$1,LWTW!$A$2:$L$85,COLUMN(BH$1),FALSE)="","",HLOOKUP($CI$1,LWTW!$A$2:$L$85,COLUMN(BH$1),FALSE))</f>
        <v>#N/A</v>
      </c>
      <c r="BN6" s="1094" t="e">
        <f>IF(HLOOKUP($CI$1,LWTW!$A$2:$L$85,COLUMN(BI$1),FALSE)="","",HLOOKUP($CI$1,LWTW!$A$2:$L$85,COLUMN(BI$1),FALSE))</f>
        <v>#N/A</v>
      </c>
      <c r="BO6" s="1094" t="e">
        <f>IF(HLOOKUP($CI$1,LWTW!$A$2:$L$85,COLUMN(BJ$1),FALSE)="","",HLOOKUP($CI$1,LWTW!$A$2:$L$85,COLUMN(BJ$1),FALSE))</f>
        <v>#N/A</v>
      </c>
      <c r="BP6" s="1094" t="e">
        <f>IF(HLOOKUP($CI$1,LWTW!$A$2:$L$85,COLUMN(BK$1),FALSE)="","",HLOOKUP($CI$1,LWTW!$A$2:$L$85,COLUMN(BK$1),FALSE))</f>
        <v>#N/A</v>
      </c>
      <c r="BQ6" s="1094" t="e">
        <f>IF(HLOOKUP($CI$1,LWTW!$A$2:$L$85,COLUMN(BL$1),FALSE)="","",HLOOKUP($CI$1,LWTW!$A$2:$L$85,COLUMN(BL$1),FALSE))</f>
        <v>#N/A</v>
      </c>
      <c r="BR6" s="1094" t="e">
        <f>IF(HLOOKUP($CI$1,LWTW!$A$2:$L$85,COLUMN(BM$1),FALSE)="","",HLOOKUP($CI$1,LWTW!$A$2:$L$85,COLUMN(BM$1),FALSE))</f>
        <v>#N/A</v>
      </c>
      <c r="BS6" s="1094" t="e">
        <f>IF(HLOOKUP($CI$1,LWTW!$A$2:$L$85,COLUMN(BN$1),FALSE)="","",HLOOKUP($CI$1,LWTW!$A$2:$L$85,COLUMN(BN$1),FALSE))</f>
        <v>#N/A</v>
      </c>
      <c r="BT6" s="1094" t="e">
        <f>IF(HLOOKUP($CI$1,LWTW!$A$2:$L$85,COLUMN(BO$1),FALSE)="","",HLOOKUP($CI$1,LWTW!$A$2:$L$85,COLUMN(BO$1),FALSE))</f>
        <v>#N/A</v>
      </c>
      <c r="BU6" s="1094" t="e">
        <f>IF(HLOOKUP($CI$1,LWTW!$A$2:$L$85,COLUMN(BP$1),FALSE)="","",HLOOKUP($CI$1,LWTW!$A$2:$L$85,COLUMN(BP$1),FALSE))</f>
        <v>#N/A</v>
      </c>
      <c r="BV6" s="1094" t="e">
        <f>IF(HLOOKUP($CI$1,LWTW!$A$2:$L$85,COLUMN(BQ$1),FALSE)="","",HLOOKUP($CI$1,LWTW!$A$2:$L$85,COLUMN(BQ$1),FALSE))</f>
        <v>#N/A</v>
      </c>
      <c r="BW6" s="1094" t="e">
        <f>IF(HLOOKUP($CI$1,LWTW!$A$2:$L$85,COLUMN(BR$1),FALSE)="","",HLOOKUP($CI$1,LWTW!$A$2:$L$85,COLUMN(BR$1),FALSE))</f>
        <v>#N/A</v>
      </c>
      <c r="BX6" s="1094" t="e">
        <f>IF(HLOOKUP($CI$1,LWTW!$A$2:$L$85,COLUMN(BS$1),FALSE)="","",HLOOKUP($CI$1,LWTW!$A$2:$L$85,COLUMN(BS$1),FALSE))</f>
        <v>#N/A</v>
      </c>
      <c r="BY6" s="1094" t="e">
        <f>IF(HLOOKUP($CI$1,LWTW!$A$2:$L$85,COLUMN(BT$1),FALSE)="","",HLOOKUP($CI$1,LWTW!$A$2:$L$85,COLUMN(BT$1),FALSE))</f>
        <v>#N/A</v>
      </c>
      <c r="BZ6" s="1094" t="e">
        <f>IF(HLOOKUP($CI$1,LWTW!$A$2:$L$85,COLUMN(BU$1),FALSE)="","",HLOOKUP($CI$1,LWTW!$A$2:$L$85,COLUMN(BU$1),FALSE))</f>
        <v>#N/A</v>
      </c>
      <c r="CA6" s="1094" t="e">
        <f>IF(HLOOKUP($CI$1,LWTW!$A$2:$L$85,COLUMN(BV$1),FALSE)="","",HLOOKUP($CI$1,LWTW!$A$2:$L$85,COLUMN(BV$1),FALSE))</f>
        <v>#N/A</v>
      </c>
      <c r="CB6" s="1094" t="e">
        <f>IF(HLOOKUP($CI$1,LWTW!$A$2:$L$85,COLUMN(BW$1),FALSE)="","",HLOOKUP($CI$1,LWTW!$A$2:$L$85,COLUMN(BW$1),FALSE))</f>
        <v>#N/A</v>
      </c>
      <c r="CC6" s="1094" t="e">
        <f>IF(HLOOKUP($CI$1,LWTW!$A$2:$L$85,COLUMN(BX$1),FALSE)="","",HLOOKUP($CI$1,LWTW!$A$2:$L$85,COLUMN(BX$1),FALSE))</f>
        <v>#N/A</v>
      </c>
      <c r="CD6" s="1094" t="e">
        <f>IF(HLOOKUP($CI$1,LWTW!$A$2:$L$85,COLUMN(BY$1),FALSE)="","",HLOOKUP($CI$1,LWTW!$A$2:$L$85,COLUMN(BY$1),FALSE))</f>
        <v>#N/A</v>
      </c>
      <c r="CE6" s="1094" t="e">
        <f>IF(HLOOKUP($CI$1,LWTW!$A$2:$L$85,COLUMN(BZ$1),FALSE)="","",HLOOKUP($CI$1,LWTW!$A$2:$L$85,COLUMN(BZ$1),FALSE))</f>
        <v>#N/A</v>
      </c>
      <c r="CF6" s="1094" t="e">
        <f>IF(HLOOKUP($CI$1,LWTW!$A$2:$L$85,COLUMN(CA$1),FALSE)="","",HLOOKUP($CI$1,LWTW!$A$2:$L$85,COLUMN(CA$1),FALSE))</f>
        <v>#N/A</v>
      </c>
      <c r="CG6" s="1094" t="e">
        <f>IF(HLOOKUP($CI$1,LWTW!$A$2:$L$85,COLUMN(CB$1),FALSE)="","",HLOOKUP($CI$1,LWTW!$A$2:$L$85,COLUMN(CB$1),FALSE))</f>
        <v>#N/A</v>
      </c>
      <c r="CH6" s="1094" t="e">
        <f>IF(HLOOKUP($CI$1,LWTW!$A$2:$L$85,COLUMN(CC$1),FALSE)="","",HLOOKUP($CI$1,LWTW!$A$2:$L$85,COLUMN(CC$1),FALSE))</f>
        <v>#N/A</v>
      </c>
      <c r="CI6" s="1077"/>
      <c r="CJ6" s="1068"/>
    </row>
    <row r="7" spans="1:88" ht="16">
      <c r="A7" s="1070"/>
      <c r="B7" s="980" t="s">
        <v>6078</v>
      </c>
      <c r="C7" s="981" t="s">
        <v>6079</v>
      </c>
      <c r="D7" s="1881" t="s">
        <v>6080</v>
      </c>
      <c r="E7" s="1881" t="s">
        <v>3513</v>
      </c>
      <c r="F7" s="978">
        <v>0</v>
      </c>
      <c r="G7" s="1078"/>
      <c r="H7" s="1078"/>
      <c r="I7" s="1078"/>
      <c r="J7" s="1078"/>
      <c r="K7" s="1078"/>
      <c r="L7" s="1078"/>
      <c r="M7" s="1078"/>
      <c r="N7" s="1078"/>
      <c r="O7" s="1078"/>
      <c r="P7" s="1078"/>
      <c r="Q7" s="1078"/>
      <c r="R7" s="1078"/>
      <c r="S7" s="1078"/>
      <c r="T7" s="1078"/>
      <c r="U7" s="1078"/>
      <c r="V7" s="1078"/>
      <c r="W7" s="1078"/>
      <c r="X7" s="1078"/>
      <c r="Y7" s="1078"/>
      <c r="Z7" s="1078"/>
      <c r="AA7" s="1078"/>
      <c r="AB7" s="1078"/>
      <c r="AC7" s="1078"/>
      <c r="AD7" s="1078"/>
      <c r="AE7" s="1078"/>
      <c r="AF7" s="1078"/>
      <c r="AG7" s="1078"/>
      <c r="AH7" s="1078"/>
      <c r="AI7" s="1078"/>
      <c r="AJ7" s="1078"/>
      <c r="AK7" s="1078"/>
      <c r="AL7" s="1078"/>
      <c r="AM7" s="1078"/>
      <c r="AN7" s="1078"/>
      <c r="AO7" s="1078"/>
      <c r="AP7" s="1078"/>
      <c r="AQ7" s="1078"/>
      <c r="AR7" s="1078"/>
      <c r="AS7" s="1078"/>
      <c r="AT7" s="1078"/>
      <c r="AU7" s="1078"/>
      <c r="AV7" s="1078"/>
      <c r="AW7" s="1078"/>
      <c r="AX7" s="1078"/>
      <c r="AY7" s="1078"/>
      <c r="AZ7" s="1078"/>
      <c r="BA7" s="1078"/>
      <c r="BB7" s="1078"/>
      <c r="BC7" s="1078"/>
      <c r="BD7" s="1079"/>
      <c r="BE7" s="1079"/>
      <c r="BF7" s="1079"/>
      <c r="BG7" s="1079"/>
      <c r="BH7" s="1079"/>
      <c r="BI7" s="1079"/>
      <c r="BJ7" s="1079"/>
      <c r="BK7" s="1079"/>
      <c r="BL7" s="1079"/>
      <c r="BM7" s="1079"/>
      <c r="BN7" s="1079"/>
      <c r="BO7" s="1079"/>
      <c r="BP7" s="1079"/>
      <c r="BQ7" s="1079"/>
      <c r="BR7" s="1079"/>
      <c r="BS7" s="1079"/>
      <c r="BT7" s="1079"/>
      <c r="BU7" s="1079"/>
      <c r="BV7" s="1079"/>
      <c r="BW7" s="1079"/>
      <c r="BX7" s="1079"/>
      <c r="BY7" s="1079"/>
      <c r="BZ7" s="1079"/>
      <c r="CA7" s="1079"/>
      <c r="CB7" s="1079"/>
      <c r="CC7" s="1079"/>
      <c r="CD7" s="1079"/>
      <c r="CE7" s="1079"/>
      <c r="CF7" s="1079"/>
      <c r="CG7" s="1079"/>
      <c r="CH7" s="1079"/>
      <c r="CI7" s="1079"/>
      <c r="CJ7" s="1068"/>
    </row>
    <row r="8" spans="1:88" ht="16">
      <c r="A8" s="1070"/>
      <c r="B8" s="980" t="s">
        <v>6081</v>
      </c>
      <c r="C8" s="981" t="s">
        <v>6082</v>
      </c>
      <c r="D8" s="1881" t="s">
        <v>6083</v>
      </c>
      <c r="E8" s="1881" t="s">
        <v>6084</v>
      </c>
      <c r="F8" s="978">
        <v>2</v>
      </c>
      <c r="G8" s="1080"/>
      <c r="H8" s="1080"/>
      <c r="I8" s="1080"/>
      <c r="J8" s="1080"/>
      <c r="K8" s="1080"/>
      <c r="L8" s="1080"/>
      <c r="M8" s="1080"/>
      <c r="N8" s="1080"/>
      <c r="O8" s="1080"/>
      <c r="P8" s="1080"/>
      <c r="Q8" s="1080"/>
      <c r="R8" s="1080"/>
      <c r="S8" s="1080"/>
      <c r="T8" s="1080"/>
      <c r="U8" s="1080"/>
      <c r="V8" s="1080"/>
      <c r="W8" s="1080"/>
      <c r="X8" s="1080"/>
      <c r="Y8" s="1080"/>
      <c r="Z8" s="1080"/>
      <c r="AA8" s="1080"/>
      <c r="AB8" s="1080"/>
      <c r="AC8" s="1080"/>
      <c r="AD8" s="1080"/>
      <c r="AE8" s="1080"/>
      <c r="AF8" s="1080"/>
      <c r="AG8" s="1080"/>
      <c r="AH8" s="1080"/>
      <c r="AI8" s="1080"/>
      <c r="AJ8" s="1080"/>
      <c r="AK8" s="1080"/>
      <c r="AL8" s="1080"/>
      <c r="AM8" s="1080"/>
      <c r="AN8" s="1080"/>
      <c r="AO8" s="1080"/>
      <c r="AP8" s="1080"/>
      <c r="AQ8" s="1080"/>
      <c r="AR8" s="1080"/>
      <c r="AS8" s="1080"/>
      <c r="AT8" s="1080"/>
      <c r="AU8" s="1080"/>
      <c r="AV8" s="1080"/>
      <c r="AW8" s="1080"/>
      <c r="AX8" s="1080"/>
      <c r="AY8" s="1080"/>
      <c r="AZ8" s="1080"/>
      <c r="BA8" s="1080"/>
      <c r="BB8" s="1080"/>
      <c r="BC8" s="1080"/>
      <c r="BD8" s="1080"/>
      <c r="BE8" s="1080"/>
      <c r="BF8" s="1080"/>
      <c r="BG8" s="1080"/>
      <c r="BH8" s="1080"/>
      <c r="BI8" s="1080"/>
      <c r="BJ8" s="1080"/>
      <c r="BK8" s="1080"/>
      <c r="BL8" s="1080"/>
      <c r="BM8" s="1080"/>
      <c r="BN8" s="1080"/>
      <c r="BO8" s="1080"/>
      <c r="BP8" s="1080"/>
      <c r="BQ8" s="1080"/>
      <c r="BR8" s="1080"/>
      <c r="BS8" s="1080"/>
      <c r="BT8" s="1080"/>
      <c r="BU8" s="1080"/>
      <c r="BV8" s="1080"/>
      <c r="BW8" s="1080"/>
      <c r="BX8" s="1080"/>
      <c r="BY8" s="1080"/>
      <c r="BZ8" s="1080"/>
      <c r="CA8" s="1080"/>
      <c r="CB8" s="1080"/>
      <c r="CC8" s="1080"/>
      <c r="CD8" s="1080"/>
      <c r="CE8" s="1080"/>
      <c r="CF8" s="1080"/>
      <c r="CG8" s="1080"/>
      <c r="CH8" s="1080"/>
      <c r="CI8" s="1081"/>
      <c r="CJ8" s="1068"/>
    </row>
    <row r="9" spans="1:88" ht="16">
      <c r="A9" s="1070"/>
      <c r="B9" s="980" t="s">
        <v>6085</v>
      </c>
      <c r="C9" s="981" t="s">
        <v>6086</v>
      </c>
      <c r="D9" s="1881" t="s">
        <v>6087</v>
      </c>
      <c r="E9" s="1881" t="s">
        <v>6088</v>
      </c>
      <c r="F9" s="978">
        <v>0</v>
      </c>
      <c r="G9" s="1082"/>
      <c r="H9" s="1082"/>
      <c r="I9" s="1082"/>
      <c r="J9" s="1082"/>
      <c r="K9" s="1082"/>
      <c r="L9" s="1082"/>
      <c r="M9" s="1082"/>
      <c r="N9" s="1082"/>
      <c r="O9" s="1082"/>
      <c r="P9" s="1082"/>
      <c r="Q9" s="1082"/>
      <c r="R9" s="1082"/>
      <c r="S9" s="1082"/>
      <c r="T9" s="1082"/>
      <c r="U9" s="1082"/>
      <c r="V9" s="1082"/>
      <c r="W9" s="1082"/>
      <c r="X9" s="1082"/>
      <c r="Y9" s="1082"/>
      <c r="Z9" s="1082"/>
      <c r="AA9" s="1082"/>
      <c r="AB9" s="1082"/>
      <c r="AC9" s="1082"/>
      <c r="AD9" s="1082"/>
      <c r="AE9" s="1082"/>
      <c r="AF9" s="1082"/>
      <c r="AG9" s="1082"/>
      <c r="AH9" s="1082"/>
      <c r="AI9" s="1082"/>
      <c r="AJ9" s="1082"/>
      <c r="AK9" s="1082"/>
      <c r="AL9" s="1082"/>
      <c r="AM9" s="1082"/>
      <c r="AN9" s="1082"/>
      <c r="AO9" s="1082"/>
      <c r="AP9" s="1082"/>
      <c r="AQ9" s="1082"/>
      <c r="AR9" s="1082"/>
      <c r="AS9" s="1082"/>
      <c r="AT9" s="1082"/>
      <c r="AU9" s="1082"/>
      <c r="AV9" s="1082"/>
      <c r="AW9" s="1082"/>
      <c r="AX9" s="1082"/>
      <c r="AY9" s="1082"/>
      <c r="AZ9" s="1082"/>
      <c r="BA9" s="1082"/>
      <c r="BB9" s="1082"/>
      <c r="BC9" s="1082"/>
      <c r="BD9" s="1083"/>
      <c r="BE9" s="1083"/>
      <c r="BF9" s="1083"/>
      <c r="BG9" s="1083"/>
      <c r="BH9" s="1083"/>
      <c r="BI9" s="1083"/>
      <c r="BJ9" s="1083"/>
      <c r="BK9" s="1083"/>
      <c r="BL9" s="1083"/>
      <c r="BM9" s="1083"/>
      <c r="BN9" s="1083"/>
      <c r="BO9" s="1083"/>
      <c r="BP9" s="1083"/>
      <c r="BQ9" s="1083"/>
      <c r="BR9" s="1083"/>
      <c r="BS9" s="1083"/>
      <c r="BT9" s="1083"/>
      <c r="BU9" s="1083"/>
      <c r="BV9" s="1083"/>
      <c r="BW9" s="1083"/>
      <c r="BX9" s="1083"/>
      <c r="BY9" s="1083"/>
      <c r="BZ9" s="1083"/>
      <c r="CA9" s="1083"/>
      <c r="CB9" s="1083"/>
      <c r="CC9" s="1083"/>
      <c r="CD9" s="1083"/>
      <c r="CE9" s="1083"/>
      <c r="CF9" s="1083"/>
      <c r="CG9" s="1083"/>
      <c r="CH9" s="1083"/>
      <c r="CI9" s="1081"/>
      <c r="CJ9" s="1068"/>
    </row>
    <row r="10" spans="1:88" ht="16">
      <c r="A10" s="1070"/>
      <c r="B10" s="980" t="s">
        <v>6089</v>
      </c>
      <c r="C10" s="981" t="s">
        <v>6090</v>
      </c>
      <c r="D10" s="1881" t="s">
        <v>6091</v>
      </c>
      <c r="E10" s="1881" t="s">
        <v>6088</v>
      </c>
      <c r="F10" s="978">
        <v>0</v>
      </c>
      <c r="G10" s="1082"/>
      <c r="H10" s="1082"/>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2"/>
      <c r="AL10" s="1082"/>
      <c r="AM10" s="1082"/>
      <c r="AN10" s="1082"/>
      <c r="AO10" s="1082"/>
      <c r="AP10" s="1082"/>
      <c r="AQ10" s="1082"/>
      <c r="AR10" s="1082"/>
      <c r="AS10" s="1082"/>
      <c r="AT10" s="1082"/>
      <c r="AU10" s="1082"/>
      <c r="AV10" s="1082"/>
      <c r="AW10" s="1082"/>
      <c r="AX10" s="1082"/>
      <c r="AY10" s="1082"/>
      <c r="AZ10" s="1082"/>
      <c r="BA10" s="1082"/>
      <c r="BB10" s="1082"/>
      <c r="BC10" s="1082"/>
      <c r="BD10" s="1083"/>
      <c r="BE10" s="1083"/>
      <c r="BF10" s="1083"/>
      <c r="BG10" s="1083"/>
      <c r="BH10" s="1083"/>
      <c r="BI10" s="1083"/>
      <c r="BJ10" s="1083"/>
      <c r="BK10" s="1083"/>
      <c r="BL10" s="1083"/>
      <c r="BM10" s="1083"/>
      <c r="BN10" s="1083"/>
      <c r="BO10" s="1083"/>
      <c r="BP10" s="1083"/>
      <c r="BQ10" s="1083"/>
      <c r="BR10" s="1083"/>
      <c r="BS10" s="1083"/>
      <c r="BT10" s="1083"/>
      <c r="BU10" s="1083"/>
      <c r="BV10" s="1083"/>
      <c r="BW10" s="1083"/>
      <c r="BX10" s="1083"/>
      <c r="BY10" s="1083"/>
      <c r="BZ10" s="1083"/>
      <c r="CA10" s="1083"/>
      <c r="CB10" s="1083"/>
      <c r="CC10" s="1083"/>
      <c r="CD10" s="1083"/>
      <c r="CE10" s="1083"/>
      <c r="CF10" s="1083"/>
      <c r="CG10" s="1083"/>
      <c r="CH10" s="1083"/>
      <c r="CI10" s="1081"/>
      <c r="CJ10" s="1068"/>
    </row>
    <row r="11" spans="1:88" ht="16">
      <c r="A11" s="1070"/>
      <c r="B11" s="980" t="s">
        <v>6092</v>
      </c>
      <c r="C11" s="981" t="s">
        <v>6093</v>
      </c>
      <c r="D11" s="1881" t="s">
        <v>6094</v>
      </c>
      <c r="E11" s="1881" t="s">
        <v>6088</v>
      </c>
      <c r="F11" s="978">
        <v>0</v>
      </c>
      <c r="G11" s="1082"/>
      <c r="H11" s="1082"/>
      <c r="I11" s="1082"/>
      <c r="J11" s="1082"/>
      <c r="K11" s="1082"/>
      <c r="L11" s="1082"/>
      <c r="M11" s="1082"/>
      <c r="N11" s="1082"/>
      <c r="O11" s="1082"/>
      <c r="P11" s="1082"/>
      <c r="Q11" s="1082"/>
      <c r="R11" s="1082"/>
      <c r="S11" s="1082"/>
      <c r="T11" s="1082"/>
      <c r="U11" s="1082"/>
      <c r="V11" s="1082"/>
      <c r="W11" s="1082"/>
      <c r="X11" s="1082"/>
      <c r="Y11" s="1082"/>
      <c r="Z11" s="108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4"/>
      <c r="BE11" s="1084"/>
      <c r="BF11" s="1084"/>
      <c r="BG11" s="1084"/>
      <c r="BH11" s="1084"/>
      <c r="BI11" s="1084"/>
      <c r="BJ11" s="1084"/>
      <c r="BK11" s="1084"/>
      <c r="BL11" s="1084"/>
      <c r="BM11" s="1084"/>
      <c r="BN11" s="1084"/>
      <c r="BO11" s="1084"/>
      <c r="BP11" s="1084"/>
      <c r="BQ11" s="1084"/>
      <c r="BR11" s="1084"/>
      <c r="BS11" s="1084"/>
      <c r="BT11" s="1084"/>
      <c r="BU11" s="1084"/>
      <c r="BV11" s="1084"/>
      <c r="BW11" s="1084"/>
      <c r="BX11" s="1084"/>
      <c r="BY11" s="1084"/>
      <c r="BZ11" s="1084"/>
      <c r="CA11" s="1084"/>
      <c r="CB11" s="1084"/>
      <c r="CC11" s="1084"/>
      <c r="CD11" s="1084"/>
      <c r="CE11" s="1084"/>
      <c r="CF11" s="1084"/>
      <c r="CG11" s="1084"/>
      <c r="CH11" s="1084"/>
      <c r="CI11" s="1081"/>
      <c r="CJ11" s="1068"/>
    </row>
    <row r="12" spans="1:88" ht="16">
      <c r="A12" s="1070"/>
      <c r="B12" s="980" t="s">
        <v>6095</v>
      </c>
      <c r="C12" s="981" t="s">
        <v>6096</v>
      </c>
      <c r="D12" s="1881" t="s">
        <v>6097</v>
      </c>
      <c r="E12" s="1881" t="s">
        <v>6088</v>
      </c>
      <c r="F12" s="978">
        <v>0</v>
      </c>
      <c r="G12" s="1082"/>
      <c r="H12" s="1082"/>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82"/>
      <c r="AW12" s="1082"/>
      <c r="AX12" s="1082"/>
      <c r="AY12" s="1082"/>
      <c r="AZ12" s="1082"/>
      <c r="BA12" s="1082"/>
      <c r="BB12" s="1082"/>
      <c r="BC12" s="1082"/>
      <c r="BD12" s="1084"/>
      <c r="BE12" s="1084"/>
      <c r="BF12" s="1084"/>
      <c r="BG12" s="1084"/>
      <c r="BH12" s="1084"/>
      <c r="BI12" s="1084"/>
      <c r="BJ12" s="1084"/>
      <c r="BK12" s="1084"/>
      <c r="BL12" s="1084"/>
      <c r="BM12" s="1084"/>
      <c r="BN12" s="1084"/>
      <c r="BO12" s="1084"/>
      <c r="BP12" s="1084"/>
      <c r="BQ12" s="1084"/>
      <c r="BR12" s="1084"/>
      <c r="BS12" s="1084"/>
      <c r="BT12" s="1084"/>
      <c r="BU12" s="1084"/>
      <c r="BV12" s="1084"/>
      <c r="BW12" s="1084"/>
      <c r="BX12" s="1084"/>
      <c r="BY12" s="1084"/>
      <c r="BZ12" s="1084"/>
      <c r="CA12" s="1084"/>
      <c r="CB12" s="1084"/>
      <c r="CC12" s="1084"/>
      <c r="CD12" s="1084"/>
      <c r="CE12" s="1084"/>
      <c r="CF12" s="1084"/>
      <c r="CG12" s="1084"/>
      <c r="CH12" s="1084"/>
      <c r="CI12" s="1081"/>
      <c r="CJ12" s="1068"/>
    </row>
    <row r="13" spans="1:88" ht="16">
      <c r="A13" s="1070"/>
      <c r="B13" s="980" t="s">
        <v>6098</v>
      </c>
      <c r="C13" s="981" t="s">
        <v>6099</v>
      </c>
      <c r="D13" s="1881" t="s">
        <v>6100</v>
      </c>
      <c r="E13" s="1881" t="s">
        <v>6101</v>
      </c>
      <c r="F13" s="978">
        <v>0</v>
      </c>
      <c r="G13" s="1082"/>
      <c r="H13" s="1082"/>
      <c r="I13" s="1082"/>
      <c r="J13" s="1082"/>
      <c r="K13" s="1082"/>
      <c r="L13" s="1082"/>
      <c r="M13" s="1082"/>
      <c r="N13" s="1082"/>
      <c r="O13" s="1082"/>
      <c r="P13" s="1082"/>
      <c r="Q13" s="1082"/>
      <c r="R13" s="1082"/>
      <c r="S13" s="1082"/>
      <c r="T13" s="1082"/>
      <c r="U13" s="1082"/>
      <c r="V13" s="1082"/>
      <c r="W13" s="1082"/>
      <c r="X13" s="1082"/>
      <c r="Y13" s="1082"/>
      <c r="Z13" s="1082"/>
      <c r="AA13" s="1082"/>
      <c r="AB13" s="1082"/>
      <c r="AC13" s="1082"/>
      <c r="AD13" s="1082"/>
      <c r="AE13" s="1082"/>
      <c r="AF13" s="1082"/>
      <c r="AG13" s="1082"/>
      <c r="AH13" s="1082"/>
      <c r="AI13" s="1082"/>
      <c r="AJ13" s="1082"/>
      <c r="AK13" s="1082"/>
      <c r="AL13" s="1082"/>
      <c r="AM13" s="1082"/>
      <c r="AN13" s="1082"/>
      <c r="AO13" s="1082"/>
      <c r="AP13" s="1082"/>
      <c r="AQ13" s="1082"/>
      <c r="AR13" s="1082"/>
      <c r="AS13" s="1082"/>
      <c r="AT13" s="1082"/>
      <c r="AU13" s="1082"/>
      <c r="AV13" s="1082"/>
      <c r="AW13" s="1082"/>
      <c r="AX13" s="1082"/>
      <c r="AY13" s="1082"/>
      <c r="AZ13" s="1082"/>
      <c r="BA13" s="1082"/>
      <c r="BB13" s="1082"/>
      <c r="BC13" s="1082"/>
      <c r="BD13" s="1083"/>
      <c r="BE13" s="1083"/>
      <c r="BF13" s="1083"/>
      <c r="BG13" s="1083"/>
      <c r="BH13" s="1083"/>
      <c r="BI13" s="1083"/>
      <c r="BJ13" s="1083"/>
      <c r="BK13" s="1083"/>
      <c r="BL13" s="1083"/>
      <c r="BM13" s="1083"/>
      <c r="BN13" s="1083"/>
      <c r="BO13" s="1083"/>
      <c r="BP13" s="1083"/>
      <c r="BQ13" s="1083"/>
      <c r="BR13" s="1083"/>
      <c r="BS13" s="1083"/>
      <c r="BT13" s="1083"/>
      <c r="BU13" s="1083"/>
      <c r="BV13" s="1083"/>
      <c r="BW13" s="1083"/>
      <c r="BX13" s="1083"/>
      <c r="BY13" s="1083"/>
      <c r="BZ13" s="1083"/>
      <c r="CA13" s="1083"/>
      <c r="CB13" s="1083"/>
      <c r="CC13" s="1083"/>
      <c r="CD13" s="1083"/>
      <c r="CE13" s="1083"/>
      <c r="CF13" s="1083"/>
      <c r="CG13" s="1083"/>
      <c r="CH13" s="1083"/>
      <c r="CI13" s="1081"/>
      <c r="CJ13" s="1068"/>
    </row>
    <row r="14" spans="1:88" ht="16">
      <c r="A14" s="1070"/>
      <c r="B14" s="980" t="s">
        <v>6102</v>
      </c>
      <c r="C14" s="981" t="s">
        <v>6103</v>
      </c>
      <c r="D14" s="1881" t="s">
        <v>6104</v>
      </c>
      <c r="E14" s="1881" t="s">
        <v>6105</v>
      </c>
      <c r="F14" s="978">
        <v>0</v>
      </c>
      <c r="G14" s="1085">
        <f t="shared" ref="G14:BR14" si="0">+G8*0.06*1000</f>
        <v>0</v>
      </c>
      <c r="H14" s="1085">
        <f t="shared" si="0"/>
        <v>0</v>
      </c>
      <c r="I14" s="1085">
        <f t="shared" si="0"/>
        <v>0</v>
      </c>
      <c r="J14" s="1085">
        <f t="shared" si="0"/>
        <v>0</v>
      </c>
      <c r="K14" s="1085">
        <f t="shared" si="0"/>
        <v>0</v>
      </c>
      <c r="L14" s="1085">
        <f t="shared" si="0"/>
        <v>0</v>
      </c>
      <c r="M14" s="1085">
        <f t="shared" si="0"/>
        <v>0</v>
      </c>
      <c r="N14" s="1085">
        <f t="shared" si="0"/>
        <v>0</v>
      </c>
      <c r="O14" s="1085">
        <f t="shared" si="0"/>
        <v>0</v>
      </c>
      <c r="P14" s="1085">
        <f t="shared" si="0"/>
        <v>0</v>
      </c>
      <c r="Q14" s="1085">
        <f t="shared" si="0"/>
        <v>0</v>
      </c>
      <c r="R14" s="1085">
        <f t="shared" si="0"/>
        <v>0</v>
      </c>
      <c r="S14" s="1085">
        <f t="shared" si="0"/>
        <v>0</v>
      </c>
      <c r="T14" s="1085">
        <f t="shared" si="0"/>
        <v>0</v>
      </c>
      <c r="U14" s="1085">
        <f t="shared" si="0"/>
        <v>0</v>
      </c>
      <c r="V14" s="1085">
        <f t="shared" si="0"/>
        <v>0</v>
      </c>
      <c r="W14" s="1085">
        <f t="shared" si="0"/>
        <v>0</v>
      </c>
      <c r="X14" s="1085">
        <f t="shared" si="0"/>
        <v>0</v>
      </c>
      <c r="Y14" s="1085">
        <f t="shared" si="0"/>
        <v>0</v>
      </c>
      <c r="Z14" s="1085">
        <f t="shared" si="0"/>
        <v>0</v>
      </c>
      <c r="AA14" s="1085">
        <f t="shared" si="0"/>
        <v>0</v>
      </c>
      <c r="AB14" s="1085">
        <f t="shared" si="0"/>
        <v>0</v>
      </c>
      <c r="AC14" s="1085">
        <f t="shared" si="0"/>
        <v>0</v>
      </c>
      <c r="AD14" s="1085">
        <f t="shared" si="0"/>
        <v>0</v>
      </c>
      <c r="AE14" s="1085">
        <f t="shared" si="0"/>
        <v>0</v>
      </c>
      <c r="AF14" s="1085">
        <f t="shared" si="0"/>
        <v>0</v>
      </c>
      <c r="AG14" s="1085">
        <f t="shared" si="0"/>
        <v>0</v>
      </c>
      <c r="AH14" s="1085">
        <f t="shared" si="0"/>
        <v>0</v>
      </c>
      <c r="AI14" s="1085">
        <f t="shared" si="0"/>
        <v>0</v>
      </c>
      <c r="AJ14" s="1085">
        <f t="shared" si="0"/>
        <v>0</v>
      </c>
      <c r="AK14" s="1085">
        <f t="shared" si="0"/>
        <v>0</v>
      </c>
      <c r="AL14" s="1085">
        <f t="shared" si="0"/>
        <v>0</v>
      </c>
      <c r="AM14" s="1085">
        <f t="shared" si="0"/>
        <v>0</v>
      </c>
      <c r="AN14" s="1085">
        <f t="shared" si="0"/>
        <v>0</v>
      </c>
      <c r="AO14" s="1085">
        <f t="shared" si="0"/>
        <v>0</v>
      </c>
      <c r="AP14" s="1085">
        <f t="shared" si="0"/>
        <v>0</v>
      </c>
      <c r="AQ14" s="1085">
        <f t="shared" si="0"/>
        <v>0</v>
      </c>
      <c r="AR14" s="1085">
        <f t="shared" si="0"/>
        <v>0</v>
      </c>
      <c r="AS14" s="1085">
        <f t="shared" si="0"/>
        <v>0</v>
      </c>
      <c r="AT14" s="1085">
        <f t="shared" si="0"/>
        <v>0</v>
      </c>
      <c r="AU14" s="1085">
        <f t="shared" si="0"/>
        <v>0</v>
      </c>
      <c r="AV14" s="1085">
        <f t="shared" si="0"/>
        <v>0</v>
      </c>
      <c r="AW14" s="1085">
        <f t="shared" si="0"/>
        <v>0</v>
      </c>
      <c r="AX14" s="1085">
        <f t="shared" si="0"/>
        <v>0</v>
      </c>
      <c r="AY14" s="1085">
        <f t="shared" si="0"/>
        <v>0</v>
      </c>
      <c r="AZ14" s="1085">
        <f t="shared" si="0"/>
        <v>0</v>
      </c>
      <c r="BA14" s="1085">
        <f t="shared" si="0"/>
        <v>0</v>
      </c>
      <c r="BB14" s="1085">
        <f t="shared" si="0"/>
        <v>0</v>
      </c>
      <c r="BC14" s="1085">
        <f t="shared" si="0"/>
        <v>0</v>
      </c>
      <c r="BD14" s="1085">
        <f t="shared" si="0"/>
        <v>0</v>
      </c>
      <c r="BE14" s="1085">
        <f t="shared" si="0"/>
        <v>0</v>
      </c>
      <c r="BF14" s="1085">
        <f t="shared" si="0"/>
        <v>0</v>
      </c>
      <c r="BG14" s="1085">
        <f t="shared" si="0"/>
        <v>0</v>
      </c>
      <c r="BH14" s="1085">
        <f t="shared" si="0"/>
        <v>0</v>
      </c>
      <c r="BI14" s="1085">
        <f t="shared" si="0"/>
        <v>0</v>
      </c>
      <c r="BJ14" s="1085">
        <f t="shared" si="0"/>
        <v>0</v>
      </c>
      <c r="BK14" s="1085">
        <f t="shared" si="0"/>
        <v>0</v>
      </c>
      <c r="BL14" s="1085">
        <f t="shared" si="0"/>
        <v>0</v>
      </c>
      <c r="BM14" s="1085">
        <f t="shared" si="0"/>
        <v>0</v>
      </c>
      <c r="BN14" s="1085">
        <f t="shared" si="0"/>
        <v>0</v>
      </c>
      <c r="BO14" s="1085">
        <f t="shared" si="0"/>
        <v>0</v>
      </c>
      <c r="BP14" s="1085">
        <f t="shared" si="0"/>
        <v>0</v>
      </c>
      <c r="BQ14" s="1085">
        <f t="shared" si="0"/>
        <v>0</v>
      </c>
      <c r="BR14" s="1085">
        <f t="shared" si="0"/>
        <v>0</v>
      </c>
      <c r="BS14" s="1085">
        <f t="shared" ref="BS14:CH14" si="1">+BS8*0.06*1000</f>
        <v>0</v>
      </c>
      <c r="BT14" s="1085">
        <f t="shared" si="1"/>
        <v>0</v>
      </c>
      <c r="BU14" s="1085">
        <f t="shared" si="1"/>
        <v>0</v>
      </c>
      <c r="BV14" s="1085">
        <f t="shared" si="1"/>
        <v>0</v>
      </c>
      <c r="BW14" s="1085">
        <f t="shared" si="1"/>
        <v>0</v>
      </c>
      <c r="BX14" s="1085">
        <f t="shared" si="1"/>
        <v>0</v>
      </c>
      <c r="BY14" s="1085">
        <f t="shared" si="1"/>
        <v>0</v>
      </c>
      <c r="BZ14" s="1085">
        <f t="shared" si="1"/>
        <v>0</v>
      </c>
      <c r="CA14" s="1085">
        <f t="shared" si="1"/>
        <v>0</v>
      </c>
      <c r="CB14" s="1085">
        <f t="shared" si="1"/>
        <v>0</v>
      </c>
      <c r="CC14" s="1085">
        <f t="shared" si="1"/>
        <v>0</v>
      </c>
      <c r="CD14" s="1085">
        <f t="shared" si="1"/>
        <v>0</v>
      </c>
      <c r="CE14" s="1085">
        <f t="shared" si="1"/>
        <v>0</v>
      </c>
      <c r="CF14" s="1085">
        <f t="shared" si="1"/>
        <v>0</v>
      </c>
      <c r="CG14" s="1085">
        <f t="shared" si="1"/>
        <v>0</v>
      </c>
      <c r="CH14" s="1085">
        <f t="shared" si="1"/>
        <v>0</v>
      </c>
      <c r="CI14" s="1081"/>
      <c r="CJ14" s="1068"/>
    </row>
    <row r="15" spans="1:88" ht="16.5" thickBot="1">
      <c r="A15" s="1070"/>
      <c r="B15" s="985" t="s">
        <v>6106</v>
      </c>
      <c r="C15" s="1086" t="s">
        <v>6107</v>
      </c>
      <c r="D15" s="987" t="s">
        <v>6108</v>
      </c>
      <c r="E15" s="987" t="s">
        <v>6109</v>
      </c>
      <c r="F15" s="988">
        <v>0</v>
      </c>
      <c r="G15" s="1087"/>
      <c r="H15" s="1087"/>
      <c r="I15" s="1087"/>
      <c r="J15" s="1087"/>
      <c r="K15" s="1087"/>
      <c r="L15" s="1087"/>
      <c r="M15" s="1087"/>
      <c r="N15" s="1087"/>
      <c r="O15" s="1087"/>
      <c r="P15" s="1087"/>
      <c r="Q15" s="1087"/>
      <c r="R15" s="1087"/>
      <c r="S15" s="1087"/>
      <c r="T15" s="1087"/>
      <c r="U15" s="1087"/>
      <c r="V15" s="1087"/>
      <c r="W15" s="1087"/>
      <c r="X15" s="1087"/>
      <c r="Y15" s="1087"/>
      <c r="Z15" s="1087"/>
      <c r="AA15" s="1087"/>
      <c r="AB15" s="1087"/>
      <c r="AC15" s="1087"/>
      <c r="AD15" s="1087"/>
      <c r="AE15" s="1087"/>
      <c r="AF15" s="1087"/>
      <c r="AG15" s="1087"/>
      <c r="AH15" s="1087"/>
      <c r="AI15" s="1087"/>
      <c r="AJ15" s="1087"/>
      <c r="AK15" s="1087"/>
      <c r="AL15" s="1087"/>
      <c r="AM15" s="1087"/>
      <c r="AN15" s="1087"/>
      <c r="AO15" s="1087"/>
      <c r="AP15" s="1087"/>
      <c r="AQ15" s="1087"/>
      <c r="AR15" s="1087"/>
      <c r="AS15" s="1087"/>
      <c r="AT15" s="1087"/>
      <c r="AU15" s="1087"/>
      <c r="AV15" s="1087"/>
      <c r="AW15" s="1087"/>
      <c r="AX15" s="1087"/>
      <c r="AY15" s="1087"/>
      <c r="AZ15" s="1087"/>
      <c r="BA15" s="1087"/>
      <c r="BB15" s="1087"/>
      <c r="BC15" s="1087"/>
      <c r="BD15" s="1088"/>
      <c r="BE15" s="1088"/>
      <c r="BF15" s="1088"/>
      <c r="BG15" s="1088"/>
      <c r="BH15" s="1088"/>
      <c r="BI15" s="1088"/>
      <c r="BJ15" s="1088"/>
      <c r="BK15" s="1088"/>
      <c r="BL15" s="1088"/>
      <c r="BM15" s="1088"/>
      <c r="BN15" s="1088"/>
      <c r="BO15" s="1088"/>
      <c r="BP15" s="1088"/>
      <c r="BQ15" s="1088"/>
      <c r="BR15" s="1088"/>
      <c r="BS15" s="1088"/>
      <c r="BT15" s="1088"/>
      <c r="BU15" s="1088"/>
      <c r="BV15" s="1088"/>
      <c r="BW15" s="1088"/>
      <c r="BX15" s="1088"/>
      <c r="BY15" s="1088"/>
      <c r="BZ15" s="1088"/>
      <c r="CA15" s="1088"/>
      <c r="CB15" s="1088"/>
      <c r="CC15" s="1088"/>
      <c r="CD15" s="1088"/>
      <c r="CE15" s="1088"/>
      <c r="CF15" s="1088"/>
      <c r="CG15" s="1088"/>
      <c r="CH15" s="1088"/>
      <c r="CI15" s="1089"/>
      <c r="CJ15" s="1068"/>
    </row>
    <row r="16" spans="1:88" ht="16.5" thickBot="1">
      <c r="A16" s="1070"/>
      <c r="B16" s="1090"/>
      <c r="C16" s="1091"/>
      <c r="D16" s="1092"/>
      <c r="E16" s="1092"/>
      <c r="F16" s="1092"/>
      <c r="CI16" s="1068"/>
      <c r="CJ16" s="1068"/>
    </row>
    <row r="17" spans="1:88" ht="16.5" thickBot="1">
      <c r="A17" s="1070"/>
      <c r="B17" s="2869" t="s">
        <v>175</v>
      </c>
      <c r="C17" s="1153" t="s">
        <v>6110</v>
      </c>
      <c r="D17" s="1092"/>
      <c r="E17" s="1092"/>
      <c r="F17" s="1092"/>
      <c r="CI17" s="1068"/>
      <c r="CJ17" s="1068"/>
    </row>
    <row r="18" spans="1:88" ht="16">
      <c r="A18" s="1070"/>
      <c r="B18" s="971" t="s">
        <v>6111</v>
      </c>
      <c r="C18" s="1103" t="s">
        <v>6112</v>
      </c>
      <c r="D18" s="973" t="s">
        <v>6113</v>
      </c>
      <c r="E18" s="973" t="s">
        <v>1653</v>
      </c>
      <c r="F18" s="974">
        <v>0</v>
      </c>
      <c r="G18" s="2129"/>
      <c r="H18" s="2129"/>
      <c r="I18" s="2129"/>
      <c r="J18" s="2129"/>
      <c r="K18" s="2129"/>
      <c r="L18" s="2129"/>
      <c r="M18" s="2129"/>
      <c r="N18" s="2129"/>
      <c r="O18" s="2129"/>
      <c r="P18" s="2129"/>
      <c r="Q18" s="2129"/>
      <c r="R18" s="2129"/>
      <c r="S18" s="2129"/>
      <c r="T18" s="2129"/>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129"/>
      <c r="AS18" s="2129"/>
      <c r="AT18" s="2129"/>
      <c r="AU18" s="2129"/>
      <c r="AV18" s="2129"/>
      <c r="AW18" s="2129"/>
      <c r="AX18" s="2129"/>
      <c r="AY18" s="2129"/>
      <c r="AZ18" s="2129"/>
      <c r="BA18" s="2129"/>
      <c r="BB18" s="2129"/>
      <c r="BC18" s="2129"/>
      <c r="BD18" s="2129"/>
      <c r="BE18" s="2129"/>
      <c r="BF18" s="2129"/>
      <c r="BG18" s="2129"/>
      <c r="BH18" s="2129"/>
      <c r="BI18" s="2129"/>
      <c r="BJ18" s="2129"/>
      <c r="BK18" s="2129"/>
      <c r="BL18" s="2129"/>
      <c r="BM18" s="2129"/>
      <c r="BN18" s="2129"/>
      <c r="BO18" s="2129"/>
      <c r="BP18" s="2129"/>
      <c r="BQ18" s="2129"/>
      <c r="BR18" s="2129"/>
      <c r="BS18" s="2129"/>
      <c r="BT18" s="2129"/>
      <c r="BU18" s="2129"/>
      <c r="BV18" s="2129"/>
      <c r="BW18" s="2129"/>
      <c r="BX18" s="2129"/>
      <c r="BY18" s="2129"/>
      <c r="BZ18" s="2129"/>
      <c r="CA18" s="2129"/>
      <c r="CB18" s="2129"/>
      <c r="CC18" s="2129"/>
      <c r="CD18" s="2129"/>
      <c r="CE18" s="2129"/>
      <c r="CF18" s="2129"/>
      <c r="CG18" s="2129"/>
      <c r="CH18" s="2129"/>
      <c r="CI18" s="2130"/>
      <c r="CJ18" s="1068"/>
    </row>
    <row r="19" spans="1:88" ht="16">
      <c r="A19" s="1068"/>
      <c r="B19" s="1036" t="s">
        <v>6114</v>
      </c>
      <c r="C19" s="1106" t="s">
        <v>6115</v>
      </c>
      <c r="D19" s="1107" t="s">
        <v>6116</v>
      </c>
      <c r="E19" s="1107" t="s">
        <v>1653</v>
      </c>
      <c r="F19" s="1108">
        <v>0</v>
      </c>
      <c r="G19" s="1083"/>
      <c r="H19" s="1083"/>
      <c r="I19" s="1083"/>
      <c r="J19" s="1083"/>
      <c r="K19" s="1083"/>
      <c r="L19" s="1083"/>
      <c r="M19" s="1083"/>
      <c r="N19" s="1083"/>
      <c r="O19" s="1083"/>
      <c r="P19" s="1083"/>
      <c r="Q19" s="1083"/>
      <c r="R19" s="1083"/>
      <c r="S19" s="1083"/>
      <c r="T19" s="1083"/>
      <c r="U19" s="1083"/>
      <c r="V19" s="1083"/>
      <c r="W19" s="1083"/>
      <c r="X19" s="1083"/>
      <c r="Y19" s="1083"/>
      <c r="Z19" s="1083"/>
      <c r="AA19" s="1083"/>
      <c r="AB19" s="1083"/>
      <c r="AC19" s="1083"/>
      <c r="AD19" s="1083"/>
      <c r="AE19" s="1083"/>
      <c r="AF19" s="1083"/>
      <c r="AG19" s="1083"/>
      <c r="AH19" s="1083"/>
      <c r="AI19" s="1083"/>
      <c r="AJ19" s="1083"/>
      <c r="AK19" s="1083"/>
      <c r="AL19" s="1083"/>
      <c r="AM19" s="1083"/>
      <c r="AN19" s="1083"/>
      <c r="AO19" s="1083"/>
      <c r="AP19" s="1083"/>
      <c r="AQ19" s="1083"/>
      <c r="AR19" s="1083"/>
      <c r="AS19" s="1083"/>
      <c r="AT19" s="1083"/>
      <c r="AU19" s="1083"/>
      <c r="AV19" s="1083"/>
      <c r="AW19" s="1083"/>
      <c r="AX19" s="1083"/>
      <c r="AY19" s="1083"/>
      <c r="AZ19" s="1083"/>
      <c r="BA19" s="1083"/>
      <c r="BB19" s="1083"/>
      <c r="BC19" s="1083"/>
      <c r="BD19" s="1083"/>
      <c r="BE19" s="1083"/>
      <c r="BF19" s="1083"/>
      <c r="BG19" s="1083"/>
      <c r="BH19" s="1083"/>
      <c r="BI19" s="1083"/>
      <c r="BJ19" s="1083"/>
      <c r="BK19" s="1083"/>
      <c r="BL19" s="1083"/>
      <c r="BM19" s="1083"/>
      <c r="BN19" s="1083"/>
      <c r="BO19" s="1083"/>
      <c r="BP19" s="1083"/>
      <c r="BQ19" s="1083"/>
      <c r="BR19" s="1083"/>
      <c r="BS19" s="1083"/>
      <c r="BT19" s="1083"/>
      <c r="BU19" s="1083"/>
      <c r="BV19" s="1083"/>
      <c r="BW19" s="1083"/>
      <c r="BX19" s="1083"/>
      <c r="BY19" s="1083"/>
      <c r="BZ19" s="1083"/>
      <c r="CA19" s="1083"/>
      <c r="CB19" s="1083"/>
      <c r="CC19" s="1083"/>
      <c r="CD19" s="1083"/>
      <c r="CE19" s="1083"/>
      <c r="CF19" s="1083"/>
      <c r="CG19" s="1083"/>
      <c r="CH19" s="1910"/>
      <c r="CI19" s="1081"/>
      <c r="CJ19" s="1068"/>
    </row>
    <row r="20" spans="1:88" ht="16">
      <c r="A20" s="1070"/>
      <c r="B20" s="980" t="s">
        <v>6117</v>
      </c>
      <c r="C20" s="1913" t="s">
        <v>6118</v>
      </c>
      <c r="D20" s="1881" t="s">
        <v>6119</v>
      </c>
      <c r="E20" s="1881" t="s">
        <v>1653</v>
      </c>
      <c r="F20" s="978">
        <v>0</v>
      </c>
      <c r="G20" s="1083"/>
      <c r="H20" s="1083"/>
      <c r="I20" s="1083"/>
      <c r="J20" s="1083"/>
      <c r="K20" s="1083"/>
      <c r="L20" s="1083"/>
      <c r="M20" s="1083"/>
      <c r="N20" s="1083"/>
      <c r="O20" s="1083"/>
      <c r="P20" s="1083"/>
      <c r="Q20" s="1083"/>
      <c r="R20" s="1083"/>
      <c r="S20" s="1083"/>
      <c r="T20" s="1083"/>
      <c r="U20" s="1083"/>
      <c r="V20" s="1083"/>
      <c r="W20" s="1083"/>
      <c r="X20" s="1083"/>
      <c r="Y20" s="1083"/>
      <c r="Z20" s="1083"/>
      <c r="AA20" s="1083"/>
      <c r="AB20" s="1083"/>
      <c r="AC20" s="1083"/>
      <c r="AD20" s="1083"/>
      <c r="AE20" s="1083"/>
      <c r="AF20" s="1083"/>
      <c r="AG20" s="1083"/>
      <c r="AH20" s="1083"/>
      <c r="AI20" s="1083"/>
      <c r="AJ20" s="1083"/>
      <c r="AK20" s="1083"/>
      <c r="AL20" s="1083"/>
      <c r="AM20" s="1083"/>
      <c r="AN20" s="1083"/>
      <c r="AO20" s="1083"/>
      <c r="AP20" s="1083"/>
      <c r="AQ20" s="1083"/>
      <c r="AR20" s="1083"/>
      <c r="AS20" s="1083"/>
      <c r="AT20" s="1083"/>
      <c r="AU20" s="1083"/>
      <c r="AV20" s="1083"/>
      <c r="AW20" s="1083"/>
      <c r="AX20" s="1083"/>
      <c r="AY20" s="1083"/>
      <c r="AZ20" s="1083"/>
      <c r="BA20" s="1083"/>
      <c r="BB20" s="1083"/>
      <c r="BC20" s="1083"/>
      <c r="BD20" s="1083"/>
      <c r="BE20" s="1083"/>
      <c r="BF20" s="1083"/>
      <c r="BG20" s="1083"/>
      <c r="BH20" s="1083"/>
      <c r="BI20" s="1083"/>
      <c r="BJ20" s="1083"/>
      <c r="BK20" s="1083"/>
      <c r="BL20" s="1083"/>
      <c r="BM20" s="1083"/>
      <c r="BN20" s="1083"/>
      <c r="BO20" s="1083"/>
      <c r="BP20" s="1083"/>
      <c r="BQ20" s="1083"/>
      <c r="BR20" s="1083"/>
      <c r="BS20" s="1083"/>
      <c r="BT20" s="1083"/>
      <c r="BU20" s="1083"/>
      <c r="BV20" s="1083"/>
      <c r="BW20" s="1083"/>
      <c r="BX20" s="1083"/>
      <c r="BY20" s="1083"/>
      <c r="BZ20" s="1083"/>
      <c r="CA20" s="1083"/>
      <c r="CB20" s="1083"/>
      <c r="CC20" s="1083"/>
      <c r="CD20" s="1083"/>
      <c r="CE20" s="1083"/>
      <c r="CF20" s="1083"/>
      <c r="CG20" s="1912"/>
      <c r="CH20" s="1083"/>
      <c r="CI20" s="1095"/>
      <c r="CJ20" s="1068"/>
    </row>
    <row r="21" spans="1:88" ht="16">
      <c r="A21" s="1070"/>
      <c r="B21" s="977" t="s">
        <v>6120</v>
      </c>
      <c r="C21" s="1093" t="s">
        <v>6121</v>
      </c>
      <c r="D21" s="1172" t="s">
        <v>6119</v>
      </c>
      <c r="E21" s="1172" t="s">
        <v>1653</v>
      </c>
      <c r="F21" s="1911">
        <v>0</v>
      </c>
      <c r="G21" s="1085">
        <f>G18+G19+G20</f>
        <v>0</v>
      </c>
      <c r="H21" s="1085">
        <f t="shared" ref="H21:BS21" si="2">H18+H19+H20</f>
        <v>0</v>
      </c>
      <c r="I21" s="1085">
        <f t="shared" si="2"/>
        <v>0</v>
      </c>
      <c r="J21" s="1085">
        <f t="shared" si="2"/>
        <v>0</v>
      </c>
      <c r="K21" s="1085">
        <f t="shared" si="2"/>
        <v>0</v>
      </c>
      <c r="L21" s="1085">
        <f t="shared" si="2"/>
        <v>0</v>
      </c>
      <c r="M21" s="1085">
        <f t="shared" si="2"/>
        <v>0</v>
      </c>
      <c r="N21" s="1085">
        <f t="shared" si="2"/>
        <v>0</v>
      </c>
      <c r="O21" s="1085">
        <f t="shared" si="2"/>
        <v>0</v>
      </c>
      <c r="P21" s="1085">
        <f t="shared" si="2"/>
        <v>0</v>
      </c>
      <c r="Q21" s="1085">
        <f t="shared" si="2"/>
        <v>0</v>
      </c>
      <c r="R21" s="1085">
        <f t="shared" si="2"/>
        <v>0</v>
      </c>
      <c r="S21" s="1085">
        <f t="shared" si="2"/>
        <v>0</v>
      </c>
      <c r="T21" s="1085">
        <f t="shared" si="2"/>
        <v>0</v>
      </c>
      <c r="U21" s="1085">
        <f t="shared" si="2"/>
        <v>0</v>
      </c>
      <c r="V21" s="1085">
        <f t="shared" si="2"/>
        <v>0</v>
      </c>
      <c r="W21" s="1085">
        <f t="shared" si="2"/>
        <v>0</v>
      </c>
      <c r="X21" s="1085">
        <f t="shared" si="2"/>
        <v>0</v>
      </c>
      <c r="Y21" s="1085">
        <f t="shared" si="2"/>
        <v>0</v>
      </c>
      <c r="Z21" s="1085">
        <f t="shared" si="2"/>
        <v>0</v>
      </c>
      <c r="AA21" s="1085">
        <f t="shared" si="2"/>
        <v>0</v>
      </c>
      <c r="AB21" s="1085">
        <f t="shared" si="2"/>
        <v>0</v>
      </c>
      <c r="AC21" s="1085">
        <f t="shared" si="2"/>
        <v>0</v>
      </c>
      <c r="AD21" s="1085">
        <f t="shared" si="2"/>
        <v>0</v>
      </c>
      <c r="AE21" s="1085">
        <f t="shared" si="2"/>
        <v>0</v>
      </c>
      <c r="AF21" s="1085">
        <f t="shared" si="2"/>
        <v>0</v>
      </c>
      <c r="AG21" s="1085">
        <f t="shared" si="2"/>
        <v>0</v>
      </c>
      <c r="AH21" s="1085">
        <f t="shared" si="2"/>
        <v>0</v>
      </c>
      <c r="AI21" s="1085">
        <f t="shared" si="2"/>
        <v>0</v>
      </c>
      <c r="AJ21" s="1085">
        <f t="shared" si="2"/>
        <v>0</v>
      </c>
      <c r="AK21" s="1085">
        <f t="shared" si="2"/>
        <v>0</v>
      </c>
      <c r="AL21" s="1085">
        <f t="shared" si="2"/>
        <v>0</v>
      </c>
      <c r="AM21" s="1085">
        <f t="shared" si="2"/>
        <v>0</v>
      </c>
      <c r="AN21" s="1085">
        <f t="shared" si="2"/>
        <v>0</v>
      </c>
      <c r="AO21" s="1085">
        <f t="shared" si="2"/>
        <v>0</v>
      </c>
      <c r="AP21" s="1085">
        <f t="shared" si="2"/>
        <v>0</v>
      </c>
      <c r="AQ21" s="1085">
        <f t="shared" si="2"/>
        <v>0</v>
      </c>
      <c r="AR21" s="1085">
        <f t="shared" si="2"/>
        <v>0</v>
      </c>
      <c r="AS21" s="1085">
        <f t="shared" si="2"/>
        <v>0</v>
      </c>
      <c r="AT21" s="1085">
        <f t="shared" si="2"/>
        <v>0</v>
      </c>
      <c r="AU21" s="1085">
        <f t="shared" si="2"/>
        <v>0</v>
      </c>
      <c r="AV21" s="1085">
        <f t="shared" si="2"/>
        <v>0</v>
      </c>
      <c r="AW21" s="1085">
        <f t="shared" si="2"/>
        <v>0</v>
      </c>
      <c r="AX21" s="1085">
        <f t="shared" si="2"/>
        <v>0</v>
      </c>
      <c r="AY21" s="1085">
        <f t="shared" si="2"/>
        <v>0</v>
      </c>
      <c r="AZ21" s="1085">
        <f t="shared" si="2"/>
        <v>0</v>
      </c>
      <c r="BA21" s="1085">
        <f t="shared" si="2"/>
        <v>0</v>
      </c>
      <c r="BB21" s="1085">
        <f t="shared" si="2"/>
        <v>0</v>
      </c>
      <c r="BC21" s="1085">
        <f t="shared" si="2"/>
        <v>0</v>
      </c>
      <c r="BD21" s="1085">
        <f t="shared" si="2"/>
        <v>0</v>
      </c>
      <c r="BE21" s="1085">
        <f t="shared" si="2"/>
        <v>0</v>
      </c>
      <c r="BF21" s="1085">
        <f t="shared" si="2"/>
        <v>0</v>
      </c>
      <c r="BG21" s="1085">
        <f t="shared" si="2"/>
        <v>0</v>
      </c>
      <c r="BH21" s="1085">
        <f t="shared" si="2"/>
        <v>0</v>
      </c>
      <c r="BI21" s="1085">
        <f t="shared" si="2"/>
        <v>0</v>
      </c>
      <c r="BJ21" s="1085">
        <f t="shared" si="2"/>
        <v>0</v>
      </c>
      <c r="BK21" s="1085">
        <f t="shared" si="2"/>
        <v>0</v>
      </c>
      <c r="BL21" s="1085">
        <f t="shared" si="2"/>
        <v>0</v>
      </c>
      <c r="BM21" s="1085">
        <f t="shared" si="2"/>
        <v>0</v>
      </c>
      <c r="BN21" s="1085">
        <f t="shared" si="2"/>
        <v>0</v>
      </c>
      <c r="BO21" s="1085">
        <f t="shared" si="2"/>
        <v>0</v>
      </c>
      <c r="BP21" s="1085">
        <f t="shared" si="2"/>
        <v>0</v>
      </c>
      <c r="BQ21" s="1085">
        <f t="shared" si="2"/>
        <v>0</v>
      </c>
      <c r="BR21" s="1085">
        <f t="shared" si="2"/>
        <v>0</v>
      </c>
      <c r="BS21" s="1085">
        <f t="shared" si="2"/>
        <v>0</v>
      </c>
      <c r="BT21" s="1085">
        <f t="shared" ref="BT21:CH21" si="3">BT18+BT19+BT20</f>
        <v>0</v>
      </c>
      <c r="BU21" s="1085">
        <f t="shared" si="3"/>
        <v>0</v>
      </c>
      <c r="BV21" s="1085">
        <f t="shared" si="3"/>
        <v>0</v>
      </c>
      <c r="BW21" s="1085">
        <f t="shared" si="3"/>
        <v>0</v>
      </c>
      <c r="BX21" s="1085">
        <f t="shared" si="3"/>
        <v>0</v>
      </c>
      <c r="BY21" s="1085">
        <f t="shared" si="3"/>
        <v>0</v>
      </c>
      <c r="BZ21" s="1085">
        <f t="shared" si="3"/>
        <v>0</v>
      </c>
      <c r="CA21" s="1085">
        <f t="shared" si="3"/>
        <v>0</v>
      </c>
      <c r="CB21" s="1085">
        <f t="shared" si="3"/>
        <v>0</v>
      </c>
      <c r="CC21" s="1085">
        <f t="shared" si="3"/>
        <v>0</v>
      </c>
      <c r="CD21" s="1085">
        <f t="shared" si="3"/>
        <v>0</v>
      </c>
      <c r="CE21" s="1085">
        <f t="shared" si="3"/>
        <v>0</v>
      </c>
      <c r="CF21" s="1085">
        <f t="shared" si="3"/>
        <v>0</v>
      </c>
      <c r="CG21" s="1085">
        <f t="shared" si="3"/>
        <v>0</v>
      </c>
      <c r="CH21" s="1085">
        <f t="shared" si="3"/>
        <v>0</v>
      </c>
      <c r="CI21" s="1174"/>
      <c r="CJ21" s="1068"/>
    </row>
    <row r="22" spans="1:88" ht="16">
      <c r="A22" s="1070"/>
      <c r="B22" s="980" t="s">
        <v>6122</v>
      </c>
      <c r="C22" s="981" t="s">
        <v>6123</v>
      </c>
      <c r="D22" s="1881" t="s">
        <v>6124</v>
      </c>
      <c r="E22" s="1881" t="s">
        <v>1653</v>
      </c>
      <c r="F22" s="978">
        <v>0</v>
      </c>
      <c r="G22" s="1083"/>
      <c r="H22" s="1083"/>
      <c r="I22" s="1083"/>
      <c r="J22" s="1083"/>
      <c r="K22" s="1083"/>
      <c r="L22" s="1083"/>
      <c r="M22" s="1083"/>
      <c r="N22" s="1083"/>
      <c r="O22" s="1083"/>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95"/>
      <c r="CJ22" s="1068"/>
    </row>
    <row r="23" spans="1:88" ht="16.5" thickBot="1">
      <c r="A23" s="1070"/>
      <c r="B23" s="985" t="s">
        <v>6125</v>
      </c>
      <c r="C23" s="1086" t="s">
        <v>6126</v>
      </c>
      <c r="D23" s="987" t="s">
        <v>6127</v>
      </c>
      <c r="E23" s="987" t="s">
        <v>1653</v>
      </c>
      <c r="F23" s="988">
        <v>0</v>
      </c>
      <c r="G23" s="2131">
        <f t="shared" ref="G23:BR23" si="4">G21+G22</f>
        <v>0</v>
      </c>
      <c r="H23" s="2131">
        <f t="shared" si="4"/>
        <v>0</v>
      </c>
      <c r="I23" s="2131">
        <f t="shared" si="4"/>
        <v>0</v>
      </c>
      <c r="J23" s="2131">
        <f t="shared" si="4"/>
        <v>0</v>
      </c>
      <c r="K23" s="2131">
        <f t="shared" si="4"/>
        <v>0</v>
      </c>
      <c r="L23" s="2131">
        <f t="shared" si="4"/>
        <v>0</v>
      </c>
      <c r="M23" s="2131">
        <f t="shared" si="4"/>
        <v>0</v>
      </c>
      <c r="N23" s="2131">
        <f t="shared" si="4"/>
        <v>0</v>
      </c>
      <c r="O23" s="2131">
        <f t="shared" si="4"/>
        <v>0</v>
      </c>
      <c r="P23" s="2131">
        <f t="shared" si="4"/>
        <v>0</v>
      </c>
      <c r="Q23" s="2131">
        <f t="shared" si="4"/>
        <v>0</v>
      </c>
      <c r="R23" s="2131">
        <f t="shared" si="4"/>
        <v>0</v>
      </c>
      <c r="S23" s="2131">
        <f t="shared" si="4"/>
        <v>0</v>
      </c>
      <c r="T23" s="2131">
        <f t="shared" si="4"/>
        <v>0</v>
      </c>
      <c r="U23" s="2131">
        <f t="shared" si="4"/>
        <v>0</v>
      </c>
      <c r="V23" s="2131">
        <f t="shared" si="4"/>
        <v>0</v>
      </c>
      <c r="W23" s="2131">
        <f t="shared" si="4"/>
        <v>0</v>
      </c>
      <c r="X23" s="2131">
        <f t="shared" si="4"/>
        <v>0</v>
      </c>
      <c r="Y23" s="2131">
        <f t="shared" si="4"/>
        <v>0</v>
      </c>
      <c r="Z23" s="2131">
        <f t="shared" si="4"/>
        <v>0</v>
      </c>
      <c r="AA23" s="2131">
        <f t="shared" si="4"/>
        <v>0</v>
      </c>
      <c r="AB23" s="2131">
        <f t="shared" si="4"/>
        <v>0</v>
      </c>
      <c r="AC23" s="2131">
        <f t="shared" si="4"/>
        <v>0</v>
      </c>
      <c r="AD23" s="2131">
        <f t="shared" si="4"/>
        <v>0</v>
      </c>
      <c r="AE23" s="2131">
        <f t="shared" si="4"/>
        <v>0</v>
      </c>
      <c r="AF23" s="2131">
        <f t="shared" si="4"/>
        <v>0</v>
      </c>
      <c r="AG23" s="2131">
        <f t="shared" si="4"/>
        <v>0</v>
      </c>
      <c r="AH23" s="2131">
        <f t="shared" si="4"/>
        <v>0</v>
      </c>
      <c r="AI23" s="2131">
        <f t="shared" si="4"/>
        <v>0</v>
      </c>
      <c r="AJ23" s="2131">
        <f t="shared" si="4"/>
        <v>0</v>
      </c>
      <c r="AK23" s="2131">
        <f t="shared" si="4"/>
        <v>0</v>
      </c>
      <c r="AL23" s="2131">
        <f t="shared" si="4"/>
        <v>0</v>
      </c>
      <c r="AM23" s="2131">
        <f t="shared" si="4"/>
        <v>0</v>
      </c>
      <c r="AN23" s="2131">
        <f t="shared" si="4"/>
        <v>0</v>
      </c>
      <c r="AO23" s="2131">
        <f t="shared" si="4"/>
        <v>0</v>
      </c>
      <c r="AP23" s="2131">
        <f t="shared" si="4"/>
        <v>0</v>
      </c>
      <c r="AQ23" s="2131">
        <f t="shared" si="4"/>
        <v>0</v>
      </c>
      <c r="AR23" s="2131">
        <f t="shared" si="4"/>
        <v>0</v>
      </c>
      <c r="AS23" s="2131">
        <f t="shared" si="4"/>
        <v>0</v>
      </c>
      <c r="AT23" s="2131">
        <f t="shared" si="4"/>
        <v>0</v>
      </c>
      <c r="AU23" s="2131">
        <f t="shared" si="4"/>
        <v>0</v>
      </c>
      <c r="AV23" s="2131">
        <f t="shared" si="4"/>
        <v>0</v>
      </c>
      <c r="AW23" s="2131">
        <f t="shared" si="4"/>
        <v>0</v>
      </c>
      <c r="AX23" s="2131">
        <f t="shared" si="4"/>
        <v>0</v>
      </c>
      <c r="AY23" s="2131">
        <f t="shared" si="4"/>
        <v>0</v>
      </c>
      <c r="AZ23" s="2131">
        <f t="shared" si="4"/>
        <v>0</v>
      </c>
      <c r="BA23" s="2131">
        <f t="shared" si="4"/>
        <v>0</v>
      </c>
      <c r="BB23" s="2131">
        <f t="shared" si="4"/>
        <v>0</v>
      </c>
      <c r="BC23" s="2131">
        <f t="shared" si="4"/>
        <v>0</v>
      </c>
      <c r="BD23" s="2131">
        <f t="shared" si="4"/>
        <v>0</v>
      </c>
      <c r="BE23" s="2131">
        <f t="shared" si="4"/>
        <v>0</v>
      </c>
      <c r="BF23" s="2131">
        <f t="shared" si="4"/>
        <v>0</v>
      </c>
      <c r="BG23" s="2131">
        <f t="shared" si="4"/>
        <v>0</v>
      </c>
      <c r="BH23" s="2131">
        <f t="shared" si="4"/>
        <v>0</v>
      </c>
      <c r="BI23" s="2131">
        <f t="shared" si="4"/>
        <v>0</v>
      </c>
      <c r="BJ23" s="2131">
        <f t="shared" si="4"/>
        <v>0</v>
      </c>
      <c r="BK23" s="2131">
        <f t="shared" si="4"/>
        <v>0</v>
      </c>
      <c r="BL23" s="2131">
        <f t="shared" si="4"/>
        <v>0</v>
      </c>
      <c r="BM23" s="2131">
        <f t="shared" si="4"/>
        <v>0</v>
      </c>
      <c r="BN23" s="2131">
        <f t="shared" si="4"/>
        <v>0</v>
      </c>
      <c r="BO23" s="2131">
        <f t="shared" si="4"/>
        <v>0</v>
      </c>
      <c r="BP23" s="2131">
        <f t="shared" si="4"/>
        <v>0</v>
      </c>
      <c r="BQ23" s="2131">
        <f t="shared" si="4"/>
        <v>0</v>
      </c>
      <c r="BR23" s="2131">
        <f t="shared" si="4"/>
        <v>0</v>
      </c>
      <c r="BS23" s="2131">
        <f t="shared" ref="BS23:CH23" si="5">BS21+BS22</f>
        <v>0</v>
      </c>
      <c r="BT23" s="2131">
        <f t="shared" si="5"/>
        <v>0</v>
      </c>
      <c r="BU23" s="2131">
        <f t="shared" si="5"/>
        <v>0</v>
      </c>
      <c r="BV23" s="2131">
        <f t="shared" si="5"/>
        <v>0</v>
      </c>
      <c r="BW23" s="2131">
        <f t="shared" si="5"/>
        <v>0</v>
      </c>
      <c r="BX23" s="2131">
        <f t="shared" si="5"/>
        <v>0</v>
      </c>
      <c r="BY23" s="2131">
        <f t="shared" si="5"/>
        <v>0</v>
      </c>
      <c r="BZ23" s="2131">
        <f t="shared" si="5"/>
        <v>0</v>
      </c>
      <c r="CA23" s="2131">
        <f t="shared" si="5"/>
        <v>0</v>
      </c>
      <c r="CB23" s="2131">
        <f t="shared" si="5"/>
        <v>0</v>
      </c>
      <c r="CC23" s="2131">
        <f t="shared" si="5"/>
        <v>0</v>
      </c>
      <c r="CD23" s="2131">
        <f t="shared" si="5"/>
        <v>0</v>
      </c>
      <c r="CE23" s="2131">
        <f t="shared" si="5"/>
        <v>0</v>
      </c>
      <c r="CF23" s="2131">
        <f t="shared" si="5"/>
        <v>0</v>
      </c>
      <c r="CG23" s="2131">
        <f t="shared" si="5"/>
        <v>0</v>
      </c>
      <c r="CH23" s="2131">
        <f t="shared" si="5"/>
        <v>0</v>
      </c>
      <c r="CI23" s="1089"/>
      <c r="CJ23" s="1068"/>
    </row>
    <row r="24" spans="1:88"/>
    <row r="25" spans="1:88" ht="16">
      <c r="A25" s="1068"/>
      <c r="B25" s="2884" t="s">
        <v>241</v>
      </c>
      <c r="C25" s="2885"/>
    </row>
    <row r="26" spans="1:88" ht="16">
      <c r="A26" s="1068"/>
    </row>
    <row r="27" spans="1:88" ht="16">
      <c r="A27" s="1068"/>
      <c r="B27" s="929"/>
      <c r="C27" s="1096" t="s">
        <v>188</v>
      </c>
    </row>
    <row r="28" spans="1:88" ht="16">
      <c r="A28" s="1068"/>
      <c r="B28" s="1097"/>
      <c r="C28" s="928"/>
    </row>
    <row r="29" spans="1:88" ht="16">
      <c r="A29" s="1068"/>
      <c r="B29" s="931"/>
      <c r="C29" s="1096" t="s">
        <v>4346</v>
      </c>
      <c r="E29" s="1068"/>
      <c r="F29" s="1068"/>
      <c r="G29" s="1068"/>
      <c r="H29" s="1068"/>
      <c r="I29" s="1068"/>
      <c r="J29" s="1068"/>
      <c r="K29" s="1068"/>
      <c r="L29" s="1068"/>
      <c r="M29" s="1068"/>
      <c r="N29" s="1068"/>
      <c r="O29" s="1068"/>
      <c r="P29" s="1068"/>
      <c r="Q29" s="1068"/>
      <c r="R29" s="1068"/>
      <c r="S29" s="1068"/>
      <c r="T29" s="1068"/>
      <c r="U29" s="1068"/>
      <c r="V29" s="1068"/>
      <c r="W29" s="1068"/>
      <c r="X29" s="1068"/>
      <c r="Y29" s="1068"/>
      <c r="Z29" s="1068"/>
      <c r="AA29" s="1068"/>
      <c r="AB29" s="1068"/>
      <c r="AC29" s="1068"/>
      <c r="AD29" s="1068"/>
      <c r="AE29" s="1068"/>
      <c r="AF29" s="1068"/>
      <c r="AG29" s="1068"/>
      <c r="AH29" s="1068"/>
      <c r="AI29" s="1068"/>
      <c r="AJ29" s="1068"/>
      <c r="AK29" s="1068"/>
      <c r="AL29" s="1068"/>
      <c r="AM29" s="1068"/>
      <c r="AN29" s="1068"/>
      <c r="AO29" s="1068"/>
      <c r="AP29" s="1068"/>
      <c r="AQ29" s="1068"/>
      <c r="AR29" s="1068"/>
      <c r="AS29" s="1068"/>
      <c r="AT29" s="1068"/>
      <c r="AU29" s="1068"/>
      <c r="AV29" s="1068"/>
      <c r="AW29" s="1068"/>
      <c r="AX29" s="1068"/>
      <c r="AY29" s="1068"/>
      <c r="AZ29" s="1068"/>
      <c r="BA29" s="1068"/>
      <c r="BB29" s="1068"/>
      <c r="BC29" s="1068"/>
      <c r="BD29" s="1068"/>
      <c r="BE29" s="1068"/>
      <c r="BF29" s="1068"/>
      <c r="BG29" s="1068"/>
      <c r="BH29" s="1068"/>
      <c r="BI29" s="1068"/>
      <c r="BJ29" s="1068"/>
      <c r="BK29" s="1068"/>
      <c r="BL29" s="1068"/>
      <c r="BM29" s="1068"/>
      <c r="BN29" s="1068"/>
      <c r="BO29" s="1068"/>
      <c r="BP29" s="1068"/>
      <c r="BQ29" s="1068"/>
      <c r="BR29" s="1068"/>
      <c r="BS29" s="1068"/>
      <c r="BT29" s="1068"/>
      <c r="BU29" s="1068"/>
      <c r="BV29" s="1068"/>
      <c r="BW29" s="1068"/>
      <c r="BX29" s="1068"/>
      <c r="BY29" s="1068"/>
      <c r="BZ29" s="1068"/>
      <c r="CA29" s="1068"/>
      <c r="CB29" s="1068"/>
      <c r="CC29" s="1068"/>
      <c r="CD29" s="1068"/>
      <c r="CE29" s="1068"/>
      <c r="CF29" s="1068"/>
      <c r="CG29" s="1068"/>
      <c r="CH29" s="1068"/>
      <c r="CI29" s="1068"/>
      <c r="CJ29" s="1068"/>
    </row>
    <row r="30" spans="1:88" ht="16">
      <c r="A30" s="1068"/>
      <c r="B30" s="1068"/>
      <c r="C30" s="1068"/>
      <c r="E30" s="1068"/>
      <c r="F30" s="1068"/>
      <c r="G30" s="1068"/>
      <c r="H30" s="1068"/>
      <c r="I30" s="1068"/>
      <c r="J30" s="1068"/>
      <c r="K30" s="1068"/>
      <c r="L30" s="1068"/>
      <c r="M30" s="1068"/>
      <c r="N30" s="1068"/>
      <c r="O30" s="1068"/>
      <c r="P30" s="1068"/>
      <c r="Q30" s="1068"/>
      <c r="R30" s="1068"/>
      <c r="S30" s="1068"/>
      <c r="T30" s="1068"/>
      <c r="U30" s="1068"/>
      <c r="V30" s="1068"/>
      <c r="W30" s="1068"/>
      <c r="X30" s="1068"/>
      <c r="Y30" s="1068"/>
      <c r="Z30" s="1068"/>
      <c r="AA30" s="1068"/>
      <c r="AB30" s="1068"/>
      <c r="AC30" s="1068"/>
      <c r="AD30" s="1068"/>
      <c r="AE30" s="1068"/>
      <c r="AF30" s="1068"/>
      <c r="AG30" s="1068"/>
      <c r="AH30" s="1068"/>
      <c r="AI30" s="1068"/>
      <c r="AJ30" s="1068"/>
      <c r="AK30" s="1068"/>
      <c r="AL30" s="1068"/>
      <c r="AM30" s="1068"/>
      <c r="AN30" s="1068"/>
      <c r="AO30" s="1068"/>
      <c r="AP30" s="1068"/>
      <c r="AQ30" s="1068"/>
      <c r="AR30" s="1068"/>
      <c r="AS30" s="1068"/>
      <c r="AT30" s="1068"/>
      <c r="AU30" s="1068"/>
      <c r="AV30" s="1068"/>
      <c r="AW30" s="1068"/>
      <c r="AX30" s="1068"/>
      <c r="AY30" s="1068"/>
      <c r="AZ30" s="1068"/>
      <c r="BA30" s="1068"/>
      <c r="BB30" s="1068"/>
      <c r="BC30" s="1068"/>
      <c r="BD30" s="1068"/>
      <c r="BE30" s="1068"/>
      <c r="BF30" s="1068"/>
      <c r="BG30" s="1068"/>
      <c r="BH30" s="1068"/>
      <c r="BI30" s="1068"/>
      <c r="BJ30" s="1068"/>
      <c r="BK30" s="1068"/>
      <c r="BL30" s="1068"/>
      <c r="BM30" s="1068"/>
      <c r="BN30" s="1068"/>
      <c r="BO30" s="1068"/>
      <c r="BP30" s="1068"/>
      <c r="BQ30" s="1068"/>
      <c r="BR30" s="1068"/>
      <c r="BS30" s="1068"/>
      <c r="BT30" s="1068"/>
      <c r="BU30" s="1068"/>
      <c r="BV30" s="1068"/>
      <c r="BW30" s="1068"/>
      <c r="BX30" s="1068"/>
      <c r="BY30" s="1068"/>
      <c r="BZ30" s="1068"/>
      <c r="CA30" s="1068"/>
      <c r="CB30" s="1068"/>
      <c r="CC30" s="1068"/>
      <c r="CD30" s="1068"/>
      <c r="CE30" s="1068"/>
      <c r="CF30" s="1068"/>
      <c r="CG30" s="1068"/>
      <c r="CH30" s="1068"/>
      <c r="CI30" s="1068"/>
      <c r="CJ30" s="1068"/>
    </row>
    <row r="31" spans="1:88" ht="16.5" thickBot="1">
      <c r="A31" s="1068"/>
      <c r="B31" s="1068"/>
      <c r="C31" s="1068"/>
      <c r="D31" s="1068"/>
      <c r="E31" s="1068"/>
      <c r="F31" s="1068"/>
      <c r="G31" s="1068"/>
      <c r="H31" s="1068"/>
      <c r="I31" s="1068"/>
      <c r="J31" s="1068"/>
      <c r="K31" s="1068"/>
      <c r="L31" s="1068"/>
      <c r="M31" s="1068"/>
      <c r="N31" s="1068"/>
      <c r="O31" s="1068"/>
      <c r="P31" s="1068"/>
      <c r="Q31" s="1068"/>
      <c r="R31" s="1068"/>
      <c r="S31" s="1068"/>
      <c r="T31" s="1068"/>
      <c r="U31" s="1068"/>
      <c r="V31" s="1068"/>
      <c r="W31" s="1068"/>
      <c r="X31" s="1068"/>
      <c r="Y31" s="1068"/>
      <c r="Z31" s="1068"/>
      <c r="AA31" s="1068"/>
      <c r="AB31" s="1068"/>
      <c r="AC31" s="1068"/>
      <c r="AD31" s="1068"/>
      <c r="AE31" s="1068"/>
      <c r="AF31" s="1068"/>
      <c r="AG31" s="1068"/>
      <c r="AH31" s="1068"/>
      <c r="AI31" s="1068"/>
      <c r="AJ31" s="1068"/>
      <c r="AK31" s="1068"/>
      <c r="AL31" s="1068"/>
      <c r="AM31" s="1068"/>
      <c r="AN31" s="1068"/>
      <c r="AO31" s="1068"/>
      <c r="AP31" s="1068"/>
      <c r="AQ31" s="1068"/>
      <c r="AR31" s="1068"/>
      <c r="AS31" s="1068"/>
      <c r="AT31" s="1068"/>
      <c r="AU31" s="1068"/>
      <c r="AV31" s="1068"/>
      <c r="AW31" s="1068"/>
      <c r="AX31" s="1068"/>
      <c r="AY31" s="1068"/>
      <c r="AZ31" s="1068"/>
      <c r="BA31" s="1068"/>
      <c r="BB31" s="1068"/>
      <c r="BC31" s="1068"/>
      <c r="BD31" s="1068"/>
      <c r="BE31" s="1068"/>
      <c r="BF31" s="1068"/>
      <c r="BG31" s="1068"/>
      <c r="BH31" s="1068"/>
      <c r="BI31" s="1068"/>
      <c r="BJ31" s="1068"/>
      <c r="BK31" s="1068"/>
      <c r="BL31" s="1068"/>
      <c r="BM31" s="1068"/>
      <c r="BN31" s="1068"/>
      <c r="BO31" s="1068"/>
      <c r="BP31" s="1068"/>
      <c r="BQ31" s="1068"/>
      <c r="BR31" s="1068"/>
      <c r="BS31" s="1068"/>
      <c r="BT31" s="1068"/>
      <c r="BU31" s="1068"/>
      <c r="BV31" s="1068"/>
      <c r="BW31" s="1068"/>
      <c r="BX31" s="1068"/>
      <c r="BY31" s="1068"/>
      <c r="BZ31" s="1068"/>
      <c r="CA31" s="1068"/>
      <c r="CB31" s="1068"/>
      <c r="CC31" s="1068"/>
      <c r="CD31" s="1068"/>
      <c r="CE31" s="1068"/>
      <c r="CF31" s="1068"/>
      <c r="CG31" s="1068"/>
      <c r="CH31" s="1068"/>
      <c r="CI31" s="1068"/>
      <c r="CJ31" s="1068"/>
    </row>
    <row r="32" spans="1:88" ht="16.5" thickBot="1">
      <c r="A32" s="1068"/>
      <c r="B32" s="2886" t="s">
        <v>190</v>
      </c>
      <c r="C32" s="932"/>
      <c r="D32" s="933"/>
      <c r="E32" s="933"/>
      <c r="F32" s="933"/>
      <c r="G32" s="933"/>
      <c r="H32" s="933"/>
      <c r="I32" s="933"/>
      <c r="J32" s="934"/>
      <c r="K32" s="1068"/>
      <c r="L32" s="1068"/>
      <c r="M32" s="1068"/>
      <c r="N32" s="1068"/>
      <c r="O32" s="1068"/>
      <c r="P32" s="1068"/>
      <c r="Q32" s="1068"/>
      <c r="R32" s="1068"/>
      <c r="S32" s="1068"/>
      <c r="T32" s="1068"/>
      <c r="U32" s="1068"/>
      <c r="V32" s="1068"/>
      <c r="W32" s="1068"/>
      <c r="X32" s="1068"/>
      <c r="Y32" s="1068"/>
      <c r="Z32" s="1068"/>
      <c r="AA32" s="1068"/>
      <c r="AB32" s="1068"/>
      <c r="AC32" s="1068"/>
      <c r="AD32" s="1068"/>
      <c r="AE32" s="1068"/>
      <c r="AF32" s="1068"/>
      <c r="AG32" s="1068"/>
      <c r="AH32" s="1068"/>
      <c r="AI32" s="1068"/>
      <c r="AJ32" s="1068"/>
      <c r="AK32" s="1068"/>
      <c r="AL32" s="1068"/>
      <c r="AM32" s="1068"/>
      <c r="AN32" s="1068"/>
      <c r="AO32" s="1068"/>
      <c r="AP32" s="1068"/>
      <c r="AQ32" s="1068"/>
      <c r="AR32" s="1068"/>
      <c r="AS32" s="1068"/>
      <c r="AT32" s="1068"/>
      <c r="AU32" s="1068"/>
      <c r="AV32" s="1068"/>
      <c r="AW32" s="1068"/>
      <c r="AX32" s="1068"/>
      <c r="AY32" s="1068"/>
      <c r="AZ32" s="1068"/>
      <c r="BA32" s="1068"/>
      <c r="BB32" s="1068"/>
      <c r="BC32" s="1068"/>
      <c r="BD32" s="1068"/>
      <c r="BE32" s="1068"/>
      <c r="BF32" s="1068"/>
      <c r="BG32" s="1068"/>
      <c r="BH32" s="1068"/>
      <c r="BI32" s="1068"/>
      <c r="BJ32" s="1068"/>
      <c r="BK32" s="1068"/>
      <c r="BL32" s="1068"/>
      <c r="BM32" s="1068"/>
      <c r="BN32" s="1068"/>
      <c r="BO32" s="1068"/>
      <c r="BP32" s="1068"/>
      <c r="BQ32" s="1068"/>
      <c r="BR32" s="1068"/>
      <c r="BS32" s="1068"/>
      <c r="BT32" s="1068"/>
      <c r="BU32" s="1068"/>
      <c r="BV32" s="1068"/>
      <c r="BW32" s="1068"/>
      <c r="BX32" s="1068"/>
      <c r="BY32" s="1068"/>
      <c r="BZ32" s="1068"/>
      <c r="CA32" s="1068"/>
      <c r="CB32" s="1068"/>
      <c r="CC32" s="1068"/>
      <c r="CD32" s="1068"/>
      <c r="CE32" s="1068"/>
      <c r="CF32" s="1068"/>
      <c r="CG32" s="1068"/>
      <c r="CH32" s="1068"/>
      <c r="CI32" s="1068"/>
      <c r="CJ32" s="1068"/>
    </row>
    <row r="33" spans="1:88" ht="16.5" thickBot="1">
      <c r="A33" s="1068"/>
      <c r="B33" s="1068"/>
      <c r="C33" s="1068"/>
      <c r="D33" s="1068"/>
      <c r="E33" s="1068"/>
      <c r="F33" s="1068"/>
      <c r="G33" s="1068"/>
      <c r="H33" s="1068"/>
      <c r="I33" s="1068"/>
      <c r="J33" s="1068"/>
      <c r="K33" s="1068"/>
      <c r="L33" s="1068"/>
      <c r="M33" s="1068"/>
      <c r="N33" s="1068"/>
      <c r="O33" s="1068"/>
      <c r="P33" s="1068"/>
      <c r="Q33" s="1068"/>
      <c r="R33" s="1068"/>
      <c r="S33" s="1068"/>
      <c r="T33" s="1068"/>
      <c r="U33" s="1068"/>
      <c r="V33" s="1068"/>
      <c r="W33" s="1068"/>
      <c r="X33" s="1068"/>
      <c r="Y33" s="1068"/>
      <c r="Z33" s="1068"/>
      <c r="AA33" s="1068"/>
      <c r="AB33" s="1068"/>
      <c r="AC33" s="1068"/>
      <c r="AD33" s="1068"/>
      <c r="AE33" s="1068"/>
      <c r="AF33" s="1068"/>
      <c r="AG33" s="1068"/>
      <c r="AH33" s="1068"/>
      <c r="AI33" s="1068"/>
      <c r="AJ33" s="1068"/>
      <c r="AK33" s="1068"/>
      <c r="AL33" s="1068"/>
      <c r="AM33" s="1068"/>
      <c r="AN33" s="1068"/>
      <c r="AO33" s="1068"/>
      <c r="AP33" s="1068"/>
      <c r="AQ33" s="1068"/>
      <c r="AR33" s="1068"/>
      <c r="AS33" s="1068"/>
      <c r="AT33" s="1068"/>
      <c r="AU33" s="1068"/>
      <c r="AV33" s="1068"/>
      <c r="AW33" s="1068"/>
      <c r="AX33" s="1068"/>
      <c r="AY33" s="1068"/>
      <c r="AZ33" s="1068"/>
      <c r="BA33" s="1068"/>
      <c r="BB33" s="1068"/>
      <c r="BC33" s="1068"/>
      <c r="BD33" s="1068"/>
      <c r="BE33" s="1068"/>
      <c r="BF33" s="1068"/>
      <c r="BG33" s="1068"/>
      <c r="BH33" s="1068"/>
      <c r="BI33" s="1068"/>
      <c r="BJ33" s="1068"/>
      <c r="BK33" s="1068"/>
      <c r="BL33" s="1068"/>
      <c r="BM33" s="1068"/>
      <c r="BN33" s="1068"/>
      <c r="BO33" s="1068"/>
      <c r="BP33" s="1068"/>
      <c r="BQ33" s="1068"/>
      <c r="BR33" s="1068"/>
      <c r="BS33" s="1068"/>
      <c r="BT33" s="1068"/>
      <c r="BU33" s="1068"/>
      <c r="BV33" s="1068"/>
      <c r="BW33" s="1068"/>
      <c r="BX33" s="1068"/>
      <c r="BY33" s="1068"/>
      <c r="BZ33" s="1068"/>
      <c r="CA33" s="1068"/>
      <c r="CB33" s="1068"/>
      <c r="CC33" s="1068"/>
      <c r="CD33" s="1068"/>
      <c r="CE33" s="1068"/>
      <c r="CF33" s="1068"/>
      <c r="CG33" s="1068"/>
      <c r="CH33" s="1068"/>
      <c r="CI33" s="1068"/>
      <c r="CJ33" s="1068"/>
    </row>
    <row r="34" spans="1:88" ht="82.5" customHeight="1" thickBot="1">
      <c r="A34" s="1068"/>
      <c r="B34" s="3034" t="s">
        <v>6128</v>
      </c>
      <c r="C34" s="3254"/>
      <c r="D34" s="3254"/>
      <c r="E34" s="3254"/>
      <c r="F34" s="3254"/>
      <c r="G34" s="3254"/>
      <c r="H34" s="3254"/>
      <c r="I34" s="3254"/>
      <c r="J34" s="3255"/>
      <c r="K34" s="1068"/>
      <c r="L34" s="1068"/>
      <c r="M34" s="1068"/>
      <c r="N34" s="1068"/>
      <c r="O34" s="1068"/>
      <c r="P34" s="1068"/>
      <c r="Q34" s="1068"/>
      <c r="R34" s="1068"/>
      <c r="S34" s="1068"/>
      <c r="T34" s="1068"/>
      <c r="U34" s="1068"/>
      <c r="V34" s="1068"/>
      <c r="W34" s="1068"/>
      <c r="X34" s="1068"/>
      <c r="Y34" s="1068"/>
      <c r="Z34" s="1068"/>
      <c r="AA34" s="1068"/>
      <c r="AB34" s="1068"/>
      <c r="AC34" s="1068"/>
      <c r="AD34" s="1068"/>
      <c r="AE34" s="1068"/>
      <c r="AF34" s="1068"/>
      <c r="AG34" s="1068"/>
      <c r="AH34" s="1068"/>
      <c r="AI34" s="1068"/>
      <c r="AJ34" s="1068"/>
      <c r="AK34" s="1068"/>
      <c r="AL34" s="1068"/>
      <c r="AM34" s="1068"/>
      <c r="AN34" s="1068"/>
      <c r="AO34" s="1068"/>
      <c r="AP34" s="1068"/>
      <c r="AQ34" s="1068"/>
      <c r="AR34" s="1068"/>
      <c r="AS34" s="1068"/>
      <c r="AT34" s="1068"/>
      <c r="AU34" s="1068"/>
      <c r="AV34" s="1068"/>
      <c r="AW34" s="1068"/>
      <c r="AX34" s="1068"/>
      <c r="AY34" s="1068"/>
      <c r="AZ34" s="1068"/>
      <c r="BA34" s="1068"/>
      <c r="BB34" s="1068"/>
      <c r="BC34" s="1068"/>
      <c r="BD34" s="1068"/>
      <c r="BE34" s="1068"/>
      <c r="BF34" s="1068"/>
      <c r="BG34" s="1068"/>
      <c r="BH34" s="1068"/>
      <c r="BI34" s="1068"/>
      <c r="BJ34" s="1068"/>
      <c r="BK34" s="1068"/>
      <c r="BL34" s="1068"/>
      <c r="BM34" s="1068"/>
      <c r="BN34" s="1068"/>
      <c r="BO34" s="1068"/>
      <c r="BP34" s="1068"/>
      <c r="BQ34" s="1068"/>
      <c r="BR34" s="1068"/>
      <c r="BS34" s="1068"/>
      <c r="BT34" s="1068"/>
      <c r="BU34" s="1068"/>
      <c r="BV34" s="1068"/>
      <c r="BW34" s="1068"/>
      <c r="BX34" s="1068"/>
      <c r="BY34" s="1068"/>
      <c r="BZ34" s="1068"/>
      <c r="CA34" s="1068"/>
      <c r="CB34" s="1068"/>
      <c r="CC34" s="1068"/>
      <c r="CD34" s="1068"/>
      <c r="CE34" s="1068"/>
      <c r="CF34" s="1068"/>
      <c r="CG34" s="1068"/>
      <c r="CH34" s="1068"/>
      <c r="CI34" s="1068"/>
      <c r="CJ34" s="1068"/>
    </row>
    <row r="35" spans="1:88" ht="16">
      <c r="A35" s="1068"/>
      <c r="B35" s="1068"/>
      <c r="C35" s="1068"/>
      <c r="D35" s="1068"/>
      <c r="E35" s="1068"/>
      <c r="F35" s="1068"/>
      <c r="G35" s="1068"/>
      <c r="H35" s="1068"/>
      <c r="I35" s="1068"/>
      <c r="J35" s="1068"/>
      <c r="K35" s="1068"/>
      <c r="L35" s="1068"/>
      <c r="M35" s="1068"/>
      <c r="N35" s="1068"/>
      <c r="O35" s="1068"/>
      <c r="P35" s="1068"/>
      <c r="Q35" s="1068"/>
      <c r="R35" s="1068"/>
      <c r="S35" s="1068"/>
      <c r="T35" s="1068"/>
      <c r="U35" s="1068"/>
      <c r="V35" s="1068"/>
      <c r="W35" s="1068"/>
      <c r="X35" s="1068"/>
      <c r="Y35" s="1068"/>
      <c r="Z35" s="1068"/>
      <c r="AA35" s="1068"/>
      <c r="AB35" s="1068"/>
      <c r="AC35" s="1068"/>
      <c r="AD35" s="1068"/>
      <c r="AE35" s="1068"/>
      <c r="AF35" s="1068"/>
      <c r="AG35" s="1068"/>
      <c r="AH35" s="1068"/>
      <c r="AI35" s="1068"/>
      <c r="AJ35" s="1068"/>
      <c r="AK35" s="1068"/>
      <c r="AL35" s="1068"/>
      <c r="AM35" s="1068"/>
      <c r="AN35" s="1068"/>
      <c r="AO35" s="1068"/>
      <c r="AP35" s="1068"/>
      <c r="AQ35" s="1068"/>
      <c r="AR35" s="1068"/>
      <c r="AS35" s="1068"/>
      <c r="AT35" s="1068"/>
      <c r="AU35" s="1068"/>
      <c r="AV35" s="1068"/>
      <c r="AW35" s="1068"/>
      <c r="AX35" s="1068"/>
      <c r="AY35" s="1068"/>
      <c r="AZ35" s="1068"/>
      <c r="BA35" s="1068"/>
      <c r="BB35" s="1068"/>
      <c r="BC35" s="1068"/>
      <c r="BD35" s="1068"/>
      <c r="BE35" s="1068"/>
      <c r="BF35" s="1068"/>
      <c r="BG35" s="1068"/>
      <c r="BH35" s="1068"/>
      <c r="BI35" s="1068"/>
      <c r="BJ35" s="1068"/>
      <c r="BK35" s="1068"/>
      <c r="BL35" s="1068"/>
      <c r="BM35" s="1068"/>
      <c r="BN35" s="1068"/>
      <c r="BO35" s="1068"/>
      <c r="BP35" s="1068"/>
      <c r="BQ35" s="1068"/>
      <c r="BR35" s="1068"/>
      <c r="BS35" s="1068"/>
      <c r="BT35" s="1068"/>
      <c r="BU35" s="1068"/>
      <c r="BV35" s="1068"/>
      <c r="BW35" s="1068"/>
      <c r="BX35" s="1068"/>
      <c r="BY35" s="1068"/>
      <c r="BZ35" s="1068"/>
      <c r="CA35" s="1068"/>
      <c r="CB35" s="1068"/>
      <c r="CC35" s="1068"/>
      <c r="CD35" s="1068"/>
      <c r="CE35" s="1068"/>
      <c r="CF35" s="1068"/>
      <c r="CG35" s="1068"/>
      <c r="CH35" s="1068"/>
      <c r="CI35" s="1068"/>
      <c r="CJ35" s="1068"/>
    </row>
    <row r="36" spans="1:88" ht="16">
      <c r="A36" s="1068"/>
      <c r="B36" s="1071"/>
      <c r="C36" s="1071"/>
      <c r="D36" s="1071"/>
      <c r="E36" s="1071"/>
      <c r="F36" s="1071"/>
      <c r="G36" s="1071"/>
      <c r="H36" s="1071"/>
      <c r="I36" s="1068"/>
      <c r="J36" s="1068"/>
      <c r="K36" s="1068"/>
      <c r="L36" s="1068"/>
      <c r="M36" s="1068"/>
      <c r="N36" s="1068"/>
      <c r="O36" s="1068"/>
      <c r="P36" s="1068"/>
      <c r="Q36" s="1068"/>
      <c r="R36" s="1068"/>
      <c r="S36" s="1068"/>
      <c r="T36" s="1068"/>
      <c r="U36" s="1068"/>
      <c r="V36" s="1068"/>
      <c r="W36" s="1068"/>
      <c r="X36" s="1068"/>
      <c r="Y36" s="1068"/>
      <c r="Z36" s="1068"/>
      <c r="AA36" s="1068"/>
      <c r="AB36" s="1068"/>
      <c r="AC36" s="1068"/>
      <c r="AD36" s="1068"/>
      <c r="AE36" s="1068"/>
      <c r="AF36" s="1068"/>
      <c r="AG36" s="1068"/>
      <c r="AH36" s="1068"/>
      <c r="AI36" s="1068"/>
      <c r="AJ36" s="1068"/>
      <c r="AK36" s="1068"/>
      <c r="AL36" s="1068"/>
      <c r="AM36" s="1068"/>
      <c r="AN36" s="1068"/>
      <c r="AO36" s="1068"/>
      <c r="AP36" s="1068"/>
      <c r="AQ36" s="1068"/>
      <c r="AR36" s="1068"/>
      <c r="AS36" s="1068"/>
      <c r="AT36" s="1068"/>
      <c r="AU36" s="1068"/>
      <c r="AV36" s="1068"/>
      <c r="AW36" s="1068"/>
      <c r="AX36" s="1068"/>
      <c r="AY36" s="1068"/>
      <c r="AZ36" s="1068"/>
      <c r="BA36" s="1068"/>
      <c r="BB36" s="1068"/>
      <c r="BC36" s="1068"/>
      <c r="BD36" s="1068"/>
      <c r="BE36" s="1068"/>
      <c r="BF36" s="1068"/>
      <c r="BG36" s="1068"/>
      <c r="BH36" s="1068"/>
      <c r="BI36" s="1068"/>
      <c r="BJ36" s="1068"/>
      <c r="BK36" s="1068"/>
      <c r="BL36" s="1068"/>
      <c r="BM36" s="1068"/>
      <c r="BN36" s="1068"/>
      <c r="BO36" s="1068"/>
      <c r="BP36" s="1068"/>
      <c r="BQ36" s="1068"/>
      <c r="BR36" s="1068"/>
      <c r="BS36" s="1068"/>
      <c r="BT36" s="1068"/>
      <c r="BU36" s="1068"/>
      <c r="BV36" s="1068"/>
      <c r="BW36" s="1068"/>
      <c r="BX36" s="1068"/>
      <c r="BY36" s="1068"/>
      <c r="BZ36" s="1068"/>
      <c r="CA36" s="1068"/>
      <c r="CB36" s="1068"/>
      <c r="CC36" s="1068"/>
      <c r="CD36" s="1068"/>
      <c r="CE36" s="1068"/>
      <c r="CF36" s="1068"/>
      <c r="CG36" s="1068"/>
      <c r="CH36" s="1068"/>
      <c r="CI36" s="1068"/>
      <c r="CJ36" s="1068"/>
    </row>
    <row r="37" spans="1:88" ht="16">
      <c r="A37" s="1068"/>
      <c r="B37" s="2884" t="s">
        <v>4365</v>
      </c>
      <c r="C37" s="1097"/>
      <c r="D37" s="1097"/>
      <c r="E37" s="1097"/>
      <c r="F37" s="1071"/>
      <c r="G37" s="1071"/>
      <c r="H37" s="1071"/>
      <c r="I37" s="1068"/>
      <c r="J37" s="1068"/>
      <c r="K37" s="1068"/>
      <c r="L37" s="1068"/>
      <c r="M37" s="1068"/>
      <c r="N37" s="1068"/>
      <c r="O37" s="1068"/>
      <c r="P37" s="1068"/>
      <c r="Q37" s="1068"/>
      <c r="R37" s="1068"/>
      <c r="S37" s="1068"/>
      <c r="T37" s="1068"/>
      <c r="U37" s="1068"/>
      <c r="V37" s="1068"/>
      <c r="W37" s="1068"/>
      <c r="X37" s="1068"/>
      <c r="Y37" s="1068"/>
      <c r="Z37" s="1068"/>
      <c r="AA37" s="1068"/>
      <c r="AB37" s="1068"/>
      <c r="AC37" s="1068"/>
      <c r="AD37" s="1068"/>
      <c r="AE37" s="1068"/>
      <c r="AF37" s="1068"/>
      <c r="AG37" s="1068"/>
      <c r="AH37" s="1068"/>
      <c r="AI37" s="1068"/>
      <c r="AJ37" s="1068"/>
      <c r="AK37" s="1068"/>
      <c r="AL37" s="1068"/>
      <c r="AM37" s="1068"/>
      <c r="AN37" s="1068"/>
      <c r="AO37" s="1068"/>
      <c r="AP37" s="1068"/>
      <c r="AQ37" s="1068"/>
      <c r="AR37" s="1068"/>
      <c r="AS37" s="1068"/>
      <c r="AT37" s="1068"/>
      <c r="AU37" s="1068"/>
      <c r="AV37" s="1068"/>
      <c r="AW37" s="1068"/>
      <c r="AX37" s="1068"/>
      <c r="AY37" s="1068"/>
      <c r="AZ37" s="1068"/>
      <c r="BA37" s="1068"/>
      <c r="BB37" s="1068"/>
      <c r="BC37" s="1068"/>
      <c r="BD37" s="1068"/>
      <c r="BE37" s="1068"/>
      <c r="BF37" s="1068"/>
      <c r="BG37" s="1068"/>
      <c r="BH37" s="1068"/>
      <c r="BI37" s="1068"/>
      <c r="BJ37" s="1068"/>
      <c r="BK37" s="1068"/>
      <c r="BL37" s="1068"/>
      <c r="BM37" s="1068"/>
      <c r="BN37" s="1068"/>
      <c r="BO37" s="1068"/>
      <c r="BP37" s="1068"/>
      <c r="BQ37" s="1068"/>
      <c r="BR37" s="1068"/>
      <c r="BS37" s="1068"/>
      <c r="BT37" s="1068"/>
      <c r="BU37" s="1068"/>
      <c r="BV37" s="1068"/>
      <c r="BW37" s="1068"/>
      <c r="BX37" s="1068"/>
      <c r="BY37" s="1068"/>
      <c r="BZ37" s="1068"/>
      <c r="CA37" s="1068"/>
      <c r="CB37" s="1068"/>
      <c r="CC37" s="1068"/>
      <c r="CD37" s="1068"/>
      <c r="CE37" s="1068"/>
      <c r="CF37" s="1068"/>
      <c r="CG37" s="1068"/>
      <c r="CH37" s="1068"/>
      <c r="CI37" s="1068"/>
      <c r="CJ37" s="1068"/>
    </row>
    <row r="38" spans="1:88" ht="16.5" thickBot="1">
      <c r="A38" s="1068"/>
      <c r="B38" s="1097"/>
      <c r="C38" s="1097"/>
      <c r="D38" s="1097"/>
      <c r="E38" s="1097"/>
      <c r="F38" s="1071"/>
      <c r="G38" s="1071"/>
      <c r="H38" s="1071"/>
      <c r="I38" s="1068"/>
      <c r="J38" s="1068"/>
      <c r="K38" s="1068"/>
      <c r="L38" s="1068"/>
      <c r="M38" s="1068"/>
      <c r="N38" s="1068"/>
      <c r="O38" s="1068"/>
      <c r="P38" s="1068"/>
      <c r="Q38" s="1068"/>
      <c r="R38" s="1068"/>
      <c r="S38" s="1068"/>
      <c r="T38" s="1068"/>
      <c r="U38" s="1068"/>
      <c r="V38" s="1068"/>
      <c r="W38" s="1068"/>
      <c r="X38" s="1068"/>
      <c r="Y38" s="1068"/>
      <c r="Z38" s="1068"/>
      <c r="AA38" s="1068"/>
      <c r="AB38" s="1068"/>
      <c r="AC38" s="1068"/>
      <c r="AD38" s="1068"/>
      <c r="AE38" s="1068"/>
      <c r="AF38" s="1068"/>
      <c r="AG38" s="1068"/>
      <c r="AH38" s="1068"/>
      <c r="AI38" s="1068"/>
      <c r="AJ38" s="1068"/>
      <c r="AK38" s="1068"/>
      <c r="AL38" s="1068"/>
      <c r="AM38" s="1068"/>
      <c r="AN38" s="1068"/>
      <c r="AO38" s="1068"/>
      <c r="AP38" s="1068"/>
      <c r="AQ38" s="1068"/>
      <c r="AR38" s="1068"/>
      <c r="AS38" s="1068"/>
      <c r="AT38" s="1068"/>
      <c r="AU38" s="1068"/>
      <c r="AV38" s="1068"/>
      <c r="AW38" s="1068"/>
      <c r="AX38" s="1068"/>
      <c r="AY38" s="1068"/>
      <c r="AZ38" s="1068"/>
      <c r="BA38" s="1068"/>
      <c r="BB38" s="1068"/>
      <c r="BC38" s="1068"/>
      <c r="BD38" s="1068"/>
      <c r="BE38" s="1068"/>
      <c r="BF38" s="1068"/>
      <c r="BG38" s="1068"/>
      <c r="BH38" s="1068"/>
      <c r="BI38" s="1068"/>
      <c r="BJ38" s="1068"/>
      <c r="BK38" s="1068"/>
      <c r="BL38" s="1068"/>
      <c r="BM38" s="1068"/>
      <c r="BN38" s="1068"/>
      <c r="BO38" s="1068"/>
      <c r="BP38" s="1068"/>
      <c r="BQ38" s="1068"/>
      <c r="BR38" s="1068"/>
      <c r="BS38" s="1068"/>
      <c r="BT38" s="1068"/>
      <c r="BU38" s="1068"/>
      <c r="BV38" s="1068"/>
      <c r="BW38" s="1068"/>
      <c r="BX38" s="1068"/>
      <c r="BY38" s="1068"/>
      <c r="BZ38" s="1068"/>
      <c r="CA38" s="1068"/>
      <c r="CB38" s="1068"/>
      <c r="CC38" s="1068"/>
      <c r="CD38" s="1068"/>
      <c r="CE38" s="1068"/>
      <c r="CF38" s="1068"/>
      <c r="CG38" s="1068"/>
      <c r="CH38" s="1068"/>
      <c r="CI38" s="1068"/>
      <c r="CJ38" s="1068"/>
    </row>
    <row r="39" spans="1:88" ht="18" customHeight="1" thickBot="1">
      <c r="A39" s="1068"/>
      <c r="B39" s="3272" t="s">
        <v>6129</v>
      </c>
      <c r="C39" s="3273"/>
      <c r="D39" s="3273"/>
      <c r="E39" s="3273"/>
      <c r="F39" s="3273"/>
      <c r="G39" s="3273"/>
      <c r="H39" s="3273"/>
      <c r="I39" s="3273"/>
      <c r="J39" s="3274"/>
      <c r="K39" s="1099"/>
      <c r="L39" s="1068"/>
      <c r="M39" s="1068"/>
      <c r="N39" s="1068"/>
      <c r="O39" s="1068"/>
      <c r="P39" s="1068"/>
      <c r="Q39" s="1068"/>
      <c r="R39" s="1068"/>
      <c r="S39" s="1068"/>
      <c r="T39" s="1068"/>
      <c r="U39" s="1068"/>
      <c r="V39" s="1068"/>
      <c r="W39" s="1068"/>
      <c r="X39" s="1068"/>
      <c r="Y39" s="1068"/>
      <c r="Z39" s="1068"/>
      <c r="AA39" s="1068"/>
      <c r="AB39" s="1068"/>
      <c r="AC39" s="1068"/>
      <c r="AD39" s="1068"/>
      <c r="AE39" s="1068"/>
      <c r="AF39" s="1068"/>
      <c r="AG39" s="1068"/>
      <c r="AH39" s="1068"/>
      <c r="AI39" s="1068"/>
      <c r="AJ39" s="1068"/>
      <c r="AK39" s="1068"/>
      <c r="AL39" s="1068"/>
      <c r="AM39" s="1068"/>
      <c r="AN39" s="1068"/>
      <c r="AO39" s="1068"/>
      <c r="AP39" s="1068"/>
      <c r="AQ39" s="1068"/>
      <c r="AR39" s="1068"/>
      <c r="AS39" s="1068"/>
      <c r="AT39" s="1068"/>
      <c r="AU39" s="1068"/>
      <c r="AV39" s="1068"/>
      <c r="AW39" s="1068"/>
      <c r="AX39" s="1068"/>
      <c r="AY39" s="1068"/>
      <c r="AZ39" s="1068"/>
      <c r="BA39" s="1068"/>
      <c r="BB39" s="1068"/>
      <c r="BC39" s="1068"/>
      <c r="BD39" s="1068"/>
      <c r="BE39" s="1068"/>
      <c r="BF39" s="1068"/>
      <c r="BG39" s="1068"/>
      <c r="BH39" s="1068"/>
      <c r="BI39" s="1068"/>
      <c r="BJ39" s="1068"/>
      <c r="BK39" s="1068"/>
      <c r="BL39" s="1068"/>
      <c r="BM39" s="1068"/>
      <c r="BN39" s="1068"/>
      <c r="BO39" s="1068"/>
      <c r="BP39" s="1068"/>
      <c r="BQ39" s="1068"/>
      <c r="BR39" s="1068"/>
      <c r="BS39" s="1068"/>
      <c r="BT39" s="1068"/>
      <c r="BU39" s="1068"/>
      <c r="BV39" s="1068"/>
      <c r="BW39" s="1068"/>
      <c r="BX39" s="1068"/>
      <c r="BY39" s="1068"/>
      <c r="BZ39" s="1068"/>
      <c r="CA39" s="1068"/>
      <c r="CB39" s="1068"/>
      <c r="CC39" s="1068"/>
      <c r="CD39" s="1068"/>
      <c r="CE39" s="1068"/>
      <c r="CF39" s="1068"/>
      <c r="CG39" s="1068"/>
      <c r="CH39" s="1068"/>
      <c r="CI39" s="1068"/>
      <c r="CJ39" s="1068"/>
    </row>
    <row r="40" spans="1:88" ht="16.5" thickBot="1">
      <c r="A40" s="1068"/>
      <c r="B40" s="1097"/>
      <c r="C40" s="1097"/>
      <c r="D40" s="1097"/>
      <c r="E40" s="1097"/>
      <c r="F40" s="1071"/>
      <c r="G40" s="1071"/>
      <c r="H40" s="1071"/>
      <c r="I40" s="1068"/>
      <c r="J40" s="1068"/>
      <c r="K40" s="1068"/>
      <c r="L40" s="1068"/>
      <c r="M40" s="1068"/>
      <c r="N40" s="1068"/>
      <c r="O40" s="1068"/>
      <c r="P40" s="1068"/>
      <c r="Q40" s="1068"/>
      <c r="R40" s="1068"/>
      <c r="S40" s="1068"/>
      <c r="T40" s="1068"/>
      <c r="U40" s="1068"/>
      <c r="V40" s="1068"/>
      <c r="W40" s="1068"/>
      <c r="X40" s="1068"/>
      <c r="Y40" s="1068"/>
      <c r="Z40" s="1068"/>
      <c r="AA40" s="1068"/>
      <c r="AB40" s="1068"/>
      <c r="AC40" s="1068"/>
      <c r="AD40" s="1068"/>
      <c r="AE40" s="1068"/>
      <c r="AF40" s="1068"/>
      <c r="AG40" s="1068"/>
      <c r="AH40" s="1068"/>
      <c r="AI40" s="1068"/>
      <c r="AJ40" s="1068"/>
      <c r="AK40" s="1068"/>
      <c r="AL40" s="1068"/>
      <c r="AM40" s="1068"/>
      <c r="AN40" s="1068"/>
      <c r="AO40" s="1068"/>
      <c r="AP40" s="1068"/>
      <c r="AQ40" s="1068"/>
      <c r="AR40" s="1068"/>
      <c r="AS40" s="1068"/>
      <c r="AT40" s="1068"/>
      <c r="AU40" s="1068"/>
      <c r="AV40" s="1068"/>
      <c r="AW40" s="1068"/>
      <c r="AX40" s="1068"/>
      <c r="AY40" s="1068"/>
      <c r="AZ40" s="1068"/>
      <c r="BA40" s="1068"/>
      <c r="BB40" s="1068"/>
      <c r="BC40" s="1068"/>
      <c r="BD40" s="1068"/>
      <c r="BE40" s="1068"/>
      <c r="BF40" s="1068"/>
      <c r="BG40" s="1068"/>
      <c r="BH40" s="1068"/>
      <c r="BI40" s="1068"/>
      <c r="BJ40" s="1068"/>
      <c r="BK40" s="1068"/>
      <c r="BL40" s="1068"/>
      <c r="BM40" s="1068"/>
      <c r="BN40" s="1068"/>
      <c r="BO40" s="1068"/>
      <c r="BP40" s="1068"/>
      <c r="BQ40" s="1068"/>
      <c r="BR40" s="1068"/>
      <c r="BS40" s="1068"/>
      <c r="BT40" s="1068"/>
      <c r="BU40" s="1068"/>
      <c r="BV40" s="1068"/>
      <c r="BW40" s="1068"/>
      <c r="BX40" s="1068"/>
      <c r="BY40" s="1068"/>
      <c r="BZ40" s="1068"/>
      <c r="CA40" s="1068"/>
      <c r="CB40" s="1068"/>
      <c r="CC40" s="1068"/>
      <c r="CD40" s="1068"/>
      <c r="CE40" s="1068"/>
      <c r="CF40" s="1068"/>
      <c r="CG40" s="1068"/>
      <c r="CH40" s="1068"/>
      <c r="CI40" s="1068"/>
      <c r="CJ40" s="1068"/>
    </row>
    <row r="41" spans="1:88" ht="22.5" customHeight="1" thickBot="1">
      <c r="A41" s="1068"/>
      <c r="B41" s="3248" t="s">
        <v>6130</v>
      </c>
      <c r="C41" s="3249"/>
      <c r="D41" s="3249"/>
      <c r="E41" s="3249"/>
      <c r="F41" s="3249"/>
      <c r="G41" s="3249"/>
      <c r="H41" s="3249"/>
      <c r="I41" s="3249"/>
      <c r="J41" s="3256"/>
      <c r="K41" s="1068"/>
      <c r="L41" s="1068"/>
      <c r="M41" s="1068"/>
      <c r="N41" s="1068"/>
      <c r="O41" s="1068"/>
      <c r="P41" s="1068"/>
      <c r="Q41" s="1068"/>
      <c r="R41" s="1068"/>
      <c r="S41" s="1068"/>
      <c r="T41" s="1068"/>
      <c r="U41" s="1068"/>
      <c r="V41" s="1068"/>
      <c r="W41" s="1068"/>
      <c r="X41" s="1068"/>
      <c r="Y41" s="1068"/>
      <c r="Z41" s="1068"/>
      <c r="AA41" s="1068"/>
      <c r="AB41" s="1068"/>
      <c r="AC41" s="1068"/>
      <c r="AD41" s="1068"/>
      <c r="AE41" s="1068"/>
      <c r="AF41" s="1068"/>
      <c r="AG41" s="1068"/>
      <c r="AH41" s="1068"/>
      <c r="AI41" s="1068"/>
      <c r="AJ41" s="1068"/>
      <c r="AK41" s="1068"/>
      <c r="AL41" s="1068"/>
      <c r="AM41" s="1068"/>
      <c r="AN41" s="1068"/>
      <c r="AO41" s="1068"/>
      <c r="AP41" s="1068"/>
      <c r="AQ41" s="1068"/>
      <c r="AR41" s="1068"/>
      <c r="AS41" s="1068"/>
      <c r="AT41" s="1068"/>
      <c r="AU41" s="1068"/>
      <c r="AV41" s="1068"/>
      <c r="AW41" s="1068"/>
      <c r="AX41" s="1068"/>
      <c r="AY41" s="1068"/>
      <c r="AZ41" s="1068"/>
      <c r="BA41" s="1068"/>
      <c r="BB41" s="1068"/>
      <c r="BC41" s="1068"/>
      <c r="BD41" s="1068"/>
      <c r="BE41" s="1068"/>
      <c r="BF41" s="1068"/>
      <c r="BG41" s="1068"/>
      <c r="BH41" s="1068"/>
      <c r="BI41" s="1068"/>
      <c r="BJ41" s="1068"/>
      <c r="BK41" s="1068"/>
      <c r="BL41" s="1068"/>
      <c r="BM41" s="1068"/>
      <c r="BN41" s="1068"/>
      <c r="BO41" s="1068"/>
      <c r="BP41" s="1068"/>
      <c r="BQ41" s="1068"/>
      <c r="BR41" s="1068"/>
      <c r="BS41" s="1068"/>
      <c r="BT41" s="1068"/>
      <c r="BU41" s="1068"/>
      <c r="BV41" s="1068"/>
      <c r="BW41" s="1068"/>
      <c r="BX41" s="1068"/>
      <c r="BY41" s="1068"/>
      <c r="BZ41" s="1068"/>
      <c r="CA41" s="1068"/>
      <c r="CB41" s="1068"/>
      <c r="CC41" s="1068"/>
      <c r="CD41" s="1068"/>
      <c r="CE41" s="1068"/>
      <c r="CF41" s="1068"/>
      <c r="CG41" s="1068"/>
      <c r="CH41" s="1068"/>
      <c r="CI41" s="1068"/>
      <c r="CJ41" s="1068"/>
    </row>
    <row r="42" spans="1:88" s="1102" customFormat="1" ht="16.5" thickBot="1">
      <c r="A42" s="1100"/>
      <c r="B42" s="1101"/>
      <c r="C42" s="1101"/>
      <c r="D42" s="1101"/>
      <c r="E42" s="1101"/>
      <c r="F42" s="1101"/>
      <c r="G42" s="1101"/>
      <c r="H42" s="1101"/>
      <c r="I42" s="1100"/>
      <c r="J42" s="1100"/>
      <c r="K42" s="1100"/>
      <c r="L42" s="1100"/>
      <c r="M42" s="1100"/>
      <c r="N42" s="1100"/>
      <c r="O42" s="1100"/>
      <c r="P42" s="1100"/>
      <c r="Q42" s="1100"/>
      <c r="R42" s="1100"/>
      <c r="S42" s="1100"/>
      <c r="T42" s="1100"/>
      <c r="U42" s="1100"/>
      <c r="V42" s="1100"/>
      <c r="W42" s="1100"/>
      <c r="X42" s="1100"/>
      <c r="Y42" s="1100"/>
      <c r="Z42" s="1100"/>
      <c r="AA42" s="1100"/>
      <c r="AB42" s="1100"/>
      <c r="AC42" s="1100"/>
      <c r="AD42" s="1100"/>
      <c r="AE42" s="1100"/>
      <c r="AF42" s="1100"/>
      <c r="AG42" s="1100"/>
      <c r="AH42" s="1100"/>
      <c r="AI42" s="1100"/>
      <c r="AJ42" s="1100"/>
      <c r="AK42" s="1100"/>
      <c r="AL42" s="1100"/>
      <c r="AM42" s="1100"/>
      <c r="AN42" s="1100"/>
      <c r="AO42" s="1100"/>
      <c r="AP42" s="1100"/>
      <c r="AQ42" s="1100"/>
      <c r="AR42" s="1100"/>
      <c r="AS42" s="1100"/>
      <c r="AT42" s="1100"/>
      <c r="AU42" s="1100"/>
      <c r="AV42" s="1100"/>
      <c r="AW42" s="1100"/>
      <c r="AX42" s="1100"/>
      <c r="AY42" s="1100"/>
      <c r="AZ42" s="1100"/>
      <c r="BA42" s="1100"/>
      <c r="BB42" s="1100"/>
      <c r="BC42" s="1100"/>
      <c r="BD42" s="1100"/>
      <c r="BE42" s="1100"/>
      <c r="BF42" s="1100"/>
      <c r="BG42" s="1100"/>
      <c r="BH42" s="1100"/>
      <c r="BI42" s="1100"/>
      <c r="BJ42" s="1100"/>
      <c r="BK42" s="1100"/>
      <c r="BL42" s="1100"/>
      <c r="BM42" s="1100"/>
      <c r="BN42" s="1100"/>
      <c r="BO42" s="1100"/>
      <c r="BP42" s="1100"/>
      <c r="BQ42" s="1100"/>
      <c r="BR42" s="1100"/>
      <c r="BS42" s="1100"/>
      <c r="BT42" s="1100"/>
      <c r="BU42" s="1100"/>
      <c r="BV42" s="1100"/>
      <c r="BW42" s="1100"/>
      <c r="BX42" s="1100"/>
      <c r="BY42" s="1100"/>
      <c r="BZ42" s="1100"/>
      <c r="CA42" s="1100"/>
      <c r="CB42" s="1100"/>
      <c r="CC42" s="1100"/>
      <c r="CD42" s="1100"/>
      <c r="CE42" s="1100"/>
      <c r="CF42" s="1100"/>
      <c r="CG42" s="1100"/>
      <c r="CH42" s="1100"/>
      <c r="CI42" s="1100"/>
      <c r="CJ42" s="1100"/>
    </row>
    <row r="43" spans="1:88" s="1102" customFormat="1" ht="90.75" customHeight="1" thickBot="1">
      <c r="A43" s="1100"/>
      <c r="B43" s="3275" t="s">
        <v>6131</v>
      </c>
      <c r="C43" s="3249"/>
      <c r="D43" s="3249"/>
      <c r="E43" s="3249"/>
      <c r="F43" s="3249"/>
      <c r="G43" s="3249"/>
      <c r="H43" s="3249"/>
      <c r="I43" s="3250"/>
      <c r="J43" s="3251"/>
      <c r="K43" s="1100"/>
      <c r="L43" s="1100"/>
      <c r="M43" s="1100"/>
      <c r="N43" s="1100"/>
      <c r="O43" s="1100"/>
      <c r="P43" s="1100"/>
      <c r="Q43" s="1100"/>
      <c r="R43" s="1100"/>
      <c r="S43" s="1100"/>
      <c r="T43" s="1100"/>
      <c r="U43" s="1100"/>
      <c r="V43" s="1100"/>
      <c r="W43" s="1100"/>
      <c r="X43" s="1100"/>
      <c r="Y43" s="1100"/>
      <c r="Z43" s="1100"/>
      <c r="AA43" s="1100"/>
      <c r="AB43" s="1100"/>
      <c r="AC43" s="1100"/>
      <c r="AD43" s="1100"/>
      <c r="AE43" s="1100"/>
      <c r="AF43" s="1100"/>
      <c r="AG43" s="1100"/>
      <c r="AH43" s="1100"/>
      <c r="AI43" s="1100"/>
      <c r="AJ43" s="1100"/>
      <c r="AK43" s="1100"/>
      <c r="AL43" s="1100"/>
      <c r="AM43" s="1100"/>
      <c r="AN43" s="1100"/>
      <c r="AO43" s="1100"/>
      <c r="AP43" s="1100"/>
      <c r="AQ43" s="1100"/>
      <c r="AR43" s="1100"/>
      <c r="AS43" s="1100"/>
      <c r="AT43" s="1100"/>
      <c r="AU43" s="1100"/>
      <c r="AV43" s="1100"/>
      <c r="AW43" s="1100"/>
      <c r="AX43" s="1100"/>
      <c r="AY43" s="1100"/>
      <c r="AZ43" s="1100"/>
      <c r="BA43" s="1100"/>
      <c r="BB43" s="1100"/>
      <c r="BC43" s="1100"/>
      <c r="BD43" s="1100"/>
      <c r="BE43" s="1100"/>
      <c r="BF43" s="1100"/>
      <c r="BG43" s="1100"/>
      <c r="BH43" s="1100"/>
      <c r="BI43" s="1100"/>
      <c r="BJ43" s="1100"/>
      <c r="BK43" s="1100"/>
      <c r="BL43" s="1100"/>
      <c r="BM43" s="1100"/>
      <c r="BN43" s="1100"/>
      <c r="BO43" s="1100"/>
      <c r="BP43" s="1100"/>
      <c r="BQ43" s="1100"/>
      <c r="BR43" s="1100"/>
      <c r="BS43" s="1100"/>
      <c r="BT43" s="1100"/>
      <c r="BU43" s="1100"/>
      <c r="BV43" s="1100"/>
      <c r="BW43" s="1100"/>
      <c r="BX43" s="1100"/>
      <c r="BY43" s="1100"/>
      <c r="BZ43" s="1100"/>
      <c r="CA43" s="1100"/>
      <c r="CB43" s="1100"/>
      <c r="CC43" s="1100"/>
      <c r="CD43" s="1100"/>
      <c r="CE43" s="1100"/>
      <c r="CF43" s="1100"/>
      <c r="CG43" s="1100"/>
      <c r="CH43" s="1100"/>
      <c r="CI43" s="1100"/>
      <c r="CJ43" s="1100"/>
    </row>
    <row r="44" spans="1:88" s="1102" customFormat="1" ht="16.5" thickBot="1">
      <c r="A44" s="1100"/>
      <c r="B44" s="1101"/>
      <c r="C44" s="1101"/>
      <c r="D44" s="1101"/>
      <c r="E44" s="1101"/>
      <c r="F44" s="1101"/>
      <c r="G44" s="1101"/>
      <c r="H44" s="1101"/>
      <c r="I44" s="1100"/>
      <c r="J44" s="1100"/>
      <c r="K44" s="1100"/>
      <c r="L44" s="1100"/>
      <c r="M44" s="1100"/>
      <c r="N44" s="1100"/>
      <c r="O44" s="1100"/>
      <c r="P44" s="1100"/>
      <c r="Q44" s="1100"/>
      <c r="R44" s="1100"/>
      <c r="S44" s="1100"/>
      <c r="T44" s="1100"/>
      <c r="U44" s="1100"/>
      <c r="V44" s="1100"/>
      <c r="W44" s="1100"/>
      <c r="X44" s="1100"/>
      <c r="Y44" s="1100"/>
      <c r="Z44" s="1100"/>
      <c r="AA44" s="1100"/>
      <c r="AB44" s="1100"/>
      <c r="AC44" s="1100"/>
      <c r="AD44" s="1100"/>
      <c r="AE44" s="1100"/>
      <c r="AF44" s="1100"/>
      <c r="AG44" s="1100"/>
      <c r="AH44" s="1100"/>
      <c r="AI44" s="1100"/>
      <c r="AJ44" s="1100"/>
      <c r="AK44" s="1100"/>
      <c r="AL44" s="1100"/>
      <c r="AM44" s="1100"/>
      <c r="AN44" s="1100"/>
      <c r="AO44" s="1100"/>
      <c r="AP44" s="1100"/>
      <c r="AQ44" s="1100"/>
      <c r="AR44" s="1100"/>
      <c r="AS44" s="1100"/>
      <c r="AT44" s="1100"/>
      <c r="AU44" s="1100"/>
      <c r="AV44" s="1100"/>
      <c r="AW44" s="1100"/>
      <c r="AX44" s="1100"/>
      <c r="AY44" s="1100"/>
      <c r="AZ44" s="1100"/>
      <c r="BA44" s="1100"/>
      <c r="BB44" s="1100"/>
      <c r="BC44" s="1100"/>
      <c r="BD44" s="1100"/>
      <c r="BE44" s="1100"/>
      <c r="BF44" s="1100"/>
      <c r="BG44" s="1100"/>
      <c r="BH44" s="1100"/>
      <c r="BI44" s="1100"/>
      <c r="BJ44" s="1100"/>
      <c r="BK44" s="1100"/>
      <c r="BL44" s="1100"/>
      <c r="BM44" s="1100"/>
      <c r="BN44" s="1100"/>
      <c r="BO44" s="1100"/>
      <c r="BP44" s="1100"/>
      <c r="BQ44" s="1100"/>
      <c r="BR44" s="1100"/>
      <c r="BS44" s="1100"/>
      <c r="BT44" s="1100"/>
      <c r="BU44" s="1100"/>
      <c r="BV44" s="1100"/>
      <c r="BW44" s="1100"/>
      <c r="BX44" s="1100"/>
      <c r="BY44" s="1100"/>
      <c r="BZ44" s="1100"/>
      <c r="CA44" s="1100"/>
      <c r="CB44" s="1100"/>
      <c r="CC44" s="1100"/>
      <c r="CD44" s="1100"/>
      <c r="CE44" s="1100"/>
      <c r="CF44" s="1100"/>
      <c r="CG44" s="1100"/>
      <c r="CH44" s="1100"/>
      <c r="CI44" s="1100"/>
      <c r="CJ44" s="1100"/>
    </row>
    <row r="45" spans="1:88" s="1102" customFormat="1" ht="39.5" thickBot="1">
      <c r="A45" s="1100"/>
      <c r="B45" s="1766" t="s">
        <v>6132</v>
      </c>
      <c r="C45" s="3276" t="s">
        <v>6133</v>
      </c>
      <c r="D45" s="3277"/>
      <c r="E45" s="3277"/>
      <c r="F45" s="3277"/>
      <c r="G45" s="3277"/>
      <c r="H45" s="3277"/>
      <c r="I45" s="3277"/>
      <c r="J45" s="3278"/>
      <c r="K45" s="1100"/>
      <c r="L45" s="1100"/>
      <c r="M45" s="1100"/>
      <c r="N45" s="1100"/>
      <c r="O45" s="1100"/>
      <c r="P45" s="1100"/>
      <c r="Q45" s="1100"/>
      <c r="R45" s="1100"/>
      <c r="S45" s="1100"/>
      <c r="T45" s="1100"/>
      <c r="U45" s="1100"/>
      <c r="V45" s="1100"/>
      <c r="W45" s="1100"/>
      <c r="X45" s="1100"/>
      <c r="Y45" s="1100"/>
      <c r="Z45" s="1100"/>
      <c r="AA45" s="1100"/>
      <c r="AB45" s="1100"/>
      <c r="AC45" s="1100"/>
      <c r="AD45" s="1100"/>
      <c r="AE45" s="1100"/>
      <c r="AF45" s="1100"/>
      <c r="AG45" s="1100"/>
      <c r="AH45" s="1100"/>
      <c r="AI45" s="1100"/>
      <c r="AJ45" s="1100"/>
      <c r="AK45" s="1100"/>
      <c r="AL45" s="1100"/>
      <c r="AM45" s="1100"/>
      <c r="AN45" s="1100"/>
      <c r="AO45" s="1100"/>
      <c r="AP45" s="1100"/>
      <c r="AQ45" s="1100"/>
      <c r="AR45" s="1100"/>
      <c r="AS45" s="1100"/>
      <c r="AT45" s="1100"/>
      <c r="AU45" s="1100"/>
      <c r="AV45" s="1100"/>
      <c r="AW45" s="1100"/>
      <c r="AX45" s="1100"/>
      <c r="AY45" s="1100"/>
      <c r="AZ45" s="1100"/>
      <c r="BA45" s="1100"/>
      <c r="BB45" s="1100"/>
      <c r="BC45" s="1100"/>
      <c r="BD45" s="1100"/>
      <c r="BE45" s="1100"/>
      <c r="BF45" s="1100"/>
      <c r="BG45" s="1100"/>
      <c r="BH45" s="1100"/>
      <c r="BI45" s="1100"/>
      <c r="BJ45" s="1100"/>
      <c r="BK45" s="1100"/>
      <c r="BL45" s="1100"/>
      <c r="BM45" s="1100"/>
      <c r="BN45" s="1100"/>
      <c r="BO45" s="1100"/>
      <c r="BP45" s="1100"/>
      <c r="BQ45" s="1100"/>
      <c r="BR45" s="1100"/>
      <c r="BS45" s="1100"/>
      <c r="BT45" s="1100"/>
      <c r="BU45" s="1100"/>
      <c r="BV45" s="1100"/>
      <c r="BW45" s="1100"/>
      <c r="BX45" s="1100"/>
      <c r="BY45" s="1100"/>
      <c r="BZ45" s="1100"/>
      <c r="CA45" s="1100"/>
      <c r="CB45" s="1100"/>
      <c r="CC45" s="1100"/>
      <c r="CD45" s="1100"/>
      <c r="CE45" s="1100"/>
      <c r="CF45" s="1100"/>
      <c r="CG45" s="1100"/>
      <c r="CH45" s="1100"/>
      <c r="CI45" s="1100"/>
      <c r="CJ45" s="1100"/>
    </row>
    <row r="46" spans="1:88" s="1102" customFormat="1" ht="25">
      <c r="A46" s="1100"/>
      <c r="B46" s="1767" t="s">
        <v>6134</v>
      </c>
      <c r="C46" s="3263" t="s">
        <v>6135</v>
      </c>
      <c r="D46" s="3264"/>
      <c r="E46" s="3264"/>
      <c r="F46" s="3264"/>
      <c r="G46" s="3264"/>
      <c r="H46" s="3264"/>
      <c r="I46" s="3264"/>
      <c r="J46" s="3265"/>
      <c r="K46" s="1100"/>
      <c r="L46" s="1100"/>
      <c r="M46" s="1100"/>
      <c r="N46" s="1100"/>
      <c r="O46" s="1100"/>
      <c r="P46" s="1100"/>
      <c r="Q46" s="1100"/>
      <c r="R46" s="1100"/>
      <c r="S46" s="1100"/>
      <c r="T46" s="1100"/>
      <c r="U46" s="1100"/>
      <c r="V46" s="1100"/>
      <c r="W46" s="1100"/>
      <c r="X46" s="1100"/>
      <c r="Y46" s="1100"/>
      <c r="Z46" s="1100"/>
      <c r="AA46" s="1100"/>
      <c r="AB46" s="1100"/>
      <c r="AC46" s="1100"/>
      <c r="AD46" s="1100"/>
      <c r="AE46" s="1100"/>
      <c r="AF46" s="1100"/>
      <c r="AG46" s="1100"/>
      <c r="AH46" s="1100"/>
      <c r="AI46" s="1100"/>
      <c r="AJ46" s="1100"/>
      <c r="AK46" s="1100"/>
      <c r="AL46" s="1100"/>
      <c r="AM46" s="1100"/>
      <c r="AN46" s="1100"/>
      <c r="AO46" s="1100"/>
      <c r="AP46" s="1100"/>
      <c r="AQ46" s="1100"/>
      <c r="AR46" s="1100"/>
      <c r="AS46" s="1100"/>
      <c r="AT46" s="1100"/>
      <c r="AU46" s="1100"/>
      <c r="AV46" s="1100"/>
      <c r="AW46" s="1100"/>
      <c r="AX46" s="1100"/>
      <c r="AY46" s="1100"/>
      <c r="AZ46" s="1100"/>
      <c r="BA46" s="1100"/>
      <c r="BB46" s="1100"/>
      <c r="BC46" s="1100"/>
      <c r="BD46" s="1100"/>
      <c r="BE46" s="1100"/>
      <c r="BF46" s="1100"/>
      <c r="BG46" s="1100"/>
      <c r="BH46" s="1100"/>
      <c r="BI46" s="1100"/>
      <c r="BJ46" s="1100"/>
      <c r="BK46" s="1100"/>
      <c r="BL46" s="1100"/>
      <c r="BM46" s="1100"/>
      <c r="BN46" s="1100"/>
      <c r="BO46" s="1100"/>
      <c r="BP46" s="1100"/>
      <c r="BQ46" s="1100"/>
      <c r="BR46" s="1100"/>
      <c r="BS46" s="1100"/>
      <c r="BT46" s="1100"/>
      <c r="BU46" s="1100"/>
      <c r="BV46" s="1100"/>
      <c r="BW46" s="1100"/>
      <c r="BX46" s="1100"/>
      <c r="BY46" s="1100"/>
      <c r="BZ46" s="1100"/>
      <c r="CA46" s="1100"/>
      <c r="CB46" s="1100"/>
      <c r="CC46" s="1100"/>
      <c r="CD46" s="1100"/>
      <c r="CE46" s="1100"/>
      <c r="CF46" s="1100"/>
      <c r="CG46" s="1100"/>
      <c r="CH46" s="1100"/>
      <c r="CI46" s="1100"/>
      <c r="CJ46" s="1100"/>
    </row>
    <row r="47" spans="1:88" s="1102" customFormat="1" ht="25">
      <c r="A47" s="1100"/>
      <c r="B47" s="1768" t="s">
        <v>6136</v>
      </c>
      <c r="C47" s="3266"/>
      <c r="D47" s="3267"/>
      <c r="E47" s="3267"/>
      <c r="F47" s="3267"/>
      <c r="G47" s="3267"/>
      <c r="H47" s="3267"/>
      <c r="I47" s="3267"/>
      <c r="J47" s="3268"/>
      <c r="K47" s="1100"/>
      <c r="L47" s="1100"/>
      <c r="M47" s="1100"/>
      <c r="N47" s="1100"/>
      <c r="O47" s="1100"/>
      <c r="P47" s="1100"/>
      <c r="Q47" s="1100"/>
      <c r="R47" s="1100"/>
      <c r="S47" s="1100"/>
      <c r="T47" s="1100"/>
      <c r="U47" s="1100"/>
      <c r="V47" s="1100"/>
      <c r="W47" s="1100"/>
      <c r="X47" s="1100"/>
      <c r="Y47" s="1100"/>
      <c r="Z47" s="1100"/>
      <c r="AA47" s="1100"/>
      <c r="AB47" s="1100"/>
      <c r="AC47" s="1100"/>
      <c r="AD47" s="1100"/>
      <c r="AE47" s="1100"/>
      <c r="AF47" s="1100"/>
      <c r="AG47" s="1100"/>
      <c r="AH47" s="1100"/>
      <c r="AI47" s="1100"/>
      <c r="AJ47" s="1100"/>
      <c r="AK47" s="1100"/>
      <c r="AL47" s="1100"/>
      <c r="AM47" s="1100"/>
      <c r="AN47" s="1100"/>
      <c r="AO47" s="1100"/>
      <c r="AP47" s="1100"/>
      <c r="AQ47" s="1100"/>
      <c r="AR47" s="1100"/>
      <c r="AS47" s="1100"/>
      <c r="AT47" s="1100"/>
      <c r="AU47" s="1100"/>
      <c r="AV47" s="1100"/>
      <c r="AW47" s="1100"/>
      <c r="AX47" s="1100"/>
      <c r="AY47" s="1100"/>
      <c r="AZ47" s="1100"/>
      <c r="BA47" s="1100"/>
      <c r="BB47" s="1100"/>
      <c r="BC47" s="1100"/>
      <c r="BD47" s="1100"/>
      <c r="BE47" s="1100"/>
      <c r="BF47" s="1100"/>
      <c r="BG47" s="1100"/>
      <c r="BH47" s="1100"/>
      <c r="BI47" s="1100"/>
      <c r="BJ47" s="1100"/>
      <c r="BK47" s="1100"/>
      <c r="BL47" s="1100"/>
      <c r="BM47" s="1100"/>
      <c r="BN47" s="1100"/>
      <c r="BO47" s="1100"/>
      <c r="BP47" s="1100"/>
      <c r="BQ47" s="1100"/>
      <c r="BR47" s="1100"/>
      <c r="BS47" s="1100"/>
      <c r="BT47" s="1100"/>
      <c r="BU47" s="1100"/>
      <c r="BV47" s="1100"/>
      <c r="BW47" s="1100"/>
      <c r="BX47" s="1100"/>
      <c r="BY47" s="1100"/>
      <c r="BZ47" s="1100"/>
      <c r="CA47" s="1100"/>
      <c r="CB47" s="1100"/>
      <c r="CC47" s="1100"/>
      <c r="CD47" s="1100"/>
      <c r="CE47" s="1100"/>
      <c r="CF47" s="1100"/>
      <c r="CG47" s="1100"/>
      <c r="CH47" s="1100"/>
      <c r="CI47" s="1100"/>
      <c r="CJ47" s="1100"/>
    </row>
    <row r="48" spans="1:88" s="1102" customFormat="1" ht="25">
      <c r="A48" s="1100"/>
      <c r="B48" s="1768" t="s">
        <v>6137</v>
      </c>
      <c r="C48" s="3266"/>
      <c r="D48" s="3267"/>
      <c r="E48" s="3267"/>
      <c r="F48" s="3267"/>
      <c r="G48" s="3267"/>
      <c r="H48" s="3267"/>
      <c r="I48" s="3267"/>
      <c r="J48" s="3268"/>
      <c r="K48" s="1100"/>
      <c r="L48" s="1100"/>
      <c r="M48" s="1100"/>
      <c r="N48" s="1100"/>
      <c r="O48" s="1100"/>
      <c r="P48" s="1100"/>
      <c r="Q48" s="1100"/>
      <c r="R48" s="1100"/>
      <c r="S48" s="1100"/>
      <c r="T48" s="1100"/>
      <c r="U48" s="1100"/>
      <c r="V48" s="1100"/>
      <c r="W48" s="1100"/>
      <c r="X48" s="1100"/>
      <c r="Y48" s="1100"/>
      <c r="Z48" s="1100"/>
      <c r="AA48" s="1100"/>
      <c r="AB48" s="1100"/>
      <c r="AC48" s="1100"/>
      <c r="AD48" s="1100"/>
      <c r="AE48" s="1100"/>
      <c r="AF48" s="1100"/>
      <c r="AG48" s="1100"/>
      <c r="AH48" s="1100"/>
      <c r="AI48" s="1100"/>
      <c r="AJ48" s="1100"/>
      <c r="AK48" s="1100"/>
      <c r="AL48" s="1100"/>
      <c r="AM48" s="1100"/>
      <c r="AN48" s="1100"/>
      <c r="AO48" s="1100"/>
      <c r="AP48" s="1100"/>
      <c r="AQ48" s="1100"/>
      <c r="AR48" s="1100"/>
      <c r="AS48" s="1100"/>
      <c r="AT48" s="1100"/>
      <c r="AU48" s="1100"/>
      <c r="AV48" s="1100"/>
      <c r="AW48" s="1100"/>
      <c r="AX48" s="1100"/>
      <c r="AY48" s="1100"/>
      <c r="AZ48" s="1100"/>
      <c r="BA48" s="1100"/>
      <c r="BB48" s="1100"/>
      <c r="BC48" s="1100"/>
      <c r="BD48" s="1100"/>
      <c r="BE48" s="1100"/>
      <c r="BF48" s="1100"/>
      <c r="BG48" s="1100"/>
      <c r="BH48" s="1100"/>
      <c r="BI48" s="1100"/>
      <c r="BJ48" s="1100"/>
      <c r="BK48" s="1100"/>
      <c r="BL48" s="1100"/>
      <c r="BM48" s="1100"/>
      <c r="BN48" s="1100"/>
      <c r="BO48" s="1100"/>
      <c r="BP48" s="1100"/>
      <c r="BQ48" s="1100"/>
      <c r="BR48" s="1100"/>
      <c r="BS48" s="1100"/>
      <c r="BT48" s="1100"/>
      <c r="BU48" s="1100"/>
      <c r="BV48" s="1100"/>
      <c r="BW48" s="1100"/>
      <c r="BX48" s="1100"/>
      <c r="BY48" s="1100"/>
      <c r="BZ48" s="1100"/>
      <c r="CA48" s="1100"/>
      <c r="CB48" s="1100"/>
      <c r="CC48" s="1100"/>
      <c r="CD48" s="1100"/>
      <c r="CE48" s="1100"/>
      <c r="CF48" s="1100"/>
      <c r="CG48" s="1100"/>
      <c r="CH48" s="1100"/>
      <c r="CI48" s="1100"/>
      <c r="CJ48" s="1100"/>
    </row>
    <row r="49" spans="1:88" s="1102" customFormat="1" ht="25">
      <c r="A49" s="1100"/>
      <c r="B49" s="1768" t="s">
        <v>6138</v>
      </c>
      <c r="C49" s="3266"/>
      <c r="D49" s="3267"/>
      <c r="E49" s="3267"/>
      <c r="F49" s="3267"/>
      <c r="G49" s="3267"/>
      <c r="H49" s="3267"/>
      <c r="I49" s="3267"/>
      <c r="J49" s="3268"/>
      <c r="K49" s="1100"/>
      <c r="L49" s="1100"/>
      <c r="M49" s="1100"/>
      <c r="N49" s="1100"/>
      <c r="O49" s="1100"/>
      <c r="P49" s="1100"/>
      <c r="Q49" s="1100"/>
      <c r="R49" s="1100"/>
      <c r="S49" s="1100"/>
      <c r="T49" s="1100"/>
      <c r="U49" s="1100"/>
      <c r="V49" s="1100"/>
      <c r="W49" s="1100"/>
      <c r="X49" s="1100"/>
      <c r="Y49" s="1100"/>
      <c r="Z49" s="1100"/>
      <c r="AA49" s="1100"/>
      <c r="AB49" s="1100"/>
      <c r="AC49" s="1100"/>
      <c r="AD49" s="1100"/>
      <c r="AE49" s="1100"/>
      <c r="AF49" s="1100"/>
      <c r="AG49" s="1100"/>
      <c r="AH49" s="1100"/>
      <c r="AI49" s="1100"/>
      <c r="AJ49" s="1100"/>
      <c r="AK49" s="1100"/>
      <c r="AL49" s="1100"/>
      <c r="AM49" s="1100"/>
      <c r="AN49" s="1100"/>
      <c r="AO49" s="1100"/>
      <c r="AP49" s="1100"/>
      <c r="AQ49" s="1100"/>
      <c r="AR49" s="1100"/>
      <c r="AS49" s="1100"/>
      <c r="AT49" s="1100"/>
      <c r="AU49" s="1100"/>
      <c r="AV49" s="1100"/>
      <c r="AW49" s="1100"/>
      <c r="AX49" s="1100"/>
      <c r="AY49" s="1100"/>
      <c r="AZ49" s="1100"/>
      <c r="BA49" s="1100"/>
      <c r="BB49" s="1100"/>
      <c r="BC49" s="1100"/>
      <c r="BD49" s="1100"/>
      <c r="BE49" s="1100"/>
      <c r="BF49" s="1100"/>
      <c r="BG49" s="1100"/>
      <c r="BH49" s="1100"/>
      <c r="BI49" s="1100"/>
      <c r="BJ49" s="1100"/>
      <c r="BK49" s="1100"/>
      <c r="BL49" s="1100"/>
      <c r="BM49" s="1100"/>
      <c r="BN49" s="1100"/>
      <c r="BO49" s="1100"/>
      <c r="BP49" s="1100"/>
      <c r="BQ49" s="1100"/>
      <c r="BR49" s="1100"/>
      <c r="BS49" s="1100"/>
      <c r="BT49" s="1100"/>
      <c r="BU49" s="1100"/>
      <c r="BV49" s="1100"/>
      <c r="BW49" s="1100"/>
      <c r="BX49" s="1100"/>
      <c r="BY49" s="1100"/>
      <c r="BZ49" s="1100"/>
      <c r="CA49" s="1100"/>
      <c r="CB49" s="1100"/>
      <c r="CC49" s="1100"/>
      <c r="CD49" s="1100"/>
      <c r="CE49" s="1100"/>
      <c r="CF49" s="1100"/>
      <c r="CG49" s="1100"/>
      <c r="CH49" s="1100"/>
      <c r="CI49" s="1100"/>
      <c r="CJ49" s="1100"/>
    </row>
    <row r="50" spans="1:88" s="1102" customFormat="1" ht="37.5">
      <c r="A50" s="1100"/>
      <c r="B50" s="1768" t="s">
        <v>6139</v>
      </c>
      <c r="C50" s="3266"/>
      <c r="D50" s="3267"/>
      <c r="E50" s="3267"/>
      <c r="F50" s="3267"/>
      <c r="G50" s="3267"/>
      <c r="H50" s="3267"/>
      <c r="I50" s="3267"/>
      <c r="J50" s="3268"/>
      <c r="K50" s="1100"/>
      <c r="L50" s="1100"/>
      <c r="M50" s="1100"/>
      <c r="N50" s="1100"/>
      <c r="O50" s="1100"/>
      <c r="P50" s="1100"/>
      <c r="Q50" s="1100"/>
      <c r="R50" s="1100"/>
      <c r="S50" s="1100"/>
      <c r="T50" s="1100"/>
      <c r="U50" s="1100"/>
      <c r="V50" s="1100"/>
      <c r="W50" s="1100"/>
      <c r="X50" s="1100"/>
      <c r="Y50" s="1100"/>
      <c r="Z50" s="1100"/>
      <c r="AA50" s="1100"/>
      <c r="AB50" s="1100"/>
      <c r="AC50" s="1100"/>
      <c r="AD50" s="1100"/>
      <c r="AE50" s="1100"/>
      <c r="AF50" s="1100"/>
      <c r="AG50" s="1100"/>
      <c r="AH50" s="1100"/>
      <c r="AI50" s="1100"/>
      <c r="AJ50" s="1100"/>
      <c r="AK50" s="1100"/>
      <c r="AL50" s="1100"/>
      <c r="AM50" s="1100"/>
      <c r="AN50" s="1100"/>
      <c r="AO50" s="1100"/>
      <c r="AP50" s="1100"/>
      <c r="AQ50" s="1100"/>
      <c r="AR50" s="1100"/>
      <c r="AS50" s="1100"/>
      <c r="AT50" s="1100"/>
      <c r="AU50" s="1100"/>
      <c r="AV50" s="1100"/>
      <c r="AW50" s="1100"/>
      <c r="AX50" s="1100"/>
      <c r="AY50" s="1100"/>
      <c r="AZ50" s="1100"/>
      <c r="BA50" s="1100"/>
      <c r="BB50" s="1100"/>
      <c r="BC50" s="1100"/>
      <c r="BD50" s="1100"/>
      <c r="BE50" s="1100"/>
      <c r="BF50" s="1100"/>
      <c r="BG50" s="1100"/>
      <c r="BH50" s="1100"/>
      <c r="BI50" s="1100"/>
      <c r="BJ50" s="1100"/>
      <c r="BK50" s="1100"/>
      <c r="BL50" s="1100"/>
      <c r="BM50" s="1100"/>
      <c r="BN50" s="1100"/>
      <c r="BO50" s="1100"/>
      <c r="BP50" s="1100"/>
      <c r="BQ50" s="1100"/>
      <c r="BR50" s="1100"/>
      <c r="BS50" s="1100"/>
      <c r="BT50" s="1100"/>
      <c r="BU50" s="1100"/>
      <c r="BV50" s="1100"/>
      <c r="BW50" s="1100"/>
      <c r="BX50" s="1100"/>
      <c r="BY50" s="1100"/>
      <c r="BZ50" s="1100"/>
      <c r="CA50" s="1100"/>
      <c r="CB50" s="1100"/>
      <c r="CC50" s="1100"/>
      <c r="CD50" s="1100"/>
      <c r="CE50" s="1100"/>
      <c r="CF50" s="1100"/>
      <c r="CG50" s="1100"/>
      <c r="CH50" s="1100"/>
      <c r="CI50" s="1100"/>
      <c r="CJ50" s="1100"/>
    </row>
    <row r="51" spans="1:88" s="1102" customFormat="1" ht="25">
      <c r="A51" s="1100"/>
      <c r="B51" s="1768" t="s">
        <v>6140</v>
      </c>
      <c r="C51" s="3266"/>
      <c r="D51" s="3267"/>
      <c r="E51" s="3267"/>
      <c r="F51" s="3267"/>
      <c r="G51" s="3267"/>
      <c r="H51" s="3267"/>
      <c r="I51" s="3267"/>
      <c r="J51" s="3268"/>
      <c r="K51" s="1100"/>
      <c r="L51" s="1100"/>
      <c r="M51" s="1100"/>
      <c r="N51" s="1100"/>
      <c r="O51" s="1100"/>
      <c r="P51" s="1100"/>
      <c r="Q51" s="1100"/>
      <c r="R51" s="1100"/>
      <c r="S51" s="1100"/>
      <c r="T51" s="1100"/>
      <c r="U51" s="1100"/>
      <c r="V51" s="1100"/>
      <c r="W51" s="1100"/>
      <c r="X51" s="1100"/>
      <c r="Y51" s="1100"/>
      <c r="Z51" s="1100"/>
      <c r="AA51" s="1100"/>
      <c r="AB51" s="1100"/>
      <c r="AC51" s="1100"/>
      <c r="AD51" s="1100"/>
      <c r="AE51" s="1100"/>
      <c r="AF51" s="1100"/>
      <c r="AG51" s="1100"/>
      <c r="AH51" s="1100"/>
      <c r="AI51" s="1100"/>
      <c r="AJ51" s="1100"/>
      <c r="AK51" s="1100"/>
      <c r="AL51" s="1100"/>
      <c r="AM51" s="1100"/>
      <c r="AN51" s="1100"/>
      <c r="AO51" s="1100"/>
      <c r="AP51" s="1100"/>
      <c r="AQ51" s="1100"/>
      <c r="AR51" s="1100"/>
      <c r="AS51" s="1100"/>
      <c r="AT51" s="1100"/>
      <c r="AU51" s="1100"/>
      <c r="AV51" s="1100"/>
      <c r="AW51" s="1100"/>
      <c r="AX51" s="1100"/>
      <c r="AY51" s="1100"/>
      <c r="AZ51" s="1100"/>
      <c r="BA51" s="1100"/>
      <c r="BB51" s="1100"/>
      <c r="BC51" s="1100"/>
      <c r="BD51" s="1100"/>
      <c r="BE51" s="1100"/>
      <c r="BF51" s="1100"/>
      <c r="BG51" s="1100"/>
      <c r="BH51" s="1100"/>
      <c r="BI51" s="1100"/>
      <c r="BJ51" s="1100"/>
      <c r="BK51" s="1100"/>
      <c r="BL51" s="1100"/>
      <c r="BM51" s="1100"/>
      <c r="BN51" s="1100"/>
      <c r="BO51" s="1100"/>
      <c r="BP51" s="1100"/>
      <c r="BQ51" s="1100"/>
      <c r="BR51" s="1100"/>
      <c r="BS51" s="1100"/>
      <c r="BT51" s="1100"/>
      <c r="BU51" s="1100"/>
      <c r="BV51" s="1100"/>
      <c r="BW51" s="1100"/>
      <c r="BX51" s="1100"/>
      <c r="BY51" s="1100"/>
      <c r="BZ51" s="1100"/>
      <c r="CA51" s="1100"/>
      <c r="CB51" s="1100"/>
      <c r="CC51" s="1100"/>
      <c r="CD51" s="1100"/>
      <c r="CE51" s="1100"/>
      <c r="CF51" s="1100"/>
      <c r="CG51" s="1100"/>
      <c r="CH51" s="1100"/>
      <c r="CI51" s="1100"/>
      <c r="CJ51" s="1100"/>
    </row>
    <row r="52" spans="1:88" s="1102" customFormat="1" ht="37.5">
      <c r="A52" s="1100"/>
      <c r="B52" s="1768" t="s">
        <v>6141</v>
      </c>
      <c r="C52" s="3266"/>
      <c r="D52" s="3267"/>
      <c r="E52" s="3267"/>
      <c r="F52" s="3267"/>
      <c r="G52" s="3267"/>
      <c r="H52" s="3267"/>
      <c r="I52" s="3267"/>
      <c r="J52" s="3268"/>
      <c r="K52" s="1100"/>
      <c r="L52" s="1100"/>
      <c r="M52" s="1100"/>
      <c r="N52" s="1100"/>
      <c r="O52" s="1100"/>
      <c r="P52" s="1100"/>
      <c r="Q52" s="1100"/>
      <c r="R52" s="1100"/>
      <c r="S52" s="1100"/>
      <c r="T52" s="1100"/>
      <c r="U52" s="1100"/>
      <c r="V52" s="1100"/>
      <c r="W52" s="1100"/>
      <c r="X52" s="1100"/>
      <c r="Y52" s="1100"/>
      <c r="Z52" s="1100"/>
      <c r="AA52" s="1100"/>
      <c r="AB52" s="1100"/>
      <c r="AC52" s="1100"/>
      <c r="AD52" s="1100"/>
      <c r="AE52" s="1100"/>
      <c r="AF52" s="1100"/>
      <c r="AG52" s="1100"/>
      <c r="AH52" s="1100"/>
      <c r="AI52" s="1100"/>
      <c r="AJ52" s="1100"/>
      <c r="AK52" s="1100"/>
      <c r="AL52" s="1100"/>
      <c r="AM52" s="1100"/>
      <c r="AN52" s="1100"/>
      <c r="AO52" s="1100"/>
      <c r="AP52" s="1100"/>
      <c r="AQ52" s="1100"/>
      <c r="AR52" s="1100"/>
      <c r="AS52" s="1100"/>
      <c r="AT52" s="1100"/>
      <c r="AU52" s="1100"/>
      <c r="AV52" s="1100"/>
      <c r="AW52" s="1100"/>
      <c r="AX52" s="1100"/>
      <c r="AY52" s="1100"/>
      <c r="AZ52" s="1100"/>
      <c r="BA52" s="1100"/>
      <c r="BB52" s="1100"/>
      <c r="BC52" s="1100"/>
      <c r="BD52" s="1100"/>
      <c r="BE52" s="1100"/>
      <c r="BF52" s="1100"/>
      <c r="BG52" s="1100"/>
      <c r="BH52" s="1100"/>
      <c r="BI52" s="1100"/>
      <c r="BJ52" s="1100"/>
      <c r="BK52" s="1100"/>
      <c r="BL52" s="1100"/>
      <c r="BM52" s="1100"/>
      <c r="BN52" s="1100"/>
      <c r="BO52" s="1100"/>
      <c r="BP52" s="1100"/>
      <c r="BQ52" s="1100"/>
      <c r="BR52" s="1100"/>
      <c r="BS52" s="1100"/>
      <c r="BT52" s="1100"/>
      <c r="BU52" s="1100"/>
      <c r="BV52" s="1100"/>
      <c r="BW52" s="1100"/>
      <c r="BX52" s="1100"/>
      <c r="BY52" s="1100"/>
      <c r="BZ52" s="1100"/>
      <c r="CA52" s="1100"/>
      <c r="CB52" s="1100"/>
      <c r="CC52" s="1100"/>
      <c r="CD52" s="1100"/>
      <c r="CE52" s="1100"/>
      <c r="CF52" s="1100"/>
      <c r="CG52" s="1100"/>
      <c r="CH52" s="1100"/>
      <c r="CI52" s="1100"/>
      <c r="CJ52" s="1100"/>
    </row>
    <row r="53" spans="1:88" s="1102" customFormat="1" ht="25">
      <c r="A53" s="1100"/>
      <c r="B53" s="1768" t="s">
        <v>6142</v>
      </c>
      <c r="C53" s="3266"/>
      <c r="D53" s="3267"/>
      <c r="E53" s="3267"/>
      <c r="F53" s="3267"/>
      <c r="G53" s="3267"/>
      <c r="H53" s="3267"/>
      <c r="I53" s="3267"/>
      <c r="J53" s="3268"/>
      <c r="K53" s="1100"/>
      <c r="L53" s="1100"/>
      <c r="M53" s="1100"/>
      <c r="N53" s="1100"/>
      <c r="O53" s="1100"/>
      <c r="P53" s="1100"/>
      <c r="Q53" s="1100"/>
      <c r="R53" s="1100"/>
      <c r="S53" s="1100"/>
      <c r="T53" s="1100"/>
      <c r="U53" s="1100"/>
      <c r="V53" s="1100"/>
      <c r="W53" s="1100"/>
      <c r="X53" s="1100"/>
      <c r="Y53" s="1100"/>
      <c r="Z53" s="1100"/>
      <c r="AA53" s="1100"/>
      <c r="AB53" s="1100"/>
      <c r="AC53" s="1100"/>
      <c r="AD53" s="1100"/>
      <c r="AE53" s="1100"/>
      <c r="AF53" s="1100"/>
      <c r="AG53" s="1100"/>
      <c r="AH53" s="1100"/>
      <c r="AI53" s="1100"/>
      <c r="AJ53" s="1100"/>
      <c r="AK53" s="1100"/>
      <c r="AL53" s="1100"/>
      <c r="AM53" s="1100"/>
      <c r="AN53" s="1100"/>
      <c r="AO53" s="1100"/>
      <c r="AP53" s="1100"/>
      <c r="AQ53" s="1100"/>
      <c r="AR53" s="1100"/>
      <c r="AS53" s="1100"/>
      <c r="AT53" s="1100"/>
      <c r="AU53" s="1100"/>
      <c r="AV53" s="1100"/>
      <c r="AW53" s="1100"/>
      <c r="AX53" s="1100"/>
      <c r="AY53" s="1100"/>
      <c r="AZ53" s="1100"/>
      <c r="BA53" s="1100"/>
      <c r="BB53" s="1100"/>
      <c r="BC53" s="1100"/>
      <c r="BD53" s="1100"/>
      <c r="BE53" s="1100"/>
      <c r="BF53" s="1100"/>
      <c r="BG53" s="1100"/>
      <c r="BH53" s="1100"/>
      <c r="BI53" s="1100"/>
      <c r="BJ53" s="1100"/>
      <c r="BK53" s="1100"/>
      <c r="BL53" s="1100"/>
      <c r="BM53" s="1100"/>
      <c r="BN53" s="1100"/>
      <c r="BO53" s="1100"/>
      <c r="BP53" s="1100"/>
      <c r="BQ53" s="1100"/>
      <c r="BR53" s="1100"/>
      <c r="BS53" s="1100"/>
      <c r="BT53" s="1100"/>
      <c r="BU53" s="1100"/>
      <c r="BV53" s="1100"/>
      <c r="BW53" s="1100"/>
      <c r="BX53" s="1100"/>
      <c r="BY53" s="1100"/>
      <c r="BZ53" s="1100"/>
      <c r="CA53" s="1100"/>
      <c r="CB53" s="1100"/>
      <c r="CC53" s="1100"/>
      <c r="CD53" s="1100"/>
      <c r="CE53" s="1100"/>
      <c r="CF53" s="1100"/>
      <c r="CG53" s="1100"/>
      <c r="CH53" s="1100"/>
      <c r="CI53" s="1100"/>
      <c r="CJ53" s="1100"/>
    </row>
    <row r="54" spans="1:88" s="1102" customFormat="1" ht="38" thickBot="1">
      <c r="A54" s="1100"/>
      <c r="B54" s="1769" t="s">
        <v>6143</v>
      </c>
      <c r="C54" s="3269"/>
      <c r="D54" s="3270"/>
      <c r="E54" s="3270"/>
      <c r="F54" s="3270"/>
      <c r="G54" s="3270"/>
      <c r="H54" s="3270"/>
      <c r="I54" s="3270"/>
      <c r="J54" s="3271"/>
      <c r="K54" s="1100"/>
      <c r="L54" s="1100"/>
      <c r="M54" s="1100"/>
      <c r="N54" s="1100"/>
      <c r="O54" s="1100"/>
      <c r="P54" s="1100"/>
      <c r="Q54" s="1100"/>
      <c r="R54" s="1100"/>
      <c r="S54" s="1100"/>
      <c r="T54" s="1100"/>
      <c r="U54" s="1100"/>
      <c r="V54" s="1100"/>
      <c r="W54" s="1100"/>
      <c r="X54" s="1100"/>
      <c r="Y54" s="1100"/>
      <c r="Z54" s="1100"/>
      <c r="AA54" s="1100"/>
      <c r="AB54" s="1100"/>
      <c r="AC54" s="1100"/>
      <c r="AD54" s="1100"/>
      <c r="AE54" s="1100"/>
      <c r="AF54" s="1100"/>
      <c r="AG54" s="1100"/>
      <c r="AH54" s="1100"/>
      <c r="AI54" s="1100"/>
      <c r="AJ54" s="1100"/>
      <c r="AK54" s="1100"/>
      <c r="AL54" s="1100"/>
      <c r="AM54" s="1100"/>
      <c r="AN54" s="1100"/>
      <c r="AO54" s="1100"/>
      <c r="AP54" s="1100"/>
      <c r="AQ54" s="1100"/>
      <c r="AR54" s="1100"/>
      <c r="AS54" s="1100"/>
      <c r="AT54" s="1100"/>
      <c r="AU54" s="1100"/>
      <c r="AV54" s="1100"/>
      <c r="AW54" s="1100"/>
      <c r="AX54" s="1100"/>
      <c r="AY54" s="1100"/>
      <c r="AZ54" s="1100"/>
      <c r="BA54" s="1100"/>
      <c r="BB54" s="1100"/>
      <c r="BC54" s="1100"/>
      <c r="BD54" s="1100"/>
      <c r="BE54" s="1100"/>
      <c r="BF54" s="1100"/>
      <c r="BG54" s="1100"/>
      <c r="BH54" s="1100"/>
      <c r="BI54" s="1100"/>
      <c r="BJ54" s="1100"/>
      <c r="BK54" s="1100"/>
      <c r="BL54" s="1100"/>
      <c r="BM54" s="1100"/>
      <c r="BN54" s="1100"/>
      <c r="BO54" s="1100"/>
      <c r="BP54" s="1100"/>
      <c r="BQ54" s="1100"/>
      <c r="BR54" s="1100"/>
      <c r="BS54" s="1100"/>
      <c r="BT54" s="1100"/>
      <c r="BU54" s="1100"/>
      <c r="BV54" s="1100"/>
      <c r="BW54" s="1100"/>
      <c r="BX54" s="1100"/>
      <c r="BY54" s="1100"/>
      <c r="BZ54" s="1100"/>
      <c r="CA54" s="1100"/>
      <c r="CB54" s="1100"/>
      <c r="CC54" s="1100"/>
      <c r="CD54" s="1100"/>
      <c r="CE54" s="1100"/>
      <c r="CF54" s="1100"/>
      <c r="CG54" s="1100"/>
      <c r="CH54" s="1100"/>
      <c r="CI54" s="1100"/>
      <c r="CJ54" s="1100"/>
    </row>
    <row r="55" spans="1:88" s="1102" customFormat="1" ht="66" customHeight="1" thickBot="1">
      <c r="A55" s="1100"/>
      <c r="B55" s="1770" t="s">
        <v>6144</v>
      </c>
      <c r="C55" s="3257" t="s">
        <v>6145</v>
      </c>
      <c r="D55" s="3258"/>
      <c r="E55" s="3258"/>
      <c r="F55" s="3258"/>
      <c r="G55" s="3258"/>
      <c r="H55" s="3258"/>
      <c r="I55" s="3258"/>
      <c r="J55" s="3259"/>
      <c r="K55" s="1100"/>
      <c r="L55" s="1100"/>
      <c r="M55" s="1100"/>
      <c r="N55" s="1100"/>
      <c r="O55" s="1100"/>
      <c r="P55" s="1100"/>
      <c r="Q55" s="1100"/>
      <c r="R55" s="1100"/>
      <c r="S55" s="1100"/>
      <c r="T55" s="1100"/>
      <c r="U55" s="1100"/>
      <c r="V55" s="1100"/>
      <c r="W55" s="1100"/>
      <c r="X55" s="1100"/>
      <c r="Y55" s="1100"/>
      <c r="Z55" s="1100"/>
      <c r="AA55" s="1100"/>
      <c r="AB55" s="1100"/>
      <c r="AC55" s="1100"/>
      <c r="AD55" s="1100"/>
      <c r="AE55" s="1100"/>
      <c r="AF55" s="1100"/>
      <c r="AG55" s="1100"/>
      <c r="AH55" s="1100"/>
      <c r="AI55" s="1100"/>
      <c r="AJ55" s="1100"/>
      <c r="AK55" s="1100"/>
      <c r="AL55" s="1100"/>
      <c r="AM55" s="1100"/>
      <c r="AN55" s="1100"/>
      <c r="AO55" s="1100"/>
      <c r="AP55" s="1100"/>
      <c r="AQ55" s="1100"/>
      <c r="AR55" s="1100"/>
      <c r="AS55" s="1100"/>
      <c r="AT55" s="1100"/>
      <c r="AU55" s="1100"/>
      <c r="AV55" s="1100"/>
      <c r="AW55" s="1100"/>
      <c r="AX55" s="1100"/>
      <c r="AY55" s="1100"/>
      <c r="AZ55" s="1100"/>
      <c r="BA55" s="1100"/>
      <c r="BB55" s="1100"/>
      <c r="BC55" s="1100"/>
      <c r="BD55" s="1100"/>
      <c r="BE55" s="1100"/>
      <c r="BF55" s="1100"/>
      <c r="BG55" s="1100"/>
      <c r="BH55" s="1100"/>
      <c r="BI55" s="1100"/>
      <c r="BJ55" s="1100"/>
      <c r="BK55" s="1100"/>
      <c r="BL55" s="1100"/>
      <c r="BM55" s="1100"/>
      <c r="BN55" s="1100"/>
      <c r="BO55" s="1100"/>
      <c r="BP55" s="1100"/>
      <c r="BQ55" s="1100"/>
      <c r="BR55" s="1100"/>
      <c r="BS55" s="1100"/>
      <c r="BT55" s="1100"/>
      <c r="BU55" s="1100"/>
      <c r="BV55" s="1100"/>
      <c r="BW55" s="1100"/>
      <c r="BX55" s="1100"/>
      <c r="BY55" s="1100"/>
      <c r="BZ55" s="1100"/>
      <c r="CA55" s="1100"/>
      <c r="CB55" s="1100"/>
      <c r="CC55" s="1100"/>
      <c r="CD55" s="1100"/>
      <c r="CE55" s="1100"/>
      <c r="CF55" s="1100"/>
      <c r="CG55" s="1100"/>
      <c r="CH55" s="1100"/>
      <c r="CI55" s="1100"/>
      <c r="CJ55" s="1100"/>
    </row>
    <row r="56" spans="1:88" s="1102" customFormat="1" ht="25.5" thickBot="1">
      <c r="A56" s="1100"/>
      <c r="B56" s="1770" t="s">
        <v>6146</v>
      </c>
      <c r="C56" s="3257" t="s">
        <v>6147</v>
      </c>
      <c r="D56" s="3258"/>
      <c r="E56" s="3258"/>
      <c r="F56" s="3258"/>
      <c r="G56" s="3258"/>
      <c r="H56" s="3258"/>
      <c r="I56" s="3258"/>
      <c r="J56" s="3259"/>
      <c r="K56" s="1100"/>
      <c r="L56" s="1100"/>
      <c r="M56" s="1100"/>
      <c r="N56" s="1100"/>
      <c r="O56" s="1100"/>
      <c r="P56" s="1100"/>
      <c r="Q56" s="1100"/>
      <c r="R56" s="1100"/>
      <c r="S56" s="1100"/>
      <c r="T56" s="1100"/>
      <c r="U56" s="1100"/>
      <c r="V56" s="1100"/>
      <c r="W56" s="1100"/>
      <c r="X56" s="1100"/>
      <c r="Y56" s="1100"/>
      <c r="Z56" s="1100"/>
      <c r="AA56" s="1100"/>
      <c r="AB56" s="1100"/>
      <c r="AC56" s="1100"/>
      <c r="AD56" s="1100"/>
      <c r="AE56" s="1100"/>
      <c r="AF56" s="1100"/>
      <c r="AG56" s="1100"/>
      <c r="AH56" s="1100"/>
      <c r="AI56" s="1100"/>
      <c r="AJ56" s="1100"/>
      <c r="AK56" s="1100"/>
      <c r="AL56" s="1100"/>
      <c r="AM56" s="1100"/>
      <c r="AN56" s="1100"/>
      <c r="AO56" s="1100"/>
      <c r="AP56" s="1100"/>
      <c r="AQ56" s="1100"/>
      <c r="AR56" s="1100"/>
      <c r="AS56" s="1100"/>
      <c r="AT56" s="1100"/>
      <c r="AU56" s="1100"/>
      <c r="AV56" s="1100"/>
      <c r="AW56" s="1100"/>
      <c r="AX56" s="1100"/>
      <c r="AY56" s="1100"/>
      <c r="AZ56" s="1100"/>
      <c r="BA56" s="1100"/>
      <c r="BB56" s="1100"/>
      <c r="BC56" s="1100"/>
      <c r="BD56" s="1100"/>
      <c r="BE56" s="1100"/>
      <c r="BF56" s="1100"/>
      <c r="BG56" s="1100"/>
      <c r="BH56" s="1100"/>
      <c r="BI56" s="1100"/>
      <c r="BJ56" s="1100"/>
      <c r="BK56" s="1100"/>
      <c r="BL56" s="1100"/>
      <c r="BM56" s="1100"/>
      <c r="BN56" s="1100"/>
      <c r="BO56" s="1100"/>
      <c r="BP56" s="1100"/>
      <c r="BQ56" s="1100"/>
      <c r="BR56" s="1100"/>
      <c r="BS56" s="1100"/>
      <c r="BT56" s="1100"/>
      <c r="BU56" s="1100"/>
      <c r="BV56" s="1100"/>
      <c r="BW56" s="1100"/>
      <c r="BX56" s="1100"/>
      <c r="BY56" s="1100"/>
      <c r="BZ56" s="1100"/>
      <c r="CA56" s="1100"/>
      <c r="CB56" s="1100"/>
      <c r="CC56" s="1100"/>
      <c r="CD56" s="1100"/>
      <c r="CE56" s="1100"/>
      <c r="CF56" s="1100"/>
      <c r="CG56" s="1100"/>
      <c r="CH56" s="1100"/>
      <c r="CI56" s="1100"/>
      <c r="CJ56" s="1100"/>
    </row>
    <row r="57" spans="1:88" s="1102" customFormat="1" ht="27" customHeight="1" thickBot="1">
      <c r="A57" s="1100"/>
      <c r="B57" s="1770" t="s">
        <v>6148</v>
      </c>
      <c r="C57" s="3257" t="s">
        <v>6149</v>
      </c>
      <c r="D57" s="3258"/>
      <c r="E57" s="3258"/>
      <c r="F57" s="3258"/>
      <c r="G57" s="3258"/>
      <c r="H57" s="3258"/>
      <c r="I57" s="3258"/>
      <c r="J57" s="3259"/>
      <c r="K57" s="1100"/>
      <c r="L57" s="1100"/>
      <c r="M57" s="1100"/>
      <c r="N57" s="1100"/>
      <c r="O57" s="1100"/>
      <c r="P57" s="1100"/>
      <c r="Q57" s="1100"/>
      <c r="R57" s="1100"/>
      <c r="S57" s="1100"/>
      <c r="T57" s="1100"/>
      <c r="U57" s="1100"/>
      <c r="V57" s="1100"/>
      <c r="W57" s="1100"/>
      <c r="X57" s="1100"/>
      <c r="Y57" s="1100"/>
      <c r="Z57" s="1100"/>
      <c r="AA57" s="1100"/>
      <c r="AB57" s="1100"/>
      <c r="AC57" s="1100"/>
      <c r="AD57" s="1100"/>
      <c r="AE57" s="1100"/>
      <c r="AF57" s="1100"/>
      <c r="AG57" s="1100"/>
      <c r="AH57" s="1100"/>
      <c r="AI57" s="1100"/>
      <c r="AJ57" s="1100"/>
      <c r="AK57" s="1100"/>
      <c r="AL57" s="1100"/>
      <c r="AM57" s="1100"/>
      <c r="AN57" s="1100"/>
      <c r="AO57" s="1100"/>
      <c r="AP57" s="1100"/>
      <c r="AQ57" s="1100"/>
      <c r="AR57" s="1100"/>
      <c r="AS57" s="1100"/>
      <c r="AT57" s="1100"/>
      <c r="AU57" s="1100"/>
      <c r="AV57" s="1100"/>
      <c r="AW57" s="1100"/>
      <c r="AX57" s="1100"/>
      <c r="AY57" s="1100"/>
      <c r="AZ57" s="1100"/>
      <c r="BA57" s="1100"/>
      <c r="BB57" s="1100"/>
      <c r="BC57" s="1100"/>
      <c r="BD57" s="1100"/>
      <c r="BE57" s="1100"/>
      <c r="BF57" s="1100"/>
      <c r="BG57" s="1100"/>
      <c r="BH57" s="1100"/>
      <c r="BI57" s="1100"/>
      <c r="BJ57" s="1100"/>
      <c r="BK57" s="1100"/>
      <c r="BL57" s="1100"/>
      <c r="BM57" s="1100"/>
      <c r="BN57" s="1100"/>
      <c r="BO57" s="1100"/>
      <c r="BP57" s="1100"/>
      <c r="BQ57" s="1100"/>
      <c r="BR57" s="1100"/>
      <c r="BS57" s="1100"/>
      <c r="BT57" s="1100"/>
      <c r="BU57" s="1100"/>
      <c r="BV57" s="1100"/>
      <c r="BW57" s="1100"/>
      <c r="BX57" s="1100"/>
      <c r="BY57" s="1100"/>
      <c r="BZ57" s="1100"/>
      <c r="CA57" s="1100"/>
      <c r="CB57" s="1100"/>
      <c r="CC57" s="1100"/>
      <c r="CD57" s="1100"/>
      <c r="CE57" s="1100"/>
      <c r="CF57" s="1100"/>
      <c r="CG57" s="1100"/>
      <c r="CH57" s="1100"/>
      <c r="CI57" s="1100"/>
      <c r="CJ57" s="1100"/>
    </row>
    <row r="58" spans="1:88" s="1102" customFormat="1" ht="38" thickBot="1">
      <c r="A58" s="1100"/>
      <c r="B58" s="1770" t="s">
        <v>6150</v>
      </c>
      <c r="C58" s="3257" t="s">
        <v>6151</v>
      </c>
      <c r="D58" s="3258"/>
      <c r="E58" s="3258"/>
      <c r="F58" s="3258"/>
      <c r="G58" s="3258"/>
      <c r="H58" s="3258"/>
      <c r="I58" s="3258"/>
      <c r="J58" s="3259"/>
      <c r="K58" s="1100"/>
      <c r="L58" s="1100"/>
      <c r="M58" s="1100"/>
      <c r="N58" s="1100"/>
      <c r="O58" s="1100"/>
      <c r="P58" s="1100"/>
      <c r="Q58" s="1100"/>
      <c r="R58" s="1100"/>
      <c r="S58" s="1100"/>
      <c r="T58" s="1100"/>
      <c r="U58" s="1100"/>
      <c r="V58" s="1100"/>
      <c r="W58" s="1100"/>
      <c r="X58" s="1100"/>
      <c r="Y58" s="1100"/>
      <c r="Z58" s="1100"/>
      <c r="AA58" s="1100"/>
      <c r="AB58" s="1100"/>
      <c r="AC58" s="1100"/>
      <c r="AD58" s="1100"/>
      <c r="AE58" s="1100"/>
      <c r="AF58" s="1100"/>
      <c r="AG58" s="1100"/>
      <c r="AH58" s="1100"/>
      <c r="AI58" s="1100"/>
      <c r="AJ58" s="1100"/>
      <c r="AK58" s="1100"/>
      <c r="AL58" s="1100"/>
      <c r="AM58" s="1100"/>
      <c r="AN58" s="1100"/>
      <c r="AO58" s="1100"/>
      <c r="AP58" s="1100"/>
      <c r="AQ58" s="1100"/>
      <c r="AR58" s="1100"/>
      <c r="AS58" s="1100"/>
      <c r="AT58" s="1100"/>
      <c r="AU58" s="1100"/>
      <c r="AV58" s="1100"/>
      <c r="AW58" s="1100"/>
      <c r="AX58" s="1100"/>
      <c r="AY58" s="1100"/>
      <c r="AZ58" s="1100"/>
      <c r="BA58" s="1100"/>
      <c r="BB58" s="1100"/>
      <c r="BC58" s="1100"/>
      <c r="BD58" s="1100"/>
      <c r="BE58" s="1100"/>
      <c r="BF58" s="1100"/>
      <c r="BG58" s="1100"/>
      <c r="BH58" s="1100"/>
      <c r="BI58" s="1100"/>
      <c r="BJ58" s="1100"/>
      <c r="BK58" s="1100"/>
      <c r="BL58" s="1100"/>
      <c r="BM58" s="1100"/>
      <c r="BN58" s="1100"/>
      <c r="BO58" s="1100"/>
      <c r="BP58" s="1100"/>
      <c r="BQ58" s="1100"/>
      <c r="BR58" s="1100"/>
      <c r="BS58" s="1100"/>
      <c r="BT58" s="1100"/>
      <c r="BU58" s="1100"/>
      <c r="BV58" s="1100"/>
      <c r="BW58" s="1100"/>
      <c r="BX58" s="1100"/>
      <c r="BY58" s="1100"/>
      <c r="BZ58" s="1100"/>
      <c r="CA58" s="1100"/>
      <c r="CB58" s="1100"/>
      <c r="CC58" s="1100"/>
      <c r="CD58" s="1100"/>
      <c r="CE58" s="1100"/>
      <c r="CF58" s="1100"/>
      <c r="CG58" s="1100"/>
      <c r="CH58" s="1100"/>
      <c r="CI58" s="1100"/>
      <c r="CJ58" s="1100"/>
    </row>
    <row r="59" spans="1:88" s="1102" customFormat="1" ht="38" thickBot="1">
      <c r="A59" s="1100"/>
      <c r="B59" s="1770" t="s">
        <v>6152</v>
      </c>
      <c r="C59" s="3257" t="s">
        <v>6153</v>
      </c>
      <c r="D59" s="3258"/>
      <c r="E59" s="3258"/>
      <c r="F59" s="3258"/>
      <c r="G59" s="3258"/>
      <c r="H59" s="3258"/>
      <c r="I59" s="3258"/>
      <c r="J59" s="3259"/>
      <c r="K59" s="1100"/>
      <c r="L59" s="1100"/>
      <c r="M59" s="1100"/>
      <c r="N59" s="1100"/>
      <c r="O59" s="1100"/>
      <c r="P59" s="1100"/>
      <c r="Q59" s="1100"/>
      <c r="R59" s="1100"/>
      <c r="S59" s="1100"/>
      <c r="T59" s="1100"/>
      <c r="U59" s="1100"/>
      <c r="V59" s="1100"/>
      <c r="W59" s="1100"/>
      <c r="X59" s="1100"/>
      <c r="Y59" s="1100"/>
      <c r="Z59" s="1100"/>
      <c r="AA59" s="1100"/>
      <c r="AB59" s="1100"/>
      <c r="AC59" s="1100"/>
      <c r="AD59" s="1100"/>
      <c r="AE59" s="1100"/>
      <c r="AF59" s="1100"/>
      <c r="AG59" s="1100"/>
      <c r="AH59" s="1100"/>
      <c r="AI59" s="1100"/>
      <c r="AJ59" s="1100"/>
      <c r="AK59" s="1100"/>
      <c r="AL59" s="1100"/>
      <c r="AM59" s="1100"/>
      <c r="AN59" s="1100"/>
      <c r="AO59" s="1100"/>
      <c r="AP59" s="1100"/>
      <c r="AQ59" s="1100"/>
      <c r="AR59" s="1100"/>
      <c r="AS59" s="1100"/>
      <c r="AT59" s="1100"/>
      <c r="AU59" s="1100"/>
      <c r="AV59" s="1100"/>
      <c r="AW59" s="1100"/>
      <c r="AX59" s="1100"/>
      <c r="AY59" s="1100"/>
      <c r="AZ59" s="1100"/>
      <c r="BA59" s="1100"/>
      <c r="BB59" s="1100"/>
      <c r="BC59" s="1100"/>
      <c r="BD59" s="1100"/>
      <c r="BE59" s="1100"/>
      <c r="BF59" s="1100"/>
      <c r="BG59" s="1100"/>
      <c r="BH59" s="1100"/>
      <c r="BI59" s="1100"/>
      <c r="BJ59" s="1100"/>
      <c r="BK59" s="1100"/>
      <c r="BL59" s="1100"/>
      <c r="BM59" s="1100"/>
      <c r="BN59" s="1100"/>
      <c r="BO59" s="1100"/>
      <c r="BP59" s="1100"/>
      <c r="BQ59" s="1100"/>
      <c r="BR59" s="1100"/>
      <c r="BS59" s="1100"/>
      <c r="BT59" s="1100"/>
      <c r="BU59" s="1100"/>
      <c r="BV59" s="1100"/>
      <c r="BW59" s="1100"/>
      <c r="BX59" s="1100"/>
      <c r="BY59" s="1100"/>
      <c r="BZ59" s="1100"/>
      <c r="CA59" s="1100"/>
      <c r="CB59" s="1100"/>
      <c r="CC59" s="1100"/>
      <c r="CD59" s="1100"/>
      <c r="CE59" s="1100"/>
      <c r="CF59" s="1100"/>
      <c r="CG59" s="1100"/>
      <c r="CH59" s="1100"/>
      <c r="CI59" s="1100"/>
      <c r="CJ59" s="1100"/>
    </row>
    <row r="60" spans="1:88" s="1102" customFormat="1" ht="25.5" thickBot="1">
      <c r="A60" s="1100"/>
      <c r="B60" s="1769" t="s">
        <v>6154</v>
      </c>
      <c r="C60" s="3260" t="s">
        <v>6155</v>
      </c>
      <c r="D60" s="3261"/>
      <c r="E60" s="3261"/>
      <c r="F60" s="3261"/>
      <c r="G60" s="3261"/>
      <c r="H60" s="3261"/>
      <c r="I60" s="3261"/>
      <c r="J60" s="3262"/>
      <c r="K60" s="1100"/>
      <c r="L60" s="1100"/>
      <c r="M60" s="1100"/>
      <c r="N60" s="1100"/>
      <c r="O60" s="1100"/>
      <c r="P60" s="1100"/>
      <c r="Q60" s="1100"/>
      <c r="R60" s="1100"/>
      <c r="S60" s="1100"/>
      <c r="T60" s="1100"/>
      <c r="U60" s="1100"/>
      <c r="V60" s="1100"/>
      <c r="W60" s="1100"/>
      <c r="X60" s="1100"/>
      <c r="Y60" s="1100"/>
      <c r="Z60" s="1100"/>
      <c r="AA60" s="1100"/>
      <c r="AB60" s="1100"/>
      <c r="AC60" s="1100"/>
      <c r="AD60" s="1100"/>
      <c r="AE60" s="1100"/>
      <c r="AF60" s="1100"/>
      <c r="AG60" s="1100"/>
      <c r="AH60" s="1100"/>
      <c r="AI60" s="1100"/>
      <c r="AJ60" s="1100"/>
      <c r="AK60" s="1100"/>
      <c r="AL60" s="1100"/>
      <c r="AM60" s="1100"/>
      <c r="AN60" s="1100"/>
      <c r="AO60" s="1100"/>
      <c r="AP60" s="1100"/>
      <c r="AQ60" s="1100"/>
      <c r="AR60" s="1100"/>
      <c r="AS60" s="1100"/>
      <c r="AT60" s="1100"/>
      <c r="AU60" s="1100"/>
      <c r="AV60" s="1100"/>
      <c r="AW60" s="1100"/>
      <c r="AX60" s="1100"/>
      <c r="AY60" s="1100"/>
      <c r="AZ60" s="1100"/>
      <c r="BA60" s="1100"/>
      <c r="BB60" s="1100"/>
      <c r="BC60" s="1100"/>
      <c r="BD60" s="1100"/>
      <c r="BE60" s="1100"/>
      <c r="BF60" s="1100"/>
      <c r="BG60" s="1100"/>
      <c r="BH60" s="1100"/>
      <c r="BI60" s="1100"/>
      <c r="BJ60" s="1100"/>
      <c r="BK60" s="1100"/>
      <c r="BL60" s="1100"/>
      <c r="BM60" s="1100"/>
      <c r="BN60" s="1100"/>
      <c r="BO60" s="1100"/>
      <c r="BP60" s="1100"/>
      <c r="BQ60" s="1100"/>
      <c r="BR60" s="1100"/>
      <c r="BS60" s="1100"/>
      <c r="BT60" s="1100"/>
      <c r="BU60" s="1100"/>
      <c r="BV60" s="1100"/>
      <c r="BW60" s="1100"/>
      <c r="BX60" s="1100"/>
      <c r="BY60" s="1100"/>
      <c r="BZ60" s="1100"/>
      <c r="CA60" s="1100"/>
      <c r="CB60" s="1100"/>
      <c r="CC60" s="1100"/>
      <c r="CD60" s="1100"/>
      <c r="CE60" s="1100"/>
      <c r="CF60" s="1100"/>
      <c r="CG60" s="1100"/>
      <c r="CH60" s="1100"/>
      <c r="CI60" s="1100"/>
      <c r="CJ60" s="1100"/>
    </row>
    <row r="61" spans="1:88" s="1102" customFormat="1" ht="16.149999999999999" customHeight="1" thickBot="1">
      <c r="A61" s="1100"/>
      <c r="B61" s="1101"/>
      <c r="C61" s="1101"/>
      <c r="D61" s="1101"/>
      <c r="E61" s="1101"/>
      <c r="F61" s="1101"/>
      <c r="G61" s="1101"/>
      <c r="H61" s="1101"/>
      <c r="I61" s="1100"/>
      <c r="J61" s="1100"/>
      <c r="K61" s="1100"/>
      <c r="L61" s="1100"/>
      <c r="M61" s="1100"/>
      <c r="N61" s="1100"/>
      <c r="O61" s="1100"/>
      <c r="P61" s="1100"/>
      <c r="Q61" s="1100"/>
      <c r="R61" s="1100"/>
      <c r="S61" s="1100"/>
      <c r="T61" s="1100"/>
      <c r="U61" s="1100"/>
      <c r="V61" s="1100"/>
      <c r="W61" s="1100"/>
      <c r="X61" s="1100"/>
      <c r="Y61" s="1100"/>
      <c r="Z61" s="1100"/>
      <c r="AA61" s="1100"/>
      <c r="AB61" s="1100"/>
      <c r="AC61" s="1100"/>
      <c r="AD61" s="1100"/>
      <c r="AE61" s="1100"/>
      <c r="AF61" s="1100"/>
      <c r="AG61" s="1100"/>
      <c r="AH61" s="1100"/>
      <c r="AI61" s="1100"/>
      <c r="AJ61" s="1100"/>
      <c r="AK61" s="1100"/>
      <c r="AL61" s="1100"/>
      <c r="AM61" s="1100"/>
      <c r="AN61" s="1100"/>
      <c r="AO61" s="1100"/>
      <c r="AP61" s="1100"/>
      <c r="AQ61" s="1100"/>
      <c r="AR61" s="1100"/>
      <c r="AS61" s="1100"/>
      <c r="AT61" s="1100"/>
      <c r="AU61" s="1100"/>
      <c r="AV61" s="1100"/>
      <c r="AW61" s="1100"/>
      <c r="AX61" s="1100"/>
      <c r="AY61" s="1100"/>
      <c r="AZ61" s="1100"/>
      <c r="BA61" s="1100"/>
      <c r="BB61" s="1100"/>
      <c r="BC61" s="1100"/>
      <c r="BD61" s="1100"/>
      <c r="BE61" s="1100"/>
      <c r="BF61" s="1100"/>
      <c r="BG61" s="1100"/>
      <c r="BH61" s="1100"/>
      <c r="BI61" s="1100"/>
      <c r="BJ61" s="1100"/>
      <c r="BK61" s="1100"/>
      <c r="BL61" s="1100"/>
      <c r="BM61" s="1100"/>
      <c r="BN61" s="1100"/>
      <c r="BO61" s="1100"/>
      <c r="BP61" s="1100"/>
      <c r="BQ61" s="1100"/>
      <c r="BR61" s="1100"/>
      <c r="BS61" s="1100"/>
      <c r="BT61" s="1100"/>
      <c r="BU61" s="1100"/>
      <c r="BV61" s="1100"/>
      <c r="BW61" s="1100"/>
      <c r="BX61" s="1100"/>
      <c r="BY61" s="1100"/>
      <c r="BZ61" s="1100"/>
      <c r="CA61" s="1100"/>
      <c r="CB61" s="1100"/>
      <c r="CC61" s="1100"/>
      <c r="CD61" s="1100"/>
      <c r="CE61" s="1100"/>
      <c r="CF61" s="1100"/>
      <c r="CG61" s="1100"/>
      <c r="CH61" s="1100"/>
      <c r="CI61" s="1100"/>
      <c r="CJ61" s="1100"/>
    </row>
    <row r="62" spans="1:88" s="1102" customFormat="1" ht="16.5" thickBot="1">
      <c r="A62" s="1100"/>
      <c r="B62" s="3248" t="s">
        <v>6156</v>
      </c>
      <c r="C62" s="3249"/>
      <c r="D62" s="3249"/>
      <c r="E62" s="3249"/>
      <c r="F62" s="3249"/>
      <c r="G62" s="3249"/>
      <c r="H62" s="3249"/>
      <c r="I62" s="3250"/>
      <c r="J62" s="3251"/>
      <c r="K62" s="1100"/>
      <c r="L62" s="1100"/>
      <c r="M62" s="1100"/>
      <c r="N62" s="1100"/>
      <c r="O62" s="1100"/>
      <c r="P62" s="1100"/>
      <c r="Q62" s="1100"/>
      <c r="R62" s="1100"/>
      <c r="S62" s="1100"/>
      <c r="T62" s="1100"/>
      <c r="U62" s="1100"/>
      <c r="V62" s="1100"/>
      <c r="W62" s="1100"/>
      <c r="X62" s="1100"/>
      <c r="Y62" s="1100"/>
      <c r="Z62" s="1100"/>
      <c r="AA62" s="1100"/>
      <c r="AB62" s="1100"/>
      <c r="AC62" s="1100"/>
      <c r="AD62" s="1100"/>
      <c r="AE62" s="1100"/>
      <c r="AF62" s="1100"/>
      <c r="AG62" s="1100"/>
      <c r="AH62" s="1100"/>
      <c r="AI62" s="1100"/>
      <c r="AJ62" s="1100"/>
      <c r="AK62" s="1100"/>
      <c r="AL62" s="1100"/>
      <c r="AM62" s="1100"/>
      <c r="AN62" s="1100"/>
      <c r="AO62" s="1100"/>
      <c r="AP62" s="1100"/>
      <c r="AQ62" s="1100"/>
      <c r="AR62" s="1100"/>
      <c r="AS62" s="1100"/>
      <c r="AT62" s="1100"/>
      <c r="AU62" s="1100"/>
      <c r="AV62" s="1100"/>
      <c r="AW62" s="1100"/>
      <c r="AX62" s="1100"/>
      <c r="AY62" s="1100"/>
      <c r="AZ62" s="1100"/>
      <c r="BA62" s="1100"/>
      <c r="BB62" s="1100"/>
      <c r="BC62" s="1100"/>
      <c r="BD62" s="1100"/>
      <c r="BE62" s="1100"/>
      <c r="BF62" s="1100"/>
      <c r="BG62" s="1100"/>
      <c r="BH62" s="1100"/>
      <c r="BI62" s="1100"/>
      <c r="BJ62" s="1100"/>
      <c r="BK62" s="1100"/>
      <c r="BL62" s="1100"/>
      <c r="BM62" s="1100"/>
      <c r="BN62" s="1100"/>
      <c r="BO62" s="1100"/>
      <c r="BP62" s="1100"/>
      <c r="BQ62" s="1100"/>
      <c r="BR62" s="1100"/>
      <c r="BS62" s="1100"/>
      <c r="BT62" s="1100"/>
      <c r="BU62" s="1100"/>
      <c r="BV62" s="1100"/>
      <c r="BW62" s="1100"/>
      <c r="BX62" s="1100"/>
      <c r="BY62" s="1100"/>
      <c r="BZ62" s="1100"/>
      <c r="CA62" s="1100"/>
      <c r="CB62" s="1100"/>
      <c r="CC62" s="1100"/>
      <c r="CD62" s="1100"/>
      <c r="CE62" s="1100"/>
      <c r="CF62" s="1100"/>
      <c r="CG62" s="1100"/>
      <c r="CH62" s="1100"/>
      <c r="CI62" s="1100"/>
      <c r="CJ62" s="1100"/>
    </row>
    <row r="63" spans="1:88"/>
    <row r="64" spans="1:88"/>
    <row r="65"/>
    <row r="66"/>
    <row r="67"/>
    <row r="68"/>
    <row r="69"/>
    <row r="70"/>
    <row r="71"/>
    <row r="72"/>
    <row r="73"/>
    <row r="74"/>
    <row r="75"/>
    <row r="76"/>
    <row r="77"/>
    <row r="78"/>
    <row r="79"/>
    <row r="80"/>
    <row r="81"/>
    <row r="82"/>
  </sheetData>
  <sheetProtection algorithmName="SHA-512" hashValue="M+uTkOC891odsYNVhPHBr58EhfHlVKE2WNt7jbuBsIWsXVqt5c+4UG7rCJBAKEsIg+RDWyqKn63ktLVLEtOYSQ==" saltValue="XPzXzW48VD+nhZ3kblvrNA==" spinCount="100000" sheet="1" objects="1" scenarios="1"/>
  <mergeCells count="14">
    <mergeCell ref="B62:J62"/>
    <mergeCell ref="B3:C3"/>
    <mergeCell ref="B34:J34"/>
    <mergeCell ref="B41:J41"/>
    <mergeCell ref="C58:J58"/>
    <mergeCell ref="C59:J59"/>
    <mergeCell ref="C60:J60"/>
    <mergeCell ref="C46:J54"/>
    <mergeCell ref="B39:J39"/>
    <mergeCell ref="B43:J43"/>
    <mergeCell ref="C45:J45"/>
    <mergeCell ref="C57:J57"/>
    <mergeCell ref="C55:J55"/>
    <mergeCell ref="C56:J56"/>
  </mergeCells>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6" id="{D8CF702D-BD3B-4A5E-8ACA-4F08841973EB}">
            <xm:f>Validation!$H$3=1</xm:f>
            <x14:dxf>
              <fill>
                <patternFill>
                  <bgColor theme="2"/>
                </patternFill>
              </fill>
            </x14:dxf>
          </x14:cfRule>
          <xm:sqref>G6:CI15 G22:CI23 H21:CI21 G18:CI19</xm:sqref>
        </x14:conditionalFormatting>
        <x14:conditionalFormatting xmlns:xm="http://schemas.microsoft.com/office/excel/2006/main">
          <x14:cfRule type="expression" priority="5" id="{46F6447C-AEF0-4B68-BBF7-B25651CF7D2C}">
            <xm:f>Validation!$H$3=1</xm:f>
            <x14:dxf>
              <fill>
                <patternFill>
                  <bgColor theme="2"/>
                </patternFill>
              </fill>
            </x14:dxf>
          </x14:cfRule>
          <xm:sqref>G20:CH20</xm:sqref>
        </x14:conditionalFormatting>
        <x14:conditionalFormatting xmlns:xm="http://schemas.microsoft.com/office/excel/2006/main">
          <x14:cfRule type="expression" priority="4" id="{96BF686D-0276-47A2-BA67-7E33BA8CA783}">
            <xm:f>Validation!$H$3=1</xm:f>
            <x14:dxf>
              <fill>
                <patternFill>
                  <bgColor theme="2"/>
                </patternFill>
              </fill>
            </x14:dxf>
          </x14:cfRule>
          <xm:sqref>G20:CH20</xm:sqref>
        </x14:conditionalFormatting>
        <x14:conditionalFormatting xmlns:xm="http://schemas.microsoft.com/office/excel/2006/main">
          <x14:cfRule type="expression" priority="3" id="{3DB985EB-2840-4FA8-853A-278B8909519B}">
            <xm:f>Validation!$H$3=1</xm:f>
            <x14:dxf>
              <fill>
                <patternFill>
                  <bgColor theme="2"/>
                </patternFill>
              </fill>
            </x14:dxf>
          </x14:cfRule>
          <xm:sqref>G21:CH21</xm:sqref>
        </x14:conditionalFormatting>
        <x14:conditionalFormatting xmlns:xm="http://schemas.microsoft.com/office/excel/2006/main">
          <x14:cfRule type="expression" priority="2" id="{F7544718-BD70-45FE-B3BC-7D43807C62C3}">
            <xm:f>Validation!$H$3=1</xm:f>
            <x14:dxf>
              <fill>
                <patternFill>
                  <bgColor theme="2"/>
                </patternFill>
              </fill>
            </x14:dxf>
          </x14:cfRule>
          <xm:sqref>G20:CH20</xm:sqref>
        </x14:conditionalFormatting>
        <x14:conditionalFormatting xmlns:xm="http://schemas.microsoft.com/office/excel/2006/main">
          <x14:cfRule type="expression" priority="1" id="{3603D968-3593-4160-9E2D-A5FCC3D22E32}">
            <xm:f>Validation!$H$3=1</xm:f>
            <x14:dxf>
              <fill>
                <patternFill>
                  <bgColor theme="2"/>
                </patternFill>
              </fill>
            </x14:dxf>
          </x14:cfRule>
          <xm:sqref>CI20</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92D050"/>
    <pageSetUpPr fitToPage="1"/>
  </sheetPr>
  <dimension ref="A1:V281"/>
  <sheetViews>
    <sheetView topLeftCell="A101" zoomScaleNormal="100" workbookViewId="0">
      <selection activeCell="B105" sqref="B105:G123"/>
    </sheetView>
  </sheetViews>
  <sheetFormatPr defaultColWidth="0" defaultRowHeight="14" zeroHeight="1"/>
  <cols>
    <col min="1" max="1" width="0.58203125" customWidth="1"/>
    <col min="2" max="2" width="8.58203125" customWidth="1"/>
    <col min="3" max="3" width="73.08203125" customWidth="1"/>
    <col min="4" max="4" width="10.83203125" style="567" bestFit="1" customWidth="1"/>
    <col min="5" max="5" width="8.08203125" style="567" customWidth="1"/>
    <col min="6" max="6" width="8.58203125" customWidth="1"/>
    <col min="7" max="7" width="12.08203125" customWidth="1"/>
    <col min="8" max="8" width="30.08203125" customWidth="1"/>
    <col min="9" max="9" width="2.58203125" customWidth="1"/>
    <col min="10" max="10" width="23.5" customWidth="1"/>
    <col min="11" max="11" width="1.08203125" customWidth="1"/>
    <col min="12" max="12" width="1.08203125" style="1635" hidden="1" customWidth="1"/>
    <col min="13" max="13" width="19.58203125" hidden="1" customWidth="1"/>
    <col min="14" max="14" width="0.58203125" style="1635" hidden="1" customWidth="1"/>
    <col min="15" max="15" width="13.58203125" hidden="1" customWidth="1"/>
    <col min="16" max="16" width="0.5" style="1635" hidden="1" customWidth="1"/>
    <col min="17" max="18" width="8.58203125" hidden="1" customWidth="1"/>
    <col min="19" max="19" width="26.08203125" hidden="1" customWidth="1"/>
    <col min="20" max="20" width="1.58203125" style="1635" hidden="1" customWidth="1"/>
    <col min="21" max="22" width="0" hidden="1" customWidth="1"/>
    <col min="23" max="16384" width="8.58203125" hidden="1"/>
  </cols>
  <sheetData>
    <row r="1" spans="1:20" s="851" customFormat="1" ht="20">
      <c r="B1" s="66" t="s">
        <v>6157</v>
      </c>
      <c r="C1" s="66"/>
      <c r="D1" s="66"/>
      <c r="E1" s="66"/>
      <c r="F1" s="66"/>
      <c r="G1" s="66"/>
      <c r="H1" s="68" t="str">
        <f>Validation!B3</f>
        <v>Bristol Water</v>
      </c>
      <c r="I1" s="66"/>
      <c r="J1" s="69" t="s">
        <v>32</v>
      </c>
      <c r="K1" s="70"/>
      <c r="L1" s="71"/>
      <c r="N1" s="71"/>
      <c r="P1" s="1643"/>
      <c r="T1" s="1643"/>
    </row>
    <row r="2" spans="1:20" s="851" customFormat="1" ht="14.5" thickBot="1">
      <c r="B2" s="73" t="str">
        <f>'4O'!B2</f>
        <v>For the 12 months ended 31 March 2020</v>
      </c>
      <c r="C2" s="965"/>
      <c r="D2" s="965"/>
      <c r="I2" s="70"/>
      <c r="J2" s="70"/>
      <c r="K2" s="70"/>
      <c r="L2" s="71"/>
      <c r="N2" s="71"/>
      <c r="P2" s="1643"/>
      <c r="T2" s="1643"/>
    </row>
    <row r="3" spans="1:20" s="192" customFormat="1" ht="14.5" thickBot="1">
      <c r="A3" s="851"/>
      <c r="B3" s="967" t="s">
        <v>191</v>
      </c>
      <c r="C3" s="967" t="s">
        <v>34</v>
      </c>
      <c r="D3" s="968" t="s">
        <v>2462</v>
      </c>
      <c r="E3" s="969" t="s">
        <v>36</v>
      </c>
      <c r="F3" s="969" t="s">
        <v>37</v>
      </c>
      <c r="G3" s="2870" t="s">
        <v>156</v>
      </c>
      <c r="H3" s="2824" t="s">
        <v>3638</v>
      </c>
      <c r="I3" s="70"/>
      <c r="J3" s="2824" t="s">
        <v>41</v>
      </c>
      <c r="K3" s="70"/>
      <c r="L3" s="71"/>
      <c r="M3" s="76" t="s">
        <v>45</v>
      </c>
      <c r="N3" s="71"/>
      <c r="O3" s="2822" t="s">
        <v>24</v>
      </c>
      <c r="P3" s="71"/>
      <c r="Q3" s="76" t="s">
        <v>902</v>
      </c>
      <c r="R3" s="77"/>
      <c r="S3" s="77"/>
      <c r="T3" s="71"/>
    </row>
    <row r="4" spans="1:20" s="192" customFormat="1" ht="14.5" thickBot="1">
      <c r="A4" s="851"/>
      <c r="B4" s="851"/>
      <c r="C4" s="851"/>
      <c r="D4" s="851"/>
      <c r="E4" s="851"/>
      <c r="F4" s="851"/>
      <c r="G4" s="851"/>
      <c r="H4" s="851"/>
      <c r="I4" s="70"/>
      <c r="J4" s="1063"/>
      <c r="K4" s="70"/>
      <c r="L4" s="71"/>
      <c r="M4" s="85" t="s">
        <v>46</v>
      </c>
      <c r="N4" s="71"/>
      <c r="P4" s="71"/>
      <c r="R4" s="2855"/>
      <c r="S4" s="2855"/>
      <c r="T4" s="71"/>
    </row>
    <row r="5" spans="1:20" s="192" customFormat="1" ht="14.5" thickBot="1">
      <c r="A5" s="851"/>
      <c r="B5" s="2863" t="s">
        <v>153</v>
      </c>
      <c r="C5" s="1031" t="s">
        <v>905</v>
      </c>
      <c r="D5" s="851"/>
      <c r="E5" s="851"/>
      <c r="F5" s="851"/>
      <c r="G5" s="851"/>
      <c r="H5" s="851"/>
      <c r="I5" s="70"/>
      <c r="J5" s="1063"/>
      <c r="K5" s="70"/>
      <c r="L5" s="71"/>
      <c r="M5" s="85"/>
      <c r="N5" s="71"/>
      <c r="P5" s="71"/>
      <c r="T5" s="71"/>
    </row>
    <row r="6" spans="1:20" s="192" customFormat="1">
      <c r="A6" s="851"/>
      <c r="B6" s="971" t="s">
        <v>6158</v>
      </c>
      <c r="C6" s="1103" t="s">
        <v>6159</v>
      </c>
      <c r="D6" s="1588" t="s">
        <v>6160</v>
      </c>
      <c r="E6" s="973" t="s">
        <v>6161</v>
      </c>
      <c r="F6" s="974">
        <v>3</v>
      </c>
      <c r="G6" s="976">
        <v>0.21199999999999999</v>
      </c>
      <c r="H6" s="1781"/>
      <c r="I6" s="70"/>
      <c r="J6" s="24">
        <f t="shared" ref="J6:J33" si="0" xml:space="preserve"> IF( SUM( L6:N6 ) = 0, 0, $M$4 )</f>
        <v>0</v>
      </c>
      <c r="K6" s="70"/>
      <c r="L6" s="71"/>
      <c r="M6" s="93">
        <f t="shared" ref="M6:M26" si="1" xml:space="preserve"> IF( ISNUMBER( G6 ), 0, 1 )</f>
        <v>0</v>
      </c>
      <c r="N6" s="71"/>
      <c r="P6" s="71"/>
      <c r="T6" s="71"/>
    </row>
    <row r="7" spans="1:20" s="192" customFormat="1">
      <c r="A7" s="851"/>
      <c r="B7" s="980" t="s">
        <v>6162</v>
      </c>
      <c r="C7" s="981" t="s">
        <v>6163</v>
      </c>
      <c r="D7" s="1589" t="s">
        <v>6164</v>
      </c>
      <c r="E7" s="1881" t="s">
        <v>6161</v>
      </c>
      <c r="F7" s="978">
        <v>3</v>
      </c>
      <c r="G7" s="983">
        <v>0.628</v>
      </c>
      <c r="H7" s="1782"/>
      <c r="I7" s="70"/>
      <c r="J7" s="24">
        <f t="shared" si="0"/>
        <v>0</v>
      </c>
      <c r="K7" s="70"/>
      <c r="L7" s="71"/>
      <c r="M7" s="93">
        <f t="shared" si="1"/>
        <v>0</v>
      </c>
      <c r="N7" s="71"/>
      <c r="P7" s="71"/>
      <c r="T7" s="71"/>
    </row>
    <row r="8" spans="1:20" s="192" customFormat="1">
      <c r="A8" s="851"/>
      <c r="B8" s="980" t="s">
        <v>6165</v>
      </c>
      <c r="C8" s="981" t="s">
        <v>6166</v>
      </c>
      <c r="D8" s="1589" t="s">
        <v>6167</v>
      </c>
      <c r="E8" s="1881" t="s">
        <v>6161</v>
      </c>
      <c r="F8" s="978">
        <v>3</v>
      </c>
      <c r="G8" s="983">
        <v>0</v>
      </c>
      <c r="H8" s="1782"/>
      <c r="I8" s="70"/>
      <c r="J8" s="24">
        <f t="shared" si="0"/>
        <v>0</v>
      </c>
      <c r="K8" s="70"/>
      <c r="L8" s="71"/>
      <c r="M8" s="93">
        <f t="shared" si="1"/>
        <v>0</v>
      </c>
      <c r="N8" s="71"/>
      <c r="P8" s="71"/>
      <c r="T8" s="71"/>
    </row>
    <row r="9" spans="1:20" s="192" customFormat="1" ht="25">
      <c r="A9" s="851"/>
      <c r="B9" s="980" t="s">
        <v>6168</v>
      </c>
      <c r="C9" s="981" t="s">
        <v>6169</v>
      </c>
      <c r="D9" s="1589" t="s">
        <v>6170</v>
      </c>
      <c r="E9" s="1881" t="s">
        <v>6161</v>
      </c>
      <c r="F9" s="978">
        <v>3</v>
      </c>
      <c r="G9" s="983">
        <v>0.16</v>
      </c>
      <c r="H9" s="1782"/>
      <c r="I9" s="70"/>
      <c r="J9" s="24">
        <f t="shared" si="0"/>
        <v>0</v>
      </c>
      <c r="K9" s="70"/>
      <c r="L9" s="71"/>
      <c r="M9" s="93">
        <f t="shared" si="1"/>
        <v>0</v>
      </c>
      <c r="N9" s="71"/>
      <c r="P9" s="71"/>
      <c r="T9" s="71"/>
    </row>
    <row r="10" spans="1:20" s="192" customFormat="1">
      <c r="A10" s="851"/>
      <c r="B10" s="980" t="s">
        <v>6171</v>
      </c>
      <c r="C10" s="981" t="s">
        <v>6172</v>
      </c>
      <c r="D10" s="1589" t="s">
        <v>6173</v>
      </c>
      <c r="E10" s="1881" t="s">
        <v>6161</v>
      </c>
      <c r="F10" s="978">
        <v>3</v>
      </c>
      <c r="G10" s="983">
        <v>0</v>
      </c>
      <c r="H10" s="1782"/>
      <c r="I10" s="70"/>
      <c r="J10" s="24">
        <f t="shared" si="0"/>
        <v>0</v>
      </c>
      <c r="K10" s="70"/>
      <c r="L10" s="71"/>
      <c r="M10" s="93">
        <f t="shared" si="1"/>
        <v>0</v>
      </c>
      <c r="N10" s="71"/>
      <c r="P10" s="71"/>
      <c r="T10" s="71"/>
    </row>
    <row r="11" spans="1:20" s="192" customFormat="1" ht="25.5" customHeight="1">
      <c r="A11" s="851"/>
      <c r="B11" s="980" t="s">
        <v>6174</v>
      </c>
      <c r="C11" s="981" t="s">
        <v>6175</v>
      </c>
      <c r="D11" s="1589" t="s">
        <v>6176</v>
      </c>
      <c r="E11" s="1881" t="s">
        <v>6161</v>
      </c>
      <c r="F11" s="978">
        <v>3</v>
      </c>
      <c r="G11" s="983">
        <v>0</v>
      </c>
      <c r="H11" s="1782"/>
      <c r="I11" s="70"/>
      <c r="J11" s="24">
        <f t="shared" si="0"/>
        <v>0</v>
      </c>
      <c r="L11" s="71"/>
      <c r="M11" s="93">
        <f t="shared" ref="M11:M13" si="2" xml:space="preserve"> IF( ISNUMBER( G11 ), 0, 1 )</f>
        <v>0</v>
      </c>
      <c r="N11" s="71"/>
      <c r="P11" s="71"/>
      <c r="T11" s="119"/>
    </row>
    <row r="12" spans="1:20" s="2019" customFormat="1">
      <c r="A12" s="851"/>
      <c r="B12" s="980" t="s">
        <v>6177</v>
      </c>
      <c r="C12" s="2269" t="s">
        <v>6178</v>
      </c>
      <c r="D12" s="2023" t="s">
        <v>6179</v>
      </c>
      <c r="E12" s="1881" t="s">
        <v>6161</v>
      </c>
      <c r="F12" s="978">
        <v>3</v>
      </c>
      <c r="G12" s="983">
        <v>0</v>
      </c>
      <c r="H12" s="1782"/>
      <c r="I12" s="1975"/>
      <c r="J12" s="2281">
        <f t="shared" si="0"/>
        <v>0</v>
      </c>
      <c r="K12" s="1975"/>
      <c r="L12" s="2274"/>
      <c r="M12" s="2282">
        <f t="shared" si="2"/>
        <v>0</v>
      </c>
      <c r="N12" s="2274"/>
      <c r="P12" s="2283"/>
      <c r="Q12" s="2284"/>
      <c r="R12" s="2284"/>
      <c r="S12" s="2285"/>
      <c r="T12" s="2283"/>
    </row>
    <row r="13" spans="1:20" s="2019" customFormat="1">
      <c r="A13" s="851"/>
      <c r="B13" s="980" t="s">
        <v>6180</v>
      </c>
      <c r="C13" s="2269" t="s">
        <v>6181</v>
      </c>
      <c r="D13" s="2023" t="s">
        <v>6182</v>
      </c>
      <c r="E13" s="1881" t="s">
        <v>6161</v>
      </c>
      <c r="F13" s="978">
        <v>3</v>
      </c>
      <c r="G13" s="983">
        <v>0</v>
      </c>
      <c r="H13" s="1782"/>
      <c r="I13" s="1975"/>
      <c r="J13" s="2281">
        <f xml:space="preserve"> IF( SUM( L13:N13 ) &lt;&gt; 0, $M$4, IF(SUM(N13:P13) =  0, 0, $S$13))</f>
        <v>0</v>
      </c>
      <c r="K13" s="1975"/>
      <c r="L13" s="2274"/>
      <c r="M13" s="2282">
        <f t="shared" si="2"/>
        <v>0</v>
      </c>
      <c r="N13" s="2274"/>
      <c r="O13" s="2282">
        <f xml:space="preserve"> IF( (Q13 - R13) = 0, 0, 1 )</f>
        <v>0</v>
      </c>
      <c r="P13" s="2283"/>
      <c r="Q13" s="2284">
        <f>SUM(G6:G13)</f>
        <v>1</v>
      </c>
      <c r="R13" s="2284">
        <v>1</v>
      </c>
      <c r="S13" s="2285" t="s">
        <v>6183</v>
      </c>
      <c r="T13" s="2283"/>
    </row>
    <row r="14" spans="1:20" s="192" customFormat="1">
      <c r="A14" s="851"/>
      <c r="B14" s="980" t="s">
        <v>6184</v>
      </c>
      <c r="C14" s="981" t="s">
        <v>6185</v>
      </c>
      <c r="D14" s="1589" t="s">
        <v>6186</v>
      </c>
      <c r="E14" s="1881" t="s">
        <v>764</v>
      </c>
      <c r="F14" s="978">
        <v>0</v>
      </c>
      <c r="G14" s="1104">
        <v>3</v>
      </c>
      <c r="H14" s="1782"/>
      <c r="I14" s="70"/>
      <c r="J14" s="24">
        <f t="shared" si="0"/>
        <v>0</v>
      </c>
      <c r="K14" s="70"/>
      <c r="L14" s="71"/>
      <c r="M14" s="93">
        <f t="shared" si="1"/>
        <v>0</v>
      </c>
      <c r="N14" s="71"/>
      <c r="P14" s="71"/>
      <c r="T14" s="71"/>
    </row>
    <row r="15" spans="1:20" s="192" customFormat="1">
      <c r="A15" s="851"/>
      <c r="B15" s="980" t="s">
        <v>6187</v>
      </c>
      <c r="C15" s="981" t="s">
        <v>6188</v>
      </c>
      <c r="D15" s="1589" t="s">
        <v>6189</v>
      </c>
      <c r="E15" s="1881" t="s">
        <v>764</v>
      </c>
      <c r="F15" s="978">
        <v>0</v>
      </c>
      <c r="G15" s="1104">
        <v>8</v>
      </c>
      <c r="H15" s="1782"/>
      <c r="I15" s="70"/>
      <c r="J15" s="24">
        <f t="shared" si="0"/>
        <v>0</v>
      </c>
      <c r="K15" s="70"/>
      <c r="L15" s="71"/>
      <c r="M15" s="93">
        <f t="shared" si="1"/>
        <v>0</v>
      </c>
      <c r="N15" s="71"/>
      <c r="P15" s="71"/>
      <c r="T15" s="71"/>
    </row>
    <row r="16" spans="1:20" s="192" customFormat="1">
      <c r="A16" s="851"/>
      <c r="B16" s="980" t="s">
        <v>6190</v>
      </c>
      <c r="C16" s="981" t="s">
        <v>6191</v>
      </c>
      <c r="D16" s="1589" t="s">
        <v>6192</v>
      </c>
      <c r="E16" s="1881" t="s">
        <v>764</v>
      </c>
      <c r="F16" s="978">
        <v>0</v>
      </c>
      <c r="G16" s="1104">
        <v>0</v>
      </c>
      <c r="H16" s="1782"/>
      <c r="I16" s="70"/>
      <c r="J16" s="24">
        <f t="shared" si="0"/>
        <v>0</v>
      </c>
      <c r="K16" s="70"/>
      <c r="L16" s="71"/>
      <c r="M16" s="93">
        <f t="shared" si="1"/>
        <v>0</v>
      </c>
      <c r="N16" s="71"/>
      <c r="P16" s="71"/>
      <c r="T16" s="71"/>
    </row>
    <row r="17" spans="1:20" s="192" customFormat="1" ht="14.25" customHeight="1">
      <c r="A17" s="851"/>
      <c r="B17" s="980" t="s">
        <v>6193</v>
      </c>
      <c r="C17" s="981" t="s">
        <v>6194</v>
      </c>
      <c r="D17" s="1589" t="s">
        <v>6195</v>
      </c>
      <c r="E17" s="1881" t="s">
        <v>764</v>
      </c>
      <c r="F17" s="978">
        <v>0</v>
      </c>
      <c r="G17" s="1104">
        <v>14</v>
      </c>
      <c r="H17" s="1782"/>
      <c r="I17" s="70"/>
      <c r="J17" s="24">
        <f t="shared" si="0"/>
        <v>0</v>
      </c>
      <c r="K17" s="70"/>
      <c r="L17" s="71"/>
      <c r="M17" s="93">
        <f t="shared" si="1"/>
        <v>0</v>
      </c>
      <c r="N17" s="71"/>
      <c r="P17" s="71"/>
      <c r="T17" s="71"/>
    </row>
    <row r="18" spans="1:20" s="192" customFormat="1">
      <c r="A18" s="851"/>
      <c r="B18" s="980" t="s">
        <v>6196</v>
      </c>
      <c r="C18" s="981" t="s">
        <v>6197</v>
      </c>
      <c r="D18" s="1589" t="s">
        <v>6198</v>
      </c>
      <c r="E18" s="1881" t="s">
        <v>764</v>
      </c>
      <c r="F18" s="978">
        <v>0</v>
      </c>
      <c r="G18" s="1104">
        <v>0</v>
      </c>
      <c r="H18" s="1782"/>
      <c r="I18" s="70"/>
      <c r="J18" s="24">
        <f t="shared" si="0"/>
        <v>0</v>
      </c>
      <c r="K18" s="70"/>
      <c r="L18" s="71"/>
      <c r="M18" s="93">
        <f t="shared" si="1"/>
        <v>0</v>
      </c>
      <c r="N18" s="71"/>
      <c r="P18" s="71"/>
      <c r="T18" s="71"/>
    </row>
    <row r="19" spans="1:20" s="192" customFormat="1">
      <c r="A19" s="851"/>
      <c r="B19" s="980" t="s">
        <v>6199</v>
      </c>
      <c r="C19" s="981" t="s">
        <v>6200</v>
      </c>
      <c r="D19" s="1589" t="s">
        <v>6201</v>
      </c>
      <c r="E19" s="1881" t="s">
        <v>764</v>
      </c>
      <c r="F19" s="978">
        <v>0</v>
      </c>
      <c r="G19" s="1104">
        <v>0</v>
      </c>
      <c r="H19" s="1782"/>
      <c r="I19" s="70"/>
      <c r="J19" s="24">
        <f t="shared" si="0"/>
        <v>0</v>
      </c>
      <c r="K19" s="70"/>
      <c r="L19" s="71"/>
      <c r="M19" s="93">
        <f t="shared" si="1"/>
        <v>0</v>
      </c>
      <c r="N19" s="71"/>
      <c r="P19" s="71"/>
      <c r="T19" s="71"/>
    </row>
    <row r="20" spans="1:20" s="2019" customFormat="1">
      <c r="A20" s="851"/>
      <c r="B20" s="980" t="s">
        <v>6202</v>
      </c>
      <c r="C20" s="2269" t="s">
        <v>6203</v>
      </c>
      <c r="D20" s="2023" t="s">
        <v>6204</v>
      </c>
      <c r="E20" s="1881" t="s">
        <v>764</v>
      </c>
      <c r="F20" s="978">
        <v>0</v>
      </c>
      <c r="G20" s="1104">
        <v>0</v>
      </c>
      <c r="H20" s="1782"/>
      <c r="I20" s="1975"/>
      <c r="J20" s="2281">
        <f t="shared" si="0"/>
        <v>0</v>
      </c>
      <c r="K20" s="1975"/>
      <c r="L20" s="2274"/>
      <c r="M20" s="2282">
        <f t="shared" ref="M20" si="3" xml:space="preserve"> IF( ISNUMBER( G20 ), 0, 1 )</f>
        <v>0</v>
      </c>
      <c r="N20" s="2274"/>
      <c r="P20" s="2274"/>
      <c r="T20" s="2274"/>
    </row>
    <row r="21" spans="1:20" s="2019" customFormat="1" ht="409.5">
      <c r="A21" s="851"/>
      <c r="B21" s="980" t="s">
        <v>6205</v>
      </c>
      <c r="C21" s="2269" t="s">
        <v>6206</v>
      </c>
      <c r="D21" s="2023" t="s">
        <v>6207</v>
      </c>
      <c r="E21" s="1881" t="s">
        <v>764</v>
      </c>
      <c r="F21" s="978">
        <v>0</v>
      </c>
      <c r="G21" s="1104">
        <v>25</v>
      </c>
      <c r="H21" s="1782" t="s">
        <v>12897</v>
      </c>
      <c r="I21" s="1975"/>
      <c r="J21" s="2281">
        <f t="shared" si="0"/>
        <v>0</v>
      </c>
      <c r="K21" s="1975"/>
      <c r="L21" s="2274"/>
      <c r="M21" s="2282">
        <f t="shared" si="1"/>
        <v>0</v>
      </c>
      <c r="N21" s="2274"/>
      <c r="P21" s="2274"/>
      <c r="T21" s="2274"/>
    </row>
    <row r="22" spans="1:20" s="2019" customFormat="1">
      <c r="A22" s="851"/>
      <c r="B22" s="980" t="s">
        <v>6208</v>
      </c>
      <c r="C22" s="2269" t="s">
        <v>6209</v>
      </c>
      <c r="D22" s="2023" t="s">
        <v>6210</v>
      </c>
      <c r="E22" s="1881" t="s">
        <v>764</v>
      </c>
      <c r="F22" s="978">
        <v>0</v>
      </c>
      <c r="G22" s="1104">
        <v>0</v>
      </c>
      <c r="H22" s="1782"/>
      <c r="I22" s="1975"/>
      <c r="J22" s="2281">
        <f t="shared" si="0"/>
        <v>0</v>
      </c>
      <c r="K22" s="1975"/>
      <c r="L22" s="2274"/>
      <c r="M22" s="2282">
        <f t="shared" ref="M22" si="4" xml:space="preserve"> IF( ISNUMBER( G22 ), 0, 1 )</f>
        <v>0</v>
      </c>
      <c r="N22" s="2274"/>
      <c r="P22" s="2274"/>
      <c r="T22" s="2274"/>
    </row>
    <row r="23" spans="1:20" s="192" customFormat="1">
      <c r="A23" s="851"/>
      <c r="B23" s="980" t="s">
        <v>6211</v>
      </c>
      <c r="C23" s="981" t="s">
        <v>6212</v>
      </c>
      <c r="D23" s="1589" t="s">
        <v>6213</v>
      </c>
      <c r="E23" s="1881" t="s">
        <v>764</v>
      </c>
      <c r="F23" s="978">
        <v>0</v>
      </c>
      <c r="G23" s="1104">
        <v>11</v>
      </c>
      <c r="H23" s="1782"/>
      <c r="I23" s="70"/>
      <c r="J23" s="24">
        <f t="shared" si="0"/>
        <v>0</v>
      </c>
      <c r="K23" s="70"/>
      <c r="L23" s="71"/>
      <c r="M23" s="93">
        <f t="shared" si="1"/>
        <v>0</v>
      </c>
      <c r="N23" s="71"/>
      <c r="P23" s="71"/>
      <c r="T23" s="71"/>
    </row>
    <row r="24" spans="1:20" s="192" customFormat="1">
      <c r="A24" s="851"/>
      <c r="B24" s="980" t="s">
        <v>6214</v>
      </c>
      <c r="C24" s="981" t="s">
        <v>6215</v>
      </c>
      <c r="D24" s="1589" t="s">
        <v>6216</v>
      </c>
      <c r="E24" s="1881" t="s">
        <v>2820</v>
      </c>
      <c r="F24" s="978">
        <v>0</v>
      </c>
      <c r="G24" s="1104">
        <v>38604</v>
      </c>
      <c r="H24" s="1782"/>
      <c r="I24" s="70"/>
      <c r="J24" s="24">
        <f t="shared" si="0"/>
        <v>0</v>
      </c>
      <c r="K24" s="70"/>
      <c r="L24" s="71"/>
      <c r="M24" s="93">
        <f t="shared" si="1"/>
        <v>0</v>
      </c>
      <c r="N24" s="71"/>
      <c r="P24" s="71"/>
      <c r="T24" s="71"/>
    </row>
    <row r="25" spans="1:20" s="192" customFormat="1">
      <c r="A25" s="851"/>
      <c r="B25" s="980" t="s">
        <v>6217</v>
      </c>
      <c r="C25" s="981" t="s">
        <v>6218</v>
      </c>
      <c r="D25" s="1589" t="s">
        <v>6219</v>
      </c>
      <c r="E25" s="1881" t="s">
        <v>764</v>
      </c>
      <c r="F25" s="978">
        <v>0</v>
      </c>
      <c r="G25" s="1104">
        <v>15</v>
      </c>
      <c r="H25" s="1782"/>
      <c r="I25" s="70"/>
      <c r="J25" s="24">
        <f t="shared" si="0"/>
        <v>0</v>
      </c>
      <c r="K25" s="70"/>
      <c r="L25" s="71"/>
      <c r="M25" s="93">
        <f t="shared" si="1"/>
        <v>0</v>
      </c>
      <c r="N25" s="71"/>
      <c r="P25" s="71"/>
      <c r="T25" s="71"/>
    </row>
    <row r="26" spans="1:20" s="192" customFormat="1">
      <c r="A26" s="851"/>
      <c r="B26" s="980" t="s">
        <v>6220</v>
      </c>
      <c r="C26" s="981" t="s">
        <v>6221</v>
      </c>
      <c r="D26" s="2023" t="s">
        <v>6222</v>
      </c>
      <c r="E26" s="1881" t="s">
        <v>764</v>
      </c>
      <c r="F26" s="978">
        <v>0</v>
      </c>
      <c r="G26" s="1104">
        <v>8</v>
      </c>
      <c r="H26" s="1782"/>
      <c r="I26" s="70"/>
      <c r="J26" s="24">
        <f t="shared" si="0"/>
        <v>0</v>
      </c>
      <c r="K26" s="70"/>
      <c r="L26" s="71"/>
      <c r="M26" s="93">
        <f t="shared" si="1"/>
        <v>0</v>
      </c>
      <c r="N26" s="71"/>
      <c r="P26" s="71"/>
      <c r="T26" s="71"/>
    </row>
    <row r="27" spans="1:20" s="192" customFormat="1">
      <c r="A27" s="851"/>
      <c r="B27" s="1036" t="s">
        <v>6223</v>
      </c>
      <c r="C27" s="981" t="s">
        <v>6224</v>
      </c>
      <c r="D27" s="1589" t="s">
        <v>6225</v>
      </c>
      <c r="E27" s="1881" t="s">
        <v>6226</v>
      </c>
      <c r="F27" s="978">
        <v>0</v>
      </c>
      <c r="G27" s="1104">
        <v>6794</v>
      </c>
      <c r="H27" s="1782"/>
      <c r="I27" s="70"/>
      <c r="J27" s="24">
        <f t="shared" si="0"/>
        <v>0</v>
      </c>
      <c r="K27" s="70"/>
      <c r="L27" s="71"/>
      <c r="M27" s="93">
        <f xml:space="preserve"> IF( ISNUMBER( G27 ), 0, 1 )</f>
        <v>0</v>
      </c>
      <c r="N27" s="71"/>
      <c r="P27" s="71"/>
      <c r="T27" s="71"/>
    </row>
    <row r="28" spans="1:20" s="192" customFormat="1">
      <c r="A28" s="851"/>
      <c r="B28" s="980" t="s">
        <v>6227</v>
      </c>
      <c r="C28" s="981" t="s">
        <v>6228</v>
      </c>
      <c r="D28" s="2023" t="s">
        <v>6229</v>
      </c>
      <c r="E28" s="1881" t="s">
        <v>6226</v>
      </c>
      <c r="F28" s="978">
        <v>0</v>
      </c>
      <c r="G28" s="1104">
        <v>3584</v>
      </c>
      <c r="H28" s="1782"/>
      <c r="I28" s="70"/>
      <c r="J28" s="24">
        <f t="shared" si="0"/>
        <v>0</v>
      </c>
      <c r="K28" s="70"/>
      <c r="L28" s="71"/>
      <c r="M28" s="93">
        <f t="shared" ref="M28" si="5" xml:space="preserve"> IF( ISNUMBER( G28 ), 0, 1 )</f>
        <v>0</v>
      </c>
      <c r="N28" s="71"/>
      <c r="P28" s="71"/>
      <c r="T28" s="71"/>
    </row>
    <row r="29" spans="1:20" s="192" customFormat="1">
      <c r="A29" s="851"/>
      <c r="B29" s="980" t="s">
        <v>6230</v>
      </c>
      <c r="C29" s="981" t="s">
        <v>6231</v>
      </c>
      <c r="D29" s="1589" t="s">
        <v>6232</v>
      </c>
      <c r="E29" s="1881" t="s">
        <v>6233</v>
      </c>
      <c r="F29" s="978">
        <v>2</v>
      </c>
      <c r="G29" s="1105">
        <v>42.75</v>
      </c>
      <c r="H29" s="1782"/>
      <c r="I29" s="70"/>
      <c r="J29" s="24">
        <f t="shared" si="0"/>
        <v>0</v>
      </c>
      <c r="K29" s="70"/>
      <c r="L29" s="71"/>
      <c r="M29" s="93">
        <f xml:space="preserve"> IF( ISNUMBER( G29 ), 0, 1 )</f>
        <v>0</v>
      </c>
      <c r="N29" s="71"/>
      <c r="P29" s="71"/>
      <c r="T29" s="71"/>
    </row>
    <row r="30" spans="1:20" s="192" customFormat="1">
      <c r="A30" s="851"/>
      <c r="B30" s="1036" t="s">
        <v>6234</v>
      </c>
      <c r="C30" s="1106" t="s">
        <v>6235</v>
      </c>
      <c r="D30" s="1590" t="s">
        <v>6236</v>
      </c>
      <c r="E30" s="1107" t="s">
        <v>6237</v>
      </c>
      <c r="F30" s="1108">
        <v>2</v>
      </c>
      <c r="G30" s="1109">
        <v>22.22</v>
      </c>
      <c r="H30" s="1783"/>
      <c r="I30" s="70"/>
      <c r="J30" s="24">
        <f t="shared" si="0"/>
        <v>0</v>
      </c>
      <c r="K30" s="70"/>
      <c r="L30" s="71"/>
      <c r="M30" s="93">
        <f xml:space="preserve"> IF( ISNUMBER( G30 ), 0, 1 )</f>
        <v>0</v>
      </c>
      <c r="N30" s="71"/>
      <c r="P30" s="71"/>
      <c r="T30" s="71"/>
    </row>
    <row r="31" spans="1:20" s="192" customFormat="1">
      <c r="A31" s="851"/>
      <c r="B31" s="1036" t="s">
        <v>6238</v>
      </c>
      <c r="C31" s="1106" t="s">
        <v>6239</v>
      </c>
      <c r="D31" s="1590" t="s">
        <v>6240</v>
      </c>
      <c r="E31" s="1107" t="s">
        <v>6237</v>
      </c>
      <c r="F31" s="1108">
        <v>2</v>
      </c>
      <c r="G31" s="1109">
        <v>45.43</v>
      </c>
      <c r="H31" s="1783"/>
      <c r="I31" s="70"/>
      <c r="J31" s="24">
        <f t="shared" ref="J31:J32" si="6" xml:space="preserve"> IF( SUM( L31:N31 ) = 0, 0, $M$4 )</f>
        <v>0</v>
      </c>
      <c r="K31" s="70"/>
      <c r="L31" s="71"/>
      <c r="M31" s="93">
        <f t="shared" ref="M31:M32" si="7" xml:space="preserve"> IF( ISNUMBER( G31 ), 0, 1 )</f>
        <v>0</v>
      </c>
      <c r="N31" s="71"/>
      <c r="P31" s="71"/>
      <c r="T31" s="71"/>
    </row>
    <row r="32" spans="1:20" s="2019" customFormat="1" ht="287.5">
      <c r="A32" s="851"/>
      <c r="B32" s="1036" t="s">
        <v>6241</v>
      </c>
      <c r="C32" s="2286" t="s">
        <v>6242</v>
      </c>
      <c r="D32" s="2287" t="s">
        <v>6243</v>
      </c>
      <c r="E32" s="1881" t="s">
        <v>6233</v>
      </c>
      <c r="F32" s="978">
        <v>2</v>
      </c>
      <c r="G32" s="1109">
        <v>105.36</v>
      </c>
      <c r="H32" s="1783" t="s">
        <v>12898</v>
      </c>
      <c r="I32" s="1975"/>
      <c r="J32" s="2281">
        <f t="shared" si="6"/>
        <v>0</v>
      </c>
      <c r="K32" s="1975"/>
      <c r="L32" s="2274"/>
      <c r="M32" s="2282">
        <f t="shared" si="7"/>
        <v>0</v>
      </c>
      <c r="N32" s="2274"/>
      <c r="P32" s="2274"/>
      <c r="T32" s="2274"/>
    </row>
    <row r="33" spans="1:20" s="2019" customFormat="1" ht="14.5" thickBot="1">
      <c r="A33" s="851"/>
      <c r="B33" s="985" t="s">
        <v>6244</v>
      </c>
      <c r="C33" s="2288" t="s">
        <v>6245</v>
      </c>
      <c r="D33" s="2289" t="s">
        <v>6246</v>
      </c>
      <c r="E33" s="987" t="s">
        <v>2449</v>
      </c>
      <c r="F33" s="988">
        <v>2</v>
      </c>
      <c r="G33" s="1110">
        <v>337.95</v>
      </c>
      <c r="H33" s="1784"/>
      <c r="I33" s="1975"/>
      <c r="J33" s="2281">
        <f t="shared" si="0"/>
        <v>0</v>
      </c>
      <c r="K33" s="1975"/>
      <c r="L33" s="2274"/>
      <c r="M33" s="2282">
        <f xml:space="preserve"> IF( ISNUMBER( G33 ), 0, 1 )</f>
        <v>0</v>
      </c>
      <c r="N33" s="2274"/>
      <c r="P33" s="2274"/>
      <c r="T33" s="2274"/>
    </row>
    <row r="34" spans="1:20" ht="14.5" thickBot="1">
      <c r="A34" s="1882"/>
      <c r="B34" s="1882"/>
      <c r="C34" s="1882"/>
      <c r="D34" s="1591"/>
      <c r="F34" s="1882"/>
      <c r="G34" s="1882"/>
      <c r="H34" s="1882"/>
      <c r="I34" s="1882"/>
      <c r="J34" s="1882"/>
      <c r="K34" s="1882"/>
      <c r="M34" s="1882"/>
      <c r="O34" s="1882"/>
      <c r="Q34" s="1882"/>
      <c r="R34" s="1882"/>
      <c r="S34" s="1882"/>
    </row>
    <row r="35" spans="1:20" s="851" customFormat="1" ht="14.5" thickBot="1">
      <c r="B35" s="2863" t="s">
        <v>175</v>
      </c>
      <c r="C35" s="1031" t="s">
        <v>2619</v>
      </c>
      <c r="D35" s="1592"/>
      <c r="I35" s="70"/>
      <c r="J35" s="1063"/>
      <c r="K35" s="70"/>
      <c r="L35" s="71"/>
      <c r="N35" s="1643"/>
      <c r="P35" s="1643"/>
      <c r="T35" s="1643"/>
    </row>
    <row r="36" spans="1:20" s="192" customFormat="1" ht="15" customHeight="1">
      <c r="A36" s="851"/>
      <c r="B36" s="971" t="s">
        <v>6247</v>
      </c>
      <c r="C36" s="1111" t="s">
        <v>6248</v>
      </c>
      <c r="D36" s="1593" t="s">
        <v>6249</v>
      </c>
      <c r="E36" s="1112" t="s">
        <v>2449</v>
      </c>
      <c r="F36" s="974">
        <v>2</v>
      </c>
      <c r="G36" s="1113">
        <v>0</v>
      </c>
      <c r="H36" s="1781"/>
      <c r="I36" s="70"/>
      <c r="J36" s="24">
        <f t="shared" ref="J36:J67" si="8" xml:space="preserve"> IF( SUM( L36:N36 ) = 0, 0, $M$4 )</f>
        <v>0</v>
      </c>
      <c r="K36" s="70"/>
      <c r="L36" s="71"/>
      <c r="M36" s="93">
        <f t="shared" ref="M36:M67" si="9" xml:space="preserve"> IF( ISNUMBER( G36 ), 0, 1 )</f>
        <v>0</v>
      </c>
      <c r="N36" s="71"/>
      <c r="P36" s="71"/>
      <c r="T36" s="71"/>
    </row>
    <row r="37" spans="1:20" s="192" customFormat="1" ht="15" customHeight="1">
      <c r="A37" s="851"/>
      <c r="B37" s="980" t="s">
        <v>6250</v>
      </c>
      <c r="C37" s="1114" t="s">
        <v>6251</v>
      </c>
      <c r="D37" s="1594" t="s">
        <v>6252</v>
      </c>
      <c r="E37" s="1115" t="s">
        <v>2449</v>
      </c>
      <c r="F37" s="978">
        <v>2</v>
      </c>
      <c r="G37" s="1105">
        <v>0</v>
      </c>
      <c r="H37" s="1782"/>
      <c r="I37" s="70"/>
      <c r="J37" s="24">
        <f t="shared" si="8"/>
        <v>0</v>
      </c>
      <c r="K37" s="70"/>
      <c r="L37" s="71"/>
      <c r="M37" s="93">
        <f t="shared" si="9"/>
        <v>0</v>
      </c>
      <c r="N37" s="71"/>
      <c r="P37" s="71"/>
      <c r="T37" s="71"/>
    </row>
    <row r="38" spans="1:20" s="192" customFormat="1" ht="15" customHeight="1">
      <c r="A38" s="851"/>
      <c r="B38" s="980" t="s">
        <v>6253</v>
      </c>
      <c r="C38" s="1114" t="s">
        <v>6254</v>
      </c>
      <c r="D38" s="1594" t="s">
        <v>6255</v>
      </c>
      <c r="E38" s="1115" t="s">
        <v>2449</v>
      </c>
      <c r="F38" s="978">
        <v>2</v>
      </c>
      <c r="G38" s="1105">
        <v>0</v>
      </c>
      <c r="H38" s="1782"/>
      <c r="I38" s="70"/>
      <c r="J38" s="24">
        <f t="shared" si="8"/>
        <v>0</v>
      </c>
      <c r="K38" s="70"/>
      <c r="L38" s="71"/>
      <c r="M38" s="93">
        <f t="shared" si="9"/>
        <v>0</v>
      </c>
      <c r="N38" s="71"/>
      <c r="P38" s="71"/>
      <c r="T38" s="71"/>
    </row>
    <row r="39" spans="1:20" s="192" customFormat="1" ht="15" customHeight="1">
      <c r="A39" s="851"/>
      <c r="B39" s="980" t="s">
        <v>6256</v>
      </c>
      <c r="C39" s="1114" t="s">
        <v>6257</v>
      </c>
      <c r="D39" s="1594" t="s">
        <v>6258</v>
      </c>
      <c r="E39" s="1115" t="s">
        <v>2449</v>
      </c>
      <c r="F39" s="978">
        <v>2</v>
      </c>
      <c r="G39" s="1105">
        <v>0</v>
      </c>
      <c r="H39" s="1782"/>
      <c r="I39" s="70"/>
      <c r="J39" s="24">
        <f t="shared" si="8"/>
        <v>0</v>
      </c>
      <c r="K39" s="70"/>
      <c r="L39" s="71"/>
      <c r="M39" s="93">
        <f t="shared" si="9"/>
        <v>0</v>
      </c>
      <c r="N39" s="71"/>
      <c r="P39" s="71"/>
      <c r="T39" s="71"/>
    </row>
    <row r="40" spans="1:20" s="192" customFormat="1" ht="15" customHeight="1">
      <c r="A40" s="851"/>
      <c r="B40" s="980" t="s">
        <v>6259</v>
      </c>
      <c r="C40" s="1114" t="s">
        <v>6260</v>
      </c>
      <c r="D40" s="1594" t="s">
        <v>6261</v>
      </c>
      <c r="E40" s="1115" t="s">
        <v>2449</v>
      </c>
      <c r="F40" s="978">
        <v>2</v>
      </c>
      <c r="G40" s="1105">
        <v>20.45</v>
      </c>
      <c r="H40" s="1782"/>
      <c r="I40" s="70"/>
      <c r="J40" s="24">
        <f t="shared" si="8"/>
        <v>0</v>
      </c>
      <c r="K40" s="70"/>
      <c r="L40" s="71"/>
      <c r="M40" s="93">
        <f t="shared" si="9"/>
        <v>0</v>
      </c>
      <c r="N40" s="71"/>
      <c r="P40" s="71"/>
      <c r="T40" s="71"/>
    </row>
    <row r="41" spans="1:20" s="192" customFormat="1" ht="15" customHeight="1">
      <c r="A41" s="851"/>
      <c r="B41" s="980" t="s">
        <v>6262</v>
      </c>
      <c r="C41" s="1114" t="s">
        <v>6263</v>
      </c>
      <c r="D41" s="1594" t="s">
        <v>6264</v>
      </c>
      <c r="E41" s="1115" t="s">
        <v>2449</v>
      </c>
      <c r="F41" s="978">
        <v>2</v>
      </c>
      <c r="G41" s="1105">
        <v>221.13</v>
      </c>
      <c r="H41" s="1782"/>
      <c r="I41" s="70"/>
      <c r="J41" s="24">
        <f t="shared" si="8"/>
        <v>0</v>
      </c>
      <c r="K41" s="70"/>
      <c r="L41" s="71"/>
      <c r="M41" s="93">
        <f t="shared" si="9"/>
        <v>0</v>
      </c>
      <c r="N41" s="71"/>
      <c r="P41" s="71"/>
      <c r="T41" s="71"/>
    </row>
    <row r="42" spans="1:20" s="192" customFormat="1" ht="15" customHeight="1">
      <c r="A42" s="851"/>
      <c r="B42" s="980" t="s">
        <v>6265</v>
      </c>
      <c r="C42" s="1114" t="s">
        <v>6266</v>
      </c>
      <c r="D42" s="1594" t="s">
        <v>6267</v>
      </c>
      <c r="E42" s="1115" t="s">
        <v>2449</v>
      </c>
      <c r="F42" s="978">
        <v>2</v>
      </c>
      <c r="G42" s="1105">
        <v>0</v>
      </c>
      <c r="H42" s="1782"/>
      <c r="I42" s="70"/>
      <c r="J42" s="24">
        <f t="shared" si="8"/>
        <v>0</v>
      </c>
      <c r="K42" s="70"/>
      <c r="L42" s="71"/>
      <c r="M42" s="93">
        <f t="shared" si="9"/>
        <v>0</v>
      </c>
      <c r="N42" s="71"/>
      <c r="P42" s="71"/>
      <c r="T42" s="71"/>
    </row>
    <row r="43" spans="1:20" s="192" customFormat="1" ht="15" customHeight="1">
      <c r="A43" s="851"/>
      <c r="B43" s="980" t="s">
        <v>6268</v>
      </c>
      <c r="C43" s="1114" t="s">
        <v>6269</v>
      </c>
      <c r="D43" s="1594" t="s">
        <v>6270</v>
      </c>
      <c r="E43" s="1115" t="s">
        <v>2449</v>
      </c>
      <c r="F43" s="978">
        <v>2</v>
      </c>
      <c r="G43" s="1105">
        <v>0.83</v>
      </c>
      <c r="H43" s="1782"/>
      <c r="I43" s="70"/>
      <c r="J43" s="24">
        <f t="shared" si="8"/>
        <v>0</v>
      </c>
      <c r="K43" s="70"/>
      <c r="L43" s="71"/>
      <c r="M43" s="93">
        <f t="shared" si="9"/>
        <v>0</v>
      </c>
      <c r="N43" s="71"/>
      <c r="P43" s="71"/>
      <c r="T43" s="71"/>
    </row>
    <row r="44" spans="1:20" s="192" customFormat="1" ht="15" customHeight="1">
      <c r="A44" s="851"/>
      <c r="B44" s="980" t="s">
        <v>6271</v>
      </c>
      <c r="C44" s="1114" t="s">
        <v>6272</v>
      </c>
      <c r="D44" s="1594" t="s">
        <v>6273</v>
      </c>
      <c r="E44" s="1115" t="s">
        <v>2449</v>
      </c>
      <c r="F44" s="978">
        <v>2</v>
      </c>
      <c r="G44" s="1105">
        <v>0</v>
      </c>
      <c r="H44" s="1782"/>
      <c r="I44" s="70"/>
      <c r="J44" s="24">
        <f t="shared" si="8"/>
        <v>0</v>
      </c>
      <c r="K44" s="70"/>
      <c r="L44" s="71"/>
      <c r="M44" s="93">
        <f t="shared" si="9"/>
        <v>0</v>
      </c>
      <c r="N44" s="71"/>
      <c r="P44" s="71"/>
      <c r="T44" s="71"/>
    </row>
    <row r="45" spans="1:20" s="192" customFormat="1" ht="15" customHeight="1">
      <c r="A45" s="851"/>
      <c r="B45" s="980" t="s">
        <v>6274</v>
      </c>
      <c r="C45" s="1114" t="s">
        <v>6275</v>
      </c>
      <c r="D45" s="1594" t="s">
        <v>6276</v>
      </c>
      <c r="E45" s="1115" t="s">
        <v>2449</v>
      </c>
      <c r="F45" s="978">
        <v>2</v>
      </c>
      <c r="G45" s="1105">
        <v>0</v>
      </c>
      <c r="H45" s="1782"/>
      <c r="I45" s="70"/>
      <c r="J45" s="24">
        <f t="shared" si="8"/>
        <v>0</v>
      </c>
      <c r="K45" s="70"/>
      <c r="L45" s="71"/>
      <c r="M45" s="93">
        <f t="shared" si="9"/>
        <v>0</v>
      </c>
      <c r="N45" s="71"/>
      <c r="P45" s="71"/>
      <c r="T45" s="71"/>
    </row>
    <row r="46" spans="1:20" s="192" customFormat="1" ht="15" customHeight="1">
      <c r="A46" s="851"/>
      <c r="B46" s="980" t="s">
        <v>6277</v>
      </c>
      <c r="C46" s="1114" t="s">
        <v>6278</v>
      </c>
      <c r="D46" s="1594" t="s">
        <v>6279</v>
      </c>
      <c r="E46" s="1115" t="s">
        <v>2449</v>
      </c>
      <c r="F46" s="978">
        <v>2</v>
      </c>
      <c r="G46" s="1105">
        <v>0</v>
      </c>
      <c r="H46" s="1782"/>
      <c r="I46" s="70"/>
      <c r="J46" s="24">
        <f t="shared" si="8"/>
        <v>0</v>
      </c>
      <c r="K46" s="70"/>
      <c r="L46" s="71"/>
      <c r="M46" s="93">
        <f t="shared" si="9"/>
        <v>0</v>
      </c>
      <c r="N46" s="71"/>
      <c r="P46" s="71"/>
      <c r="T46" s="71"/>
    </row>
    <row r="47" spans="1:20" s="192" customFormat="1" ht="15" customHeight="1">
      <c r="A47" s="851"/>
      <c r="B47" s="980" t="s">
        <v>6280</v>
      </c>
      <c r="C47" s="1114" t="s">
        <v>6281</v>
      </c>
      <c r="D47" s="1594" t="s">
        <v>6282</v>
      </c>
      <c r="E47" s="1115" t="s">
        <v>2449</v>
      </c>
      <c r="F47" s="978">
        <v>2</v>
      </c>
      <c r="G47" s="1105">
        <v>33.130000000000003</v>
      </c>
      <c r="H47" s="1782"/>
      <c r="I47" s="70"/>
      <c r="J47" s="24">
        <f t="shared" si="8"/>
        <v>0</v>
      </c>
      <c r="K47" s="70"/>
      <c r="L47" s="71"/>
      <c r="M47" s="93">
        <f t="shared" si="9"/>
        <v>0</v>
      </c>
      <c r="N47" s="71"/>
      <c r="P47" s="71"/>
      <c r="T47" s="71"/>
    </row>
    <row r="48" spans="1:20" s="192" customFormat="1" ht="15" customHeight="1">
      <c r="A48" s="851"/>
      <c r="B48" s="980" t="s">
        <v>6283</v>
      </c>
      <c r="C48" s="1114" t="s">
        <v>6284</v>
      </c>
      <c r="D48" s="1594" t="s">
        <v>6285</v>
      </c>
      <c r="E48" s="1115" t="s">
        <v>2449</v>
      </c>
      <c r="F48" s="978">
        <v>2</v>
      </c>
      <c r="G48" s="1105">
        <v>0</v>
      </c>
      <c r="H48" s="1782"/>
      <c r="I48" s="70"/>
      <c r="J48" s="24">
        <f t="shared" si="8"/>
        <v>0</v>
      </c>
      <c r="K48" s="70"/>
      <c r="L48" s="71"/>
      <c r="M48" s="93">
        <f t="shared" si="9"/>
        <v>0</v>
      </c>
      <c r="N48" s="71"/>
      <c r="P48" s="71"/>
      <c r="T48" s="71"/>
    </row>
    <row r="49" spans="1:20" s="192" customFormat="1" ht="15" customHeight="1">
      <c r="A49" s="851"/>
      <c r="B49" s="980" t="s">
        <v>6286</v>
      </c>
      <c r="C49" s="1114" t="s">
        <v>6287</v>
      </c>
      <c r="D49" s="1594" t="s">
        <v>6288</v>
      </c>
      <c r="E49" s="1115" t="s">
        <v>2449</v>
      </c>
      <c r="F49" s="978">
        <v>2</v>
      </c>
      <c r="G49" s="1105">
        <v>0</v>
      </c>
      <c r="H49" s="1782"/>
      <c r="I49" s="70"/>
      <c r="J49" s="24">
        <f t="shared" si="8"/>
        <v>0</v>
      </c>
      <c r="K49" s="70"/>
      <c r="L49" s="71"/>
      <c r="M49" s="93">
        <f t="shared" si="9"/>
        <v>0</v>
      </c>
      <c r="N49" s="71"/>
      <c r="P49" s="71"/>
      <c r="T49" s="71"/>
    </row>
    <row r="50" spans="1:20" s="192" customFormat="1" ht="15" customHeight="1">
      <c r="A50" s="851"/>
      <c r="B50" s="980" t="s">
        <v>6289</v>
      </c>
      <c r="C50" s="1114" t="s">
        <v>6290</v>
      </c>
      <c r="D50" s="1594" t="s">
        <v>6291</v>
      </c>
      <c r="E50" s="1115" t="s">
        <v>2449</v>
      </c>
      <c r="F50" s="978">
        <v>2</v>
      </c>
      <c r="G50" s="1105">
        <v>0</v>
      </c>
      <c r="H50" s="1782"/>
      <c r="I50" s="70"/>
      <c r="J50" s="24">
        <f t="shared" si="8"/>
        <v>0</v>
      </c>
      <c r="K50" s="70"/>
      <c r="L50" s="71"/>
      <c r="M50" s="93">
        <f t="shared" si="9"/>
        <v>0</v>
      </c>
      <c r="N50" s="71"/>
      <c r="P50" s="71"/>
      <c r="T50" s="71"/>
    </row>
    <row r="51" spans="1:20" s="192" customFormat="1" ht="15" customHeight="1">
      <c r="A51" s="851"/>
      <c r="B51" s="980" t="s">
        <v>6292</v>
      </c>
      <c r="C51" s="1114" t="s">
        <v>6293</v>
      </c>
      <c r="D51" s="1594" t="s">
        <v>6294</v>
      </c>
      <c r="E51" s="1115" t="s">
        <v>764</v>
      </c>
      <c r="F51" s="978">
        <v>0</v>
      </c>
      <c r="G51" s="1104">
        <v>0</v>
      </c>
      <c r="H51" s="1782" t="s">
        <v>12899</v>
      </c>
      <c r="I51" s="70"/>
      <c r="J51" s="24">
        <f t="shared" si="8"/>
        <v>0</v>
      </c>
      <c r="K51" s="70"/>
      <c r="L51" s="71"/>
      <c r="M51" s="93">
        <f t="shared" si="9"/>
        <v>0</v>
      </c>
      <c r="N51" s="71"/>
      <c r="P51" s="71"/>
      <c r="T51" s="71"/>
    </row>
    <row r="52" spans="1:20" s="192" customFormat="1" ht="15" customHeight="1">
      <c r="A52" s="851"/>
      <c r="B52" s="980" t="s">
        <v>6295</v>
      </c>
      <c r="C52" s="1114" t="s">
        <v>6296</v>
      </c>
      <c r="D52" s="1594" t="s">
        <v>6297</v>
      </c>
      <c r="E52" s="1115" t="s">
        <v>764</v>
      </c>
      <c r="F52" s="978">
        <v>0</v>
      </c>
      <c r="G52" s="1104">
        <v>0</v>
      </c>
      <c r="H52" s="1782"/>
      <c r="I52" s="70"/>
      <c r="J52" s="24">
        <f t="shared" si="8"/>
        <v>0</v>
      </c>
      <c r="K52" s="70"/>
      <c r="L52" s="71"/>
      <c r="M52" s="93">
        <f t="shared" si="9"/>
        <v>0</v>
      </c>
      <c r="N52" s="71"/>
      <c r="P52" s="71"/>
      <c r="T52" s="71"/>
    </row>
    <row r="53" spans="1:20" s="192" customFormat="1" ht="15" customHeight="1">
      <c r="A53" s="851"/>
      <c r="B53" s="980" t="s">
        <v>6298</v>
      </c>
      <c r="C53" s="1114" t="s">
        <v>6299</v>
      </c>
      <c r="D53" s="1594" t="s">
        <v>6300</v>
      </c>
      <c r="E53" s="1115" t="s">
        <v>764</v>
      </c>
      <c r="F53" s="978">
        <v>0</v>
      </c>
      <c r="G53" s="1104">
        <v>0</v>
      </c>
      <c r="H53" s="1782"/>
      <c r="I53" s="70"/>
      <c r="J53" s="24">
        <f t="shared" si="8"/>
        <v>0</v>
      </c>
      <c r="K53" s="70"/>
      <c r="L53" s="71"/>
      <c r="M53" s="93">
        <f t="shared" si="9"/>
        <v>0</v>
      </c>
      <c r="N53" s="71"/>
      <c r="P53" s="71"/>
      <c r="T53" s="71"/>
    </row>
    <row r="54" spans="1:20" s="192" customFormat="1" ht="15" customHeight="1">
      <c r="A54" s="851"/>
      <c r="B54" s="980" t="s">
        <v>6301</v>
      </c>
      <c r="C54" s="1114" t="s">
        <v>6302</v>
      </c>
      <c r="D54" s="1594" t="s">
        <v>6303</v>
      </c>
      <c r="E54" s="1115" t="s">
        <v>764</v>
      </c>
      <c r="F54" s="978">
        <v>0</v>
      </c>
      <c r="G54" s="1104">
        <v>0</v>
      </c>
      <c r="H54" s="1782"/>
      <c r="I54" s="70"/>
      <c r="J54" s="24">
        <f t="shared" si="8"/>
        <v>0</v>
      </c>
      <c r="K54" s="70"/>
      <c r="L54" s="71"/>
      <c r="M54" s="93">
        <f t="shared" si="9"/>
        <v>0</v>
      </c>
      <c r="N54" s="71"/>
      <c r="P54" s="71"/>
      <c r="T54" s="71"/>
    </row>
    <row r="55" spans="1:20" s="192" customFormat="1" ht="15" customHeight="1">
      <c r="A55" s="851"/>
      <c r="B55" s="980" t="s">
        <v>6304</v>
      </c>
      <c r="C55" s="1114" t="s">
        <v>6305</v>
      </c>
      <c r="D55" s="1594" t="s">
        <v>6306</v>
      </c>
      <c r="E55" s="1115" t="s">
        <v>764</v>
      </c>
      <c r="F55" s="978">
        <v>0</v>
      </c>
      <c r="G55" s="1104">
        <v>1</v>
      </c>
      <c r="H55" s="1782"/>
      <c r="I55" s="70"/>
      <c r="J55" s="24">
        <f t="shared" si="8"/>
        <v>0</v>
      </c>
      <c r="K55" s="70"/>
      <c r="L55" s="71"/>
      <c r="M55" s="93">
        <f t="shared" si="9"/>
        <v>0</v>
      </c>
      <c r="N55" s="71"/>
      <c r="P55" s="71"/>
      <c r="T55" s="71"/>
    </row>
    <row r="56" spans="1:20" s="192" customFormat="1" ht="15" customHeight="1">
      <c r="A56" s="851"/>
      <c r="B56" s="980" t="s">
        <v>6307</v>
      </c>
      <c r="C56" s="1114" t="s">
        <v>6308</v>
      </c>
      <c r="D56" s="1594" t="s">
        <v>6309</v>
      </c>
      <c r="E56" s="1115" t="s">
        <v>764</v>
      </c>
      <c r="F56" s="978">
        <v>0</v>
      </c>
      <c r="G56" s="1104">
        <v>5</v>
      </c>
      <c r="H56" s="1782"/>
      <c r="I56" s="70"/>
      <c r="J56" s="24">
        <f t="shared" si="8"/>
        <v>0</v>
      </c>
      <c r="K56" s="70"/>
      <c r="L56" s="71"/>
      <c r="M56" s="93">
        <f t="shared" si="9"/>
        <v>0</v>
      </c>
      <c r="N56" s="71"/>
      <c r="P56" s="71"/>
      <c r="T56" s="71"/>
    </row>
    <row r="57" spans="1:20" s="192" customFormat="1" ht="15" customHeight="1">
      <c r="A57" s="851"/>
      <c r="B57" s="980" t="s">
        <v>6310</v>
      </c>
      <c r="C57" s="1114" t="s">
        <v>6311</v>
      </c>
      <c r="D57" s="1594" t="s">
        <v>6312</v>
      </c>
      <c r="E57" s="1115" t="s">
        <v>764</v>
      </c>
      <c r="F57" s="978">
        <v>0</v>
      </c>
      <c r="G57" s="1104">
        <v>0</v>
      </c>
      <c r="H57" s="1782"/>
      <c r="I57" s="70"/>
      <c r="J57" s="24">
        <f t="shared" si="8"/>
        <v>0</v>
      </c>
      <c r="K57" s="70"/>
      <c r="L57" s="71"/>
      <c r="M57" s="93">
        <f t="shared" si="9"/>
        <v>0</v>
      </c>
      <c r="N57" s="71"/>
      <c r="P57" s="71"/>
      <c r="T57" s="71"/>
    </row>
    <row r="58" spans="1:20" s="192" customFormat="1" ht="15" customHeight="1">
      <c r="A58" s="851"/>
      <c r="B58" s="980" t="s">
        <v>6313</v>
      </c>
      <c r="C58" s="1114" t="s">
        <v>6314</v>
      </c>
      <c r="D58" s="1594" t="s">
        <v>6315</v>
      </c>
      <c r="E58" s="1115" t="s">
        <v>764</v>
      </c>
      <c r="F58" s="978">
        <v>0</v>
      </c>
      <c r="G58" s="1104">
        <v>2</v>
      </c>
      <c r="H58" s="1782"/>
      <c r="I58" s="70"/>
      <c r="J58" s="24">
        <f t="shared" si="8"/>
        <v>0</v>
      </c>
      <c r="K58" s="70"/>
      <c r="L58" s="71"/>
      <c r="M58" s="93">
        <f t="shared" si="9"/>
        <v>0</v>
      </c>
      <c r="N58" s="71"/>
      <c r="P58" s="71"/>
      <c r="T58" s="71"/>
    </row>
    <row r="59" spans="1:20" s="192" customFormat="1" ht="15" customHeight="1">
      <c r="A59" s="851"/>
      <c r="B59" s="980" t="s">
        <v>6316</v>
      </c>
      <c r="C59" s="1114" t="s">
        <v>6317</v>
      </c>
      <c r="D59" s="1594" t="s">
        <v>6318</v>
      </c>
      <c r="E59" s="1115" t="s">
        <v>764</v>
      </c>
      <c r="F59" s="978">
        <v>0</v>
      </c>
      <c r="G59" s="1104">
        <v>0</v>
      </c>
      <c r="H59" s="1782"/>
      <c r="I59" s="70"/>
      <c r="J59" s="24">
        <f t="shared" si="8"/>
        <v>0</v>
      </c>
      <c r="K59" s="70"/>
      <c r="L59" s="71"/>
      <c r="M59" s="93">
        <f t="shared" si="9"/>
        <v>0</v>
      </c>
      <c r="N59" s="71"/>
      <c r="P59" s="71"/>
      <c r="T59" s="71"/>
    </row>
    <row r="60" spans="1:20" s="192" customFormat="1" ht="15" customHeight="1">
      <c r="A60" s="851"/>
      <c r="B60" s="980" t="s">
        <v>6319</v>
      </c>
      <c r="C60" s="1114" t="s">
        <v>6320</v>
      </c>
      <c r="D60" s="1594" t="s">
        <v>6321</v>
      </c>
      <c r="E60" s="1115" t="s">
        <v>764</v>
      </c>
      <c r="F60" s="978">
        <v>0</v>
      </c>
      <c r="G60" s="1104">
        <v>0</v>
      </c>
      <c r="H60" s="1782"/>
      <c r="I60" s="70"/>
      <c r="J60" s="24">
        <f t="shared" si="8"/>
        <v>0</v>
      </c>
      <c r="K60" s="70"/>
      <c r="L60" s="71"/>
      <c r="M60" s="93">
        <f t="shared" si="9"/>
        <v>0</v>
      </c>
      <c r="N60" s="71"/>
      <c r="P60" s="71"/>
      <c r="T60" s="71"/>
    </row>
    <row r="61" spans="1:20" s="192" customFormat="1" ht="15" customHeight="1">
      <c r="A61" s="851"/>
      <c r="B61" s="980" t="s">
        <v>6322</v>
      </c>
      <c r="C61" s="1114" t="s">
        <v>6323</v>
      </c>
      <c r="D61" s="1594" t="s">
        <v>6324</v>
      </c>
      <c r="E61" s="1115" t="s">
        <v>764</v>
      </c>
      <c r="F61" s="978">
        <v>0</v>
      </c>
      <c r="G61" s="1104">
        <v>0</v>
      </c>
      <c r="H61" s="1782"/>
      <c r="I61" s="70"/>
      <c r="J61" s="24">
        <f t="shared" si="8"/>
        <v>0</v>
      </c>
      <c r="K61" s="70"/>
      <c r="L61" s="71"/>
      <c r="M61" s="93">
        <f t="shared" si="9"/>
        <v>0</v>
      </c>
      <c r="N61" s="71"/>
      <c r="P61" s="71"/>
      <c r="T61" s="71"/>
    </row>
    <row r="62" spans="1:20" s="192" customFormat="1" ht="15" customHeight="1">
      <c r="A62" s="851"/>
      <c r="B62" s="980" t="s">
        <v>6325</v>
      </c>
      <c r="C62" s="1114" t="s">
        <v>6326</v>
      </c>
      <c r="D62" s="1594" t="s">
        <v>6327</v>
      </c>
      <c r="E62" s="1115" t="s">
        <v>764</v>
      </c>
      <c r="F62" s="978">
        <v>0</v>
      </c>
      <c r="G62" s="1104">
        <v>8</v>
      </c>
      <c r="H62" s="1782"/>
      <c r="I62" s="70"/>
      <c r="J62" s="24">
        <f t="shared" si="8"/>
        <v>0</v>
      </c>
      <c r="K62" s="70"/>
      <c r="L62" s="71"/>
      <c r="M62" s="93">
        <f t="shared" si="9"/>
        <v>0</v>
      </c>
      <c r="N62" s="71"/>
      <c r="P62" s="71"/>
      <c r="T62" s="71"/>
    </row>
    <row r="63" spans="1:20" s="192" customFormat="1" ht="15" customHeight="1">
      <c r="A63" s="851"/>
      <c r="B63" s="980" t="s">
        <v>6328</v>
      </c>
      <c r="C63" s="1114" t="s">
        <v>6329</v>
      </c>
      <c r="D63" s="1594" t="s">
        <v>6330</v>
      </c>
      <c r="E63" s="1115" t="s">
        <v>764</v>
      </c>
      <c r="F63" s="978">
        <v>0</v>
      </c>
      <c r="G63" s="1104">
        <v>0</v>
      </c>
      <c r="H63" s="1782"/>
      <c r="I63" s="70"/>
      <c r="J63" s="24">
        <f t="shared" si="8"/>
        <v>0</v>
      </c>
      <c r="K63" s="70"/>
      <c r="L63" s="71"/>
      <c r="M63" s="93">
        <f t="shared" si="9"/>
        <v>0</v>
      </c>
      <c r="N63" s="71"/>
      <c r="P63" s="71"/>
      <c r="T63" s="71"/>
    </row>
    <row r="64" spans="1:20" s="192" customFormat="1" ht="15" customHeight="1">
      <c r="A64" s="851"/>
      <c r="B64" s="980" t="s">
        <v>6331</v>
      </c>
      <c r="C64" s="1114" t="s">
        <v>6332</v>
      </c>
      <c r="D64" s="1594" t="s">
        <v>6333</v>
      </c>
      <c r="E64" s="1115" t="s">
        <v>764</v>
      </c>
      <c r="F64" s="978">
        <v>0</v>
      </c>
      <c r="G64" s="1104">
        <v>0</v>
      </c>
      <c r="H64" s="1782"/>
      <c r="I64" s="70"/>
      <c r="J64" s="24">
        <f t="shared" si="8"/>
        <v>0</v>
      </c>
      <c r="K64" s="70"/>
      <c r="L64" s="71"/>
      <c r="M64" s="93">
        <f t="shared" si="9"/>
        <v>0</v>
      </c>
      <c r="N64" s="71"/>
      <c r="P64" s="71"/>
      <c r="T64" s="71"/>
    </row>
    <row r="65" spans="1:20" s="192" customFormat="1" ht="15" customHeight="1">
      <c r="A65" s="851"/>
      <c r="B65" s="980" t="s">
        <v>6334</v>
      </c>
      <c r="C65" s="1114" t="s">
        <v>6335</v>
      </c>
      <c r="D65" s="1594" t="s">
        <v>6336</v>
      </c>
      <c r="E65" s="1115" t="s">
        <v>764</v>
      </c>
      <c r="F65" s="978">
        <v>0</v>
      </c>
      <c r="G65" s="1104">
        <v>0</v>
      </c>
      <c r="H65" s="1782"/>
      <c r="I65" s="70"/>
      <c r="J65" s="24">
        <f t="shared" si="8"/>
        <v>0</v>
      </c>
      <c r="K65" s="70"/>
      <c r="L65" s="71"/>
      <c r="M65" s="93">
        <f t="shared" si="9"/>
        <v>0</v>
      </c>
      <c r="N65" s="71"/>
      <c r="P65" s="71"/>
      <c r="T65" s="71"/>
    </row>
    <row r="66" spans="1:20" s="192" customFormat="1" ht="15" customHeight="1">
      <c r="A66" s="851"/>
      <c r="B66" s="980" t="s">
        <v>6337</v>
      </c>
      <c r="C66" s="1114" t="s">
        <v>6338</v>
      </c>
      <c r="D66" s="1594" t="s">
        <v>6339</v>
      </c>
      <c r="E66" s="1115" t="s">
        <v>6084</v>
      </c>
      <c r="F66" s="978">
        <v>3</v>
      </c>
      <c r="G66" s="983">
        <v>1219.002</v>
      </c>
      <c r="H66" s="1782"/>
      <c r="I66" s="70"/>
      <c r="J66" s="24">
        <f t="shared" si="8"/>
        <v>0</v>
      </c>
      <c r="K66" s="70"/>
      <c r="L66" s="71"/>
      <c r="M66" s="93">
        <f t="shared" si="9"/>
        <v>0</v>
      </c>
      <c r="N66" s="71"/>
      <c r="P66" s="71"/>
      <c r="T66" s="71"/>
    </row>
    <row r="67" spans="1:20" s="192" customFormat="1" ht="15" customHeight="1" thickBot="1">
      <c r="A67" s="851"/>
      <c r="B67" s="985" t="s">
        <v>6340</v>
      </c>
      <c r="C67" s="1116" t="s">
        <v>6341</v>
      </c>
      <c r="D67" s="1595" t="s">
        <v>6342</v>
      </c>
      <c r="E67" s="1117" t="s">
        <v>6237</v>
      </c>
      <c r="F67" s="988">
        <v>2</v>
      </c>
      <c r="G67" s="1110">
        <v>9.69</v>
      </c>
      <c r="H67" s="1784"/>
      <c r="I67" s="70"/>
      <c r="J67" s="24">
        <f t="shared" si="8"/>
        <v>0</v>
      </c>
      <c r="K67" s="70"/>
      <c r="L67" s="71"/>
      <c r="M67" s="93">
        <f t="shared" si="9"/>
        <v>0</v>
      </c>
      <c r="N67" s="71"/>
      <c r="P67" s="71"/>
      <c r="T67" s="71"/>
    </row>
    <row r="68" spans="1:20" ht="14.5" thickBot="1">
      <c r="A68" s="1882"/>
      <c r="B68" s="1882"/>
      <c r="C68" s="1882"/>
      <c r="D68" s="1591"/>
      <c r="F68" s="1882"/>
      <c r="G68" s="1882"/>
      <c r="H68" s="1882"/>
      <c r="I68" s="1882"/>
      <c r="J68" s="1882"/>
      <c r="K68" s="1882"/>
      <c r="M68" s="1882"/>
      <c r="O68" s="1882"/>
      <c r="Q68" s="1882"/>
      <c r="R68" s="1882"/>
      <c r="S68" s="1882"/>
    </row>
    <row r="69" spans="1:20" s="851" customFormat="1" ht="14.5" thickBot="1">
      <c r="B69" s="2863" t="s">
        <v>333</v>
      </c>
      <c r="C69" s="1031" t="s">
        <v>6343</v>
      </c>
      <c r="D69" s="1592"/>
      <c r="I69" s="70"/>
      <c r="J69" s="1063"/>
      <c r="K69" s="70"/>
      <c r="L69" s="71"/>
      <c r="N69" s="1643"/>
      <c r="P69" s="1643"/>
      <c r="T69" s="1643"/>
    </row>
    <row r="70" spans="1:20" s="192" customFormat="1" ht="15" customHeight="1">
      <c r="A70" s="851"/>
      <c r="B70" s="971" t="s">
        <v>6344</v>
      </c>
      <c r="C70" s="1111" t="s">
        <v>6345</v>
      </c>
      <c r="D70" s="1584" t="s">
        <v>6346</v>
      </c>
      <c r="E70" s="1118" t="s">
        <v>6233</v>
      </c>
      <c r="F70" s="974">
        <v>1</v>
      </c>
      <c r="G70" s="1119">
        <v>6874.91</v>
      </c>
      <c r="H70" s="1781"/>
      <c r="I70" s="70"/>
      <c r="J70" s="24">
        <f t="shared" ref="J70:J103" si="10" xml:space="preserve"> IF( SUM( L70:N70 ) = 0, 0, $M$4 )</f>
        <v>0</v>
      </c>
      <c r="K70" s="70"/>
      <c r="L70" s="71"/>
      <c r="M70" s="93">
        <f t="shared" ref="M70:M103" si="11" xml:space="preserve"> IF( ISNUMBER( G70 ), 0, 1 )</f>
        <v>0</v>
      </c>
      <c r="N70" s="71"/>
      <c r="P70" s="71"/>
      <c r="T70" s="71"/>
    </row>
    <row r="71" spans="1:20" s="192" customFormat="1" ht="15" customHeight="1">
      <c r="A71" s="851"/>
      <c r="B71" s="980" t="s">
        <v>6347</v>
      </c>
      <c r="C71" s="1114" t="s">
        <v>6348</v>
      </c>
      <c r="D71" s="1585" t="s">
        <v>6349</v>
      </c>
      <c r="E71" s="1120" t="s">
        <v>6233</v>
      </c>
      <c r="F71" s="978">
        <v>1</v>
      </c>
      <c r="G71" s="1121">
        <v>0</v>
      </c>
      <c r="H71" s="1782"/>
      <c r="I71" s="70"/>
      <c r="J71" s="24">
        <f t="shared" si="10"/>
        <v>0</v>
      </c>
      <c r="K71" s="70"/>
      <c r="L71" s="71"/>
      <c r="M71" s="93">
        <f t="shared" si="11"/>
        <v>0</v>
      </c>
      <c r="N71" s="71"/>
      <c r="P71" s="71"/>
      <c r="T71" s="71"/>
    </row>
    <row r="72" spans="1:20" s="192" customFormat="1" ht="15" customHeight="1">
      <c r="A72" s="851"/>
      <c r="B72" s="980" t="s">
        <v>6350</v>
      </c>
      <c r="C72" s="1114" t="s">
        <v>6351</v>
      </c>
      <c r="D72" s="1585" t="s">
        <v>6352</v>
      </c>
      <c r="E72" s="1120" t="s">
        <v>6233</v>
      </c>
      <c r="F72" s="978">
        <v>1</v>
      </c>
      <c r="G72" s="1121">
        <v>32.11</v>
      </c>
      <c r="H72" s="1782"/>
      <c r="I72" s="70"/>
      <c r="J72" s="24">
        <f t="shared" si="10"/>
        <v>0</v>
      </c>
      <c r="K72" s="70"/>
      <c r="L72" s="71"/>
      <c r="M72" s="93">
        <f t="shared" si="11"/>
        <v>0</v>
      </c>
      <c r="N72" s="71"/>
      <c r="P72" s="71"/>
      <c r="T72" s="71"/>
    </row>
    <row r="73" spans="1:20" s="192" customFormat="1" ht="15" customHeight="1">
      <c r="A73" s="851"/>
      <c r="B73" s="980" t="s">
        <v>6353</v>
      </c>
      <c r="C73" s="1114" t="s">
        <v>6354</v>
      </c>
      <c r="D73" s="1585" t="s">
        <v>6355</v>
      </c>
      <c r="E73" s="1120" t="s">
        <v>6233</v>
      </c>
      <c r="F73" s="978">
        <v>1</v>
      </c>
      <c r="G73" s="1121">
        <v>35.61</v>
      </c>
      <c r="H73" s="1782"/>
      <c r="I73" s="70"/>
      <c r="J73" s="24">
        <f t="shared" si="10"/>
        <v>0</v>
      </c>
      <c r="K73" s="70"/>
      <c r="L73" s="71"/>
      <c r="M73" s="93">
        <f t="shared" si="11"/>
        <v>0</v>
      </c>
      <c r="N73" s="71"/>
      <c r="P73" s="71"/>
      <c r="T73" s="71"/>
    </row>
    <row r="74" spans="1:20" s="192" customFormat="1" ht="15" customHeight="1">
      <c r="A74" s="851"/>
      <c r="B74" s="980" t="s">
        <v>6356</v>
      </c>
      <c r="C74" s="1114" t="s">
        <v>6357</v>
      </c>
      <c r="D74" s="1585" t="s">
        <v>6358</v>
      </c>
      <c r="E74" s="1120" t="s">
        <v>6233</v>
      </c>
      <c r="F74" s="978">
        <v>1</v>
      </c>
      <c r="G74" s="1121">
        <v>6328.43</v>
      </c>
      <c r="H74" s="1782"/>
      <c r="I74" s="70"/>
      <c r="J74" s="24">
        <f t="shared" si="10"/>
        <v>0</v>
      </c>
      <c r="K74" s="70"/>
      <c r="L74" s="71"/>
      <c r="M74" s="93">
        <f t="shared" si="11"/>
        <v>0</v>
      </c>
      <c r="N74" s="71"/>
      <c r="P74" s="71"/>
      <c r="T74" s="71"/>
    </row>
    <row r="75" spans="1:20" s="192" customFormat="1" ht="15" customHeight="1">
      <c r="A75" s="851"/>
      <c r="B75" s="980" t="s">
        <v>6359</v>
      </c>
      <c r="C75" s="1114" t="s">
        <v>6360</v>
      </c>
      <c r="D75" s="1585" t="s">
        <v>6361</v>
      </c>
      <c r="E75" s="1120" t="s">
        <v>6233</v>
      </c>
      <c r="F75" s="978">
        <v>1</v>
      </c>
      <c r="G75" s="1121">
        <v>232.16</v>
      </c>
      <c r="H75" s="1782"/>
      <c r="I75" s="70"/>
      <c r="J75" s="24">
        <f t="shared" si="10"/>
        <v>0</v>
      </c>
      <c r="K75" s="70"/>
      <c r="L75" s="71"/>
      <c r="M75" s="93">
        <f t="shared" si="11"/>
        <v>0</v>
      </c>
      <c r="N75" s="71"/>
      <c r="P75" s="71"/>
      <c r="T75" s="71"/>
    </row>
    <row r="76" spans="1:20" s="192" customFormat="1" ht="15" customHeight="1">
      <c r="A76" s="851"/>
      <c r="B76" s="980" t="s">
        <v>6362</v>
      </c>
      <c r="C76" s="1114" t="s">
        <v>6363</v>
      </c>
      <c r="D76" s="1585" t="s">
        <v>6364</v>
      </c>
      <c r="E76" s="1120" t="s">
        <v>6233</v>
      </c>
      <c r="F76" s="978">
        <v>1</v>
      </c>
      <c r="G76" s="1121">
        <v>191.86</v>
      </c>
      <c r="H76" s="1782"/>
      <c r="I76" s="70"/>
      <c r="J76" s="24">
        <f t="shared" si="10"/>
        <v>0</v>
      </c>
      <c r="K76" s="70"/>
      <c r="L76" s="71"/>
      <c r="M76" s="93">
        <f t="shared" si="11"/>
        <v>0</v>
      </c>
      <c r="N76" s="71"/>
      <c r="P76" s="71"/>
      <c r="T76" s="71"/>
    </row>
    <row r="77" spans="1:20" s="192" customFormat="1" ht="15" customHeight="1">
      <c r="A77" s="851"/>
      <c r="B77" s="980" t="s">
        <v>6365</v>
      </c>
      <c r="C77" s="1114" t="s">
        <v>6366</v>
      </c>
      <c r="D77" s="1585" t="s">
        <v>6367</v>
      </c>
      <c r="E77" s="1120" t="s">
        <v>6233</v>
      </c>
      <c r="F77" s="978">
        <v>1</v>
      </c>
      <c r="G77" s="1121">
        <v>122.46</v>
      </c>
      <c r="H77" s="1782"/>
      <c r="I77" s="70"/>
      <c r="J77" s="24">
        <f t="shared" si="10"/>
        <v>0</v>
      </c>
      <c r="K77" s="70"/>
      <c r="L77" s="71"/>
      <c r="M77" s="93">
        <f t="shared" si="11"/>
        <v>0</v>
      </c>
      <c r="N77" s="71"/>
      <c r="P77" s="71"/>
      <c r="T77" s="71"/>
    </row>
    <row r="78" spans="1:20" s="192" customFormat="1" ht="15" customHeight="1">
      <c r="A78" s="851"/>
      <c r="B78" s="980" t="s">
        <v>6368</v>
      </c>
      <c r="C78" s="1114" t="s">
        <v>6369</v>
      </c>
      <c r="D78" s="1585" t="s">
        <v>6370</v>
      </c>
      <c r="E78" s="1881" t="s">
        <v>6226</v>
      </c>
      <c r="F78" s="978">
        <v>0</v>
      </c>
      <c r="G78" s="1122">
        <v>24632</v>
      </c>
      <c r="H78" s="1782"/>
      <c r="I78" s="70"/>
      <c r="J78" s="24">
        <f t="shared" si="10"/>
        <v>0</v>
      </c>
      <c r="K78" s="70"/>
      <c r="L78" s="71"/>
      <c r="M78" s="93">
        <f t="shared" si="11"/>
        <v>0</v>
      </c>
      <c r="N78" s="71"/>
      <c r="P78" s="71"/>
      <c r="T78" s="71"/>
    </row>
    <row r="79" spans="1:20" s="192" customFormat="1" ht="15" customHeight="1">
      <c r="A79" s="851"/>
      <c r="B79" s="980" t="s">
        <v>6371</v>
      </c>
      <c r="C79" s="1114" t="s">
        <v>6372</v>
      </c>
      <c r="D79" s="1585" t="s">
        <v>6373</v>
      </c>
      <c r="E79" s="1120" t="s">
        <v>2820</v>
      </c>
      <c r="F79" s="978">
        <v>0</v>
      </c>
      <c r="G79" s="1122">
        <v>537</v>
      </c>
      <c r="H79" s="1782"/>
      <c r="I79" s="70"/>
      <c r="J79" s="24">
        <f t="shared" si="10"/>
        <v>0</v>
      </c>
      <c r="K79" s="70"/>
      <c r="L79" s="71"/>
      <c r="M79" s="93">
        <f t="shared" si="11"/>
        <v>0</v>
      </c>
      <c r="N79" s="71"/>
      <c r="P79" s="71"/>
      <c r="T79" s="71"/>
    </row>
    <row r="80" spans="1:20" s="192" customFormat="1" ht="15" customHeight="1">
      <c r="A80" s="851"/>
      <c r="B80" s="980" t="s">
        <v>6374</v>
      </c>
      <c r="C80" s="1114" t="s">
        <v>6375</v>
      </c>
      <c r="D80" s="1585" t="s">
        <v>6376</v>
      </c>
      <c r="E80" s="1120" t="s">
        <v>2820</v>
      </c>
      <c r="F80" s="978">
        <v>0</v>
      </c>
      <c r="G80" s="1122">
        <v>3</v>
      </c>
      <c r="H80" s="1782"/>
      <c r="I80" s="70"/>
      <c r="J80" s="24">
        <f t="shared" si="10"/>
        <v>0</v>
      </c>
      <c r="K80" s="70"/>
      <c r="L80" s="71"/>
      <c r="M80" s="93">
        <f t="shared" si="11"/>
        <v>0</v>
      </c>
      <c r="N80" s="71"/>
      <c r="P80" s="71"/>
      <c r="T80" s="71"/>
    </row>
    <row r="81" spans="1:20" s="192" customFormat="1" ht="15" customHeight="1">
      <c r="A81" s="851"/>
      <c r="B81" s="980" t="s">
        <v>6377</v>
      </c>
      <c r="C81" s="1114" t="s">
        <v>2483</v>
      </c>
      <c r="D81" s="1585" t="s">
        <v>2484</v>
      </c>
      <c r="E81" s="1120" t="s">
        <v>2449</v>
      </c>
      <c r="F81" s="978">
        <v>2</v>
      </c>
      <c r="G81" s="1123">
        <v>270.64999999999998</v>
      </c>
      <c r="H81" s="1782"/>
      <c r="I81" s="70"/>
      <c r="J81" s="24">
        <f t="shared" si="10"/>
        <v>0</v>
      </c>
      <c r="K81" s="70"/>
      <c r="L81" s="71"/>
      <c r="M81" s="93">
        <f t="shared" si="11"/>
        <v>0</v>
      </c>
      <c r="N81" s="71"/>
      <c r="P81" s="71"/>
      <c r="T81" s="71"/>
    </row>
    <row r="82" spans="1:20" s="192" customFormat="1" ht="15" customHeight="1">
      <c r="A82" s="851"/>
      <c r="B82" s="980" t="s">
        <v>6378</v>
      </c>
      <c r="C82" s="1114" t="s">
        <v>6379</v>
      </c>
      <c r="D82" s="1585" t="s">
        <v>6380</v>
      </c>
      <c r="E82" s="1120" t="s">
        <v>2449</v>
      </c>
      <c r="F82" s="978">
        <v>2</v>
      </c>
      <c r="G82" s="1123">
        <v>0.28000000000000003</v>
      </c>
      <c r="H82" s="1782"/>
      <c r="I82" s="70"/>
      <c r="J82" s="24">
        <f t="shared" si="10"/>
        <v>0</v>
      </c>
      <c r="K82" s="70"/>
      <c r="L82" s="71"/>
      <c r="M82" s="93">
        <f t="shared" si="11"/>
        <v>0</v>
      </c>
      <c r="N82" s="71"/>
      <c r="P82" s="71"/>
      <c r="T82" s="71"/>
    </row>
    <row r="83" spans="1:20" s="192" customFormat="1" ht="15" customHeight="1">
      <c r="A83" s="851"/>
      <c r="B83" s="980" t="s">
        <v>6381</v>
      </c>
      <c r="C83" s="1114" t="s">
        <v>6382</v>
      </c>
      <c r="D83" s="1585" t="s">
        <v>6383</v>
      </c>
      <c r="E83" s="1120" t="s">
        <v>2449</v>
      </c>
      <c r="F83" s="978">
        <v>2</v>
      </c>
      <c r="G83" s="1123">
        <v>241.96</v>
      </c>
      <c r="H83" s="1782"/>
      <c r="I83" s="70"/>
      <c r="J83" s="24">
        <f t="shared" si="10"/>
        <v>0</v>
      </c>
      <c r="K83" s="70"/>
      <c r="L83" s="71"/>
      <c r="M83" s="93">
        <f t="shared" si="11"/>
        <v>0</v>
      </c>
      <c r="N83" s="71"/>
      <c r="P83" s="71"/>
      <c r="T83" s="71"/>
    </row>
    <row r="84" spans="1:20" s="192" customFormat="1" ht="15" customHeight="1">
      <c r="A84" s="851"/>
      <c r="B84" s="980" t="s">
        <v>6384</v>
      </c>
      <c r="C84" s="1114" t="s">
        <v>6385</v>
      </c>
      <c r="D84" s="1585" t="s">
        <v>6386</v>
      </c>
      <c r="E84" s="1120" t="s">
        <v>2449</v>
      </c>
      <c r="F84" s="978">
        <v>2</v>
      </c>
      <c r="G84" s="1123">
        <v>84.92</v>
      </c>
      <c r="H84" s="1782"/>
      <c r="I84" s="70"/>
      <c r="J84" s="24">
        <f t="shared" si="10"/>
        <v>0</v>
      </c>
      <c r="K84" s="70"/>
      <c r="L84" s="71"/>
      <c r="M84" s="93">
        <f t="shared" si="11"/>
        <v>0</v>
      </c>
      <c r="N84" s="71"/>
      <c r="P84" s="71"/>
      <c r="T84" s="71"/>
    </row>
    <row r="85" spans="1:20" s="192" customFormat="1" ht="15" customHeight="1">
      <c r="A85" s="851"/>
      <c r="B85" s="980" t="s">
        <v>6387</v>
      </c>
      <c r="C85" s="1114" t="s">
        <v>6388</v>
      </c>
      <c r="D85" s="1585" t="s">
        <v>6389</v>
      </c>
      <c r="E85" s="1120" t="s">
        <v>2449</v>
      </c>
      <c r="F85" s="978">
        <v>2</v>
      </c>
      <c r="G85" s="1123">
        <v>58.84</v>
      </c>
      <c r="H85" s="1782"/>
      <c r="I85" s="70"/>
      <c r="J85" s="24">
        <f t="shared" si="10"/>
        <v>0</v>
      </c>
      <c r="K85" s="70"/>
      <c r="L85" s="71"/>
      <c r="M85" s="93">
        <f t="shared" si="11"/>
        <v>0</v>
      </c>
      <c r="N85" s="71"/>
      <c r="P85" s="71"/>
      <c r="T85" s="71"/>
    </row>
    <row r="86" spans="1:20" s="192" customFormat="1" ht="15" customHeight="1">
      <c r="A86" s="851"/>
      <c r="B86" s="980" t="s">
        <v>6390</v>
      </c>
      <c r="C86" s="1114" t="s">
        <v>6391</v>
      </c>
      <c r="D86" s="1585" t="s">
        <v>6392</v>
      </c>
      <c r="E86" s="1120" t="s">
        <v>2449</v>
      </c>
      <c r="F86" s="978">
        <v>2</v>
      </c>
      <c r="G86" s="1123">
        <v>37.21</v>
      </c>
      <c r="H86" s="1782"/>
      <c r="I86" s="70"/>
      <c r="J86" s="24">
        <f t="shared" si="10"/>
        <v>0</v>
      </c>
      <c r="K86" s="70"/>
      <c r="L86" s="71"/>
      <c r="M86" s="93">
        <f t="shared" si="11"/>
        <v>0</v>
      </c>
      <c r="N86" s="71"/>
      <c r="P86" s="71"/>
      <c r="T86" s="71"/>
    </row>
    <row r="87" spans="1:20" s="192" customFormat="1" ht="15" customHeight="1">
      <c r="A87" s="851"/>
      <c r="B87" s="980" t="s">
        <v>6393</v>
      </c>
      <c r="C87" s="1114" t="s">
        <v>6394</v>
      </c>
      <c r="D87" s="1585" t="s">
        <v>6395</v>
      </c>
      <c r="E87" s="1120" t="s">
        <v>2449</v>
      </c>
      <c r="F87" s="978">
        <v>2</v>
      </c>
      <c r="G87" s="1123">
        <v>25.55</v>
      </c>
      <c r="H87" s="1782"/>
      <c r="I87" s="70"/>
      <c r="J87" s="24">
        <f t="shared" si="10"/>
        <v>0</v>
      </c>
      <c r="K87" s="70"/>
      <c r="L87" s="71"/>
      <c r="M87" s="93">
        <f t="shared" si="11"/>
        <v>0</v>
      </c>
      <c r="N87" s="71"/>
      <c r="P87" s="71"/>
      <c r="T87" s="71"/>
    </row>
    <row r="88" spans="1:20" s="192" customFormat="1" ht="15" customHeight="1">
      <c r="A88" s="851"/>
      <c r="B88" s="980" t="s">
        <v>6396</v>
      </c>
      <c r="C88" s="1114" t="s">
        <v>6397</v>
      </c>
      <c r="D88" s="1585" t="s">
        <v>6398</v>
      </c>
      <c r="E88" s="1120" t="s">
        <v>2449</v>
      </c>
      <c r="F88" s="978">
        <v>2</v>
      </c>
      <c r="G88" s="1123">
        <v>0.81</v>
      </c>
      <c r="H88" s="1782"/>
      <c r="I88" s="70"/>
      <c r="J88" s="24">
        <f t="shared" si="10"/>
        <v>0</v>
      </c>
      <c r="K88" s="70"/>
      <c r="L88" s="71"/>
      <c r="M88" s="93">
        <f t="shared" si="11"/>
        <v>0</v>
      </c>
      <c r="N88" s="71"/>
      <c r="P88" s="71"/>
      <c r="T88" s="71"/>
    </row>
    <row r="89" spans="1:20" s="192" customFormat="1" ht="15" customHeight="1">
      <c r="A89" s="851"/>
      <c r="B89" s="980" t="s">
        <v>6399</v>
      </c>
      <c r="C89" s="1114" t="s">
        <v>6400</v>
      </c>
      <c r="D89" s="1585" t="s">
        <v>6401</v>
      </c>
      <c r="E89" s="1120" t="s">
        <v>764</v>
      </c>
      <c r="F89" s="1108">
        <v>0</v>
      </c>
      <c r="G89" s="1122">
        <v>140481</v>
      </c>
      <c r="H89" s="1782"/>
      <c r="I89" s="70"/>
      <c r="J89" s="24">
        <f t="shared" si="10"/>
        <v>0</v>
      </c>
      <c r="K89" s="70"/>
      <c r="L89" s="71"/>
      <c r="M89" s="93">
        <f t="shared" si="11"/>
        <v>0</v>
      </c>
      <c r="N89" s="71"/>
      <c r="P89" s="71"/>
      <c r="T89" s="71"/>
    </row>
    <row r="90" spans="1:20" s="192" customFormat="1" ht="15" customHeight="1">
      <c r="A90" s="851"/>
      <c r="B90" s="980" t="s">
        <v>6402</v>
      </c>
      <c r="C90" s="1114" t="s">
        <v>6403</v>
      </c>
      <c r="D90" s="1585" t="s">
        <v>6404</v>
      </c>
      <c r="E90" s="1120" t="s">
        <v>764</v>
      </c>
      <c r="F90" s="1108">
        <v>0</v>
      </c>
      <c r="G90" s="1122">
        <v>8124</v>
      </c>
      <c r="H90" s="1782"/>
      <c r="I90" s="70"/>
      <c r="J90" s="24">
        <f t="shared" si="10"/>
        <v>0</v>
      </c>
      <c r="K90" s="70"/>
      <c r="L90" s="71"/>
      <c r="M90" s="93">
        <f t="shared" si="11"/>
        <v>0</v>
      </c>
      <c r="N90" s="71"/>
      <c r="P90" s="71"/>
      <c r="T90" s="71"/>
    </row>
    <row r="91" spans="1:20" s="192" customFormat="1" ht="15" customHeight="1">
      <c r="A91" s="851"/>
      <c r="B91" s="980" t="s">
        <v>6405</v>
      </c>
      <c r="C91" s="1114" t="s">
        <v>6406</v>
      </c>
      <c r="D91" s="1585" t="s">
        <v>6407</v>
      </c>
      <c r="E91" s="1120" t="s">
        <v>764</v>
      </c>
      <c r="F91" s="1108">
        <v>0</v>
      </c>
      <c r="G91" s="1122">
        <v>334294</v>
      </c>
      <c r="H91" s="1782"/>
      <c r="I91" s="70"/>
      <c r="J91" s="24">
        <f t="shared" si="10"/>
        <v>0</v>
      </c>
      <c r="K91" s="70"/>
      <c r="L91" s="71"/>
      <c r="M91" s="93">
        <f t="shared" si="11"/>
        <v>0</v>
      </c>
      <c r="N91" s="71"/>
      <c r="P91" s="71"/>
      <c r="T91" s="71"/>
    </row>
    <row r="92" spans="1:20" s="192" customFormat="1" ht="15" customHeight="1">
      <c r="A92" s="851"/>
      <c r="B92" s="980" t="s">
        <v>6408</v>
      </c>
      <c r="C92" s="1114" t="s">
        <v>6409</v>
      </c>
      <c r="D92" s="1585" t="s">
        <v>6410</v>
      </c>
      <c r="E92" s="1120" t="s">
        <v>764</v>
      </c>
      <c r="F92" s="1108">
        <v>0</v>
      </c>
      <c r="G92" s="1122">
        <v>114</v>
      </c>
      <c r="H92" s="1782"/>
      <c r="I92" s="70"/>
      <c r="J92" s="24">
        <f t="shared" si="10"/>
        <v>0</v>
      </c>
      <c r="K92" s="70"/>
      <c r="L92" s="71"/>
      <c r="M92" s="93">
        <f t="shared" si="11"/>
        <v>0</v>
      </c>
      <c r="N92" s="71"/>
      <c r="P92" s="71"/>
      <c r="T92" s="71"/>
    </row>
    <row r="93" spans="1:20" s="192" customFormat="1" ht="15" customHeight="1">
      <c r="A93" s="851"/>
      <c r="B93" s="980" t="s">
        <v>6411</v>
      </c>
      <c r="C93" s="1114" t="s">
        <v>6412</v>
      </c>
      <c r="D93" s="1585" t="s">
        <v>6413</v>
      </c>
      <c r="E93" s="1120" t="s">
        <v>764</v>
      </c>
      <c r="F93" s="1108">
        <v>0</v>
      </c>
      <c r="G93" s="1122">
        <v>114</v>
      </c>
      <c r="H93" s="1782"/>
      <c r="I93" s="70"/>
      <c r="J93" s="24">
        <f t="shared" si="10"/>
        <v>0</v>
      </c>
      <c r="K93" s="70"/>
      <c r="L93" s="71"/>
      <c r="M93" s="93">
        <f t="shared" si="11"/>
        <v>0</v>
      </c>
      <c r="N93" s="71"/>
      <c r="P93" s="71"/>
      <c r="T93" s="71"/>
    </row>
    <row r="94" spans="1:20" s="192" customFormat="1" ht="15" customHeight="1">
      <c r="A94" s="851"/>
      <c r="B94" s="980" t="s">
        <v>6414</v>
      </c>
      <c r="C94" s="1114" t="s">
        <v>6415</v>
      </c>
      <c r="D94" s="1585" t="s">
        <v>6416</v>
      </c>
      <c r="E94" s="1120" t="s">
        <v>764</v>
      </c>
      <c r="F94" s="1108">
        <v>0</v>
      </c>
      <c r="G94" s="1122">
        <v>5</v>
      </c>
      <c r="H94" s="1782"/>
      <c r="I94" s="70"/>
      <c r="J94" s="24">
        <f t="shared" si="10"/>
        <v>0</v>
      </c>
      <c r="K94" s="70"/>
      <c r="L94" s="71"/>
      <c r="M94" s="93">
        <f t="shared" si="11"/>
        <v>0</v>
      </c>
      <c r="N94" s="71"/>
      <c r="P94" s="71"/>
      <c r="T94" s="71"/>
    </row>
    <row r="95" spans="1:20" s="192" customFormat="1" ht="15" customHeight="1">
      <c r="A95" s="851"/>
      <c r="B95" s="980" t="s">
        <v>6417</v>
      </c>
      <c r="C95" s="1114" t="s">
        <v>6418</v>
      </c>
      <c r="D95" s="1585" t="s">
        <v>6419</v>
      </c>
      <c r="E95" s="1120" t="s">
        <v>6233</v>
      </c>
      <c r="F95" s="1108">
        <v>1</v>
      </c>
      <c r="G95" s="1121">
        <v>116.28</v>
      </c>
      <c r="H95" s="1782"/>
      <c r="I95" s="70"/>
      <c r="J95" s="24">
        <f t="shared" si="10"/>
        <v>0</v>
      </c>
      <c r="K95" s="70"/>
      <c r="L95" s="71"/>
      <c r="M95" s="93">
        <f t="shared" si="11"/>
        <v>0</v>
      </c>
      <c r="N95" s="71"/>
      <c r="P95" s="71"/>
      <c r="T95" s="71"/>
    </row>
    <row r="96" spans="1:20" s="192" customFormat="1" ht="15" customHeight="1">
      <c r="A96" s="851"/>
      <c r="B96" s="980" t="s">
        <v>6420</v>
      </c>
      <c r="C96" s="1114" t="s">
        <v>6421</v>
      </c>
      <c r="D96" s="1585" t="s">
        <v>6422</v>
      </c>
      <c r="E96" s="1120" t="s">
        <v>6233</v>
      </c>
      <c r="F96" s="1108">
        <v>1</v>
      </c>
      <c r="G96" s="1121">
        <v>847.99</v>
      </c>
      <c r="H96" s="1782"/>
      <c r="I96" s="70"/>
      <c r="J96" s="24">
        <f t="shared" si="10"/>
        <v>0</v>
      </c>
      <c r="K96" s="70"/>
      <c r="L96" s="71"/>
      <c r="M96" s="93">
        <f t="shared" si="11"/>
        <v>0</v>
      </c>
      <c r="N96" s="71"/>
      <c r="P96" s="71"/>
      <c r="T96" s="71"/>
    </row>
    <row r="97" spans="1:20" s="192" customFormat="1" ht="15" customHeight="1">
      <c r="A97" s="851"/>
      <c r="B97" s="980" t="s">
        <v>6423</v>
      </c>
      <c r="C97" s="1114" t="s">
        <v>6424</v>
      </c>
      <c r="D97" s="1585" t="s">
        <v>6425</v>
      </c>
      <c r="E97" s="1120" t="s">
        <v>6233</v>
      </c>
      <c r="F97" s="1108">
        <v>1</v>
      </c>
      <c r="G97" s="1121">
        <v>469.14</v>
      </c>
      <c r="H97" s="1782"/>
      <c r="I97" s="70"/>
      <c r="J97" s="24">
        <f t="shared" si="10"/>
        <v>0</v>
      </c>
      <c r="K97" s="70"/>
      <c r="L97" s="71"/>
      <c r="M97" s="93">
        <f t="shared" si="11"/>
        <v>0</v>
      </c>
      <c r="N97" s="71"/>
      <c r="P97" s="71"/>
      <c r="T97" s="71"/>
    </row>
    <row r="98" spans="1:20" s="192" customFormat="1" ht="15" customHeight="1">
      <c r="A98" s="851"/>
      <c r="B98" s="980" t="s">
        <v>6426</v>
      </c>
      <c r="C98" s="1114" t="s">
        <v>6427</v>
      </c>
      <c r="D98" s="1585" t="s">
        <v>6428</v>
      </c>
      <c r="E98" s="1120" t="s">
        <v>6233</v>
      </c>
      <c r="F98" s="1108">
        <v>1</v>
      </c>
      <c r="G98" s="1121">
        <v>913.54</v>
      </c>
      <c r="H98" s="1782"/>
      <c r="I98" s="70"/>
      <c r="J98" s="24">
        <f t="shared" si="10"/>
        <v>0</v>
      </c>
      <c r="K98" s="70"/>
      <c r="L98" s="71"/>
      <c r="M98" s="93">
        <f t="shared" si="11"/>
        <v>0</v>
      </c>
      <c r="N98" s="71"/>
      <c r="P98" s="71"/>
      <c r="T98" s="71"/>
    </row>
    <row r="99" spans="1:20" s="192" customFormat="1" ht="15" customHeight="1">
      <c r="A99" s="851"/>
      <c r="B99" s="980" t="s">
        <v>6429</v>
      </c>
      <c r="C99" s="1114" t="s">
        <v>6430</v>
      </c>
      <c r="D99" s="1585" t="s">
        <v>6431</v>
      </c>
      <c r="E99" s="1120" t="s">
        <v>6233</v>
      </c>
      <c r="F99" s="1108">
        <v>1</v>
      </c>
      <c r="G99" s="1121">
        <v>887.7</v>
      </c>
      <c r="H99" s="1782"/>
      <c r="I99" s="70"/>
      <c r="J99" s="24">
        <f t="shared" si="10"/>
        <v>0</v>
      </c>
      <c r="K99" s="70"/>
      <c r="L99" s="71"/>
      <c r="M99" s="93">
        <f t="shared" si="11"/>
        <v>0</v>
      </c>
      <c r="N99" s="71"/>
      <c r="P99" s="71"/>
      <c r="T99" s="71"/>
    </row>
    <row r="100" spans="1:20" s="192" customFormat="1" ht="15" customHeight="1">
      <c r="A100" s="851"/>
      <c r="B100" s="980" t="s">
        <v>6432</v>
      </c>
      <c r="C100" s="1114" t="s">
        <v>6433</v>
      </c>
      <c r="D100" s="1585" t="s">
        <v>6434</v>
      </c>
      <c r="E100" s="1120" t="s">
        <v>6233</v>
      </c>
      <c r="F100" s="1108">
        <v>1</v>
      </c>
      <c r="G100" s="1121">
        <v>1278.23</v>
      </c>
      <c r="H100" s="1782"/>
      <c r="I100" s="70"/>
      <c r="J100" s="24">
        <f t="shared" si="10"/>
        <v>0</v>
      </c>
      <c r="K100" s="70"/>
      <c r="L100" s="71"/>
      <c r="M100" s="93">
        <f t="shared" si="11"/>
        <v>0</v>
      </c>
      <c r="N100" s="71"/>
      <c r="P100" s="71"/>
      <c r="T100" s="71"/>
    </row>
    <row r="101" spans="1:20" s="192" customFormat="1" ht="15" customHeight="1">
      <c r="A101" s="851"/>
      <c r="B101" s="980" t="s">
        <v>6435</v>
      </c>
      <c r="C101" s="1114" t="s">
        <v>6436</v>
      </c>
      <c r="D101" s="1585" t="s">
        <v>6437</v>
      </c>
      <c r="E101" s="1120" t="s">
        <v>6233</v>
      </c>
      <c r="F101" s="1108">
        <v>1</v>
      </c>
      <c r="G101" s="1121">
        <v>1244.6300000000001</v>
      </c>
      <c r="H101" s="1782"/>
      <c r="I101" s="70"/>
      <c r="J101" s="24">
        <f t="shared" si="10"/>
        <v>0</v>
      </c>
      <c r="K101" s="70"/>
      <c r="L101" s="71"/>
      <c r="M101" s="93">
        <f t="shared" si="11"/>
        <v>0</v>
      </c>
      <c r="N101" s="71"/>
      <c r="P101" s="71"/>
      <c r="T101" s="71"/>
    </row>
    <row r="102" spans="1:20" s="192" customFormat="1" ht="15" customHeight="1">
      <c r="A102" s="851"/>
      <c r="B102" s="980" t="s">
        <v>6438</v>
      </c>
      <c r="C102" s="1114" t="s">
        <v>6439</v>
      </c>
      <c r="D102" s="1585" t="s">
        <v>6440</v>
      </c>
      <c r="E102" s="1120" t="s">
        <v>6233</v>
      </c>
      <c r="F102" s="978">
        <v>1</v>
      </c>
      <c r="G102" s="1121">
        <v>1117.4000000000001</v>
      </c>
      <c r="H102" s="1782"/>
      <c r="I102" s="70"/>
      <c r="J102" s="24">
        <f t="shared" si="10"/>
        <v>0</v>
      </c>
      <c r="K102" s="70"/>
      <c r="L102" s="71"/>
      <c r="M102" s="93">
        <f t="shared" si="11"/>
        <v>0</v>
      </c>
      <c r="N102" s="71"/>
      <c r="P102" s="71"/>
      <c r="T102" s="71"/>
    </row>
    <row r="103" spans="1:20" s="192" customFormat="1" ht="15" customHeight="1" thickBot="1">
      <c r="A103" s="851"/>
      <c r="B103" s="985" t="s">
        <v>6441</v>
      </c>
      <c r="C103" s="1116" t="s">
        <v>6442</v>
      </c>
      <c r="D103" s="1586" t="s">
        <v>6443</v>
      </c>
      <c r="E103" s="1124" t="s">
        <v>6237</v>
      </c>
      <c r="F103" s="988">
        <v>2</v>
      </c>
      <c r="G103" s="1125">
        <v>97.02</v>
      </c>
      <c r="H103" s="1784"/>
      <c r="I103" s="70"/>
      <c r="J103" s="24">
        <f t="shared" si="10"/>
        <v>0</v>
      </c>
      <c r="K103" s="70"/>
      <c r="L103" s="71"/>
      <c r="M103" s="93">
        <f t="shared" si="11"/>
        <v>0</v>
      </c>
      <c r="N103" s="71"/>
      <c r="P103" s="71"/>
      <c r="T103" s="71"/>
    </row>
    <row r="104" spans="1:20" s="192" customFormat="1" ht="14.5" thickBot="1">
      <c r="A104" s="851"/>
      <c r="B104" s="995"/>
      <c r="C104" s="996"/>
      <c r="D104" s="1596"/>
      <c r="E104" s="997"/>
      <c r="F104" s="998"/>
      <c r="G104" s="1787"/>
      <c r="H104" s="1788"/>
      <c r="I104" s="70"/>
      <c r="J104" s="24"/>
      <c r="K104" s="70"/>
      <c r="L104" s="71"/>
      <c r="M104" s="202"/>
      <c r="N104" s="124"/>
      <c r="P104" s="71"/>
      <c r="T104" s="71"/>
    </row>
    <row r="105" spans="1:20" s="192" customFormat="1" ht="14.5" thickBot="1">
      <c r="A105" s="851"/>
      <c r="B105" s="2863" t="s">
        <v>390</v>
      </c>
      <c r="C105" s="1031" t="s">
        <v>6444</v>
      </c>
      <c r="D105" s="1596"/>
      <c r="E105" s="997"/>
      <c r="F105" s="998"/>
      <c r="G105" s="1787"/>
      <c r="H105" s="1788"/>
      <c r="I105" s="70"/>
      <c r="J105" s="24"/>
      <c r="K105" s="70"/>
      <c r="L105" s="71"/>
      <c r="M105" s="202"/>
      <c r="N105" s="124"/>
      <c r="P105" s="71"/>
      <c r="T105" s="71"/>
    </row>
    <row r="106" spans="1:20" s="192" customFormat="1">
      <c r="A106" s="851"/>
      <c r="B106" s="1670" t="s">
        <v>6445</v>
      </c>
      <c r="C106" s="1132" t="s">
        <v>6446</v>
      </c>
      <c r="D106" s="1597" t="s">
        <v>6447</v>
      </c>
      <c r="E106" s="91" t="s">
        <v>6448</v>
      </c>
      <c r="F106" s="1126">
        <v>0</v>
      </c>
      <c r="G106" s="1127">
        <v>5</v>
      </c>
      <c r="H106" s="1781"/>
      <c r="I106" s="70"/>
      <c r="J106" s="24">
        <f t="shared" ref="J106:J123" si="12" xml:space="preserve"> IF( SUM( L106:N106 ) = 0, 0, $M$4 )</f>
        <v>0</v>
      </c>
      <c r="K106" s="70"/>
      <c r="L106" s="71"/>
      <c r="M106" s="93">
        <f t="shared" ref="M106:M113" si="13" xml:space="preserve"> IF( ISNUMBER( G106 ), 0, 1 )</f>
        <v>0</v>
      </c>
      <c r="N106" s="71"/>
      <c r="P106" s="71"/>
      <c r="T106" s="71"/>
    </row>
    <row r="107" spans="1:20" s="192" customFormat="1">
      <c r="A107" s="851"/>
      <c r="B107" s="1671" t="s">
        <v>6449</v>
      </c>
      <c r="C107" s="1446" t="s">
        <v>6450</v>
      </c>
      <c r="D107" s="1598" t="s">
        <v>6451</v>
      </c>
      <c r="E107" s="1447" t="s">
        <v>6448</v>
      </c>
      <c r="F107" s="1128">
        <v>0</v>
      </c>
      <c r="G107" s="1122">
        <v>2</v>
      </c>
      <c r="H107" s="1782"/>
      <c r="I107" s="70"/>
      <c r="J107" s="24">
        <f t="shared" si="12"/>
        <v>0</v>
      </c>
      <c r="K107" s="70"/>
      <c r="L107" s="71"/>
      <c r="M107" s="93">
        <f t="shared" si="13"/>
        <v>0</v>
      </c>
      <c r="N107" s="71"/>
      <c r="P107" s="71"/>
      <c r="T107" s="71"/>
    </row>
    <row r="108" spans="1:20" s="192" customFormat="1">
      <c r="A108" s="851"/>
      <c r="B108" s="1671" t="s">
        <v>6452</v>
      </c>
      <c r="C108" s="1134" t="s">
        <v>6453</v>
      </c>
      <c r="D108" s="1599" t="s">
        <v>6454</v>
      </c>
      <c r="E108" s="98" t="s">
        <v>6448</v>
      </c>
      <c r="F108" s="1128">
        <v>0</v>
      </c>
      <c r="G108" s="1122">
        <v>1</v>
      </c>
      <c r="H108" s="1782"/>
      <c r="I108" s="70"/>
      <c r="J108" s="24">
        <f t="shared" si="12"/>
        <v>0</v>
      </c>
      <c r="K108" s="70"/>
      <c r="L108" s="71"/>
      <c r="M108" s="93">
        <f t="shared" si="13"/>
        <v>0</v>
      </c>
      <c r="N108" s="71"/>
      <c r="P108" s="71"/>
      <c r="T108" s="71"/>
    </row>
    <row r="109" spans="1:20" s="192" customFormat="1">
      <c r="A109" s="851"/>
      <c r="B109" s="1671" t="s">
        <v>6455</v>
      </c>
      <c r="C109" s="1134" t="s">
        <v>6456</v>
      </c>
      <c r="D109" s="1599" t="s">
        <v>6457</v>
      </c>
      <c r="E109" s="98" t="s">
        <v>6448</v>
      </c>
      <c r="F109" s="1128">
        <v>0</v>
      </c>
      <c r="G109" s="1122">
        <v>3</v>
      </c>
      <c r="H109" s="1782"/>
      <c r="I109" s="70"/>
      <c r="J109" s="24">
        <f t="shared" si="12"/>
        <v>0</v>
      </c>
      <c r="K109" s="70"/>
      <c r="L109" s="71"/>
      <c r="M109" s="93">
        <f t="shared" si="13"/>
        <v>0</v>
      </c>
      <c r="N109" s="71"/>
      <c r="P109" s="71"/>
      <c r="T109" s="71"/>
    </row>
    <row r="110" spans="1:20" s="192" customFormat="1">
      <c r="A110" s="851"/>
      <c r="B110" s="1671" t="s">
        <v>6458</v>
      </c>
      <c r="C110" s="1134" t="s">
        <v>6459</v>
      </c>
      <c r="D110" s="1599" t="s">
        <v>6460</v>
      </c>
      <c r="E110" s="98" t="s">
        <v>6448</v>
      </c>
      <c r="F110" s="1128">
        <v>0</v>
      </c>
      <c r="G110" s="1122">
        <v>3</v>
      </c>
      <c r="H110" s="1782"/>
      <c r="I110" s="70"/>
      <c r="J110" s="24">
        <f t="shared" si="12"/>
        <v>0</v>
      </c>
      <c r="K110" s="70"/>
      <c r="L110" s="71"/>
      <c r="M110" s="93">
        <f t="shared" si="13"/>
        <v>0</v>
      </c>
      <c r="N110" s="71"/>
      <c r="P110" s="71"/>
      <c r="T110" s="71"/>
    </row>
    <row r="111" spans="1:20" s="192" customFormat="1">
      <c r="A111" s="851"/>
      <c r="B111" s="1671" t="s">
        <v>6461</v>
      </c>
      <c r="C111" s="1134" t="s">
        <v>6462</v>
      </c>
      <c r="D111" s="1599" t="s">
        <v>6463</v>
      </c>
      <c r="E111" s="98" t="s">
        <v>6448</v>
      </c>
      <c r="F111" s="1129">
        <v>0</v>
      </c>
      <c r="G111" s="1122">
        <v>0</v>
      </c>
      <c r="H111" s="1782"/>
      <c r="I111" s="70"/>
      <c r="J111" s="24">
        <f t="shared" si="12"/>
        <v>0</v>
      </c>
      <c r="K111" s="70"/>
      <c r="L111" s="71"/>
      <c r="M111" s="93">
        <f t="shared" si="13"/>
        <v>0</v>
      </c>
      <c r="N111" s="71"/>
      <c r="P111" s="71"/>
      <c r="T111" s="71"/>
    </row>
    <row r="112" spans="1:20" s="192" customFormat="1">
      <c r="A112" s="851"/>
      <c r="B112" s="1671" t="s">
        <v>6464</v>
      </c>
      <c r="C112" s="1134" t="s">
        <v>6465</v>
      </c>
      <c r="D112" s="1601" t="s">
        <v>6466</v>
      </c>
      <c r="E112" s="1445" t="s">
        <v>6448</v>
      </c>
      <c r="F112" s="1128">
        <v>0</v>
      </c>
      <c r="G112" s="1122">
        <v>2</v>
      </c>
      <c r="H112" s="1782"/>
      <c r="I112" s="70"/>
      <c r="J112" s="24">
        <f t="shared" si="12"/>
        <v>0</v>
      </c>
      <c r="K112" s="70"/>
      <c r="L112" s="71"/>
      <c r="M112" s="93">
        <f t="shared" si="13"/>
        <v>0</v>
      </c>
      <c r="N112" s="71"/>
      <c r="P112" s="71"/>
      <c r="T112" s="71"/>
    </row>
    <row r="113" spans="1:20" s="192" customFormat="1" ht="14.5" thickBot="1">
      <c r="A113" s="851"/>
      <c r="B113" s="1672" t="s">
        <v>6467</v>
      </c>
      <c r="C113" s="2132" t="s">
        <v>6468</v>
      </c>
      <c r="D113" s="2133" t="s">
        <v>6469</v>
      </c>
      <c r="E113" s="1444" t="s">
        <v>6448</v>
      </c>
      <c r="F113" s="1130">
        <v>0</v>
      </c>
      <c r="G113" s="1131">
        <v>0</v>
      </c>
      <c r="H113" s="1784"/>
      <c r="I113" s="70"/>
      <c r="J113" s="24">
        <f t="shared" si="12"/>
        <v>0</v>
      </c>
      <c r="K113" s="70"/>
      <c r="L113" s="71"/>
      <c r="M113" s="93">
        <f t="shared" si="13"/>
        <v>0</v>
      </c>
      <c r="N113" s="71"/>
      <c r="P113" s="71"/>
      <c r="T113" s="71"/>
    </row>
    <row r="114" spans="1:20" s="192" customFormat="1" ht="14.5" thickBot="1">
      <c r="A114" s="851"/>
      <c r="B114" s="995"/>
      <c r="C114" s="799"/>
      <c r="D114" s="1596"/>
      <c r="E114" s="800"/>
      <c r="F114" s="998"/>
      <c r="G114" s="1785"/>
      <c r="H114" s="1786"/>
      <c r="J114" s="24"/>
      <c r="L114" s="71"/>
      <c r="M114" s="70"/>
      <c r="N114" s="71"/>
      <c r="P114" s="71"/>
      <c r="T114" s="71"/>
    </row>
    <row r="115" spans="1:20" s="192" customFormat="1" ht="14.5" thickBot="1">
      <c r="A115" s="851"/>
      <c r="B115" s="2863" t="s">
        <v>464</v>
      </c>
      <c r="C115" s="1031" t="s">
        <v>6470</v>
      </c>
      <c r="D115" s="1596"/>
      <c r="E115" s="800"/>
      <c r="F115" s="998"/>
      <c r="G115" s="1785"/>
      <c r="H115" s="1786"/>
      <c r="J115" s="24"/>
      <c r="K115" s="70"/>
      <c r="L115" s="71"/>
      <c r="M115" s="70"/>
      <c r="N115" s="71"/>
      <c r="P115" s="71"/>
      <c r="T115" s="71"/>
    </row>
    <row r="116" spans="1:20" s="192" customFormat="1" ht="162.5">
      <c r="A116" s="851"/>
      <c r="B116" s="1670" t="s">
        <v>6471</v>
      </c>
      <c r="C116" s="1132" t="s">
        <v>6472</v>
      </c>
      <c r="D116" s="1600" t="s">
        <v>6473</v>
      </c>
      <c r="E116" s="91" t="s">
        <v>732</v>
      </c>
      <c r="F116" s="1126">
        <v>1</v>
      </c>
      <c r="G116" s="1133">
        <v>5.3E-3</v>
      </c>
      <c r="H116" s="1781" t="s">
        <v>12899</v>
      </c>
      <c r="I116" s="70"/>
      <c r="J116" s="24">
        <f t="shared" si="12"/>
        <v>0</v>
      </c>
      <c r="K116" s="70"/>
      <c r="L116" s="71"/>
      <c r="M116" s="93">
        <f t="shared" ref="M116:M123" si="14" xml:space="preserve"> IF( ISNUMBER( G116 ), 0, 1 )</f>
        <v>0</v>
      </c>
      <c r="N116" s="71"/>
      <c r="P116" s="71"/>
      <c r="T116" s="71"/>
    </row>
    <row r="117" spans="1:20" s="192" customFormat="1">
      <c r="A117" s="851"/>
      <c r="B117" s="1671" t="s">
        <v>6474</v>
      </c>
      <c r="C117" s="1134" t="s">
        <v>6475</v>
      </c>
      <c r="D117" s="1601" t="s">
        <v>6476</v>
      </c>
      <c r="E117" s="98" t="s">
        <v>732</v>
      </c>
      <c r="F117" s="1128">
        <v>1</v>
      </c>
      <c r="G117" s="1135">
        <v>2.58E-2</v>
      </c>
      <c r="H117" s="1782"/>
      <c r="I117" s="70"/>
      <c r="J117" s="24">
        <f t="shared" si="12"/>
        <v>0</v>
      </c>
      <c r="K117" s="70"/>
      <c r="L117" s="71"/>
      <c r="M117" s="93">
        <f t="shared" si="14"/>
        <v>0</v>
      </c>
      <c r="N117" s="71"/>
      <c r="P117" s="71"/>
      <c r="T117" s="71"/>
    </row>
    <row r="118" spans="1:20" s="192" customFormat="1">
      <c r="A118" s="851"/>
      <c r="B118" s="1671" t="s">
        <v>6477</v>
      </c>
      <c r="C118" s="1134" t="s">
        <v>6478</v>
      </c>
      <c r="D118" s="1601" t="s">
        <v>6479</v>
      </c>
      <c r="E118" s="98" t="s">
        <v>732</v>
      </c>
      <c r="F118" s="1128">
        <v>1</v>
      </c>
      <c r="G118" s="1135">
        <v>1.7399999999999999E-2</v>
      </c>
      <c r="H118" s="1782"/>
      <c r="I118" s="70"/>
      <c r="J118" s="24">
        <f t="shared" si="12"/>
        <v>0</v>
      </c>
      <c r="K118" s="70"/>
      <c r="L118" s="71"/>
      <c r="M118" s="93">
        <f t="shared" si="14"/>
        <v>0</v>
      </c>
      <c r="N118" s="71"/>
      <c r="P118" s="71"/>
      <c r="T118" s="71"/>
    </row>
    <row r="119" spans="1:20" s="192" customFormat="1">
      <c r="A119" s="851"/>
      <c r="B119" s="1671" t="s">
        <v>6480</v>
      </c>
      <c r="C119" s="1134" t="s">
        <v>6481</v>
      </c>
      <c r="D119" s="1601" t="s">
        <v>6482</v>
      </c>
      <c r="E119" s="98" t="s">
        <v>732</v>
      </c>
      <c r="F119" s="1128">
        <v>1</v>
      </c>
      <c r="G119" s="1135">
        <v>0.129</v>
      </c>
      <c r="H119" s="1782"/>
      <c r="I119" s="70"/>
      <c r="J119" s="24">
        <f t="shared" si="12"/>
        <v>0</v>
      </c>
      <c r="K119" s="70"/>
      <c r="L119" s="71"/>
      <c r="M119" s="93">
        <f t="shared" si="14"/>
        <v>0</v>
      </c>
      <c r="N119" s="71"/>
      <c r="P119" s="71"/>
      <c r="T119" s="71"/>
    </row>
    <row r="120" spans="1:20" s="192" customFormat="1">
      <c r="A120" s="851"/>
      <c r="B120" s="1671" t="s">
        <v>6483</v>
      </c>
      <c r="C120" s="1134" t="s">
        <v>6484</v>
      </c>
      <c r="D120" s="1601" t="s">
        <v>6485</v>
      </c>
      <c r="E120" s="98" t="s">
        <v>732</v>
      </c>
      <c r="F120" s="1128">
        <v>1</v>
      </c>
      <c r="G120" s="1135">
        <v>0.2482</v>
      </c>
      <c r="H120" s="1782"/>
      <c r="I120" s="70"/>
      <c r="J120" s="24">
        <f t="shared" si="12"/>
        <v>0</v>
      </c>
      <c r="K120" s="70"/>
      <c r="L120" s="71"/>
      <c r="M120" s="93">
        <f t="shared" si="14"/>
        <v>0</v>
      </c>
      <c r="N120" s="71"/>
      <c r="P120" s="71"/>
      <c r="T120" s="71"/>
    </row>
    <row r="121" spans="1:20" s="192" customFormat="1">
      <c r="A121" s="851"/>
      <c r="B121" s="1671" t="s">
        <v>6486</v>
      </c>
      <c r="C121" s="1134" t="s">
        <v>6487</v>
      </c>
      <c r="D121" s="1601" t="s">
        <v>6488</v>
      </c>
      <c r="E121" s="98" t="s">
        <v>732</v>
      </c>
      <c r="F121" s="1129">
        <v>1</v>
      </c>
      <c r="G121" s="1135">
        <v>0</v>
      </c>
      <c r="H121" s="1782"/>
      <c r="I121" s="70"/>
      <c r="J121" s="24">
        <f t="shared" si="12"/>
        <v>0</v>
      </c>
      <c r="K121" s="70"/>
      <c r="L121" s="71"/>
      <c r="M121" s="93">
        <f t="shared" si="14"/>
        <v>0</v>
      </c>
      <c r="N121" s="71"/>
      <c r="P121" s="71"/>
      <c r="T121" s="71"/>
    </row>
    <row r="122" spans="1:20" s="192" customFormat="1">
      <c r="A122" s="851"/>
      <c r="B122" s="1671" t="s">
        <v>6489</v>
      </c>
      <c r="C122" s="1134" t="s">
        <v>6490</v>
      </c>
      <c r="D122" s="1601" t="s">
        <v>6491</v>
      </c>
      <c r="E122" s="98" t="s">
        <v>732</v>
      </c>
      <c r="F122" s="1128">
        <v>1</v>
      </c>
      <c r="G122" s="1135">
        <v>0.57430000000000003</v>
      </c>
      <c r="H122" s="1782"/>
      <c r="I122" s="70"/>
      <c r="J122" s="24">
        <f t="shared" si="12"/>
        <v>0</v>
      </c>
      <c r="K122" s="70"/>
      <c r="L122" s="71"/>
      <c r="M122" s="93">
        <f t="shared" si="14"/>
        <v>0</v>
      </c>
      <c r="N122" s="71"/>
      <c r="P122" s="71"/>
      <c r="T122" s="71"/>
    </row>
    <row r="123" spans="1:20" s="192" customFormat="1" ht="14.5" thickBot="1">
      <c r="A123" s="851"/>
      <c r="B123" s="1672" t="s">
        <v>6492</v>
      </c>
      <c r="C123" s="1136" t="s">
        <v>6493</v>
      </c>
      <c r="D123" s="1602" t="s">
        <v>6494</v>
      </c>
      <c r="E123" s="99" t="s">
        <v>732</v>
      </c>
      <c r="F123" s="1130">
        <v>1</v>
      </c>
      <c r="G123" s="1137">
        <v>0</v>
      </c>
      <c r="H123" s="1784"/>
      <c r="I123" s="70"/>
      <c r="J123" s="24">
        <f t="shared" si="12"/>
        <v>0</v>
      </c>
      <c r="K123" s="70"/>
      <c r="L123" s="71"/>
      <c r="M123" s="93">
        <f t="shared" si="14"/>
        <v>0</v>
      </c>
      <c r="N123" s="71"/>
      <c r="P123" s="71"/>
      <c r="T123" s="71"/>
    </row>
    <row r="124" spans="1:20">
      <c r="A124" s="1882"/>
      <c r="B124" s="1882"/>
      <c r="C124" s="1882"/>
      <c r="F124" s="1882"/>
      <c r="G124" s="1882"/>
      <c r="H124" s="1882"/>
      <c r="I124" s="1882"/>
      <c r="J124" s="1882"/>
      <c r="K124" s="1882"/>
      <c r="M124" s="1882"/>
      <c r="O124" s="1882"/>
      <c r="Q124" s="1882"/>
      <c r="R124" s="1882"/>
      <c r="S124" s="1882"/>
    </row>
    <row r="125" spans="1:20">
      <c r="A125" s="1882"/>
      <c r="B125" s="3114" t="s">
        <v>241</v>
      </c>
      <c r="C125" s="3114"/>
      <c r="D125" s="996"/>
      <c r="E125" s="997"/>
      <c r="F125" s="998"/>
      <c r="G125" s="998"/>
      <c r="H125" s="998"/>
      <c r="I125" s="998"/>
      <c r="J125" s="999"/>
      <c r="K125" s="999"/>
      <c r="L125" s="1653"/>
      <c r="M125" s="1882"/>
      <c r="O125" s="1882"/>
      <c r="Q125" s="1882"/>
      <c r="R125" s="1882"/>
      <c r="S125" s="1882"/>
    </row>
    <row r="126" spans="1:20">
      <c r="A126" s="1882"/>
      <c r="B126" s="995"/>
      <c r="C126" s="1002"/>
      <c r="D126" s="996"/>
      <c r="E126" s="997"/>
      <c r="F126" s="998"/>
      <c r="G126" s="998"/>
      <c r="H126" s="998"/>
      <c r="I126" s="998"/>
      <c r="J126" s="1003"/>
      <c r="K126" s="1003"/>
      <c r="L126" s="1654"/>
      <c r="M126" s="1882"/>
      <c r="O126" s="1882"/>
      <c r="Q126" s="1882"/>
      <c r="R126" s="1882"/>
      <c r="S126" s="1882"/>
    </row>
    <row r="127" spans="1:20">
      <c r="A127" s="1882"/>
      <c r="B127" s="929"/>
      <c r="C127" s="930" t="s">
        <v>188</v>
      </c>
      <c r="D127" s="930"/>
      <c r="E127" s="163"/>
      <c r="F127" s="163"/>
      <c r="G127" s="163"/>
      <c r="H127" s="163"/>
      <c r="I127" s="163"/>
      <c r="J127" s="163"/>
      <c r="K127" s="163"/>
      <c r="L127" s="1645"/>
      <c r="M127" s="1882"/>
      <c r="O127" s="1882"/>
      <c r="Q127" s="1882"/>
      <c r="R127" s="1882"/>
      <c r="S127" s="1882"/>
    </row>
    <row r="128" spans="1:20">
      <c r="A128" s="1882"/>
      <c r="B128" s="927"/>
      <c r="C128" s="928"/>
      <c r="D128" s="928"/>
      <c r="E128" s="163"/>
      <c r="F128" s="163"/>
      <c r="G128" s="163"/>
      <c r="H128" s="163"/>
      <c r="I128" s="163"/>
      <c r="J128" s="163"/>
      <c r="K128" s="163"/>
      <c r="L128" s="1645"/>
      <c r="M128" s="1882"/>
      <c r="O128" s="1882"/>
      <c r="Q128" s="1882"/>
      <c r="R128" s="1882"/>
      <c r="S128" s="1882"/>
    </row>
    <row r="129" spans="1:20">
      <c r="A129" s="1882"/>
      <c r="B129" s="931"/>
      <c r="C129" s="930" t="s">
        <v>189</v>
      </c>
      <c r="D129" s="930"/>
      <c r="E129" s="163"/>
      <c r="F129" s="163"/>
      <c r="G129" s="163"/>
      <c r="H129" s="163"/>
      <c r="I129" s="163"/>
      <c r="J129" s="163"/>
      <c r="K129" s="163"/>
      <c r="L129" s="1645"/>
      <c r="M129" s="1882"/>
      <c r="O129" s="1882"/>
      <c r="Q129" s="1882"/>
      <c r="R129" s="1882"/>
      <c r="S129" s="1882"/>
    </row>
    <row r="130" spans="1:20">
      <c r="A130" s="1882"/>
      <c r="B130" s="110"/>
      <c r="C130" s="152"/>
      <c r="D130" s="152"/>
      <c r="E130" s="110"/>
      <c r="F130" s="110"/>
      <c r="G130" s="110"/>
      <c r="H130" s="110"/>
      <c r="I130" s="110"/>
      <c r="J130" s="110"/>
      <c r="K130" s="110"/>
      <c r="L130" s="1646"/>
      <c r="M130" s="1882"/>
      <c r="O130" s="1882"/>
      <c r="Q130" s="1882"/>
      <c r="R130" s="1882"/>
      <c r="S130" s="1882"/>
    </row>
    <row r="131" spans="1:20" ht="14.5" thickBot="1">
      <c r="A131" s="1882"/>
      <c r="B131" s="110"/>
      <c r="C131" s="152"/>
      <c r="D131" s="152"/>
      <c r="E131" s="110"/>
      <c r="F131" s="110"/>
      <c r="G131" s="110"/>
      <c r="H131" s="110"/>
      <c r="I131" s="110"/>
      <c r="J131" s="110"/>
      <c r="K131" s="110"/>
      <c r="L131" s="1646"/>
      <c r="M131" s="1882"/>
      <c r="O131" s="1882"/>
      <c r="Q131" s="1882"/>
      <c r="R131" s="1882"/>
      <c r="S131" s="1882"/>
    </row>
    <row r="132" spans="1:20" ht="15.5" thickBot="1">
      <c r="A132" s="1882"/>
      <c r="B132" s="3175" t="str">
        <f>'4O'!B32</f>
        <v>Please refer to RAG 4.08 - Guideline for the table definitions in the annual performance report for the reporting year 2019-20</v>
      </c>
      <c r="C132" s="3313"/>
      <c r="D132" s="3313"/>
      <c r="E132" s="3313"/>
      <c r="F132" s="3313"/>
      <c r="G132" s="3313"/>
      <c r="H132" s="3313"/>
      <c r="I132" s="3313"/>
      <c r="J132" s="3314"/>
      <c r="K132" s="110"/>
      <c r="L132" s="1646"/>
      <c r="M132" s="1882"/>
      <c r="O132" s="1882"/>
      <c r="Q132" s="1882"/>
      <c r="R132" s="1882"/>
      <c r="S132" s="1882"/>
    </row>
    <row r="133" spans="1:20" ht="14.5" thickBot="1">
      <c r="A133" s="1882"/>
      <c r="B133" s="110"/>
      <c r="C133" s="152"/>
      <c r="D133" s="152"/>
      <c r="E133" s="110"/>
      <c r="F133" s="110"/>
      <c r="G133" s="110"/>
      <c r="H133" s="110"/>
      <c r="I133" s="110"/>
      <c r="J133" s="110"/>
      <c r="K133" s="110"/>
      <c r="L133" s="1646"/>
      <c r="M133" s="1882"/>
      <c r="O133" s="1882"/>
      <c r="Q133" s="1882"/>
      <c r="R133" s="1882"/>
      <c r="S133" s="1882"/>
    </row>
    <row r="134" spans="1:20" ht="15.5" hidden="1" thickBot="1">
      <c r="A134" s="1571"/>
      <c r="B134" s="3228" t="str">
        <f ca="1" xml:space="preserve"> RIGHT(CELL("filename", $A$1), LEN(CELL("filename", $A$1)) - SEARCH("]", CELL("filename", $A$1)))&amp;" - Line definitions"</f>
        <v>4P - Line definitions</v>
      </c>
      <c r="C134" s="3289"/>
      <c r="D134" s="3289"/>
      <c r="E134" s="3289"/>
      <c r="F134" s="3289"/>
      <c r="G134" s="3289"/>
      <c r="H134" s="3289"/>
      <c r="I134" s="3289"/>
      <c r="J134" s="3290"/>
      <c r="K134" s="110"/>
      <c r="L134" s="1646"/>
      <c r="M134" s="1882"/>
      <c r="O134" s="1882"/>
      <c r="Q134" s="1882"/>
      <c r="R134" s="1882"/>
      <c r="S134" s="1882"/>
    </row>
    <row r="135" spans="1:20" ht="14.5" hidden="1" thickBot="1">
      <c r="A135" s="1571"/>
      <c r="B135" s="851"/>
      <c r="C135" s="1005"/>
      <c r="D135" s="1005"/>
      <c r="E135" s="851"/>
      <c r="F135" s="851"/>
      <c r="G135" s="851"/>
      <c r="H135" s="851"/>
      <c r="I135" s="851"/>
      <c r="J135" s="851"/>
      <c r="K135" s="110"/>
      <c r="L135" s="1646"/>
      <c r="M135" s="1882"/>
      <c r="O135" s="1882"/>
      <c r="Q135" s="1882"/>
      <c r="R135" s="1882"/>
      <c r="S135" s="1882"/>
    </row>
    <row r="136" spans="1:20" ht="15" hidden="1" thickBot="1">
      <c r="A136" s="1571"/>
      <c r="B136" s="2863" t="s">
        <v>153</v>
      </c>
      <c r="C136" s="3315" t="s">
        <v>905</v>
      </c>
      <c r="D136" s="3316"/>
      <c r="E136" s="3316"/>
      <c r="F136" s="3316"/>
      <c r="G136" s="3316"/>
      <c r="H136" s="3316"/>
      <c r="I136" s="3316"/>
      <c r="J136" s="3317"/>
      <c r="K136" s="110"/>
      <c r="L136" s="1646"/>
      <c r="M136" s="1882"/>
      <c r="O136" s="1882"/>
      <c r="Q136" s="1882"/>
      <c r="R136" s="1882"/>
      <c r="S136" s="1882"/>
    </row>
    <row r="137" spans="1:20" hidden="1">
      <c r="A137" s="1571"/>
      <c r="B137" s="1950" t="s">
        <v>191</v>
      </c>
      <c r="C137" s="3318" t="s">
        <v>192</v>
      </c>
      <c r="D137" s="3319"/>
      <c r="E137" s="3319"/>
      <c r="F137" s="3319"/>
      <c r="G137" s="3319"/>
      <c r="H137" s="3319"/>
      <c r="I137" s="3319"/>
      <c r="J137" s="3320"/>
      <c r="K137" s="110"/>
      <c r="L137" s="1646"/>
      <c r="M137" s="1882"/>
      <c r="O137" s="1882"/>
      <c r="Q137" s="1882"/>
      <c r="R137" s="1882"/>
      <c r="S137" s="1882"/>
    </row>
    <row r="138" spans="1:20" ht="14.25" hidden="1" customHeight="1">
      <c r="A138" s="1571"/>
      <c r="B138" s="1443">
        <v>1</v>
      </c>
      <c r="C138" s="3301" t="s">
        <v>6495</v>
      </c>
      <c r="D138" s="3302"/>
      <c r="E138" s="3302"/>
      <c r="F138" s="3302"/>
      <c r="G138" s="3302"/>
      <c r="H138" s="3302"/>
      <c r="I138" s="3302"/>
      <c r="J138" s="3303"/>
      <c r="K138" s="110"/>
      <c r="L138" s="1646"/>
      <c r="M138" s="1882"/>
      <c r="O138" s="1882"/>
      <c r="Q138" s="1882"/>
      <c r="R138" s="1882"/>
      <c r="S138" s="1882"/>
    </row>
    <row r="139" spans="1:20" ht="70.5" hidden="1" customHeight="1">
      <c r="A139" s="1571"/>
      <c r="B139" s="1443">
        <f t="shared" ref="B139:B164" si="15">+B138+1</f>
        <v>2</v>
      </c>
      <c r="C139" s="3301" t="s">
        <v>6496</v>
      </c>
      <c r="D139" s="3302"/>
      <c r="E139" s="3302"/>
      <c r="F139" s="3302"/>
      <c r="G139" s="3302"/>
      <c r="H139" s="3302"/>
      <c r="I139" s="3302"/>
      <c r="J139" s="3303"/>
      <c r="K139" s="110"/>
      <c r="L139" s="1646"/>
      <c r="M139" s="1882"/>
      <c r="O139" s="1882"/>
      <c r="Q139" s="1882"/>
      <c r="R139" s="1882"/>
      <c r="S139" s="1882"/>
    </row>
    <row r="140" spans="1:20" ht="34.5" hidden="1" customHeight="1">
      <c r="A140" s="1571"/>
      <c r="B140" s="1443">
        <f t="shared" si="15"/>
        <v>3</v>
      </c>
      <c r="C140" s="3301" t="s">
        <v>6497</v>
      </c>
      <c r="D140" s="3302"/>
      <c r="E140" s="3302"/>
      <c r="F140" s="3302"/>
      <c r="G140" s="3302"/>
      <c r="H140" s="3302"/>
      <c r="I140" s="3302"/>
      <c r="J140" s="3303"/>
      <c r="K140" s="110"/>
      <c r="L140" s="1646"/>
      <c r="M140" s="1882"/>
      <c r="O140" s="1882"/>
      <c r="Q140" s="1882"/>
      <c r="R140" s="1882"/>
      <c r="S140" s="1882"/>
    </row>
    <row r="141" spans="1:20" ht="34.5" hidden="1" customHeight="1">
      <c r="A141" s="1571"/>
      <c r="B141" s="1443">
        <f t="shared" si="15"/>
        <v>4</v>
      </c>
      <c r="C141" s="3301" t="s">
        <v>6498</v>
      </c>
      <c r="D141" s="3302"/>
      <c r="E141" s="3302"/>
      <c r="F141" s="3302"/>
      <c r="G141" s="3302"/>
      <c r="H141" s="3302"/>
      <c r="I141" s="3302"/>
      <c r="J141" s="3303"/>
      <c r="K141" s="110"/>
      <c r="L141" s="1646"/>
      <c r="M141" s="1882"/>
      <c r="O141" s="1882"/>
      <c r="Q141" s="1882"/>
      <c r="R141" s="1882"/>
      <c r="S141" s="1882"/>
    </row>
    <row r="142" spans="1:20" ht="41.25" hidden="1" customHeight="1">
      <c r="A142" s="1571"/>
      <c r="B142" s="1443">
        <f t="shared" si="15"/>
        <v>5</v>
      </c>
      <c r="C142" s="3301" t="s">
        <v>6499</v>
      </c>
      <c r="D142" s="3302"/>
      <c r="E142" s="3302"/>
      <c r="F142" s="3302"/>
      <c r="G142" s="3302"/>
      <c r="H142" s="3302"/>
      <c r="I142" s="3302"/>
      <c r="J142" s="3303"/>
      <c r="K142" s="110"/>
      <c r="L142" s="1646"/>
      <c r="M142" s="1882"/>
      <c r="O142" s="1882"/>
      <c r="Q142" s="1882"/>
      <c r="R142" s="1882"/>
      <c r="S142" s="1882"/>
    </row>
    <row r="143" spans="1:20" ht="41.25" hidden="1" customHeight="1">
      <c r="A143" s="1571"/>
      <c r="B143" s="1443">
        <f t="shared" si="15"/>
        <v>6</v>
      </c>
      <c r="C143" s="3301" t="s">
        <v>6500</v>
      </c>
      <c r="D143" s="3302"/>
      <c r="E143" s="3302"/>
      <c r="F143" s="3302"/>
      <c r="G143" s="3302"/>
      <c r="H143" s="3302"/>
      <c r="I143" s="3302"/>
      <c r="J143" s="3303"/>
      <c r="K143" s="110"/>
      <c r="L143" s="1646"/>
      <c r="M143" s="1882"/>
      <c r="O143" s="1882"/>
      <c r="Q143" s="1882"/>
      <c r="R143" s="1882"/>
      <c r="S143" s="1882"/>
    </row>
    <row r="144" spans="1:20" s="1882" customFormat="1" ht="14.25" hidden="1" customHeight="1">
      <c r="A144" s="1571"/>
      <c r="B144" s="1443">
        <f t="shared" si="15"/>
        <v>7</v>
      </c>
      <c r="C144" s="3301" t="s">
        <v>6501</v>
      </c>
      <c r="D144" s="3302"/>
      <c r="E144" s="3302"/>
      <c r="F144" s="3302"/>
      <c r="G144" s="3302"/>
      <c r="H144" s="3302"/>
      <c r="I144" s="3302"/>
      <c r="J144" s="3303"/>
      <c r="K144" s="110"/>
      <c r="L144" s="1646"/>
      <c r="N144" s="1635"/>
      <c r="P144" s="1635"/>
      <c r="T144" s="1635"/>
    </row>
    <row r="145" spans="1:20" s="1882" customFormat="1" ht="14.25" hidden="1" customHeight="1">
      <c r="A145" s="1571"/>
      <c r="B145" s="1443">
        <f t="shared" si="15"/>
        <v>8</v>
      </c>
      <c r="C145" s="3301" t="s">
        <v>6502</v>
      </c>
      <c r="D145" s="3302"/>
      <c r="E145" s="3302"/>
      <c r="F145" s="3302"/>
      <c r="G145" s="3302"/>
      <c r="H145" s="3302"/>
      <c r="I145" s="3302"/>
      <c r="J145" s="3303"/>
      <c r="K145" s="110"/>
      <c r="L145" s="1646"/>
      <c r="N145" s="1635"/>
      <c r="P145" s="1635"/>
      <c r="T145" s="1635"/>
    </row>
    <row r="146" spans="1:20" ht="14.25" hidden="1" customHeight="1">
      <c r="A146" s="1571"/>
      <c r="B146" s="1443">
        <f t="shared" si="15"/>
        <v>9</v>
      </c>
      <c r="C146" s="3301" t="s">
        <v>6503</v>
      </c>
      <c r="D146" s="3302"/>
      <c r="E146" s="3302"/>
      <c r="F146" s="3302"/>
      <c r="G146" s="3302"/>
      <c r="H146" s="3302"/>
      <c r="I146" s="3302"/>
      <c r="J146" s="3303"/>
      <c r="K146" s="110"/>
      <c r="L146" s="1646"/>
      <c r="M146" s="1882"/>
      <c r="O146" s="1882"/>
      <c r="Q146" s="1882"/>
      <c r="R146" s="1882"/>
      <c r="S146" s="1882"/>
    </row>
    <row r="147" spans="1:20" ht="38.65" hidden="1" customHeight="1">
      <c r="A147" s="1571"/>
      <c r="B147" s="1443">
        <f t="shared" si="15"/>
        <v>10</v>
      </c>
      <c r="C147" s="3301" t="s">
        <v>6504</v>
      </c>
      <c r="D147" s="3302"/>
      <c r="E147" s="3302"/>
      <c r="F147" s="3302"/>
      <c r="G147" s="3302"/>
      <c r="H147" s="3302"/>
      <c r="I147" s="3302"/>
      <c r="J147" s="3303"/>
      <c r="K147" s="110"/>
      <c r="L147" s="1646"/>
      <c r="M147" s="1882"/>
      <c r="O147" s="1882"/>
      <c r="Q147" s="1882"/>
      <c r="R147" s="1882"/>
      <c r="S147" s="1882"/>
    </row>
    <row r="148" spans="1:20" ht="14.25" hidden="1" customHeight="1">
      <c r="A148" s="1571"/>
      <c r="B148" s="1443">
        <f t="shared" si="15"/>
        <v>11</v>
      </c>
      <c r="C148" s="3301" t="s">
        <v>6505</v>
      </c>
      <c r="D148" s="3302"/>
      <c r="E148" s="3302"/>
      <c r="F148" s="3302"/>
      <c r="G148" s="3302"/>
      <c r="H148" s="3302"/>
      <c r="I148" s="3302"/>
      <c r="J148" s="3303"/>
      <c r="K148" s="110"/>
      <c r="L148" s="1646"/>
      <c r="M148" s="1882"/>
      <c r="O148" s="1882"/>
      <c r="Q148" s="1882"/>
      <c r="R148" s="1882"/>
      <c r="S148" s="1882"/>
    </row>
    <row r="149" spans="1:20" ht="27" hidden="1" customHeight="1">
      <c r="A149" s="1571"/>
      <c r="B149" s="1443">
        <f t="shared" si="15"/>
        <v>12</v>
      </c>
      <c r="C149" s="3301" t="s">
        <v>6506</v>
      </c>
      <c r="D149" s="3302"/>
      <c r="E149" s="3302"/>
      <c r="F149" s="3302"/>
      <c r="G149" s="3302"/>
      <c r="H149" s="3302"/>
      <c r="I149" s="3302"/>
      <c r="J149" s="3303"/>
      <c r="K149" s="110"/>
      <c r="L149" s="1646"/>
      <c r="M149" s="1882"/>
      <c r="O149" s="1882"/>
      <c r="Q149" s="1882"/>
      <c r="R149" s="1882"/>
      <c r="S149" s="1882"/>
    </row>
    <row r="150" spans="1:20" ht="14.25" hidden="1" customHeight="1">
      <c r="A150" s="1571"/>
      <c r="B150" s="1443">
        <f t="shared" si="15"/>
        <v>13</v>
      </c>
      <c r="C150" s="3301" t="s">
        <v>6507</v>
      </c>
      <c r="D150" s="3302"/>
      <c r="E150" s="3302"/>
      <c r="F150" s="3302"/>
      <c r="G150" s="3302"/>
      <c r="H150" s="3302"/>
      <c r="I150" s="3302"/>
      <c r="J150" s="3303"/>
      <c r="K150" s="110"/>
      <c r="L150" s="1646"/>
      <c r="M150" s="1882"/>
      <c r="O150" s="1882"/>
      <c r="Q150" s="1882"/>
      <c r="R150" s="1882"/>
      <c r="S150" s="1882"/>
    </row>
    <row r="151" spans="1:20" ht="14.25" hidden="1" customHeight="1">
      <c r="A151" s="1571"/>
      <c r="B151" s="1443">
        <f t="shared" si="15"/>
        <v>14</v>
      </c>
      <c r="C151" s="3301" t="s">
        <v>6508</v>
      </c>
      <c r="D151" s="3302"/>
      <c r="E151" s="3302"/>
      <c r="F151" s="3302"/>
      <c r="G151" s="3302"/>
      <c r="H151" s="3302"/>
      <c r="I151" s="3302"/>
      <c r="J151" s="3303"/>
      <c r="K151" s="110"/>
      <c r="L151" s="1646"/>
      <c r="M151" s="1882"/>
      <c r="O151" s="1882"/>
      <c r="Q151" s="1882"/>
      <c r="R151" s="1882"/>
      <c r="S151" s="1882"/>
    </row>
    <row r="152" spans="1:20" s="1882" customFormat="1" ht="13.5" hidden="1" customHeight="1">
      <c r="A152" s="1571"/>
      <c r="B152" s="1443">
        <f t="shared" si="15"/>
        <v>15</v>
      </c>
      <c r="C152" s="3301" t="s">
        <v>6509</v>
      </c>
      <c r="D152" s="3302"/>
      <c r="E152" s="3302"/>
      <c r="F152" s="3302"/>
      <c r="G152" s="3302"/>
      <c r="H152" s="3302"/>
      <c r="I152" s="3302"/>
      <c r="J152" s="3303"/>
      <c r="K152" s="110"/>
      <c r="L152" s="1646"/>
      <c r="N152" s="1635"/>
      <c r="P152" s="1635"/>
      <c r="T152" s="1635"/>
    </row>
    <row r="153" spans="1:20" ht="41.65" hidden="1" customHeight="1">
      <c r="A153" s="1571"/>
      <c r="B153" s="1443">
        <f t="shared" si="15"/>
        <v>16</v>
      </c>
      <c r="C153" s="3301" t="s">
        <v>6510</v>
      </c>
      <c r="D153" s="3302"/>
      <c r="E153" s="3302"/>
      <c r="F153" s="3302"/>
      <c r="G153" s="3302"/>
      <c r="H153" s="3302"/>
      <c r="I153" s="3302"/>
      <c r="J153" s="3303"/>
      <c r="K153" s="110"/>
      <c r="L153" s="1646"/>
      <c r="M153" s="1882"/>
      <c r="O153" s="1882"/>
      <c r="Q153" s="1882"/>
      <c r="R153" s="1882"/>
      <c r="S153" s="1882"/>
    </row>
    <row r="154" spans="1:20" s="1882" customFormat="1" hidden="1">
      <c r="A154" s="1571"/>
      <c r="B154" s="1443">
        <f t="shared" si="15"/>
        <v>17</v>
      </c>
      <c r="C154" s="3301" t="s">
        <v>6511</v>
      </c>
      <c r="D154" s="3302"/>
      <c r="E154" s="3302"/>
      <c r="F154" s="3302"/>
      <c r="G154" s="3302"/>
      <c r="H154" s="3302"/>
      <c r="I154" s="3302"/>
      <c r="J154" s="3303"/>
      <c r="K154" s="110"/>
      <c r="L154" s="1646"/>
      <c r="N154" s="1635"/>
      <c r="P154" s="1635"/>
      <c r="T154" s="1635"/>
    </row>
    <row r="155" spans="1:20" ht="14.25" hidden="1" customHeight="1">
      <c r="A155" s="1571"/>
      <c r="B155" s="1443">
        <f t="shared" si="15"/>
        <v>18</v>
      </c>
      <c r="C155" s="3301" t="s">
        <v>6512</v>
      </c>
      <c r="D155" s="3302"/>
      <c r="E155" s="3302"/>
      <c r="F155" s="3302"/>
      <c r="G155" s="3302"/>
      <c r="H155" s="3302"/>
      <c r="I155" s="3302"/>
      <c r="J155" s="3303"/>
      <c r="K155" s="110"/>
      <c r="L155" s="1646"/>
      <c r="M155" s="1882"/>
      <c r="O155" s="1882"/>
      <c r="Q155" s="1882"/>
      <c r="R155" s="1882"/>
      <c r="S155" s="1882"/>
    </row>
    <row r="156" spans="1:20" ht="14.25" hidden="1" customHeight="1">
      <c r="A156" s="1571"/>
      <c r="B156" s="1443">
        <f t="shared" si="15"/>
        <v>19</v>
      </c>
      <c r="C156" s="3301" t="s">
        <v>6513</v>
      </c>
      <c r="D156" s="3302"/>
      <c r="E156" s="3302"/>
      <c r="F156" s="3302"/>
      <c r="G156" s="3302"/>
      <c r="H156" s="3302"/>
      <c r="I156" s="3302"/>
      <c r="J156" s="3303"/>
      <c r="K156" s="110"/>
      <c r="L156" s="1646"/>
      <c r="M156" s="1882"/>
      <c r="O156" s="1882"/>
      <c r="Q156" s="1882"/>
      <c r="R156" s="1882"/>
      <c r="S156" s="1882"/>
    </row>
    <row r="157" spans="1:20" ht="26.25" hidden="1" customHeight="1">
      <c r="A157" s="1571"/>
      <c r="B157" s="1443">
        <f t="shared" si="15"/>
        <v>20</v>
      </c>
      <c r="C157" s="3301" t="s">
        <v>6514</v>
      </c>
      <c r="D157" s="3302"/>
      <c r="E157" s="3302"/>
      <c r="F157" s="3302"/>
      <c r="G157" s="3302"/>
      <c r="H157" s="3302"/>
      <c r="I157" s="3302"/>
      <c r="J157" s="3303"/>
      <c r="K157" s="110"/>
      <c r="L157" s="1646"/>
      <c r="M157" s="1882"/>
      <c r="O157" s="1882"/>
      <c r="Q157" s="1882"/>
      <c r="R157" s="1882"/>
      <c r="S157" s="1882"/>
    </row>
    <row r="158" spans="1:20" ht="14.25" hidden="1" customHeight="1">
      <c r="A158" s="1571"/>
      <c r="B158" s="1443">
        <f t="shared" si="15"/>
        <v>21</v>
      </c>
      <c r="C158" s="3301" t="s">
        <v>6515</v>
      </c>
      <c r="D158" s="3302"/>
      <c r="E158" s="3302"/>
      <c r="F158" s="3302"/>
      <c r="G158" s="3302"/>
      <c r="H158" s="3302"/>
      <c r="I158" s="3302"/>
      <c r="J158" s="3303"/>
      <c r="K158" s="110"/>
      <c r="L158" s="1646"/>
      <c r="M158" s="1882"/>
      <c r="O158" s="1882"/>
      <c r="Q158" s="1882"/>
      <c r="R158" s="1882"/>
      <c r="S158" s="1882"/>
    </row>
    <row r="159" spans="1:20" ht="14.25" hidden="1" customHeight="1">
      <c r="A159" s="1571"/>
      <c r="B159" s="1443">
        <f t="shared" si="15"/>
        <v>22</v>
      </c>
      <c r="C159" s="3301" t="s">
        <v>6516</v>
      </c>
      <c r="D159" s="3302"/>
      <c r="E159" s="3302"/>
      <c r="F159" s="3302"/>
      <c r="G159" s="3302"/>
      <c r="H159" s="3302"/>
      <c r="I159" s="3302"/>
      <c r="J159" s="3303"/>
      <c r="K159" s="110"/>
      <c r="L159" s="1646"/>
      <c r="M159" s="1882"/>
      <c r="O159" s="1882"/>
      <c r="Q159" s="1882"/>
      <c r="R159" s="1882"/>
      <c r="S159" s="1882"/>
    </row>
    <row r="160" spans="1:20" ht="14.25" hidden="1" customHeight="1">
      <c r="A160" s="1571"/>
      <c r="B160" s="1443">
        <f t="shared" si="15"/>
        <v>23</v>
      </c>
      <c r="C160" s="3301" t="s">
        <v>6517</v>
      </c>
      <c r="D160" s="3302"/>
      <c r="E160" s="3302"/>
      <c r="F160" s="3302"/>
      <c r="G160" s="3302"/>
      <c r="H160" s="3302"/>
      <c r="I160" s="3302"/>
      <c r="J160" s="3303"/>
      <c r="K160" s="110"/>
      <c r="L160" s="1646"/>
      <c r="M160" s="1882"/>
      <c r="O160" s="1882"/>
      <c r="Q160" s="1882"/>
      <c r="R160" s="1882"/>
      <c r="S160" s="1882"/>
    </row>
    <row r="161" spans="1:20" ht="26.65" hidden="1" customHeight="1">
      <c r="A161" s="1571"/>
      <c r="B161" s="1443">
        <f t="shared" si="15"/>
        <v>24</v>
      </c>
      <c r="C161" s="3301" t="s">
        <v>6518</v>
      </c>
      <c r="D161" s="3302"/>
      <c r="E161" s="3302"/>
      <c r="F161" s="3302"/>
      <c r="G161" s="3302"/>
      <c r="H161" s="3302"/>
      <c r="I161" s="3302"/>
      <c r="J161" s="3303"/>
      <c r="K161" s="110"/>
      <c r="L161" s="1646"/>
      <c r="M161" s="1882"/>
      <c r="O161" s="1882"/>
      <c r="Q161" s="1882"/>
      <c r="R161" s="1882"/>
      <c r="S161" s="1882"/>
    </row>
    <row r="162" spans="1:20" s="1882" customFormat="1" ht="14.25" hidden="1" customHeight="1">
      <c r="A162" s="1571"/>
      <c r="B162" s="1443">
        <f t="shared" si="15"/>
        <v>25</v>
      </c>
      <c r="C162" s="3301" t="s">
        <v>6519</v>
      </c>
      <c r="D162" s="3302"/>
      <c r="E162" s="3302"/>
      <c r="F162" s="3302"/>
      <c r="G162" s="3302"/>
      <c r="H162" s="3302"/>
      <c r="I162" s="3302"/>
      <c r="J162" s="3303"/>
      <c r="K162" s="110"/>
      <c r="L162" s="1646"/>
      <c r="N162" s="1635"/>
      <c r="P162" s="1635"/>
      <c r="T162" s="1635"/>
    </row>
    <row r="163" spans="1:20" s="1882" customFormat="1" ht="14.25" hidden="1" customHeight="1">
      <c r="A163" s="1571"/>
      <c r="B163" s="1443">
        <f t="shared" si="15"/>
        <v>26</v>
      </c>
      <c r="C163" s="3301" t="s">
        <v>6520</v>
      </c>
      <c r="D163" s="3302"/>
      <c r="E163" s="3302"/>
      <c r="F163" s="3302"/>
      <c r="G163" s="3302"/>
      <c r="H163" s="3302"/>
      <c r="I163" s="3302"/>
      <c r="J163" s="3303"/>
      <c r="K163" s="110"/>
      <c r="L163" s="1646"/>
      <c r="N163" s="1635"/>
      <c r="P163" s="1635"/>
      <c r="T163" s="1635"/>
    </row>
    <row r="164" spans="1:20" ht="45.75" hidden="1" customHeight="1">
      <c r="A164" s="1571"/>
      <c r="B164" s="1443">
        <f t="shared" si="15"/>
        <v>27</v>
      </c>
      <c r="C164" s="3301" t="s">
        <v>6521</v>
      </c>
      <c r="D164" s="3302"/>
      <c r="E164" s="3302"/>
      <c r="F164" s="3302"/>
      <c r="G164" s="3302"/>
      <c r="H164" s="3302"/>
      <c r="I164" s="3302"/>
      <c r="J164" s="3303"/>
      <c r="K164" s="110"/>
      <c r="L164" s="1646"/>
      <c r="M164" s="1882"/>
      <c r="O164" s="1882"/>
      <c r="Q164" s="1882"/>
      <c r="R164" s="1882"/>
      <c r="S164" s="1882"/>
    </row>
    <row r="165" spans="1:20" ht="39.75" hidden="1" customHeight="1" thickBot="1">
      <c r="A165" s="1571"/>
      <c r="B165" s="1916">
        <f>+B164+1</f>
        <v>28</v>
      </c>
      <c r="C165" s="3307" t="s">
        <v>6522</v>
      </c>
      <c r="D165" s="3308"/>
      <c r="E165" s="3308"/>
      <c r="F165" s="3308"/>
      <c r="G165" s="3308"/>
      <c r="H165" s="3308"/>
      <c r="I165" s="3308"/>
      <c r="J165" s="3309"/>
      <c r="K165" s="110"/>
      <c r="L165" s="1646"/>
      <c r="M165" s="1882"/>
      <c r="O165" s="1882"/>
      <c r="Q165" s="1882"/>
      <c r="R165" s="1882"/>
      <c r="S165" s="1882"/>
    </row>
    <row r="166" spans="1:20" ht="14.5" hidden="1" thickBot="1">
      <c r="A166" s="1571"/>
      <c r="B166" s="995"/>
      <c r="C166" s="1010"/>
      <c r="D166" s="1138"/>
      <c r="E166" s="1138"/>
      <c r="F166" s="1138"/>
      <c r="G166" s="1138"/>
      <c r="H166" s="1138"/>
      <c r="I166" s="1138"/>
      <c r="J166" s="1138"/>
      <c r="K166" s="110"/>
      <c r="L166" s="1646"/>
      <c r="M166" s="1882"/>
      <c r="O166" s="1882"/>
      <c r="Q166" s="1882"/>
      <c r="R166" s="1882"/>
      <c r="S166" s="1882"/>
    </row>
    <row r="167" spans="1:20" ht="15" hidden="1" thickBot="1">
      <c r="A167" s="1571"/>
      <c r="B167" s="2863" t="s">
        <v>175</v>
      </c>
      <c r="C167" s="3323" t="s">
        <v>2619</v>
      </c>
      <c r="D167" s="3324"/>
      <c r="E167" s="3324"/>
      <c r="F167" s="3324"/>
      <c r="G167" s="3324"/>
      <c r="H167" s="3324"/>
      <c r="I167" s="3324"/>
      <c r="J167" s="3325"/>
      <c r="K167" s="110"/>
      <c r="L167" s="1646"/>
      <c r="M167" s="1882"/>
      <c r="O167" s="1882"/>
      <c r="Q167" s="1882"/>
      <c r="R167" s="1882"/>
      <c r="S167" s="1882"/>
    </row>
    <row r="168" spans="1:20" hidden="1">
      <c r="A168" s="1571"/>
      <c r="B168" s="1950" t="s">
        <v>191</v>
      </c>
      <c r="C168" s="2880" t="s">
        <v>192</v>
      </c>
      <c r="D168" s="2881"/>
      <c r="E168" s="2881"/>
      <c r="F168" s="2881"/>
      <c r="G168" s="2881"/>
      <c r="H168" s="2881"/>
      <c r="I168" s="2881"/>
      <c r="J168" s="2882"/>
      <c r="K168" s="110"/>
      <c r="L168" s="1646"/>
      <c r="M168" s="1882"/>
      <c r="O168" s="1882"/>
      <c r="Q168" s="1882"/>
      <c r="R168" s="1882"/>
      <c r="S168" s="1882"/>
    </row>
    <row r="169" spans="1:20" ht="14.25" hidden="1" customHeight="1">
      <c r="A169" s="1571"/>
      <c r="B169" s="1443">
        <f>+B165+1</f>
        <v>29</v>
      </c>
      <c r="C169" s="3301" t="s">
        <v>6523</v>
      </c>
      <c r="D169" s="3302"/>
      <c r="E169" s="3302"/>
      <c r="F169" s="3302"/>
      <c r="G169" s="3302"/>
      <c r="H169" s="3302"/>
      <c r="I169" s="3302"/>
      <c r="J169" s="3303"/>
      <c r="K169" s="110"/>
      <c r="L169" s="1646"/>
      <c r="M169" s="1882"/>
      <c r="O169" s="1882"/>
      <c r="Q169" s="1882"/>
      <c r="R169" s="1882"/>
      <c r="S169" s="1882"/>
    </row>
    <row r="170" spans="1:20" ht="14.25" hidden="1" customHeight="1">
      <c r="A170" s="1571"/>
      <c r="B170" s="1443">
        <f>+B169+1</f>
        <v>30</v>
      </c>
      <c r="C170" s="3301" t="s">
        <v>6524</v>
      </c>
      <c r="D170" s="3302"/>
      <c r="E170" s="3302"/>
      <c r="F170" s="3302"/>
      <c r="G170" s="3302"/>
      <c r="H170" s="3302"/>
      <c r="I170" s="3302"/>
      <c r="J170" s="3303"/>
      <c r="K170" s="110"/>
      <c r="L170" s="1646"/>
      <c r="M170" s="1882"/>
      <c r="O170" s="1882"/>
      <c r="Q170" s="1882"/>
      <c r="R170" s="1882"/>
      <c r="S170" s="1882"/>
    </row>
    <row r="171" spans="1:20" ht="27.75" hidden="1" customHeight="1">
      <c r="A171" s="1571"/>
      <c r="B171" s="1443">
        <f t="shared" ref="B171:B200" si="16">+B170+1</f>
        <v>31</v>
      </c>
      <c r="C171" s="3301" t="s">
        <v>6525</v>
      </c>
      <c r="D171" s="3302"/>
      <c r="E171" s="3302"/>
      <c r="F171" s="3302"/>
      <c r="G171" s="3302"/>
      <c r="H171" s="3302"/>
      <c r="I171" s="3302"/>
      <c r="J171" s="3303"/>
      <c r="K171" s="110"/>
      <c r="L171" s="1646"/>
      <c r="M171" s="1882"/>
      <c r="O171" s="1882"/>
      <c r="Q171" s="1882"/>
      <c r="R171" s="1882"/>
      <c r="S171" s="1882"/>
    </row>
    <row r="172" spans="1:20" ht="28.5" hidden="1" customHeight="1">
      <c r="A172" s="1571"/>
      <c r="B172" s="1443">
        <f t="shared" si="16"/>
        <v>32</v>
      </c>
      <c r="C172" s="3301" t="s">
        <v>6526</v>
      </c>
      <c r="D172" s="3302"/>
      <c r="E172" s="3302"/>
      <c r="F172" s="3302"/>
      <c r="G172" s="3302"/>
      <c r="H172" s="3302"/>
      <c r="I172" s="3302"/>
      <c r="J172" s="3303"/>
      <c r="K172" s="110"/>
      <c r="L172" s="1646"/>
      <c r="M172" s="1882"/>
      <c r="O172" s="1882"/>
      <c r="Q172" s="1882"/>
      <c r="R172" s="1882"/>
      <c r="S172" s="1882"/>
    </row>
    <row r="173" spans="1:20" ht="14.25" hidden="1" customHeight="1">
      <c r="A173" s="1571"/>
      <c r="B173" s="1443">
        <f t="shared" si="16"/>
        <v>33</v>
      </c>
      <c r="C173" s="3301" t="s">
        <v>6527</v>
      </c>
      <c r="D173" s="3302"/>
      <c r="E173" s="3302"/>
      <c r="F173" s="3302"/>
      <c r="G173" s="3302"/>
      <c r="H173" s="3302"/>
      <c r="I173" s="3302"/>
      <c r="J173" s="3303"/>
      <c r="K173" s="110"/>
      <c r="L173" s="1646"/>
      <c r="M173" s="1882"/>
      <c r="O173" s="1882"/>
      <c r="Q173" s="1882"/>
      <c r="R173" s="1882"/>
      <c r="S173" s="1882"/>
    </row>
    <row r="174" spans="1:20" ht="14.25" hidden="1" customHeight="1">
      <c r="A174" s="1571"/>
      <c r="B174" s="1443">
        <f t="shared" si="16"/>
        <v>34</v>
      </c>
      <c r="C174" s="3301" t="s">
        <v>6528</v>
      </c>
      <c r="D174" s="3302"/>
      <c r="E174" s="3302"/>
      <c r="F174" s="3302"/>
      <c r="G174" s="3302"/>
      <c r="H174" s="3302"/>
      <c r="I174" s="3302"/>
      <c r="J174" s="3303"/>
      <c r="K174" s="110"/>
      <c r="L174" s="1646"/>
      <c r="M174" s="1882"/>
      <c r="O174" s="1882"/>
      <c r="Q174" s="1882"/>
      <c r="R174" s="1882"/>
      <c r="S174" s="1882"/>
    </row>
    <row r="175" spans="1:20" ht="14.25" hidden="1" customHeight="1">
      <c r="A175" s="1571"/>
      <c r="B175" s="1443">
        <f t="shared" si="16"/>
        <v>35</v>
      </c>
      <c r="C175" s="3301" t="s">
        <v>6529</v>
      </c>
      <c r="D175" s="3302"/>
      <c r="E175" s="3302"/>
      <c r="F175" s="3302"/>
      <c r="G175" s="3302"/>
      <c r="H175" s="3302"/>
      <c r="I175" s="3302"/>
      <c r="J175" s="3303"/>
      <c r="K175" s="110"/>
      <c r="L175" s="1646"/>
      <c r="M175" s="1882"/>
      <c r="O175" s="1882"/>
      <c r="Q175" s="1882"/>
      <c r="R175" s="1882"/>
      <c r="S175" s="1882"/>
    </row>
    <row r="176" spans="1:20" ht="14.25" hidden="1" customHeight="1">
      <c r="A176" s="1571"/>
      <c r="B176" s="1443">
        <f t="shared" si="16"/>
        <v>36</v>
      </c>
      <c r="C176" s="3301" t="s">
        <v>6523</v>
      </c>
      <c r="D176" s="3302"/>
      <c r="E176" s="3302"/>
      <c r="F176" s="3302"/>
      <c r="G176" s="3302"/>
      <c r="H176" s="3302"/>
      <c r="I176" s="3302"/>
      <c r="J176" s="3303"/>
      <c r="K176" s="110"/>
      <c r="L176" s="1646"/>
      <c r="M176" s="1882"/>
      <c r="O176" s="1882"/>
      <c r="Q176" s="1882"/>
      <c r="R176" s="1882"/>
      <c r="S176" s="1882"/>
    </row>
    <row r="177" spans="1:12" ht="14.25" hidden="1" customHeight="1">
      <c r="A177" s="1571"/>
      <c r="B177" s="1443">
        <f t="shared" si="16"/>
        <v>37</v>
      </c>
      <c r="C177" s="3301" t="s">
        <v>6530</v>
      </c>
      <c r="D177" s="3302"/>
      <c r="E177" s="3302"/>
      <c r="F177" s="3302"/>
      <c r="G177" s="3302"/>
      <c r="H177" s="3302"/>
      <c r="I177" s="3302"/>
      <c r="J177" s="3303"/>
      <c r="K177" s="110"/>
      <c r="L177" s="1646"/>
    </row>
    <row r="178" spans="1:12" ht="27" hidden="1" customHeight="1">
      <c r="A178" s="1571"/>
      <c r="B178" s="1443">
        <f t="shared" si="16"/>
        <v>38</v>
      </c>
      <c r="C178" s="3301" t="s">
        <v>6531</v>
      </c>
      <c r="D178" s="3302"/>
      <c r="E178" s="3302"/>
      <c r="F178" s="3302"/>
      <c r="G178" s="3302"/>
      <c r="H178" s="3302"/>
      <c r="I178" s="3302"/>
      <c r="J178" s="3303"/>
      <c r="K178" s="110"/>
      <c r="L178" s="1646"/>
    </row>
    <row r="179" spans="1:12" ht="25.5" hidden="1" customHeight="1">
      <c r="A179" s="1571"/>
      <c r="B179" s="1443">
        <f t="shared" si="16"/>
        <v>39</v>
      </c>
      <c r="C179" s="3301" t="s">
        <v>6532</v>
      </c>
      <c r="D179" s="3302"/>
      <c r="E179" s="3302"/>
      <c r="F179" s="3302"/>
      <c r="G179" s="3302"/>
      <c r="H179" s="3302"/>
      <c r="I179" s="3302"/>
      <c r="J179" s="3303"/>
      <c r="K179" s="110"/>
      <c r="L179" s="1646"/>
    </row>
    <row r="180" spans="1:12" ht="14.25" hidden="1" customHeight="1">
      <c r="A180" s="1571"/>
      <c r="B180" s="1443">
        <f t="shared" si="16"/>
        <v>40</v>
      </c>
      <c r="C180" s="3301" t="s">
        <v>6533</v>
      </c>
      <c r="D180" s="3302"/>
      <c r="E180" s="3302"/>
      <c r="F180" s="3302"/>
      <c r="G180" s="3302"/>
      <c r="H180" s="3302"/>
      <c r="I180" s="3302"/>
      <c r="J180" s="3303"/>
      <c r="K180" s="110"/>
      <c r="L180" s="1646"/>
    </row>
    <row r="181" spans="1:12" ht="14.25" hidden="1" customHeight="1">
      <c r="A181" s="1571"/>
      <c r="B181" s="1443">
        <f t="shared" si="16"/>
        <v>41</v>
      </c>
      <c r="C181" s="3301" t="s">
        <v>6534</v>
      </c>
      <c r="D181" s="3302"/>
      <c r="E181" s="3302"/>
      <c r="F181" s="3302"/>
      <c r="G181" s="3302"/>
      <c r="H181" s="3302"/>
      <c r="I181" s="3302"/>
      <c r="J181" s="3303"/>
      <c r="K181" s="110"/>
      <c r="L181" s="1646"/>
    </row>
    <row r="182" spans="1:12" ht="14.25" hidden="1" customHeight="1">
      <c r="A182" s="1571"/>
      <c r="B182" s="1443">
        <f t="shared" si="16"/>
        <v>42</v>
      </c>
      <c r="C182" s="3301" t="s">
        <v>6535</v>
      </c>
      <c r="D182" s="3302"/>
      <c r="E182" s="3302"/>
      <c r="F182" s="3302"/>
      <c r="G182" s="3302"/>
      <c r="H182" s="3302"/>
      <c r="I182" s="3302"/>
      <c r="J182" s="3303"/>
      <c r="K182" s="110"/>
      <c r="L182" s="1646"/>
    </row>
    <row r="183" spans="1:12" ht="14.25" hidden="1" customHeight="1">
      <c r="A183" s="1571"/>
      <c r="B183" s="1443">
        <f t="shared" si="16"/>
        <v>43</v>
      </c>
      <c r="C183" s="3301" t="s">
        <v>6536</v>
      </c>
      <c r="D183" s="3302"/>
      <c r="E183" s="3302"/>
      <c r="F183" s="3302"/>
      <c r="G183" s="3302"/>
      <c r="H183" s="3302"/>
      <c r="I183" s="3302"/>
      <c r="J183" s="3303"/>
      <c r="K183" s="110"/>
      <c r="L183" s="1646"/>
    </row>
    <row r="184" spans="1:12" hidden="1">
      <c r="A184" s="1571"/>
      <c r="B184" s="1443">
        <f>+B183+1</f>
        <v>44</v>
      </c>
      <c r="C184" s="3301" t="s">
        <v>6537</v>
      </c>
      <c r="D184" s="3302"/>
      <c r="E184" s="3302"/>
      <c r="F184" s="3302"/>
      <c r="G184" s="3302"/>
      <c r="H184" s="3302"/>
      <c r="I184" s="3302"/>
      <c r="J184" s="3303"/>
      <c r="K184" s="110"/>
      <c r="L184" s="1646"/>
    </row>
    <row r="185" spans="1:12" hidden="1">
      <c r="A185" s="1571"/>
      <c r="B185" s="1443">
        <f t="shared" si="16"/>
        <v>45</v>
      </c>
      <c r="C185" s="3301" t="s">
        <v>6538</v>
      </c>
      <c r="D185" s="3302"/>
      <c r="E185" s="3302"/>
      <c r="F185" s="3302"/>
      <c r="G185" s="3302"/>
      <c r="H185" s="3302"/>
      <c r="I185" s="3302"/>
      <c r="J185" s="3303"/>
      <c r="K185" s="110"/>
      <c r="L185" s="1646"/>
    </row>
    <row r="186" spans="1:12" ht="14.25" hidden="1" customHeight="1">
      <c r="A186" s="1571"/>
      <c r="B186" s="1443">
        <f t="shared" si="16"/>
        <v>46</v>
      </c>
      <c r="C186" s="3301" t="s">
        <v>6539</v>
      </c>
      <c r="D186" s="3302"/>
      <c r="E186" s="3302"/>
      <c r="F186" s="3302"/>
      <c r="G186" s="3302"/>
      <c r="H186" s="3302"/>
      <c r="I186" s="3302"/>
      <c r="J186" s="3303"/>
      <c r="K186" s="110"/>
      <c r="L186" s="1646"/>
    </row>
    <row r="187" spans="1:12" ht="14.25" hidden="1" customHeight="1">
      <c r="A187" s="1571"/>
      <c r="B187" s="1443">
        <f t="shared" si="16"/>
        <v>47</v>
      </c>
      <c r="C187" s="3301" t="s">
        <v>6540</v>
      </c>
      <c r="D187" s="3302"/>
      <c r="E187" s="3302"/>
      <c r="F187" s="3302"/>
      <c r="G187" s="3302"/>
      <c r="H187" s="3302"/>
      <c r="I187" s="3302"/>
      <c r="J187" s="3303"/>
      <c r="K187" s="110"/>
      <c r="L187" s="1646"/>
    </row>
    <row r="188" spans="1:12" ht="14.25" hidden="1" customHeight="1">
      <c r="A188" s="1571"/>
      <c r="B188" s="1443">
        <f t="shared" si="16"/>
        <v>48</v>
      </c>
      <c r="C188" s="3301" t="s">
        <v>6541</v>
      </c>
      <c r="D188" s="3302"/>
      <c r="E188" s="3302"/>
      <c r="F188" s="3302"/>
      <c r="G188" s="3302"/>
      <c r="H188" s="3302"/>
      <c r="I188" s="3302"/>
      <c r="J188" s="3303"/>
      <c r="K188" s="110"/>
      <c r="L188" s="1646"/>
    </row>
    <row r="189" spans="1:12" ht="14.25" hidden="1" customHeight="1">
      <c r="A189" s="1571"/>
      <c r="B189" s="1443">
        <f t="shared" si="16"/>
        <v>49</v>
      </c>
      <c r="C189" s="3301" t="s">
        <v>6542</v>
      </c>
      <c r="D189" s="3302"/>
      <c r="E189" s="3302"/>
      <c r="F189" s="3302"/>
      <c r="G189" s="3302"/>
      <c r="H189" s="3302"/>
      <c r="I189" s="3302"/>
      <c r="J189" s="3303"/>
      <c r="K189" s="110"/>
      <c r="L189" s="1646"/>
    </row>
    <row r="190" spans="1:12" hidden="1">
      <c r="A190" s="1571"/>
      <c r="B190" s="1443">
        <f t="shared" si="16"/>
        <v>50</v>
      </c>
      <c r="C190" s="3301" t="s">
        <v>6543</v>
      </c>
      <c r="D190" s="3302"/>
      <c r="E190" s="3302"/>
      <c r="F190" s="3302"/>
      <c r="G190" s="3302"/>
      <c r="H190" s="3302"/>
      <c r="I190" s="3302"/>
      <c r="J190" s="3303"/>
      <c r="K190" s="110"/>
      <c r="L190" s="1646"/>
    </row>
    <row r="191" spans="1:12" hidden="1">
      <c r="A191" s="1571"/>
      <c r="B191" s="1443">
        <f t="shared" si="16"/>
        <v>51</v>
      </c>
      <c r="C191" s="3301" t="s">
        <v>6544</v>
      </c>
      <c r="D191" s="3302"/>
      <c r="E191" s="3302"/>
      <c r="F191" s="3302"/>
      <c r="G191" s="3302"/>
      <c r="H191" s="3302"/>
      <c r="I191" s="3302"/>
      <c r="J191" s="3303"/>
      <c r="K191" s="110"/>
      <c r="L191" s="1646"/>
    </row>
    <row r="192" spans="1:12" hidden="1">
      <c r="A192" s="1571"/>
      <c r="B192" s="1443">
        <f t="shared" si="16"/>
        <v>52</v>
      </c>
      <c r="C192" s="3301" t="s">
        <v>6545</v>
      </c>
      <c r="D192" s="3302"/>
      <c r="E192" s="3302"/>
      <c r="F192" s="3302"/>
      <c r="G192" s="3302"/>
      <c r="H192" s="3302"/>
      <c r="I192" s="3302"/>
      <c r="J192" s="3303"/>
      <c r="K192" s="110"/>
      <c r="L192" s="1646"/>
    </row>
    <row r="193" spans="1:20" ht="14.25" hidden="1" customHeight="1">
      <c r="A193" s="1571"/>
      <c r="B193" s="1443">
        <f t="shared" si="16"/>
        <v>53</v>
      </c>
      <c r="C193" s="3301" t="s">
        <v>6546</v>
      </c>
      <c r="D193" s="3302"/>
      <c r="E193" s="3302"/>
      <c r="F193" s="3302"/>
      <c r="G193" s="3302"/>
      <c r="H193" s="3302"/>
      <c r="I193" s="3302"/>
      <c r="J193" s="3303"/>
      <c r="K193" s="110"/>
      <c r="L193" s="1646"/>
      <c r="M193" s="1882"/>
      <c r="O193" s="1882"/>
      <c r="Q193" s="1882"/>
      <c r="R193" s="1882"/>
      <c r="S193" s="1882"/>
    </row>
    <row r="194" spans="1:20" ht="14.25" hidden="1" customHeight="1">
      <c r="A194" s="1571"/>
      <c r="B194" s="1443">
        <f t="shared" si="16"/>
        <v>54</v>
      </c>
      <c r="C194" s="3301" t="s">
        <v>6547</v>
      </c>
      <c r="D194" s="3302"/>
      <c r="E194" s="3302"/>
      <c r="F194" s="3302"/>
      <c r="G194" s="3302"/>
      <c r="H194" s="3302"/>
      <c r="I194" s="3302"/>
      <c r="J194" s="3303"/>
      <c r="K194" s="110"/>
      <c r="L194" s="1646"/>
      <c r="M194" s="1882"/>
      <c r="O194" s="1882"/>
      <c r="Q194" s="1882"/>
      <c r="R194" s="1882"/>
      <c r="S194" s="1882"/>
    </row>
    <row r="195" spans="1:20" ht="14.25" hidden="1" customHeight="1">
      <c r="A195" s="1571"/>
      <c r="B195" s="1443">
        <f t="shared" si="16"/>
        <v>55</v>
      </c>
      <c r="C195" s="3301" t="s">
        <v>6548</v>
      </c>
      <c r="D195" s="3302"/>
      <c r="E195" s="3302"/>
      <c r="F195" s="3302"/>
      <c r="G195" s="3302"/>
      <c r="H195" s="3302"/>
      <c r="I195" s="3302"/>
      <c r="J195" s="3303"/>
      <c r="K195" s="110"/>
      <c r="L195" s="1646"/>
      <c r="M195" s="1882"/>
      <c r="O195" s="1882"/>
      <c r="Q195" s="1882"/>
      <c r="R195" s="1882"/>
      <c r="S195" s="1882"/>
    </row>
    <row r="196" spans="1:20" ht="14.25" hidden="1" customHeight="1">
      <c r="A196" s="1571"/>
      <c r="B196" s="1443">
        <f t="shared" si="16"/>
        <v>56</v>
      </c>
      <c r="C196" s="3301" t="s">
        <v>6549</v>
      </c>
      <c r="D196" s="3302"/>
      <c r="E196" s="3302"/>
      <c r="F196" s="3302"/>
      <c r="G196" s="3302"/>
      <c r="H196" s="3302"/>
      <c r="I196" s="3302"/>
      <c r="J196" s="3303"/>
      <c r="K196" s="110"/>
      <c r="L196" s="1646"/>
      <c r="M196" s="1882"/>
      <c r="O196" s="1882"/>
      <c r="Q196" s="1882"/>
      <c r="R196" s="1882"/>
      <c r="S196" s="1882"/>
    </row>
    <row r="197" spans="1:20" hidden="1">
      <c r="A197" s="1571"/>
      <c r="B197" s="1443">
        <f t="shared" si="16"/>
        <v>57</v>
      </c>
      <c r="C197" s="3301" t="s">
        <v>6550</v>
      </c>
      <c r="D197" s="3302"/>
      <c r="E197" s="3302"/>
      <c r="F197" s="3302"/>
      <c r="G197" s="3302"/>
      <c r="H197" s="3302"/>
      <c r="I197" s="3302"/>
      <c r="J197" s="3303"/>
      <c r="K197" s="110"/>
      <c r="L197" s="1646"/>
      <c r="M197" s="1882"/>
      <c r="O197" s="1882"/>
      <c r="Q197" s="1882"/>
      <c r="R197" s="1882"/>
      <c r="S197" s="1882"/>
    </row>
    <row r="198" spans="1:20" ht="33" hidden="1" customHeight="1">
      <c r="A198" s="1571"/>
      <c r="B198" s="1443">
        <f t="shared" si="16"/>
        <v>58</v>
      </c>
      <c r="C198" s="3301" t="s">
        <v>6551</v>
      </c>
      <c r="D198" s="3302"/>
      <c r="E198" s="3302"/>
      <c r="F198" s="3302"/>
      <c r="G198" s="3302"/>
      <c r="H198" s="3302"/>
      <c r="I198" s="3302"/>
      <c r="J198" s="3303"/>
      <c r="K198" s="110"/>
      <c r="L198" s="1646"/>
      <c r="M198" s="1882"/>
      <c r="O198" s="1882"/>
      <c r="Q198" s="1882"/>
      <c r="R198" s="1882"/>
      <c r="S198" s="1882"/>
    </row>
    <row r="199" spans="1:20" hidden="1">
      <c r="A199" s="1571"/>
      <c r="B199" s="1443">
        <f t="shared" si="16"/>
        <v>59</v>
      </c>
      <c r="C199" s="3301" t="s">
        <v>6552</v>
      </c>
      <c r="D199" s="3302"/>
      <c r="E199" s="3302"/>
      <c r="F199" s="3302"/>
      <c r="G199" s="3302"/>
      <c r="H199" s="3302"/>
      <c r="I199" s="3302"/>
      <c r="J199" s="3303"/>
      <c r="K199" s="110"/>
      <c r="L199" s="1646"/>
      <c r="M199" s="1882"/>
      <c r="O199" s="1882"/>
      <c r="Q199" s="1882"/>
      <c r="R199" s="1882"/>
      <c r="S199" s="1882"/>
    </row>
    <row r="200" spans="1:20" ht="14.25" hidden="1" customHeight="1" thickBot="1">
      <c r="A200" s="1571"/>
      <c r="B200" s="1916">
        <f t="shared" si="16"/>
        <v>60</v>
      </c>
      <c r="C200" s="3307" t="s">
        <v>6553</v>
      </c>
      <c r="D200" s="3308"/>
      <c r="E200" s="3308"/>
      <c r="F200" s="3308"/>
      <c r="G200" s="3308"/>
      <c r="H200" s="3308"/>
      <c r="I200" s="3308"/>
      <c r="J200" s="3309"/>
      <c r="K200" s="110"/>
      <c r="L200" s="1646"/>
      <c r="M200" s="1882"/>
      <c r="O200" s="1882"/>
      <c r="Q200" s="1882"/>
      <c r="R200" s="1882"/>
      <c r="S200" s="1882"/>
    </row>
    <row r="201" spans="1:20" ht="14.5" hidden="1" thickBot="1">
      <c r="A201" s="1571"/>
      <c r="B201" s="851"/>
      <c r="C201" s="851"/>
      <c r="D201" s="851"/>
      <c r="E201" s="851"/>
      <c r="F201" s="851"/>
      <c r="G201" s="851"/>
      <c r="H201" s="851"/>
      <c r="I201" s="851"/>
      <c r="J201" s="851"/>
      <c r="K201" s="110"/>
      <c r="L201" s="1646"/>
      <c r="M201" s="851"/>
      <c r="O201" s="1882"/>
      <c r="Q201" s="1882"/>
      <c r="R201" s="1882"/>
      <c r="S201" s="1882"/>
    </row>
    <row r="202" spans="1:20" ht="15">
      <c r="A202" s="648"/>
      <c r="B202" s="1951" t="s">
        <v>6554</v>
      </c>
      <c r="C202" s="3321"/>
      <c r="D202" s="3321"/>
      <c r="E202" s="3321"/>
      <c r="F202" s="3321"/>
      <c r="G202" s="3321"/>
      <c r="H202" s="3321"/>
      <c r="I202" s="3321"/>
      <c r="J202" s="3322"/>
      <c r="K202" s="110"/>
      <c r="L202" s="1646"/>
      <c r="M202" s="851"/>
      <c r="O202" s="1882"/>
      <c r="Q202" s="1882"/>
      <c r="R202" s="1882"/>
      <c r="S202" s="1882"/>
    </row>
    <row r="203" spans="1:20">
      <c r="A203" s="648"/>
      <c r="B203" s="1142"/>
      <c r="C203" s="1001"/>
      <c r="D203" s="1001"/>
      <c r="E203" s="1001"/>
      <c r="F203" s="1001"/>
      <c r="G203" s="1001"/>
      <c r="H203" s="1001"/>
      <c r="I203" s="1001"/>
      <c r="J203" s="1952"/>
      <c r="K203" s="110"/>
      <c r="L203" s="1646"/>
      <c r="M203" s="851"/>
      <c r="O203" s="1882"/>
      <c r="Q203" s="1882"/>
      <c r="R203" s="1882"/>
      <c r="S203" s="1882"/>
    </row>
    <row r="204" spans="1:20">
      <c r="A204" s="648"/>
      <c r="B204" s="1139" t="s">
        <v>6555</v>
      </c>
      <c r="C204" s="2875"/>
      <c r="D204" s="2876"/>
      <c r="E204" s="2876"/>
      <c r="F204" s="2876"/>
      <c r="G204" s="2876"/>
      <c r="H204" s="2876"/>
      <c r="I204" s="2876"/>
      <c r="J204" s="2877"/>
      <c r="K204" s="110"/>
      <c r="L204" s="1646"/>
      <c r="M204" s="1141"/>
      <c r="O204" s="1882"/>
      <c r="Q204" s="1882"/>
      <c r="R204" s="1882"/>
      <c r="S204" s="1882"/>
    </row>
    <row r="205" spans="1:20" s="1882" customFormat="1">
      <c r="A205" s="648"/>
      <c r="B205" s="1139"/>
      <c r="C205" s="1140"/>
      <c r="D205" s="1140"/>
      <c r="E205" s="1140"/>
      <c r="F205" s="1140"/>
      <c r="G205" s="1140"/>
      <c r="H205" s="1140"/>
      <c r="I205" s="1140"/>
      <c r="J205" s="1953"/>
      <c r="K205" s="110"/>
      <c r="L205" s="1646"/>
      <c r="M205" s="1141"/>
      <c r="N205" s="1635"/>
      <c r="P205" s="1635"/>
      <c r="T205" s="1635"/>
    </row>
    <row r="206" spans="1:20" s="1882" customFormat="1" ht="123.75" customHeight="1">
      <c r="A206" s="648"/>
      <c r="B206" s="3310" t="s">
        <v>6556</v>
      </c>
      <c r="C206" s="3311"/>
      <c r="D206" s="3311"/>
      <c r="E206" s="3311"/>
      <c r="F206" s="3311"/>
      <c r="G206" s="3311"/>
      <c r="H206" s="3311"/>
      <c r="I206" s="3311"/>
      <c r="J206" s="3312"/>
      <c r="K206" s="110"/>
      <c r="L206" s="1646"/>
      <c r="M206" s="1141"/>
      <c r="N206" s="1635"/>
      <c r="P206" s="1635"/>
      <c r="T206" s="1635"/>
    </row>
    <row r="207" spans="1:20" s="1882" customFormat="1">
      <c r="A207" s="648"/>
      <c r="B207" s="1142"/>
      <c r="C207" s="1001"/>
      <c r="D207" s="1001"/>
      <c r="E207" s="1001"/>
      <c r="F207" s="1001"/>
      <c r="G207" s="1001"/>
      <c r="H207" s="1001"/>
      <c r="I207" s="1001"/>
      <c r="J207" s="1952"/>
      <c r="K207" s="110"/>
      <c r="L207" s="1646"/>
      <c r="M207" s="851"/>
      <c r="N207" s="1635"/>
      <c r="P207" s="1635"/>
      <c r="T207" s="1635"/>
    </row>
    <row r="208" spans="1:20" s="1882" customFormat="1">
      <c r="A208" s="648"/>
      <c r="B208" s="1142" t="s">
        <v>6557</v>
      </c>
      <c r="C208" s="1001"/>
      <c r="D208" s="1001"/>
      <c r="E208" s="1001"/>
      <c r="F208" s="1001"/>
      <c r="G208" s="1001"/>
      <c r="H208" s="1001"/>
      <c r="I208" s="1001"/>
      <c r="J208" s="1952"/>
      <c r="K208" s="110"/>
      <c r="L208" s="1646"/>
      <c r="M208" s="851"/>
      <c r="N208" s="1635"/>
      <c r="P208" s="1635"/>
      <c r="T208" s="1635"/>
    </row>
    <row r="209" spans="1:22" ht="63" customHeight="1">
      <c r="A209" s="648"/>
      <c r="B209" s="3310" t="s">
        <v>6558</v>
      </c>
      <c r="C209" s="3311"/>
      <c r="D209" s="3311"/>
      <c r="E209" s="3311"/>
      <c r="F209" s="3311"/>
      <c r="G209" s="3311"/>
      <c r="H209" s="3311"/>
      <c r="I209" s="3311"/>
      <c r="J209" s="3312"/>
      <c r="K209" s="110"/>
      <c r="L209" s="1646"/>
      <c r="M209" s="1143"/>
      <c r="O209" s="1882"/>
      <c r="Q209" s="1882"/>
      <c r="R209" s="1882"/>
      <c r="S209" s="1882"/>
      <c r="U209" s="1882"/>
      <c r="V209" s="1882"/>
    </row>
    <row r="210" spans="1:22">
      <c r="A210" s="648"/>
      <c r="B210" s="1142"/>
      <c r="C210" s="1001"/>
      <c r="D210" s="1001"/>
      <c r="E210" s="1001"/>
      <c r="F210" s="1001"/>
      <c r="G210" s="1001"/>
      <c r="H210" s="1001"/>
      <c r="I210" s="1001"/>
      <c r="J210" s="1952"/>
      <c r="K210" s="110"/>
      <c r="L210" s="1646"/>
      <c r="M210" s="851"/>
      <c r="O210" s="1882"/>
      <c r="Q210" s="1882"/>
      <c r="R210" s="1882"/>
      <c r="S210" s="1882"/>
      <c r="U210" s="1882"/>
      <c r="V210" s="1882"/>
    </row>
    <row r="211" spans="1:22">
      <c r="A211" s="648"/>
      <c r="B211" s="1139" t="s">
        <v>6559</v>
      </c>
      <c r="C211" s="1001"/>
      <c r="D211" s="1001"/>
      <c r="E211" s="1001"/>
      <c r="F211" s="1001"/>
      <c r="G211" s="1001"/>
      <c r="H211" s="1001"/>
      <c r="I211" s="1001"/>
      <c r="J211" s="1952"/>
      <c r="K211" s="110"/>
      <c r="L211" s="1646"/>
      <c r="M211" s="851"/>
      <c r="O211" s="1882"/>
      <c r="Q211" s="1882"/>
      <c r="R211" s="1882"/>
      <c r="S211" s="1882"/>
      <c r="U211" s="1882"/>
      <c r="V211" s="1882"/>
    </row>
    <row r="212" spans="1:22">
      <c r="A212" s="648"/>
      <c r="B212" s="1142"/>
      <c r="C212" s="1001"/>
      <c r="D212" s="1001"/>
      <c r="E212" s="1001"/>
      <c r="F212" s="1001"/>
      <c r="G212" s="1001"/>
      <c r="H212" s="1001"/>
      <c r="I212" s="1001"/>
      <c r="J212" s="1952"/>
      <c r="K212" s="110"/>
      <c r="L212" s="1646"/>
      <c r="M212" s="851"/>
      <c r="O212" s="1882"/>
      <c r="Q212" s="1882"/>
      <c r="R212" s="1882"/>
      <c r="S212" s="1882"/>
      <c r="U212" s="1882"/>
      <c r="V212" s="1882"/>
    </row>
    <row r="213" spans="1:22" ht="14.5" thickBot="1">
      <c r="A213" s="648"/>
      <c r="B213" s="1144" t="s">
        <v>6560</v>
      </c>
      <c r="C213" s="1145"/>
      <c r="D213" s="1145"/>
      <c r="E213" s="1145"/>
      <c r="F213" s="1145"/>
      <c r="G213" s="1145"/>
      <c r="H213" s="1145"/>
      <c r="I213" s="1145"/>
      <c r="J213" s="1954"/>
      <c r="K213" s="110"/>
      <c r="L213" s="1646"/>
      <c r="M213" s="851"/>
      <c r="O213" s="1882"/>
      <c r="Q213" s="1882"/>
      <c r="R213" s="1882"/>
      <c r="S213" s="1882"/>
      <c r="U213" s="1882"/>
      <c r="V213" s="1882"/>
    </row>
    <row r="214" spans="1:22" ht="14.5" hidden="1" thickBot="1">
      <c r="A214" s="1571"/>
      <c r="B214" s="851"/>
      <c r="C214" s="851"/>
      <c r="D214" s="851"/>
      <c r="E214" s="851"/>
      <c r="F214" s="851"/>
      <c r="G214" s="851"/>
      <c r="H214" s="851"/>
      <c r="I214" s="851"/>
      <c r="J214" s="851"/>
      <c r="K214" s="110"/>
      <c r="L214" s="1646"/>
      <c r="M214" s="851"/>
      <c r="O214" s="1882"/>
      <c r="Q214" s="1882"/>
      <c r="R214" s="1882"/>
      <c r="S214" s="1882"/>
      <c r="U214" s="1882"/>
      <c r="V214" s="1882"/>
    </row>
    <row r="215" spans="1:22" ht="15" hidden="1" thickBot="1">
      <c r="A215" s="1571"/>
      <c r="B215" s="2863" t="s">
        <v>333</v>
      </c>
      <c r="C215" s="3315" t="s">
        <v>6343</v>
      </c>
      <c r="D215" s="3316"/>
      <c r="E215" s="3316"/>
      <c r="F215" s="3316"/>
      <c r="G215" s="3316"/>
      <c r="H215" s="3316"/>
      <c r="I215" s="3316"/>
      <c r="J215" s="3317"/>
      <c r="K215" s="110"/>
      <c r="L215" s="1646"/>
      <c r="M215" s="851"/>
      <c r="O215" s="1882"/>
      <c r="Q215" s="1882"/>
      <c r="R215" s="1882"/>
      <c r="S215" s="1882"/>
      <c r="U215" s="1882"/>
      <c r="V215" s="1882"/>
    </row>
    <row r="216" spans="1:22" s="178" customFormat="1" hidden="1">
      <c r="A216" s="1529"/>
      <c r="B216" s="1950" t="s">
        <v>191</v>
      </c>
      <c r="C216" s="2880" t="s">
        <v>192</v>
      </c>
      <c r="D216" s="2881"/>
      <c r="E216" s="2881"/>
      <c r="F216" s="2881"/>
      <c r="G216" s="2881"/>
      <c r="H216" s="2881"/>
      <c r="I216" s="2881"/>
      <c r="J216" s="2882"/>
      <c r="K216" s="110"/>
      <c r="L216" s="1646"/>
      <c r="M216" s="851"/>
      <c r="N216" s="1648"/>
      <c r="O216" s="1007"/>
      <c r="P216" s="1648"/>
      <c r="Q216" s="1007"/>
      <c r="R216" s="130"/>
      <c r="S216" s="120"/>
      <c r="T216" s="124"/>
      <c r="U216" s="124"/>
      <c r="V216" s="85" t="s">
        <v>193</v>
      </c>
    </row>
    <row r="217" spans="1:22" s="110" customFormat="1" ht="14.25" hidden="1" customHeight="1">
      <c r="A217" s="1528"/>
      <c r="B217" s="1443">
        <f>+B200+1</f>
        <v>61</v>
      </c>
      <c r="C217" s="3301" t="s">
        <v>6561</v>
      </c>
      <c r="D217" s="3302"/>
      <c r="E217" s="3302"/>
      <c r="F217" s="3302"/>
      <c r="G217" s="3302"/>
      <c r="H217" s="3302"/>
      <c r="I217" s="3302"/>
      <c r="J217" s="3303"/>
      <c r="L217" s="1646"/>
      <c r="M217" s="851"/>
      <c r="N217" s="1649"/>
      <c r="O217" s="1147"/>
      <c r="P217" s="1649"/>
      <c r="Q217" s="1138"/>
      <c r="R217" s="130"/>
      <c r="S217" s="120"/>
      <c r="T217" s="124"/>
      <c r="U217" s="124"/>
      <c r="V217" s="202">
        <v>1</v>
      </c>
    </row>
    <row r="218" spans="1:22" s="110" customFormat="1" hidden="1">
      <c r="A218" s="1528"/>
      <c r="B218" s="1443">
        <f>+B217+1</f>
        <v>62</v>
      </c>
      <c r="C218" s="3301" t="s">
        <v>6562</v>
      </c>
      <c r="D218" s="3302"/>
      <c r="E218" s="3302"/>
      <c r="F218" s="3302"/>
      <c r="G218" s="3302"/>
      <c r="H218" s="3302"/>
      <c r="I218" s="3302"/>
      <c r="J218" s="3303"/>
      <c r="L218" s="1646"/>
      <c r="M218" s="851"/>
      <c r="N218" s="1649"/>
      <c r="O218" s="1147"/>
      <c r="P218" s="1649"/>
      <c r="Q218" s="1138"/>
      <c r="R218" s="130"/>
      <c r="S218" s="130"/>
      <c r="T218" s="124"/>
      <c r="U218" s="124"/>
      <c r="V218" s="202">
        <v>1</v>
      </c>
    </row>
    <row r="219" spans="1:22" s="110" customFormat="1" ht="31.5" hidden="1" customHeight="1">
      <c r="A219" s="1528"/>
      <c r="B219" s="1443">
        <f t="shared" ref="B219:B250" si="17">+B218+1</f>
        <v>63</v>
      </c>
      <c r="C219" s="3301" t="s">
        <v>6563</v>
      </c>
      <c r="D219" s="3302"/>
      <c r="E219" s="3302"/>
      <c r="F219" s="3302"/>
      <c r="G219" s="3302"/>
      <c r="H219" s="3302"/>
      <c r="I219" s="3302"/>
      <c r="J219" s="3303"/>
      <c r="L219" s="1646"/>
      <c r="M219" s="851"/>
      <c r="N219" s="1649"/>
      <c r="O219" s="1147"/>
      <c r="P219" s="1649"/>
      <c r="Q219" s="1138"/>
      <c r="R219" s="130"/>
      <c r="S219" s="120"/>
      <c r="T219" s="124"/>
      <c r="U219" s="124"/>
      <c r="V219" s="202" t="s">
        <v>2212</v>
      </c>
    </row>
    <row r="220" spans="1:22" s="110" customFormat="1" ht="18" hidden="1" customHeight="1">
      <c r="A220" s="1528"/>
      <c r="B220" s="1443">
        <f t="shared" si="17"/>
        <v>64</v>
      </c>
      <c r="C220" s="3301" t="s">
        <v>6564</v>
      </c>
      <c r="D220" s="3302"/>
      <c r="E220" s="3302"/>
      <c r="F220" s="3302"/>
      <c r="G220" s="3302"/>
      <c r="H220" s="3302"/>
      <c r="I220" s="3302"/>
      <c r="J220" s="3303"/>
      <c r="L220" s="1646"/>
      <c r="M220" s="851"/>
      <c r="N220" s="1649"/>
      <c r="O220" s="1147"/>
      <c r="P220" s="1649"/>
      <c r="Q220" s="1138"/>
      <c r="R220" s="130"/>
      <c r="S220" s="120"/>
      <c r="T220" s="124"/>
      <c r="U220" s="124"/>
      <c r="V220" s="202" t="s">
        <v>778</v>
      </c>
    </row>
    <row r="221" spans="1:22" s="110" customFormat="1" ht="28.5" hidden="1" customHeight="1">
      <c r="A221" s="1528"/>
      <c r="B221" s="1443">
        <f t="shared" si="17"/>
        <v>65</v>
      </c>
      <c r="C221" s="3301" t="s">
        <v>6565</v>
      </c>
      <c r="D221" s="3302"/>
      <c r="E221" s="3302"/>
      <c r="F221" s="3302"/>
      <c r="G221" s="3302"/>
      <c r="H221" s="3302"/>
      <c r="I221" s="3302"/>
      <c r="J221" s="3303"/>
      <c r="L221" s="1646"/>
      <c r="M221" s="851"/>
      <c r="N221" s="1649"/>
      <c r="O221" s="1147"/>
      <c r="P221" s="1649"/>
      <c r="Q221" s="1138"/>
      <c r="R221" s="130"/>
      <c r="S221" s="120"/>
      <c r="T221" s="124"/>
      <c r="U221" s="124"/>
      <c r="V221" s="202" t="s">
        <v>195</v>
      </c>
    </row>
    <row r="222" spans="1:22" s="110" customFormat="1" ht="30" hidden="1" customHeight="1">
      <c r="A222" s="1528"/>
      <c r="B222" s="1443">
        <f t="shared" si="17"/>
        <v>66</v>
      </c>
      <c r="C222" s="3301" t="s">
        <v>6566</v>
      </c>
      <c r="D222" s="3302"/>
      <c r="E222" s="3302"/>
      <c r="F222" s="3302"/>
      <c r="G222" s="3302"/>
      <c r="H222" s="3302"/>
      <c r="I222" s="3302"/>
      <c r="J222" s="3303"/>
      <c r="L222" s="1646"/>
      <c r="M222" s="851"/>
      <c r="N222" s="1649"/>
      <c r="O222" s="1147"/>
      <c r="P222" s="1649"/>
      <c r="Q222" s="1138"/>
      <c r="R222" s="130"/>
      <c r="S222" s="120"/>
      <c r="T222" s="124"/>
      <c r="U222" s="124"/>
      <c r="V222" s="202" t="s">
        <v>195</v>
      </c>
    </row>
    <row r="223" spans="1:22" s="110" customFormat="1" ht="32.25" hidden="1" customHeight="1">
      <c r="A223" s="1528"/>
      <c r="B223" s="1443">
        <f t="shared" si="17"/>
        <v>67</v>
      </c>
      <c r="C223" s="3301" t="s">
        <v>6567</v>
      </c>
      <c r="D223" s="3302"/>
      <c r="E223" s="3302"/>
      <c r="F223" s="3302"/>
      <c r="G223" s="3302"/>
      <c r="H223" s="3302"/>
      <c r="I223" s="3302"/>
      <c r="J223" s="3303"/>
      <c r="L223" s="1646"/>
      <c r="M223" s="851"/>
      <c r="N223" s="1649"/>
      <c r="O223" s="1147"/>
      <c r="P223" s="1649"/>
      <c r="Q223" s="1138"/>
      <c r="R223" s="130"/>
      <c r="S223" s="120"/>
      <c r="T223" s="124"/>
      <c r="U223" s="124"/>
      <c r="V223" s="202" t="s">
        <v>195</v>
      </c>
    </row>
    <row r="224" spans="1:22" s="110" customFormat="1" ht="31.5" hidden="1" customHeight="1">
      <c r="A224" s="1528"/>
      <c r="B224" s="1443">
        <f t="shared" si="17"/>
        <v>68</v>
      </c>
      <c r="C224" s="3301" t="s">
        <v>6568</v>
      </c>
      <c r="D224" s="3302"/>
      <c r="E224" s="3302"/>
      <c r="F224" s="3302"/>
      <c r="G224" s="3302"/>
      <c r="H224" s="3302"/>
      <c r="I224" s="3302"/>
      <c r="J224" s="3303"/>
      <c r="L224" s="1646"/>
      <c r="M224" s="851"/>
      <c r="N224" s="1649"/>
      <c r="O224" s="1147"/>
      <c r="P224" s="1649"/>
      <c r="Q224" s="1138"/>
      <c r="R224" s="130"/>
      <c r="S224" s="120"/>
      <c r="T224" s="124"/>
      <c r="U224" s="124"/>
      <c r="V224" s="202" t="s">
        <v>195</v>
      </c>
    </row>
    <row r="225" spans="1:22" s="110" customFormat="1" ht="35.25" hidden="1" customHeight="1">
      <c r="A225" s="1528"/>
      <c r="B225" s="1443">
        <f t="shared" si="17"/>
        <v>69</v>
      </c>
      <c r="C225" s="3301" t="s">
        <v>6569</v>
      </c>
      <c r="D225" s="3302"/>
      <c r="E225" s="3302"/>
      <c r="F225" s="3302"/>
      <c r="G225" s="3302"/>
      <c r="H225" s="3302"/>
      <c r="I225" s="3302"/>
      <c r="J225" s="3303"/>
      <c r="L225" s="1646"/>
      <c r="M225" s="851"/>
      <c r="N225" s="1649"/>
      <c r="O225" s="1147"/>
      <c r="P225" s="1649"/>
      <c r="Q225" s="1138"/>
      <c r="R225" s="130"/>
      <c r="S225" s="120"/>
      <c r="T225" s="124"/>
      <c r="U225" s="124"/>
      <c r="V225" s="202" t="s">
        <v>778</v>
      </c>
    </row>
    <row r="226" spans="1:22" s="851" customFormat="1" ht="24.75" hidden="1" customHeight="1">
      <c r="A226" s="1662"/>
      <c r="B226" s="1443">
        <f t="shared" si="17"/>
        <v>70</v>
      </c>
      <c r="C226" s="3301" t="s">
        <v>6570</v>
      </c>
      <c r="D226" s="3302"/>
      <c r="E226" s="3302"/>
      <c r="F226" s="3302"/>
      <c r="G226" s="3302"/>
      <c r="H226" s="3302"/>
      <c r="I226" s="3302"/>
      <c r="J226" s="3303"/>
      <c r="K226" s="110"/>
      <c r="L226" s="1646"/>
      <c r="N226" s="1649"/>
      <c r="O226" s="1147"/>
      <c r="P226" s="1649"/>
      <c r="Q226" s="1138"/>
      <c r="R226" s="130"/>
      <c r="S226" s="120"/>
      <c r="T226" s="124"/>
      <c r="U226" s="124"/>
      <c r="V226" s="202" t="s">
        <v>195</v>
      </c>
    </row>
    <row r="227" spans="1:22" s="110" customFormat="1" ht="24" hidden="1" customHeight="1">
      <c r="A227" s="1528"/>
      <c r="B227" s="1443">
        <f t="shared" si="17"/>
        <v>71</v>
      </c>
      <c r="C227" s="3301" t="s">
        <v>6571</v>
      </c>
      <c r="D227" s="3302"/>
      <c r="E227" s="3302"/>
      <c r="F227" s="3302"/>
      <c r="G227" s="3302"/>
      <c r="H227" s="3302"/>
      <c r="I227" s="3302"/>
      <c r="J227" s="3303"/>
      <c r="L227" s="1646"/>
      <c r="M227" s="851"/>
      <c r="N227" s="1649"/>
      <c r="O227" s="1147"/>
      <c r="P227" s="1649"/>
      <c r="Q227" s="1138"/>
      <c r="R227" s="130"/>
      <c r="S227" s="120"/>
      <c r="T227" s="124"/>
      <c r="U227" s="124"/>
      <c r="V227" s="202" t="s">
        <v>195</v>
      </c>
    </row>
    <row r="228" spans="1:22" s="851" customFormat="1" ht="14.25" hidden="1" customHeight="1">
      <c r="A228" s="1662"/>
      <c r="B228" s="1443">
        <f t="shared" si="17"/>
        <v>72</v>
      </c>
      <c r="C228" s="3301" t="s">
        <v>6572</v>
      </c>
      <c r="D228" s="3302"/>
      <c r="E228" s="3302"/>
      <c r="F228" s="3302"/>
      <c r="G228" s="3302"/>
      <c r="H228" s="3302"/>
      <c r="I228" s="3302"/>
      <c r="J228" s="3303"/>
      <c r="K228" s="110"/>
      <c r="L228" s="1646"/>
      <c r="N228" s="1649"/>
      <c r="O228" s="1147"/>
      <c r="P228" s="1649"/>
      <c r="Q228" s="1138"/>
      <c r="R228" s="130"/>
      <c r="S228" s="120"/>
      <c r="T228" s="124"/>
      <c r="U228" s="124"/>
      <c r="V228" s="202">
        <v>1</v>
      </c>
    </row>
    <row r="229" spans="1:22" s="851" customFormat="1" ht="21" hidden="1" customHeight="1">
      <c r="A229" s="1662"/>
      <c r="B229" s="1443">
        <f t="shared" si="17"/>
        <v>73</v>
      </c>
      <c r="C229" s="3301" t="s">
        <v>6573</v>
      </c>
      <c r="D229" s="3302"/>
      <c r="E229" s="3302"/>
      <c r="F229" s="3302"/>
      <c r="G229" s="3302"/>
      <c r="H229" s="3302"/>
      <c r="I229" s="3302"/>
      <c r="J229" s="3303"/>
      <c r="K229" s="110"/>
      <c r="L229" s="1646"/>
      <c r="N229" s="1650"/>
      <c r="O229" s="1148"/>
      <c r="P229" s="1650"/>
      <c r="Q229" s="1138"/>
      <c r="R229" s="130"/>
      <c r="S229" s="120"/>
      <c r="T229" s="124"/>
      <c r="U229" s="124"/>
      <c r="V229" s="202" t="s">
        <v>787</v>
      </c>
    </row>
    <row r="230" spans="1:22" s="851" customFormat="1" ht="109.5" hidden="1" customHeight="1">
      <c r="A230" s="1662"/>
      <c r="B230" s="1443">
        <f t="shared" si="17"/>
        <v>74</v>
      </c>
      <c r="C230" s="3301" t="s">
        <v>6574</v>
      </c>
      <c r="D230" s="3302"/>
      <c r="E230" s="3302"/>
      <c r="F230" s="3302"/>
      <c r="G230" s="3302"/>
      <c r="H230" s="3302"/>
      <c r="I230" s="3302"/>
      <c r="J230" s="3303"/>
      <c r="K230" s="110"/>
      <c r="L230" s="1646"/>
      <c r="M230" s="1927" t="s">
        <v>6575</v>
      </c>
      <c r="N230" s="1651"/>
      <c r="O230" s="1149"/>
      <c r="P230" s="1651"/>
      <c r="Q230" s="1138"/>
      <c r="R230" s="130"/>
      <c r="S230" s="120"/>
      <c r="T230" s="124"/>
      <c r="U230" s="124"/>
      <c r="V230" s="202" t="s">
        <v>778</v>
      </c>
    </row>
    <row r="231" spans="1:22" s="851" customFormat="1" ht="48" hidden="1" customHeight="1">
      <c r="A231" s="1662"/>
      <c r="B231" s="1443">
        <f t="shared" si="17"/>
        <v>75</v>
      </c>
      <c r="C231" s="3301" t="s">
        <v>6576</v>
      </c>
      <c r="D231" s="3302"/>
      <c r="E231" s="3302"/>
      <c r="F231" s="3302"/>
      <c r="G231" s="3302"/>
      <c r="H231" s="3302"/>
      <c r="I231" s="3302"/>
      <c r="J231" s="3303"/>
      <c r="K231" s="110"/>
      <c r="L231" s="1646"/>
      <c r="N231" s="1651"/>
      <c r="O231" s="1149"/>
      <c r="P231" s="1651"/>
      <c r="Q231" s="1138"/>
      <c r="R231" s="130"/>
      <c r="S231" s="120"/>
      <c r="T231" s="124"/>
      <c r="U231" s="124"/>
      <c r="V231" s="202" t="s">
        <v>778</v>
      </c>
    </row>
    <row r="232" spans="1:22" s="851" customFormat="1" ht="38.25" hidden="1" customHeight="1">
      <c r="A232" s="1662"/>
      <c r="B232" s="1443">
        <f t="shared" si="17"/>
        <v>76</v>
      </c>
      <c r="C232" s="3301" t="s">
        <v>6577</v>
      </c>
      <c r="D232" s="3302"/>
      <c r="E232" s="3302"/>
      <c r="F232" s="3302"/>
      <c r="G232" s="3302"/>
      <c r="H232" s="3302"/>
      <c r="I232" s="3302"/>
      <c r="J232" s="3303"/>
      <c r="K232" s="110"/>
      <c r="L232" s="1646"/>
      <c r="N232" s="1651"/>
      <c r="O232" s="1149"/>
      <c r="P232" s="1651"/>
      <c r="Q232" s="1138"/>
      <c r="R232" s="130"/>
      <c r="S232" s="70"/>
      <c r="T232" s="71"/>
      <c r="U232" s="71"/>
      <c r="V232" s="202" t="s">
        <v>195</v>
      </c>
    </row>
    <row r="233" spans="1:22" s="851" customFormat="1" ht="24" hidden="1" customHeight="1">
      <c r="A233" s="1662"/>
      <c r="B233" s="1443">
        <f t="shared" si="17"/>
        <v>77</v>
      </c>
      <c r="C233" s="3301" t="s">
        <v>6578</v>
      </c>
      <c r="D233" s="3302"/>
      <c r="E233" s="3302"/>
      <c r="F233" s="3302"/>
      <c r="G233" s="3302"/>
      <c r="H233" s="3302"/>
      <c r="I233" s="3302"/>
      <c r="J233" s="3303"/>
      <c r="K233" s="110"/>
      <c r="L233" s="1646"/>
      <c r="N233" s="1651"/>
      <c r="O233" s="1149"/>
      <c r="P233" s="1651"/>
      <c r="Q233" s="1138"/>
      <c r="R233" s="130"/>
      <c r="S233" s="120"/>
      <c r="T233" s="124"/>
      <c r="U233" s="124"/>
      <c r="V233" s="202" t="s">
        <v>195</v>
      </c>
    </row>
    <row r="234" spans="1:22" s="851" customFormat="1" ht="30" hidden="1" customHeight="1">
      <c r="A234" s="1662"/>
      <c r="B234" s="1443">
        <f t="shared" si="17"/>
        <v>78</v>
      </c>
      <c r="C234" s="3301" t="s">
        <v>6579</v>
      </c>
      <c r="D234" s="3302"/>
      <c r="E234" s="3302"/>
      <c r="F234" s="3302"/>
      <c r="G234" s="3302"/>
      <c r="H234" s="3302"/>
      <c r="I234" s="3302"/>
      <c r="J234" s="3303"/>
      <c r="K234" s="110"/>
      <c r="L234" s="1646"/>
      <c r="N234" s="1651"/>
      <c r="O234" s="1149"/>
      <c r="P234" s="1651"/>
      <c r="Q234" s="1138"/>
      <c r="R234" s="130"/>
      <c r="S234" s="120"/>
      <c r="T234" s="124"/>
      <c r="U234" s="124"/>
      <c r="V234" s="202" t="s">
        <v>195</v>
      </c>
    </row>
    <row r="235" spans="1:22" s="851" customFormat="1" ht="14.25" hidden="1" customHeight="1">
      <c r="A235" s="1662"/>
      <c r="B235" s="1443">
        <f t="shared" si="17"/>
        <v>79</v>
      </c>
      <c r="C235" s="3301" t="s">
        <v>6580</v>
      </c>
      <c r="D235" s="3302"/>
      <c r="E235" s="3302"/>
      <c r="F235" s="3302"/>
      <c r="G235" s="3302"/>
      <c r="H235" s="3302"/>
      <c r="I235" s="3302"/>
      <c r="J235" s="3303"/>
      <c r="K235" s="110"/>
      <c r="L235" s="1646"/>
      <c r="N235" s="1651"/>
      <c r="O235" s="1149"/>
      <c r="P235" s="1651"/>
      <c r="Q235" s="1138"/>
      <c r="R235" s="130"/>
      <c r="S235" s="70"/>
      <c r="T235" s="71"/>
      <c r="U235" s="71"/>
      <c r="V235" s="202">
        <v>1</v>
      </c>
    </row>
    <row r="236" spans="1:22" s="851" customFormat="1" hidden="1">
      <c r="A236" s="1662"/>
      <c r="B236" s="1443">
        <f t="shared" si="17"/>
        <v>80</v>
      </c>
      <c r="C236" s="3301" t="s">
        <v>6581</v>
      </c>
      <c r="D236" s="3302"/>
      <c r="E236" s="3302"/>
      <c r="F236" s="3302"/>
      <c r="G236" s="3302"/>
      <c r="H236" s="3302"/>
      <c r="I236" s="3302"/>
      <c r="J236" s="3303"/>
      <c r="K236" s="110"/>
      <c r="L236" s="1646"/>
      <c r="N236" s="1651"/>
      <c r="O236" s="1149"/>
      <c r="P236" s="1651"/>
      <c r="Q236" s="1138"/>
      <c r="R236" s="130"/>
      <c r="S236" s="70"/>
      <c r="T236" s="71"/>
      <c r="U236" s="71"/>
      <c r="V236" s="202">
        <v>1</v>
      </c>
    </row>
    <row r="237" spans="1:22" s="851" customFormat="1" hidden="1">
      <c r="A237" s="1662"/>
      <c r="B237" s="1443">
        <f t="shared" si="17"/>
        <v>81</v>
      </c>
      <c r="C237" s="3301" t="s">
        <v>6582</v>
      </c>
      <c r="D237" s="3302"/>
      <c r="E237" s="3302"/>
      <c r="F237" s="3302"/>
      <c r="G237" s="3302"/>
      <c r="H237" s="3302"/>
      <c r="I237" s="3302"/>
      <c r="J237" s="3303"/>
      <c r="K237" s="110"/>
      <c r="L237" s="1646"/>
      <c r="N237" s="1651"/>
      <c r="O237" s="1149"/>
      <c r="P237" s="1651"/>
      <c r="Q237" s="1138"/>
      <c r="R237" s="130"/>
      <c r="S237" s="70"/>
      <c r="T237" s="71"/>
      <c r="U237" s="71"/>
      <c r="V237" s="202">
        <v>1</v>
      </c>
    </row>
    <row r="238" spans="1:22" s="851" customFormat="1" ht="20.65" hidden="1" customHeight="1">
      <c r="A238" s="1662"/>
      <c r="B238" s="1443">
        <f t="shared" si="17"/>
        <v>82</v>
      </c>
      <c r="C238" s="3301" t="s">
        <v>6583</v>
      </c>
      <c r="D238" s="3302"/>
      <c r="E238" s="3302"/>
      <c r="F238" s="3302"/>
      <c r="G238" s="3302"/>
      <c r="H238" s="3302"/>
      <c r="I238" s="3302"/>
      <c r="J238" s="3303"/>
      <c r="K238" s="110"/>
      <c r="L238" s="1646"/>
      <c r="N238" s="1651"/>
      <c r="O238" s="1149"/>
      <c r="P238" s="1651"/>
      <c r="Q238" s="1138"/>
      <c r="R238" s="130"/>
      <c r="S238" s="70"/>
      <c r="T238" s="71"/>
      <c r="U238" s="71"/>
      <c r="V238" s="202" t="s">
        <v>195</v>
      </c>
    </row>
    <row r="239" spans="1:22" s="851" customFormat="1" ht="20.25" hidden="1" customHeight="1">
      <c r="A239" s="1662"/>
      <c r="B239" s="1443">
        <f t="shared" si="17"/>
        <v>83</v>
      </c>
      <c r="C239" s="3301" t="s">
        <v>6584</v>
      </c>
      <c r="D239" s="3302"/>
      <c r="E239" s="3302"/>
      <c r="F239" s="3302"/>
      <c r="G239" s="3302"/>
      <c r="H239" s="3302"/>
      <c r="I239" s="3302"/>
      <c r="J239" s="3303"/>
      <c r="K239" s="110"/>
      <c r="L239" s="1646"/>
      <c r="M239" s="1927" t="s">
        <v>6585</v>
      </c>
      <c r="N239" s="1651"/>
      <c r="O239" s="1149"/>
      <c r="P239" s="1651"/>
      <c r="Q239" s="1138"/>
      <c r="R239" s="130"/>
      <c r="S239" s="70"/>
      <c r="T239" s="71"/>
      <c r="U239" s="71"/>
      <c r="V239" s="202" t="s">
        <v>195</v>
      </c>
    </row>
    <row r="240" spans="1:22" s="851" customFormat="1" ht="25.15" hidden="1" customHeight="1">
      <c r="A240" s="1662"/>
      <c r="B240" s="1443">
        <f t="shared" si="17"/>
        <v>84</v>
      </c>
      <c r="C240" s="3301" t="s">
        <v>6586</v>
      </c>
      <c r="D240" s="3302"/>
      <c r="E240" s="3302"/>
      <c r="F240" s="3302"/>
      <c r="G240" s="3302"/>
      <c r="H240" s="3302"/>
      <c r="I240" s="3302"/>
      <c r="J240" s="3303"/>
      <c r="K240" s="110"/>
      <c r="L240" s="1646"/>
      <c r="M240" s="1927" t="s">
        <v>6585</v>
      </c>
      <c r="N240" s="1651"/>
      <c r="O240" s="1149"/>
      <c r="P240" s="1651"/>
      <c r="Q240" s="1138"/>
      <c r="R240" s="130"/>
      <c r="S240" s="70"/>
      <c r="T240" s="71"/>
      <c r="U240" s="71"/>
      <c r="V240" s="202">
        <v>1</v>
      </c>
    </row>
    <row r="241" spans="1:22" s="851" customFormat="1" ht="14.25" hidden="1" customHeight="1">
      <c r="A241" s="1662"/>
      <c r="B241" s="1443">
        <f t="shared" si="17"/>
        <v>85</v>
      </c>
      <c r="C241" s="3301" t="s">
        <v>6587</v>
      </c>
      <c r="D241" s="3302"/>
      <c r="E241" s="3302"/>
      <c r="F241" s="3302"/>
      <c r="G241" s="3302"/>
      <c r="H241" s="3302"/>
      <c r="I241" s="3302"/>
      <c r="J241" s="3303"/>
      <c r="K241" s="110"/>
      <c r="L241" s="1646"/>
      <c r="N241" s="1651"/>
      <c r="O241" s="1149"/>
      <c r="P241" s="1651"/>
      <c r="Q241" s="1138"/>
      <c r="R241" s="130"/>
      <c r="S241" s="70"/>
      <c r="T241" s="71"/>
      <c r="U241" s="71"/>
      <c r="V241" s="202">
        <v>1</v>
      </c>
    </row>
    <row r="242" spans="1:22" s="851" customFormat="1" hidden="1">
      <c r="A242" s="1662"/>
      <c r="B242" s="1443">
        <f t="shared" si="17"/>
        <v>86</v>
      </c>
      <c r="C242" s="3301" t="s">
        <v>6588</v>
      </c>
      <c r="D242" s="3302"/>
      <c r="E242" s="3302"/>
      <c r="F242" s="3302"/>
      <c r="G242" s="3302"/>
      <c r="H242" s="3302"/>
      <c r="I242" s="3302"/>
      <c r="J242" s="3303"/>
      <c r="K242" s="110"/>
      <c r="L242" s="1646"/>
      <c r="N242" s="1651"/>
      <c r="O242" s="1149"/>
      <c r="P242" s="1651"/>
      <c r="Q242" s="1138"/>
      <c r="R242" s="130"/>
      <c r="S242" s="70"/>
      <c r="T242" s="71"/>
      <c r="U242" s="71"/>
      <c r="V242" s="202">
        <v>1</v>
      </c>
    </row>
    <row r="243" spans="1:22" s="851" customFormat="1" hidden="1">
      <c r="A243" s="1662"/>
      <c r="B243" s="1443">
        <f t="shared" si="17"/>
        <v>87</v>
      </c>
      <c r="C243" s="3301" t="s">
        <v>6589</v>
      </c>
      <c r="D243" s="3302"/>
      <c r="E243" s="3302"/>
      <c r="F243" s="3302"/>
      <c r="G243" s="3302"/>
      <c r="H243" s="3302"/>
      <c r="I243" s="3302"/>
      <c r="J243" s="3303"/>
      <c r="K243" s="110"/>
      <c r="L243" s="1646"/>
      <c r="N243" s="1651"/>
      <c r="O243" s="1149"/>
      <c r="P243" s="1651"/>
      <c r="Q243" s="1138"/>
      <c r="R243" s="130"/>
      <c r="S243" s="70"/>
      <c r="T243" s="71"/>
      <c r="U243" s="71"/>
      <c r="V243" s="202">
        <v>1</v>
      </c>
    </row>
    <row r="244" spans="1:22" s="851" customFormat="1" hidden="1">
      <c r="A244" s="1662"/>
      <c r="B244" s="1443">
        <f t="shared" si="17"/>
        <v>88</v>
      </c>
      <c r="C244" s="3301" t="s">
        <v>6590</v>
      </c>
      <c r="D244" s="3302"/>
      <c r="E244" s="3302"/>
      <c r="F244" s="3302"/>
      <c r="G244" s="3302"/>
      <c r="H244" s="3302"/>
      <c r="I244" s="3302"/>
      <c r="J244" s="3303"/>
      <c r="K244" s="110"/>
      <c r="L244" s="1646"/>
      <c r="N244" s="1651"/>
      <c r="O244" s="1149"/>
      <c r="P244" s="1651"/>
      <c r="Q244" s="1138"/>
      <c r="R244" s="130"/>
      <c r="S244" s="70"/>
      <c r="T244" s="71"/>
      <c r="U244" s="71"/>
      <c r="V244" s="202">
        <v>1</v>
      </c>
    </row>
    <row r="245" spans="1:22" s="851" customFormat="1" hidden="1">
      <c r="A245" s="1662"/>
      <c r="B245" s="1443">
        <f t="shared" si="17"/>
        <v>89</v>
      </c>
      <c r="C245" s="3301" t="s">
        <v>6591</v>
      </c>
      <c r="D245" s="3302"/>
      <c r="E245" s="3302"/>
      <c r="F245" s="3302"/>
      <c r="G245" s="3302"/>
      <c r="H245" s="3302"/>
      <c r="I245" s="3302"/>
      <c r="J245" s="3303"/>
      <c r="K245" s="110"/>
      <c r="L245" s="1646"/>
      <c r="N245" s="1651"/>
      <c r="O245" s="1149"/>
      <c r="P245" s="1651"/>
      <c r="Q245" s="1138"/>
      <c r="R245" s="130"/>
      <c r="S245" s="70"/>
      <c r="T245" s="71"/>
      <c r="U245" s="71"/>
      <c r="V245" s="202">
        <v>1</v>
      </c>
    </row>
    <row r="246" spans="1:22" s="851" customFormat="1" hidden="1">
      <c r="A246" s="1662"/>
      <c r="B246" s="1443">
        <f t="shared" si="17"/>
        <v>90</v>
      </c>
      <c r="C246" s="3301" t="s">
        <v>6592</v>
      </c>
      <c r="D246" s="3302"/>
      <c r="E246" s="3302"/>
      <c r="F246" s="3302"/>
      <c r="G246" s="3302"/>
      <c r="H246" s="3302"/>
      <c r="I246" s="3302"/>
      <c r="J246" s="3303"/>
      <c r="K246" s="110"/>
      <c r="L246" s="1646"/>
      <c r="N246" s="1651"/>
      <c r="O246" s="1149"/>
      <c r="P246" s="1651"/>
      <c r="Q246" s="1138"/>
      <c r="R246" s="130"/>
      <c r="S246" s="70"/>
      <c r="T246" s="71"/>
      <c r="U246" s="71"/>
      <c r="V246" s="202">
        <v>1</v>
      </c>
    </row>
    <row r="247" spans="1:22" s="851" customFormat="1" hidden="1">
      <c r="A247" s="1662"/>
      <c r="B247" s="1443">
        <f t="shared" si="17"/>
        <v>91</v>
      </c>
      <c r="C247" s="3301" t="s">
        <v>6593</v>
      </c>
      <c r="D247" s="3302"/>
      <c r="E247" s="3302"/>
      <c r="F247" s="3302"/>
      <c r="G247" s="3302"/>
      <c r="H247" s="3302"/>
      <c r="I247" s="3302"/>
      <c r="J247" s="3303"/>
      <c r="K247" s="110"/>
      <c r="L247" s="1646"/>
      <c r="N247" s="1651"/>
      <c r="O247" s="1149"/>
      <c r="P247" s="1651"/>
      <c r="Q247" s="1138"/>
      <c r="R247" s="130"/>
      <c r="S247" s="70"/>
      <c r="T247" s="71"/>
      <c r="U247" s="71"/>
      <c r="V247" s="202">
        <v>1</v>
      </c>
    </row>
    <row r="248" spans="1:22" s="851" customFormat="1" hidden="1">
      <c r="A248" s="1662"/>
      <c r="B248" s="1443">
        <f t="shared" si="17"/>
        <v>92</v>
      </c>
      <c r="C248" s="3301" t="s">
        <v>6594</v>
      </c>
      <c r="D248" s="3302"/>
      <c r="E248" s="3302"/>
      <c r="F248" s="3302"/>
      <c r="G248" s="3302"/>
      <c r="H248" s="3302"/>
      <c r="I248" s="3302"/>
      <c r="J248" s="3303"/>
      <c r="K248" s="110"/>
      <c r="L248" s="1646"/>
      <c r="N248" s="1651"/>
      <c r="O248" s="1149"/>
      <c r="P248" s="1651"/>
      <c r="Q248" s="1138"/>
      <c r="R248" s="130"/>
      <c r="S248" s="70"/>
      <c r="T248" s="71"/>
      <c r="U248" s="71"/>
      <c r="V248" s="202">
        <v>1</v>
      </c>
    </row>
    <row r="249" spans="1:22" s="851" customFormat="1" hidden="1">
      <c r="A249" s="1662"/>
      <c r="B249" s="1443">
        <f t="shared" si="17"/>
        <v>93</v>
      </c>
      <c r="C249" s="3301" t="s">
        <v>6595</v>
      </c>
      <c r="D249" s="3302"/>
      <c r="E249" s="3302"/>
      <c r="F249" s="3302"/>
      <c r="G249" s="3302"/>
      <c r="H249" s="3302"/>
      <c r="I249" s="3302"/>
      <c r="J249" s="3303"/>
      <c r="K249" s="110"/>
      <c r="L249" s="1646"/>
      <c r="N249" s="1651"/>
      <c r="O249" s="1149"/>
      <c r="P249" s="1651"/>
      <c r="Q249" s="1138"/>
      <c r="R249" s="130"/>
      <c r="S249" s="70"/>
      <c r="T249" s="71"/>
      <c r="U249" s="71"/>
      <c r="V249" s="202"/>
    </row>
    <row r="250" spans="1:22" s="851" customFormat="1" ht="15.75" hidden="1" customHeight="1">
      <c r="A250" s="1662"/>
      <c r="B250" s="1443">
        <f t="shared" si="17"/>
        <v>94</v>
      </c>
      <c r="C250" s="3301" t="s">
        <v>6596</v>
      </c>
      <c r="D250" s="3302"/>
      <c r="E250" s="3302"/>
      <c r="F250" s="3302"/>
      <c r="G250" s="3302"/>
      <c r="H250" s="3302"/>
      <c r="I250" s="3302"/>
      <c r="J250" s="3303"/>
      <c r="K250" s="110"/>
      <c r="L250" s="1646"/>
      <c r="N250" s="1651"/>
      <c r="O250" s="1149"/>
      <c r="P250" s="1651"/>
      <c r="Q250" s="1138"/>
      <c r="R250" s="130"/>
      <c r="S250" s="70"/>
      <c r="T250" s="71"/>
      <c r="U250" s="71"/>
      <c r="V250" s="202" t="s">
        <v>195</v>
      </c>
    </row>
    <row r="251" spans="1:22" s="851" customFormat="1" ht="15.75" hidden="1" customHeight="1">
      <c r="A251" s="1662"/>
      <c r="B251" s="1955" t="s">
        <v>6597</v>
      </c>
      <c r="C251" s="3301" t="s">
        <v>6598</v>
      </c>
      <c r="D251" s="3302"/>
      <c r="E251" s="3302"/>
      <c r="F251" s="3302"/>
      <c r="G251" s="3302"/>
      <c r="H251" s="3302"/>
      <c r="I251" s="3302"/>
      <c r="J251" s="3303"/>
      <c r="K251" s="110"/>
      <c r="L251" s="1646"/>
      <c r="N251" s="1651"/>
      <c r="O251" s="1149"/>
      <c r="P251" s="1651"/>
      <c r="Q251" s="1138"/>
      <c r="R251" s="130"/>
      <c r="S251" s="70"/>
      <c r="T251" s="71"/>
      <c r="U251" s="71"/>
      <c r="V251" s="202"/>
    </row>
    <row r="252" spans="1:22" s="851" customFormat="1" ht="15.75" hidden="1" customHeight="1" thickBot="1">
      <c r="A252" s="1662"/>
      <c r="B252" s="1956" t="s">
        <v>6599</v>
      </c>
      <c r="C252" s="3307" t="s">
        <v>6600</v>
      </c>
      <c r="D252" s="3308"/>
      <c r="E252" s="3308"/>
      <c r="F252" s="3308"/>
      <c r="G252" s="3308"/>
      <c r="H252" s="3308"/>
      <c r="I252" s="3308"/>
      <c r="J252" s="3309"/>
      <c r="K252" s="110"/>
      <c r="L252" s="1646"/>
      <c r="N252" s="1651"/>
      <c r="O252" s="1149"/>
      <c r="P252" s="1651"/>
      <c r="Q252" s="1138"/>
      <c r="R252" s="130"/>
      <c r="S252" s="70"/>
      <c r="T252" s="71"/>
      <c r="U252" s="71"/>
      <c r="V252" s="202"/>
    </row>
    <row r="253" spans="1:22" s="851" customFormat="1" ht="14.5" thickBot="1">
      <c r="B253" s="995"/>
      <c r="C253" s="1147"/>
      <c r="D253" s="1138"/>
      <c r="E253" s="1138"/>
      <c r="F253" s="1138"/>
      <c r="G253" s="1138"/>
      <c r="H253" s="1138"/>
      <c r="I253" s="1138"/>
      <c r="J253" s="1138"/>
      <c r="K253" s="110"/>
      <c r="L253" s="1646"/>
      <c r="M253" s="1138"/>
      <c r="N253" s="1652"/>
      <c r="O253" s="1138"/>
      <c r="P253" s="1652"/>
      <c r="Q253" s="1138"/>
      <c r="R253" s="130"/>
      <c r="S253" s="70"/>
      <c r="T253" s="71"/>
      <c r="U253" s="71"/>
      <c r="V253" s="202"/>
    </row>
    <row r="254" spans="1:22" ht="14.5" thickBot="1">
      <c r="A254" s="1882"/>
      <c r="B254" s="3304" t="s">
        <v>6601</v>
      </c>
      <c r="C254" s="3305"/>
      <c r="D254" s="3304" t="s">
        <v>6602</v>
      </c>
      <c r="E254" s="3306"/>
      <c r="F254" s="3306"/>
      <c r="G254" s="3306"/>
      <c r="H254" s="3306"/>
      <c r="I254" s="3306"/>
      <c r="J254" s="3305"/>
      <c r="K254" s="110"/>
      <c r="L254" s="1646"/>
      <c r="M254" s="851"/>
      <c r="O254" s="1882"/>
      <c r="Q254" s="1882"/>
      <c r="R254" s="1882"/>
      <c r="S254" s="1882"/>
      <c r="U254" s="1882"/>
      <c r="V254" s="1882"/>
    </row>
    <row r="255" spans="1:22" ht="27" customHeight="1" thickBot="1">
      <c r="A255" s="1882"/>
      <c r="B255" s="3297" t="s">
        <v>6603</v>
      </c>
      <c r="C255" s="3259"/>
      <c r="D255" s="3298" t="s">
        <v>6604</v>
      </c>
      <c r="E255" s="3299"/>
      <c r="F255" s="3299"/>
      <c r="G255" s="3299"/>
      <c r="H255" s="3299"/>
      <c r="I255" s="3299"/>
      <c r="J255" s="3300"/>
      <c r="K255" s="110"/>
      <c r="L255" s="1646"/>
      <c r="M255" s="851"/>
      <c r="O255" s="1882"/>
      <c r="Q255" s="1882"/>
      <c r="R255" s="1882"/>
      <c r="S255" s="1882"/>
      <c r="U255" s="1882"/>
      <c r="V255" s="1882"/>
    </row>
    <row r="256" spans="1:22" ht="42.75" customHeight="1" thickBot="1">
      <c r="A256" s="1882"/>
      <c r="B256" s="3297" t="s">
        <v>6605</v>
      </c>
      <c r="C256" s="3259"/>
      <c r="D256" s="3298" t="s">
        <v>6606</v>
      </c>
      <c r="E256" s="3299"/>
      <c r="F256" s="3299"/>
      <c r="G256" s="3299"/>
      <c r="H256" s="3299"/>
      <c r="I256" s="3299"/>
      <c r="J256" s="3300"/>
      <c r="K256" s="110"/>
      <c r="L256" s="1646"/>
      <c r="M256" s="851"/>
      <c r="O256" s="1882"/>
      <c r="Q256" s="1882"/>
      <c r="R256" s="1882"/>
      <c r="S256" s="1882"/>
      <c r="U256" s="1882"/>
      <c r="V256" s="1882"/>
    </row>
    <row r="257" spans="2:13" ht="84" customHeight="1" thickBot="1">
      <c r="B257" s="3297" t="s">
        <v>6607</v>
      </c>
      <c r="C257" s="3259"/>
      <c r="D257" s="3298" t="s">
        <v>6608</v>
      </c>
      <c r="E257" s="3299"/>
      <c r="F257" s="3299"/>
      <c r="G257" s="3299"/>
      <c r="H257" s="3299"/>
      <c r="I257" s="3299"/>
      <c r="J257" s="3300"/>
      <c r="K257" s="110"/>
      <c r="L257" s="1646"/>
      <c r="M257" s="851"/>
    </row>
    <row r="258" spans="2:13" ht="72.75" customHeight="1" thickBot="1">
      <c r="B258" s="3297" t="s">
        <v>6609</v>
      </c>
      <c r="C258" s="3259"/>
      <c r="D258" s="3298" t="s">
        <v>6610</v>
      </c>
      <c r="E258" s="3299"/>
      <c r="F258" s="3299"/>
      <c r="G258" s="3299"/>
      <c r="H258" s="3299"/>
      <c r="I258" s="3299"/>
      <c r="J258" s="3300"/>
      <c r="K258" s="110"/>
      <c r="L258" s="1646"/>
      <c r="M258" s="851"/>
    </row>
    <row r="259" spans="2:13" ht="28.5" customHeight="1" thickBot="1">
      <c r="B259" s="3297" t="s">
        <v>6611</v>
      </c>
      <c r="C259" s="3259"/>
      <c r="D259" s="3298" t="s">
        <v>6612</v>
      </c>
      <c r="E259" s="3299"/>
      <c r="F259" s="3299"/>
      <c r="G259" s="3299"/>
      <c r="H259" s="3299"/>
      <c r="I259" s="3299"/>
      <c r="J259" s="3300"/>
      <c r="K259" s="110"/>
      <c r="L259" s="1646"/>
      <c r="M259" s="851"/>
    </row>
    <row r="260" spans="2:13" ht="14.5" thickBot="1">
      <c r="B260" s="851"/>
      <c r="C260" s="851"/>
      <c r="D260" s="851"/>
      <c r="E260" s="851"/>
      <c r="F260" s="851"/>
      <c r="G260" s="851"/>
      <c r="H260" s="851"/>
      <c r="I260" s="851"/>
      <c r="J260" s="851"/>
      <c r="K260" s="110"/>
      <c r="L260" s="1646"/>
      <c r="M260" s="851"/>
    </row>
    <row r="261" spans="2:13" ht="15.5" thickBot="1">
      <c r="B261" s="3228" t="s">
        <v>6613</v>
      </c>
      <c r="C261" s="3289"/>
      <c r="D261" s="3289"/>
      <c r="E261" s="3289"/>
      <c r="F261" s="3289"/>
      <c r="G261" s="3289"/>
      <c r="H261" s="3289"/>
      <c r="I261" s="3289"/>
      <c r="J261" s="3290"/>
      <c r="K261" s="110"/>
      <c r="L261" s="1646"/>
      <c r="M261" s="1150"/>
    </row>
    <row r="262" spans="2:13" ht="14.5" thickBot="1">
      <c r="B262" s="851"/>
      <c r="C262" s="851"/>
      <c r="D262" s="851"/>
      <c r="E262" s="851"/>
      <c r="F262" s="851"/>
      <c r="G262" s="851"/>
      <c r="H262" s="851"/>
      <c r="I262" s="851"/>
      <c r="J262" s="851"/>
      <c r="K262" s="110"/>
      <c r="L262" s="1646"/>
      <c r="M262" s="851"/>
    </row>
    <row r="263" spans="2:13" ht="15" customHeight="1" thickBot="1">
      <c r="B263" s="3291" t="s">
        <v>6614</v>
      </c>
      <c r="C263" s="3292"/>
      <c r="D263" s="1771"/>
      <c r="E263" s="3291" t="s">
        <v>6615</v>
      </c>
      <c r="F263" s="3293"/>
      <c r="G263" s="3293"/>
      <c r="H263" s="3293"/>
      <c r="I263" s="3293"/>
      <c r="J263" s="3292"/>
      <c r="K263" s="110"/>
      <c r="L263" s="1646"/>
      <c r="M263" s="851"/>
    </row>
    <row r="264" spans="2:13" ht="14.5">
      <c r="B264" s="3279" t="s">
        <v>6616</v>
      </c>
      <c r="C264" s="3280"/>
      <c r="D264" s="1772"/>
      <c r="E264" s="3294" t="s">
        <v>6617</v>
      </c>
      <c r="F264" s="3295"/>
      <c r="G264" s="3295"/>
      <c r="H264" s="3295"/>
      <c r="I264" s="3295"/>
      <c r="J264" s="3296"/>
      <c r="K264" s="110"/>
      <c r="L264" s="1646"/>
      <c r="M264" s="851"/>
    </row>
    <row r="265" spans="2:13" ht="14.5">
      <c r="B265" s="3279" t="s">
        <v>6618</v>
      </c>
      <c r="C265" s="3280"/>
      <c r="D265" s="1772"/>
      <c r="E265" s="3281" t="s">
        <v>6619</v>
      </c>
      <c r="F265" s="3282"/>
      <c r="G265" s="3282"/>
      <c r="H265" s="3282"/>
      <c r="I265" s="3282"/>
      <c r="J265" s="3283"/>
      <c r="K265" s="110"/>
      <c r="L265" s="1646"/>
      <c r="M265" s="851"/>
    </row>
    <row r="266" spans="2:13" ht="14.5">
      <c r="B266" s="3279" t="s">
        <v>6620</v>
      </c>
      <c r="C266" s="3280"/>
      <c r="D266" s="1772"/>
      <c r="E266" s="3281" t="s">
        <v>6621</v>
      </c>
      <c r="F266" s="3282"/>
      <c r="G266" s="3282"/>
      <c r="H266" s="3282"/>
      <c r="I266" s="3282"/>
      <c r="J266" s="3283"/>
      <c r="K266" s="110"/>
      <c r="L266" s="1646"/>
      <c r="M266" s="851"/>
    </row>
    <row r="267" spans="2:13" ht="14.5">
      <c r="B267" s="3279" t="s">
        <v>6622</v>
      </c>
      <c r="C267" s="3280"/>
      <c r="D267" s="1772"/>
      <c r="E267" s="3281" t="s">
        <v>6623</v>
      </c>
      <c r="F267" s="3282"/>
      <c r="G267" s="3282"/>
      <c r="H267" s="3282"/>
      <c r="I267" s="3282"/>
      <c r="J267" s="3283"/>
      <c r="K267" s="110"/>
      <c r="L267" s="1646"/>
      <c r="M267" s="851"/>
    </row>
    <row r="268" spans="2:13" ht="15" customHeight="1">
      <c r="B268" s="3279" t="s">
        <v>6624</v>
      </c>
      <c r="C268" s="3280"/>
      <c r="D268" s="1772"/>
      <c r="E268" s="3281" t="s">
        <v>6625</v>
      </c>
      <c r="F268" s="3282"/>
      <c r="G268" s="3282"/>
      <c r="H268" s="3282"/>
      <c r="I268" s="3282"/>
      <c r="J268" s="3283"/>
      <c r="K268" s="110"/>
      <c r="L268" s="1646"/>
      <c r="M268" s="851"/>
    </row>
    <row r="269" spans="2:13" ht="15" customHeight="1">
      <c r="B269" s="3279" t="s">
        <v>6626</v>
      </c>
      <c r="C269" s="3280"/>
      <c r="D269" s="1772"/>
      <c r="E269" s="3281" t="s">
        <v>6627</v>
      </c>
      <c r="F269" s="3282"/>
      <c r="G269" s="3282"/>
      <c r="H269" s="3282"/>
      <c r="I269" s="3282"/>
      <c r="J269" s="3283"/>
      <c r="K269" s="110"/>
      <c r="L269" s="1646"/>
      <c r="M269" s="851"/>
    </row>
    <row r="270" spans="2:13" ht="15" customHeight="1">
      <c r="B270" s="3279" t="s">
        <v>6628</v>
      </c>
      <c r="C270" s="3280"/>
      <c r="D270" s="1772"/>
      <c r="E270" s="3281" t="s">
        <v>6629</v>
      </c>
      <c r="F270" s="3282"/>
      <c r="G270" s="3282"/>
      <c r="H270" s="3282"/>
      <c r="I270" s="3282"/>
      <c r="J270" s="3283"/>
      <c r="K270" s="110"/>
      <c r="L270" s="1646"/>
      <c r="M270" s="851"/>
    </row>
    <row r="271" spans="2:13" ht="15" thickBot="1">
      <c r="B271" s="3284" t="s">
        <v>6630</v>
      </c>
      <c r="C271" s="3285"/>
      <c r="D271" s="1773"/>
      <c r="E271" s="3286" t="s">
        <v>6631</v>
      </c>
      <c r="F271" s="3287"/>
      <c r="G271" s="3287"/>
      <c r="H271" s="3287"/>
      <c r="I271" s="3287"/>
      <c r="J271" s="3288"/>
      <c r="K271" s="110"/>
      <c r="L271" s="1646"/>
      <c r="M271" s="851"/>
    </row>
    <row r="272" spans="2:13">
      <c r="B272" s="1882"/>
      <c r="C272" s="1882"/>
      <c r="F272" s="1882"/>
      <c r="G272" s="1882"/>
      <c r="H272" s="1882"/>
      <c r="I272" s="1882"/>
      <c r="J272" s="1882"/>
      <c r="K272" s="110"/>
      <c r="L272" s="1646"/>
      <c r="M272" s="1882"/>
    </row>
    <row r="273" spans="11:12" hidden="1">
      <c r="K273" s="110"/>
      <c r="L273" s="1646"/>
    </row>
    <row r="274" spans="11:12" hidden="1">
      <c r="K274" s="110"/>
      <c r="L274" s="1646"/>
    </row>
    <row r="275" spans="11:12" hidden="1">
      <c r="K275" s="110"/>
      <c r="L275" s="1646"/>
    </row>
    <row r="276" spans="11:12" hidden="1">
      <c r="K276" s="110"/>
      <c r="L276" s="1646"/>
    </row>
    <row r="277" spans="11:12" hidden="1">
      <c r="K277" s="110"/>
      <c r="L277" s="1646"/>
    </row>
    <row r="278" spans="11:12" hidden="1">
      <c r="K278" s="110"/>
      <c r="L278" s="1646"/>
    </row>
    <row r="279" spans="11:12" hidden="1">
      <c r="K279" s="110"/>
      <c r="L279" s="1646"/>
    </row>
    <row r="280" spans="11:12" hidden="1">
      <c r="K280" s="110"/>
      <c r="L280" s="1646"/>
    </row>
    <row r="281" spans="11:12" hidden="1">
      <c r="K281" s="110"/>
      <c r="L281" s="1646"/>
    </row>
  </sheetData>
  <sheetProtection algorithmName="SHA-512" hashValue="wP98A2K3ovJzO/666QU+lJ884Sn84fYye8pJlKyU4LDtbAgSkk601MnZOhYMrpJpzRvmVR9QIoCYXIcEyf7aJQ==" saltValue="cKpfFI7i0DsJErmdgxo+Nw==" spinCount="100000" sheet="1" objects="1" scenarios="1"/>
  <mergeCells count="137">
    <mergeCell ref="C200:J200"/>
    <mergeCell ref="C202:J202"/>
    <mergeCell ref="C165:J165"/>
    <mergeCell ref="C167:J167"/>
    <mergeCell ref="C169:J169"/>
    <mergeCell ref="C215:J215"/>
    <mergeCell ref="C180:J180"/>
    <mergeCell ref="C181:J181"/>
    <mergeCell ref="C182:J182"/>
    <mergeCell ref="C183:J183"/>
    <mergeCell ref="C184:J184"/>
    <mergeCell ref="C185:J185"/>
    <mergeCell ref="C186:J186"/>
    <mergeCell ref="C187:J187"/>
    <mergeCell ref="C188:J188"/>
    <mergeCell ref="C189:J189"/>
    <mergeCell ref="C190:J190"/>
    <mergeCell ref="C191:J191"/>
    <mergeCell ref="C192:J192"/>
    <mergeCell ref="C193:J193"/>
    <mergeCell ref="C194:J194"/>
    <mergeCell ref="C195:J195"/>
    <mergeCell ref="C196:J196"/>
    <mergeCell ref="C197:J197"/>
    <mergeCell ref="C198:J198"/>
    <mergeCell ref="C199:J199"/>
    <mergeCell ref="C156:J156"/>
    <mergeCell ref="C157:J157"/>
    <mergeCell ref="C158:J158"/>
    <mergeCell ref="C159:J159"/>
    <mergeCell ref="C160:J160"/>
    <mergeCell ref="C161:J161"/>
    <mergeCell ref="C162:J162"/>
    <mergeCell ref="C163:J163"/>
    <mergeCell ref="C164:J164"/>
    <mergeCell ref="C171:J171"/>
    <mergeCell ref="C172:J172"/>
    <mergeCell ref="C173:J173"/>
    <mergeCell ref="C174:J174"/>
    <mergeCell ref="C175:J175"/>
    <mergeCell ref="C176:J176"/>
    <mergeCell ref="C177:J177"/>
    <mergeCell ref="C178:J178"/>
    <mergeCell ref="C179:J179"/>
    <mergeCell ref="B125:C125"/>
    <mergeCell ref="B132:J132"/>
    <mergeCell ref="B134:J134"/>
    <mergeCell ref="C136:J136"/>
    <mergeCell ref="C137:J137"/>
    <mergeCell ref="C138:J138"/>
    <mergeCell ref="C139:J139"/>
    <mergeCell ref="C140:J140"/>
    <mergeCell ref="C170:J170"/>
    <mergeCell ref="C141:J141"/>
    <mergeCell ref="C142:J142"/>
    <mergeCell ref="C143:J143"/>
    <mergeCell ref="C144:J144"/>
    <mergeCell ref="C145:J145"/>
    <mergeCell ref="C146:J146"/>
    <mergeCell ref="C147:J147"/>
    <mergeCell ref="C148:J148"/>
    <mergeCell ref="C149:J149"/>
    <mergeCell ref="C150:J150"/>
    <mergeCell ref="C151:J151"/>
    <mergeCell ref="C152:J152"/>
    <mergeCell ref="C153:J153"/>
    <mergeCell ref="C154:J154"/>
    <mergeCell ref="C155:J155"/>
    <mergeCell ref="C217:J217"/>
    <mergeCell ref="C218:J218"/>
    <mergeCell ref="C219:J219"/>
    <mergeCell ref="C220:J220"/>
    <mergeCell ref="C221:J221"/>
    <mergeCell ref="C222:J222"/>
    <mergeCell ref="C223:J223"/>
    <mergeCell ref="C224:J224"/>
    <mergeCell ref="B206:J206"/>
    <mergeCell ref="B209:J209"/>
    <mergeCell ref="C225:J225"/>
    <mergeCell ref="C226:J226"/>
    <mergeCell ref="C227:J227"/>
    <mergeCell ref="C228:J228"/>
    <mergeCell ref="C229:J229"/>
    <mergeCell ref="C230:J230"/>
    <mergeCell ref="C231:J231"/>
    <mergeCell ref="C232:J232"/>
    <mergeCell ref="C233:J233"/>
    <mergeCell ref="C234:J234"/>
    <mergeCell ref="C235:J235"/>
    <mergeCell ref="C236:J236"/>
    <mergeCell ref="C237:J237"/>
    <mergeCell ref="C238:J238"/>
    <mergeCell ref="C239:J239"/>
    <mergeCell ref="C240:J240"/>
    <mergeCell ref="C241:J241"/>
    <mergeCell ref="C242:J242"/>
    <mergeCell ref="C243:J243"/>
    <mergeCell ref="C244:J244"/>
    <mergeCell ref="C245:J245"/>
    <mergeCell ref="C246:J246"/>
    <mergeCell ref="B254:C254"/>
    <mergeCell ref="D254:J254"/>
    <mergeCell ref="B255:C255"/>
    <mergeCell ref="D255:J255"/>
    <mergeCell ref="B256:C256"/>
    <mergeCell ref="D256:J256"/>
    <mergeCell ref="C247:J247"/>
    <mergeCell ref="C248:J248"/>
    <mergeCell ref="C249:J249"/>
    <mergeCell ref="C250:J250"/>
    <mergeCell ref="C251:J251"/>
    <mergeCell ref="C252:J252"/>
    <mergeCell ref="B261:J261"/>
    <mergeCell ref="B263:C263"/>
    <mergeCell ref="E263:J263"/>
    <mergeCell ref="B264:C264"/>
    <mergeCell ref="E264:J264"/>
    <mergeCell ref="B265:C265"/>
    <mergeCell ref="E265:J265"/>
    <mergeCell ref="B257:C257"/>
    <mergeCell ref="D257:J257"/>
    <mergeCell ref="B258:C258"/>
    <mergeCell ref="D258:J258"/>
    <mergeCell ref="B259:C259"/>
    <mergeCell ref="D259:J259"/>
    <mergeCell ref="B269:C269"/>
    <mergeCell ref="E269:J269"/>
    <mergeCell ref="B270:C270"/>
    <mergeCell ref="E270:J270"/>
    <mergeCell ref="B271:C271"/>
    <mergeCell ref="E271:J271"/>
    <mergeCell ref="B266:C266"/>
    <mergeCell ref="E266:J266"/>
    <mergeCell ref="B267:C267"/>
    <mergeCell ref="E267:J267"/>
    <mergeCell ref="B268:C268"/>
    <mergeCell ref="E268:J268"/>
  </mergeCells>
  <conditionalFormatting sqref="J27 J29:J30 J70:J103 J6:J10 J33 J13:J25">
    <cfRule type="cellIs" dxfId="124" priority="16" operator="equal">
      <formula>0</formula>
    </cfRule>
  </conditionalFormatting>
  <conditionalFormatting sqref="J36:J67 J104">
    <cfRule type="cellIs" dxfId="123" priority="15" operator="equal">
      <formula>0</formula>
    </cfRule>
  </conditionalFormatting>
  <conditionalFormatting sqref="J50:J67">
    <cfRule type="cellIs" dxfId="122" priority="14" operator="equal">
      <formula>0</formula>
    </cfRule>
  </conditionalFormatting>
  <conditionalFormatting sqref="J106">
    <cfRule type="cellIs" dxfId="121" priority="11" operator="equal">
      <formula>0</formula>
    </cfRule>
  </conditionalFormatting>
  <conditionalFormatting sqref="J115:J122">
    <cfRule type="cellIs" dxfId="120" priority="10" operator="equal">
      <formula>0</formula>
    </cfRule>
  </conditionalFormatting>
  <conditionalFormatting sqref="J123">
    <cfRule type="cellIs" dxfId="119" priority="13" operator="equal">
      <formula>0</formula>
    </cfRule>
  </conditionalFormatting>
  <conditionalFormatting sqref="J105:J123">
    <cfRule type="cellIs" dxfId="118" priority="12" operator="equal">
      <formula>0</formula>
    </cfRule>
  </conditionalFormatting>
  <conditionalFormatting sqref="J107:J113">
    <cfRule type="cellIs" dxfId="117" priority="9" operator="equal">
      <formula>0</formula>
    </cfRule>
  </conditionalFormatting>
  <conditionalFormatting sqref="J26">
    <cfRule type="cellIs" dxfId="116" priority="6" operator="equal">
      <formula>0</formula>
    </cfRule>
  </conditionalFormatting>
  <conditionalFormatting sqref="J28">
    <cfRule type="cellIs" dxfId="115" priority="5" operator="equal">
      <formula>0</formula>
    </cfRule>
  </conditionalFormatting>
  <conditionalFormatting sqref="J11:J12">
    <cfRule type="cellIs" dxfId="114" priority="4" operator="equal">
      <formula>0</formula>
    </cfRule>
  </conditionalFormatting>
  <conditionalFormatting sqref="J31:J32">
    <cfRule type="cellIs" dxfId="11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40"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fitToPage="1"/>
  </sheetPr>
  <dimension ref="A1:O88"/>
  <sheetViews>
    <sheetView topLeftCell="A16" zoomScale="115" zoomScaleNormal="115" workbookViewId="0">
      <selection activeCell="B37" sqref="B37"/>
    </sheetView>
  </sheetViews>
  <sheetFormatPr defaultColWidth="0" defaultRowHeight="14" zeroHeight="1"/>
  <cols>
    <col min="1" max="1" width="0.58203125" style="851" customWidth="1"/>
    <col min="2" max="2" width="4.58203125" style="851" customWidth="1"/>
    <col min="3" max="3" width="53.08203125" style="851" customWidth="1"/>
    <col min="4" max="4" width="11.5" style="851" bestFit="1" customWidth="1"/>
    <col min="5" max="6" width="5.58203125" style="851" customWidth="1"/>
    <col min="7" max="7" width="15.58203125" style="851" customWidth="1"/>
    <col min="8" max="8" width="26.08203125" style="851" bestFit="1" customWidth="1"/>
    <col min="9" max="9" width="2.58203125" style="70" customWidth="1"/>
    <col min="10" max="10" width="20.58203125" style="70" customWidth="1"/>
    <col min="11" max="11" width="1.58203125" style="70" customWidth="1"/>
    <col min="12" max="12" width="1.58203125" style="71" hidden="1" customWidth="1"/>
    <col min="13" max="13" width="19.58203125" style="70" hidden="1" customWidth="1"/>
    <col min="14" max="14" width="1.58203125" style="1643" hidden="1" customWidth="1"/>
    <col min="15" max="15" width="8.58203125" style="851" hidden="1" customWidth="1"/>
    <col min="16" max="16384" width="8" style="851" hidden="1"/>
  </cols>
  <sheetData>
    <row r="1" spans="1:14" ht="20">
      <c r="B1" s="66" t="s">
        <v>6632</v>
      </c>
      <c r="C1" s="66"/>
      <c r="D1" s="66"/>
      <c r="E1" s="66"/>
      <c r="F1" s="66"/>
      <c r="G1" s="66"/>
      <c r="H1" s="68" t="str">
        <f>Validation!B3</f>
        <v>Bristol Water</v>
      </c>
      <c r="I1" s="66"/>
      <c r="J1" s="69" t="s">
        <v>32</v>
      </c>
    </row>
    <row r="2" spans="1:14" ht="14.5" thickBot="1">
      <c r="B2" s="73" t="str">
        <f>'4P'!B2</f>
        <v>For the 12 months ended 31 March 2020</v>
      </c>
      <c r="C2" s="965"/>
      <c r="D2" s="965"/>
    </row>
    <row r="3" spans="1:14" s="192" customFormat="1" ht="27.5" thickBot="1">
      <c r="A3" s="851"/>
      <c r="B3" s="967" t="s">
        <v>34</v>
      </c>
      <c r="C3" s="2872"/>
      <c r="D3" s="969" t="s">
        <v>2462</v>
      </c>
      <c r="E3" s="969" t="s">
        <v>36</v>
      </c>
      <c r="F3" s="969" t="s">
        <v>37</v>
      </c>
      <c r="G3" s="2870" t="s">
        <v>156</v>
      </c>
      <c r="H3" s="2824" t="s">
        <v>3638</v>
      </c>
      <c r="I3" s="70"/>
      <c r="J3" s="2824" t="s">
        <v>41</v>
      </c>
      <c r="K3" s="70"/>
      <c r="L3" s="71"/>
      <c r="M3" s="76" t="s">
        <v>45</v>
      </c>
      <c r="N3" s="71"/>
    </row>
    <row r="4" spans="1:14" s="192" customFormat="1" ht="14.5" thickBot="1">
      <c r="A4" s="851"/>
      <c r="B4" s="851"/>
      <c r="C4" s="851"/>
      <c r="D4" s="851"/>
      <c r="E4" s="851"/>
      <c r="F4" s="851"/>
      <c r="G4" s="851"/>
      <c r="H4" s="851"/>
      <c r="I4" s="70"/>
      <c r="J4" s="1063"/>
      <c r="K4" s="70"/>
      <c r="L4" s="71"/>
      <c r="M4" s="85" t="s">
        <v>46</v>
      </c>
      <c r="N4" s="71"/>
    </row>
    <row r="5" spans="1:14" s="192" customFormat="1" ht="14.5" thickBot="1">
      <c r="A5" s="851"/>
      <c r="B5" s="2863" t="s">
        <v>153</v>
      </c>
      <c r="C5" s="1031" t="s">
        <v>6633</v>
      </c>
      <c r="D5" s="851"/>
      <c r="E5" s="851"/>
      <c r="F5" s="851"/>
      <c r="G5" s="851"/>
      <c r="H5" s="851"/>
      <c r="I5" s="70"/>
      <c r="J5" s="1063"/>
      <c r="K5" s="70"/>
      <c r="L5" s="71"/>
      <c r="M5" s="85"/>
      <c r="N5" s="71"/>
    </row>
    <row r="6" spans="1:14" s="192" customFormat="1" ht="20.25" customHeight="1">
      <c r="A6" s="851"/>
      <c r="B6" s="971" t="s">
        <v>6634</v>
      </c>
      <c r="C6" s="1111" t="s">
        <v>6635</v>
      </c>
      <c r="D6" s="1584" t="s">
        <v>6636</v>
      </c>
      <c r="E6" s="1118" t="s">
        <v>6084</v>
      </c>
      <c r="F6" s="974">
        <v>3</v>
      </c>
      <c r="G6" s="975">
        <v>251.13499999999999</v>
      </c>
      <c r="H6" s="1725"/>
      <c r="I6" s="70"/>
      <c r="J6" s="24">
        <f t="shared" ref="J6:J12" si="0" xml:space="preserve"> IF( SUM( L6:N6 ) = 0, 0, $M$4 )</f>
        <v>0</v>
      </c>
      <c r="K6" s="70"/>
      <c r="L6" s="71"/>
      <c r="M6" s="93">
        <f t="shared" ref="M6:M12" si="1" xml:space="preserve"> IF( ISNUMBER( G6 ), 0, 1 )</f>
        <v>0</v>
      </c>
      <c r="N6" s="71"/>
    </row>
    <row r="7" spans="1:14" s="192" customFormat="1" ht="20.25" customHeight="1">
      <c r="A7" s="851"/>
      <c r="B7" s="980" t="s">
        <v>6637</v>
      </c>
      <c r="C7" s="1114" t="s">
        <v>6638</v>
      </c>
      <c r="D7" s="1585" t="s">
        <v>6639</v>
      </c>
      <c r="E7" s="1120" t="s">
        <v>6084</v>
      </c>
      <c r="F7" s="978">
        <v>3</v>
      </c>
      <c r="G7" s="982">
        <v>35.338000000000001</v>
      </c>
      <c r="H7" s="1727"/>
      <c r="I7" s="70"/>
      <c r="J7" s="24">
        <f t="shared" si="0"/>
        <v>0</v>
      </c>
      <c r="K7" s="70"/>
      <c r="L7" s="71"/>
      <c r="M7" s="93">
        <f t="shared" si="1"/>
        <v>0</v>
      </c>
      <c r="N7" s="71"/>
    </row>
    <row r="8" spans="1:14" s="192" customFormat="1" ht="20.25" customHeight="1">
      <c r="A8" s="851"/>
      <c r="B8" s="980" t="s">
        <v>6640</v>
      </c>
      <c r="C8" s="1114" t="s">
        <v>6641</v>
      </c>
      <c r="D8" s="1585" t="s">
        <v>6642</v>
      </c>
      <c r="E8" s="1120" t="s">
        <v>6084</v>
      </c>
      <c r="F8" s="978">
        <v>3</v>
      </c>
      <c r="G8" s="982">
        <v>30.408999999999999</v>
      </c>
      <c r="H8" s="1727"/>
      <c r="I8" s="70"/>
      <c r="J8" s="24">
        <f t="shared" si="0"/>
        <v>0</v>
      </c>
      <c r="K8" s="70"/>
      <c r="L8" s="71"/>
      <c r="M8" s="93">
        <f t="shared" si="1"/>
        <v>0</v>
      </c>
      <c r="N8" s="71"/>
    </row>
    <row r="9" spans="1:14" s="192" customFormat="1" ht="20.25" customHeight="1">
      <c r="A9" s="851"/>
      <c r="B9" s="980" t="s">
        <v>6643</v>
      </c>
      <c r="C9" s="1114" t="s">
        <v>6644</v>
      </c>
      <c r="D9" s="1585" t="s">
        <v>6645</v>
      </c>
      <c r="E9" s="1120" t="s">
        <v>6084</v>
      </c>
      <c r="F9" s="978">
        <v>3</v>
      </c>
      <c r="G9" s="982">
        <v>210.76499999999999</v>
      </c>
      <c r="H9" s="1727"/>
      <c r="I9" s="70"/>
      <c r="J9" s="24">
        <f t="shared" si="0"/>
        <v>0</v>
      </c>
      <c r="K9" s="70"/>
      <c r="L9" s="71"/>
      <c r="M9" s="93">
        <f t="shared" si="1"/>
        <v>0</v>
      </c>
      <c r="N9" s="71"/>
    </row>
    <row r="10" spans="1:14" s="192" customFormat="1" ht="20.25" customHeight="1">
      <c r="A10" s="851"/>
      <c r="B10" s="980" t="s">
        <v>6646</v>
      </c>
      <c r="C10" s="1114" t="s">
        <v>6647</v>
      </c>
      <c r="D10" s="1585" t="s">
        <v>6648</v>
      </c>
      <c r="E10" s="1120" t="s">
        <v>6084</v>
      </c>
      <c r="F10" s="978">
        <v>3</v>
      </c>
      <c r="G10" s="982">
        <v>1.1020000000000001</v>
      </c>
      <c r="H10" s="1727"/>
      <c r="I10" s="70"/>
      <c r="J10" s="24">
        <f t="shared" si="0"/>
        <v>0</v>
      </c>
      <c r="K10" s="70"/>
      <c r="L10" s="71"/>
      <c r="M10" s="93">
        <f t="shared" si="1"/>
        <v>0</v>
      </c>
      <c r="N10" s="71"/>
    </row>
    <row r="11" spans="1:14" s="192" customFormat="1" ht="20.25" customHeight="1">
      <c r="A11" s="851"/>
      <c r="B11" s="980" t="s">
        <v>6649</v>
      </c>
      <c r="C11" s="1114" t="s">
        <v>6650</v>
      </c>
      <c r="D11" s="1585" t="s">
        <v>6651</v>
      </c>
      <c r="E11" s="1120" t="s">
        <v>2465</v>
      </c>
      <c r="F11" s="978">
        <v>3</v>
      </c>
      <c r="G11" s="982">
        <v>33.470999999999997</v>
      </c>
      <c r="H11" s="1727"/>
      <c r="I11" s="70"/>
      <c r="J11" s="24">
        <f t="shared" si="0"/>
        <v>0</v>
      </c>
      <c r="K11" s="70"/>
      <c r="L11" s="71"/>
      <c r="M11" s="93">
        <f t="shared" si="1"/>
        <v>0</v>
      </c>
      <c r="N11" s="71"/>
    </row>
    <row r="12" spans="1:14" s="192" customFormat="1" ht="20.25" customHeight="1">
      <c r="A12" s="851"/>
      <c r="B12" s="980" t="s">
        <v>6652</v>
      </c>
      <c r="C12" s="1114" t="s">
        <v>6653</v>
      </c>
      <c r="D12" s="1585" t="s">
        <v>6654</v>
      </c>
      <c r="E12" s="1120" t="s">
        <v>2465</v>
      </c>
      <c r="F12" s="978">
        <v>3</v>
      </c>
      <c r="G12" s="982">
        <v>512.48500000000001</v>
      </c>
      <c r="H12" s="1727"/>
      <c r="I12" s="70"/>
      <c r="J12" s="24">
        <f t="shared" si="0"/>
        <v>0</v>
      </c>
      <c r="K12" s="70"/>
      <c r="L12" s="71"/>
      <c r="M12" s="93">
        <f t="shared" si="1"/>
        <v>0</v>
      </c>
      <c r="N12" s="71"/>
    </row>
    <row r="13" spans="1:14" s="192" customFormat="1" ht="20.25" customHeight="1">
      <c r="A13" s="851"/>
      <c r="B13" s="980" t="s">
        <v>6655</v>
      </c>
      <c r="C13" s="1114" t="s">
        <v>6656</v>
      </c>
      <c r="D13" s="1585" t="s">
        <v>6657</v>
      </c>
      <c r="E13" s="1120" t="s">
        <v>6084</v>
      </c>
      <c r="F13" s="978">
        <v>3</v>
      </c>
      <c r="G13" s="982">
        <v>545.95600000000002</v>
      </c>
      <c r="H13" s="1727"/>
      <c r="I13" s="70"/>
      <c r="J13" s="24">
        <f t="shared" ref="J13" si="2" xml:space="preserve"> IF( SUM( L13:N13 ) = 0, 0, $M$4 )</f>
        <v>0</v>
      </c>
      <c r="K13" s="70"/>
      <c r="L13" s="71"/>
      <c r="M13" s="93">
        <f t="shared" ref="M13" si="3" xml:space="preserve"> IF( ISNUMBER( G13 ), 0, 1 )</f>
        <v>0</v>
      </c>
      <c r="N13" s="71"/>
    </row>
    <row r="14" spans="1:14" s="192" customFormat="1" ht="20.25" customHeight="1">
      <c r="A14" s="851"/>
      <c r="B14" s="980" t="s">
        <v>6658</v>
      </c>
      <c r="C14" s="1114" t="s">
        <v>6659</v>
      </c>
      <c r="D14" s="1585" t="s">
        <v>6660</v>
      </c>
      <c r="E14" s="1120" t="s">
        <v>6084</v>
      </c>
      <c r="F14" s="978">
        <v>3</v>
      </c>
      <c r="G14" s="982">
        <v>2.3620000000000001</v>
      </c>
      <c r="H14" s="1727"/>
      <c r="I14" s="70"/>
      <c r="J14" s="24">
        <f t="shared" ref="J14:J23" si="4" xml:space="preserve"> IF( SUM( L14:N14 ) = 0, 0, $M$4 )</f>
        <v>0</v>
      </c>
      <c r="K14" s="70"/>
      <c r="L14" s="71"/>
      <c r="M14" s="93">
        <f t="shared" ref="M14:M23" si="5" xml:space="preserve"> IF( ISNUMBER( G14 ), 0, 1 )</f>
        <v>0</v>
      </c>
      <c r="N14" s="71"/>
    </row>
    <row r="15" spans="1:14" s="192" customFormat="1" ht="20.25" customHeight="1">
      <c r="A15" s="851"/>
      <c r="B15" s="980" t="s">
        <v>6661</v>
      </c>
      <c r="C15" s="1114" t="s">
        <v>6662</v>
      </c>
      <c r="D15" s="1585" t="s">
        <v>6663</v>
      </c>
      <c r="E15" s="1120" t="s">
        <v>2465</v>
      </c>
      <c r="F15" s="978">
        <v>3</v>
      </c>
      <c r="G15" s="982">
        <v>0.50900000000000001</v>
      </c>
      <c r="H15" s="1727"/>
      <c r="I15" s="70"/>
      <c r="J15" s="24">
        <f t="shared" si="4"/>
        <v>0</v>
      </c>
      <c r="K15" s="70"/>
      <c r="L15" s="71"/>
      <c r="M15" s="93">
        <f t="shared" si="5"/>
        <v>0</v>
      </c>
      <c r="N15" s="71"/>
    </row>
    <row r="16" spans="1:14" s="192" customFormat="1" ht="20.25" customHeight="1">
      <c r="A16" s="851"/>
      <c r="B16" s="980" t="s">
        <v>6664</v>
      </c>
      <c r="C16" s="1114" t="s">
        <v>6665</v>
      </c>
      <c r="D16" s="1585" t="s">
        <v>6666</v>
      </c>
      <c r="E16" s="1120" t="s">
        <v>6084</v>
      </c>
      <c r="F16" s="978">
        <v>3</v>
      </c>
      <c r="G16" s="982">
        <v>3.972</v>
      </c>
      <c r="H16" s="1727"/>
      <c r="I16" s="70"/>
      <c r="J16" s="24">
        <f t="shared" si="4"/>
        <v>0</v>
      </c>
      <c r="K16" s="70"/>
      <c r="L16" s="71"/>
      <c r="M16" s="93">
        <f t="shared" si="5"/>
        <v>0</v>
      </c>
      <c r="N16" s="71"/>
    </row>
    <row r="17" spans="1:14" s="192" customFormat="1" ht="20.25" customHeight="1">
      <c r="A17" s="851"/>
      <c r="B17" s="980" t="s">
        <v>6667</v>
      </c>
      <c r="C17" s="1114" t="s">
        <v>6668</v>
      </c>
      <c r="D17" s="1585" t="s">
        <v>6669</v>
      </c>
      <c r="E17" s="1120" t="s">
        <v>6084</v>
      </c>
      <c r="F17" s="978">
        <v>3</v>
      </c>
      <c r="G17" s="982">
        <v>7.4429999999999996</v>
      </c>
      <c r="H17" s="1727"/>
      <c r="I17" s="70"/>
      <c r="J17" s="24">
        <f t="shared" si="4"/>
        <v>0</v>
      </c>
      <c r="K17" s="70"/>
      <c r="L17" s="71"/>
      <c r="M17" s="93">
        <f t="shared" si="5"/>
        <v>0</v>
      </c>
      <c r="N17" s="71"/>
    </row>
    <row r="18" spans="1:14" s="192" customFormat="1" ht="20.25" customHeight="1">
      <c r="A18" s="851"/>
      <c r="B18" s="980" t="s">
        <v>6670</v>
      </c>
      <c r="C18" s="1114" t="s">
        <v>6671</v>
      </c>
      <c r="D18" s="1585" t="s">
        <v>6672</v>
      </c>
      <c r="E18" s="1120" t="s">
        <v>6084</v>
      </c>
      <c r="F18" s="978">
        <v>3</v>
      </c>
      <c r="G18" s="982">
        <v>0.23200000000000001</v>
      </c>
      <c r="H18" s="1727"/>
      <c r="I18" s="70"/>
      <c r="J18" s="24">
        <f t="shared" si="4"/>
        <v>0</v>
      </c>
      <c r="K18" s="70"/>
      <c r="L18" s="71"/>
      <c r="M18" s="93">
        <f t="shared" si="5"/>
        <v>0</v>
      </c>
      <c r="N18" s="71"/>
    </row>
    <row r="19" spans="1:14" s="192" customFormat="1" ht="20.25" customHeight="1">
      <c r="A19" s="851"/>
      <c r="B19" s="980" t="s">
        <v>6673</v>
      </c>
      <c r="C19" s="1114" t="s">
        <v>6674</v>
      </c>
      <c r="D19" s="1585" t="s">
        <v>6675</v>
      </c>
      <c r="E19" s="1120" t="s">
        <v>6084</v>
      </c>
      <c r="F19" s="978">
        <v>3</v>
      </c>
      <c r="G19" s="982">
        <v>4.9779999999999998</v>
      </c>
      <c r="H19" s="1727"/>
      <c r="I19" s="70"/>
      <c r="J19" s="24">
        <f t="shared" si="4"/>
        <v>0</v>
      </c>
      <c r="K19" s="70"/>
      <c r="L19" s="71"/>
      <c r="M19" s="93">
        <f t="shared" si="5"/>
        <v>0</v>
      </c>
      <c r="N19" s="71"/>
    </row>
    <row r="20" spans="1:14" s="192" customFormat="1" ht="20.25" customHeight="1">
      <c r="A20" s="851"/>
      <c r="B20" s="980" t="s">
        <v>6676</v>
      </c>
      <c r="C20" s="1114" t="s">
        <v>6677</v>
      </c>
      <c r="D20" s="1585" t="s">
        <v>6678</v>
      </c>
      <c r="E20" s="1120" t="s">
        <v>6084</v>
      </c>
      <c r="F20" s="978">
        <v>3</v>
      </c>
      <c r="G20" s="982">
        <v>1227.0360000000001</v>
      </c>
      <c r="H20" s="1727"/>
      <c r="I20" s="70"/>
      <c r="J20" s="24">
        <f t="shared" si="4"/>
        <v>0</v>
      </c>
      <c r="K20" s="70"/>
      <c r="L20" s="71"/>
      <c r="M20" s="93">
        <f t="shared" si="5"/>
        <v>0</v>
      </c>
      <c r="N20" s="71"/>
    </row>
    <row r="21" spans="1:14" s="192" customFormat="1" ht="20.25" customHeight="1">
      <c r="A21" s="851"/>
      <c r="B21" s="980" t="s">
        <v>6679</v>
      </c>
      <c r="C21" s="1114" t="s">
        <v>6680</v>
      </c>
      <c r="D21" s="1585" t="s">
        <v>6681</v>
      </c>
      <c r="E21" s="1120" t="s">
        <v>6084</v>
      </c>
      <c r="F21" s="978">
        <v>3</v>
      </c>
      <c r="G21" s="982">
        <v>34.787999999999997</v>
      </c>
      <c r="H21" s="1727"/>
      <c r="I21" s="70"/>
      <c r="J21" s="24">
        <f t="shared" si="4"/>
        <v>0</v>
      </c>
      <c r="K21" s="70"/>
      <c r="L21" s="71"/>
      <c r="M21" s="93">
        <f t="shared" si="5"/>
        <v>0</v>
      </c>
      <c r="N21" s="71"/>
    </row>
    <row r="22" spans="1:14" s="192" customFormat="1" ht="20.25" customHeight="1">
      <c r="A22" s="851"/>
      <c r="B22" s="980" t="s">
        <v>6682</v>
      </c>
      <c r="C22" s="1114" t="s">
        <v>6683</v>
      </c>
      <c r="D22" s="1585" t="s">
        <v>6684</v>
      </c>
      <c r="E22" s="1120" t="s">
        <v>6084</v>
      </c>
      <c r="F22" s="978">
        <v>3</v>
      </c>
      <c r="G22" s="982">
        <v>301.68799999999999</v>
      </c>
      <c r="H22" s="1727"/>
      <c r="I22" s="70"/>
      <c r="J22" s="24">
        <f t="shared" si="4"/>
        <v>0</v>
      </c>
      <c r="K22" s="70"/>
      <c r="L22" s="71"/>
      <c r="M22" s="93">
        <f t="shared" si="5"/>
        <v>0</v>
      </c>
      <c r="N22" s="71"/>
    </row>
    <row r="23" spans="1:14" s="192" customFormat="1" ht="20.25" customHeight="1" thickBot="1">
      <c r="A23" s="851"/>
      <c r="B23" s="985" t="s">
        <v>6685</v>
      </c>
      <c r="C23" s="1116" t="s">
        <v>6686</v>
      </c>
      <c r="D23" s="1586" t="s">
        <v>6687</v>
      </c>
      <c r="E23" s="1124" t="s">
        <v>6688</v>
      </c>
      <c r="F23" s="988">
        <v>0</v>
      </c>
      <c r="G23" s="1131">
        <v>2366.5700000000002</v>
      </c>
      <c r="H23" s="1728"/>
      <c r="I23" s="70"/>
      <c r="J23" s="24">
        <f t="shared" si="4"/>
        <v>0</v>
      </c>
      <c r="K23" s="70"/>
      <c r="L23" s="71"/>
      <c r="M23" s="93">
        <f t="shared" si="5"/>
        <v>0</v>
      </c>
      <c r="N23" s="71"/>
    </row>
    <row r="24" spans="1:14" s="192" customFormat="1" ht="14.5" thickBot="1">
      <c r="A24" s="851"/>
      <c r="B24" s="995"/>
      <c r="C24" s="996"/>
      <c r="D24" s="1587"/>
      <c r="E24" s="997"/>
      <c r="F24" s="998"/>
      <c r="G24" s="1151"/>
      <c r="H24" s="1788"/>
      <c r="I24" s="70"/>
      <c r="J24" s="126"/>
      <c r="K24" s="70"/>
      <c r="L24" s="71"/>
      <c r="M24" s="70"/>
      <c r="N24" s="71"/>
    </row>
    <row r="25" spans="1:14" s="192" customFormat="1" ht="14.5" thickBot="1">
      <c r="A25" s="851"/>
      <c r="B25" s="2863" t="s">
        <v>175</v>
      </c>
      <c r="C25" s="1031" t="s">
        <v>29</v>
      </c>
      <c r="D25" s="1587"/>
      <c r="E25" s="997"/>
      <c r="F25" s="998"/>
      <c r="G25" s="1151"/>
      <c r="H25" s="1788"/>
      <c r="I25" s="70"/>
      <c r="J25" s="126"/>
      <c r="K25" s="70"/>
      <c r="L25" s="71"/>
      <c r="M25" s="70"/>
      <c r="N25" s="71"/>
    </row>
    <row r="26" spans="1:14" s="192" customFormat="1" ht="20.25" customHeight="1">
      <c r="A26" s="851"/>
      <c r="B26" s="971" t="s">
        <v>6689</v>
      </c>
      <c r="C26" s="1111" t="s">
        <v>6690</v>
      </c>
      <c r="D26" s="1584" t="s">
        <v>6691</v>
      </c>
      <c r="E26" s="1118" t="s">
        <v>764</v>
      </c>
      <c r="F26" s="974">
        <v>0</v>
      </c>
      <c r="G26" s="1127">
        <v>40</v>
      </c>
      <c r="H26" s="1725"/>
      <c r="I26" s="70"/>
      <c r="J26" s="24">
        <f t="shared" ref="J26:J37" si="6" xml:space="preserve"> IF( SUM( L26:N26 ) = 0, 0, $M$4 )</f>
        <v>0</v>
      </c>
      <c r="K26" s="70"/>
      <c r="L26" s="71"/>
      <c r="M26" s="93">
        <f t="shared" ref="M26:M37" si="7" xml:space="preserve"> IF( ISNUMBER( G26 ), 0, 1 )</f>
        <v>0</v>
      </c>
      <c r="N26" s="71"/>
    </row>
    <row r="27" spans="1:14" s="192" customFormat="1" ht="26.25" customHeight="1">
      <c r="A27" s="851"/>
      <c r="B27" s="980" t="s">
        <v>6692</v>
      </c>
      <c r="C27" s="1114" t="s">
        <v>6693</v>
      </c>
      <c r="D27" s="1585" t="s">
        <v>6694</v>
      </c>
      <c r="E27" s="1120" t="s">
        <v>2449</v>
      </c>
      <c r="F27" s="978">
        <v>2</v>
      </c>
      <c r="G27" s="1123">
        <v>0</v>
      </c>
      <c r="H27" s="1727"/>
      <c r="I27" s="70"/>
      <c r="J27" s="24">
        <f t="shared" si="6"/>
        <v>0</v>
      </c>
      <c r="K27" s="70"/>
      <c r="L27" s="71"/>
      <c r="M27" s="93">
        <f t="shared" si="7"/>
        <v>0</v>
      </c>
      <c r="N27" s="71"/>
    </row>
    <row r="28" spans="1:14" s="192" customFormat="1" ht="26.25" customHeight="1">
      <c r="A28" s="851"/>
      <c r="B28" s="980" t="s">
        <v>6695</v>
      </c>
      <c r="C28" s="1114" t="s">
        <v>6696</v>
      </c>
      <c r="D28" s="1585" t="s">
        <v>6697</v>
      </c>
      <c r="E28" s="1120" t="s">
        <v>2449</v>
      </c>
      <c r="F28" s="978">
        <v>2</v>
      </c>
      <c r="G28" s="1123">
        <v>0</v>
      </c>
      <c r="H28" s="1727"/>
      <c r="I28" s="70"/>
      <c r="J28" s="24">
        <f t="shared" si="6"/>
        <v>0</v>
      </c>
      <c r="K28" s="70"/>
      <c r="L28" s="71"/>
      <c r="M28" s="93">
        <f t="shared" si="7"/>
        <v>0</v>
      </c>
      <c r="N28" s="71"/>
    </row>
    <row r="29" spans="1:14" s="192" customFormat="1" ht="26.25" customHeight="1">
      <c r="A29" s="851"/>
      <c r="B29" s="980" t="s">
        <v>6698</v>
      </c>
      <c r="C29" s="1114" t="s">
        <v>6699</v>
      </c>
      <c r="D29" s="1585" t="s">
        <v>6700</v>
      </c>
      <c r="E29" s="1120" t="s">
        <v>2449</v>
      </c>
      <c r="F29" s="978">
        <v>2</v>
      </c>
      <c r="G29" s="1123">
        <v>4.87</v>
      </c>
      <c r="H29" s="1727"/>
      <c r="I29" s="70"/>
      <c r="J29" s="24">
        <f t="shared" si="6"/>
        <v>0</v>
      </c>
      <c r="K29" s="70"/>
      <c r="L29" s="71"/>
      <c r="M29" s="93">
        <f t="shared" si="7"/>
        <v>0</v>
      </c>
      <c r="N29" s="71"/>
    </row>
    <row r="30" spans="1:14" s="192" customFormat="1" ht="26.25" customHeight="1">
      <c r="A30" s="851"/>
      <c r="B30" s="980" t="s">
        <v>6701</v>
      </c>
      <c r="C30" s="1114" t="s">
        <v>6702</v>
      </c>
      <c r="D30" s="1585" t="s">
        <v>6703</v>
      </c>
      <c r="E30" s="1120" t="s">
        <v>2449</v>
      </c>
      <c r="F30" s="978">
        <v>2</v>
      </c>
      <c r="G30" s="1123">
        <v>4.87</v>
      </c>
      <c r="H30" s="1727"/>
      <c r="I30" s="70"/>
      <c r="J30" s="24">
        <f t="shared" si="6"/>
        <v>0</v>
      </c>
      <c r="K30" s="70"/>
      <c r="L30" s="71"/>
      <c r="M30" s="93">
        <f t="shared" si="7"/>
        <v>0</v>
      </c>
      <c r="N30" s="71"/>
    </row>
    <row r="31" spans="1:14" s="192" customFormat="1" ht="20.25" customHeight="1">
      <c r="A31" s="851"/>
      <c r="B31" s="980" t="s">
        <v>6704</v>
      </c>
      <c r="C31" s="1114" t="s">
        <v>6705</v>
      </c>
      <c r="D31" s="1585" t="s">
        <v>6706</v>
      </c>
      <c r="E31" s="1120" t="s">
        <v>6707</v>
      </c>
      <c r="F31" s="978">
        <v>0</v>
      </c>
      <c r="G31" s="1122">
        <v>72834</v>
      </c>
      <c r="H31" s="1727"/>
      <c r="I31" s="70"/>
      <c r="J31" s="24">
        <f t="shared" si="6"/>
        <v>0</v>
      </c>
      <c r="K31" s="70"/>
      <c r="L31" s="71"/>
      <c r="M31" s="93">
        <f t="shared" si="7"/>
        <v>0</v>
      </c>
      <c r="N31" s="71"/>
    </row>
    <row r="32" spans="1:14" s="192" customFormat="1" ht="20.25" customHeight="1">
      <c r="A32" s="851"/>
      <c r="B32" s="980" t="s">
        <v>6708</v>
      </c>
      <c r="C32" s="1114" t="s">
        <v>6709</v>
      </c>
      <c r="D32" s="1585" t="s">
        <v>6710</v>
      </c>
      <c r="E32" s="1120" t="s">
        <v>6707</v>
      </c>
      <c r="F32" s="978">
        <v>0</v>
      </c>
      <c r="G32" s="1122">
        <v>12021</v>
      </c>
      <c r="H32" s="1727"/>
      <c r="I32" s="70"/>
      <c r="J32" s="24">
        <f t="shared" si="6"/>
        <v>0</v>
      </c>
      <c r="K32" s="70"/>
      <c r="L32" s="71"/>
      <c r="M32" s="93">
        <f t="shared" si="7"/>
        <v>0</v>
      </c>
      <c r="N32" s="71"/>
    </row>
    <row r="33" spans="1:15" s="192" customFormat="1" ht="20.25" customHeight="1">
      <c r="A33" s="851"/>
      <c r="B33" s="980" t="s">
        <v>6711</v>
      </c>
      <c r="C33" s="1114" t="s">
        <v>6712</v>
      </c>
      <c r="D33" s="1585" t="s">
        <v>6713</v>
      </c>
      <c r="E33" s="1120" t="s">
        <v>6707</v>
      </c>
      <c r="F33" s="978">
        <v>0</v>
      </c>
      <c r="G33" s="1780">
        <f>+G31+G32</f>
        <v>84855</v>
      </c>
      <c r="H33" s="1727"/>
      <c r="I33" s="70"/>
      <c r="J33" s="24">
        <f t="shared" si="6"/>
        <v>0</v>
      </c>
      <c r="K33" s="70"/>
      <c r="L33" s="71"/>
      <c r="M33" s="203"/>
      <c r="N33" s="71"/>
    </row>
    <row r="34" spans="1:15" s="192" customFormat="1" ht="20.25" customHeight="1">
      <c r="A34" s="851"/>
      <c r="B34" s="980" t="s">
        <v>6714</v>
      </c>
      <c r="C34" s="1114" t="s">
        <v>6715</v>
      </c>
      <c r="D34" s="1585" t="s">
        <v>6716</v>
      </c>
      <c r="E34" s="1120" t="s">
        <v>732</v>
      </c>
      <c r="F34" s="978">
        <v>2</v>
      </c>
      <c r="G34" s="1152">
        <v>0.99970000000000003</v>
      </c>
      <c r="H34" s="1727"/>
      <c r="I34" s="70"/>
      <c r="J34" s="24">
        <f t="shared" si="6"/>
        <v>0</v>
      </c>
      <c r="K34" s="70"/>
      <c r="L34" s="71"/>
      <c r="M34" s="93">
        <f t="shared" si="7"/>
        <v>0</v>
      </c>
      <c r="N34" s="71"/>
    </row>
    <row r="35" spans="1:15" s="192" customFormat="1" ht="20.25" customHeight="1">
      <c r="A35" s="851"/>
      <c r="B35" s="980" t="s">
        <v>6717</v>
      </c>
      <c r="C35" s="2286" t="s">
        <v>6718</v>
      </c>
      <c r="D35" s="2290" t="s">
        <v>6719</v>
      </c>
      <c r="E35" s="2291" t="s">
        <v>764</v>
      </c>
      <c r="F35" s="1108">
        <v>1</v>
      </c>
      <c r="G35" s="2292">
        <v>2.2999999999999998</v>
      </c>
      <c r="H35" s="1915"/>
      <c r="I35" s="70"/>
      <c r="J35" s="24">
        <f t="shared" ref="J35:J36" si="8" xml:space="preserve"> IF( SUM( L35:N35 ) = 0, 0, $M$4 )</f>
        <v>0</v>
      </c>
      <c r="K35" s="70"/>
      <c r="L35" s="71"/>
      <c r="M35" s="93">
        <f t="shared" ref="M35:M36" si="9" xml:space="preserve"> IF( ISNUMBER( G35 ), 0, 1 )</f>
        <v>0</v>
      </c>
      <c r="N35" s="71"/>
    </row>
    <row r="36" spans="1:15" s="192" customFormat="1" ht="20.25" customHeight="1">
      <c r="A36" s="851"/>
      <c r="B36" s="980" t="s">
        <v>12903</v>
      </c>
      <c r="C36" s="2286" t="s">
        <v>6720</v>
      </c>
      <c r="D36" s="2290" t="s">
        <v>6721</v>
      </c>
      <c r="E36" s="2291" t="s">
        <v>764</v>
      </c>
      <c r="F36" s="1108">
        <v>1</v>
      </c>
      <c r="G36" s="2292">
        <v>121.2</v>
      </c>
      <c r="H36" s="1915"/>
      <c r="I36" s="70"/>
      <c r="J36" s="24">
        <f t="shared" si="8"/>
        <v>0</v>
      </c>
      <c r="K36" s="70"/>
      <c r="L36" s="71"/>
      <c r="M36" s="93">
        <f t="shared" si="9"/>
        <v>0</v>
      </c>
      <c r="N36" s="71"/>
    </row>
    <row r="37" spans="1:15" s="192" customFormat="1" ht="20.25" customHeight="1" thickBot="1">
      <c r="A37" s="851"/>
      <c r="B37" s="985" t="s">
        <v>6722</v>
      </c>
      <c r="C37" s="1116" t="s">
        <v>6723</v>
      </c>
      <c r="D37" s="1586" t="s">
        <v>6724</v>
      </c>
      <c r="E37" s="1124" t="s">
        <v>2449</v>
      </c>
      <c r="F37" s="988">
        <v>3</v>
      </c>
      <c r="G37" s="989">
        <v>-18.795000000000002</v>
      </c>
      <c r="H37" s="1728"/>
      <c r="I37" s="70"/>
      <c r="J37" s="24">
        <f t="shared" si="6"/>
        <v>0</v>
      </c>
      <c r="K37" s="70"/>
      <c r="L37" s="71"/>
      <c r="M37" s="93">
        <f t="shared" si="7"/>
        <v>0</v>
      </c>
      <c r="N37" s="71"/>
    </row>
    <row r="38" spans="1:15" s="110" customFormat="1">
      <c r="A38" s="1001"/>
      <c r="B38" s="1882"/>
      <c r="C38" s="1882"/>
      <c r="D38" s="996"/>
      <c r="E38" s="997"/>
      <c r="F38" s="998"/>
      <c r="G38" s="998"/>
      <c r="H38" s="1788"/>
      <c r="I38" s="1004"/>
      <c r="J38" s="126"/>
      <c r="K38" s="1004"/>
      <c r="L38" s="1644"/>
      <c r="M38" s="70"/>
      <c r="N38" s="1644"/>
      <c r="O38" s="1004"/>
    </row>
    <row r="39" spans="1:15" s="110" customFormat="1">
      <c r="A39" s="1001"/>
      <c r="B39" s="3114" t="s">
        <v>241</v>
      </c>
      <c r="C39" s="3114"/>
      <c r="D39" s="996"/>
      <c r="E39" s="997"/>
      <c r="F39" s="998"/>
      <c r="G39" s="998"/>
      <c r="H39" s="1788"/>
      <c r="I39" s="1004"/>
      <c r="J39" s="126"/>
      <c r="K39" s="1004"/>
      <c r="L39" s="1644"/>
      <c r="M39" s="70"/>
      <c r="N39" s="1644"/>
      <c r="O39" s="1004"/>
    </row>
    <row r="40" spans="1:15" s="110" customFormat="1">
      <c r="A40" s="1001"/>
      <c r="B40" s="2859"/>
      <c r="C40" s="2859"/>
      <c r="D40" s="996"/>
      <c r="E40" s="997"/>
      <c r="F40" s="998"/>
      <c r="G40" s="998"/>
      <c r="H40" s="1788"/>
      <c r="I40" s="1004"/>
      <c r="J40" s="126"/>
      <c r="K40" s="1004"/>
      <c r="L40" s="1644"/>
      <c r="M40" s="70"/>
      <c r="N40" s="1644"/>
      <c r="O40" s="1004"/>
    </row>
    <row r="41" spans="1:15" s="110" customFormat="1">
      <c r="A41" s="163"/>
      <c r="B41" s="929"/>
      <c r="C41" s="930" t="s">
        <v>188</v>
      </c>
      <c r="D41" s="930"/>
      <c r="E41" s="163"/>
      <c r="F41" s="163"/>
      <c r="G41" s="163"/>
      <c r="H41" s="163"/>
      <c r="I41" s="126"/>
      <c r="J41" s="126"/>
      <c r="K41" s="126"/>
      <c r="L41" s="119"/>
      <c r="M41" s="203"/>
      <c r="N41" s="1645"/>
      <c r="O41" s="163"/>
    </row>
    <row r="42" spans="1:15" s="110" customFormat="1">
      <c r="A42" s="163"/>
      <c r="B42" s="927"/>
      <c r="C42" s="928"/>
      <c r="D42" s="928"/>
      <c r="E42" s="163"/>
      <c r="F42" s="163"/>
      <c r="G42" s="163"/>
      <c r="H42" s="163"/>
      <c r="I42" s="126"/>
      <c r="J42" s="126"/>
      <c r="K42" s="126"/>
      <c r="L42" s="119"/>
      <c r="M42" s="203"/>
      <c r="N42" s="1645"/>
      <c r="O42" s="163"/>
    </row>
    <row r="43" spans="1:15" s="110" customFormat="1">
      <c r="A43" s="163"/>
      <c r="B43" s="931"/>
      <c r="C43" s="930" t="s">
        <v>189</v>
      </c>
      <c r="D43" s="930"/>
      <c r="E43" s="163"/>
      <c r="F43" s="163"/>
      <c r="G43" s="163"/>
      <c r="H43" s="163"/>
      <c r="I43" s="126"/>
      <c r="J43" s="126"/>
      <c r="K43" s="126"/>
      <c r="L43" s="119"/>
      <c r="M43" s="203"/>
      <c r="N43" s="1645"/>
      <c r="O43" s="163"/>
    </row>
    <row r="44" spans="1:15" s="110" customFormat="1" ht="14.25" customHeight="1">
      <c r="C44" s="152"/>
      <c r="D44" s="152"/>
      <c r="I44" s="126"/>
      <c r="J44" s="126"/>
      <c r="K44" s="126"/>
      <c r="L44" s="119"/>
      <c r="M44" s="203"/>
      <c r="N44" s="1646"/>
    </row>
    <row r="45" spans="1:15" s="110" customFormat="1" ht="14.25" customHeight="1" thickBot="1">
      <c r="C45" s="152"/>
      <c r="D45" s="152"/>
      <c r="I45" s="126"/>
      <c r="J45" s="126"/>
      <c r="K45" s="126"/>
      <c r="L45" s="119"/>
      <c r="M45" s="203"/>
      <c r="N45" s="1646"/>
    </row>
    <row r="46" spans="1:15" s="110" customFormat="1" ht="14.25" customHeight="1" thickBot="1">
      <c r="B46" s="2886" t="str">
        <f>'4P'!B132:J132</f>
        <v>Please refer to RAG 4.08 - Guideline for the table definitions in the annual performance report for the reporting year 2019-20</v>
      </c>
      <c r="C46" s="932"/>
      <c r="D46" s="932"/>
      <c r="E46" s="933"/>
      <c r="F46" s="933"/>
      <c r="G46" s="933"/>
      <c r="H46" s="933"/>
      <c r="I46" s="933"/>
      <c r="J46" s="934"/>
      <c r="K46" s="126"/>
      <c r="L46" s="119"/>
      <c r="M46" s="203"/>
      <c r="N46" s="1646"/>
    </row>
    <row r="47" spans="1:15" s="110" customFormat="1" ht="14.25" customHeight="1" thickBot="1">
      <c r="C47" s="152"/>
      <c r="D47" s="152"/>
      <c r="I47" s="126"/>
      <c r="J47" s="126"/>
      <c r="K47" s="126"/>
      <c r="L47" s="119"/>
      <c r="M47" s="203"/>
      <c r="N47" s="1646"/>
    </row>
    <row r="48" spans="1:15" s="110" customFormat="1" ht="14.25" hidden="1" customHeight="1" thickBot="1">
      <c r="A48" s="1528"/>
      <c r="B48" s="34" t="str">
        <f ca="1" xml:space="preserve"> RIGHT(CELL("filename", $A$1), LEN(CELL("filename", $A$1)) - SEARCH("]", CELL("filename", $A$1)))&amp;" - Line definitions"</f>
        <v>4Q - Line definitions</v>
      </c>
      <c r="C48" s="932"/>
      <c r="D48" s="932"/>
      <c r="E48" s="933"/>
      <c r="F48" s="933"/>
      <c r="G48" s="933"/>
      <c r="H48" s="933"/>
      <c r="I48" s="933"/>
      <c r="J48" s="934"/>
      <c r="K48" s="126"/>
      <c r="L48" s="119"/>
      <c r="M48" s="302"/>
      <c r="N48" s="1646"/>
    </row>
    <row r="49" spans="1:15" s="110" customFormat="1" ht="14.5" hidden="1" thickBot="1">
      <c r="A49" s="1528"/>
      <c r="B49" s="851"/>
      <c r="C49" s="1005"/>
      <c r="D49" s="1005"/>
      <c r="E49" s="851"/>
      <c r="F49" s="851"/>
      <c r="G49" s="851"/>
      <c r="I49" s="851"/>
      <c r="K49" s="126"/>
      <c r="L49" s="119"/>
      <c r="M49" s="302"/>
      <c r="N49" s="1646"/>
    </row>
    <row r="50" spans="1:15" s="110" customFormat="1" ht="14.5" hidden="1" thickBot="1">
      <c r="A50" s="1528"/>
      <c r="B50" s="2863" t="s">
        <v>153</v>
      </c>
      <c r="C50" s="3356" t="s">
        <v>6633</v>
      </c>
      <c r="D50" s="3316"/>
      <c r="E50" s="3316"/>
      <c r="F50" s="3316"/>
      <c r="G50" s="3316"/>
      <c r="H50" s="3316"/>
      <c r="I50" s="3316"/>
      <c r="J50" s="3317"/>
      <c r="K50" s="126"/>
      <c r="L50" s="119"/>
      <c r="M50" s="302"/>
      <c r="N50" s="1646"/>
    </row>
    <row r="51" spans="1:15" s="110" customFormat="1" ht="25.5" hidden="1" customHeight="1" thickBot="1">
      <c r="A51" s="1529"/>
      <c r="B51" s="1146" t="s">
        <v>191</v>
      </c>
      <c r="C51" s="3357" t="s">
        <v>192</v>
      </c>
      <c r="D51" s="3358"/>
      <c r="E51" s="3358"/>
      <c r="F51" s="3358"/>
      <c r="G51" s="3358"/>
      <c r="H51" s="3358"/>
      <c r="I51" s="3358"/>
      <c r="J51" s="3359"/>
      <c r="K51" s="118"/>
      <c r="L51" s="124"/>
      <c r="M51" s="85" t="s">
        <v>193</v>
      </c>
      <c r="N51" s="1647"/>
      <c r="O51" s="178"/>
    </row>
    <row r="52" spans="1:15" s="110" customFormat="1" ht="25.5" hidden="1" customHeight="1">
      <c r="A52" s="1528"/>
      <c r="B52" s="977">
        <v>1</v>
      </c>
      <c r="C52" s="3360" t="s">
        <v>6725</v>
      </c>
      <c r="D52" s="3361"/>
      <c r="E52" s="3361"/>
      <c r="F52" s="3361"/>
      <c r="G52" s="3361"/>
      <c r="H52" s="3361"/>
      <c r="I52" s="3361"/>
      <c r="J52" s="3362"/>
      <c r="K52" s="118"/>
      <c r="L52" s="124"/>
      <c r="M52" s="202" t="s">
        <v>195</v>
      </c>
      <c r="N52" s="1646"/>
    </row>
    <row r="53" spans="1:15" s="110" customFormat="1" ht="25.5" hidden="1" customHeight="1">
      <c r="A53" s="1528"/>
      <c r="B53" s="980">
        <f>+B52+1</f>
        <v>2</v>
      </c>
      <c r="C53" s="3347" t="s">
        <v>6726</v>
      </c>
      <c r="D53" s="3348"/>
      <c r="E53" s="3348"/>
      <c r="F53" s="3348"/>
      <c r="G53" s="3348"/>
      <c r="H53" s="3348"/>
      <c r="I53" s="3348"/>
      <c r="J53" s="3349"/>
      <c r="K53" s="118"/>
      <c r="L53" s="124"/>
      <c r="M53" s="202" t="s">
        <v>195</v>
      </c>
      <c r="N53" s="1646"/>
    </row>
    <row r="54" spans="1:15" s="110" customFormat="1" ht="38.25" hidden="1" customHeight="1">
      <c r="A54" s="1528"/>
      <c r="B54" s="980">
        <f t="shared" ref="B54:B69" si="10">+B53+1</f>
        <v>3</v>
      </c>
      <c r="C54" s="3347" t="s">
        <v>6727</v>
      </c>
      <c r="D54" s="3348"/>
      <c r="E54" s="3348"/>
      <c r="F54" s="3348"/>
      <c r="G54" s="3348"/>
      <c r="H54" s="3348"/>
      <c r="I54" s="3348"/>
      <c r="J54" s="3349"/>
      <c r="K54" s="118"/>
      <c r="L54" s="124"/>
      <c r="M54" s="202">
        <v>1</v>
      </c>
      <c r="N54" s="1646"/>
    </row>
    <row r="55" spans="1:15" ht="14.25" hidden="1" customHeight="1">
      <c r="A55" s="1528"/>
      <c r="B55" s="980">
        <f t="shared" si="10"/>
        <v>4</v>
      </c>
      <c r="C55" s="3347" t="s">
        <v>6728</v>
      </c>
      <c r="D55" s="3348"/>
      <c r="E55" s="3348"/>
      <c r="F55" s="3348"/>
      <c r="G55" s="3348"/>
      <c r="H55" s="3348"/>
      <c r="I55" s="3348"/>
      <c r="J55" s="3349"/>
      <c r="K55" s="118"/>
      <c r="L55" s="124"/>
      <c r="M55" s="202" t="s">
        <v>195</v>
      </c>
      <c r="N55" s="1646"/>
      <c r="O55" s="110"/>
    </row>
    <row r="56" spans="1:15" ht="22.5" hidden="1" customHeight="1">
      <c r="A56" s="1528"/>
      <c r="B56" s="980">
        <f t="shared" si="10"/>
        <v>5</v>
      </c>
      <c r="C56" s="3347" t="s">
        <v>6729</v>
      </c>
      <c r="D56" s="3348"/>
      <c r="E56" s="3348"/>
      <c r="F56" s="3348"/>
      <c r="G56" s="3348"/>
      <c r="H56" s="3348"/>
      <c r="I56" s="3348"/>
      <c r="J56" s="3349"/>
      <c r="K56" s="118"/>
      <c r="L56" s="124"/>
      <c r="M56" s="202" t="s">
        <v>195</v>
      </c>
      <c r="N56" s="1646"/>
      <c r="O56" s="110"/>
    </row>
    <row r="57" spans="1:15" ht="45" hidden="1" customHeight="1">
      <c r="A57" s="1528"/>
      <c r="B57" s="980">
        <f t="shared" si="10"/>
        <v>6</v>
      </c>
      <c r="C57" s="3347" t="s">
        <v>6730</v>
      </c>
      <c r="D57" s="3348"/>
      <c r="E57" s="3348"/>
      <c r="F57" s="3348"/>
      <c r="G57" s="3348"/>
      <c r="H57" s="3348"/>
      <c r="I57" s="3348"/>
      <c r="J57" s="3349"/>
      <c r="K57" s="118"/>
      <c r="L57" s="124"/>
      <c r="M57" s="202" t="s">
        <v>778</v>
      </c>
      <c r="N57" s="1646"/>
      <c r="O57" s="110"/>
    </row>
    <row r="58" spans="1:15" ht="48" hidden="1" customHeight="1">
      <c r="A58" s="1528"/>
      <c r="B58" s="980">
        <f t="shared" si="10"/>
        <v>7</v>
      </c>
      <c r="C58" s="3347" t="s">
        <v>6731</v>
      </c>
      <c r="D58" s="3348"/>
      <c r="E58" s="3348"/>
      <c r="F58" s="3348"/>
      <c r="G58" s="3348"/>
      <c r="H58" s="3348"/>
      <c r="I58" s="3348"/>
      <c r="J58" s="3349"/>
      <c r="K58" s="118"/>
      <c r="L58" s="124"/>
      <c r="M58" s="202" t="s">
        <v>778</v>
      </c>
      <c r="N58" s="1646"/>
      <c r="O58" s="110"/>
    </row>
    <row r="59" spans="1:15" ht="36" hidden="1" customHeight="1">
      <c r="A59" s="1528"/>
      <c r="B59" s="980">
        <f t="shared" si="10"/>
        <v>8</v>
      </c>
      <c r="C59" s="3363" t="s">
        <v>6732</v>
      </c>
      <c r="D59" s="3364"/>
      <c r="E59" s="3364"/>
      <c r="F59" s="3364"/>
      <c r="G59" s="3364"/>
      <c r="H59" s="3364"/>
      <c r="I59" s="3364"/>
      <c r="J59" s="3365"/>
      <c r="K59" s="118"/>
      <c r="L59" s="124"/>
      <c r="M59" s="202" t="s">
        <v>778</v>
      </c>
      <c r="N59" s="1646"/>
      <c r="O59" s="110"/>
    </row>
    <row r="60" spans="1:15" hidden="1">
      <c r="A60" s="1528"/>
      <c r="B60" s="980">
        <f t="shared" si="10"/>
        <v>9</v>
      </c>
      <c r="C60" s="3347" t="s">
        <v>6733</v>
      </c>
      <c r="D60" s="3348"/>
      <c r="E60" s="3348"/>
      <c r="F60" s="3348"/>
      <c r="G60" s="3348"/>
      <c r="H60" s="3348"/>
      <c r="I60" s="3348"/>
      <c r="J60" s="3349"/>
      <c r="K60" s="118"/>
      <c r="L60" s="124"/>
      <c r="M60" s="202">
        <v>1</v>
      </c>
      <c r="N60" s="1646"/>
      <c r="O60" s="110"/>
    </row>
    <row r="61" spans="1:15" hidden="1">
      <c r="A61" s="1528"/>
      <c r="B61" s="980">
        <f t="shared" si="10"/>
        <v>10</v>
      </c>
      <c r="C61" s="3347" t="s">
        <v>6734</v>
      </c>
      <c r="D61" s="3348"/>
      <c r="E61" s="3348"/>
      <c r="F61" s="3348"/>
      <c r="G61" s="3348"/>
      <c r="H61" s="3348"/>
      <c r="I61" s="3348"/>
      <c r="J61" s="3349"/>
      <c r="K61" s="118"/>
      <c r="L61" s="124"/>
      <c r="M61" s="202">
        <v>1</v>
      </c>
      <c r="N61" s="1646"/>
      <c r="O61" s="110"/>
    </row>
    <row r="62" spans="1:15" ht="51" hidden="1" customHeight="1">
      <c r="A62" s="1528"/>
      <c r="B62" s="980">
        <f t="shared" si="10"/>
        <v>11</v>
      </c>
      <c r="C62" s="3347" t="s">
        <v>6735</v>
      </c>
      <c r="D62" s="3348"/>
      <c r="E62" s="3348"/>
      <c r="F62" s="3348"/>
      <c r="G62" s="3348"/>
      <c r="H62" s="3348"/>
      <c r="I62" s="3348"/>
      <c r="J62" s="3349"/>
      <c r="K62" s="118"/>
      <c r="L62" s="124"/>
      <c r="M62" s="202" t="s">
        <v>778</v>
      </c>
      <c r="N62" s="1646"/>
      <c r="O62" s="110"/>
    </row>
    <row r="63" spans="1:15" ht="24" hidden="1">
      <c r="A63" s="1528"/>
      <c r="B63" s="980">
        <f t="shared" si="10"/>
        <v>12</v>
      </c>
      <c r="C63" s="3347" t="s">
        <v>6736</v>
      </c>
      <c r="D63" s="3348"/>
      <c r="E63" s="3348"/>
      <c r="F63" s="3348"/>
      <c r="G63" s="3348"/>
      <c r="H63" s="3348"/>
      <c r="I63" s="3348"/>
      <c r="J63" s="3349"/>
      <c r="K63" s="118"/>
      <c r="L63" s="124"/>
      <c r="M63" s="202" t="s">
        <v>195</v>
      </c>
      <c r="N63" s="1646"/>
      <c r="O63" s="110"/>
    </row>
    <row r="64" spans="1:15" ht="24" hidden="1">
      <c r="A64" s="1528"/>
      <c r="B64" s="980">
        <f t="shared" si="10"/>
        <v>13</v>
      </c>
      <c r="C64" s="3347" t="s">
        <v>6737</v>
      </c>
      <c r="D64" s="3348"/>
      <c r="E64" s="3348"/>
      <c r="F64" s="3348"/>
      <c r="G64" s="3348"/>
      <c r="H64" s="3348"/>
      <c r="I64" s="3348"/>
      <c r="J64" s="3349"/>
      <c r="K64" s="118"/>
      <c r="L64" s="124"/>
      <c r="M64" s="202" t="s">
        <v>195</v>
      </c>
      <c r="N64" s="1646"/>
      <c r="O64" s="110"/>
    </row>
    <row r="65" spans="1:15" ht="24" hidden="1">
      <c r="A65" s="1528"/>
      <c r="B65" s="980">
        <f t="shared" si="10"/>
        <v>14</v>
      </c>
      <c r="C65" s="3347" t="s">
        <v>6738</v>
      </c>
      <c r="D65" s="3348"/>
      <c r="E65" s="3348"/>
      <c r="F65" s="3348"/>
      <c r="G65" s="3348"/>
      <c r="H65" s="3348"/>
      <c r="I65" s="3348"/>
      <c r="J65" s="3349"/>
      <c r="K65" s="118"/>
      <c r="L65" s="124"/>
      <c r="M65" s="202" t="s">
        <v>195</v>
      </c>
      <c r="N65" s="1646"/>
      <c r="O65" s="110"/>
    </row>
    <row r="66" spans="1:15" ht="36" hidden="1">
      <c r="A66" s="1528"/>
      <c r="B66" s="980">
        <f t="shared" si="10"/>
        <v>15</v>
      </c>
      <c r="C66" s="3347" t="s">
        <v>6739</v>
      </c>
      <c r="D66" s="3348"/>
      <c r="E66" s="3348"/>
      <c r="F66" s="3348"/>
      <c r="G66" s="3348"/>
      <c r="H66" s="3348"/>
      <c r="I66" s="3348"/>
      <c r="J66" s="3349"/>
      <c r="K66" s="118"/>
      <c r="L66" s="124"/>
      <c r="M66" s="202" t="s">
        <v>778</v>
      </c>
      <c r="N66" s="1646"/>
      <c r="O66" s="110"/>
    </row>
    <row r="67" spans="1:15" ht="12.5" hidden="1">
      <c r="A67" s="1662"/>
      <c r="B67" s="980">
        <f t="shared" si="10"/>
        <v>16</v>
      </c>
      <c r="C67" s="3347" t="s">
        <v>6740</v>
      </c>
      <c r="D67" s="3348"/>
      <c r="E67" s="3348"/>
      <c r="F67" s="3348"/>
      <c r="G67" s="3348"/>
      <c r="H67" s="3348"/>
      <c r="I67" s="3348"/>
      <c r="J67" s="3349"/>
      <c r="K67" s="118"/>
      <c r="L67" s="124"/>
      <c r="M67" s="202">
        <v>1</v>
      </c>
    </row>
    <row r="68" spans="1:15" ht="12.5" hidden="1">
      <c r="A68" s="1662"/>
      <c r="B68" s="980">
        <f t="shared" si="10"/>
        <v>17</v>
      </c>
      <c r="C68" s="3347" t="s">
        <v>6741</v>
      </c>
      <c r="D68" s="3348"/>
      <c r="E68" s="3348"/>
      <c r="F68" s="3348"/>
      <c r="G68" s="3348"/>
      <c r="H68" s="3348"/>
      <c r="I68" s="3348"/>
      <c r="J68" s="3349"/>
      <c r="K68" s="118"/>
      <c r="L68" s="124"/>
      <c r="M68" s="202">
        <v>1</v>
      </c>
    </row>
    <row r="69" spans="1:15" ht="13" hidden="1" thickBot="1">
      <c r="A69" s="1662"/>
      <c r="B69" s="985">
        <f t="shared" si="10"/>
        <v>18</v>
      </c>
      <c r="C69" s="3350" t="s">
        <v>6742</v>
      </c>
      <c r="D69" s="3351"/>
      <c r="E69" s="3351"/>
      <c r="F69" s="3351"/>
      <c r="G69" s="3351"/>
      <c r="H69" s="3351"/>
      <c r="I69" s="3351"/>
      <c r="J69" s="3352"/>
      <c r="K69" s="118"/>
      <c r="L69" s="124"/>
      <c r="M69" s="202">
        <v>1</v>
      </c>
    </row>
    <row r="70" spans="1:15" ht="14.5" hidden="1" thickBot="1">
      <c r="A70" s="1662"/>
      <c r="I70" s="130"/>
    </row>
    <row r="71" spans="1:15" s="192" customFormat="1" ht="14.5" hidden="1" thickBot="1">
      <c r="A71" s="1662"/>
      <c r="B71" s="2869" t="s">
        <v>175</v>
      </c>
      <c r="C71" s="1153" t="s">
        <v>29</v>
      </c>
      <c r="D71" s="996"/>
      <c r="E71" s="997"/>
      <c r="F71" s="998"/>
      <c r="G71" s="998"/>
      <c r="H71" s="1000"/>
      <c r="I71" s="70"/>
      <c r="J71" s="126"/>
      <c r="K71" s="70"/>
      <c r="L71" s="71"/>
      <c r="M71" s="70"/>
      <c r="N71" s="71"/>
    </row>
    <row r="72" spans="1:15" ht="40.5" hidden="1" customHeight="1">
      <c r="A72" s="1662"/>
      <c r="B72" s="1154">
        <f>+B69+1</f>
        <v>19</v>
      </c>
      <c r="C72" s="3353" t="s">
        <v>6743</v>
      </c>
      <c r="D72" s="3354"/>
      <c r="E72" s="3354"/>
      <c r="F72" s="3354"/>
      <c r="G72" s="3354"/>
      <c r="H72" s="3354"/>
      <c r="I72" s="3354"/>
      <c r="J72" s="3354"/>
      <c r="K72" s="3354"/>
      <c r="L72" s="3354"/>
      <c r="M72" s="3355"/>
    </row>
    <row r="73" spans="1:15" ht="68.25" hidden="1" customHeight="1">
      <c r="A73" s="1662"/>
      <c r="B73" s="1155">
        <f t="shared" ref="B73:B83" si="11">+B72+1</f>
        <v>20</v>
      </c>
      <c r="C73" s="3329" t="s">
        <v>6744</v>
      </c>
      <c r="D73" s="3345"/>
      <c r="E73" s="3345"/>
      <c r="F73" s="3345"/>
      <c r="G73" s="3345"/>
      <c r="H73" s="3345"/>
      <c r="I73" s="3345"/>
      <c r="J73" s="3345"/>
      <c r="K73" s="3345"/>
      <c r="L73" s="3345"/>
      <c r="M73" s="3346"/>
    </row>
    <row r="74" spans="1:15" ht="55.5" hidden="1" customHeight="1">
      <c r="A74" s="1662"/>
      <c r="B74" s="1155">
        <f t="shared" si="11"/>
        <v>21</v>
      </c>
      <c r="C74" s="3329" t="s">
        <v>6745</v>
      </c>
      <c r="D74" s="3345"/>
      <c r="E74" s="3345"/>
      <c r="F74" s="3345"/>
      <c r="G74" s="3345"/>
      <c r="H74" s="3345"/>
      <c r="I74" s="3345"/>
      <c r="J74" s="3345"/>
      <c r="K74" s="3345"/>
      <c r="L74" s="3345"/>
      <c r="M74" s="3346"/>
    </row>
    <row r="75" spans="1:15" ht="129" hidden="1" customHeight="1">
      <c r="A75" s="1662"/>
      <c r="B75" s="1155">
        <f t="shared" si="11"/>
        <v>22</v>
      </c>
      <c r="C75" s="3329" t="s">
        <v>6746</v>
      </c>
      <c r="D75" s="3330"/>
      <c r="E75" s="3330"/>
      <c r="F75" s="3330"/>
      <c r="G75" s="3330"/>
      <c r="H75" s="3330"/>
      <c r="I75" s="3330"/>
      <c r="J75" s="3330"/>
      <c r="K75" s="3330"/>
      <c r="L75" s="3330"/>
      <c r="M75" s="3331"/>
    </row>
    <row r="76" spans="1:15" ht="104.25" hidden="1" customHeight="1">
      <c r="A76" s="1662"/>
      <c r="B76" s="1155">
        <f t="shared" si="11"/>
        <v>23</v>
      </c>
      <c r="C76" s="3329" t="s">
        <v>6747</v>
      </c>
      <c r="D76" s="3330"/>
      <c r="E76" s="3330"/>
      <c r="F76" s="3330"/>
      <c r="G76" s="3330"/>
      <c r="H76" s="3330"/>
      <c r="I76" s="3330"/>
      <c r="J76" s="3330"/>
      <c r="K76" s="3330"/>
      <c r="L76" s="3330"/>
      <c r="M76" s="3331"/>
    </row>
    <row r="77" spans="1:15" ht="42.75" hidden="1" customHeight="1">
      <c r="A77" s="1662"/>
      <c r="B77" s="1155">
        <f t="shared" si="11"/>
        <v>24</v>
      </c>
      <c r="C77" s="3329" t="s">
        <v>6748</v>
      </c>
      <c r="D77" s="3332"/>
      <c r="E77" s="3332"/>
      <c r="F77" s="3332"/>
      <c r="G77" s="3332"/>
      <c r="H77" s="3332"/>
      <c r="I77" s="3332"/>
      <c r="J77" s="3332"/>
      <c r="K77" s="3332"/>
      <c r="L77" s="3332"/>
      <c r="M77" s="3333"/>
    </row>
    <row r="78" spans="1:15" ht="42.75" hidden="1" customHeight="1">
      <c r="A78" s="1662"/>
      <c r="B78" s="1155">
        <f t="shared" si="11"/>
        <v>25</v>
      </c>
      <c r="C78" s="3329" t="s">
        <v>6749</v>
      </c>
      <c r="D78" s="3332"/>
      <c r="E78" s="3332"/>
      <c r="F78" s="3332"/>
      <c r="G78" s="3332"/>
      <c r="H78" s="3332"/>
      <c r="I78" s="3332"/>
      <c r="J78" s="3332"/>
      <c r="K78" s="3332"/>
      <c r="L78" s="3332"/>
      <c r="M78" s="3333"/>
    </row>
    <row r="79" spans="1:15" ht="12.5" hidden="1">
      <c r="A79" s="1662"/>
      <c r="B79" s="1155">
        <f t="shared" si="11"/>
        <v>26</v>
      </c>
      <c r="C79" s="3329" t="s">
        <v>6750</v>
      </c>
      <c r="D79" s="3332"/>
      <c r="E79" s="3332"/>
      <c r="F79" s="3332"/>
      <c r="G79" s="3332"/>
      <c r="H79" s="3332"/>
      <c r="I79" s="3332"/>
      <c r="J79" s="3332"/>
      <c r="K79" s="3332"/>
      <c r="L79" s="3332"/>
      <c r="M79" s="3333"/>
    </row>
    <row r="80" spans="1:15" ht="29.25" hidden="1" customHeight="1">
      <c r="A80" s="1662"/>
      <c r="B80" s="1155">
        <f t="shared" si="11"/>
        <v>27</v>
      </c>
      <c r="C80" s="3329" t="s">
        <v>6751</v>
      </c>
      <c r="D80" s="3332"/>
      <c r="E80" s="3332"/>
      <c r="F80" s="3332"/>
      <c r="G80" s="3332"/>
      <c r="H80" s="3332"/>
      <c r="I80" s="3332"/>
      <c r="J80" s="3332"/>
      <c r="K80" s="3332"/>
      <c r="L80" s="3332"/>
      <c r="M80" s="3333"/>
    </row>
    <row r="81" spans="1:13" ht="29.25" hidden="1" customHeight="1">
      <c r="A81" s="1662"/>
      <c r="B81" s="1155">
        <f t="shared" si="11"/>
        <v>28</v>
      </c>
      <c r="C81" s="3329" t="s">
        <v>6752</v>
      </c>
      <c r="D81" s="3332"/>
      <c r="E81" s="3332"/>
      <c r="F81" s="3332"/>
      <c r="G81" s="3332"/>
      <c r="H81" s="3332"/>
      <c r="I81" s="3332"/>
      <c r="J81" s="3332"/>
      <c r="K81" s="3332"/>
      <c r="L81" s="3332"/>
      <c r="M81" s="3333"/>
    </row>
    <row r="82" spans="1:13" ht="12.5" hidden="1">
      <c r="A82" s="1662"/>
      <c r="B82" s="1155">
        <f t="shared" si="11"/>
        <v>29</v>
      </c>
      <c r="C82" s="3329" t="s">
        <v>6753</v>
      </c>
      <c r="D82" s="3332"/>
      <c r="E82" s="3332"/>
      <c r="F82" s="3332"/>
      <c r="G82" s="3332"/>
      <c r="H82" s="3332"/>
      <c r="I82" s="3332"/>
      <c r="J82" s="3332"/>
      <c r="K82" s="3332"/>
      <c r="L82" s="3332"/>
      <c r="M82" s="3333"/>
    </row>
    <row r="83" spans="1:13" ht="13" hidden="1" thickBot="1">
      <c r="A83" s="1662"/>
      <c r="B83" s="1156">
        <f t="shared" si="11"/>
        <v>30</v>
      </c>
      <c r="C83" s="3334" t="s">
        <v>6754</v>
      </c>
      <c r="D83" s="3335"/>
      <c r="E83" s="3335"/>
      <c r="F83" s="3335"/>
      <c r="G83" s="3335"/>
      <c r="H83" s="3335"/>
      <c r="I83" s="3335"/>
      <c r="J83" s="3335"/>
      <c r="K83" s="3335"/>
      <c r="L83" s="3335"/>
      <c r="M83" s="3336"/>
    </row>
    <row r="84" spans="1:13" ht="13" hidden="1" thickBot="1">
      <c r="A84" s="1662"/>
      <c r="I84" s="851"/>
      <c r="J84" s="851"/>
      <c r="K84" s="851"/>
      <c r="L84" s="1643"/>
      <c r="M84" s="851"/>
    </row>
    <row r="85" spans="1:13" ht="14.5" thickBot="1">
      <c r="B85" s="3337" t="s">
        <v>3975</v>
      </c>
      <c r="C85" s="3338"/>
      <c r="D85" s="3338"/>
      <c r="E85" s="3338"/>
      <c r="F85" s="3338"/>
      <c r="G85" s="3338"/>
      <c r="H85" s="3338"/>
      <c r="I85" s="3338"/>
      <c r="J85" s="3338"/>
      <c r="K85" s="3338"/>
      <c r="L85" s="3338"/>
      <c r="M85" s="3339"/>
    </row>
    <row r="86" spans="1:13" ht="12.5">
      <c r="B86" s="3340" t="s">
        <v>6755</v>
      </c>
      <c r="C86" s="3341"/>
      <c r="D86" s="3341"/>
      <c r="E86" s="3341"/>
      <c r="F86" s="3341"/>
      <c r="G86" s="3341"/>
      <c r="H86" s="3341"/>
      <c r="I86" s="3341"/>
      <c r="J86" s="3341"/>
      <c r="K86" s="3341"/>
      <c r="L86" s="3341"/>
      <c r="M86" s="3342"/>
    </row>
    <row r="87" spans="1:13" ht="39" customHeight="1">
      <c r="B87" s="3343" t="s">
        <v>6756</v>
      </c>
      <c r="C87" s="3332"/>
      <c r="D87" s="3332"/>
      <c r="E87" s="3332"/>
      <c r="F87" s="3332"/>
      <c r="G87" s="3332"/>
      <c r="H87" s="3332"/>
      <c r="I87" s="3332"/>
      <c r="J87" s="3332"/>
      <c r="K87" s="3332"/>
      <c r="L87" s="3332"/>
      <c r="M87" s="3344"/>
    </row>
    <row r="88" spans="1:13" ht="13" thickBot="1">
      <c r="B88" s="3326"/>
      <c r="C88" s="3327"/>
      <c r="D88" s="3327"/>
      <c r="E88" s="3327"/>
      <c r="F88" s="3327"/>
      <c r="G88" s="3327"/>
      <c r="H88" s="3327"/>
      <c r="I88" s="3327"/>
      <c r="J88" s="3327"/>
      <c r="K88" s="3327"/>
      <c r="L88" s="3327"/>
      <c r="M88" s="3328"/>
    </row>
  </sheetData>
  <mergeCells count="37">
    <mergeCell ref="C60:J60"/>
    <mergeCell ref="B39:C39"/>
    <mergeCell ref="C50:J50"/>
    <mergeCell ref="C51:J51"/>
    <mergeCell ref="C52:J52"/>
    <mergeCell ref="C53:J53"/>
    <mergeCell ref="C54:J54"/>
    <mergeCell ref="C55:J55"/>
    <mergeCell ref="C56:J56"/>
    <mergeCell ref="C57:J57"/>
    <mergeCell ref="C58:J58"/>
    <mergeCell ref="C59:J59"/>
    <mergeCell ref="C74:M74"/>
    <mergeCell ref="C61:J61"/>
    <mergeCell ref="C62:J62"/>
    <mergeCell ref="C63:J63"/>
    <mergeCell ref="C64:J64"/>
    <mergeCell ref="C65:J65"/>
    <mergeCell ref="C66:J66"/>
    <mergeCell ref="C67:J67"/>
    <mergeCell ref="C68:J68"/>
    <mergeCell ref="C69:J69"/>
    <mergeCell ref="C72:M72"/>
    <mergeCell ref="C73:M73"/>
    <mergeCell ref="B88:M88"/>
    <mergeCell ref="C75:M75"/>
    <mergeCell ref="C76:M76"/>
    <mergeCell ref="C77:M77"/>
    <mergeCell ref="C78:M78"/>
    <mergeCell ref="C79:M79"/>
    <mergeCell ref="C80:M80"/>
    <mergeCell ref="C82:M82"/>
    <mergeCell ref="C83:M83"/>
    <mergeCell ref="B85:M85"/>
    <mergeCell ref="B86:M86"/>
    <mergeCell ref="B87:M87"/>
    <mergeCell ref="C81:M81"/>
  </mergeCells>
  <conditionalFormatting sqref="J7:J12 J14:J23 J26:J37">
    <cfRule type="cellIs" dxfId="112" priority="6" operator="equal">
      <formula>0</formula>
    </cfRule>
  </conditionalFormatting>
  <conditionalFormatting sqref="J6:J12 J14:J23">
    <cfRule type="cellIs" dxfId="111" priority="5" operator="equal">
      <formula>0</formula>
    </cfRule>
  </conditionalFormatting>
  <conditionalFormatting sqref="J13">
    <cfRule type="cellIs" dxfId="110" priority="2" operator="equal">
      <formula>0</formula>
    </cfRule>
  </conditionalFormatting>
  <conditionalFormatting sqref="J13">
    <cfRule type="cellIs" dxfId="10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0"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tabColor theme="0" tint="-0.499984740745262"/>
    <pageSetUpPr fitToPage="1"/>
  </sheetPr>
  <dimension ref="A1:N122"/>
  <sheetViews>
    <sheetView workbookViewId="0"/>
  </sheetViews>
  <sheetFormatPr defaultColWidth="0" defaultRowHeight="14" zeroHeight="1"/>
  <cols>
    <col min="1" max="1" width="0.58203125" customWidth="1"/>
    <col min="2" max="2" width="8.58203125" customWidth="1"/>
    <col min="3" max="3" width="84.08203125" customWidth="1"/>
    <col min="4" max="4" width="8.75" customWidth="1"/>
    <col min="5" max="6" width="8.58203125" customWidth="1"/>
    <col min="7" max="7" width="11.58203125" customWidth="1"/>
    <col min="8" max="8" width="37.08203125" customWidth="1"/>
    <col min="9" max="9" width="2.5" customWidth="1"/>
    <col min="10" max="10" width="24" customWidth="1"/>
    <col min="11" max="11" width="1.08203125" customWidth="1"/>
    <col min="12" max="12" width="2.08203125" style="1635" hidden="1" customWidth="1"/>
    <col min="13" max="13" width="19.58203125" hidden="1" customWidth="1"/>
    <col min="14" max="14" width="2.08203125" style="1635" hidden="1" customWidth="1"/>
    <col min="15" max="16384" width="8.58203125" hidden="1"/>
  </cols>
  <sheetData>
    <row r="1" spans="1:14" ht="20">
      <c r="A1" s="1157"/>
      <c r="B1" s="1158" t="s">
        <v>7049</v>
      </c>
      <c r="C1" s="1158"/>
      <c r="D1" s="1158"/>
      <c r="E1" s="1159"/>
      <c r="F1" s="1160"/>
      <c r="G1" s="66"/>
      <c r="H1" s="68" t="str">
        <f>Validation!B3</f>
        <v>Bristol Water</v>
      </c>
      <c r="I1" s="66"/>
      <c r="J1" s="69" t="s">
        <v>32</v>
      </c>
      <c r="K1" s="70"/>
      <c r="L1" s="71"/>
      <c r="M1" s="70"/>
      <c r="N1" s="1643"/>
    </row>
    <row r="2" spans="1:14" ht="16.5" thickBot="1">
      <c r="A2" s="1161"/>
      <c r="B2" s="73" t="str">
        <f>'4Q'!B2</f>
        <v>For the 12 months ended 31 March 2020</v>
      </c>
      <c r="C2" s="1161"/>
      <c r="D2" s="1161"/>
      <c r="E2" s="1162"/>
      <c r="F2" s="1161"/>
      <c r="G2" s="1163"/>
      <c r="H2" s="1161"/>
      <c r="I2" s="1161"/>
      <c r="J2" s="70"/>
      <c r="K2" s="70"/>
      <c r="L2" s="71"/>
      <c r="M2" s="70"/>
      <c r="N2" s="1643"/>
    </row>
    <row r="3" spans="1:14" ht="16.5" thickBot="1">
      <c r="A3" s="1161"/>
      <c r="B3" s="1164" t="s">
        <v>191</v>
      </c>
      <c r="C3" s="1165" t="s">
        <v>3980</v>
      </c>
      <c r="D3" s="184" t="s">
        <v>2462</v>
      </c>
      <c r="E3" s="184" t="s">
        <v>2308</v>
      </c>
      <c r="F3" s="185" t="s">
        <v>37</v>
      </c>
      <c r="G3" s="2870" t="s">
        <v>156</v>
      </c>
      <c r="H3" s="2824" t="s">
        <v>3638</v>
      </c>
      <c r="I3" s="1047"/>
      <c r="J3" s="2824" t="s">
        <v>41</v>
      </c>
      <c r="K3" s="70"/>
      <c r="L3" s="71"/>
      <c r="M3" s="76" t="s">
        <v>45</v>
      </c>
      <c r="N3" s="71"/>
    </row>
    <row r="4" spans="1:14" ht="16.5" thickBot="1">
      <c r="A4" s="1166"/>
      <c r="B4" s="1167"/>
      <c r="C4" s="1167"/>
      <c r="D4" s="1182"/>
      <c r="E4" s="1166"/>
      <c r="F4" s="1166"/>
      <c r="G4" s="1166"/>
      <c r="H4" s="1166"/>
      <c r="I4" s="1166"/>
      <c r="J4" s="1063"/>
      <c r="K4" s="70"/>
      <c r="L4" s="71"/>
      <c r="M4" s="85" t="s">
        <v>46</v>
      </c>
      <c r="N4" s="71"/>
    </row>
    <row r="5" spans="1:14" ht="16.5" thickBot="1">
      <c r="A5" s="1166"/>
      <c r="B5" s="2863" t="s">
        <v>153</v>
      </c>
      <c r="C5" s="1031" t="s">
        <v>7050</v>
      </c>
      <c r="D5" s="1182"/>
      <c r="E5" s="1166"/>
      <c r="F5" s="1166"/>
      <c r="G5" s="1166"/>
      <c r="H5" s="1166"/>
      <c r="I5" s="1166"/>
      <c r="J5" s="1063"/>
      <c r="K5" s="70"/>
      <c r="L5" s="71"/>
      <c r="M5" s="85"/>
      <c r="N5" s="71"/>
    </row>
    <row r="6" spans="1:14" ht="16">
      <c r="A6" s="1168"/>
      <c r="B6" s="971" t="s">
        <v>7051</v>
      </c>
      <c r="C6" s="1076" t="s">
        <v>7052</v>
      </c>
      <c r="D6" s="973" t="s">
        <v>7053</v>
      </c>
      <c r="E6" s="1169" t="s">
        <v>764</v>
      </c>
      <c r="F6" s="1170">
        <v>0</v>
      </c>
      <c r="G6" s="1171"/>
      <c r="H6" s="1094"/>
      <c r="I6" s="1161"/>
      <c r="J6" s="24">
        <f xml:space="preserve"> IF( SUM( L6:N6 ) = 0, 0, $M$4 )</f>
        <v>0</v>
      </c>
      <c r="K6" s="70"/>
      <c r="L6" s="71"/>
      <c r="M6" s="93">
        <f>IF(Validation!$H$3=1,0,IF(ISNUMBER(G6),0,1))</f>
        <v>0</v>
      </c>
      <c r="N6" s="71"/>
    </row>
    <row r="7" spans="1:14" ht="16">
      <c r="A7" s="1168"/>
      <c r="B7" s="980" t="s">
        <v>7054</v>
      </c>
      <c r="C7" s="1093" t="s">
        <v>7055</v>
      </c>
      <c r="D7" s="1172" t="s">
        <v>7056</v>
      </c>
      <c r="E7" s="1881" t="s">
        <v>6448</v>
      </c>
      <c r="F7" s="978">
        <v>0</v>
      </c>
      <c r="G7" s="1173"/>
      <c r="H7" s="1174"/>
      <c r="I7" s="1161"/>
      <c r="J7" s="24">
        <f t="shared" ref="J7:J27" si="0" xml:space="preserve"> IF( SUM( L7:N7 ) = 0, 0, $M$4 )</f>
        <v>0</v>
      </c>
      <c r="K7" s="70"/>
      <c r="L7" s="71"/>
      <c r="M7" s="93">
        <f>IF(Validation!$H$3=1,0,IF(ISNUMBER(G7),0,1))</f>
        <v>0</v>
      </c>
      <c r="N7" s="71"/>
    </row>
    <row r="8" spans="1:14" ht="16">
      <c r="A8" s="1161"/>
      <c r="B8" s="980" t="s">
        <v>7057</v>
      </c>
      <c r="C8" s="981" t="s">
        <v>7058</v>
      </c>
      <c r="D8" s="1881" t="s">
        <v>7059</v>
      </c>
      <c r="E8" s="1881" t="s">
        <v>6226</v>
      </c>
      <c r="F8" s="978">
        <v>0</v>
      </c>
      <c r="G8" s="1175"/>
      <c r="H8" s="1095"/>
      <c r="I8" s="1161"/>
      <c r="J8" s="24">
        <f t="shared" si="0"/>
        <v>0</v>
      </c>
      <c r="K8" s="70"/>
      <c r="L8" s="71"/>
      <c r="M8" s="93">
        <f>IF(Validation!$H$3=1,0,IF(ISNUMBER(G8),0,1))</f>
        <v>0</v>
      </c>
      <c r="N8" s="71"/>
    </row>
    <row r="9" spans="1:14" ht="16">
      <c r="A9" s="1176"/>
      <c r="B9" s="980" t="s">
        <v>7060</v>
      </c>
      <c r="C9" s="981" t="s">
        <v>7061</v>
      </c>
      <c r="D9" s="1881" t="s">
        <v>7062</v>
      </c>
      <c r="E9" s="1881" t="s">
        <v>764</v>
      </c>
      <c r="F9" s="978">
        <v>0</v>
      </c>
      <c r="G9" s="1175"/>
      <c r="H9" s="1095"/>
      <c r="I9" s="1176"/>
      <c r="J9" s="24">
        <f t="shared" si="0"/>
        <v>0</v>
      </c>
      <c r="K9" s="70"/>
      <c r="L9" s="71"/>
      <c r="M9" s="93">
        <f>IF(Validation!$H$3=1,0,IF(ISNUMBER(G9),0,1))</f>
        <v>0</v>
      </c>
      <c r="N9" s="71"/>
    </row>
    <row r="10" spans="1:14" ht="16">
      <c r="A10" s="1177"/>
      <c r="B10" s="980" t="s">
        <v>7063</v>
      </c>
      <c r="C10" s="981" t="s">
        <v>7064</v>
      </c>
      <c r="D10" s="1881" t="s">
        <v>7065</v>
      </c>
      <c r="E10" s="1881" t="s">
        <v>764</v>
      </c>
      <c r="F10" s="978">
        <v>0</v>
      </c>
      <c r="G10" s="1175"/>
      <c r="H10" s="1095"/>
      <c r="I10" s="1176"/>
      <c r="J10" s="24">
        <f t="shared" si="0"/>
        <v>0</v>
      </c>
      <c r="K10" s="70"/>
      <c r="L10" s="71"/>
      <c r="M10" s="93">
        <f>IF(Validation!$H$3=1,0,IF(ISNUMBER(G10),0,1))</f>
        <v>0</v>
      </c>
      <c r="N10" s="71"/>
    </row>
    <row r="11" spans="1:14" ht="16">
      <c r="A11" s="1177"/>
      <c r="B11" s="980" t="s">
        <v>7066</v>
      </c>
      <c r="C11" s="981" t="s">
        <v>7067</v>
      </c>
      <c r="D11" s="1881" t="s">
        <v>7068</v>
      </c>
      <c r="E11" s="1881" t="s">
        <v>764</v>
      </c>
      <c r="F11" s="978">
        <v>0</v>
      </c>
      <c r="G11" s="1175"/>
      <c r="H11" s="1095"/>
      <c r="I11" s="1176"/>
      <c r="J11" s="24">
        <f t="shared" si="0"/>
        <v>0</v>
      </c>
      <c r="K11" s="70"/>
      <c r="L11" s="71"/>
      <c r="M11" s="93">
        <f>IF(Validation!$H$3=1,0,IF(ISNUMBER(G11),0,1))</f>
        <v>0</v>
      </c>
      <c r="N11" s="71"/>
    </row>
    <row r="12" spans="1:14" ht="16">
      <c r="A12" s="1177"/>
      <c r="B12" s="980" t="s">
        <v>7069</v>
      </c>
      <c r="C12" s="981" t="s">
        <v>7070</v>
      </c>
      <c r="D12" s="1881" t="s">
        <v>7071</v>
      </c>
      <c r="E12" s="1881" t="s">
        <v>764</v>
      </c>
      <c r="F12" s="978">
        <v>0</v>
      </c>
      <c r="G12" s="1175"/>
      <c r="H12" s="1095"/>
      <c r="I12" s="1176"/>
      <c r="J12" s="24">
        <f t="shared" si="0"/>
        <v>0</v>
      </c>
      <c r="K12" s="70"/>
      <c r="L12" s="71"/>
      <c r="M12" s="93">
        <f>IF(Validation!$H$3=1,0,IF(ISNUMBER(G12),0,1))</f>
        <v>0</v>
      </c>
      <c r="N12" s="71"/>
    </row>
    <row r="13" spans="1:14" ht="16">
      <c r="A13" s="1161"/>
      <c r="B13" s="980" t="s">
        <v>7072</v>
      </c>
      <c r="C13" s="981" t="s">
        <v>7073</v>
      </c>
      <c r="D13" s="1881" t="s">
        <v>7074</v>
      </c>
      <c r="E13" s="1881" t="s">
        <v>764</v>
      </c>
      <c r="F13" s="978">
        <v>0</v>
      </c>
      <c r="G13" s="1175"/>
      <c r="H13" s="1095"/>
      <c r="I13" s="1161"/>
      <c r="J13" s="24">
        <f t="shared" si="0"/>
        <v>0</v>
      </c>
      <c r="K13" s="70"/>
      <c r="L13" s="71"/>
      <c r="M13" s="93">
        <f>IF(Validation!$H$3=1,0,IF(ISNUMBER(G13),0,1))</f>
        <v>0</v>
      </c>
      <c r="N13" s="71"/>
    </row>
    <row r="14" spans="1:14" ht="16">
      <c r="A14" s="1161"/>
      <c r="B14" s="980" t="s">
        <v>7075</v>
      </c>
      <c r="C14" s="981" t="s">
        <v>7076</v>
      </c>
      <c r="D14" s="1881" t="s">
        <v>7077</v>
      </c>
      <c r="E14" s="1881" t="s">
        <v>764</v>
      </c>
      <c r="F14" s="978">
        <v>0</v>
      </c>
      <c r="G14" s="1178"/>
      <c r="H14" s="1081"/>
      <c r="I14" s="1161"/>
      <c r="J14" s="24">
        <f t="shared" si="0"/>
        <v>0</v>
      </c>
      <c r="K14" s="70"/>
      <c r="L14" s="71"/>
      <c r="M14" s="93">
        <f>IF(Validation!$H$3=1,0,IF(ISNUMBER(G14),0,1))</f>
        <v>0</v>
      </c>
      <c r="N14" s="71"/>
    </row>
    <row r="15" spans="1:14" ht="16">
      <c r="A15" s="1161"/>
      <c r="B15" s="980" t="s">
        <v>7078</v>
      </c>
      <c r="C15" s="981" t="s">
        <v>7079</v>
      </c>
      <c r="D15" s="1881" t="s">
        <v>7080</v>
      </c>
      <c r="E15" s="1881" t="s">
        <v>764</v>
      </c>
      <c r="F15" s="978">
        <v>0</v>
      </c>
      <c r="G15" s="1178"/>
      <c r="H15" s="1081"/>
      <c r="I15" s="1161"/>
      <c r="J15" s="24">
        <f t="shared" si="0"/>
        <v>0</v>
      </c>
      <c r="K15" s="70"/>
      <c r="L15" s="71"/>
      <c r="M15" s="93">
        <f>IF(Validation!$H$3=1,0,IF(ISNUMBER(G15),0,1))</f>
        <v>0</v>
      </c>
      <c r="N15" s="71"/>
    </row>
    <row r="16" spans="1:14" ht="16">
      <c r="A16" s="1161"/>
      <c r="B16" s="980" t="s">
        <v>7081</v>
      </c>
      <c r="C16" s="981" t="s">
        <v>7082</v>
      </c>
      <c r="D16" s="1881" t="s">
        <v>7083</v>
      </c>
      <c r="E16" s="1881" t="s">
        <v>6233</v>
      </c>
      <c r="F16" s="978">
        <v>0</v>
      </c>
      <c r="G16" s="1178"/>
      <c r="H16" s="1081"/>
      <c r="I16" s="1161"/>
      <c r="J16" s="24">
        <f t="shared" si="0"/>
        <v>0</v>
      </c>
      <c r="K16" s="70"/>
      <c r="L16" s="71"/>
      <c r="M16" s="93">
        <f>IF(Validation!$H$3=1,0,IF(ISNUMBER(G16),0,1))</f>
        <v>0</v>
      </c>
      <c r="N16" s="71"/>
    </row>
    <row r="17" spans="1:14" ht="16">
      <c r="A17" s="1161"/>
      <c r="B17" s="980" t="s">
        <v>7084</v>
      </c>
      <c r="C17" s="981" t="s">
        <v>7085</v>
      </c>
      <c r="D17" s="1881" t="s">
        <v>7086</v>
      </c>
      <c r="E17" s="1881" t="s">
        <v>7087</v>
      </c>
      <c r="F17" s="978">
        <v>2</v>
      </c>
      <c r="G17" s="1179"/>
      <c r="H17" s="1081"/>
      <c r="I17" s="1161"/>
      <c r="J17" s="24">
        <f t="shared" si="0"/>
        <v>0</v>
      </c>
      <c r="K17" s="70"/>
      <c r="L17" s="71"/>
      <c r="M17" s="93">
        <f>IF(Validation!$H$3=1,0,IF(ISNUMBER(G17),0,1))</f>
        <v>0</v>
      </c>
      <c r="N17" s="71"/>
    </row>
    <row r="18" spans="1:14" ht="16">
      <c r="A18" s="1161"/>
      <c r="B18" s="980" t="s">
        <v>7088</v>
      </c>
      <c r="C18" s="981" t="s">
        <v>7089</v>
      </c>
      <c r="D18" s="1881" t="s">
        <v>7090</v>
      </c>
      <c r="E18" s="1881" t="s">
        <v>7087</v>
      </c>
      <c r="F18" s="978">
        <v>2</v>
      </c>
      <c r="G18" s="1179"/>
      <c r="H18" s="1081"/>
      <c r="I18" s="1161"/>
      <c r="J18" s="24">
        <f t="shared" si="0"/>
        <v>0</v>
      </c>
      <c r="K18" s="70"/>
      <c r="L18" s="71"/>
      <c r="M18" s="93">
        <f>IF(Validation!$H$3=1,0,IF(ISNUMBER(G18),0,1))</f>
        <v>0</v>
      </c>
      <c r="N18" s="71"/>
    </row>
    <row r="19" spans="1:14" ht="16">
      <c r="A19" s="1161"/>
      <c r="B19" s="980" t="s">
        <v>7091</v>
      </c>
      <c r="C19" s="981" t="s">
        <v>7092</v>
      </c>
      <c r="D19" s="1881" t="s">
        <v>7093</v>
      </c>
      <c r="E19" s="1881" t="s">
        <v>6233</v>
      </c>
      <c r="F19" s="978">
        <v>0</v>
      </c>
      <c r="G19" s="1178"/>
      <c r="H19" s="1081"/>
      <c r="I19" s="1161"/>
      <c r="J19" s="24">
        <f t="shared" si="0"/>
        <v>0</v>
      </c>
      <c r="K19" s="70"/>
      <c r="L19" s="71"/>
      <c r="M19" s="93">
        <f>IF(Validation!$H$3=1,0,IF(ISNUMBER(G19),0,1))</f>
        <v>0</v>
      </c>
      <c r="N19" s="71"/>
    </row>
    <row r="20" spans="1:14" ht="16">
      <c r="A20" s="1161"/>
      <c r="B20" s="980" t="s">
        <v>7094</v>
      </c>
      <c r="C20" s="981" t="s">
        <v>7095</v>
      </c>
      <c r="D20" s="1881" t="s">
        <v>7096</v>
      </c>
      <c r="E20" s="1881" t="s">
        <v>6233</v>
      </c>
      <c r="F20" s="978">
        <v>0</v>
      </c>
      <c r="G20" s="1178"/>
      <c r="H20" s="1081"/>
      <c r="I20" s="1161"/>
      <c r="J20" s="24">
        <f t="shared" si="0"/>
        <v>0</v>
      </c>
      <c r="K20" s="70"/>
      <c r="L20" s="71"/>
      <c r="M20" s="93">
        <f>IF(Validation!$H$3=1,0,IF(ISNUMBER(G20),0,1))</f>
        <v>0</v>
      </c>
      <c r="N20" s="71"/>
    </row>
    <row r="21" spans="1:14" ht="16">
      <c r="A21" s="1161"/>
      <c r="B21" s="980" t="s">
        <v>7097</v>
      </c>
      <c r="C21" s="981" t="s">
        <v>7098</v>
      </c>
      <c r="D21" s="1881" t="s">
        <v>7099</v>
      </c>
      <c r="E21" s="1881" t="s">
        <v>6233</v>
      </c>
      <c r="F21" s="978">
        <v>0</v>
      </c>
      <c r="G21" s="1178"/>
      <c r="H21" s="1081"/>
      <c r="I21" s="1161"/>
      <c r="J21" s="24">
        <f t="shared" si="0"/>
        <v>0</v>
      </c>
      <c r="K21" s="70"/>
      <c r="L21" s="71"/>
      <c r="M21" s="93">
        <f>IF(Validation!$H$3=1,0,IF(ISNUMBER(G21),0,1))</f>
        <v>0</v>
      </c>
      <c r="N21" s="71"/>
    </row>
    <row r="22" spans="1:14" ht="16">
      <c r="A22" s="1176"/>
      <c r="B22" s="980" t="s">
        <v>7100</v>
      </c>
      <c r="C22" s="981" t="s">
        <v>7101</v>
      </c>
      <c r="D22" s="1881" t="s">
        <v>7102</v>
      </c>
      <c r="E22" s="1881" t="s">
        <v>6233</v>
      </c>
      <c r="F22" s="978">
        <v>0</v>
      </c>
      <c r="G22" s="1178"/>
      <c r="H22" s="1081"/>
      <c r="I22" s="1176"/>
      <c r="J22" s="24">
        <f t="shared" si="0"/>
        <v>0</v>
      </c>
      <c r="K22" s="70"/>
      <c r="L22" s="71"/>
      <c r="M22" s="93">
        <f>IF(Validation!$H$3=1,0,IF(ISNUMBER(G22),0,1))</f>
        <v>0</v>
      </c>
      <c r="N22" s="71"/>
    </row>
    <row r="23" spans="1:14" ht="16">
      <c r="A23" s="1176"/>
      <c r="B23" s="980" t="s">
        <v>7103</v>
      </c>
      <c r="C23" s="981" t="s">
        <v>7104</v>
      </c>
      <c r="D23" s="1881" t="s">
        <v>7105</v>
      </c>
      <c r="E23" s="1881" t="s">
        <v>6233</v>
      </c>
      <c r="F23" s="978">
        <v>0</v>
      </c>
      <c r="G23" s="1178"/>
      <c r="H23" s="1081"/>
      <c r="I23" s="1176"/>
      <c r="J23" s="24">
        <f t="shared" si="0"/>
        <v>0</v>
      </c>
      <c r="K23" s="70"/>
      <c r="L23" s="71"/>
      <c r="M23" s="93">
        <f>IF(Validation!$H$3=1,0,IF(ISNUMBER(G23),0,1))</f>
        <v>0</v>
      </c>
      <c r="N23" s="71"/>
    </row>
    <row r="24" spans="1:14" ht="16">
      <c r="A24" s="1176"/>
      <c r="B24" s="980" t="s">
        <v>7106</v>
      </c>
      <c r="C24" s="981" t="s">
        <v>7107</v>
      </c>
      <c r="D24" s="1881" t="s">
        <v>7108</v>
      </c>
      <c r="E24" s="1881" t="s">
        <v>6233</v>
      </c>
      <c r="F24" s="978">
        <v>0</v>
      </c>
      <c r="G24" s="1178"/>
      <c r="H24" s="1081"/>
      <c r="I24" s="1176"/>
      <c r="J24" s="24">
        <f t="shared" si="0"/>
        <v>0</v>
      </c>
      <c r="K24" s="70"/>
      <c r="L24" s="71"/>
      <c r="M24" s="93">
        <f>IF(Validation!$H$3=1,0,IF(ISNUMBER(G24),0,1))</f>
        <v>0</v>
      </c>
      <c r="N24" s="71"/>
    </row>
    <row r="25" spans="1:14" ht="16">
      <c r="A25" s="1176"/>
      <c r="B25" s="980" t="s">
        <v>7109</v>
      </c>
      <c r="C25" s="981" t="s">
        <v>7110</v>
      </c>
      <c r="D25" s="1881" t="s">
        <v>7111</v>
      </c>
      <c r="E25" s="1881" t="s">
        <v>7112</v>
      </c>
      <c r="F25" s="978">
        <v>0</v>
      </c>
      <c r="G25" s="1178"/>
      <c r="H25" s="1081"/>
      <c r="I25" s="1176"/>
      <c r="J25" s="24">
        <f t="shared" si="0"/>
        <v>0</v>
      </c>
      <c r="K25" s="70"/>
      <c r="L25" s="71"/>
      <c r="M25" s="93">
        <f>IF(Validation!$H$3=1,0,IF(ISNUMBER(G25),0,1))</f>
        <v>0</v>
      </c>
      <c r="N25" s="71"/>
    </row>
    <row r="26" spans="1:14" ht="16">
      <c r="A26" s="1176"/>
      <c r="B26" s="980" t="s">
        <v>7113</v>
      </c>
      <c r="C26" s="981" t="s">
        <v>7114</v>
      </c>
      <c r="D26" s="1881" t="s">
        <v>7115</v>
      </c>
      <c r="E26" s="1881" t="s">
        <v>7112</v>
      </c>
      <c r="F26" s="978">
        <v>0</v>
      </c>
      <c r="G26" s="1876">
        <f>SUM(G21:G25)</f>
        <v>0</v>
      </c>
      <c r="H26" s="1081"/>
      <c r="I26" s="1176"/>
      <c r="J26" s="24">
        <f t="shared" si="0"/>
        <v>0</v>
      </c>
      <c r="K26" s="70"/>
      <c r="L26" s="71"/>
      <c r="M26" s="93">
        <f>IF(Validation!$H$3=1,0,IF(ISNUMBER(G26),0,1))</f>
        <v>0</v>
      </c>
      <c r="N26" s="71"/>
    </row>
    <row r="27" spans="1:14" ht="16.5" thickBot="1">
      <c r="A27" s="1176"/>
      <c r="B27" s="985" t="s">
        <v>7116</v>
      </c>
      <c r="C27" s="1086" t="s">
        <v>7117</v>
      </c>
      <c r="D27" s="987" t="s">
        <v>7118</v>
      </c>
      <c r="E27" s="987" t="s">
        <v>6233</v>
      </c>
      <c r="F27" s="988">
        <v>0</v>
      </c>
      <c r="G27" s="1180"/>
      <c r="H27" s="1089"/>
      <c r="I27" s="1161"/>
      <c r="J27" s="24">
        <f t="shared" si="0"/>
        <v>0</v>
      </c>
      <c r="K27" s="70"/>
      <c r="L27" s="71"/>
      <c r="M27" s="93">
        <f>IF(Validation!$H$3=1,0,IF(ISNUMBER(G27),0,1))</f>
        <v>0</v>
      </c>
      <c r="N27" s="71"/>
    </row>
    <row r="28" spans="1:14" ht="16.5" thickBot="1">
      <c r="A28" s="1176"/>
      <c r="B28" s="1181"/>
      <c r="C28" s="1182"/>
      <c r="D28" s="1182"/>
      <c r="E28" s="1183"/>
      <c r="F28" s="1184"/>
      <c r="G28" s="1882"/>
      <c r="H28" s="1882"/>
      <c r="I28" s="1882"/>
      <c r="J28" s="1882"/>
      <c r="K28" s="1882"/>
      <c r="M28" s="1882"/>
    </row>
    <row r="29" spans="1:14" ht="16.5" thickBot="1">
      <c r="A29" s="1176"/>
      <c r="B29" s="2863" t="s">
        <v>175</v>
      </c>
      <c r="C29" s="1031" t="s">
        <v>909</v>
      </c>
      <c r="D29" s="1182"/>
      <c r="E29" s="1183"/>
      <c r="F29" s="1184"/>
      <c r="G29" s="1882"/>
      <c r="H29" s="1882"/>
      <c r="I29" s="1882"/>
      <c r="J29" s="1882"/>
      <c r="K29" s="1882"/>
      <c r="M29" s="1882"/>
    </row>
    <row r="30" spans="1:14" ht="16">
      <c r="A30" s="1176"/>
      <c r="B30" s="86" t="s">
        <v>7119</v>
      </c>
      <c r="C30" s="117" t="s">
        <v>7120</v>
      </c>
      <c r="D30" s="88" t="s">
        <v>7121</v>
      </c>
      <c r="E30" s="88" t="s">
        <v>7122</v>
      </c>
      <c r="F30" s="89">
        <v>1</v>
      </c>
      <c r="G30" s="1185"/>
      <c r="H30" s="1094"/>
      <c r="I30" s="1882"/>
      <c r="J30" s="24">
        <f t="shared" ref="J30:J31" si="1" xml:space="preserve"> IF( SUM( L30:N30 ) = 0, 0, $M$4 )</f>
        <v>0</v>
      </c>
      <c r="K30" s="70"/>
      <c r="L30" s="71"/>
      <c r="M30" s="93">
        <f>IF(Validation!$H$3=1,0,IF(ISNUMBER(G30),0,1))</f>
        <v>0</v>
      </c>
      <c r="N30" s="71"/>
    </row>
    <row r="31" spans="1:14" ht="16">
      <c r="A31" s="1176"/>
      <c r="B31" s="1036" t="s">
        <v>7123</v>
      </c>
      <c r="C31" s="981" t="s">
        <v>7124</v>
      </c>
      <c r="D31" s="1881" t="s">
        <v>7125</v>
      </c>
      <c r="E31" s="1881" t="s">
        <v>7122</v>
      </c>
      <c r="F31" s="978">
        <v>1</v>
      </c>
      <c r="G31" s="1186"/>
      <c r="H31" s="1095"/>
      <c r="I31" s="1882"/>
      <c r="J31" s="24">
        <f t="shared" si="1"/>
        <v>0</v>
      </c>
      <c r="K31" s="70"/>
      <c r="L31" s="71"/>
      <c r="M31" s="93">
        <f>IF(Validation!$H$3=1,0,IF(ISNUMBER(G31),0,1))</f>
        <v>0</v>
      </c>
      <c r="N31" s="71"/>
    </row>
    <row r="32" spans="1:14" ht="16">
      <c r="A32" s="1176"/>
      <c r="B32" s="980" t="s">
        <v>7126</v>
      </c>
      <c r="C32" s="981" t="s">
        <v>7127</v>
      </c>
      <c r="D32" s="1881" t="s">
        <v>7128</v>
      </c>
      <c r="E32" s="1881" t="s">
        <v>7122</v>
      </c>
      <c r="F32" s="978">
        <v>1</v>
      </c>
      <c r="G32" s="1918">
        <f>+G30+G31</f>
        <v>0</v>
      </c>
      <c r="H32" s="1095"/>
      <c r="I32" s="1882"/>
      <c r="J32" s="1882"/>
      <c r="K32" s="1882"/>
      <c r="M32" s="1882"/>
    </row>
    <row r="33" spans="1:14" s="1882" customFormat="1" ht="16.5" thickBot="1">
      <c r="A33" s="1176"/>
      <c r="B33" s="1916" t="s">
        <v>7129</v>
      </c>
      <c r="C33" s="2293" t="s">
        <v>7130</v>
      </c>
      <c r="D33" s="2294" t="s">
        <v>7131</v>
      </c>
      <c r="E33" s="2294" t="s">
        <v>7122</v>
      </c>
      <c r="F33" s="2798">
        <v>1</v>
      </c>
      <c r="G33" s="2797"/>
      <c r="H33" s="1917"/>
      <c r="J33" s="24">
        <f t="shared" ref="J33" si="2" xml:space="preserve"> IF( SUM( L33:N33 ) = 0, 0, $M$4 )</f>
        <v>0</v>
      </c>
      <c r="K33" s="70"/>
      <c r="L33" s="71"/>
      <c r="M33" s="93">
        <f>IF(Validation!$H$3=1,0,IF(ISNUMBER(G33),0,1))</f>
        <v>0</v>
      </c>
      <c r="N33" s="1635"/>
    </row>
    <row r="34" spans="1:14" ht="16.5" thickBot="1">
      <c r="A34" s="1176"/>
      <c r="B34" s="1188"/>
      <c r="C34" s="1189"/>
      <c r="D34" s="1189"/>
      <c r="E34" s="1188"/>
      <c r="F34" s="1190"/>
      <c r="G34" s="1191"/>
      <c r="H34" s="1192"/>
      <c r="I34" s="1882"/>
      <c r="J34" s="1882"/>
      <c r="K34" s="1882"/>
      <c r="M34" s="1882"/>
    </row>
    <row r="35" spans="1:14" ht="16.5" thickBot="1">
      <c r="A35" s="1176"/>
      <c r="B35" s="990" t="s">
        <v>7132</v>
      </c>
      <c r="C35" s="991" t="s">
        <v>7133</v>
      </c>
      <c r="D35" s="1193" t="s">
        <v>7134</v>
      </c>
      <c r="E35" s="1193" t="s">
        <v>732</v>
      </c>
      <c r="F35" s="1194">
        <v>2</v>
      </c>
      <c r="G35" s="1634"/>
      <c r="H35" s="1735"/>
      <c r="I35" s="1882"/>
      <c r="J35" s="24">
        <f xml:space="preserve"> IF( SUM( L35:N35 ) = 0, 0, $M$4 )</f>
        <v>0</v>
      </c>
      <c r="K35" s="70"/>
      <c r="L35" s="71"/>
      <c r="M35" s="93">
        <f>IF(Validation!$H$3=1,0,IF(ISNUMBER(G35),0,1))</f>
        <v>0</v>
      </c>
      <c r="N35" s="71"/>
    </row>
    <row r="36" spans="1:14" ht="16.5" thickBot="1">
      <c r="A36" s="1176"/>
      <c r="B36" s="1195"/>
      <c r="C36" s="1190"/>
      <c r="D36" s="1190"/>
      <c r="E36" s="1195"/>
      <c r="F36" s="1190"/>
      <c r="G36" s="1196"/>
      <c r="H36" s="1197"/>
      <c r="I36" s="1882"/>
      <c r="J36" s="1882"/>
      <c r="K36" s="1882"/>
      <c r="M36" s="1882"/>
    </row>
    <row r="37" spans="1:14" ht="16">
      <c r="A37" s="1176"/>
      <c r="B37" s="86" t="s">
        <v>7135</v>
      </c>
      <c r="C37" s="117" t="s">
        <v>7136</v>
      </c>
      <c r="D37" s="88" t="s">
        <v>7137</v>
      </c>
      <c r="E37" s="88" t="s">
        <v>7122</v>
      </c>
      <c r="F37" s="89">
        <v>1</v>
      </c>
      <c r="G37" s="1185"/>
      <c r="H37" s="1094"/>
      <c r="I37" s="1882"/>
      <c r="J37" s="24">
        <f t="shared" ref="J37:J38" si="3" xml:space="preserve"> IF( SUM( L37:N37 ) = 0, 0, $M$4 )</f>
        <v>0</v>
      </c>
      <c r="K37" s="70"/>
      <c r="L37" s="71"/>
      <c r="M37" s="93">
        <f>IF(Validation!$H$3=1,0,IF(ISNUMBER(G37),0,1))</f>
        <v>0</v>
      </c>
      <c r="N37" s="71"/>
    </row>
    <row r="38" spans="1:14" ht="16">
      <c r="A38" s="1176"/>
      <c r="B38" s="1036" t="s">
        <v>7138</v>
      </c>
      <c r="C38" s="981" t="s">
        <v>7139</v>
      </c>
      <c r="D38" s="1881" t="s">
        <v>7140</v>
      </c>
      <c r="E38" s="1881" t="s">
        <v>7122</v>
      </c>
      <c r="F38" s="978">
        <v>1</v>
      </c>
      <c r="G38" s="1186"/>
      <c r="H38" s="1095"/>
      <c r="I38" s="1882"/>
      <c r="J38" s="24">
        <f t="shared" si="3"/>
        <v>0</v>
      </c>
      <c r="K38" s="70"/>
      <c r="L38" s="71"/>
      <c r="M38" s="93">
        <f>IF(Validation!$H$3=1,0,IF(ISNUMBER(G38),0,1))</f>
        <v>0</v>
      </c>
      <c r="N38" s="71"/>
    </row>
    <row r="39" spans="1:14" ht="16.5" thickBot="1">
      <c r="A39" s="1176"/>
      <c r="B39" s="985" t="s">
        <v>7141</v>
      </c>
      <c r="C39" s="1086" t="s">
        <v>7142</v>
      </c>
      <c r="D39" s="987" t="s">
        <v>7143</v>
      </c>
      <c r="E39" s="987" t="s">
        <v>7122</v>
      </c>
      <c r="F39" s="988">
        <v>1</v>
      </c>
      <c r="G39" s="1877">
        <f>+G37+G38</f>
        <v>0</v>
      </c>
      <c r="H39" s="1089"/>
      <c r="I39" s="1882"/>
      <c r="J39" s="1882"/>
      <c r="K39" s="1882"/>
      <c r="M39" s="1882"/>
    </row>
    <row r="40" spans="1:14" ht="16.5" thickBot="1">
      <c r="A40" s="1176"/>
      <c r="B40" s="1198"/>
      <c r="C40" s="1190"/>
      <c r="D40" s="1190"/>
      <c r="E40" s="1190"/>
      <c r="F40" s="1190"/>
      <c r="G40" s="1199"/>
      <c r="H40" s="1200"/>
      <c r="I40" s="1882"/>
      <c r="J40" s="1882"/>
      <c r="K40" s="1882"/>
      <c r="M40" s="1882"/>
    </row>
    <row r="41" spans="1:14" ht="16">
      <c r="A41" s="1176"/>
      <c r="B41" s="86" t="s">
        <v>7144</v>
      </c>
      <c r="C41" s="117" t="s">
        <v>7145</v>
      </c>
      <c r="D41" s="88" t="s">
        <v>7146</v>
      </c>
      <c r="E41" s="88" t="s">
        <v>7147</v>
      </c>
      <c r="F41" s="89">
        <v>0</v>
      </c>
      <c r="G41" s="1201"/>
      <c r="H41" s="1736"/>
      <c r="I41" s="1882"/>
      <c r="J41" s="24">
        <f t="shared" ref="J41:J43" si="4" xml:space="preserve"> IF( SUM( L41:N41 ) = 0, 0, $M$4 )</f>
        <v>0</v>
      </c>
      <c r="K41" s="70"/>
      <c r="L41" s="71"/>
      <c r="M41" s="93">
        <f>IF(Validation!$H$3=1,0,IF(ISNUMBER(G41),0,1))</f>
        <v>0</v>
      </c>
      <c r="N41" s="71"/>
    </row>
    <row r="42" spans="1:14" ht="16">
      <c r="A42" s="1176"/>
      <c r="B42" s="1036" t="s">
        <v>7148</v>
      </c>
      <c r="C42" s="981" t="s">
        <v>7149</v>
      </c>
      <c r="D42" s="1881" t="s">
        <v>7150</v>
      </c>
      <c r="E42" s="1881" t="s">
        <v>7147</v>
      </c>
      <c r="F42" s="978">
        <v>0</v>
      </c>
      <c r="G42" s="1202"/>
      <c r="H42" s="1737"/>
      <c r="I42" s="1882"/>
      <c r="J42" s="24">
        <f t="shared" si="4"/>
        <v>0</v>
      </c>
      <c r="K42" s="70"/>
      <c r="L42" s="71"/>
      <c r="M42" s="93">
        <f>IF(Validation!$H$3=1,0,IF(ISNUMBER(G42),0,1))</f>
        <v>0</v>
      </c>
      <c r="N42" s="71"/>
    </row>
    <row r="43" spans="1:14" ht="16">
      <c r="A43" s="1176"/>
      <c r="B43" s="1036" t="s">
        <v>7151</v>
      </c>
      <c r="C43" s="981" t="s">
        <v>7152</v>
      </c>
      <c r="D43" s="1881" t="s">
        <v>7153</v>
      </c>
      <c r="E43" s="1881" t="s">
        <v>7147</v>
      </c>
      <c r="F43" s="978">
        <v>0</v>
      </c>
      <c r="G43" s="1203"/>
      <c r="H43" s="1737"/>
      <c r="I43" s="1882"/>
      <c r="J43" s="24">
        <f t="shared" si="4"/>
        <v>0</v>
      </c>
      <c r="K43" s="70"/>
      <c r="L43" s="71"/>
      <c r="M43" s="93">
        <f>IF(Validation!$H$3=1,0,IF(ISNUMBER(G43),0,1))</f>
        <v>0</v>
      </c>
      <c r="N43" s="71"/>
    </row>
    <row r="44" spans="1:14" ht="16.5" thickBot="1">
      <c r="A44" s="1176"/>
      <c r="B44" s="985" t="s">
        <v>7154</v>
      </c>
      <c r="C44" s="1086" t="s">
        <v>7155</v>
      </c>
      <c r="D44" s="987" t="s">
        <v>7156</v>
      </c>
      <c r="E44" s="987" t="s">
        <v>7147</v>
      </c>
      <c r="F44" s="988">
        <v>0</v>
      </c>
      <c r="G44" s="1879">
        <f>+G41+G42+G43</f>
        <v>0</v>
      </c>
      <c r="H44" s="1738"/>
      <c r="I44" s="1882"/>
      <c r="J44" s="1882"/>
      <c r="K44" s="1882"/>
      <c r="M44" s="1882"/>
    </row>
    <row r="45" spans="1:14" ht="16.5" thickBot="1">
      <c r="A45" s="1176"/>
      <c r="B45" s="995"/>
      <c r="C45" s="996"/>
      <c r="D45" s="998"/>
      <c r="E45" s="998"/>
      <c r="F45" s="998"/>
      <c r="G45" s="1204"/>
      <c r="H45" s="1205"/>
      <c r="I45" s="1882"/>
      <c r="J45" s="1882"/>
      <c r="K45" s="1882"/>
      <c r="M45" s="1882"/>
    </row>
    <row r="46" spans="1:14" ht="16.5" thickBot="1">
      <c r="A46" s="1176"/>
      <c r="B46" s="990" t="s">
        <v>7157</v>
      </c>
      <c r="C46" s="991" t="s">
        <v>7158</v>
      </c>
      <c r="D46" s="1193" t="s">
        <v>7159</v>
      </c>
      <c r="E46" s="1193" t="s">
        <v>7160</v>
      </c>
      <c r="F46" s="1194">
        <v>0</v>
      </c>
      <c r="G46" s="1206"/>
      <c r="H46" s="1735"/>
      <c r="I46" s="1882"/>
      <c r="J46" s="24">
        <f xml:space="preserve"> IF( SUM( L46:N46 ) = 0, 0, $M$4 )</f>
        <v>0</v>
      </c>
      <c r="K46" s="70"/>
      <c r="L46" s="71"/>
      <c r="M46" s="93">
        <f>IF(Validation!$H$3=1,0,IF(ISNUMBER(G46),0,1))</f>
        <v>0</v>
      </c>
      <c r="N46" s="71"/>
    </row>
    <row r="47" spans="1:14" ht="16.5" thickBot="1">
      <c r="A47" s="1176"/>
      <c r="B47" s="1207"/>
      <c r="C47" s="1208"/>
      <c r="D47" s="1208"/>
      <c r="E47" s="1207"/>
      <c r="F47" s="1208"/>
      <c r="G47" s="1209"/>
      <c r="H47" s="1210"/>
      <c r="I47" s="1882"/>
      <c r="J47" s="1882"/>
      <c r="K47" s="1882"/>
      <c r="M47" s="1882"/>
    </row>
    <row r="48" spans="1:14" ht="16">
      <c r="A48" s="1176"/>
      <c r="B48" s="1211" t="s">
        <v>7161</v>
      </c>
      <c r="C48" s="802" t="s">
        <v>7162</v>
      </c>
      <c r="D48" s="1212" t="s">
        <v>7163</v>
      </c>
      <c r="E48" s="1212" t="s">
        <v>7147</v>
      </c>
      <c r="F48" s="1213">
        <v>0</v>
      </c>
      <c r="G48" s="1214"/>
      <c r="H48" s="1739"/>
      <c r="I48" s="1882"/>
      <c r="J48" s="24">
        <f t="shared" ref="J48:J50" si="5" xml:space="preserve"> IF( SUM( L48:N48 ) = 0, 0, $M$4 )</f>
        <v>0</v>
      </c>
      <c r="K48" s="70"/>
      <c r="L48" s="71"/>
      <c r="M48" s="93">
        <f>IF(Validation!$H$3=1,0,IF(ISNUMBER(G48),0,1))</f>
        <v>0</v>
      </c>
      <c r="N48" s="71"/>
    </row>
    <row r="49" spans="1:14" ht="16">
      <c r="A49" s="1176"/>
      <c r="B49" s="94" t="s">
        <v>7164</v>
      </c>
      <c r="C49" s="87" t="s">
        <v>7165</v>
      </c>
      <c r="D49" s="95" t="s">
        <v>7166</v>
      </c>
      <c r="E49" s="95" t="s">
        <v>7147</v>
      </c>
      <c r="F49" s="96">
        <v>0</v>
      </c>
      <c r="G49" s="1215"/>
      <c r="H49" s="1095"/>
      <c r="I49" s="1882"/>
      <c r="J49" s="24">
        <f t="shared" si="5"/>
        <v>0</v>
      </c>
      <c r="K49" s="70"/>
      <c r="L49" s="71"/>
      <c r="M49" s="93">
        <f>IF(Validation!$H$3=1,0,IF(ISNUMBER(G49),0,1))</f>
        <v>0</v>
      </c>
      <c r="N49" s="71"/>
    </row>
    <row r="50" spans="1:14" ht="16">
      <c r="A50" s="1176"/>
      <c r="B50" s="1216" t="s">
        <v>7167</v>
      </c>
      <c r="C50" s="171" t="s">
        <v>7168</v>
      </c>
      <c r="D50" s="167" t="s">
        <v>7169</v>
      </c>
      <c r="E50" s="1881" t="s">
        <v>7147</v>
      </c>
      <c r="F50" s="168">
        <v>0</v>
      </c>
      <c r="G50" s="1878"/>
      <c r="H50" s="1740"/>
      <c r="I50" s="1882"/>
      <c r="J50" s="24">
        <f t="shared" si="5"/>
        <v>0</v>
      </c>
      <c r="K50" s="70"/>
      <c r="L50" s="71"/>
      <c r="M50" s="93">
        <f>IF(Validation!$H$3=1,0,IF(ISNUMBER(G50),0,1))</f>
        <v>0</v>
      </c>
      <c r="N50" s="71"/>
    </row>
    <row r="51" spans="1:14" ht="16.5" thickBot="1">
      <c r="A51" s="1176"/>
      <c r="B51" s="985" t="s">
        <v>7170</v>
      </c>
      <c r="C51" s="1086" t="s">
        <v>7171</v>
      </c>
      <c r="D51" s="987" t="s">
        <v>7172</v>
      </c>
      <c r="E51" s="987" t="s">
        <v>7147</v>
      </c>
      <c r="F51" s="988">
        <v>0</v>
      </c>
      <c r="G51" s="1879">
        <f>+G48+G49+G50</f>
        <v>0</v>
      </c>
      <c r="H51" s="1738"/>
      <c r="I51" s="1882"/>
      <c r="J51" s="1882"/>
      <c r="K51" s="1882"/>
      <c r="M51" s="1882"/>
    </row>
    <row r="52" spans="1:14" ht="16.5" thickBot="1">
      <c r="A52" s="1176"/>
      <c r="B52" s="995"/>
      <c r="C52" s="996"/>
      <c r="D52" s="998"/>
      <c r="E52" s="998"/>
      <c r="F52" s="998"/>
      <c r="G52" s="1204"/>
      <c r="H52" s="1205"/>
      <c r="I52" s="1882"/>
      <c r="J52" s="1882"/>
      <c r="K52" s="1882"/>
      <c r="M52" s="1882"/>
    </row>
    <row r="53" spans="1:14" ht="16.5" thickBot="1">
      <c r="A53" s="1176"/>
      <c r="B53" s="990" t="s">
        <v>7173</v>
      </c>
      <c r="C53" s="991" t="s">
        <v>7174</v>
      </c>
      <c r="D53" s="1193" t="s">
        <v>7175</v>
      </c>
      <c r="E53" s="1193" t="s">
        <v>7160</v>
      </c>
      <c r="F53" s="1194">
        <v>0</v>
      </c>
      <c r="G53" s="1206"/>
      <c r="H53" s="1735"/>
      <c r="I53" s="1882"/>
      <c r="J53" s="24">
        <f xml:space="preserve"> IF( SUM( L53:N53 ) = 0, 0, $M$4 )</f>
        <v>0</v>
      </c>
      <c r="K53" s="70"/>
      <c r="L53" s="71"/>
      <c r="M53" s="93">
        <f>IF(Validation!$H$3=1,0,IF(ISNUMBER(G53),0,1))</f>
        <v>0</v>
      </c>
      <c r="N53" s="71"/>
    </row>
    <row r="54" spans="1:14" ht="16.5" thickBot="1">
      <c r="A54" s="1176"/>
      <c r="B54" s="1190"/>
      <c r="C54" s="1190"/>
      <c r="D54" s="1190"/>
      <c r="E54" s="1190"/>
      <c r="F54" s="1190"/>
      <c r="G54" s="1217"/>
      <c r="H54" s="1217"/>
      <c r="I54" s="1882"/>
      <c r="J54" s="1882"/>
      <c r="K54" s="1882"/>
      <c r="M54" s="1882"/>
    </row>
    <row r="55" spans="1:14" ht="16.5" thickBot="1">
      <c r="A55" s="1176"/>
      <c r="B55" s="990" t="s">
        <v>7176</v>
      </c>
      <c r="C55" s="991" t="s">
        <v>7177</v>
      </c>
      <c r="D55" s="1193" t="s">
        <v>7178</v>
      </c>
      <c r="E55" s="1193" t="s">
        <v>732</v>
      </c>
      <c r="F55" s="1194">
        <v>2</v>
      </c>
      <c r="G55" s="1633"/>
      <c r="H55" s="1735"/>
      <c r="I55" s="1882"/>
      <c r="J55" s="24">
        <f xml:space="preserve"> IF( SUM( L55:N55 ) = 0, 0, $M$4 )</f>
        <v>0</v>
      </c>
      <c r="K55" s="70"/>
      <c r="L55" s="71"/>
      <c r="M55" s="93">
        <f>IF(Validation!$H$3=1,0,IF(ISNUMBER(G55),0,1))</f>
        <v>0</v>
      </c>
      <c r="N55" s="71"/>
    </row>
    <row r="56" spans="1:14" ht="16">
      <c r="A56" s="1176"/>
      <c r="B56" s="995"/>
      <c r="C56" s="996"/>
      <c r="D56" s="998"/>
      <c r="E56" s="998"/>
      <c r="F56" s="998"/>
      <c r="G56" s="998"/>
      <c r="H56" s="998"/>
      <c r="I56" s="1882"/>
      <c r="J56" s="1882"/>
      <c r="K56" s="1882"/>
      <c r="M56" s="1882"/>
    </row>
    <row r="57" spans="1:14" ht="16">
      <c r="A57" s="1176"/>
      <c r="B57" s="3381" t="s">
        <v>241</v>
      </c>
      <c r="C57" s="3381"/>
      <c r="D57" s="996"/>
      <c r="E57" s="997"/>
      <c r="F57" s="998"/>
      <c r="G57" s="1882"/>
      <c r="H57" s="1882"/>
      <c r="I57" s="1882"/>
      <c r="J57" s="1882"/>
      <c r="K57" s="1882"/>
      <c r="M57" s="1882"/>
    </row>
    <row r="58" spans="1:14" ht="16">
      <c r="A58" s="1176"/>
      <c r="B58" s="995"/>
      <c r="C58" s="1002"/>
      <c r="D58" s="996"/>
      <c r="E58" s="997"/>
      <c r="F58" s="998"/>
      <c r="G58" s="1882"/>
      <c r="H58" s="1882"/>
      <c r="I58" s="1882"/>
      <c r="J58" s="1882"/>
      <c r="K58" s="1882"/>
      <c r="M58" s="1882"/>
    </row>
    <row r="59" spans="1:14" ht="16">
      <c r="A59" s="1176"/>
      <c r="B59" s="1218"/>
      <c r="C59" s="1096" t="s">
        <v>188</v>
      </c>
      <c r="D59" s="930"/>
      <c r="E59" s="1187"/>
      <c r="F59" s="1187"/>
      <c r="G59" s="1882"/>
      <c r="H59" s="1882"/>
      <c r="I59" s="1882"/>
      <c r="J59" s="1882"/>
      <c r="K59" s="1882"/>
      <c r="M59" s="1882"/>
    </row>
    <row r="60" spans="1:14" ht="16">
      <c r="A60" s="1176"/>
      <c r="B60" s="1219"/>
      <c r="C60" s="1096"/>
      <c r="D60" s="930"/>
      <c r="E60" s="1187"/>
      <c r="F60" s="1187"/>
      <c r="G60" s="1882"/>
      <c r="H60" s="1882"/>
      <c r="I60" s="1882"/>
      <c r="J60" s="1882"/>
      <c r="K60" s="1882"/>
      <c r="M60" s="1882"/>
    </row>
    <row r="61" spans="1:14" ht="16">
      <c r="A61" s="1882"/>
      <c r="B61" s="931"/>
      <c r="C61" s="1220" t="s">
        <v>4346</v>
      </c>
      <c r="D61" s="966"/>
      <c r="E61" s="966"/>
      <c r="F61" s="966"/>
      <c r="G61" s="1882"/>
      <c r="H61" s="1882"/>
      <c r="I61" s="1882"/>
      <c r="J61" s="1882"/>
      <c r="K61" s="1882"/>
      <c r="M61" s="1882"/>
    </row>
    <row r="62" spans="1:14">
      <c r="A62" s="1882"/>
      <c r="B62" s="1882"/>
      <c r="C62" s="1882"/>
      <c r="D62" s="1882"/>
      <c r="E62" s="1882"/>
      <c r="F62" s="1882"/>
      <c r="G62" s="1882"/>
      <c r="H62" s="1882"/>
      <c r="I62" s="1882"/>
      <c r="J62" s="1882"/>
      <c r="K62" s="1882"/>
      <c r="M62" s="1882"/>
    </row>
    <row r="63" spans="1:14" ht="14.5" thickBot="1">
      <c r="A63" s="1882"/>
      <c r="B63" s="1882"/>
      <c r="C63" s="1882"/>
      <c r="D63" s="1882"/>
      <c r="E63" s="1882"/>
      <c r="F63" s="1882"/>
      <c r="G63" s="1882"/>
      <c r="H63" s="1882"/>
      <c r="I63" s="1882"/>
      <c r="J63" s="1882"/>
      <c r="K63" s="1882"/>
      <c r="M63" s="1882"/>
    </row>
    <row r="64" spans="1:14" ht="15.5" thickBot="1">
      <c r="A64" s="1882"/>
      <c r="B64" s="2866" t="str">
        <f>'4Q'!B46</f>
        <v>Please refer to RAG 4.08 - Guideline for the table definitions in the annual performance report for the reporting year 2019-20</v>
      </c>
      <c r="C64" s="2878"/>
      <c r="D64" s="2878"/>
      <c r="E64" s="2878"/>
      <c r="F64" s="2878"/>
      <c r="G64" s="2878"/>
      <c r="H64" s="2878"/>
      <c r="I64" s="2878"/>
      <c r="J64" s="2879"/>
      <c r="K64" s="1882"/>
      <c r="M64" s="1882"/>
    </row>
    <row r="65" spans="1:10">
      <c r="A65" s="1882"/>
      <c r="B65" s="1882"/>
      <c r="C65" s="1882"/>
      <c r="D65" s="1882"/>
      <c r="E65" s="1882"/>
      <c r="F65" s="1882"/>
      <c r="G65" s="1882"/>
      <c r="H65" s="1882"/>
      <c r="I65" s="1882"/>
      <c r="J65" s="1882"/>
    </row>
    <row r="66" spans="1:10" ht="15.5" hidden="1" thickBot="1">
      <c r="A66" s="1571"/>
      <c r="B66" s="3228" t="str">
        <f ca="1" xml:space="preserve"> RIGHT(CELL("filename", $A$1), LEN(CELL("filename", $A$1)) - SEARCH("]", CELL("filename", $A$1)))&amp;" - Line definitions"</f>
        <v>4R - Line definitions</v>
      </c>
      <c r="C66" s="3289"/>
      <c r="D66" s="3289"/>
      <c r="E66" s="3289"/>
      <c r="F66" s="3289"/>
      <c r="G66" s="3289"/>
      <c r="H66" s="3289"/>
      <c r="I66" s="3289"/>
      <c r="J66" s="3290"/>
    </row>
    <row r="67" spans="1:10" ht="16.5" hidden="1" thickBot="1">
      <c r="A67" s="1571"/>
      <c r="B67" s="1161"/>
      <c r="C67" s="1161"/>
      <c r="D67" s="1161"/>
      <c r="E67" s="1161"/>
      <c r="F67" s="1161"/>
      <c r="G67" s="1161"/>
      <c r="H67" s="1161"/>
      <c r="I67" s="1161"/>
      <c r="J67" s="1161"/>
    </row>
    <row r="68" spans="1:10" ht="14.5" hidden="1" thickBot="1">
      <c r="A68" s="1571"/>
      <c r="B68" s="1043" t="s">
        <v>191</v>
      </c>
      <c r="C68" s="3382" t="s">
        <v>5910</v>
      </c>
      <c r="D68" s="3383"/>
      <c r="E68" s="3383"/>
      <c r="F68" s="3383"/>
      <c r="G68" s="3383"/>
      <c r="H68" s="3383"/>
      <c r="I68" s="3383"/>
      <c r="J68" s="3384"/>
    </row>
    <row r="69" spans="1:10" ht="14.25" hidden="1" customHeight="1">
      <c r="A69" s="1571"/>
      <c r="B69" s="1098">
        <v>1</v>
      </c>
      <c r="C69" s="3385" t="s">
        <v>7179</v>
      </c>
      <c r="D69" s="3386"/>
      <c r="E69" s="3386"/>
      <c r="F69" s="3386"/>
      <c r="G69" s="3386"/>
      <c r="H69" s="3386"/>
      <c r="I69" s="3386"/>
      <c r="J69" s="3387"/>
    </row>
    <row r="70" spans="1:10" hidden="1">
      <c r="A70" s="1571"/>
      <c r="B70" s="1221">
        <f>+B69+1</f>
        <v>2</v>
      </c>
      <c r="C70" s="3121" t="s">
        <v>7180</v>
      </c>
      <c r="D70" s="3122"/>
      <c r="E70" s="3122"/>
      <c r="F70" s="3122"/>
      <c r="G70" s="3122"/>
      <c r="H70" s="3122"/>
      <c r="I70" s="3122"/>
      <c r="J70" s="3123"/>
    </row>
    <row r="71" spans="1:10" ht="26.65" hidden="1" customHeight="1">
      <c r="A71" s="1571"/>
      <c r="B71" s="1221">
        <f t="shared" ref="B71:B90" si="6">+B70+1</f>
        <v>3</v>
      </c>
      <c r="C71" s="3121" t="s">
        <v>7181</v>
      </c>
      <c r="D71" s="3122"/>
      <c r="E71" s="3122"/>
      <c r="F71" s="3122"/>
      <c r="G71" s="3122"/>
      <c r="H71" s="3122"/>
      <c r="I71" s="3122"/>
      <c r="J71" s="3123"/>
    </row>
    <row r="72" spans="1:10" ht="26.25" hidden="1" customHeight="1">
      <c r="A72" s="1571"/>
      <c r="B72" s="1221">
        <f t="shared" si="6"/>
        <v>4</v>
      </c>
      <c r="C72" s="3121" t="s">
        <v>7182</v>
      </c>
      <c r="D72" s="3122"/>
      <c r="E72" s="3122"/>
      <c r="F72" s="3122"/>
      <c r="G72" s="3122"/>
      <c r="H72" s="3122"/>
      <c r="I72" s="3122"/>
      <c r="J72" s="3123"/>
    </row>
    <row r="73" spans="1:10" ht="28.15" hidden="1" customHeight="1">
      <c r="A73" s="1571"/>
      <c r="B73" s="1221">
        <f t="shared" si="6"/>
        <v>5</v>
      </c>
      <c r="C73" s="3121" t="s">
        <v>7183</v>
      </c>
      <c r="D73" s="3122"/>
      <c r="E73" s="3122"/>
      <c r="F73" s="3122"/>
      <c r="G73" s="3122"/>
      <c r="H73" s="3122"/>
      <c r="I73" s="3122"/>
      <c r="J73" s="3123"/>
    </row>
    <row r="74" spans="1:10" ht="24" hidden="1" customHeight="1">
      <c r="A74" s="1571"/>
      <c r="B74" s="1221">
        <f t="shared" si="6"/>
        <v>6</v>
      </c>
      <c r="C74" s="3121" t="s">
        <v>7184</v>
      </c>
      <c r="D74" s="3122"/>
      <c r="E74" s="3122"/>
      <c r="F74" s="3122"/>
      <c r="G74" s="3122"/>
      <c r="H74" s="3122"/>
      <c r="I74" s="3122"/>
      <c r="J74" s="3123"/>
    </row>
    <row r="75" spans="1:10" ht="27.75" hidden="1" customHeight="1">
      <c r="A75" s="1571"/>
      <c r="B75" s="1221">
        <f t="shared" si="6"/>
        <v>7</v>
      </c>
      <c r="C75" s="3121" t="s">
        <v>7185</v>
      </c>
      <c r="D75" s="3122"/>
      <c r="E75" s="3122"/>
      <c r="F75" s="3122"/>
      <c r="G75" s="3122"/>
      <c r="H75" s="3122"/>
      <c r="I75" s="3122"/>
      <c r="J75" s="3123"/>
    </row>
    <row r="76" spans="1:10" ht="14.25" hidden="1" customHeight="1">
      <c r="A76" s="1571"/>
      <c r="B76" s="1221">
        <f t="shared" si="6"/>
        <v>8</v>
      </c>
      <c r="C76" s="3121" t="s">
        <v>7186</v>
      </c>
      <c r="D76" s="3122"/>
      <c r="E76" s="3122"/>
      <c r="F76" s="3122"/>
      <c r="G76" s="3122"/>
      <c r="H76" s="3122"/>
      <c r="I76" s="3122"/>
      <c r="J76" s="3123"/>
    </row>
    <row r="77" spans="1:10" ht="39" hidden="1" customHeight="1">
      <c r="A77" s="1571"/>
      <c r="B77" s="1221">
        <f t="shared" si="6"/>
        <v>9</v>
      </c>
      <c r="C77" s="3121" t="s">
        <v>7187</v>
      </c>
      <c r="D77" s="3122"/>
      <c r="E77" s="3122"/>
      <c r="F77" s="3122"/>
      <c r="G77" s="3122"/>
      <c r="H77" s="3122"/>
      <c r="I77" s="3122"/>
      <c r="J77" s="3123"/>
    </row>
    <row r="78" spans="1:10" hidden="1">
      <c r="A78" s="1571"/>
      <c r="B78" s="1221">
        <f t="shared" si="6"/>
        <v>10</v>
      </c>
      <c r="C78" s="3121" t="s">
        <v>7188</v>
      </c>
      <c r="D78" s="3122"/>
      <c r="E78" s="3122"/>
      <c r="F78" s="3122"/>
      <c r="G78" s="3122"/>
      <c r="H78" s="3122"/>
      <c r="I78" s="3122"/>
      <c r="J78" s="3123"/>
    </row>
    <row r="79" spans="1:10" ht="26.25" hidden="1" customHeight="1">
      <c r="A79" s="1571"/>
      <c r="B79" s="1221">
        <f t="shared" si="6"/>
        <v>11</v>
      </c>
      <c r="C79" s="3121" t="s">
        <v>7189</v>
      </c>
      <c r="D79" s="3122"/>
      <c r="E79" s="3122"/>
      <c r="F79" s="3122"/>
      <c r="G79" s="3122"/>
      <c r="H79" s="3122"/>
      <c r="I79" s="3122"/>
      <c r="J79" s="3123"/>
    </row>
    <row r="80" spans="1:10" hidden="1">
      <c r="A80" s="1571"/>
      <c r="B80" s="1221">
        <f t="shared" si="6"/>
        <v>12</v>
      </c>
      <c r="C80" s="3121" t="s">
        <v>7190</v>
      </c>
      <c r="D80" s="3122"/>
      <c r="E80" s="3122"/>
      <c r="F80" s="3122"/>
      <c r="G80" s="3122"/>
      <c r="H80" s="3122"/>
      <c r="I80" s="3122"/>
      <c r="J80" s="3123"/>
    </row>
    <row r="81" spans="1:13" ht="26.25" hidden="1" customHeight="1">
      <c r="A81" s="1571"/>
      <c r="B81" s="1221">
        <f t="shared" si="6"/>
        <v>13</v>
      </c>
      <c r="C81" s="3121" t="s">
        <v>7191</v>
      </c>
      <c r="D81" s="3122"/>
      <c r="E81" s="3122"/>
      <c r="F81" s="3122"/>
      <c r="G81" s="3122"/>
      <c r="H81" s="3122"/>
      <c r="I81" s="3122"/>
      <c r="J81" s="3123"/>
      <c r="K81" s="1882"/>
      <c r="M81" s="1882"/>
    </row>
    <row r="82" spans="1:13" hidden="1">
      <c r="A82" s="1571"/>
      <c r="B82" s="1221">
        <f t="shared" si="6"/>
        <v>14</v>
      </c>
      <c r="C82" s="3121" t="s">
        <v>7192</v>
      </c>
      <c r="D82" s="3122"/>
      <c r="E82" s="3122"/>
      <c r="F82" s="3122"/>
      <c r="G82" s="3122"/>
      <c r="H82" s="3122"/>
      <c r="I82" s="3122"/>
      <c r="J82" s="3123"/>
      <c r="K82" s="1882"/>
      <c r="M82" s="1882"/>
    </row>
    <row r="83" spans="1:13" ht="54" hidden="1" customHeight="1">
      <c r="A83" s="1571"/>
      <c r="B83" s="1221">
        <f t="shared" si="6"/>
        <v>15</v>
      </c>
      <c r="C83" s="3121" t="s">
        <v>7193</v>
      </c>
      <c r="D83" s="3122"/>
      <c r="E83" s="3122"/>
      <c r="F83" s="3122"/>
      <c r="G83" s="3122"/>
      <c r="H83" s="3122"/>
      <c r="I83" s="3122"/>
      <c r="J83" s="3123"/>
      <c r="K83" s="1882"/>
      <c r="M83" s="1882"/>
    </row>
    <row r="84" spans="1:13" ht="14.25" hidden="1" customHeight="1">
      <c r="A84" s="1571"/>
      <c r="B84" s="1221">
        <f t="shared" si="6"/>
        <v>16</v>
      </c>
      <c r="C84" s="3121" t="s">
        <v>7194</v>
      </c>
      <c r="D84" s="3122"/>
      <c r="E84" s="3122"/>
      <c r="F84" s="3122"/>
      <c r="G84" s="3122"/>
      <c r="H84" s="3122"/>
      <c r="I84" s="3122"/>
      <c r="J84" s="3123"/>
      <c r="K84" s="1882"/>
      <c r="M84" s="1882"/>
    </row>
    <row r="85" spans="1:13" ht="14.25" hidden="1" customHeight="1">
      <c r="A85" s="1571"/>
      <c r="B85" s="1221">
        <f t="shared" si="6"/>
        <v>17</v>
      </c>
      <c r="C85" s="3121" t="s">
        <v>7195</v>
      </c>
      <c r="D85" s="3122"/>
      <c r="E85" s="3122"/>
      <c r="F85" s="3122"/>
      <c r="G85" s="3122"/>
      <c r="H85" s="3122"/>
      <c r="I85" s="3122"/>
      <c r="J85" s="3123"/>
      <c r="K85" s="1882"/>
      <c r="M85" s="1882"/>
    </row>
    <row r="86" spans="1:13" ht="14.25" hidden="1" customHeight="1">
      <c r="A86" s="1571"/>
      <c r="B86" s="1221">
        <f t="shared" si="6"/>
        <v>18</v>
      </c>
      <c r="C86" s="3121" t="s">
        <v>7196</v>
      </c>
      <c r="D86" s="3122"/>
      <c r="E86" s="3122"/>
      <c r="F86" s="3122"/>
      <c r="G86" s="3122"/>
      <c r="H86" s="3122"/>
      <c r="I86" s="3122"/>
      <c r="J86" s="3123"/>
      <c r="K86" s="1882"/>
      <c r="M86" s="1882"/>
    </row>
    <row r="87" spans="1:13" ht="14.25" hidden="1" customHeight="1">
      <c r="A87" s="1571"/>
      <c r="B87" s="1221">
        <f t="shared" si="6"/>
        <v>19</v>
      </c>
      <c r="C87" s="3121" t="s">
        <v>7197</v>
      </c>
      <c r="D87" s="3122"/>
      <c r="E87" s="3122"/>
      <c r="F87" s="3122"/>
      <c r="G87" s="3122"/>
      <c r="H87" s="3122"/>
      <c r="I87" s="3122"/>
      <c r="J87" s="3123"/>
      <c r="K87" s="1882"/>
      <c r="M87" s="1882"/>
    </row>
    <row r="88" spans="1:13" ht="14.25" hidden="1" customHeight="1">
      <c r="A88" s="1571"/>
      <c r="B88" s="1221">
        <f t="shared" si="6"/>
        <v>20</v>
      </c>
      <c r="C88" s="3121" t="s">
        <v>7198</v>
      </c>
      <c r="D88" s="3122"/>
      <c r="E88" s="3122"/>
      <c r="F88" s="3122"/>
      <c r="G88" s="3122"/>
      <c r="H88" s="3122"/>
      <c r="I88" s="3122"/>
      <c r="J88" s="3123"/>
      <c r="K88" s="1882"/>
      <c r="M88" s="1882"/>
    </row>
    <row r="89" spans="1:13" hidden="1">
      <c r="A89" s="1571"/>
      <c r="B89" s="1221">
        <f t="shared" si="6"/>
        <v>21</v>
      </c>
      <c r="C89" s="3121" t="s">
        <v>7199</v>
      </c>
      <c r="D89" s="3122"/>
      <c r="E89" s="3122"/>
      <c r="F89" s="3122"/>
      <c r="G89" s="3122"/>
      <c r="H89" s="3122"/>
      <c r="I89" s="3122"/>
      <c r="J89" s="3123"/>
      <c r="K89" s="1882"/>
      <c r="M89" s="1882"/>
    </row>
    <row r="90" spans="1:13" ht="15" hidden="1" customHeight="1" thickBot="1">
      <c r="A90" s="1571"/>
      <c r="B90" s="1222">
        <f t="shared" si="6"/>
        <v>22</v>
      </c>
      <c r="C90" s="3121" t="s">
        <v>7200</v>
      </c>
      <c r="D90" s="3122"/>
      <c r="E90" s="3122"/>
      <c r="F90" s="3122"/>
      <c r="G90" s="3122"/>
      <c r="H90" s="3122"/>
      <c r="I90" s="3122"/>
      <c r="J90" s="3123"/>
      <c r="K90" s="1882"/>
      <c r="M90" s="1882"/>
    </row>
    <row r="91" spans="1:13" ht="14.5" hidden="1" thickBot="1">
      <c r="A91" s="1571"/>
      <c r="B91" s="1882"/>
      <c r="C91" s="1882"/>
      <c r="D91" s="1882"/>
      <c r="E91" s="1882"/>
      <c r="F91" s="1882"/>
      <c r="G91" s="1882"/>
      <c r="H91" s="1882"/>
      <c r="I91" s="1882"/>
      <c r="J91" s="1882"/>
      <c r="K91" s="1882"/>
      <c r="M91" s="1882"/>
    </row>
    <row r="92" spans="1:13" ht="15.5" hidden="1" thickBot="1">
      <c r="A92" s="1571"/>
      <c r="B92" s="34" t="s">
        <v>7201</v>
      </c>
      <c r="C92" s="932"/>
      <c r="D92" s="932"/>
      <c r="E92" s="933"/>
      <c r="F92" s="933"/>
      <c r="G92" s="933"/>
      <c r="H92" s="933"/>
      <c r="I92" s="933"/>
      <c r="J92" s="934"/>
      <c r="K92" s="1882"/>
      <c r="M92" s="1882"/>
    </row>
    <row r="93" spans="1:13" ht="41.25" hidden="1" customHeight="1">
      <c r="A93" s="1928"/>
      <c r="B93" s="1221">
        <f>+B90+1</f>
        <v>23</v>
      </c>
      <c r="C93" s="3375" t="s">
        <v>7202</v>
      </c>
      <c r="D93" s="3376"/>
      <c r="E93" s="3376"/>
      <c r="F93" s="3376"/>
      <c r="G93" s="3376"/>
      <c r="H93" s="3376"/>
      <c r="I93" s="3376"/>
      <c r="J93" s="3377"/>
      <c r="K93" s="1929"/>
      <c r="L93" s="1930"/>
      <c r="M93" s="1926" t="s">
        <v>7203</v>
      </c>
    </row>
    <row r="94" spans="1:13" ht="41.65" hidden="1" customHeight="1">
      <c r="A94" s="1928"/>
      <c r="B94" s="1221">
        <f t="shared" ref="B94:B111" si="7">+B93+1</f>
        <v>24</v>
      </c>
      <c r="C94" s="3375" t="s">
        <v>7204</v>
      </c>
      <c r="D94" s="3376"/>
      <c r="E94" s="3376"/>
      <c r="F94" s="3376"/>
      <c r="G94" s="3376"/>
      <c r="H94" s="3376"/>
      <c r="I94" s="3376"/>
      <c r="J94" s="3377"/>
      <c r="K94" s="1929"/>
      <c r="L94" s="1930"/>
      <c r="M94" s="1926"/>
    </row>
    <row r="95" spans="1:13" hidden="1">
      <c r="A95" s="1928"/>
      <c r="B95" s="1221">
        <f t="shared" si="7"/>
        <v>25</v>
      </c>
      <c r="C95" s="3375" t="s">
        <v>7205</v>
      </c>
      <c r="D95" s="3376"/>
      <c r="E95" s="3376"/>
      <c r="F95" s="3376"/>
      <c r="G95" s="3376"/>
      <c r="H95" s="3376"/>
      <c r="I95" s="3376"/>
      <c r="J95" s="3377"/>
      <c r="K95" s="1929"/>
      <c r="L95" s="1930"/>
      <c r="M95" s="1882"/>
    </row>
    <row r="96" spans="1:13" ht="34.5" hidden="1" customHeight="1">
      <c r="A96" s="1928"/>
      <c r="B96" s="1221">
        <f t="shared" si="7"/>
        <v>26</v>
      </c>
      <c r="C96" s="3375" t="s">
        <v>7206</v>
      </c>
      <c r="D96" s="3376"/>
      <c r="E96" s="3376"/>
      <c r="F96" s="3376"/>
      <c r="G96" s="3376"/>
      <c r="H96" s="3376"/>
      <c r="I96" s="3376"/>
      <c r="J96" s="3377"/>
      <c r="K96" s="1931"/>
      <c r="L96" s="1930"/>
      <c r="M96" s="1882"/>
    </row>
    <row r="97" spans="1:14" s="1882" customFormat="1" ht="45.75" hidden="1" customHeight="1">
      <c r="A97" s="1928"/>
      <c r="B97" s="1221">
        <f t="shared" si="7"/>
        <v>27</v>
      </c>
      <c r="C97" s="3378" t="s">
        <v>7207</v>
      </c>
      <c r="D97" s="3379"/>
      <c r="E97" s="3379"/>
      <c r="F97" s="3379"/>
      <c r="G97" s="3379"/>
      <c r="H97" s="3379"/>
      <c r="I97" s="3379"/>
      <c r="J97" s="3380"/>
      <c r="K97" s="1931"/>
      <c r="L97" s="1930"/>
      <c r="N97" s="1635"/>
    </row>
    <row r="98" spans="1:14" ht="84" hidden="1" customHeight="1">
      <c r="A98" s="1928"/>
      <c r="B98" s="1221">
        <f t="shared" si="7"/>
        <v>28</v>
      </c>
      <c r="C98" s="3375" t="s">
        <v>7208</v>
      </c>
      <c r="D98" s="3376"/>
      <c r="E98" s="3376"/>
      <c r="F98" s="3376"/>
      <c r="G98" s="3376"/>
      <c r="H98" s="3376"/>
      <c r="I98" s="3376"/>
      <c r="J98" s="3377"/>
      <c r="K98" s="1929"/>
      <c r="L98" s="1930"/>
      <c r="M98" s="1882"/>
    </row>
    <row r="99" spans="1:14" ht="94.5" hidden="1" customHeight="1">
      <c r="A99" s="1928"/>
      <c r="B99" s="1221">
        <f t="shared" si="7"/>
        <v>29</v>
      </c>
      <c r="C99" s="3375" t="s">
        <v>7209</v>
      </c>
      <c r="D99" s="3376"/>
      <c r="E99" s="3376"/>
      <c r="F99" s="3376"/>
      <c r="G99" s="3376"/>
      <c r="H99" s="3376"/>
      <c r="I99" s="3376"/>
      <c r="J99" s="3377"/>
      <c r="K99" s="1929"/>
      <c r="L99" s="1930"/>
      <c r="M99" s="1882"/>
    </row>
    <row r="100" spans="1:14" ht="19.149999999999999" hidden="1" customHeight="1">
      <c r="A100" s="1928"/>
      <c r="B100" s="1221">
        <f t="shared" si="7"/>
        <v>30</v>
      </c>
      <c r="C100" s="3375" t="s">
        <v>7210</v>
      </c>
      <c r="D100" s="3376"/>
      <c r="E100" s="3376"/>
      <c r="F100" s="3376"/>
      <c r="G100" s="3376"/>
      <c r="H100" s="3376"/>
      <c r="I100" s="3376"/>
      <c r="J100" s="3377"/>
      <c r="K100" s="1929"/>
      <c r="L100" s="1930"/>
      <c r="M100" s="1882"/>
    </row>
    <row r="101" spans="1:14" ht="55.5" hidden="1" customHeight="1">
      <c r="A101" s="1928"/>
      <c r="B101" s="1221">
        <f t="shared" si="7"/>
        <v>31</v>
      </c>
      <c r="C101" s="3375" t="s">
        <v>7211</v>
      </c>
      <c r="D101" s="3376"/>
      <c r="E101" s="3376"/>
      <c r="F101" s="3376"/>
      <c r="G101" s="3376"/>
      <c r="H101" s="3376"/>
      <c r="I101" s="3376"/>
      <c r="J101" s="3377"/>
      <c r="K101" s="1929"/>
      <c r="L101" s="1930"/>
      <c r="M101" s="1882"/>
    </row>
    <row r="102" spans="1:14" ht="68.650000000000006" hidden="1" customHeight="1">
      <c r="A102" s="1928"/>
      <c r="B102" s="1221">
        <f t="shared" si="7"/>
        <v>32</v>
      </c>
      <c r="C102" s="3375" t="s">
        <v>7212</v>
      </c>
      <c r="D102" s="3376"/>
      <c r="E102" s="3376"/>
      <c r="F102" s="3376"/>
      <c r="G102" s="3376"/>
      <c r="H102" s="3376"/>
      <c r="I102" s="3376"/>
      <c r="J102" s="3377"/>
      <c r="K102" s="1929"/>
      <c r="L102" s="1930"/>
      <c r="M102" s="1882"/>
    </row>
    <row r="103" spans="1:14" ht="64.150000000000006" hidden="1" customHeight="1">
      <c r="A103" s="1928"/>
      <c r="B103" s="1221">
        <f t="shared" si="7"/>
        <v>33</v>
      </c>
      <c r="C103" s="3375" t="s">
        <v>7213</v>
      </c>
      <c r="D103" s="3376"/>
      <c r="E103" s="3376"/>
      <c r="F103" s="3376"/>
      <c r="G103" s="3376"/>
      <c r="H103" s="3376"/>
      <c r="I103" s="3376"/>
      <c r="J103" s="3377"/>
      <c r="K103" s="1929"/>
      <c r="L103" s="1930"/>
      <c r="M103" s="1882"/>
    </row>
    <row r="104" spans="1:14" hidden="1">
      <c r="A104" s="1928"/>
      <c r="B104" s="1221">
        <f t="shared" si="7"/>
        <v>34</v>
      </c>
      <c r="C104" s="3375" t="s">
        <v>7214</v>
      </c>
      <c r="D104" s="3376"/>
      <c r="E104" s="3376"/>
      <c r="F104" s="3376"/>
      <c r="G104" s="3376"/>
      <c r="H104" s="3376"/>
      <c r="I104" s="3376"/>
      <c r="J104" s="3377"/>
      <c r="K104" s="1929"/>
      <c r="L104" s="1930"/>
      <c r="M104" s="1882"/>
    </row>
    <row r="105" spans="1:14" ht="70.5" hidden="1" customHeight="1">
      <c r="A105" s="1928"/>
      <c r="B105" s="1221">
        <f t="shared" si="7"/>
        <v>35</v>
      </c>
      <c r="C105" s="3375" t="s">
        <v>7215</v>
      </c>
      <c r="D105" s="3376"/>
      <c r="E105" s="3376"/>
      <c r="F105" s="3376"/>
      <c r="G105" s="3376"/>
      <c r="H105" s="3376"/>
      <c r="I105" s="3376"/>
      <c r="J105" s="3377"/>
      <c r="K105" s="1929"/>
      <c r="L105" s="1930"/>
      <c r="M105" s="1882"/>
    </row>
    <row r="106" spans="1:14" ht="56.25" hidden="1" customHeight="1">
      <c r="A106" s="1928"/>
      <c r="B106" s="1221">
        <f t="shared" si="7"/>
        <v>36</v>
      </c>
      <c r="C106" s="3375" t="s">
        <v>7216</v>
      </c>
      <c r="D106" s="3376"/>
      <c r="E106" s="3376"/>
      <c r="F106" s="3376"/>
      <c r="G106" s="3376"/>
      <c r="H106" s="3376"/>
      <c r="I106" s="3376"/>
      <c r="J106" s="3377"/>
      <c r="K106" s="1929"/>
      <c r="L106" s="1930"/>
      <c r="M106" s="1882"/>
    </row>
    <row r="107" spans="1:14" ht="66.75" hidden="1" customHeight="1">
      <c r="A107" s="1928"/>
      <c r="B107" s="1221">
        <f t="shared" si="7"/>
        <v>37</v>
      </c>
      <c r="C107" s="3375" t="s">
        <v>7217</v>
      </c>
      <c r="D107" s="3376"/>
      <c r="E107" s="3376"/>
      <c r="F107" s="3376"/>
      <c r="G107" s="3376"/>
      <c r="H107" s="3376"/>
      <c r="I107" s="3376"/>
      <c r="J107" s="3377"/>
      <c r="K107" s="1929"/>
      <c r="L107" s="1930"/>
      <c r="M107" s="1882"/>
    </row>
    <row r="108" spans="1:14" ht="54" hidden="1" customHeight="1">
      <c r="A108" s="1928"/>
      <c r="B108" s="1221">
        <f t="shared" si="7"/>
        <v>38</v>
      </c>
      <c r="C108" s="3375" t="s">
        <v>7218</v>
      </c>
      <c r="D108" s="3376"/>
      <c r="E108" s="3376"/>
      <c r="F108" s="3376"/>
      <c r="G108" s="3376"/>
      <c r="H108" s="3376"/>
      <c r="I108" s="3376"/>
      <c r="J108" s="3377"/>
      <c r="K108" s="1929"/>
      <c r="L108" s="1930"/>
      <c r="M108" s="1882"/>
    </row>
    <row r="109" spans="1:14" hidden="1">
      <c r="A109" s="1928"/>
      <c r="B109" s="1221">
        <f t="shared" si="7"/>
        <v>39</v>
      </c>
      <c r="C109" s="3375" t="s">
        <v>7219</v>
      </c>
      <c r="D109" s="3376"/>
      <c r="E109" s="3376"/>
      <c r="F109" s="3376"/>
      <c r="G109" s="3376"/>
      <c r="H109" s="3376"/>
      <c r="I109" s="3376"/>
      <c r="J109" s="3377"/>
      <c r="K109" s="1929"/>
      <c r="L109" s="1930"/>
      <c r="M109" s="1882"/>
    </row>
    <row r="110" spans="1:14" ht="71.25" hidden="1" customHeight="1">
      <c r="A110" s="1928"/>
      <c r="B110" s="1221">
        <f t="shared" si="7"/>
        <v>40</v>
      </c>
      <c r="C110" s="3375" t="s">
        <v>7220</v>
      </c>
      <c r="D110" s="3376"/>
      <c r="E110" s="3376"/>
      <c r="F110" s="3376"/>
      <c r="G110" s="3376"/>
      <c r="H110" s="3376"/>
      <c r="I110" s="3376"/>
      <c r="J110" s="3377"/>
      <c r="K110" s="1929"/>
      <c r="L110" s="1930"/>
      <c r="M110" s="1882"/>
    </row>
    <row r="111" spans="1:14" hidden="1">
      <c r="A111" s="1928"/>
      <c r="B111" s="1221">
        <f t="shared" si="7"/>
        <v>41</v>
      </c>
      <c r="C111" s="3375" t="s">
        <v>7221</v>
      </c>
      <c r="D111" s="3376"/>
      <c r="E111" s="3376"/>
      <c r="F111" s="3376"/>
      <c r="G111" s="3376"/>
      <c r="H111" s="3376"/>
      <c r="I111" s="3376"/>
      <c r="J111" s="3377"/>
      <c r="K111" s="1929"/>
      <c r="L111" s="1930"/>
      <c r="M111" s="1882"/>
    </row>
    <row r="112" spans="1:14" hidden="1">
      <c r="A112" s="1928"/>
      <c r="B112" s="1932"/>
      <c r="C112" s="1932"/>
      <c r="D112" s="1932"/>
      <c r="E112" s="1932"/>
      <c r="F112" s="1933"/>
      <c r="G112" s="1932"/>
      <c r="H112" s="1932"/>
      <c r="I112" s="1932"/>
      <c r="J112" s="1932"/>
      <c r="K112" s="1932"/>
      <c r="L112" s="1930"/>
      <c r="M112" s="1882"/>
    </row>
    <row r="113" spans="1:12">
      <c r="A113" s="1934"/>
      <c r="B113" s="1935" t="s">
        <v>4365</v>
      </c>
      <c r="C113" s="1932"/>
      <c r="D113" s="1932"/>
      <c r="E113" s="1932"/>
      <c r="F113" s="1933"/>
      <c r="G113" s="1932"/>
      <c r="H113" s="1932"/>
      <c r="I113" s="1932"/>
      <c r="J113" s="1932"/>
      <c r="K113" s="1932"/>
      <c r="L113" s="1930"/>
    </row>
    <row r="114" spans="1:12" ht="14.5" thickBot="1">
      <c r="A114" s="1934"/>
      <c r="B114" s="1932"/>
      <c r="C114" s="1932"/>
      <c r="D114" s="1932"/>
      <c r="E114" s="1932"/>
      <c r="F114" s="1933"/>
      <c r="G114" s="1932"/>
      <c r="H114" s="1932"/>
      <c r="I114" s="1932"/>
      <c r="J114" s="1932"/>
      <c r="K114" s="1932"/>
      <c r="L114" s="1930"/>
    </row>
    <row r="115" spans="1:12" ht="14.25" customHeight="1">
      <c r="A115" s="1934"/>
      <c r="B115" s="3366" t="s">
        <v>7222</v>
      </c>
      <c r="C115" s="3367"/>
      <c r="D115" s="3367"/>
      <c r="E115" s="3367"/>
      <c r="F115" s="3367"/>
      <c r="G115" s="3367"/>
      <c r="H115" s="3367"/>
      <c r="I115" s="3367"/>
      <c r="J115" s="3368"/>
      <c r="K115" s="1932"/>
      <c r="L115" s="1930"/>
    </row>
    <row r="116" spans="1:12" ht="14.25" customHeight="1">
      <c r="A116" s="1934"/>
      <c r="B116" s="3369"/>
      <c r="C116" s="3370"/>
      <c r="D116" s="3370"/>
      <c r="E116" s="3370"/>
      <c r="F116" s="3370"/>
      <c r="G116" s="3370"/>
      <c r="H116" s="3370"/>
      <c r="I116" s="3370"/>
      <c r="J116" s="3371"/>
      <c r="K116" s="1932"/>
      <c r="L116" s="1930"/>
    </row>
    <row r="117" spans="1:12" ht="14.25" customHeight="1">
      <c r="A117" s="1934"/>
      <c r="B117" s="3369"/>
      <c r="C117" s="3370"/>
      <c r="D117" s="3370"/>
      <c r="E117" s="3370"/>
      <c r="F117" s="3370"/>
      <c r="G117" s="3370"/>
      <c r="H117" s="3370"/>
      <c r="I117" s="3370"/>
      <c r="J117" s="3371"/>
      <c r="K117" s="1932"/>
      <c r="L117" s="1930"/>
    </row>
    <row r="118" spans="1:12" ht="14.25" customHeight="1">
      <c r="A118" s="1934"/>
      <c r="B118" s="3369"/>
      <c r="C118" s="3370"/>
      <c r="D118" s="3370"/>
      <c r="E118" s="3370"/>
      <c r="F118" s="3370"/>
      <c r="G118" s="3370"/>
      <c r="H118" s="3370"/>
      <c r="I118" s="3370"/>
      <c r="J118" s="3371"/>
      <c r="K118" s="1932"/>
      <c r="L118" s="1930"/>
    </row>
    <row r="119" spans="1:12" ht="14.25" customHeight="1">
      <c r="A119" s="1934"/>
      <c r="B119" s="3369"/>
      <c r="C119" s="3370"/>
      <c r="D119" s="3370"/>
      <c r="E119" s="3370"/>
      <c r="F119" s="3370"/>
      <c r="G119" s="3370"/>
      <c r="H119" s="3370"/>
      <c r="I119" s="3370"/>
      <c r="J119" s="3371"/>
      <c r="K119" s="1932"/>
      <c r="L119" s="1930"/>
    </row>
    <row r="120" spans="1:12" ht="14.25" customHeight="1">
      <c r="A120" s="1934"/>
      <c r="B120" s="3369"/>
      <c r="C120" s="3370"/>
      <c r="D120" s="3370"/>
      <c r="E120" s="3370"/>
      <c r="F120" s="3370"/>
      <c r="G120" s="3370"/>
      <c r="H120" s="3370"/>
      <c r="I120" s="3370"/>
      <c r="J120" s="3371"/>
      <c r="K120" s="1932"/>
      <c r="L120" s="1930"/>
    </row>
    <row r="121" spans="1:12" ht="27" customHeight="1" thickBot="1">
      <c r="A121" s="1934"/>
      <c r="B121" s="3372"/>
      <c r="C121" s="3373"/>
      <c r="D121" s="3373"/>
      <c r="E121" s="3373"/>
      <c r="F121" s="3373"/>
      <c r="G121" s="3373"/>
      <c r="H121" s="3373"/>
      <c r="I121" s="3373"/>
      <c r="J121" s="3374"/>
      <c r="K121" s="1932"/>
      <c r="L121" s="1930"/>
    </row>
    <row r="122" spans="1:12">
      <c r="A122" s="1882"/>
      <c r="B122" s="1882"/>
      <c r="C122" s="1882"/>
      <c r="D122" s="1882"/>
      <c r="E122" s="1882"/>
      <c r="F122" s="1882"/>
      <c r="G122" s="1882"/>
      <c r="H122" s="1882"/>
      <c r="I122" s="1882"/>
      <c r="J122" s="1882"/>
      <c r="K122" s="1882"/>
    </row>
  </sheetData>
  <sheetProtection algorithmName="SHA-512" hashValue="WxVBC25arnRmrEmS8LREiUp8upP0kY1uAqOfELC7OzxYqodVAVNoerc6y0Lly7QJO1880WBvu0oK0DOMHkZ70Q==" saltValue="FVr5+iQfo3A+cFPKfUIh1g==" spinCount="100000" sheet="1" objects="1" scenarios="1"/>
  <mergeCells count="45">
    <mergeCell ref="C77:J77"/>
    <mergeCell ref="B57:C57"/>
    <mergeCell ref="B66:J66"/>
    <mergeCell ref="C68:J68"/>
    <mergeCell ref="C69:J69"/>
    <mergeCell ref="C70:J70"/>
    <mergeCell ref="C71:J71"/>
    <mergeCell ref="C72:J72"/>
    <mergeCell ref="C73:J73"/>
    <mergeCell ref="C74:J74"/>
    <mergeCell ref="C75:J75"/>
    <mergeCell ref="C76:J76"/>
    <mergeCell ref="C89:J89"/>
    <mergeCell ref="C78:J78"/>
    <mergeCell ref="C79:J79"/>
    <mergeCell ref="C80:J80"/>
    <mergeCell ref="C81:J81"/>
    <mergeCell ref="C82:J82"/>
    <mergeCell ref="C83:J83"/>
    <mergeCell ref="C84:J84"/>
    <mergeCell ref="C85:J85"/>
    <mergeCell ref="C86:J86"/>
    <mergeCell ref="C87:J87"/>
    <mergeCell ref="C88:J88"/>
    <mergeCell ref="C104:J104"/>
    <mergeCell ref="C90:J90"/>
    <mergeCell ref="C93:J93"/>
    <mergeCell ref="C94:J94"/>
    <mergeCell ref="C95:J95"/>
    <mergeCell ref="C96:J96"/>
    <mergeCell ref="C98:J98"/>
    <mergeCell ref="C99:J99"/>
    <mergeCell ref="C100:J100"/>
    <mergeCell ref="C101:J101"/>
    <mergeCell ref="C102:J102"/>
    <mergeCell ref="C103:J103"/>
    <mergeCell ref="C97:J97"/>
    <mergeCell ref="B115:J121"/>
    <mergeCell ref="C111:J111"/>
    <mergeCell ref="C105:J105"/>
    <mergeCell ref="C106:J106"/>
    <mergeCell ref="C107:J107"/>
    <mergeCell ref="C108:J108"/>
    <mergeCell ref="C109:J109"/>
    <mergeCell ref="C110:J110"/>
  </mergeCells>
  <conditionalFormatting sqref="J6:J27">
    <cfRule type="cellIs" dxfId="108" priority="13" operator="equal">
      <formula>0</formula>
    </cfRule>
  </conditionalFormatting>
  <conditionalFormatting sqref="J30:J31">
    <cfRule type="cellIs" dxfId="107" priority="12" operator="equal">
      <formula>0</formula>
    </cfRule>
  </conditionalFormatting>
  <conditionalFormatting sqref="J35">
    <cfRule type="cellIs" dxfId="106" priority="11" operator="equal">
      <formula>0</formula>
    </cfRule>
  </conditionalFormatting>
  <conditionalFormatting sqref="J37:J38">
    <cfRule type="cellIs" dxfId="105" priority="10" operator="equal">
      <formula>0</formula>
    </cfRule>
  </conditionalFormatting>
  <conditionalFormatting sqref="J41:J43">
    <cfRule type="cellIs" dxfId="104" priority="9" operator="equal">
      <formula>0</formula>
    </cfRule>
  </conditionalFormatting>
  <conditionalFormatting sqref="J46">
    <cfRule type="cellIs" dxfId="103" priority="8" operator="equal">
      <formula>0</formula>
    </cfRule>
  </conditionalFormatting>
  <conditionalFormatting sqref="J48:J50">
    <cfRule type="cellIs" dxfId="102" priority="7" operator="equal">
      <formula>0</formula>
    </cfRule>
  </conditionalFormatting>
  <conditionalFormatting sqref="J53">
    <cfRule type="cellIs" dxfId="101" priority="6" operator="equal">
      <formula>0</formula>
    </cfRule>
  </conditionalFormatting>
  <conditionalFormatting sqref="J55">
    <cfRule type="cellIs" dxfId="100" priority="5" operator="equal">
      <formula>0</formula>
    </cfRule>
  </conditionalFormatting>
  <conditionalFormatting sqref="J33">
    <cfRule type="cellIs" dxfId="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74F4E6EE-C952-4DFE-B4A9-2CC26E2D21D6}">
            <xm:f>Validation!$H$3=1</xm:f>
            <x14:dxf>
              <fill>
                <patternFill>
                  <bgColor theme="2"/>
                </patternFill>
              </fill>
            </x14:dxf>
          </x14:cfRule>
          <xm:sqref>G6:H27 G30:H32 G35:H35 G37:H39 G41:H44 G46:H46 G48:H51 G53:H53 G55:H55</xm:sqref>
        </x14:conditionalFormatting>
        <x14:conditionalFormatting xmlns:xm="http://schemas.microsoft.com/office/excel/2006/main">
          <x14:cfRule type="expression" priority="3" id="{C420723A-AD93-4128-B758-4536E18BDD1B}">
            <xm:f>Validation!$H$3=1</xm:f>
            <x14:dxf>
              <fill>
                <patternFill>
                  <bgColor theme="2"/>
                </patternFill>
              </fill>
            </x14:dxf>
          </x14:cfRule>
          <xm:sqref>H33</xm:sqref>
        </x14:conditionalFormatting>
        <x14:conditionalFormatting xmlns:xm="http://schemas.microsoft.com/office/excel/2006/main">
          <x14:cfRule type="expression" priority="2" id="{236AC34B-2D62-400D-A4BC-171BBFAC691C}">
            <xm:f>Validation!$H$3=1</xm:f>
            <x14:dxf>
              <fill>
                <patternFill>
                  <bgColor theme="2"/>
                </patternFill>
              </fill>
            </x14:dxf>
          </x14:cfRule>
          <xm:sqref>G33</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tabColor theme="0" tint="-0.499984740745262"/>
    <pageSetUpPr fitToPage="1"/>
  </sheetPr>
  <dimension ref="A1:CS95"/>
  <sheetViews>
    <sheetView workbookViewId="0"/>
  </sheetViews>
  <sheetFormatPr defaultColWidth="0" defaultRowHeight="14" zeroHeight="1"/>
  <cols>
    <col min="1" max="1" width="0.58203125" customWidth="1"/>
    <col min="2" max="2" width="8.58203125" customWidth="1"/>
    <col min="3" max="3" width="71.08203125" customWidth="1"/>
    <col min="4" max="4" width="8.08203125" hidden="1" customWidth="1"/>
    <col min="5" max="6" width="8.58203125" customWidth="1"/>
    <col min="7" max="7" width="10.08203125" customWidth="1"/>
    <col min="8" max="14" width="8.58203125" customWidth="1"/>
    <col min="15" max="15" width="2.08203125" customWidth="1"/>
    <col min="16" max="32" width="8.58203125" customWidth="1"/>
    <col min="33" max="33" width="28.58203125" customWidth="1"/>
    <col min="34" max="34" width="2.58203125" customWidth="1"/>
    <col min="35" max="35" width="21.08203125" customWidth="1"/>
    <col min="36" max="36" width="2.58203125" customWidth="1"/>
    <col min="37" max="37" width="1.5" style="1635" hidden="1" customWidth="1"/>
    <col min="38" max="63" width="1.5" hidden="1" customWidth="1"/>
    <col min="64" max="64" width="1.5" style="1635" hidden="1" customWidth="1"/>
    <col min="65" max="66" width="8.58203125" customWidth="1"/>
    <col min="67" max="67" width="71.08203125" customWidth="1"/>
    <col min="68" max="68" width="8.08203125" bestFit="1" customWidth="1"/>
    <col min="69" max="97" width="8.58203125" customWidth="1"/>
    <col min="98" max="16384" width="8.58203125" hidden="1"/>
  </cols>
  <sheetData>
    <row r="1" spans="1:96" ht="20">
      <c r="A1" s="1224"/>
      <c r="B1" s="1158" t="s">
        <v>7223</v>
      </c>
      <c r="C1" s="1158"/>
      <c r="D1" s="1225"/>
      <c r="E1" s="1160"/>
      <c r="F1" s="66"/>
      <c r="G1" s="66"/>
      <c r="H1" s="66"/>
      <c r="I1" s="66"/>
      <c r="J1" s="66"/>
      <c r="K1" s="66"/>
      <c r="L1" s="66"/>
      <c r="M1" s="66"/>
      <c r="N1" s="66"/>
      <c r="O1" s="66"/>
      <c r="P1" s="66"/>
      <c r="Q1" s="66"/>
      <c r="R1" s="66"/>
      <c r="S1" s="66"/>
      <c r="T1" s="66"/>
      <c r="U1" s="66"/>
      <c r="V1" s="66"/>
      <c r="W1" s="68"/>
      <c r="X1" s="68"/>
      <c r="Y1" s="68"/>
      <c r="Z1" s="68"/>
      <c r="AA1" s="68"/>
      <c r="AB1" s="68"/>
      <c r="AC1" s="68"/>
      <c r="AD1" s="68"/>
      <c r="AE1" s="68"/>
      <c r="AF1" s="68"/>
      <c r="AG1" s="68" t="str">
        <f>Validation!B3</f>
        <v>Bristol Water</v>
      </c>
      <c r="AH1" s="66"/>
      <c r="AI1" s="69" t="s">
        <v>32</v>
      </c>
      <c r="AJ1" s="851"/>
      <c r="AK1" s="71"/>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1"/>
      <c r="BM1" s="1882"/>
      <c r="BN1" s="2758" t="s">
        <v>7223</v>
      </c>
      <c r="BO1" s="2758"/>
      <c r="BP1" s="2759"/>
      <c r="BQ1" s="2760"/>
      <c r="BR1" s="66"/>
      <c r="BS1" s="66"/>
      <c r="BT1" s="66"/>
      <c r="BU1" s="66"/>
      <c r="BV1" s="66"/>
      <c r="BW1" s="66"/>
      <c r="BX1" s="66"/>
      <c r="BY1" s="66"/>
      <c r="BZ1" s="66"/>
      <c r="CA1" s="66"/>
      <c r="CB1" s="66"/>
      <c r="CC1" s="66"/>
      <c r="CD1" s="66"/>
      <c r="CE1" s="66"/>
      <c r="CF1" s="66"/>
      <c r="CG1" s="66"/>
      <c r="CH1" s="66"/>
      <c r="CI1" s="68"/>
      <c r="CJ1" s="68"/>
      <c r="CK1" s="68"/>
      <c r="CL1" s="68"/>
      <c r="CM1" s="68"/>
      <c r="CN1" s="68"/>
      <c r="CO1" s="68"/>
      <c r="CP1" s="68"/>
      <c r="CQ1" s="68"/>
      <c r="CR1" s="68"/>
    </row>
    <row r="2" spans="1:96" ht="16.5" thickBot="1">
      <c r="A2" s="1226"/>
      <c r="B2" s="73" t="str">
        <f>'4R'!B2</f>
        <v>For the 12 months ended 31 March 2020</v>
      </c>
      <c r="C2" s="1161"/>
      <c r="D2" s="1168"/>
      <c r="E2" s="1161"/>
      <c r="F2" s="1161"/>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70"/>
      <c r="AJ2" s="851"/>
      <c r="AK2" s="71"/>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1"/>
      <c r="BM2" s="1882"/>
      <c r="BN2" s="73" t="str">
        <f>+B2</f>
        <v>For the 12 months ended 31 March 2020</v>
      </c>
      <c r="BO2" s="2363"/>
      <c r="BP2" s="2761"/>
      <c r="BQ2" s="2363"/>
      <c r="BR2" s="2363"/>
      <c r="BS2" s="2363"/>
      <c r="BT2" s="2363"/>
      <c r="BU2" s="2363"/>
      <c r="BV2" s="2363"/>
      <c r="BW2" s="2363"/>
      <c r="BX2" s="2363"/>
      <c r="BY2" s="2363"/>
      <c r="BZ2" s="2363"/>
      <c r="CA2" s="2363"/>
      <c r="CB2" s="2363"/>
      <c r="CC2" s="2363"/>
      <c r="CD2" s="2363"/>
      <c r="CE2" s="2363"/>
      <c r="CF2" s="2363"/>
      <c r="CG2" s="2363"/>
      <c r="CH2" s="2363"/>
      <c r="CI2" s="2363"/>
      <c r="CJ2" s="2363"/>
      <c r="CK2" s="2363"/>
      <c r="CL2" s="2363"/>
      <c r="CM2" s="2363"/>
      <c r="CN2" s="2363"/>
      <c r="CO2" s="2363"/>
      <c r="CP2" s="2363"/>
      <c r="CQ2" s="2363"/>
      <c r="CR2" s="2363"/>
    </row>
    <row r="3" spans="1:96" ht="16.5" thickBot="1">
      <c r="A3" s="1227"/>
      <c r="B3" s="3124" t="s">
        <v>34</v>
      </c>
      <c r="C3" s="3125"/>
      <c r="D3" s="2898" t="s">
        <v>2462</v>
      </c>
      <c r="E3" s="2898" t="s">
        <v>2308</v>
      </c>
      <c r="F3" s="2900" t="s">
        <v>37</v>
      </c>
      <c r="G3" s="2938" t="s">
        <v>7224</v>
      </c>
      <c r="H3" s="3424"/>
      <c r="I3" s="3424"/>
      <c r="J3" s="3424"/>
      <c r="K3" s="3424"/>
      <c r="L3" s="3424"/>
      <c r="M3" s="3424"/>
      <c r="N3" s="3425"/>
      <c r="O3" s="1228"/>
      <c r="P3" s="2938" t="s">
        <v>7225</v>
      </c>
      <c r="Q3" s="3424"/>
      <c r="R3" s="3424"/>
      <c r="S3" s="3424"/>
      <c r="T3" s="3424"/>
      <c r="U3" s="3424"/>
      <c r="V3" s="3424"/>
      <c r="W3" s="3424"/>
      <c r="X3" s="3424"/>
      <c r="Y3" s="3424"/>
      <c r="Z3" s="3424"/>
      <c r="AA3" s="3424"/>
      <c r="AB3" s="3424"/>
      <c r="AC3" s="3424"/>
      <c r="AD3" s="3424"/>
      <c r="AE3" s="3424"/>
      <c r="AF3" s="3425"/>
      <c r="AG3" s="2907" t="s">
        <v>3638</v>
      </c>
      <c r="AH3" s="1228"/>
      <c r="AI3" s="2907" t="s">
        <v>41</v>
      </c>
      <c r="AJ3" s="192"/>
      <c r="AK3" s="71"/>
      <c r="AL3" s="76" t="s">
        <v>45</v>
      </c>
      <c r="AM3" s="76"/>
      <c r="AN3" s="76"/>
      <c r="AO3" s="76"/>
      <c r="AP3" s="76"/>
      <c r="AQ3" s="76"/>
      <c r="AR3" s="76"/>
      <c r="AS3" s="76"/>
      <c r="AT3" s="76"/>
      <c r="AU3" s="76"/>
      <c r="AV3" s="76"/>
      <c r="AW3" s="76"/>
      <c r="AX3" s="76"/>
      <c r="AY3" s="76"/>
      <c r="AZ3" s="76"/>
      <c r="BA3" s="76"/>
      <c r="BB3" s="682"/>
      <c r="BC3" s="682"/>
      <c r="BD3" s="682"/>
      <c r="BE3" s="682"/>
      <c r="BF3" s="682"/>
      <c r="BG3" s="682"/>
      <c r="BH3" s="682"/>
      <c r="BI3" s="682"/>
      <c r="BJ3" s="682"/>
      <c r="BK3" s="682"/>
      <c r="BL3" s="71"/>
      <c r="BM3" s="1882"/>
      <c r="BN3" s="1164" t="s">
        <v>191</v>
      </c>
      <c r="BO3" s="1165" t="s">
        <v>3980</v>
      </c>
      <c r="BP3" s="184" t="s">
        <v>2462</v>
      </c>
      <c r="BQ3" s="184" t="s">
        <v>2308</v>
      </c>
      <c r="BR3" s="185" t="s">
        <v>37</v>
      </c>
      <c r="BS3" s="2938" t="s">
        <v>7224</v>
      </c>
      <c r="BT3" s="3388"/>
      <c r="BU3" s="3388"/>
      <c r="BV3" s="3388"/>
      <c r="BW3" s="3388"/>
      <c r="BX3" s="3388"/>
      <c r="BY3" s="3388"/>
      <c r="BZ3" s="3389"/>
      <c r="CA3" s="2762"/>
      <c r="CB3" s="2938" t="s">
        <v>7225</v>
      </c>
      <c r="CC3" s="3388"/>
      <c r="CD3" s="3388"/>
      <c r="CE3" s="3388"/>
      <c r="CF3" s="3388"/>
      <c r="CG3" s="3388"/>
      <c r="CH3" s="3388"/>
      <c r="CI3" s="3388"/>
      <c r="CJ3" s="3388"/>
      <c r="CK3" s="3388"/>
      <c r="CL3" s="3388"/>
      <c r="CM3" s="3388"/>
      <c r="CN3" s="3388"/>
      <c r="CO3" s="3388"/>
      <c r="CP3" s="3388"/>
      <c r="CQ3" s="3388"/>
      <c r="CR3" s="3389"/>
    </row>
    <row r="4" spans="1:96" ht="16">
      <c r="A4" s="1228"/>
      <c r="B4" s="3184"/>
      <c r="C4" s="3185"/>
      <c r="D4" s="2936"/>
      <c r="E4" s="2936"/>
      <c r="F4" s="2937"/>
      <c r="G4" s="2925" t="s">
        <v>7226</v>
      </c>
      <c r="H4" s="2904" t="s">
        <v>7227</v>
      </c>
      <c r="I4" s="3429"/>
      <c r="J4" s="2925" t="s">
        <v>7228</v>
      </c>
      <c r="K4" s="3430"/>
      <c r="L4" s="3430"/>
      <c r="M4" s="3431"/>
      <c r="N4" s="3394" t="s">
        <v>708</v>
      </c>
      <c r="O4" s="1228"/>
      <c r="P4" s="2904" t="s">
        <v>7229</v>
      </c>
      <c r="Q4" s="3433"/>
      <c r="R4" s="3433"/>
      <c r="S4" s="3433"/>
      <c r="T4" s="3434"/>
      <c r="U4" s="3152" t="s">
        <v>7230</v>
      </c>
      <c r="V4" s="3414"/>
      <c r="W4" s="3414"/>
      <c r="X4" s="3414"/>
      <c r="Y4" s="3414"/>
      <c r="Z4" s="3415"/>
      <c r="AA4" s="3152" t="s">
        <v>7231</v>
      </c>
      <c r="AB4" s="3414"/>
      <c r="AC4" s="3414"/>
      <c r="AD4" s="3414"/>
      <c r="AE4" s="3414"/>
      <c r="AF4" s="3415"/>
      <c r="AG4" s="3426"/>
      <c r="AH4" s="1228"/>
      <c r="AI4" s="2933"/>
      <c r="AJ4" s="192"/>
      <c r="AK4" s="71"/>
      <c r="AL4" s="637"/>
      <c r="AM4" s="637"/>
      <c r="AN4" s="637"/>
      <c r="AO4" s="637"/>
      <c r="AP4" s="637"/>
      <c r="AQ4" s="637"/>
      <c r="AR4" s="637"/>
      <c r="AS4" s="637"/>
      <c r="AT4" s="637"/>
      <c r="AU4" s="637"/>
      <c r="AV4" s="637"/>
      <c r="AW4" s="637"/>
      <c r="AX4" s="637"/>
      <c r="AY4" s="637"/>
      <c r="AZ4" s="637"/>
      <c r="BA4" s="637"/>
      <c r="BB4" s="1882"/>
      <c r="BC4" s="1882"/>
      <c r="BD4" s="1882"/>
      <c r="BE4" s="1882"/>
      <c r="BF4" s="1882"/>
      <c r="BG4" s="1882"/>
      <c r="BH4" s="1882"/>
      <c r="BI4" s="1882"/>
      <c r="BJ4" s="1882"/>
      <c r="BK4" s="1882"/>
      <c r="BL4" s="71"/>
      <c r="BM4" s="1882"/>
      <c r="BN4" s="2763"/>
      <c r="BO4" s="2764"/>
      <c r="BP4" s="2764"/>
      <c r="BQ4" s="2765"/>
      <c r="BR4" s="2762"/>
      <c r="BS4" s="2925" t="s">
        <v>7226</v>
      </c>
      <c r="BT4" s="2904" t="s">
        <v>7227</v>
      </c>
      <c r="BU4" s="3391"/>
      <c r="BV4" s="2925" t="s">
        <v>7228</v>
      </c>
      <c r="BW4" s="3392"/>
      <c r="BX4" s="3392"/>
      <c r="BY4" s="3393"/>
      <c r="BZ4" s="3394" t="s">
        <v>708</v>
      </c>
      <c r="CA4" s="2762"/>
      <c r="CB4" s="2904" t="s">
        <v>7229</v>
      </c>
      <c r="CC4" s="3396"/>
      <c r="CD4" s="3396"/>
      <c r="CE4" s="3396"/>
      <c r="CF4" s="3397"/>
      <c r="CG4" s="3152" t="s">
        <v>7230</v>
      </c>
      <c r="CH4" s="3398"/>
      <c r="CI4" s="3398"/>
      <c r="CJ4" s="3398"/>
      <c r="CK4" s="3398"/>
      <c r="CL4" s="3399"/>
      <c r="CM4" s="3152" t="s">
        <v>7231</v>
      </c>
      <c r="CN4" s="3398"/>
      <c r="CO4" s="3398"/>
      <c r="CP4" s="3398"/>
      <c r="CQ4" s="3398"/>
      <c r="CR4" s="3399"/>
    </row>
    <row r="5" spans="1:96" ht="27.5" thickBot="1">
      <c r="A5" s="1228"/>
      <c r="B5" s="3126"/>
      <c r="C5" s="3127"/>
      <c r="D5" s="2899"/>
      <c r="E5" s="2899"/>
      <c r="F5" s="2901"/>
      <c r="G5" s="3428"/>
      <c r="H5" s="2832" t="s">
        <v>7232</v>
      </c>
      <c r="I5" s="2833" t="s">
        <v>7233</v>
      </c>
      <c r="J5" s="2832" t="s">
        <v>7234</v>
      </c>
      <c r="K5" s="78" t="s">
        <v>7235</v>
      </c>
      <c r="L5" s="78" t="s">
        <v>7236</v>
      </c>
      <c r="M5" s="2833" t="s">
        <v>7237</v>
      </c>
      <c r="N5" s="3432"/>
      <c r="O5" s="1228"/>
      <c r="P5" s="2832" t="s">
        <v>7238</v>
      </c>
      <c r="Q5" s="78" t="s">
        <v>7239</v>
      </c>
      <c r="R5" s="78" t="s">
        <v>7240</v>
      </c>
      <c r="S5" s="78" t="s">
        <v>7241</v>
      </c>
      <c r="T5" s="1229" t="s">
        <v>708</v>
      </c>
      <c r="U5" s="2832" t="s">
        <v>7242</v>
      </c>
      <c r="V5" s="78" t="s">
        <v>7243</v>
      </c>
      <c r="W5" s="78" t="s">
        <v>7244</v>
      </c>
      <c r="X5" s="78" t="s">
        <v>7245</v>
      </c>
      <c r="Y5" s="78" t="s">
        <v>7241</v>
      </c>
      <c r="Z5" s="2833" t="s">
        <v>708</v>
      </c>
      <c r="AA5" s="2832" t="s">
        <v>7246</v>
      </c>
      <c r="AB5" s="78" t="s">
        <v>7247</v>
      </c>
      <c r="AC5" s="78" t="s">
        <v>7248</v>
      </c>
      <c r="AD5" s="78" t="s">
        <v>7249</v>
      </c>
      <c r="AE5" s="78" t="s">
        <v>7241</v>
      </c>
      <c r="AF5" s="2833" t="s">
        <v>708</v>
      </c>
      <c r="AG5" s="3427"/>
      <c r="AH5" s="1228"/>
      <c r="AI5" s="2908"/>
      <c r="AJ5" s="192"/>
      <c r="AK5" s="71"/>
      <c r="AL5" s="85" t="s">
        <v>46</v>
      </c>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71"/>
      <c r="BM5" s="1882"/>
      <c r="BN5" s="2762"/>
      <c r="BO5" s="2764"/>
      <c r="BP5" s="2764"/>
      <c r="BQ5" s="2765"/>
      <c r="BR5" s="2762"/>
      <c r="BS5" s="3390"/>
      <c r="BT5" s="2832" t="s">
        <v>7232</v>
      </c>
      <c r="BU5" s="2833" t="s">
        <v>7233</v>
      </c>
      <c r="BV5" s="2832" t="s">
        <v>7234</v>
      </c>
      <c r="BW5" s="78" t="s">
        <v>7235</v>
      </c>
      <c r="BX5" s="78" t="s">
        <v>7236</v>
      </c>
      <c r="BY5" s="2833" t="s">
        <v>7237</v>
      </c>
      <c r="BZ5" s="3395"/>
      <c r="CA5" s="2762"/>
      <c r="CB5" s="2832" t="s">
        <v>7238</v>
      </c>
      <c r="CC5" s="78" t="s">
        <v>7239</v>
      </c>
      <c r="CD5" s="78" t="s">
        <v>7240</v>
      </c>
      <c r="CE5" s="78" t="s">
        <v>7241</v>
      </c>
      <c r="CF5" s="1229" t="s">
        <v>708</v>
      </c>
      <c r="CG5" s="2832" t="s">
        <v>7242</v>
      </c>
      <c r="CH5" s="78" t="s">
        <v>7243</v>
      </c>
      <c r="CI5" s="78" t="s">
        <v>7244</v>
      </c>
      <c r="CJ5" s="78" t="s">
        <v>7245</v>
      </c>
      <c r="CK5" s="78" t="s">
        <v>7241</v>
      </c>
      <c r="CL5" s="2833" t="s">
        <v>708</v>
      </c>
      <c r="CM5" s="2832" t="s">
        <v>7246</v>
      </c>
      <c r="CN5" s="78" t="s">
        <v>7247</v>
      </c>
      <c r="CO5" s="78" t="s">
        <v>7248</v>
      </c>
      <c r="CP5" s="78" t="s">
        <v>7249</v>
      </c>
      <c r="CQ5" s="78" t="s">
        <v>7241</v>
      </c>
      <c r="CR5" s="2833" t="s">
        <v>708</v>
      </c>
    </row>
    <row r="6" spans="1:96" ht="16.5" thickBot="1">
      <c r="A6" s="1161"/>
      <c r="B6" s="1228"/>
      <c r="C6" s="1096"/>
      <c r="D6" s="1096"/>
      <c r="E6" s="1230"/>
      <c r="F6" s="1161"/>
      <c r="G6" s="1228"/>
      <c r="H6" s="1228"/>
      <c r="I6" s="1228"/>
      <c r="J6" s="1228"/>
      <c r="K6" s="1228"/>
      <c r="L6" s="1228"/>
      <c r="M6" s="1228"/>
      <c r="N6" s="1228"/>
      <c r="O6" s="1161"/>
      <c r="P6" s="1161"/>
      <c r="Q6" s="1161"/>
      <c r="R6" s="1161"/>
      <c r="S6" s="1161"/>
      <c r="T6" s="1161"/>
      <c r="U6" s="1231"/>
      <c r="V6" s="1231"/>
      <c r="W6" s="1231"/>
      <c r="X6" s="1231"/>
      <c r="Y6" s="1231"/>
      <c r="Z6" s="1231"/>
      <c r="AA6" s="1231"/>
      <c r="AB6" s="1231"/>
      <c r="AC6" s="1231"/>
      <c r="AD6" s="1231"/>
      <c r="AE6" s="1231"/>
      <c r="AF6" s="1231"/>
      <c r="AG6" s="1161"/>
      <c r="AH6" s="1161"/>
      <c r="AI6" s="70"/>
      <c r="AJ6" s="192"/>
      <c r="AK6" s="71"/>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71"/>
      <c r="BM6" s="1882"/>
      <c r="BN6" s="2762"/>
      <c r="BO6" s="2766"/>
      <c r="BP6" s="2766"/>
      <c r="BQ6" s="2767"/>
      <c r="BR6" s="2363"/>
      <c r="BS6" s="2762"/>
      <c r="BT6" s="2762"/>
      <c r="BU6" s="2762"/>
      <c r="BV6" s="2762"/>
      <c r="BW6" s="2762"/>
      <c r="BX6" s="2762"/>
      <c r="BY6" s="2762"/>
      <c r="BZ6" s="2762"/>
      <c r="CA6" s="2363"/>
      <c r="CB6" s="2363"/>
      <c r="CC6" s="2363"/>
      <c r="CD6" s="2363"/>
      <c r="CE6" s="2363"/>
      <c r="CF6" s="2363"/>
      <c r="CG6" s="2768"/>
      <c r="CH6" s="2768"/>
      <c r="CI6" s="2768"/>
      <c r="CJ6" s="2768"/>
      <c r="CK6" s="2768"/>
      <c r="CL6" s="2768"/>
      <c r="CM6" s="2768"/>
      <c r="CN6" s="2768"/>
      <c r="CO6" s="2768"/>
      <c r="CP6" s="2768"/>
      <c r="CQ6" s="2768"/>
      <c r="CR6" s="2768"/>
    </row>
    <row r="7" spans="1:96" ht="16.5" thickBot="1">
      <c r="A7" s="1226"/>
      <c r="B7" s="113" t="s">
        <v>153</v>
      </c>
      <c r="C7" s="114" t="s">
        <v>7250</v>
      </c>
      <c r="D7" s="1161"/>
      <c r="E7" s="1162"/>
      <c r="F7" s="1161"/>
      <c r="G7" s="1161"/>
      <c r="H7" s="1161"/>
      <c r="I7" s="1161"/>
      <c r="J7" s="1161"/>
      <c r="K7" s="1161"/>
      <c r="L7" s="1161"/>
      <c r="M7" s="1161"/>
      <c r="N7" s="1161"/>
      <c r="O7" s="1161"/>
      <c r="P7" s="1226"/>
      <c r="Q7" s="1226"/>
      <c r="R7" s="1226"/>
      <c r="S7" s="1226"/>
      <c r="T7" s="1226"/>
      <c r="U7" s="1232"/>
      <c r="V7" s="1232"/>
      <c r="W7" s="1232"/>
      <c r="X7" s="1232"/>
      <c r="Y7" s="1232"/>
      <c r="Z7" s="1232"/>
      <c r="AA7" s="1232"/>
      <c r="AB7" s="1232"/>
      <c r="AC7" s="1232"/>
      <c r="AD7" s="1232"/>
      <c r="AE7" s="1232"/>
      <c r="AF7" s="1232"/>
      <c r="AG7" s="1161"/>
      <c r="AH7" s="1161"/>
      <c r="AI7" s="1161"/>
      <c r="AJ7" s="192"/>
      <c r="AK7" s="71"/>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71"/>
      <c r="BM7" s="1882"/>
      <c r="BN7" s="113" t="s">
        <v>153</v>
      </c>
      <c r="BO7" s="114" t="s">
        <v>7250</v>
      </c>
      <c r="BP7" s="2363"/>
      <c r="BQ7" s="2769"/>
      <c r="BR7" s="2363"/>
      <c r="BS7" s="2363"/>
      <c r="BT7" s="2363"/>
      <c r="BU7" s="2363"/>
      <c r="BV7" s="2363"/>
      <c r="BW7" s="2363"/>
      <c r="BX7" s="2363"/>
      <c r="BY7" s="2363"/>
      <c r="BZ7" s="2363"/>
      <c r="CA7" s="2363"/>
      <c r="CB7" s="2770"/>
      <c r="CC7" s="2770"/>
      <c r="CD7" s="2770"/>
      <c r="CE7" s="2770"/>
      <c r="CF7" s="2770"/>
      <c r="CG7" s="2771"/>
      <c r="CH7" s="2771"/>
      <c r="CI7" s="2771"/>
      <c r="CJ7" s="2771"/>
      <c r="CK7" s="2771"/>
      <c r="CL7" s="2771"/>
      <c r="CM7" s="2771"/>
      <c r="CN7" s="2771"/>
      <c r="CO7" s="2771"/>
      <c r="CP7" s="2771"/>
      <c r="CQ7" s="2771"/>
      <c r="CR7" s="2771"/>
    </row>
    <row r="8" spans="1:96" ht="16">
      <c r="A8" s="1226"/>
      <c r="B8" s="86" t="s">
        <v>7251</v>
      </c>
      <c r="C8" s="117" t="s">
        <v>7252</v>
      </c>
      <c r="D8" s="88"/>
      <c r="E8" s="88" t="s">
        <v>7253</v>
      </c>
      <c r="F8" s="89">
        <v>0</v>
      </c>
      <c r="G8" s="1233"/>
      <c r="H8" s="1234"/>
      <c r="I8" s="1234"/>
      <c r="J8" s="1234"/>
      <c r="K8" s="1234"/>
      <c r="L8" s="1234"/>
      <c r="M8" s="1234"/>
      <c r="N8" s="1235">
        <f t="shared" ref="N8:N13" si="0">+SUM(G8:M8)</f>
        <v>0</v>
      </c>
      <c r="O8" s="1161"/>
      <c r="P8" s="1233"/>
      <c r="Q8" s="1234"/>
      <c r="R8" s="1234"/>
      <c r="S8" s="1234"/>
      <c r="T8" s="1235">
        <f t="shared" ref="T8:T13" si="1">+SUM(P8:S8)</f>
        <v>0</v>
      </c>
      <c r="U8" s="1233"/>
      <c r="V8" s="1234"/>
      <c r="W8" s="1234"/>
      <c r="X8" s="1234"/>
      <c r="Y8" s="1234"/>
      <c r="Z8" s="1235">
        <f t="shared" ref="Z8:Z13" si="2">+SUM(U8:Y8)</f>
        <v>0</v>
      </c>
      <c r="AA8" s="1233"/>
      <c r="AB8" s="1234"/>
      <c r="AC8" s="1234"/>
      <c r="AD8" s="1234"/>
      <c r="AE8" s="1234"/>
      <c r="AF8" s="1235">
        <f t="shared" ref="AF8:AF13" si="3">+SUM(AA8:AE8)</f>
        <v>0</v>
      </c>
      <c r="AG8" s="1094"/>
      <c r="AH8" s="1161"/>
      <c r="AI8" s="868">
        <f xml:space="preserve"> IF( SUM( AK8:BL8 ) = 0, 0, $AL$5 )</f>
        <v>0</v>
      </c>
      <c r="AJ8" s="192"/>
      <c r="AK8" s="71"/>
      <c r="AL8" s="93">
        <f>IF(Validation!$H$3=1,0,IF(ISNUMBER(G8),0,1))</f>
        <v>0</v>
      </c>
      <c r="AM8" s="93">
        <f>IF(Validation!$H$3=1,0,IF(ISNUMBER(H8),0,1))</f>
        <v>0</v>
      </c>
      <c r="AN8" s="93">
        <f>IF(Validation!$H$3=1,0,IF(ISNUMBER(I8),0,1))</f>
        <v>0</v>
      </c>
      <c r="AO8" s="93">
        <f>IF(Validation!$H$3=1,0,IF(ISNUMBER(J8),0,1))</f>
        <v>0</v>
      </c>
      <c r="AP8" s="93">
        <f>IF(Validation!$H$3=1,0,IF(ISNUMBER(K8),0,1))</f>
        <v>0</v>
      </c>
      <c r="AQ8" s="93">
        <f>IF(Validation!$H$3=1,0,IF(ISNUMBER(L8),0,1))</f>
        <v>0</v>
      </c>
      <c r="AR8" s="93">
        <f>IF(Validation!$H$3=1,0,IF(ISNUMBER(M8),0,1))</f>
        <v>0</v>
      </c>
      <c r="AS8" s="93"/>
      <c r="AT8" s="85"/>
      <c r="AU8" s="93">
        <f>IF(Validation!$H$3=1,0,IF(ISNUMBER(P8),0,1))</f>
        <v>0</v>
      </c>
      <c r="AV8" s="93">
        <f>IF(Validation!$H$3=1,0,IF(ISNUMBER(Q8),0,1))</f>
        <v>0</v>
      </c>
      <c r="AW8" s="93">
        <f>IF(Validation!$H$3=1,0,IF(ISNUMBER(R8),0,1))</f>
        <v>0</v>
      </c>
      <c r="AX8" s="93">
        <f>IF(Validation!$H$3=1,0,IF(ISNUMBER(S8),0,1))</f>
        <v>0</v>
      </c>
      <c r="AY8" s="93"/>
      <c r="AZ8" s="93">
        <f>IF(Validation!$H$3=1,0,IF(ISNUMBER(U8),0,1))</f>
        <v>0</v>
      </c>
      <c r="BA8" s="93">
        <f>IF(Validation!$H$3=1,0,IF(ISNUMBER(V8),0,1))</f>
        <v>0</v>
      </c>
      <c r="BB8" s="93">
        <f>IF(Validation!$H$3=1,0,IF(ISNUMBER(W8),0,1))</f>
        <v>0</v>
      </c>
      <c r="BC8" s="93">
        <f>IF(Validation!$H$3=1,0,IF(ISNUMBER(X8),0,1))</f>
        <v>0</v>
      </c>
      <c r="BD8" s="93">
        <f>IF(Validation!$H$3=1,0,IF(ISNUMBER(Y8),0,1))</f>
        <v>0</v>
      </c>
      <c r="BE8" s="93"/>
      <c r="BF8" s="93">
        <f>IF(Validation!$H$3=1,0,IF(ISNUMBER(AA8),0,1))</f>
        <v>0</v>
      </c>
      <c r="BG8" s="93">
        <f>IF(Validation!$H$3=1,0,IF(ISNUMBER(AB8),0,1))</f>
        <v>0</v>
      </c>
      <c r="BH8" s="93">
        <f>IF(Validation!$H$3=1,0,IF(ISNUMBER(AC8),0,1))</f>
        <v>0</v>
      </c>
      <c r="BI8" s="93">
        <f>IF(Validation!$H$3=1,0,IF(ISNUMBER(AD8),0,1))</f>
        <v>0</v>
      </c>
      <c r="BJ8" s="93">
        <f>IF(Validation!$H$3=1,0,IF(ISNUMBER(AE8),0,1))</f>
        <v>0</v>
      </c>
      <c r="BK8" s="93"/>
      <c r="BL8" s="71"/>
      <c r="BM8" s="1882"/>
      <c r="BN8" s="86" t="s">
        <v>7251</v>
      </c>
      <c r="BO8" s="117" t="s">
        <v>7252</v>
      </c>
      <c r="BP8" s="88"/>
      <c r="BQ8" s="88" t="s">
        <v>7253</v>
      </c>
      <c r="BR8" s="89">
        <v>0</v>
      </c>
      <c r="BS8" s="2772" t="s">
        <v>7254</v>
      </c>
      <c r="BT8" s="2773" t="s">
        <v>7255</v>
      </c>
      <c r="BU8" s="2773" t="s">
        <v>7256</v>
      </c>
      <c r="BV8" s="2773" t="s">
        <v>7257</v>
      </c>
      <c r="BW8" s="2773" t="s">
        <v>7258</v>
      </c>
      <c r="BX8" s="2773" t="s">
        <v>7259</v>
      </c>
      <c r="BY8" s="2773" t="s">
        <v>7260</v>
      </c>
      <c r="BZ8" s="1235" t="s">
        <v>7261</v>
      </c>
      <c r="CA8" s="2363"/>
      <c r="CB8" s="2772" t="s">
        <v>7262</v>
      </c>
      <c r="CC8" s="2773" t="s">
        <v>7263</v>
      </c>
      <c r="CD8" s="2773" t="s">
        <v>7264</v>
      </c>
      <c r="CE8" s="2773" t="s">
        <v>7265</v>
      </c>
      <c r="CF8" s="1235" t="s">
        <v>7266</v>
      </c>
      <c r="CG8" s="2772" t="s">
        <v>7267</v>
      </c>
      <c r="CH8" s="2773" t="s">
        <v>7268</v>
      </c>
      <c r="CI8" s="2773" t="s">
        <v>7269</v>
      </c>
      <c r="CJ8" s="2773" t="s">
        <v>7270</v>
      </c>
      <c r="CK8" s="2773" t="s">
        <v>7271</v>
      </c>
      <c r="CL8" s="1235" t="s">
        <v>7272</v>
      </c>
      <c r="CM8" s="2772" t="s">
        <v>7273</v>
      </c>
      <c r="CN8" s="2773" t="s">
        <v>7274</v>
      </c>
      <c r="CO8" s="2773" t="s">
        <v>7275</v>
      </c>
      <c r="CP8" s="2773" t="s">
        <v>7276</v>
      </c>
      <c r="CQ8" s="2773" t="s">
        <v>7277</v>
      </c>
      <c r="CR8" s="1235" t="s">
        <v>7278</v>
      </c>
    </row>
    <row r="9" spans="1:96" ht="16">
      <c r="A9" s="1226"/>
      <c r="B9" s="94" t="s">
        <v>7279</v>
      </c>
      <c r="C9" s="87" t="s">
        <v>7280</v>
      </c>
      <c r="D9" s="95"/>
      <c r="E9" s="95" t="s">
        <v>7253</v>
      </c>
      <c r="F9" s="96">
        <v>0</v>
      </c>
      <c r="G9" s="1236"/>
      <c r="H9" s="1237"/>
      <c r="I9" s="1237"/>
      <c r="J9" s="1237"/>
      <c r="K9" s="1237"/>
      <c r="L9" s="1237"/>
      <c r="M9" s="1237"/>
      <c r="N9" s="1238">
        <f t="shared" si="0"/>
        <v>0</v>
      </c>
      <c r="O9" s="1161"/>
      <c r="P9" s="1236"/>
      <c r="Q9" s="1237"/>
      <c r="R9" s="1237"/>
      <c r="S9" s="1237"/>
      <c r="T9" s="1238">
        <f t="shared" si="1"/>
        <v>0</v>
      </c>
      <c r="U9" s="1236"/>
      <c r="V9" s="1237"/>
      <c r="W9" s="1237"/>
      <c r="X9" s="1237"/>
      <c r="Y9" s="1237"/>
      <c r="Z9" s="1238">
        <f t="shared" si="2"/>
        <v>0</v>
      </c>
      <c r="AA9" s="1236"/>
      <c r="AB9" s="1237"/>
      <c r="AC9" s="1237"/>
      <c r="AD9" s="1237"/>
      <c r="AE9" s="1237"/>
      <c r="AF9" s="1238">
        <f t="shared" si="3"/>
        <v>0</v>
      </c>
      <c r="AG9" s="1095"/>
      <c r="AH9" s="1161"/>
      <c r="AI9" s="868">
        <f t="shared" ref="AI9:AI13" si="4" xml:space="preserve"> IF( SUM( AK9:BL9 ) = 0, 0, $AL$5 )</f>
        <v>0</v>
      </c>
      <c r="AJ9" s="192"/>
      <c r="AK9" s="71"/>
      <c r="AL9" s="93">
        <f>IF(Validation!$H$3=1,0,IF(ISNUMBER(G9),0,1))</f>
        <v>0</v>
      </c>
      <c r="AM9" s="93">
        <f>IF(Validation!$H$3=1,0,IF(ISNUMBER(H9),0,1))</f>
        <v>0</v>
      </c>
      <c r="AN9" s="93">
        <f>IF(Validation!$H$3=1,0,IF(ISNUMBER(I9),0,1))</f>
        <v>0</v>
      </c>
      <c r="AO9" s="93">
        <f>IF(Validation!$H$3=1,0,IF(ISNUMBER(J9),0,1))</f>
        <v>0</v>
      </c>
      <c r="AP9" s="93">
        <f>IF(Validation!$H$3=1,0,IF(ISNUMBER(K9),0,1))</f>
        <v>0</v>
      </c>
      <c r="AQ9" s="93">
        <f>IF(Validation!$H$3=1,0,IF(ISNUMBER(L9),0,1))</f>
        <v>0</v>
      </c>
      <c r="AR9" s="93">
        <f>IF(Validation!$H$3=1,0,IF(ISNUMBER(M9),0,1))</f>
        <v>0</v>
      </c>
      <c r="AS9" s="93"/>
      <c r="AT9" s="85"/>
      <c r="AU9" s="93">
        <f>IF(Validation!$H$3=1,0,IF(ISNUMBER(P9),0,1))</f>
        <v>0</v>
      </c>
      <c r="AV9" s="93">
        <f>IF(Validation!$H$3=1,0,IF(ISNUMBER(Q9),0,1))</f>
        <v>0</v>
      </c>
      <c r="AW9" s="93">
        <f>IF(Validation!$H$3=1,0,IF(ISNUMBER(R9),0,1))</f>
        <v>0</v>
      </c>
      <c r="AX9" s="93">
        <f>IF(Validation!$H$3=1,0,IF(ISNUMBER(S9),0,1))</f>
        <v>0</v>
      </c>
      <c r="AY9" s="93"/>
      <c r="AZ9" s="93">
        <f>IF(Validation!$H$3=1,0,IF(ISNUMBER(U9),0,1))</f>
        <v>0</v>
      </c>
      <c r="BA9" s="93">
        <f>IF(Validation!$H$3=1,0,IF(ISNUMBER(V9),0,1))</f>
        <v>0</v>
      </c>
      <c r="BB9" s="93">
        <f>IF(Validation!$H$3=1,0,IF(ISNUMBER(W9),0,1))</f>
        <v>0</v>
      </c>
      <c r="BC9" s="93">
        <f>IF(Validation!$H$3=1,0,IF(ISNUMBER(X9),0,1))</f>
        <v>0</v>
      </c>
      <c r="BD9" s="93">
        <f>IF(Validation!$H$3=1,0,IF(ISNUMBER(Y9),0,1))</f>
        <v>0</v>
      </c>
      <c r="BE9" s="93"/>
      <c r="BF9" s="93">
        <f>IF(Validation!$H$3=1,0,IF(ISNUMBER(AA9),0,1))</f>
        <v>0</v>
      </c>
      <c r="BG9" s="93">
        <f>IF(Validation!$H$3=1,0,IF(ISNUMBER(AB9),0,1))</f>
        <v>0</v>
      </c>
      <c r="BH9" s="93">
        <f>IF(Validation!$H$3=1,0,IF(ISNUMBER(AC9),0,1))</f>
        <v>0</v>
      </c>
      <c r="BI9" s="93">
        <f>IF(Validation!$H$3=1,0,IF(ISNUMBER(AD9),0,1))</f>
        <v>0</v>
      </c>
      <c r="BJ9" s="93">
        <f>IF(Validation!$H$3=1,0,IF(ISNUMBER(AE9),0,1))</f>
        <v>0</v>
      </c>
      <c r="BK9" s="93"/>
      <c r="BL9" s="71"/>
      <c r="BM9" s="1882"/>
      <c r="BN9" s="94" t="s">
        <v>7279</v>
      </c>
      <c r="BO9" s="87" t="s">
        <v>7280</v>
      </c>
      <c r="BP9" s="95"/>
      <c r="BQ9" s="95" t="s">
        <v>7253</v>
      </c>
      <c r="BR9" s="96">
        <v>0</v>
      </c>
      <c r="BS9" s="2774" t="s">
        <v>7281</v>
      </c>
      <c r="BT9" s="2775" t="s">
        <v>7282</v>
      </c>
      <c r="BU9" s="2775" t="s">
        <v>7283</v>
      </c>
      <c r="BV9" s="2775" t="s">
        <v>7284</v>
      </c>
      <c r="BW9" s="2775" t="s">
        <v>7285</v>
      </c>
      <c r="BX9" s="2775" t="s">
        <v>7286</v>
      </c>
      <c r="BY9" s="2775" t="s">
        <v>7287</v>
      </c>
      <c r="BZ9" s="1238" t="s">
        <v>7288</v>
      </c>
      <c r="CA9" s="2363"/>
      <c r="CB9" s="2774" t="s">
        <v>7289</v>
      </c>
      <c r="CC9" s="2775" t="s">
        <v>7290</v>
      </c>
      <c r="CD9" s="2775" t="s">
        <v>7291</v>
      </c>
      <c r="CE9" s="2775" t="s">
        <v>7292</v>
      </c>
      <c r="CF9" s="1238" t="s">
        <v>7293</v>
      </c>
      <c r="CG9" s="2774" t="s">
        <v>7294</v>
      </c>
      <c r="CH9" s="2775" t="s">
        <v>7295</v>
      </c>
      <c r="CI9" s="2775" t="s">
        <v>7296</v>
      </c>
      <c r="CJ9" s="2775" t="s">
        <v>7297</v>
      </c>
      <c r="CK9" s="2775" t="s">
        <v>7298</v>
      </c>
      <c r="CL9" s="1238" t="s">
        <v>7299</v>
      </c>
      <c r="CM9" s="2774" t="s">
        <v>7300</v>
      </c>
      <c r="CN9" s="2775" t="s">
        <v>7301</v>
      </c>
      <c r="CO9" s="2775" t="s">
        <v>7302</v>
      </c>
      <c r="CP9" s="2775" t="s">
        <v>7303</v>
      </c>
      <c r="CQ9" s="2775" t="s">
        <v>7304</v>
      </c>
      <c r="CR9" s="1238" t="s">
        <v>7305</v>
      </c>
    </row>
    <row r="10" spans="1:96" ht="16">
      <c r="A10" s="1226"/>
      <c r="B10" s="94" t="s">
        <v>7306</v>
      </c>
      <c r="C10" s="87" t="s">
        <v>7307</v>
      </c>
      <c r="D10" s="95"/>
      <c r="E10" s="95" t="s">
        <v>7253</v>
      </c>
      <c r="F10" s="96">
        <v>0</v>
      </c>
      <c r="G10" s="1236"/>
      <c r="H10" s="1237"/>
      <c r="I10" s="1237"/>
      <c r="J10" s="1237"/>
      <c r="K10" s="1237"/>
      <c r="L10" s="1237"/>
      <c r="M10" s="1237"/>
      <c r="N10" s="1238">
        <f t="shared" si="0"/>
        <v>0</v>
      </c>
      <c r="O10" s="1161"/>
      <c r="P10" s="1236"/>
      <c r="Q10" s="1237"/>
      <c r="R10" s="1237"/>
      <c r="S10" s="1237"/>
      <c r="T10" s="1238">
        <f t="shared" si="1"/>
        <v>0</v>
      </c>
      <c r="U10" s="1236"/>
      <c r="V10" s="1237"/>
      <c r="W10" s="1237"/>
      <c r="X10" s="1237"/>
      <c r="Y10" s="1237"/>
      <c r="Z10" s="1238">
        <f t="shared" si="2"/>
        <v>0</v>
      </c>
      <c r="AA10" s="1236"/>
      <c r="AB10" s="1237"/>
      <c r="AC10" s="1237"/>
      <c r="AD10" s="1237"/>
      <c r="AE10" s="1237"/>
      <c r="AF10" s="1238">
        <f t="shared" si="3"/>
        <v>0</v>
      </c>
      <c r="AG10" s="1095"/>
      <c r="AH10" s="1161"/>
      <c r="AI10" s="868">
        <f t="shared" si="4"/>
        <v>0</v>
      </c>
      <c r="AJ10" s="192"/>
      <c r="AK10" s="71"/>
      <c r="AL10" s="93">
        <f>IF(Validation!$H$3=1,0,IF(ISNUMBER(G10),0,1))</f>
        <v>0</v>
      </c>
      <c r="AM10" s="93">
        <f>IF(Validation!$H$3=1,0,IF(ISNUMBER(H10),0,1))</f>
        <v>0</v>
      </c>
      <c r="AN10" s="93">
        <f>IF(Validation!$H$3=1,0,IF(ISNUMBER(I10),0,1))</f>
        <v>0</v>
      </c>
      <c r="AO10" s="93">
        <f>IF(Validation!$H$3=1,0,IF(ISNUMBER(J10),0,1))</f>
        <v>0</v>
      </c>
      <c r="AP10" s="93">
        <f>IF(Validation!$H$3=1,0,IF(ISNUMBER(K10),0,1))</f>
        <v>0</v>
      </c>
      <c r="AQ10" s="93">
        <f>IF(Validation!$H$3=1,0,IF(ISNUMBER(L10),0,1))</f>
        <v>0</v>
      </c>
      <c r="AR10" s="93">
        <f>IF(Validation!$H$3=1,0,IF(ISNUMBER(M10),0,1))</f>
        <v>0</v>
      </c>
      <c r="AS10" s="93"/>
      <c r="AT10" s="85"/>
      <c r="AU10" s="93">
        <f>IF(Validation!$H$3=1,0,IF(ISNUMBER(P10),0,1))</f>
        <v>0</v>
      </c>
      <c r="AV10" s="93">
        <f>IF(Validation!$H$3=1,0,IF(ISNUMBER(Q10),0,1))</f>
        <v>0</v>
      </c>
      <c r="AW10" s="93">
        <f>IF(Validation!$H$3=1,0,IF(ISNUMBER(R10),0,1))</f>
        <v>0</v>
      </c>
      <c r="AX10" s="93">
        <f>IF(Validation!$H$3=1,0,IF(ISNUMBER(S10),0,1))</f>
        <v>0</v>
      </c>
      <c r="AY10" s="93"/>
      <c r="AZ10" s="93">
        <f>IF(Validation!$H$3=1,0,IF(ISNUMBER(U10),0,1))</f>
        <v>0</v>
      </c>
      <c r="BA10" s="93">
        <f>IF(Validation!$H$3=1,0,IF(ISNUMBER(V10),0,1))</f>
        <v>0</v>
      </c>
      <c r="BB10" s="93">
        <f>IF(Validation!$H$3=1,0,IF(ISNUMBER(W10),0,1))</f>
        <v>0</v>
      </c>
      <c r="BC10" s="93">
        <f>IF(Validation!$H$3=1,0,IF(ISNUMBER(X10),0,1))</f>
        <v>0</v>
      </c>
      <c r="BD10" s="93">
        <f>IF(Validation!$H$3=1,0,IF(ISNUMBER(Y10),0,1))</f>
        <v>0</v>
      </c>
      <c r="BE10" s="93"/>
      <c r="BF10" s="93">
        <f>IF(Validation!$H$3=1,0,IF(ISNUMBER(AA10),0,1))</f>
        <v>0</v>
      </c>
      <c r="BG10" s="93">
        <f>IF(Validation!$H$3=1,0,IF(ISNUMBER(AB10),0,1))</f>
        <v>0</v>
      </c>
      <c r="BH10" s="93">
        <f>IF(Validation!$H$3=1,0,IF(ISNUMBER(AC10),0,1))</f>
        <v>0</v>
      </c>
      <c r="BI10" s="93">
        <f>IF(Validation!$H$3=1,0,IF(ISNUMBER(AD10),0,1))</f>
        <v>0</v>
      </c>
      <c r="BJ10" s="93">
        <f>IF(Validation!$H$3=1,0,IF(ISNUMBER(AE10),0,1))</f>
        <v>0</v>
      </c>
      <c r="BK10" s="93"/>
      <c r="BL10" s="71"/>
      <c r="BM10" s="1882"/>
      <c r="BN10" s="94" t="s">
        <v>7306</v>
      </c>
      <c r="BO10" s="87" t="s">
        <v>7307</v>
      </c>
      <c r="BP10" s="95"/>
      <c r="BQ10" s="95" t="s">
        <v>7253</v>
      </c>
      <c r="BR10" s="96">
        <v>0</v>
      </c>
      <c r="BS10" s="2774" t="s">
        <v>7308</v>
      </c>
      <c r="BT10" s="2775" t="s">
        <v>7309</v>
      </c>
      <c r="BU10" s="2775" t="s">
        <v>7310</v>
      </c>
      <c r="BV10" s="2775" t="s">
        <v>7311</v>
      </c>
      <c r="BW10" s="2775" t="s">
        <v>7312</v>
      </c>
      <c r="BX10" s="2775" t="s">
        <v>7313</v>
      </c>
      <c r="BY10" s="2775" t="s">
        <v>7314</v>
      </c>
      <c r="BZ10" s="1238" t="s">
        <v>7315</v>
      </c>
      <c r="CA10" s="2363"/>
      <c r="CB10" s="2774" t="s">
        <v>7316</v>
      </c>
      <c r="CC10" s="2775" t="s">
        <v>7317</v>
      </c>
      <c r="CD10" s="2775" t="s">
        <v>7318</v>
      </c>
      <c r="CE10" s="2775" t="s">
        <v>7319</v>
      </c>
      <c r="CF10" s="1238" t="s">
        <v>7320</v>
      </c>
      <c r="CG10" s="2774" t="s">
        <v>7321</v>
      </c>
      <c r="CH10" s="2775" t="s">
        <v>7322</v>
      </c>
      <c r="CI10" s="2775" t="s">
        <v>7323</v>
      </c>
      <c r="CJ10" s="2775" t="s">
        <v>7324</v>
      </c>
      <c r="CK10" s="2775" t="s">
        <v>7325</v>
      </c>
      <c r="CL10" s="1238" t="s">
        <v>7326</v>
      </c>
      <c r="CM10" s="2774" t="s">
        <v>7327</v>
      </c>
      <c r="CN10" s="2775" t="s">
        <v>7328</v>
      </c>
      <c r="CO10" s="2775" t="s">
        <v>7329</v>
      </c>
      <c r="CP10" s="2775" t="s">
        <v>7330</v>
      </c>
      <c r="CQ10" s="2775" t="s">
        <v>7331</v>
      </c>
      <c r="CR10" s="1238" t="s">
        <v>7332</v>
      </c>
    </row>
    <row r="11" spans="1:96" ht="16">
      <c r="A11" s="1226"/>
      <c r="B11" s="94" t="s">
        <v>7333</v>
      </c>
      <c r="C11" s="87" t="s">
        <v>7334</v>
      </c>
      <c r="D11" s="95"/>
      <c r="E11" s="95" t="s">
        <v>7253</v>
      </c>
      <c r="F11" s="96">
        <v>0</v>
      </c>
      <c r="G11" s="1236"/>
      <c r="H11" s="1237"/>
      <c r="I11" s="1237"/>
      <c r="J11" s="1237"/>
      <c r="K11" s="1237"/>
      <c r="L11" s="1237"/>
      <c r="M11" s="1237"/>
      <c r="N11" s="1238">
        <f t="shared" si="0"/>
        <v>0</v>
      </c>
      <c r="O11" s="1161"/>
      <c r="P11" s="1236"/>
      <c r="Q11" s="1237"/>
      <c r="R11" s="1237"/>
      <c r="S11" s="1237"/>
      <c r="T11" s="1238">
        <f t="shared" si="1"/>
        <v>0</v>
      </c>
      <c r="U11" s="1236"/>
      <c r="V11" s="1237"/>
      <c r="W11" s="1237"/>
      <c r="X11" s="1237"/>
      <c r="Y11" s="1237"/>
      <c r="Z11" s="1238">
        <f t="shared" si="2"/>
        <v>0</v>
      </c>
      <c r="AA11" s="1236"/>
      <c r="AB11" s="1237"/>
      <c r="AC11" s="1237"/>
      <c r="AD11" s="1237"/>
      <c r="AE11" s="1237"/>
      <c r="AF11" s="1238">
        <f t="shared" si="3"/>
        <v>0</v>
      </c>
      <c r="AG11" s="1095"/>
      <c r="AH11" s="1161"/>
      <c r="AI11" s="868">
        <f t="shared" si="4"/>
        <v>0</v>
      </c>
      <c r="AJ11" s="192"/>
      <c r="AK11" s="71"/>
      <c r="AL11" s="93">
        <f>IF(Validation!$H$3=1,0,IF(ISNUMBER(G11),0,1))</f>
        <v>0</v>
      </c>
      <c r="AM11" s="93">
        <f>IF(Validation!$H$3=1,0,IF(ISNUMBER(H11),0,1))</f>
        <v>0</v>
      </c>
      <c r="AN11" s="93">
        <f>IF(Validation!$H$3=1,0,IF(ISNUMBER(I11),0,1))</f>
        <v>0</v>
      </c>
      <c r="AO11" s="93">
        <f>IF(Validation!$H$3=1,0,IF(ISNUMBER(J11),0,1))</f>
        <v>0</v>
      </c>
      <c r="AP11" s="93">
        <f>IF(Validation!$H$3=1,0,IF(ISNUMBER(K11),0,1))</f>
        <v>0</v>
      </c>
      <c r="AQ11" s="93">
        <f>IF(Validation!$H$3=1,0,IF(ISNUMBER(L11),0,1))</f>
        <v>0</v>
      </c>
      <c r="AR11" s="93">
        <f>IF(Validation!$H$3=1,0,IF(ISNUMBER(M11),0,1))</f>
        <v>0</v>
      </c>
      <c r="AS11" s="93"/>
      <c r="AT11" s="85"/>
      <c r="AU11" s="93">
        <f>IF(Validation!$H$3=1,0,IF(ISNUMBER(P11),0,1))</f>
        <v>0</v>
      </c>
      <c r="AV11" s="93">
        <f>IF(Validation!$H$3=1,0,IF(ISNUMBER(Q11),0,1))</f>
        <v>0</v>
      </c>
      <c r="AW11" s="93">
        <f>IF(Validation!$H$3=1,0,IF(ISNUMBER(R11),0,1))</f>
        <v>0</v>
      </c>
      <c r="AX11" s="93">
        <f>IF(Validation!$H$3=1,0,IF(ISNUMBER(S11),0,1))</f>
        <v>0</v>
      </c>
      <c r="AY11" s="93"/>
      <c r="AZ11" s="93">
        <f>IF(Validation!$H$3=1,0,IF(ISNUMBER(U11),0,1))</f>
        <v>0</v>
      </c>
      <c r="BA11" s="93">
        <f>IF(Validation!$H$3=1,0,IF(ISNUMBER(V11),0,1))</f>
        <v>0</v>
      </c>
      <c r="BB11" s="93">
        <f>IF(Validation!$H$3=1,0,IF(ISNUMBER(W11),0,1))</f>
        <v>0</v>
      </c>
      <c r="BC11" s="93">
        <f>IF(Validation!$H$3=1,0,IF(ISNUMBER(X11),0,1))</f>
        <v>0</v>
      </c>
      <c r="BD11" s="93">
        <f>IF(Validation!$H$3=1,0,IF(ISNUMBER(Y11),0,1))</f>
        <v>0</v>
      </c>
      <c r="BE11" s="93"/>
      <c r="BF11" s="93">
        <f>IF(Validation!$H$3=1,0,IF(ISNUMBER(AA11),0,1))</f>
        <v>0</v>
      </c>
      <c r="BG11" s="93">
        <f>IF(Validation!$H$3=1,0,IF(ISNUMBER(AB11),0,1))</f>
        <v>0</v>
      </c>
      <c r="BH11" s="93">
        <f>IF(Validation!$H$3=1,0,IF(ISNUMBER(AC11),0,1))</f>
        <v>0</v>
      </c>
      <c r="BI11" s="93">
        <f>IF(Validation!$H$3=1,0,IF(ISNUMBER(AD11),0,1))</f>
        <v>0</v>
      </c>
      <c r="BJ11" s="93">
        <f>IF(Validation!$H$3=1,0,IF(ISNUMBER(AE11),0,1))</f>
        <v>0</v>
      </c>
      <c r="BK11" s="93"/>
      <c r="BL11" s="71"/>
      <c r="BM11" s="1882"/>
      <c r="BN11" s="94" t="s">
        <v>7333</v>
      </c>
      <c r="BO11" s="87" t="s">
        <v>7334</v>
      </c>
      <c r="BP11" s="95"/>
      <c r="BQ11" s="95" t="s">
        <v>7253</v>
      </c>
      <c r="BR11" s="96">
        <v>0</v>
      </c>
      <c r="BS11" s="2774" t="s">
        <v>7335</v>
      </c>
      <c r="BT11" s="2775" t="s">
        <v>7336</v>
      </c>
      <c r="BU11" s="2775" t="s">
        <v>7337</v>
      </c>
      <c r="BV11" s="2775" t="s">
        <v>7338</v>
      </c>
      <c r="BW11" s="2775" t="s">
        <v>7339</v>
      </c>
      <c r="BX11" s="2775" t="s">
        <v>7340</v>
      </c>
      <c r="BY11" s="2775" t="s">
        <v>7341</v>
      </c>
      <c r="BZ11" s="1238" t="s">
        <v>7342</v>
      </c>
      <c r="CA11" s="2363"/>
      <c r="CB11" s="2774" t="s">
        <v>7343</v>
      </c>
      <c r="CC11" s="2775" t="s">
        <v>7344</v>
      </c>
      <c r="CD11" s="2775" t="s">
        <v>7345</v>
      </c>
      <c r="CE11" s="2775" t="s">
        <v>7346</v>
      </c>
      <c r="CF11" s="1238" t="s">
        <v>7347</v>
      </c>
      <c r="CG11" s="2774" t="s">
        <v>7348</v>
      </c>
      <c r="CH11" s="2775" t="s">
        <v>7349</v>
      </c>
      <c r="CI11" s="2775" t="s">
        <v>7350</v>
      </c>
      <c r="CJ11" s="2775" t="s">
        <v>7351</v>
      </c>
      <c r="CK11" s="2775" t="s">
        <v>7352</v>
      </c>
      <c r="CL11" s="1238" t="s">
        <v>7353</v>
      </c>
      <c r="CM11" s="2774" t="s">
        <v>7354</v>
      </c>
      <c r="CN11" s="2775" t="s">
        <v>7355</v>
      </c>
      <c r="CO11" s="2775" t="s">
        <v>7356</v>
      </c>
      <c r="CP11" s="2775" t="s">
        <v>7357</v>
      </c>
      <c r="CQ11" s="2775" t="s">
        <v>7358</v>
      </c>
      <c r="CR11" s="1238" t="s">
        <v>7359</v>
      </c>
    </row>
    <row r="12" spans="1:96" ht="16">
      <c r="A12" s="1226"/>
      <c r="B12" s="94" t="s">
        <v>7360</v>
      </c>
      <c r="C12" s="884" t="s">
        <v>7361</v>
      </c>
      <c r="D12" s="1239"/>
      <c r="E12" s="1239" t="s">
        <v>7253</v>
      </c>
      <c r="F12" s="1240">
        <v>0</v>
      </c>
      <c r="G12" s="1236"/>
      <c r="H12" s="1237"/>
      <c r="I12" s="1237"/>
      <c r="J12" s="1237"/>
      <c r="K12" s="1237"/>
      <c r="L12" s="1237"/>
      <c r="M12" s="1237"/>
      <c r="N12" s="1238">
        <f t="shared" si="0"/>
        <v>0</v>
      </c>
      <c r="O12" s="1161"/>
      <c r="P12" s="1236"/>
      <c r="Q12" s="1237"/>
      <c r="R12" s="1237"/>
      <c r="S12" s="1237"/>
      <c r="T12" s="1238">
        <f t="shared" si="1"/>
        <v>0</v>
      </c>
      <c r="U12" s="1236"/>
      <c r="V12" s="1237"/>
      <c r="W12" s="1237"/>
      <c r="X12" s="1237"/>
      <c r="Y12" s="1237"/>
      <c r="Z12" s="1238">
        <f t="shared" si="2"/>
        <v>0</v>
      </c>
      <c r="AA12" s="1236"/>
      <c r="AB12" s="1237"/>
      <c r="AC12" s="1237"/>
      <c r="AD12" s="1237"/>
      <c r="AE12" s="1237"/>
      <c r="AF12" s="1238">
        <f t="shared" si="3"/>
        <v>0</v>
      </c>
      <c r="AG12" s="1095"/>
      <c r="AH12" s="1161"/>
      <c r="AI12" s="868">
        <f t="shared" si="4"/>
        <v>0</v>
      </c>
      <c r="AJ12" s="192"/>
      <c r="AK12" s="71"/>
      <c r="AL12" s="93">
        <f>IF(Validation!$H$3=1,0,IF(ISNUMBER(G12),0,1))</f>
        <v>0</v>
      </c>
      <c r="AM12" s="93">
        <f>IF(Validation!$H$3=1,0,IF(ISNUMBER(H12),0,1))</f>
        <v>0</v>
      </c>
      <c r="AN12" s="93">
        <f>IF(Validation!$H$3=1,0,IF(ISNUMBER(I12),0,1))</f>
        <v>0</v>
      </c>
      <c r="AO12" s="93">
        <f>IF(Validation!$H$3=1,0,IF(ISNUMBER(J12),0,1))</f>
        <v>0</v>
      </c>
      <c r="AP12" s="93">
        <f>IF(Validation!$H$3=1,0,IF(ISNUMBER(K12),0,1))</f>
        <v>0</v>
      </c>
      <c r="AQ12" s="93">
        <f>IF(Validation!$H$3=1,0,IF(ISNUMBER(L12),0,1))</f>
        <v>0</v>
      </c>
      <c r="AR12" s="93">
        <f>IF(Validation!$H$3=1,0,IF(ISNUMBER(M12),0,1))</f>
        <v>0</v>
      </c>
      <c r="AS12" s="93"/>
      <c r="AT12" s="85"/>
      <c r="AU12" s="93">
        <f>IF(Validation!$H$3=1,0,IF(ISNUMBER(P12),0,1))</f>
        <v>0</v>
      </c>
      <c r="AV12" s="93">
        <f>IF(Validation!$H$3=1,0,IF(ISNUMBER(Q12),0,1))</f>
        <v>0</v>
      </c>
      <c r="AW12" s="93">
        <f>IF(Validation!$H$3=1,0,IF(ISNUMBER(R12),0,1))</f>
        <v>0</v>
      </c>
      <c r="AX12" s="93">
        <f>IF(Validation!$H$3=1,0,IF(ISNUMBER(S12),0,1))</f>
        <v>0</v>
      </c>
      <c r="AY12" s="93"/>
      <c r="AZ12" s="93">
        <f>IF(Validation!$H$3=1,0,IF(ISNUMBER(U12),0,1))</f>
        <v>0</v>
      </c>
      <c r="BA12" s="93">
        <f>IF(Validation!$H$3=1,0,IF(ISNUMBER(V12),0,1))</f>
        <v>0</v>
      </c>
      <c r="BB12" s="93">
        <f>IF(Validation!$H$3=1,0,IF(ISNUMBER(W12),0,1))</f>
        <v>0</v>
      </c>
      <c r="BC12" s="93">
        <f>IF(Validation!$H$3=1,0,IF(ISNUMBER(X12),0,1))</f>
        <v>0</v>
      </c>
      <c r="BD12" s="93">
        <f>IF(Validation!$H$3=1,0,IF(ISNUMBER(Y12),0,1))</f>
        <v>0</v>
      </c>
      <c r="BE12" s="93"/>
      <c r="BF12" s="93">
        <f>IF(Validation!$H$3=1,0,IF(ISNUMBER(AA12),0,1))</f>
        <v>0</v>
      </c>
      <c r="BG12" s="93">
        <f>IF(Validation!$H$3=1,0,IF(ISNUMBER(AB12),0,1))</f>
        <v>0</v>
      </c>
      <c r="BH12" s="93">
        <f>IF(Validation!$H$3=1,0,IF(ISNUMBER(AC12),0,1))</f>
        <v>0</v>
      </c>
      <c r="BI12" s="93">
        <f>IF(Validation!$H$3=1,0,IF(ISNUMBER(AD12),0,1))</f>
        <v>0</v>
      </c>
      <c r="BJ12" s="93">
        <f>IF(Validation!$H$3=1,0,IF(ISNUMBER(AE12),0,1))</f>
        <v>0</v>
      </c>
      <c r="BK12" s="93"/>
      <c r="BL12" s="71"/>
      <c r="BM12" s="1882"/>
      <c r="BN12" s="94" t="s">
        <v>7360</v>
      </c>
      <c r="BO12" s="884" t="s">
        <v>7361</v>
      </c>
      <c r="BP12" s="1239"/>
      <c r="BQ12" s="1239" t="s">
        <v>7253</v>
      </c>
      <c r="BR12" s="1240">
        <v>0</v>
      </c>
      <c r="BS12" s="2774" t="s">
        <v>7362</v>
      </c>
      <c r="BT12" s="2775" t="s">
        <v>7363</v>
      </c>
      <c r="BU12" s="2775" t="s">
        <v>7364</v>
      </c>
      <c r="BV12" s="2775" t="s">
        <v>7365</v>
      </c>
      <c r="BW12" s="2775" t="s">
        <v>7366</v>
      </c>
      <c r="BX12" s="2775" t="s">
        <v>7367</v>
      </c>
      <c r="BY12" s="2775" t="s">
        <v>7368</v>
      </c>
      <c r="BZ12" s="1238" t="s">
        <v>7369</v>
      </c>
      <c r="CA12" s="2363"/>
      <c r="CB12" s="2774" t="s">
        <v>7370</v>
      </c>
      <c r="CC12" s="2775" t="s">
        <v>7371</v>
      </c>
      <c r="CD12" s="2775" t="s">
        <v>7372</v>
      </c>
      <c r="CE12" s="2775" t="s">
        <v>7373</v>
      </c>
      <c r="CF12" s="1238" t="s">
        <v>7374</v>
      </c>
      <c r="CG12" s="2774" t="s">
        <v>7375</v>
      </c>
      <c r="CH12" s="2775" t="s">
        <v>7376</v>
      </c>
      <c r="CI12" s="2775" t="s">
        <v>7377</v>
      </c>
      <c r="CJ12" s="2775" t="s">
        <v>7378</v>
      </c>
      <c r="CK12" s="2775" t="s">
        <v>7379</v>
      </c>
      <c r="CL12" s="1238" t="s">
        <v>7380</v>
      </c>
      <c r="CM12" s="2774" t="s">
        <v>7381</v>
      </c>
      <c r="CN12" s="2775" t="s">
        <v>7382</v>
      </c>
      <c r="CO12" s="2775" t="s">
        <v>7383</v>
      </c>
      <c r="CP12" s="2775" t="s">
        <v>7384</v>
      </c>
      <c r="CQ12" s="2775" t="s">
        <v>7385</v>
      </c>
      <c r="CR12" s="1238" t="s">
        <v>7386</v>
      </c>
    </row>
    <row r="13" spans="1:96" ht="16">
      <c r="A13" s="1226"/>
      <c r="B13" s="94" t="s">
        <v>7387</v>
      </c>
      <c r="C13" s="87" t="s">
        <v>7388</v>
      </c>
      <c r="D13" s="95"/>
      <c r="E13" s="95" t="s">
        <v>7253</v>
      </c>
      <c r="F13" s="96">
        <v>0</v>
      </c>
      <c r="G13" s="1236"/>
      <c r="H13" s="1237"/>
      <c r="I13" s="1237"/>
      <c r="J13" s="1237"/>
      <c r="K13" s="1237"/>
      <c r="L13" s="1237"/>
      <c r="M13" s="1237"/>
      <c r="N13" s="1238">
        <f t="shared" si="0"/>
        <v>0</v>
      </c>
      <c r="O13" s="1161"/>
      <c r="P13" s="1236"/>
      <c r="Q13" s="1237"/>
      <c r="R13" s="1237"/>
      <c r="S13" s="1237"/>
      <c r="T13" s="1238">
        <f t="shared" si="1"/>
        <v>0</v>
      </c>
      <c r="U13" s="1236"/>
      <c r="V13" s="1237"/>
      <c r="W13" s="1237"/>
      <c r="X13" s="1237"/>
      <c r="Y13" s="1237"/>
      <c r="Z13" s="1238">
        <f t="shared" si="2"/>
        <v>0</v>
      </c>
      <c r="AA13" s="1236"/>
      <c r="AB13" s="1237"/>
      <c r="AC13" s="1237"/>
      <c r="AD13" s="1237"/>
      <c r="AE13" s="1237"/>
      <c r="AF13" s="1238">
        <f t="shared" si="3"/>
        <v>0</v>
      </c>
      <c r="AG13" s="1081"/>
      <c r="AH13" s="1161"/>
      <c r="AI13" s="868">
        <f t="shared" si="4"/>
        <v>0</v>
      </c>
      <c r="AJ13" s="192"/>
      <c r="AK13" s="71"/>
      <c r="AL13" s="93">
        <f>IF(Validation!$H$3=1,0,IF(ISNUMBER(G13),0,1))</f>
        <v>0</v>
      </c>
      <c r="AM13" s="93">
        <f>IF(Validation!$H$3=1,0,IF(ISNUMBER(H13),0,1))</f>
        <v>0</v>
      </c>
      <c r="AN13" s="93">
        <f>IF(Validation!$H$3=1,0,IF(ISNUMBER(I13),0,1))</f>
        <v>0</v>
      </c>
      <c r="AO13" s="93">
        <f>IF(Validation!$H$3=1,0,IF(ISNUMBER(J13),0,1))</f>
        <v>0</v>
      </c>
      <c r="AP13" s="93">
        <f>IF(Validation!$H$3=1,0,IF(ISNUMBER(K13),0,1))</f>
        <v>0</v>
      </c>
      <c r="AQ13" s="93">
        <f>IF(Validation!$H$3=1,0,IF(ISNUMBER(L13),0,1))</f>
        <v>0</v>
      </c>
      <c r="AR13" s="93">
        <f>IF(Validation!$H$3=1,0,IF(ISNUMBER(M13),0,1))</f>
        <v>0</v>
      </c>
      <c r="AS13" s="93"/>
      <c r="AT13" s="85"/>
      <c r="AU13" s="93">
        <f>IF(Validation!$H$3=1,0,IF(ISNUMBER(P13),0,1))</f>
        <v>0</v>
      </c>
      <c r="AV13" s="93">
        <f>IF(Validation!$H$3=1,0,IF(ISNUMBER(Q13),0,1))</f>
        <v>0</v>
      </c>
      <c r="AW13" s="93">
        <f>IF(Validation!$H$3=1,0,IF(ISNUMBER(R13),0,1))</f>
        <v>0</v>
      </c>
      <c r="AX13" s="93">
        <f>IF(Validation!$H$3=1,0,IF(ISNUMBER(S13),0,1))</f>
        <v>0</v>
      </c>
      <c r="AY13" s="93"/>
      <c r="AZ13" s="93">
        <f>IF(Validation!$H$3=1,0,IF(ISNUMBER(U13),0,1))</f>
        <v>0</v>
      </c>
      <c r="BA13" s="93">
        <f>IF(Validation!$H$3=1,0,IF(ISNUMBER(V13),0,1))</f>
        <v>0</v>
      </c>
      <c r="BB13" s="93">
        <f>IF(Validation!$H$3=1,0,IF(ISNUMBER(W13),0,1))</f>
        <v>0</v>
      </c>
      <c r="BC13" s="93">
        <f>IF(Validation!$H$3=1,0,IF(ISNUMBER(X13),0,1))</f>
        <v>0</v>
      </c>
      <c r="BD13" s="93">
        <f>IF(Validation!$H$3=1,0,IF(ISNUMBER(Y13),0,1))</f>
        <v>0</v>
      </c>
      <c r="BE13" s="93"/>
      <c r="BF13" s="93">
        <f>IF(Validation!$H$3=1,0,IF(ISNUMBER(AA13),0,1))</f>
        <v>0</v>
      </c>
      <c r="BG13" s="93">
        <f>IF(Validation!$H$3=1,0,IF(ISNUMBER(AB13),0,1))</f>
        <v>0</v>
      </c>
      <c r="BH13" s="93">
        <f>IF(Validation!$H$3=1,0,IF(ISNUMBER(AC13),0,1))</f>
        <v>0</v>
      </c>
      <c r="BI13" s="93">
        <f>IF(Validation!$H$3=1,0,IF(ISNUMBER(AD13),0,1))</f>
        <v>0</v>
      </c>
      <c r="BJ13" s="93">
        <f>IF(Validation!$H$3=1,0,IF(ISNUMBER(AE13),0,1))</f>
        <v>0</v>
      </c>
      <c r="BK13" s="93"/>
      <c r="BL13" s="71"/>
      <c r="BM13" s="1882"/>
      <c r="BN13" s="94" t="s">
        <v>7387</v>
      </c>
      <c r="BO13" s="87" t="s">
        <v>7388</v>
      </c>
      <c r="BP13" s="95"/>
      <c r="BQ13" s="95" t="s">
        <v>7253</v>
      </c>
      <c r="BR13" s="96">
        <v>0</v>
      </c>
      <c r="BS13" s="2774" t="s">
        <v>7389</v>
      </c>
      <c r="BT13" s="2775" t="s">
        <v>7390</v>
      </c>
      <c r="BU13" s="2775" t="s">
        <v>7391</v>
      </c>
      <c r="BV13" s="2775" t="s">
        <v>7392</v>
      </c>
      <c r="BW13" s="2775" t="s">
        <v>7393</v>
      </c>
      <c r="BX13" s="2775" t="s">
        <v>7394</v>
      </c>
      <c r="BY13" s="2775" t="s">
        <v>7395</v>
      </c>
      <c r="BZ13" s="1238" t="s">
        <v>7396</v>
      </c>
      <c r="CA13" s="2363"/>
      <c r="CB13" s="2774" t="s">
        <v>7397</v>
      </c>
      <c r="CC13" s="2775" t="s">
        <v>7398</v>
      </c>
      <c r="CD13" s="2775" t="s">
        <v>7399</v>
      </c>
      <c r="CE13" s="2775" t="s">
        <v>7400</v>
      </c>
      <c r="CF13" s="1238" t="s">
        <v>7401</v>
      </c>
      <c r="CG13" s="2774" t="s">
        <v>7402</v>
      </c>
      <c r="CH13" s="2775" t="s">
        <v>7403</v>
      </c>
      <c r="CI13" s="2775" t="s">
        <v>7404</v>
      </c>
      <c r="CJ13" s="2775" t="s">
        <v>7405</v>
      </c>
      <c r="CK13" s="2775" t="s">
        <v>7406</v>
      </c>
      <c r="CL13" s="1238" t="s">
        <v>7407</v>
      </c>
      <c r="CM13" s="2774" t="s">
        <v>7408</v>
      </c>
      <c r="CN13" s="2775" t="s">
        <v>7409</v>
      </c>
      <c r="CO13" s="2775" t="s">
        <v>7410</v>
      </c>
      <c r="CP13" s="2775" t="s">
        <v>7411</v>
      </c>
      <c r="CQ13" s="2775" t="s">
        <v>7412</v>
      </c>
      <c r="CR13" s="1238" t="s">
        <v>7413</v>
      </c>
    </row>
    <row r="14" spans="1:96" ht="16.5" thickBot="1">
      <c r="A14" s="1226"/>
      <c r="B14" s="94" t="s">
        <v>7414</v>
      </c>
      <c r="C14" s="87" t="s">
        <v>7415</v>
      </c>
      <c r="D14" s="95"/>
      <c r="E14" s="95" t="s">
        <v>7253</v>
      </c>
      <c r="F14" s="96">
        <v>0</v>
      </c>
      <c r="G14" s="1241">
        <f t="shared" ref="G14:N14" si="5">+SUM(G8:G13)</f>
        <v>0</v>
      </c>
      <c r="H14" s="1242">
        <f t="shared" si="5"/>
        <v>0</v>
      </c>
      <c r="I14" s="1242">
        <f t="shared" si="5"/>
        <v>0</v>
      </c>
      <c r="J14" s="1242">
        <f t="shared" si="5"/>
        <v>0</v>
      </c>
      <c r="K14" s="1242">
        <f t="shared" si="5"/>
        <v>0</v>
      </c>
      <c r="L14" s="1242">
        <f t="shared" si="5"/>
        <v>0</v>
      </c>
      <c r="M14" s="1242">
        <f t="shared" si="5"/>
        <v>0</v>
      </c>
      <c r="N14" s="1238">
        <f t="shared" si="5"/>
        <v>0</v>
      </c>
      <c r="O14" s="1161"/>
      <c r="P14" s="1241">
        <f t="shared" ref="P14:AF14" si="6">+SUM(P8:P13)</f>
        <v>0</v>
      </c>
      <c r="Q14" s="1242">
        <f t="shared" si="6"/>
        <v>0</v>
      </c>
      <c r="R14" s="1242">
        <f t="shared" si="6"/>
        <v>0</v>
      </c>
      <c r="S14" s="1242">
        <f t="shared" si="6"/>
        <v>0</v>
      </c>
      <c r="T14" s="1243">
        <f t="shared" si="6"/>
        <v>0</v>
      </c>
      <c r="U14" s="1241">
        <f t="shared" si="6"/>
        <v>0</v>
      </c>
      <c r="V14" s="1242">
        <f t="shared" si="6"/>
        <v>0</v>
      </c>
      <c r="W14" s="1242">
        <f t="shared" si="6"/>
        <v>0</v>
      </c>
      <c r="X14" s="1242">
        <f t="shared" si="6"/>
        <v>0</v>
      </c>
      <c r="Y14" s="1242">
        <f t="shared" si="6"/>
        <v>0</v>
      </c>
      <c r="Z14" s="1243">
        <f t="shared" si="6"/>
        <v>0</v>
      </c>
      <c r="AA14" s="1241">
        <f t="shared" si="6"/>
        <v>0</v>
      </c>
      <c r="AB14" s="1242">
        <f t="shared" si="6"/>
        <v>0</v>
      </c>
      <c r="AC14" s="1242">
        <f t="shared" si="6"/>
        <v>0</v>
      </c>
      <c r="AD14" s="1242">
        <f t="shared" si="6"/>
        <v>0</v>
      </c>
      <c r="AE14" s="1242">
        <f t="shared" si="6"/>
        <v>0</v>
      </c>
      <c r="AF14" s="1243">
        <f t="shared" si="6"/>
        <v>0</v>
      </c>
      <c r="AG14" s="1089"/>
      <c r="AH14" s="1161"/>
      <c r="AI14" s="1882"/>
      <c r="AJ14" s="1882"/>
      <c r="AL14" s="1882"/>
      <c r="AM14" s="1882"/>
      <c r="AN14" s="1882"/>
      <c r="AO14" s="1882"/>
      <c r="AP14" s="1882"/>
      <c r="AQ14" s="1882"/>
      <c r="AR14" s="1882"/>
      <c r="AS14" s="1882"/>
      <c r="AT14" s="85"/>
      <c r="AU14" s="1882"/>
      <c r="AV14" s="1882"/>
      <c r="AW14" s="1882"/>
      <c r="AX14" s="1882"/>
      <c r="AY14" s="1882"/>
      <c r="AZ14" s="1882"/>
      <c r="BA14" s="1882"/>
      <c r="BB14" s="1882"/>
      <c r="BC14" s="1882"/>
      <c r="BD14" s="1882"/>
      <c r="BE14" s="1882"/>
      <c r="BF14" s="1882"/>
      <c r="BG14" s="1882"/>
      <c r="BH14" s="1882"/>
      <c r="BI14" s="1882"/>
      <c r="BJ14" s="1882"/>
      <c r="BK14" s="1882"/>
      <c r="BM14" s="1882"/>
      <c r="BN14" s="94" t="s">
        <v>7414</v>
      </c>
      <c r="BO14" s="87" t="s">
        <v>7415</v>
      </c>
      <c r="BP14" s="95"/>
      <c r="BQ14" s="95" t="s">
        <v>7253</v>
      </c>
      <c r="BR14" s="96">
        <v>0</v>
      </c>
      <c r="BS14" s="1241" t="s">
        <v>7416</v>
      </c>
      <c r="BT14" s="1242" t="s">
        <v>7417</v>
      </c>
      <c r="BU14" s="1242" t="s">
        <v>7418</v>
      </c>
      <c r="BV14" s="1242" t="s">
        <v>7419</v>
      </c>
      <c r="BW14" s="1242" t="s">
        <v>7420</v>
      </c>
      <c r="BX14" s="1242" t="s">
        <v>7421</v>
      </c>
      <c r="BY14" s="1242" t="s">
        <v>7422</v>
      </c>
      <c r="BZ14" s="1238" t="s">
        <v>7423</v>
      </c>
      <c r="CA14" s="2363"/>
      <c r="CB14" s="1241" t="s">
        <v>7424</v>
      </c>
      <c r="CC14" s="1242" t="s">
        <v>7425</v>
      </c>
      <c r="CD14" s="1242" t="s">
        <v>7426</v>
      </c>
      <c r="CE14" s="1242" t="s">
        <v>7427</v>
      </c>
      <c r="CF14" s="1243" t="s">
        <v>7428</v>
      </c>
      <c r="CG14" s="1241" t="s">
        <v>7429</v>
      </c>
      <c r="CH14" s="1242" t="s">
        <v>7430</v>
      </c>
      <c r="CI14" s="1242" t="s">
        <v>7431</v>
      </c>
      <c r="CJ14" s="1242" t="s">
        <v>7432</v>
      </c>
      <c r="CK14" s="1242" t="s">
        <v>7433</v>
      </c>
      <c r="CL14" s="1243" t="s">
        <v>7434</v>
      </c>
      <c r="CM14" s="1241" t="s">
        <v>7435</v>
      </c>
      <c r="CN14" s="1242" t="s">
        <v>7436</v>
      </c>
      <c r="CO14" s="1242" t="s">
        <v>7437</v>
      </c>
      <c r="CP14" s="1242" t="s">
        <v>7438</v>
      </c>
      <c r="CQ14" s="1242" t="s">
        <v>7439</v>
      </c>
      <c r="CR14" s="1243" t="s">
        <v>7440</v>
      </c>
    </row>
    <row r="15" spans="1:96" ht="16.5" thickBot="1">
      <c r="A15" s="1226"/>
      <c r="B15" s="101" t="s">
        <v>7441</v>
      </c>
      <c r="C15" s="102" t="s">
        <v>7442</v>
      </c>
      <c r="D15" s="103"/>
      <c r="E15" s="103" t="s">
        <v>7253</v>
      </c>
      <c r="F15" s="100">
        <v>0</v>
      </c>
      <c r="G15" s="1244"/>
      <c r="H15" s="1244"/>
      <c r="I15" s="1244"/>
      <c r="J15" s="1244"/>
      <c r="K15" s="1244"/>
      <c r="L15" s="1244"/>
      <c r="M15" s="1244"/>
      <c r="N15" s="1245"/>
      <c r="O15" s="1161"/>
      <c r="P15" s="1161"/>
      <c r="Q15" s="1161"/>
      <c r="R15" s="1161"/>
      <c r="S15" s="1161"/>
      <c r="T15" s="1161"/>
      <c r="U15" s="1161"/>
      <c r="V15" s="1161"/>
      <c r="W15" s="1161"/>
      <c r="X15" s="1161"/>
      <c r="Y15" s="1161"/>
      <c r="Z15" s="1161"/>
      <c r="AA15" s="1161"/>
      <c r="AB15" s="1161"/>
      <c r="AC15" s="1161"/>
      <c r="AD15" s="1161"/>
      <c r="AE15" s="1161"/>
      <c r="AF15" s="1161"/>
      <c r="AG15" s="1161"/>
      <c r="AH15" s="1161"/>
      <c r="AI15" s="1882"/>
      <c r="AJ15" s="1882"/>
      <c r="AL15" s="1882"/>
      <c r="AM15" s="1882"/>
      <c r="AN15" s="1882"/>
      <c r="AO15" s="1882"/>
      <c r="AP15" s="1882"/>
      <c r="AQ15" s="1882"/>
      <c r="AR15" s="1882"/>
      <c r="AS15" s="1882"/>
      <c r="AT15" s="85"/>
      <c r="AU15" s="1882"/>
      <c r="AV15" s="1882"/>
      <c r="AW15" s="1882"/>
      <c r="AX15" s="1882"/>
      <c r="AY15" s="1882"/>
      <c r="AZ15" s="1882"/>
      <c r="BA15" s="1882"/>
      <c r="BB15" s="1882"/>
      <c r="BC15" s="1882"/>
      <c r="BD15" s="1882"/>
      <c r="BE15" s="1882"/>
      <c r="BF15" s="1882"/>
      <c r="BG15" s="1882"/>
      <c r="BH15" s="1882"/>
      <c r="BI15" s="1882"/>
      <c r="BJ15" s="1882"/>
      <c r="BK15" s="1882"/>
      <c r="BM15" s="1882"/>
      <c r="BN15" s="101" t="s">
        <v>7441</v>
      </c>
      <c r="BO15" s="102" t="s">
        <v>7442</v>
      </c>
      <c r="BP15" s="103"/>
      <c r="BQ15" s="103" t="s">
        <v>7253</v>
      </c>
      <c r="BR15" s="100">
        <v>0</v>
      </c>
      <c r="BS15" s="2776"/>
      <c r="BT15" s="2776"/>
      <c r="BU15" s="2776"/>
      <c r="BV15" s="2776"/>
      <c r="BW15" s="2776"/>
      <c r="BX15" s="2776"/>
      <c r="BY15" s="2776"/>
      <c r="BZ15" s="2777" t="s">
        <v>7443</v>
      </c>
      <c r="CA15" s="2363"/>
      <c r="CB15" s="2363"/>
      <c r="CC15" s="2363"/>
      <c r="CD15" s="2363"/>
      <c r="CE15" s="2363"/>
      <c r="CF15" s="2363"/>
      <c r="CG15" s="2363"/>
      <c r="CH15" s="2363"/>
      <c r="CI15" s="2363"/>
      <c r="CJ15" s="2363"/>
      <c r="CK15" s="2363"/>
      <c r="CL15" s="2363"/>
      <c r="CM15" s="2363"/>
      <c r="CN15" s="2363"/>
      <c r="CO15" s="2363"/>
      <c r="CP15" s="2363"/>
      <c r="CQ15" s="2363"/>
      <c r="CR15" s="2363"/>
    </row>
    <row r="16" spans="1:96" ht="16.5" thickBot="1">
      <c r="A16" s="1161"/>
      <c r="B16" s="1226"/>
      <c r="C16" s="1096"/>
      <c r="D16" s="1096"/>
      <c r="E16" s="1230"/>
      <c r="F16" s="1161"/>
      <c r="G16" s="1161"/>
      <c r="H16" s="1161"/>
      <c r="I16" s="1161"/>
      <c r="J16" s="1161"/>
      <c r="K16" s="1161"/>
      <c r="L16" s="1161"/>
      <c r="M16" s="1161"/>
      <c r="N16" s="1161"/>
      <c r="O16" s="1161"/>
      <c r="P16" s="1161"/>
      <c r="Q16" s="1161"/>
      <c r="R16" s="1161"/>
      <c r="S16" s="1161"/>
      <c r="T16" s="1161"/>
      <c r="U16" s="1161"/>
      <c r="V16" s="1161"/>
      <c r="W16" s="1161"/>
      <c r="X16" s="1161"/>
      <c r="Y16" s="1161"/>
      <c r="Z16" s="1161"/>
      <c r="AA16" s="1161"/>
      <c r="AB16" s="1161"/>
      <c r="AC16" s="1161"/>
      <c r="AD16" s="1161"/>
      <c r="AE16" s="1161"/>
      <c r="AF16" s="1161"/>
      <c r="AG16" s="1161"/>
      <c r="AH16" s="1161"/>
      <c r="AI16" s="1882"/>
      <c r="AJ16" s="1882"/>
      <c r="AL16" s="1882"/>
      <c r="AM16" s="1882"/>
      <c r="AN16" s="1882"/>
      <c r="AO16" s="1882"/>
      <c r="AP16" s="1882"/>
      <c r="AQ16" s="1882"/>
      <c r="AR16" s="1882"/>
      <c r="AS16" s="1882"/>
      <c r="AT16" s="85"/>
      <c r="AU16" s="1882"/>
      <c r="AV16" s="1882"/>
      <c r="AW16" s="1882"/>
      <c r="AX16" s="1882"/>
      <c r="AY16" s="1882"/>
      <c r="AZ16" s="1882"/>
      <c r="BA16" s="1882"/>
      <c r="BB16" s="1882"/>
      <c r="BC16" s="1882"/>
      <c r="BD16" s="1882"/>
      <c r="BE16" s="1882"/>
      <c r="BF16" s="1882"/>
      <c r="BG16" s="1882"/>
      <c r="BH16" s="1882"/>
      <c r="BI16" s="1882"/>
      <c r="BJ16" s="1882"/>
      <c r="BK16" s="1882"/>
      <c r="BM16" s="1882"/>
      <c r="BN16" s="2770"/>
      <c r="BO16" s="2766"/>
      <c r="BP16" s="2766"/>
      <c r="BQ16" s="2767"/>
      <c r="BR16" s="2363"/>
      <c r="BS16" s="2363"/>
      <c r="BT16" s="2363"/>
      <c r="BU16" s="2363"/>
      <c r="BV16" s="2363"/>
      <c r="BW16" s="2363"/>
      <c r="BX16" s="2363"/>
      <c r="BY16" s="2363"/>
      <c r="BZ16" s="2363"/>
      <c r="CA16" s="2363"/>
      <c r="CB16" s="2363"/>
      <c r="CC16" s="2363"/>
      <c r="CD16" s="2363"/>
      <c r="CE16" s="2363"/>
      <c r="CF16" s="2363"/>
      <c r="CG16" s="2363"/>
      <c r="CH16" s="2363"/>
      <c r="CI16" s="2363"/>
      <c r="CJ16" s="2363"/>
      <c r="CK16" s="2363"/>
      <c r="CL16" s="2363"/>
      <c r="CM16" s="2363"/>
      <c r="CN16" s="2363"/>
      <c r="CO16" s="2363"/>
      <c r="CP16" s="2363"/>
      <c r="CQ16" s="2363"/>
      <c r="CR16" s="2363"/>
    </row>
    <row r="17" spans="1:96" ht="16.5" thickBot="1">
      <c r="A17" s="1161"/>
      <c r="B17" s="113" t="s">
        <v>175</v>
      </c>
      <c r="C17" s="114" t="s">
        <v>7444</v>
      </c>
      <c r="D17" s="1096"/>
      <c r="E17" s="1230"/>
      <c r="F17" s="1161"/>
      <c r="G17" s="1161"/>
      <c r="H17" s="1161"/>
      <c r="I17" s="1161"/>
      <c r="J17" s="1161"/>
      <c r="K17" s="1161"/>
      <c r="L17" s="1161"/>
      <c r="M17" s="1161"/>
      <c r="N17" s="1161"/>
      <c r="O17" s="1161"/>
      <c r="P17" s="1161"/>
      <c r="Q17" s="1161"/>
      <c r="R17" s="1161"/>
      <c r="S17" s="1161"/>
      <c r="T17" s="1161"/>
      <c r="U17" s="1161"/>
      <c r="V17" s="1161"/>
      <c r="W17" s="1161"/>
      <c r="X17" s="1161"/>
      <c r="Y17" s="1161"/>
      <c r="Z17" s="1161"/>
      <c r="AA17" s="1161"/>
      <c r="AB17" s="1161"/>
      <c r="AC17" s="1161"/>
      <c r="AD17" s="1161"/>
      <c r="AE17" s="1161"/>
      <c r="AF17" s="1161"/>
      <c r="AG17" s="1161"/>
      <c r="AH17" s="1161"/>
      <c r="AI17" s="1882"/>
      <c r="AJ17" s="1882"/>
      <c r="AL17" s="1882"/>
      <c r="AM17" s="1882"/>
      <c r="AN17" s="1882"/>
      <c r="AO17" s="1882"/>
      <c r="AP17" s="1882"/>
      <c r="AQ17" s="1882"/>
      <c r="AR17" s="1882"/>
      <c r="AS17" s="1882"/>
      <c r="AT17" s="85"/>
      <c r="AU17" s="1882"/>
      <c r="AV17" s="1882"/>
      <c r="AW17" s="1882"/>
      <c r="AX17" s="1882"/>
      <c r="AY17" s="1882"/>
      <c r="AZ17" s="1882"/>
      <c r="BA17" s="1882"/>
      <c r="BB17" s="1882"/>
      <c r="BC17" s="1882"/>
      <c r="BD17" s="1882"/>
      <c r="BE17" s="1882"/>
      <c r="BF17" s="1882"/>
      <c r="BG17" s="1882"/>
      <c r="BH17" s="1882"/>
      <c r="BI17" s="1882"/>
      <c r="BJ17" s="1882"/>
      <c r="BK17" s="1882"/>
      <c r="BM17" s="1882"/>
      <c r="BN17" s="113" t="s">
        <v>175</v>
      </c>
      <c r="BO17" s="114" t="s">
        <v>7444</v>
      </c>
      <c r="BP17" s="2766"/>
      <c r="BQ17" s="2767"/>
      <c r="BR17" s="2363"/>
      <c r="BS17" s="2363"/>
      <c r="BT17" s="2363"/>
      <c r="BU17" s="2363"/>
      <c r="BV17" s="2363"/>
      <c r="BW17" s="2363"/>
      <c r="BX17" s="2363"/>
      <c r="BY17" s="2363"/>
      <c r="BZ17" s="2363"/>
      <c r="CA17" s="2363"/>
      <c r="CB17" s="2363"/>
      <c r="CC17" s="2363"/>
      <c r="CD17" s="2363"/>
      <c r="CE17" s="2363"/>
      <c r="CF17" s="2363"/>
      <c r="CG17" s="2363"/>
      <c r="CH17" s="2363"/>
      <c r="CI17" s="2363"/>
      <c r="CJ17" s="2363"/>
      <c r="CK17" s="2363"/>
      <c r="CL17" s="2363"/>
      <c r="CM17" s="2363"/>
      <c r="CN17" s="2363"/>
      <c r="CO17" s="2363"/>
      <c r="CP17" s="2363"/>
      <c r="CQ17" s="2363"/>
      <c r="CR17" s="2363"/>
    </row>
    <row r="18" spans="1:96" ht="16">
      <c r="A18" s="1161"/>
      <c r="B18" s="86" t="s">
        <v>7445</v>
      </c>
      <c r="C18" s="117" t="s">
        <v>7446</v>
      </c>
      <c r="D18" s="88"/>
      <c r="E18" s="88" t="s">
        <v>764</v>
      </c>
      <c r="F18" s="89">
        <v>0</v>
      </c>
      <c r="G18" s="1233"/>
      <c r="H18" s="1234"/>
      <c r="I18" s="1234"/>
      <c r="J18" s="1234"/>
      <c r="K18" s="1234"/>
      <c r="L18" s="1234"/>
      <c r="M18" s="1234"/>
      <c r="N18" s="1235">
        <f t="shared" ref="N18:N23" si="7">+SUM(G18:M18)</f>
        <v>0</v>
      </c>
      <c r="O18" s="1161"/>
      <c r="P18" s="1233"/>
      <c r="Q18" s="1234"/>
      <c r="R18" s="1234"/>
      <c r="S18" s="1234"/>
      <c r="T18" s="1235">
        <f t="shared" ref="T18:T23" si="8">+SUM(P18:S18)</f>
        <v>0</v>
      </c>
      <c r="U18" s="1233"/>
      <c r="V18" s="1234"/>
      <c r="W18" s="1234"/>
      <c r="X18" s="1234"/>
      <c r="Y18" s="1234"/>
      <c r="Z18" s="1235">
        <f t="shared" ref="Z18:Z23" si="9">+SUM(U18:Y18)</f>
        <v>0</v>
      </c>
      <c r="AA18" s="1233"/>
      <c r="AB18" s="1234"/>
      <c r="AC18" s="1234"/>
      <c r="AD18" s="1234"/>
      <c r="AE18" s="1234"/>
      <c r="AF18" s="1235">
        <f t="shared" ref="AF18:AF23" si="10">+SUM(AA18:AE18)</f>
        <v>0</v>
      </c>
      <c r="AG18" s="1094"/>
      <c r="AH18" s="1161"/>
      <c r="AI18" s="868">
        <f t="shared" ref="AI18:AI23" si="11" xml:space="preserve"> IF( SUM( AK18:BL18 ) = 0, 0, $AL$5 )</f>
        <v>0</v>
      </c>
      <c r="AJ18" s="192"/>
      <c r="AK18" s="71"/>
      <c r="AL18" s="93">
        <f>IF(Validation!$H$3=1,0,IF(ISNUMBER(G18),0,1))</f>
        <v>0</v>
      </c>
      <c r="AM18" s="93">
        <f>IF(Validation!$H$3=1,0,IF(ISNUMBER(H18),0,1))</f>
        <v>0</v>
      </c>
      <c r="AN18" s="93">
        <f>IF(Validation!$H$3=1,0,IF(ISNUMBER(I18),0,1))</f>
        <v>0</v>
      </c>
      <c r="AO18" s="93">
        <f>IF(Validation!$H$3=1,0,IF(ISNUMBER(J18),0,1))</f>
        <v>0</v>
      </c>
      <c r="AP18" s="93">
        <f>IF(Validation!$H$3=1,0,IF(ISNUMBER(K18),0,1))</f>
        <v>0</v>
      </c>
      <c r="AQ18" s="93">
        <f>IF(Validation!$H$3=1,0,IF(ISNUMBER(L18),0,1))</f>
        <v>0</v>
      </c>
      <c r="AR18" s="93">
        <f>IF(Validation!$H$3=1,0,IF(ISNUMBER(M18),0,1))</f>
        <v>0</v>
      </c>
      <c r="AS18" s="93"/>
      <c r="AT18" s="85"/>
      <c r="AU18" s="93">
        <f>IF(Validation!$H$3=1,0,IF(ISNUMBER(P18),0,1))</f>
        <v>0</v>
      </c>
      <c r="AV18" s="93">
        <f>IF(Validation!$H$3=1,0,IF(ISNUMBER(Q18),0,1))</f>
        <v>0</v>
      </c>
      <c r="AW18" s="93">
        <f>IF(Validation!$H$3=1,0,IF(ISNUMBER(R18),0,1))</f>
        <v>0</v>
      </c>
      <c r="AX18" s="93">
        <f>IF(Validation!$H$3=1,0,IF(ISNUMBER(S18),0,1))</f>
        <v>0</v>
      </c>
      <c r="AY18" s="93"/>
      <c r="AZ18" s="93">
        <f>IF(Validation!$H$3=1,0,IF(ISNUMBER(U18),0,1))</f>
        <v>0</v>
      </c>
      <c r="BA18" s="93">
        <f>IF(Validation!$H$3=1,0,IF(ISNUMBER(V18),0,1))</f>
        <v>0</v>
      </c>
      <c r="BB18" s="93">
        <f>IF(Validation!$H$3=1,0,IF(ISNUMBER(W18),0,1))</f>
        <v>0</v>
      </c>
      <c r="BC18" s="93">
        <f>IF(Validation!$H$3=1,0,IF(ISNUMBER(X18),0,1))</f>
        <v>0</v>
      </c>
      <c r="BD18" s="93">
        <f>IF(Validation!$H$3=1,0,IF(ISNUMBER(Y18),0,1))</f>
        <v>0</v>
      </c>
      <c r="BE18" s="93"/>
      <c r="BF18" s="93">
        <f>IF(Validation!$H$3=1,0,IF(ISNUMBER(AA18),0,1))</f>
        <v>0</v>
      </c>
      <c r="BG18" s="93">
        <f>IF(Validation!$H$3=1,0,IF(ISNUMBER(AB18),0,1))</f>
        <v>0</v>
      </c>
      <c r="BH18" s="93">
        <f>IF(Validation!$H$3=1,0,IF(ISNUMBER(AC18),0,1))</f>
        <v>0</v>
      </c>
      <c r="BI18" s="93">
        <f>IF(Validation!$H$3=1,0,IF(ISNUMBER(AD18),0,1))</f>
        <v>0</v>
      </c>
      <c r="BJ18" s="93">
        <f>IF(Validation!$H$3=1,0,IF(ISNUMBER(AE18),0,1))</f>
        <v>0</v>
      </c>
      <c r="BK18" s="93"/>
      <c r="BL18" s="71"/>
      <c r="BM18" s="1882"/>
      <c r="BN18" s="86" t="s">
        <v>7445</v>
      </c>
      <c r="BO18" s="117" t="s">
        <v>7446</v>
      </c>
      <c r="BP18" s="88"/>
      <c r="BQ18" s="88" t="s">
        <v>764</v>
      </c>
      <c r="BR18" s="89">
        <v>0</v>
      </c>
      <c r="BS18" s="2772" t="s">
        <v>7447</v>
      </c>
      <c r="BT18" s="2773" t="s">
        <v>7448</v>
      </c>
      <c r="BU18" s="2773" t="s">
        <v>7449</v>
      </c>
      <c r="BV18" s="2773" t="s">
        <v>7450</v>
      </c>
      <c r="BW18" s="2773" t="s">
        <v>7451</v>
      </c>
      <c r="BX18" s="2773" t="s">
        <v>7452</v>
      </c>
      <c r="BY18" s="2773" t="s">
        <v>7453</v>
      </c>
      <c r="BZ18" s="1235" t="s">
        <v>7454</v>
      </c>
      <c r="CA18" s="2363"/>
      <c r="CB18" s="2772" t="s">
        <v>7455</v>
      </c>
      <c r="CC18" s="2773" t="s">
        <v>7456</v>
      </c>
      <c r="CD18" s="2773" t="s">
        <v>7457</v>
      </c>
      <c r="CE18" s="2773" t="s">
        <v>7458</v>
      </c>
      <c r="CF18" s="1235" t="s">
        <v>7459</v>
      </c>
      <c r="CG18" s="2772" t="s">
        <v>7460</v>
      </c>
      <c r="CH18" s="2773" t="s">
        <v>7461</v>
      </c>
      <c r="CI18" s="2773" t="s">
        <v>7462</v>
      </c>
      <c r="CJ18" s="2773" t="s">
        <v>7463</v>
      </c>
      <c r="CK18" s="2773" t="s">
        <v>7464</v>
      </c>
      <c r="CL18" s="1235" t="s">
        <v>7465</v>
      </c>
      <c r="CM18" s="2772" t="s">
        <v>7466</v>
      </c>
      <c r="CN18" s="2773" t="s">
        <v>7467</v>
      </c>
      <c r="CO18" s="2773" t="s">
        <v>7468</v>
      </c>
      <c r="CP18" s="2773" t="s">
        <v>7469</v>
      </c>
      <c r="CQ18" s="2773" t="s">
        <v>7470</v>
      </c>
      <c r="CR18" s="1235" t="s">
        <v>7471</v>
      </c>
    </row>
    <row r="19" spans="1:96" ht="16">
      <c r="A19" s="1161"/>
      <c r="B19" s="94" t="s">
        <v>7472</v>
      </c>
      <c r="C19" s="87" t="s">
        <v>7473</v>
      </c>
      <c r="D19" s="95"/>
      <c r="E19" s="95" t="s">
        <v>764</v>
      </c>
      <c r="F19" s="96">
        <v>0</v>
      </c>
      <c r="G19" s="1236"/>
      <c r="H19" s="1237"/>
      <c r="I19" s="1237"/>
      <c r="J19" s="1237"/>
      <c r="K19" s="1237"/>
      <c r="L19" s="1237"/>
      <c r="M19" s="1237"/>
      <c r="N19" s="1238">
        <f t="shared" si="7"/>
        <v>0</v>
      </c>
      <c r="O19" s="1161"/>
      <c r="P19" s="1236"/>
      <c r="Q19" s="1237"/>
      <c r="R19" s="1237"/>
      <c r="S19" s="1237"/>
      <c r="T19" s="1238">
        <f t="shared" si="8"/>
        <v>0</v>
      </c>
      <c r="U19" s="1236"/>
      <c r="V19" s="1237"/>
      <c r="W19" s="1237"/>
      <c r="X19" s="1237"/>
      <c r="Y19" s="1237"/>
      <c r="Z19" s="1238">
        <f t="shared" si="9"/>
        <v>0</v>
      </c>
      <c r="AA19" s="1236"/>
      <c r="AB19" s="1237"/>
      <c r="AC19" s="1237"/>
      <c r="AD19" s="1237"/>
      <c r="AE19" s="1237"/>
      <c r="AF19" s="1238">
        <f t="shared" si="10"/>
        <v>0</v>
      </c>
      <c r="AG19" s="1095"/>
      <c r="AH19" s="1161"/>
      <c r="AI19" s="868">
        <f t="shared" si="11"/>
        <v>0</v>
      </c>
      <c r="AJ19" s="192"/>
      <c r="AK19" s="71"/>
      <c r="AL19" s="93">
        <f>IF(Validation!$H$3=1,0,IF(ISNUMBER(G19),0,1))</f>
        <v>0</v>
      </c>
      <c r="AM19" s="93">
        <f>IF(Validation!$H$3=1,0,IF(ISNUMBER(H19),0,1))</f>
        <v>0</v>
      </c>
      <c r="AN19" s="93">
        <f>IF(Validation!$H$3=1,0,IF(ISNUMBER(I19),0,1))</f>
        <v>0</v>
      </c>
      <c r="AO19" s="93">
        <f>IF(Validation!$H$3=1,0,IF(ISNUMBER(J19),0,1))</f>
        <v>0</v>
      </c>
      <c r="AP19" s="93">
        <f>IF(Validation!$H$3=1,0,IF(ISNUMBER(K19),0,1))</f>
        <v>0</v>
      </c>
      <c r="AQ19" s="93">
        <f>IF(Validation!$H$3=1,0,IF(ISNUMBER(L19),0,1))</f>
        <v>0</v>
      </c>
      <c r="AR19" s="93">
        <f>IF(Validation!$H$3=1,0,IF(ISNUMBER(M19),0,1))</f>
        <v>0</v>
      </c>
      <c r="AS19" s="93"/>
      <c r="AT19" s="85"/>
      <c r="AU19" s="93">
        <f>IF(Validation!$H$3=1,0,IF(ISNUMBER(P19),0,1))</f>
        <v>0</v>
      </c>
      <c r="AV19" s="93">
        <f>IF(Validation!$H$3=1,0,IF(ISNUMBER(Q19),0,1))</f>
        <v>0</v>
      </c>
      <c r="AW19" s="93">
        <f>IF(Validation!$H$3=1,0,IF(ISNUMBER(R19),0,1))</f>
        <v>0</v>
      </c>
      <c r="AX19" s="93">
        <f>IF(Validation!$H$3=1,0,IF(ISNUMBER(S19),0,1))</f>
        <v>0</v>
      </c>
      <c r="AY19" s="93"/>
      <c r="AZ19" s="93">
        <f>IF(Validation!$H$3=1,0,IF(ISNUMBER(U19),0,1))</f>
        <v>0</v>
      </c>
      <c r="BA19" s="93">
        <f>IF(Validation!$H$3=1,0,IF(ISNUMBER(V19),0,1))</f>
        <v>0</v>
      </c>
      <c r="BB19" s="93">
        <f>IF(Validation!$H$3=1,0,IF(ISNUMBER(W19),0,1))</f>
        <v>0</v>
      </c>
      <c r="BC19" s="93">
        <f>IF(Validation!$H$3=1,0,IF(ISNUMBER(X19),0,1))</f>
        <v>0</v>
      </c>
      <c r="BD19" s="93">
        <f>IF(Validation!$H$3=1,0,IF(ISNUMBER(Y19),0,1))</f>
        <v>0</v>
      </c>
      <c r="BE19" s="93"/>
      <c r="BF19" s="93">
        <f>IF(Validation!$H$3=1,0,IF(ISNUMBER(AA19),0,1))</f>
        <v>0</v>
      </c>
      <c r="BG19" s="93">
        <f>IF(Validation!$H$3=1,0,IF(ISNUMBER(AB19),0,1))</f>
        <v>0</v>
      </c>
      <c r="BH19" s="93">
        <f>IF(Validation!$H$3=1,0,IF(ISNUMBER(AC19),0,1))</f>
        <v>0</v>
      </c>
      <c r="BI19" s="93">
        <f>IF(Validation!$H$3=1,0,IF(ISNUMBER(AD19),0,1))</f>
        <v>0</v>
      </c>
      <c r="BJ19" s="93">
        <f>IF(Validation!$H$3=1,0,IF(ISNUMBER(AE19),0,1))</f>
        <v>0</v>
      </c>
      <c r="BK19" s="93"/>
      <c r="BL19" s="71"/>
      <c r="BM19" s="1882"/>
      <c r="BN19" s="94" t="s">
        <v>7472</v>
      </c>
      <c r="BO19" s="87" t="s">
        <v>7473</v>
      </c>
      <c r="BP19" s="95"/>
      <c r="BQ19" s="95" t="s">
        <v>764</v>
      </c>
      <c r="BR19" s="96">
        <v>0</v>
      </c>
      <c r="BS19" s="2774" t="s">
        <v>7474</v>
      </c>
      <c r="BT19" s="2775" t="s">
        <v>7475</v>
      </c>
      <c r="BU19" s="2775" t="s">
        <v>7476</v>
      </c>
      <c r="BV19" s="2775" t="s">
        <v>7477</v>
      </c>
      <c r="BW19" s="2775" t="s">
        <v>7478</v>
      </c>
      <c r="BX19" s="2775" t="s">
        <v>7479</v>
      </c>
      <c r="BY19" s="2775" t="s">
        <v>7480</v>
      </c>
      <c r="BZ19" s="1238" t="s">
        <v>7481</v>
      </c>
      <c r="CA19" s="2363"/>
      <c r="CB19" s="2774" t="s">
        <v>7482</v>
      </c>
      <c r="CC19" s="2775" t="s">
        <v>7483</v>
      </c>
      <c r="CD19" s="2775" t="s">
        <v>7484</v>
      </c>
      <c r="CE19" s="2775" t="s">
        <v>7485</v>
      </c>
      <c r="CF19" s="1238" t="s">
        <v>7486</v>
      </c>
      <c r="CG19" s="2774" t="s">
        <v>7487</v>
      </c>
      <c r="CH19" s="2775" t="s">
        <v>7488</v>
      </c>
      <c r="CI19" s="2775" t="s">
        <v>7489</v>
      </c>
      <c r="CJ19" s="2775" t="s">
        <v>7490</v>
      </c>
      <c r="CK19" s="2775" t="s">
        <v>7491</v>
      </c>
      <c r="CL19" s="1238" t="s">
        <v>7492</v>
      </c>
      <c r="CM19" s="2774" t="s">
        <v>7493</v>
      </c>
      <c r="CN19" s="2775" t="s">
        <v>7494</v>
      </c>
      <c r="CO19" s="2775" t="s">
        <v>7495</v>
      </c>
      <c r="CP19" s="2775" t="s">
        <v>7496</v>
      </c>
      <c r="CQ19" s="2775" t="s">
        <v>7497</v>
      </c>
      <c r="CR19" s="1238" t="s">
        <v>7498</v>
      </c>
    </row>
    <row r="20" spans="1:96" ht="16">
      <c r="A20" s="1161"/>
      <c r="B20" s="94" t="s">
        <v>7499</v>
      </c>
      <c r="C20" s="87" t="s">
        <v>7500</v>
      </c>
      <c r="D20" s="95"/>
      <c r="E20" s="95" t="s">
        <v>764</v>
      </c>
      <c r="F20" s="96">
        <v>0</v>
      </c>
      <c r="G20" s="1236"/>
      <c r="H20" s="1237"/>
      <c r="I20" s="1237"/>
      <c r="J20" s="1237"/>
      <c r="K20" s="1237"/>
      <c r="L20" s="1237"/>
      <c r="M20" s="1237"/>
      <c r="N20" s="1238">
        <f t="shared" si="7"/>
        <v>0</v>
      </c>
      <c r="O20" s="1161"/>
      <c r="P20" s="1236"/>
      <c r="Q20" s="1237"/>
      <c r="R20" s="1237"/>
      <c r="S20" s="1237"/>
      <c r="T20" s="1238">
        <f t="shared" si="8"/>
        <v>0</v>
      </c>
      <c r="U20" s="1236"/>
      <c r="V20" s="1237"/>
      <c r="W20" s="1237"/>
      <c r="X20" s="1237"/>
      <c r="Y20" s="1237"/>
      <c r="Z20" s="1238">
        <f t="shared" si="9"/>
        <v>0</v>
      </c>
      <c r="AA20" s="1236"/>
      <c r="AB20" s="1237"/>
      <c r="AC20" s="1237"/>
      <c r="AD20" s="1237"/>
      <c r="AE20" s="1237"/>
      <c r="AF20" s="1238">
        <f t="shared" si="10"/>
        <v>0</v>
      </c>
      <c r="AG20" s="1095"/>
      <c r="AH20" s="1161"/>
      <c r="AI20" s="868">
        <f t="shared" si="11"/>
        <v>0</v>
      </c>
      <c r="AJ20" s="192"/>
      <c r="AK20" s="71"/>
      <c r="AL20" s="93">
        <f>IF(Validation!$H$3=1,0,IF(ISNUMBER(G20),0,1))</f>
        <v>0</v>
      </c>
      <c r="AM20" s="93">
        <f>IF(Validation!$H$3=1,0,IF(ISNUMBER(H20),0,1))</f>
        <v>0</v>
      </c>
      <c r="AN20" s="93">
        <f>IF(Validation!$H$3=1,0,IF(ISNUMBER(I20),0,1))</f>
        <v>0</v>
      </c>
      <c r="AO20" s="93">
        <f>IF(Validation!$H$3=1,0,IF(ISNUMBER(J20),0,1))</f>
        <v>0</v>
      </c>
      <c r="AP20" s="93">
        <f>IF(Validation!$H$3=1,0,IF(ISNUMBER(K20),0,1))</f>
        <v>0</v>
      </c>
      <c r="AQ20" s="93">
        <f>IF(Validation!$H$3=1,0,IF(ISNUMBER(L20),0,1))</f>
        <v>0</v>
      </c>
      <c r="AR20" s="93">
        <f>IF(Validation!$H$3=1,0,IF(ISNUMBER(M20),0,1))</f>
        <v>0</v>
      </c>
      <c r="AS20" s="93"/>
      <c r="AT20" s="85"/>
      <c r="AU20" s="93">
        <f>IF(Validation!$H$3=1,0,IF(ISNUMBER(P20),0,1))</f>
        <v>0</v>
      </c>
      <c r="AV20" s="93">
        <f>IF(Validation!$H$3=1,0,IF(ISNUMBER(Q20),0,1))</f>
        <v>0</v>
      </c>
      <c r="AW20" s="93">
        <f>IF(Validation!$H$3=1,0,IF(ISNUMBER(R20),0,1))</f>
        <v>0</v>
      </c>
      <c r="AX20" s="93">
        <f>IF(Validation!$H$3=1,0,IF(ISNUMBER(S20),0,1))</f>
        <v>0</v>
      </c>
      <c r="AY20" s="93"/>
      <c r="AZ20" s="93">
        <f>IF(Validation!$H$3=1,0,IF(ISNUMBER(U20),0,1))</f>
        <v>0</v>
      </c>
      <c r="BA20" s="93">
        <f>IF(Validation!$H$3=1,0,IF(ISNUMBER(V20),0,1))</f>
        <v>0</v>
      </c>
      <c r="BB20" s="93">
        <f>IF(Validation!$H$3=1,0,IF(ISNUMBER(W20),0,1))</f>
        <v>0</v>
      </c>
      <c r="BC20" s="93">
        <f>IF(Validation!$H$3=1,0,IF(ISNUMBER(X20),0,1))</f>
        <v>0</v>
      </c>
      <c r="BD20" s="93">
        <f>IF(Validation!$H$3=1,0,IF(ISNUMBER(Y20),0,1))</f>
        <v>0</v>
      </c>
      <c r="BE20" s="93"/>
      <c r="BF20" s="93">
        <f>IF(Validation!$H$3=1,0,IF(ISNUMBER(AA20),0,1))</f>
        <v>0</v>
      </c>
      <c r="BG20" s="93">
        <f>IF(Validation!$H$3=1,0,IF(ISNUMBER(AB20),0,1))</f>
        <v>0</v>
      </c>
      <c r="BH20" s="93">
        <f>IF(Validation!$H$3=1,0,IF(ISNUMBER(AC20),0,1))</f>
        <v>0</v>
      </c>
      <c r="BI20" s="93">
        <f>IF(Validation!$H$3=1,0,IF(ISNUMBER(AD20),0,1))</f>
        <v>0</v>
      </c>
      <c r="BJ20" s="93">
        <f>IF(Validation!$H$3=1,0,IF(ISNUMBER(AE20),0,1))</f>
        <v>0</v>
      </c>
      <c r="BK20" s="93"/>
      <c r="BL20" s="71"/>
      <c r="BM20" s="1882"/>
      <c r="BN20" s="94" t="s">
        <v>7499</v>
      </c>
      <c r="BO20" s="87" t="s">
        <v>7500</v>
      </c>
      <c r="BP20" s="95"/>
      <c r="BQ20" s="95" t="s">
        <v>764</v>
      </c>
      <c r="BR20" s="96">
        <v>0</v>
      </c>
      <c r="BS20" s="2774" t="s">
        <v>7501</v>
      </c>
      <c r="BT20" s="2775" t="s">
        <v>7502</v>
      </c>
      <c r="BU20" s="2775" t="s">
        <v>7503</v>
      </c>
      <c r="BV20" s="2775" t="s">
        <v>7504</v>
      </c>
      <c r="BW20" s="2775" t="s">
        <v>7505</v>
      </c>
      <c r="BX20" s="2775" t="s">
        <v>7506</v>
      </c>
      <c r="BY20" s="2775" t="s">
        <v>7507</v>
      </c>
      <c r="BZ20" s="1238" t="s">
        <v>7508</v>
      </c>
      <c r="CA20" s="2363"/>
      <c r="CB20" s="2774" t="s">
        <v>7509</v>
      </c>
      <c r="CC20" s="2775" t="s">
        <v>7510</v>
      </c>
      <c r="CD20" s="2775" t="s">
        <v>7511</v>
      </c>
      <c r="CE20" s="2775" t="s">
        <v>7512</v>
      </c>
      <c r="CF20" s="1238" t="s">
        <v>7513</v>
      </c>
      <c r="CG20" s="2774" t="s">
        <v>7514</v>
      </c>
      <c r="CH20" s="2775" t="s">
        <v>7515</v>
      </c>
      <c r="CI20" s="2775" t="s">
        <v>7516</v>
      </c>
      <c r="CJ20" s="2775" t="s">
        <v>7517</v>
      </c>
      <c r="CK20" s="2775" t="s">
        <v>7518</v>
      </c>
      <c r="CL20" s="1238" t="s">
        <v>7519</v>
      </c>
      <c r="CM20" s="2774" t="s">
        <v>7520</v>
      </c>
      <c r="CN20" s="2775" t="s">
        <v>7521</v>
      </c>
      <c r="CO20" s="2775" t="s">
        <v>7522</v>
      </c>
      <c r="CP20" s="2775" t="s">
        <v>7523</v>
      </c>
      <c r="CQ20" s="2775" t="s">
        <v>7524</v>
      </c>
      <c r="CR20" s="1238" t="s">
        <v>7525</v>
      </c>
    </row>
    <row r="21" spans="1:96" ht="16">
      <c r="A21" s="1161"/>
      <c r="B21" s="94" t="s">
        <v>7526</v>
      </c>
      <c r="C21" s="87" t="s">
        <v>7527</v>
      </c>
      <c r="D21" s="95"/>
      <c r="E21" s="95" t="s">
        <v>764</v>
      </c>
      <c r="F21" s="96">
        <v>0</v>
      </c>
      <c r="G21" s="1236"/>
      <c r="H21" s="1237"/>
      <c r="I21" s="1237"/>
      <c r="J21" s="1237"/>
      <c r="K21" s="1237"/>
      <c r="L21" s="1237"/>
      <c r="M21" s="1237"/>
      <c r="N21" s="1238">
        <f t="shared" si="7"/>
        <v>0</v>
      </c>
      <c r="O21" s="1161"/>
      <c r="P21" s="1236"/>
      <c r="Q21" s="1237"/>
      <c r="R21" s="1237"/>
      <c r="S21" s="1237"/>
      <c r="T21" s="1238">
        <f t="shared" si="8"/>
        <v>0</v>
      </c>
      <c r="U21" s="1236"/>
      <c r="V21" s="1237"/>
      <c r="W21" s="1237"/>
      <c r="X21" s="1237"/>
      <c r="Y21" s="1237"/>
      <c r="Z21" s="1238">
        <f t="shared" si="9"/>
        <v>0</v>
      </c>
      <c r="AA21" s="1236"/>
      <c r="AB21" s="1237"/>
      <c r="AC21" s="1237"/>
      <c r="AD21" s="1237"/>
      <c r="AE21" s="1237"/>
      <c r="AF21" s="1238">
        <f t="shared" si="10"/>
        <v>0</v>
      </c>
      <c r="AG21" s="1095"/>
      <c r="AH21" s="1161"/>
      <c r="AI21" s="868">
        <f t="shared" si="11"/>
        <v>0</v>
      </c>
      <c r="AJ21" s="192"/>
      <c r="AK21" s="71"/>
      <c r="AL21" s="93">
        <f>IF(Validation!$H$3=1,0,IF(ISNUMBER(G21),0,1))</f>
        <v>0</v>
      </c>
      <c r="AM21" s="93">
        <f>IF(Validation!$H$3=1,0,IF(ISNUMBER(H21),0,1))</f>
        <v>0</v>
      </c>
      <c r="AN21" s="93">
        <f>IF(Validation!$H$3=1,0,IF(ISNUMBER(I21),0,1))</f>
        <v>0</v>
      </c>
      <c r="AO21" s="93">
        <f>IF(Validation!$H$3=1,0,IF(ISNUMBER(J21),0,1))</f>
        <v>0</v>
      </c>
      <c r="AP21" s="93">
        <f>IF(Validation!$H$3=1,0,IF(ISNUMBER(K21),0,1))</f>
        <v>0</v>
      </c>
      <c r="AQ21" s="93">
        <f>IF(Validation!$H$3=1,0,IF(ISNUMBER(L21),0,1))</f>
        <v>0</v>
      </c>
      <c r="AR21" s="93">
        <f>IF(Validation!$H$3=1,0,IF(ISNUMBER(M21),0,1))</f>
        <v>0</v>
      </c>
      <c r="AS21" s="93"/>
      <c r="AT21" s="85"/>
      <c r="AU21" s="93">
        <f>IF(Validation!$H$3=1,0,IF(ISNUMBER(P21),0,1))</f>
        <v>0</v>
      </c>
      <c r="AV21" s="93">
        <f>IF(Validation!$H$3=1,0,IF(ISNUMBER(Q21),0,1))</f>
        <v>0</v>
      </c>
      <c r="AW21" s="93">
        <f>IF(Validation!$H$3=1,0,IF(ISNUMBER(R21),0,1))</f>
        <v>0</v>
      </c>
      <c r="AX21" s="93">
        <f>IF(Validation!$H$3=1,0,IF(ISNUMBER(S21),0,1))</f>
        <v>0</v>
      </c>
      <c r="AY21" s="93"/>
      <c r="AZ21" s="93">
        <f>IF(Validation!$H$3=1,0,IF(ISNUMBER(U21),0,1))</f>
        <v>0</v>
      </c>
      <c r="BA21" s="93">
        <f>IF(Validation!$H$3=1,0,IF(ISNUMBER(V21),0,1))</f>
        <v>0</v>
      </c>
      <c r="BB21" s="93">
        <f>IF(Validation!$H$3=1,0,IF(ISNUMBER(W21),0,1))</f>
        <v>0</v>
      </c>
      <c r="BC21" s="93">
        <f>IF(Validation!$H$3=1,0,IF(ISNUMBER(X21),0,1))</f>
        <v>0</v>
      </c>
      <c r="BD21" s="93">
        <f>IF(Validation!$H$3=1,0,IF(ISNUMBER(Y21),0,1))</f>
        <v>0</v>
      </c>
      <c r="BE21" s="93"/>
      <c r="BF21" s="93">
        <f>IF(Validation!$H$3=1,0,IF(ISNUMBER(AA21),0,1))</f>
        <v>0</v>
      </c>
      <c r="BG21" s="93">
        <f>IF(Validation!$H$3=1,0,IF(ISNUMBER(AB21),0,1))</f>
        <v>0</v>
      </c>
      <c r="BH21" s="93">
        <f>IF(Validation!$H$3=1,0,IF(ISNUMBER(AC21),0,1))</f>
        <v>0</v>
      </c>
      <c r="BI21" s="93">
        <f>IF(Validation!$H$3=1,0,IF(ISNUMBER(AD21),0,1))</f>
        <v>0</v>
      </c>
      <c r="BJ21" s="93">
        <f>IF(Validation!$H$3=1,0,IF(ISNUMBER(AE21),0,1))</f>
        <v>0</v>
      </c>
      <c r="BK21" s="93"/>
      <c r="BL21" s="71"/>
      <c r="BM21" s="1882"/>
      <c r="BN21" s="94" t="s">
        <v>7526</v>
      </c>
      <c r="BO21" s="87" t="s">
        <v>7527</v>
      </c>
      <c r="BP21" s="95"/>
      <c r="BQ21" s="95" t="s">
        <v>764</v>
      </c>
      <c r="BR21" s="96">
        <v>0</v>
      </c>
      <c r="BS21" s="2774" t="s">
        <v>7528</v>
      </c>
      <c r="BT21" s="2775" t="s">
        <v>7529</v>
      </c>
      <c r="BU21" s="2775" t="s">
        <v>7530</v>
      </c>
      <c r="BV21" s="2775" t="s">
        <v>7531</v>
      </c>
      <c r="BW21" s="2775" t="s">
        <v>7532</v>
      </c>
      <c r="BX21" s="2775" t="s">
        <v>7533</v>
      </c>
      <c r="BY21" s="2775" t="s">
        <v>7534</v>
      </c>
      <c r="BZ21" s="1238" t="s">
        <v>7535</v>
      </c>
      <c r="CA21" s="2363"/>
      <c r="CB21" s="2774" t="s">
        <v>7536</v>
      </c>
      <c r="CC21" s="2775" t="s">
        <v>7537</v>
      </c>
      <c r="CD21" s="2775" t="s">
        <v>7538</v>
      </c>
      <c r="CE21" s="2775" t="s">
        <v>7539</v>
      </c>
      <c r="CF21" s="1238" t="s">
        <v>7540</v>
      </c>
      <c r="CG21" s="2774" t="s">
        <v>7541</v>
      </c>
      <c r="CH21" s="2775" t="s">
        <v>7542</v>
      </c>
      <c r="CI21" s="2775" t="s">
        <v>7543</v>
      </c>
      <c r="CJ21" s="2775" t="s">
        <v>7544</v>
      </c>
      <c r="CK21" s="2775" t="s">
        <v>7545</v>
      </c>
      <c r="CL21" s="1238" t="s">
        <v>7546</v>
      </c>
      <c r="CM21" s="2774" t="s">
        <v>7547</v>
      </c>
      <c r="CN21" s="2775" t="s">
        <v>7548</v>
      </c>
      <c r="CO21" s="2775" t="s">
        <v>7549</v>
      </c>
      <c r="CP21" s="2775" t="s">
        <v>7550</v>
      </c>
      <c r="CQ21" s="2775" t="s">
        <v>7551</v>
      </c>
      <c r="CR21" s="1238" t="s">
        <v>7552</v>
      </c>
    </row>
    <row r="22" spans="1:96" ht="16">
      <c r="A22" s="1161"/>
      <c r="B22" s="94" t="s">
        <v>7553</v>
      </c>
      <c r="C22" s="884" t="s">
        <v>7554</v>
      </c>
      <c r="D22" s="1239"/>
      <c r="E22" s="1239" t="s">
        <v>764</v>
      </c>
      <c r="F22" s="1240">
        <v>0</v>
      </c>
      <c r="G22" s="1236"/>
      <c r="H22" s="1237"/>
      <c r="I22" s="1237"/>
      <c r="J22" s="1237"/>
      <c r="K22" s="1237"/>
      <c r="L22" s="1237"/>
      <c r="M22" s="1237"/>
      <c r="N22" s="1238">
        <f t="shared" si="7"/>
        <v>0</v>
      </c>
      <c r="O22" s="1161"/>
      <c r="P22" s="1236"/>
      <c r="Q22" s="1237"/>
      <c r="R22" s="1237"/>
      <c r="S22" s="1237"/>
      <c r="T22" s="1238">
        <f t="shared" si="8"/>
        <v>0</v>
      </c>
      <c r="U22" s="1236"/>
      <c r="V22" s="1237"/>
      <c r="W22" s="1237"/>
      <c r="X22" s="1237"/>
      <c r="Y22" s="1237"/>
      <c r="Z22" s="1238">
        <f t="shared" si="9"/>
        <v>0</v>
      </c>
      <c r="AA22" s="1236"/>
      <c r="AB22" s="1237"/>
      <c r="AC22" s="1237"/>
      <c r="AD22" s="1237"/>
      <c r="AE22" s="1237"/>
      <c r="AF22" s="1238">
        <f t="shared" si="10"/>
        <v>0</v>
      </c>
      <c r="AG22" s="1095"/>
      <c r="AH22" s="1161"/>
      <c r="AI22" s="868">
        <f t="shared" si="11"/>
        <v>0</v>
      </c>
      <c r="AJ22" s="192"/>
      <c r="AK22" s="71"/>
      <c r="AL22" s="93">
        <f>IF(Validation!$H$3=1,0,IF(ISNUMBER(G22),0,1))</f>
        <v>0</v>
      </c>
      <c r="AM22" s="93">
        <f>IF(Validation!$H$3=1,0,IF(ISNUMBER(H22),0,1))</f>
        <v>0</v>
      </c>
      <c r="AN22" s="93">
        <f>IF(Validation!$H$3=1,0,IF(ISNUMBER(I22),0,1))</f>
        <v>0</v>
      </c>
      <c r="AO22" s="93">
        <f>IF(Validation!$H$3=1,0,IF(ISNUMBER(J22),0,1))</f>
        <v>0</v>
      </c>
      <c r="AP22" s="93">
        <f>IF(Validation!$H$3=1,0,IF(ISNUMBER(K22),0,1))</f>
        <v>0</v>
      </c>
      <c r="AQ22" s="93">
        <f>IF(Validation!$H$3=1,0,IF(ISNUMBER(L22),0,1))</f>
        <v>0</v>
      </c>
      <c r="AR22" s="93">
        <f>IF(Validation!$H$3=1,0,IF(ISNUMBER(M22),0,1))</f>
        <v>0</v>
      </c>
      <c r="AS22" s="93"/>
      <c r="AT22" s="85"/>
      <c r="AU22" s="93">
        <f>IF(Validation!$H$3=1,0,IF(ISNUMBER(P22),0,1))</f>
        <v>0</v>
      </c>
      <c r="AV22" s="93">
        <f>IF(Validation!$H$3=1,0,IF(ISNUMBER(Q22),0,1))</f>
        <v>0</v>
      </c>
      <c r="AW22" s="93">
        <f>IF(Validation!$H$3=1,0,IF(ISNUMBER(R22),0,1))</f>
        <v>0</v>
      </c>
      <c r="AX22" s="93">
        <f>IF(Validation!$H$3=1,0,IF(ISNUMBER(S22),0,1))</f>
        <v>0</v>
      </c>
      <c r="AY22" s="93"/>
      <c r="AZ22" s="93">
        <f>IF(Validation!$H$3=1,0,IF(ISNUMBER(U22),0,1))</f>
        <v>0</v>
      </c>
      <c r="BA22" s="93">
        <f>IF(Validation!$H$3=1,0,IF(ISNUMBER(V22),0,1))</f>
        <v>0</v>
      </c>
      <c r="BB22" s="93">
        <f>IF(Validation!$H$3=1,0,IF(ISNUMBER(W22),0,1))</f>
        <v>0</v>
      </c>
      <c r="BC22" s="93">
        <f>IF(Validation!$H$3=1,0,IF(ISNUMBER(X22),0,1))</f>
        <v>0</v>
      </c>
      <c r="BD22" s="93">
        <f>IF(Validation!$H$3=1,0,IF(ISNUMBER(Y22),0,1))</f>
        <v>0</v>
      </c>
      <c r="BE22" s="93"/>
      <c r="BF22" s="93">
        <f>IF(Validation!$H$3=1,0,IF(ISNUMBER(AA22),0,1))</f>
        <v>0</v>
      </c>
      <c r="BG22" s="93">
        <f>IF(Validation!$H$3=1,0,IF(ISNUMBER(AB22),0,1))</f>
        <v>0</v>
      </c>
      <c r="BH22" s="93">
        <f>IF(Validation!$H$3=1,0,IF(ISNUMBER(AC22),0,1))</f>
        <v>0</v>
      </c>
      <c r="BI22" s="93">
        <f>IF(Validation!$H$3=1,0,IF(ISNUMBER(AD22),0,1))</f>
        <v>0</v>
      </c>
      <c r="BJ22" s="93">
        <f>IF(Validation!$H$3=1,0,IF(ISNUMBER(AE22),0,1))</f>
        <v>0</v>
      </c>
      <c r="BK22" s="93"/>
      <c r="BL22" s="71"/>
      <c r="BM22" s="1882"/>
      <c r="BN22" s="94" t="s">
        <v>7553</v>
      </c>
      <c r="BO22" s="884" t="s">
        <v>7554</v>
      </c>
      <c r="BP22" s="1239"/>
      <c r="BQ22" s="1239" t="s">
        <v>764</v>
      </c>
      <c r="BR22" s="1240">
        <v>0</v>
      </c>
      <c r="BS22" s="2774" t="s">
        <v>7555</v>
      </c>
      <c r="BT22" s="2775" t="s">
        <v>7556</v>
      </c>
      <c r="BU22" s="2775" t="s">
        <v>7557</v>
      </c>
      <c r="BV22" s="2775" t="s">
        <v>7558</v>
      </c>
      <c r="BW22" s="2775" t="s">
        <v>7559</v>
      </c>
      <c r="BX22" s="2775" t="s">
        <v>7560</v>
      </c>
      <c r="BY22" s="2775" t="s">
        <v>7561</v>
      </c>
      <c r="BZ22" s="1238" t="s">
        <v>7562</v>
      </c>
      <c r="CA22" s="2363"/>
      <c r="CB22" s="2774" t="s">
        <v>7563</v>
      </c>
      <c r="CC22" s="2775" t="s">
        <v>7564</v>
      </c>
      <c r="CD22" s="2775" t="s">
        <v>7565</v>
      </c>
      <c r="CE22" s="2775" t="s">
        <v>7566</v>
      </c>
      <c r="CF22" s="1238" t="s">
        <v>7567</v>
      </c>
      <c r="CG22" s="2774" t="s">
        <v>7568</v>
      </c>
      <c r="CH22" s="2775" t="s">
        <v>7569</v>
      </c>
      <c r="CI22" s="2775" t="s">
        <v>7570</v>
      </c>
      <c r="CJ22" s="2775" t="s">
        <v>7571</v>
      </c>
      <c r="CK22" s="2775" t="s">
        <v>7572</v>
      </c>
      <c r="CL22" s="1238" t="s">
        <v>7573</v>
      </c>
      <c r="CM22" s="2774" t="s">
        <v>7574</v>
      </c>
      <c r="CN22" s="2775" t="s">
        <v>7575</v>
      </c>
      <c r="CO22" s="2775" t="s">
        <v>7576</v>
      </c>
      <c r="CP22" s="2775" t="s">
        <v>7577</v>
      </c>
      <c r="CQ22" s="2775" t="s">
        <v>7578</v>
      </c>
      <c r="CR22" s="1238" t="s">
        <v>7579</v>
      </c>
    </row>
    <row r="23" spans="1:96" ht="16">
      <c r="A23" s="1161"/>
      <c r="B23" s="94" t="s">
        <v>7580</v>
      </c>
      <c r="C23" s="87" t="s">
        <v>7581</v>
      </c>
      <c r="D23" s="95"/>
      <c r="E23" s="95" t="s">
        <v>764</v>
      </c>
      <c r="F23" s="96">
        <v>0</v>
      </c>
      <c r="G23" s="1236"/>
      <c r="H23" s="1237"/>
      <c r="I23" s="1237"/>
      <c r="J23" s="1237"/>
      <c r="K23" s="1237"/>
      <c r="L23" s="1237"/>
      <c r="M23" s="1237"/>
      <c r="N23" s="1238">
        <f t="shared" si="7"/>
        <v>0</v>
      </c>
      <c r="O23" s="1161"/>
      <c r="P23" s="1236"/>
      <c r="Q23" s="1237"/>
      <c r="R23" s="1237"/>
      <c r="S23" s="1237"/>
      <c r="T23" s="1238">
        <f t="shared" si="8"/>
        <v>0</v>
      </c>
      <c r="U23" s="1236"/>
      <c r="V23" s="1237"/>
      <c r="W23" s="1237"/>
      <c r="X23" s="1237"/>
      <c r="Y23" s="1237"/>
      <c r="Z23" s="1238">
        <f t="shared" si="9"/>
        <v>0</v>
      </c>
      <c r="AA23" s="1236"/>
      <c r="AB23" s="1237"/>
      <c r="AC23" s="1237"/>
      <c r="AD23" s="1237"/>
      <c r="AE23" s="1237"/>
      <c r="AF23" s="1238">
        <f t="shared" si="10"/>
        <v>0</v>
      </c>
      <c r="AG23" s="1081"/>
      <c r="AH23" s="1161"/>
      <c r="AI23" s="868">
        <f t="shared" si="11"/>
        <v>0</v>
      </c>
      <c r="AJ23" s="192"/>
      <c r="AK23" s="71"/>
      <c r="AL23" s="93">
        <f>IF(Validation!$H$3=1,0,IF(ISNUMBER(G23),0,1))</f>
        <v>0</v>
      </c>
      <c r="AM23" s="93">
        <f>IF(Validation!$H$3=1,0,IF(ISNUMBER(H23),0,1))</f>
        <v>0</v>
      </c>
      <c r="AN23" s="93">
        <f>IF(Validation!$H$3=1,0,IF(ISNUMBER(I23),0,1))</f>
        <v>0</v>
      </c>
      <c r="AO23" s="93">
        <f>IF(Validation!$H$3=1,0,IF(ISNUMBER(J23),0,1))</f>
        <v>0</v>
      </c>
      <c r="AP23" s="93">
        <f>IF(Validation!$H$3=1,0,IF(ISNUMBER(K23),0,1))</f>
        <v>0</v>
      </c>
      <c r="AQ23" s="93">
        <f>IF(Validation!$H$3=1,0,IF(ISNUMBER(L23),0,1))</f>
        <v>0</v>
      </c>
      <c r="AR23" s="93">
        <f>IF(Validation!$H$3=1,0,IF(ISNUMBER(M23),0,1))</f>
        <v>0</v>
      </c>
      <c r="AS23" s="93"/>
      <c r="AT23" s="85"/>
      <c r="AU23" s="93">
        <f>IF(Validation!$H$3=1,0,IF(ISNUMBER(P23),0,1))</f>
        <v>0</v>
      </c>
      <c r="AV23" s="93">
        <f>IF(Validation!$H$3=1,0,IF(ISNUMBER(Q23),0,1))</f>
        <v>0</v>
      </c>
      <c r="AW23" s="93">
        <f>IF(Validation!$H$3=1,0,IF(ISNUMBER(R23),0,1))</f>
        <v>0</v>
      </c>
      <c r="AX23" s="93">
        <f>IF(Validation!$H$3=1,0,IF(ISNUMBER(S23),0,1))</f>
        <v>0</v>
      </c>
      <c r="AY23" s="93"/>
      <c r="AZ23" s="93">
        <f>IF(Validation!$H$3=1,0,IF(ISNUMBER(U23),0,1))</f>
        <v>0</v>
      </c>
      <c r="BA23" s="93">
        <f>IF(Validation!$H$3=1,0,IF(ISNUMBER(V23),0,1))</f>
        <v>0</v>
      </c>
      <c r="BB23" s="93">
        <f>IF(Validation!$H$3=1,0,IF(ISNUMBER(W23),0,1))</f>
        <v>0</v>
      </c>
      <c r="BC23" s="93">
        <f>IF(Validation!$H$3=1,0,IF(ISNUMBER(X23),0,1))</f>
        <v>0</v>
      </c>
      <c r="BD23" s="93">
        <f>IF(Validation!$H$3=1,0,IF(ISNUMBER(Y23),0,1))</f>
        <v>0</v>
      </c>
      <c r="BE23" s="93"/>
      <c r="BF23" s="93">
        <f>IF(Validation!$H$3=1,0,IF(ISNUMBER(AA23),0,1))</f>
        <v>0</v>
      </c>
      <c r="BG23" s="93">
        <f>IF(Validation!$H$3=1,0,IF(ISNUMBER(AB23),0,1))</f>
        <v>0</v>
      </c>
      <c r="BH23" s="93">
        <f>IF(Validation!$H$3=1,0,IF(ISNUMBER(AC23),0,1))</f>
        <v>0</v>
      </c>
      <c r="BI23" s="93">
        <f>IF(Validation!$H$3=1,0,IF(ISNUMBER(AD23),0,1))</f>
        <v>0</v>
      </c>
      <c r="BJ23" s="93">
        <f>IF(Validation!$H$3=1,0,IF(ISNUMBER(AE23),0,1))</f>
        <v>0</v>
      </c>
      <c r="BK23" s="93"/>
      <c r="BL23" s="71"/>
      <c r="BM23" s="1882"/>
      <c r="BN23" s="94" t="s">
        <v>7580</v>
      </c>
      <c r="BO23" s="87" t="s">
        <v>7581</v>
      </c>
      <c r="BP23" s="95"/>
      <c r="BQ23" s="95" t="s">
        <v>764</v>
      </c>
      <c r="BR23" s="96">
        <v>0</v>
      </c>
      <c r="BS23" s="2774" t="s">
        <v>7582</v>
      </c>
      <c r="BT23" s="2775" t="s">
        <v>7583</v>
      </c>
      <c r="BU23" s="2775" t="s">
        <v>7584</v>
      </c>
      <c r="BV23" s="2775" t="s">
        <v>7585</v>
      </c>
      <c r="BW23" s="2775" t="s">
        <v>7586</v>
      </c>
      <c r="BX23" s="2775" t="s">
        <v>7587</v>
      </c>
      <c r="BY23" s="2775" t="s">
        <v>7588</v>
      </c>
      <c r="BZ23" s="1238" t="s">
        <v>7589</v>
      </c>
      <c r="CA23" s="2363"/>
      <c r="CB23" s="2774" t="s">
        <v>7590</v>
      </c>
      <c r="CC23" s="2775" t="s">
        <v>7591</v>
      </c>
      <c r="CD23" s="2775" t="s">
        <v>7592</v>
      </c>
      <c r="CE23" s="2775" t="s">
        <v>7593</v>
      </c>
      <c r="CF23" s="1238" t="s">
        <v>7594</v>
      </c>
      <c r="CG23" s="2774" t="s">
        <v>7595</v>
      </c>
      <c r="CH23" s="2775" t="s">
        <v>7596</v>
      </c>
      <c r="CI23" s="2775" t="s">
        <v>7597</v>
      </c>
      <c r="CJ23" s="2775" t="s">
        <v>7598</v>
      </c>
      <c r="CK23" s="2775" t="s">
        <v>7599</v>
      </c>
      <c r="CL23" s="1238" t="s">
        <v>7600</v>
      </c>
      <c r="CM23" s="2774" t="s">
        <v>7601</v>
      </c>
      <c r="CN23" s="2775" t="s">
        <v>7602</v>
      </c>
      <c r="CO23" s="2775" t="s">
        <v>7603</v>
      </c>
      <c r="CP23" s="2775" t="s">
        <v>7604</v>
      </c>
      <c r="CQ23" s="2775" t="s">
        <v>7605</v>
      </c>
      <c r="CR23" s="1238" t="s">
        <v>7606</v>
      </c>
    </row>
    <row r="24" spans="1:96" ht="16.5" thickBot="1">
      <c r="A24" s="1161"/>
      <c r="B24" s="101" t="s">
        <v>7607</v>
      </c>
      <c r="C24" s="102" t="s">
        <v>7608</v>
      </c>
      <c r="D24" s="103"/>
      <c r="E24" s="103" t="s">
        <v>764</v>
      </c>
      <c r="F24" s="100">
        <v>0</v>
      </c>
      <c r="G24" s="1241">
        <f t="shared" ref="G24:N24" si="12">+SUM(G18:G23)</f>
        <v>0</v>
      </c>
      <c r="H24" s="1242">
        <f t="shared" si="12"/>
        <v>0</v>
      </c>
      <c r="I24" s="1242">
        <f t="shared" si="12"/>
        <v>0</v>
      </c>
      <c r="J24" s="1242">
        <f t="shared" si="12"/>
        <v>0</v>
      </c>
      <c r="K24" s="1242">
        <f t="shared" si="12"/>
        <v>0</v>
      </c>
      <c r="L24" s="1242">
        <f t="shared" si="12"/>
        <v>0</v>
      </c>
      <c r="M24" s="1242">
        <f t="shared" si="12"/>
        <v>0</v>
      </c>
      <c r="N24" s="1246">
        <f t="shared" si="12"/>
        <v>0</v>
      </c>
      <c r="O24" s="1161"/>
      <c r="P24" s="1241">
        <f t="shared" ref="P24:AF24" si="13">+SUM(P18:P23)</f>
        <v>0</v>
      </c>
      <c r="Q24" s="1242">
        <f t="shared" si="13"/>
        <v>0</v>
      </c>
      <c r="R24" s="1242">
        <f t="shared" si="13"/>
        <v>0</v>
      </c>
      <c r="S24" s="1242">
        <f t="shared" si="13"/>
        <v>0</v>
      </c>
      <c r="T24" s="1243">
        <f t="shared" si="13"/>
        <v>0</v>
      </c>
      <c r="U24" s="1241">
        <f t="shared" si="13"/>
        <v>0</v>
      </c>
      <c r="V24" s="1242">
        <f t="shared" si="13"/>
        <v>0</v>
      </c>
      <c r="W24" s="1242">
        <f t="shared" si="13"/>
        <v>0</v>
      </c>
      <c r="X24" s="1242">
        <f t="shared" si="13"/>
        <v>0</v>
      </c>
      <c r="Y24" s="1242">
        <f t="shared" si="13"/>
        <v>0</v>
      </c>
      <c r="Z24" s="1243">
        <f t="shared" si="13"/>
        <v>0</v>
      </c>
      <c r="AA24" s="1241">
        <f t="shared" si="13"/>
        <v>0</v>
      </c>
      <c r="AB24" s="1242">
        <f t="shared" si="13"/>
        <v>0</v>
      </c>
      <c r="AC24" s="1242">
        <f t="shared" si="13"/>
        <v>0</v>
      </c>
      <c r="AD24" s="1242">
        <f t="shared" si="13"/>
        <v>0</v>
      </c>
      <c r="AE24" s="1242">
        <f t="shared" si="13"/>
        <v>0</v>
      </c>
      <c r="AF24" s="1243">
        <f t="shared" si="13"/>
        <v>0</v>
      </c>
      <c r="AG24" s="1089"/>
      <c r="AH24" s="1161"/>
      <c r="AI24" s="1882"/>
      <c r="AJ24" s="1882"/>
      <c r="AL24" s="1882"/>
      <c r="AM24" s="1882"/>
      <c r="AN24" s="1882"/>
      <c r="AO24" s="1882"/>
      <c r="AP24" s="1882"/>
      <c r="AQ24" s="1882"/>
      <c r="AR24" s="1882"/>
      <c r="AS24" s="1882"/>
      <c r="AT24" s="85"/>
      <c r="AU24" s="1882"/>
      <c r="AV24" s="1882"/>
      <c r="AW24" s="1882"/>
      <c r="AX24" s="1882"/>
      <c r="AY24" s="1882"/>
      <c r="AZ24" s="1882"/>
      <c r="BA24" s="1882"/>
      <c r="BB24" s="1882"/>
      <c r="BC24" s="1882"/>
      <c r="BD24" s="1882"/>
      <c r="BE24" s="1882"/>
      <c r="BF24" s="1882"/>
      <c r="BG24" s="1882"/>
      <c r="BH24" s="1882"/>
      <c r="BI24" s="1882"/>
      <c r="BJ24" s="1882"/>
      <c r="BK24" s="1882"/>
      <c r="BM24" s="1882"/>
      <c r="BN24" s="101" t="s">
        <v>7607</v>
      </c>
      <c r="BO24" s="102" t="s">
        <v>7608</v>
      </c>
      <c r="BP24" s="103"/>
      <c r="BQ24" s="103" t="s">
        <v>764</v>
      </c>
      <c r="BR24" s="100">
        <v>0</v>
      </c>
      <c r="BS24" s="1241" t="s">
        <v>7609</v>
      </c>
      <c r="BT24" s="1242" t="s">
        <v>7610</v>
      </c>
      <c r="BU24" s="1242" t="s">
        <v>7611</v>
      </c>
      <c r="BV24" s="1242" t="s">
        <v>7612</v>
      </c>
      <c r="BW24" s="1242" t="s">
        <v>7613</v>
      </c>
      <c r="BX24" s="1242" t="s">
        <v>7614</v>
      </c>
      <c r="BY24" s="1242" t="s">
        <v>7615</v>
      </c>
      <c r="BZ24" s="1246" t="s">
        <v>7616</v>
      </c>
      <c r="CA24" s="2363"/>
      <c r="CB24" s="1241" t="s">
        <v>7617</v>
      </c>
      <c r="CC24" s="1242" t="s">
        <v>7618</v>
      </c>
      <c r="CD24" s="1242" t="s">
        <v>7619</v>
      </c>
      <c r="CE24" s="1242" t="s">
        <v>7620</v>
      </c>
      <c r="CF24" s="1243" t="s">
        <v>7621</v>
      </c>
      <c r="CG24" s="1241" t="s">
        <v>7622</v>
      </c>
      <c r="CH24" s="1242" t="s">
        <v>7623</v>
      </c>
      <c r="CI24" s="1242" t="s">
        <v>7624</v>
      </c>
      <c r="CJ24" s="1242" t="s">
        <v>7625</v>
      </c>
      <c r="CK24" s="1242" t="s">
        <v>7626</v>
      </c>
      <c r="CL24" s="1243" t="s">
        <v>7627</v>
      </c>
      <c r="CM24" s="1241" t="s">
        <v>7628</v>
      </c>
      <c r="CN24" s="1242" t="s">
        <v>7629</v>
      </c>
      <c r="CO24" s="1242" t="s">
        <v>7630</v>
      </c>
      <c r="CP24" s="1242" t="s">
        <v>7631</v>
      </c>
      <c r="CQ24" s="1242" t="s">
        <v>7632</v>
      </c>
      <c r="CR24" s="1243" t="s">
        <v>7633</v>
      </c>
    </row>
    <row r="25" spans="1:96" ht="16.5" thickBot="1">
      <c r="A25" s="1161"/>
      <c r="B25" s="1228"/>
      <c r="C25" s="1096"/>
      <c r="D25" s="1096"/>
      <c r="E25" s="1230"/>
      <c r="F25" s="1161"/>
      <c r="G25" s="1161"/>
      <c r="H25" s="1161"/>
      <c r="I25" s="1161"/>
      <c r="J25" s="1161"/>
      <c r="K25" s="1161"/>
      <c r="L25" s="1161"/>
      <c r="M25" s="1161"/>
      <c r="N25" s="1161"/>
      <c r="O25" s="1161"/>
      <c r="P25" s="1161"/>
      <c r="Q25" s="1161"/>
      <c r="R25" s="1161"/>
      <c r="S25" s="1161"/>
      <c r="T25" s="1161"/>
      <c r="U25" s="1161"/>
      <c r="V25" s="1161"/>
      <c r="W25" s="1161"/>
      <c r="X25" s="1161"/>
      <c r="Y25" s="1161"/>
      <c r="Z25" s="1161"/>
      <c r="AA25" s="1161"/>
      <c r="AB25" s="1161"/>
      <c r="AC25" s="1161"/>
      <c r="AD25" s="1161"/>
      <c r="AE25" s="1161"/>
      <c r="AF25" s="1161"/>
      <c r="AG25" s="1161"/>
      <c r="AH25" s="1161"/>
      <c r="AI25" s="1882"/>
      <c r="AJ25" s="1882"/>
      <c r="AL25" s="1882"/>
      <c r="AM25" s="1882"/>
      <c r="AN25" s="1882"/>
      <c r="AO25" s="1882"/>
      <c r="AP25" s="1882"/>
      <c r="AQ25" s="1882"/>
      <c r="AR25" s="1882"/>
      <c r="AS25" s="1882"/>
      <c r="AT25" s="85"/>
      <c r="AU25" s="1882"/>
      <c r="AV25" s="1882"/>
      <c r="AW25" s="1882"/>
      <c r="AX25" s="1882"/>
      <c r="AY25" s="1882"/>
      <c r="AZ25" s="1882"/>
      <c r="BA25" s="1882"/>
      <c r="BB25" s="1882"/>
      <c r="BC25" s="1882"/>
      <c r="BD25" s="1882"/>
      <c r="BE25" s="1882"/>
      <c r="BF25" s="1882"/>
      <c r="BG25" s="1882"/>
      <c r="BH25" s="1882"/>
      <c r="BI25" s="1882"/>
      <c r="BJ25" s="1882"/>
      <c r="BK25" s="1882"/>
      <c r="BM25" s="1882"/>
      <c r="BN25" s="2762"/>
      <c r="BO25" s="2766"/>
      <c r="BP25" s="2766"/>
      <c r="BQ25" s="2767"/>
      <c r="BR25" s="2363"/>
      <c r="BS25" s="2363"/>
      <c r="BT25" s="2363"/>
      <c r="BU25" s="2363"/>
      <c r="BV25" s="2363"/>
      <c r="BW25" s="2363"/>
      <c r="BX25" s="2363"/>
      <c r="BY25" s="2363"/>
      <c r="BZ25" s="2363"/>
      <c r="CA25" s="2363"/>
      <c r="CB25" s="2363"/>
      <c r="CC25" s="2363"/>
      <c r="CD25" s="2363"/>
      <c r="CE25" s="2363"/>
      <c r="CF25" s="2363"/>
      <c r="CG25" s="2363"/>
      <c r="CH25" s="2363"/>
      <c r="CI25" s="2363"/>
      <c r="CJ25" s="2363"/>
      <c r="CK25" s="2363"/>
      <c r="CL25" s="2363"/>
      <c r="CM25" s="2363"/>
      <c r="CN25" s="2363"/>
      <c r="CO25" s="2363"/>
      <c r="CP25" s="2363"/>
      <c r="CQ25" s="2363"/>
      <c r="CR25" s="2363"/>
    </row>
    <row r="26" spans="1:96" ht="27.5" thickBot="1">
      <c r="A26" s="1161"/>
      <c r="B26" s="3006" t="s">
        <v>34</v>
      </c>
      <c r="C26" s="3007"/>
      <c r="D26" s="184" t="s">
        <v>7634</v>
      </c>
      <c r="E26" s="184" t="s">
        <v>2308</v>
      </c>
      <c r="F26" s="185" t="s">
        <v>37</v>
      </c>
      <c r="G26" s="1448" t="s">
        <v>156</v>
      </c>
      <c r="H26" s="1161"/>
      <c r="I26" s="1161"/>
      <c r="J26" s="1161"/>
      <c r="K26" s="1161"/>
      <c r="L26" s="1161"/>
      <c r="M26" s="1161"/>
      <c r="N26" s="1161"/>
      <c r="O26" s="1161"/>
      <c r="P26" s="1161"/>
      <c r="Q26" s="1161"/>
      <c r="R26" s="1161"/>
      <c r="S26" s="1161"/>
      <c r="T26" s="1161"/>
      <c r="U26" s="1161"/>
      <c r="V26" s="1161"/>
      <c r="W26" s="1161"/>
      <c r="X26" s="1161"/>
      <c r="Y26" s="1161"/>
      <c r="Z26" s="1161"/>
      <c r="AA26" s="1161"/>
      <c r="AB26" s="1161"/>
      <c r="AC26" s="1161"/>
      <c r="AD26" s="1161"/>
      <c r="AE26" s="1161"/>
      <c r="AF26" s="1161"/>
      <c r="AG26" s="1161"/>
      <c r="AH26" s="1161"/>
      <c r="AI26" s="1882"/>
      <c r="AJ26" s="1882"/>
      <c r="AL26" s="1882"/>
      <c r="AM26" s="1882"/>
      <c r="AN26" s="1882"/>
      <c r="AO26" s="1882"/>
      <c r="AP26" s="1882"/>
      <c r="AQ26" s="1882"/>
      <c r="AR26" s="1882"/>
      <c r="AS26" s="1882"/>
      <c r="AT26" s="1882"/>
      <c r="AU26" s="1882"/>
      <c r="AV26" s="1882"/>
      <c r="AW26" s="1882"/>
      <c r="AX26" s="1882"/>
      <c r="AY26" s="1882"/>
      <c r="AZ26" s="1882"/>
      <c r="BA26" s="1882"/>
      <c r="BB26" s="1882"/>
      <c r="BC26" s="1882"/>
      <c r="BD26" s="1882"/>
      <c r="BE26" s="1882"/>
      <c r="BF26" s="1882"/>
      <c r="BG26" s="1882"/>
      <c r="BH26" s="1882"/>
      <c r="BI26" s="1882"/>
      <c r="BJ26" s="1882"/>
      <c r="BK26" s="1882"/>
      <c r="BM26" s="1882"/>
      <c r="BN26" s="3006" t="s">
        <v>34</v>
      </c>
      <c r="BO26" s="3007"/>
      <c r="BP26" s="184" t="s">
        <v>7634</v>
      </c>
      <c r="BQ26" s="184" t="s">
        <v>2308</v>
      </c>
      <c r="BR26" s="185" t="s">
        <v>37</v>
      </c>
      <c r="BS26" s="1448" t="s">
        <v>156</v>
      </c>
      <c r="BT26" s="2363"/>
      <c r="BU26" s="2363"/>
      <c r="BV26" s="2363"/>
      <c r="BW26" s="2363"/>
      <c r="BX26" s="2363"/>
      <c r="BY26" s="2363"/>
      <c r="BZ26" s="2363"/>
      <c r="CA26" s="2363"/>
      <c r="CB26" s="2363"/>
      <c r="CC26" s="2363"/>
      <c r="CD26" s="2363"/>
      <c r="CE26" s="2363"/>
      <c r="CF26" s="2363"/>
      <c r="CG26" s="2363"/>
      <c r="CH26" s="2363"/>
      <c r="CI26" s="2363"/>
      <c r="CJ26" s="2363"/>
      <c r="CK26" s="2363"/>
      <c r="CL26" s="2363"/>
      <c r="CM26" s="2363"/>
      <c r="CN26" s="2363"/>
      <c r="CO26" s="2363"/>
      <c r="CP26" s="2363"/>
      <c r="CQ26" s="2363"/>
      <c r="CR26" s="2363"/>
    </row>
    <row r="27" spans="1:96" ht="16.5" thickBot="1">
      <c r="A27" s="1161"/>
      <c r="B27" s="1228"/>
      <c r="C27" s="1096"/>
      <c r="D27" s="1096"/>
      <c r="E27" s="1230"/>
      <c r="F27" s="1161"/>
      <c r="G27" s="1247"/>
      <c r="H27" s="1161"/>
      <c r="I27" s="1161"/>
      <c r="J27" s="1161"/>
      <c r="K27" s="1161"/>
      <c r="L27" s="1161"/>
      <c r="M27" s="1161"/>
      <c r="N27" s="1161"/>
      <c r="O27" s="1161"/>
      <c r="P27" s="1161"/>
      <c r="Q27" s="1161"/>
      <c r="R27" s="1161"/>
      <c r="S27" s="1161"/>
      <c r="T27" s="1161"/>
      <c r="U27" s="1161"/>
      <c r="V27" s="1161"/>
      <c r="W27" s="1161"/>
      <c r="X27" s="1161"/>
      <c r="Y27" s="1161"/>
      <c r="Z27" s="1161"/>
      <c r="AA27" s="1161"/>
      <c r="AB27" s="1161"/>
      <c r="AC27" s="1161"/>
      <c r="AD27" s="1161"/>
      <c r="AE27" s="1161"/>
      <c r="AF27" s="1161"/>
      <c r="AG27" s="1161"/>
      <c r="AH27" s="1161"/>
      <c r="AI27" s="1882"/>
      <c r="AJ27" s="1882"/>
      <c r="AL27" s="1882"/>
      <c r="AM27" s="1882"/>
      <c r="AN27" s="1882"/>
      <c r="AO27" s="1882"/>
      <c r="AP27" s="1882"/>
      <c r="AQ27" s="1882"/>
      <c r="AR27" s="1882"/>
      <c r="AS27" s="1882"/>
      <c r="AT27" s="1882"/>
      <c r="AU27" s="1882"/>
      <c r="AV27" s="1882"/>
      <c r="AW27" s="1882"/>
      <c r="AX27" s="1882"/>
      <c r="AY27" s="1882"/>
      <c r="AZ27" s="1882"/>
      <c r="BA27" s="1882"/>
      <c r="BB27" s="1882"/>
      <c r="BC27" s="1882"/>
      <c r="BD27" s="1882"/>
      <c r="BE27" s="1882"/>
      <c r="BF27" s="1882"/>
      <c r="BG27" s="1882"/>
      <c r="BH27" s="1882"/>
      <c r="BI27" s="1882"/>
      <c r="BJ27" s="1882"/>
      <c r="BK27" s="1882"/>
      <c r="BM27" s="1882"/>
      <c r="BN27" s="2762"/>
      <c r="BO27" s="2766"/>
      <c r="BP27" s="2766"/>
      <c r="BQ27" s="2767"/>
      <c r="BR27" s="2363"/>
      <c r="BS27" s="1247"/>
      <c r="BT27" s="2363"/>
      <c r="BU27" s="2363"/>
      <c r="BV27" s="2363"/>
      <c r="BW27" s="2363"/>
      <c r="BX27" s="2363"/>
      <c r="BY27" s="2363"/>
      <c r="BZ27" s="2363"/>
      <c r="CA27" s="2363"/>
      <c r="CB27" s="2363"/>
      <c r="CC27" s="2363"/>
      <c r="CD27" s="2363"/>
      <c r="CE27" s="2363"/>
      <c r="CF27" s="2363"/>
      <c r="CG27" s="2363"/>
      <c r="CH27" s="2363"/>
      <c r="CI27" s="2363"/>
      <c r="CJ27" s="2363"/>
      <c r="CK27" s="2363"/>
      <c r="CL27" s="2363"/>
      <c r="CM27" s="2363"/>
      <c r="CN27" s="2363"/>
      <c r="CO27" s="2363"/>
      <c r="CP27" s="2363"/>
      <c r="CQ27" s="2363"/>
      <c r="CR27" s="2363"/>
    </row>
    <row r="28" spans="1:96" ht="16.5" thickBot="1">
      <c r="A28" s="1161"/>
      <c r="B28" s="113" t="s">
        <v>333</v>
      </c>
      <c r="C28" s="114" t="s">
        <v>7635</v>
      </c>
      <c r="D28" s="1096"/>
      <c r="E28" s="1230"/>
      <c r="F28" s="1161"/>
      <c r="G28" s="1247"/>
      <c r="H28" s="1161"/>
      <c r="I28" s="1161"/>
      <c r="J28" s="1161"/>
      <c r="K28" s="1161"/>
      <c r="L28" s="1161"/>
      <c r="M28" s="1161"/>
      <c r="N28" s="1161"/>
      <c r="O28" s="1161"/>
      <c r="P28" s="1161"/>
      <c r="Q28" s="1161"/>
      <c r="R28" s="1161"/>
      <c r="S28" s="1161"/>
      <c r="T28" s="1161"/>
      <c r="U28" s="1161"/>
      <c r="V28" s="1161"/>
      <c r="W28" s="1161"/>
      <c r="X28" s="1161"/>
      <c r="Y28" s="1161"/>
      <c r="Z28" s="1161"/>
      <c r="AA28" s="1161"/>
      <c r="AB28" s="1161"/>
      <c r="AC28" s="1161"/>
      <c r="AD28" s="1161"/>
      <c r="AE28" s="1161"/>
      <c r="AF28" s="1161"/>
      <c r="AG28" s="1161"/>
      <c r="AH28" s="1161"/>
      <c r="AI28" s="1882"/>
      <c r="AJ28" s="1882"/>
      <c r="AL28" s="1882"/>
      <c r="AM28" s="1882"/>
      <c r="AN28" s="1882"/>
      <c r="AO28" s="1882"/>
      <c r="AP28" s="1882"/>
      <c r="AQ28" s="1882"/>
      <c r="AR28" s="1882"/>
      <c r="AS28" s="1882"/>
      <c r="AT28" s="1882"/>
      <c r="AU28" s="1882"/>
      <c r="AV28" s="1882"/>
      <c r="AW28" s="1882"/>
      <c r="AX28" s="1882"/>
      <c r="AY28" s="1882"/>
      <c r="AZ28" s="1882"/>
      <c r="BA28" s="1882"/>
      <c r="BB28" s="1882"/>
      <c r="BC28" s="1882"/>
      <c r="BD28" s="1882"/>
      <c r="BE28" s="1882"/>
      <c r="BF28" s="1882"/>
      <c r="BG28" s="1882"/>
      <c r="BH28" s="1882"/>
      <c r="BI28" s="1882"/>
      <c r="BJ28" s="1882"/>
      <c r="BK28" s="1882"/>
      <c r="BM28" s="1882"/>
      <c r="BN28" s="113" t="s">
        <v>333</v>
      </c>
      <c r="BO28" s="114" t="s">
        <v>7635</v>
      </c>
      <c r="BP28" s="2766"/>
      <c r="BQ28" s="2767"/>
      <c r="BR28" s="2363"/>
      <c r="BS28" s="1247"/>
      <c r="BT28" s="2363"/>
      <c r="BU28" s="2363"/>
      <c r="BV28" s="2363"/>
      <c r="BW28" s="2363"/>
      <c r="BX28" s="2363"/>
      <c r="BY28" s="2363"/>
      <c r="BZ28" s="2363"/>
      <c r="CA28" s="2363"/>
      <c r="CB28" s="2363"/>
      <c r="CC28" s="2363"/>
      <c r="CD28" s="2363"/>
      <c r="CE28" s="2363"/>
      <c r="CF28" s="2363"/>
      <c r="CG28" s="2363"/>
      <c r="CH28" s="2363"/>
      <c r="CI28" s="2363"/>
      <c r="CJ28" s="2363"/>
      <c r="CK28" s="2363"/>
      <c r="CL28" s="2363"/>
      <c r="CM28" s="2363"/>
      <c r="CN28" s="2363"/>
      <c r="CO28" s="2363"/>
      <c r="CP28" s="2363"/>
      <c r="CQ28" s="2363"/>
      <c r="CR28" s="2363"/>
    </row>
    <row r="29" spans="1:96" ht="16">
      <c r="A29" s="1226"/>
      <c r="B29" s="86" t="s">
        <v>7636</v>
      </c>
      <c r="C29" s="117" t="s">
        <v>7637</v>
      </c>
      <c r="D29" s="88"/>
      <c r="E29" s="1919" t="s">
        <v>6084</v>
      </c>
      <c r="F29" s="89">
        <v>3</v>
      </c>
      <c r="G29" s="1248"/>
      <c r="H29" s="1161"/>
      <c r="I29" s="1161"/>
      <c r="J29" s="1161"/>
      <c r="K29" s="1161"/>
      <c r="L29" s="1161"/>
      <c r="M29" s="1161"/>
      <c r="N29" s="1161"/>
      <c r="O29" s="1161"/>
      <c r="P29" s="1161"/>
      <c r="Q29" s="1161"/>
      <c r="R29" s="1161"/>
      <c r="S29" s="1161"/>
      <c r="T29" s="1161"/>
      <c r="U29" s="1161"/>
      <c r="V29" s="1161"/>
      <c r="W29" s="1161"/>
      <c r="X29" s="1161"/>
      <c r="Y29" s="1161"/>
      <c r="Z29" s="1161"/>
      <c r="AA29" s="1161"/>
      <c r="AB29" s="1161"/>
      <c r="AC29" s="1161"/>
      <c r="AD29" s="1161"/>
      <c r="AE29" s="1161"/>
      <c r="AF29" s="1161"/>
      <c r="AG29" s="1094"/>
      <c r="AH29" s="1161"/>
      <c r="AI29" s="868">
        <f t="shared" ref="AI29:AI38" si="14" xml:space="preserve"> IF( SUM( AK29:BL29 ) = 0, 0, $AL$5 )</f>
        <v>0</v>
      </c>
      <c r="AJ29" s="192"/>
      <c r="AK29" s="71"/>
      <c r="AL29" s="93">
        <f>IF(Validation!$H$3=1,0,IF(ISNUMBER(G29),0,1))</f>
        <v>0</v>
      </c>
      <c r="AM29" s="1882"/>
      <c r="AN29" s="1882"/>
      <c r="AO29" s="1882"/>
      <c r="AP29" s="1882"/>
      <c r="AQ29" s="1882"/>
      <c r="AR29" s="1882"/>
      <c r="AS29" s="1882"/>
      <c r="AT29" s="1882"/>
      <c r="AU29" s="1882"/>
      <c r="AV29" s="1882"/>
      <c r="AW29" s="1882"/>
      <c r="AX29" s="1882"/>
      <c r="AY29" s="1882"/>
      <c r="AZ29" s="1882"/>
      <c r="BA29" s="1882"/>
      <c r="BB29" s="1882"/>
      <c r="BC29" s="1882"/>
      <c r="BD29" s="1882"/>
      <c r="BE29" s="1882"/>
      <c r="BF29" s="1882"/>
      <c r="BG29" s="1882"/>
      <c r="BH29" s="1882"/>
      <c r="BI29" s="1882"/>
      <c r="BJ29" s="1882"/>
      <c r="BK29" s="1882"/>
      <c r="BL29" s="71"/>
      <c r="BM29" s="1882"/>
      <c r="BN29" s="86" t="s">
        <v>7636</v>
      </c>
      <c r="BO29" s="117" t="s">
        <v>7637</v>
      </c>
      <c r="BP29" s="88" t="s">
        <v>7638</v>
      </c>
      <c r="BQ29" s="88" t="s">
        <v>6084</v>
      </c>
      <c r="BR29" s="89">
        <v>3</v>
      </c>
      <c r="BS29" s="2778"/>
      <c r="BT29" s="2363"/>
      <c r="BU29" s="2363"/>
      <c r="BV29" s="2363"/>
      <c r="BW29" s="2363"/>
      <c r="BX29" s="2363"/>
      <c r="BY29" s="2363"/>
      <c r="BZ29" s="2363"/>
      <c r="CA29" s="2363"/>
      <c r="CB29" s="2363"/>
      <c r="CC29" s="2363"/>
      <c r="CD29" s="2363"/>
      <c r="CE29" s="2363"/>
      <c r="CF29" s="2363"/>
      <c r="CG29" s="2363"/>
      <c r="CH29" s="2363"/>
      <c r="CI29" s="2363"/>
      <c r="CJ29" s="2363"/>
      <c r="CK29" s="2363"/>
      <c r="CL29" s="2363"/>
      <c r="CM29" s="2363"/>
      <c r="CN29" s="2363"/>
      <c r="CO29" s="2363"/>
      <c r="CP29" s="2363"/>
      <c r="CQ29" s="2363"/>
      <c r="CR29" s="2363"/>
    </row>
    <row r="30" spans="1:96" ht="16">
      <c r="A30" s="1226"/>
      <c r="B30" s="94" t="s">
        <v>7639</v>
      </c>
      <c r="C30" s="87" t="s">
        <v>7640</v>
      </c>
      <c r="D30" s="95"/>
      <c r="E30" s="95" t="s">
        <v>2465</v>
      </c>
      <c r="F30" s="96">
        <v>3</v>
      </c>
      <c r="G30" s="1249"/>
      <c r="H30" s="1161"/>
      <c r="I30" s="1161"/>
      <c r="J30" s="1161"/>
      <c r="K30" s="1161"/>
      <c r="L30" s="1161"/>
      <c r="M30" s="1161"/>
      <c r="N30" s="1161"/>
      <c r="O30" s="1161"/>
      <c r="P30" s="1161"/>
      <c r="Q30" s="1161"/>
      <c r="R30" s="1161"/>
      <c r="S30" s="1161"/>
      <c r="T30" s="1161"/>
      <c r="U30" s="1161"/>
      <c r="V30" s="1161"/>
      <c r="W30" s="1161"/>
      <c r="X30" s="1161"/>
      <c r="Y30" s="1161"/>
      <c r="Z30" s="1161"/>
      <c r="AA30" s="1161"/>
      <c r="AB30" s="1161"/>
      <c r="AC30" s="1161"/>
      <c r="AD30" s="1161"/>
      <c r="AE30" s="1161"/>
      <c r="AF30" s="1161"/>
      <c r="AG30" s="1095"/>
      <c r="AH30" s="1161"/>
      <c r="AI30" s="868">
        <f t="shared" si="14"/>
        <v>0</v>
      </c>
      <c r="AJ30" s="192"/>
      <c r="AK30" s="71"/>
      <c r="AL30" s="93">
        <f>IF(Validation!$H$3=1,0,IF(ISNUMBER(G30),0,1))</f>
        <v>0</v>
      </c>
      <c r="AM30" s="1882"/>
      <c r="AN30" s="1882"/>
      <c r="AO30" s="1882"/>
      <c r="AP30" s="1882"/>
      <c r="AQ30" s="1882"/>
      <c r="AR30" s="1882"/>
      <c r="AS30" s="1882"/>
      <c r="AT30" s="1882"/>
      <c r="AU30" s="1882"/>
      <c r="AV30" s="1882"/>
      <c r="AW30" s="1882"/>
      <c r="AX30" s="1882"/>
      <c r="AY30" s="1882"/>
      <c r="AZ30" s="1882"/>
      <c r="BA30" s="1882"/>
      <c r="BB30" s="1882"/>
      <c r="BC30" s="1882"/>
      <c r="BD30" s="1882"/>
      <c r="BE30" s="1882"/>
      <c r="BF30" s="1882"/>
      <c r="BG30" s="1882"/>
      <c r="BH30" s="1882"/>
      <c r="BI30" s="1882"/>
      <c r="BJ30" s="1882"/>
      <c r="BK30" s="1882"/>
      <c r="BL30" s="71"/>
      <c r="BM30" s="1882"/>
      <c r="BN30" s="94" t="s">
        <v>7639</v>
      </c>
      <c r="BO30" s="87" t="s">
        <v>7640</v>
      </c>
      <c r="BP30" s="95" t="s">
        <v>7641</v>
      </c>
      <c r="BQ30" s="95" t="s">
        <v>2465</v>
      </c>
      <c r="BR30" s="96">
        <v>3</v>
      </c>
      <c r="BS30" s="2779"/>
      <c r="BT30" s="2363"/>
      <c r="BU30" s="2363"/>
      <c r="BV30" s="2363"/>
      <c r="BW30" s="2363"/>
      <c r="BX30" s="2363"/>
      <c r="BY30" s="2363"/>
      <c r="BZ30" s="2363"/>
      <c r="CA30" s="2363"/>
      <c r="CB30" s="2363"/>
      <c r="CC30" s="2363"/>
      <c r="CD30" s="2363"/>
      <c r="CE30" s="2363"/>
      <c r="CF30" s="2363"/>
      <c r="CG30" s="2363"/>
      <c r="CH30" s="2363"/>
      <c r="CI30" s="2363"/>
      <c r="CJ30" s="2363"/>
      <c r="CK30" s="2363"/>
      <c r="CL30" s="2363"/>
      <c r="CM30" s="2363"/>
      <c r="CN30" s="2363"/>
      <c r="CO30" s="2363"/>
      <c r="CP30" s="2363"/>
      <c r="CQ30" s="2363"/>
      <c r="CR30" s="2363"/>
    </row>
    <row r="31" spans="1:96" ht="16">
      <c r="A31" s="1226"/>
      <c r="B31" s="94" t="s">
        <v>7642</v>
      </c>
      <c r="C31" s="87" t="s">
        <v>7643</v>
      </c>
      <c r="D31" s="95"/>
      <c r="E31" s="95" t="s">
        <v>2465</v>
      </c>
      <c r="F31" s="96">
        <v>3</v>
      </c>
      <c r="G31" s="1249"/>
      <c r="H31" s="1161"/>
      <c r="I31" s="1161"/>
      <c r="J31" s="1161"/>
      <c r="K31" s="1161"/>
      <c r="L31" s="1161"/>
      <c r="M31" s="1161"/>
      <c r="N31" s="1161"/>
      <c r="O31" s="1161"/>
      <c r="P31" s="1161"/>
      <c r="Q31" s="1161"/>
      <c r="R31" s="1161"/>
      <c r="S31" s="1161"/>
      <c r="T31" s="1161"/>
      <c r="U31" s="1161"/>
      <c r="V31" s="1161"/>
      <c r="W31" s="1161"/>
      <c r="X31" s="1161"/>
      <c r="Y31" s="1161"/>
      <c r="Z31" s="1161"/>
      <c r="AA31" s="1161"/>
      <c r="AB31" s="1161"/>
      <c r="AC31" s="1161"/>
      <c r="AD31" s="1161"/>
      <c r="AE31" s="1161"/>
      <c r="AF31" s="1161"/>
      <c r="AG31" s="1095"/>
      <c r="AH31" s="1161"/>
      <c r="AI31" s="868">
        <f t="shared" si="14"/>
        <v>0</v>
      </c>
      <c r="AJ31" s="192"/>
      <c r="AK31" s="71"/>
      <c r="AL31" s="93">
        <f>IF(Validation!$H$3=1,0,IF(ISNUMBER(G31),0,1))</f>
        <v>0</v>
      </c>
      <c r="AM31" s="1882"/>
      <c r="AN31" s="1882"/>
      <c r="AO31" s="1882"/>
      <c r="AP31" s="1882"/>
      <c r="AQ31" s="1882"/>
      <c r="AR31" s="1882"/>
      <c r="AS31" s="1882"/>
      <c r="AT31" s="1882"/>
      <c r="AU31" s="1882"/>
      <c r="AV31" s="1882"/>
      <c r="AW31" s="1882"/>
      <c r="AX31" s="1882"/>
      <c r="AY31" s="1882"/>
      <c r="AZ31" s="1882"/>
      <c r="BA31" s="1882"/>
      <c r="BB31" s="1882"/>
      <c r="BC31" s="1882"/>
      <c r="BD31" s="1882"/>
      <c r="BE31" s="1882"/>
      <c r="BF31" s="1882"/>
      <c r="BG31" s="1882"/>
      <c r="BH31" s="1882"/>
      <c r="BI31" s="1882"/>
      <c r="BJ31" s="1882"/>
      <c r="BK31" s="1882"/>
      <c r="BL31" s="71"/>
      <c r="BM31" s="1882"/>
      <c r="BN31" s="94" t="s">
        <v>7642</v>
      </c>
      <c r="BO31" s="87" t="s">
        <v>7643</v>
      </c>
      <c r="BP31" s="95" t="s">
        <v>7644</v>
      </c>
      <c r="BQ31" s="95" t="s">
        <v>2465</v>
      </c>
      <c r="BR31" s="96">
        <v>3</v>
      </c>
      <c r="BS31" s="2779"/>
      <c r="BT31" s="2363"/>
      <c r="BU31" s="2363"/>
      <c r="BV31" s="2363"/>
      <c r="BW31" s="2363"/>
      <c r="BX31" s="2363"/>
      <c r="BY31" s="2363"/>
      <c r="BZ31" s="2363"/>
      <c r="CA31" s="2363"/>
      <c r="CB31" s="2363"/>
      <c r="CC31" s="2363"/>
      <c r="CD31" s="2363"/>
      <c r="CE31" s="2363"/>
      <c r="CF31" s="2363"/>
      <c r="CG31" s="2363"/>
      <c r="CH31" s="2363"/>
      <c r="CI31" s="2363"/>
      <c r="CJ31" s="2363"/>
      <c r="CK31" s="2363"/>
      <c r="CL31" s="2363"/>
      <c r="CM31" s="2363"/>
      <c r="CN31" s="2363"/>
      <c r="CO31" s="2363"/>
      <c r="CP31" s="2363"/>
      <c r="CQ31" s="2363"/>
      <c r="CR31" s="2363"/>
    </row>
    <row r="32" spans="1:96" ht="16">
      <c r="A32" s="1226"/>
      <c r="B32" s="94" t="s">
        <v>7645</v>
      </c>
      <c r="C32" s="87" t="s">
        <v>7646</v>
      </c>
      <c r="D32" s="95"/>
      <c r="E32" s="95" t="s">
        <v>2465</v>
      </c>
      <c r="F32" s="96">
        <v>3</v>
      </c>
      <c r="G32" s="1249"/>
      <c r="H32" s="1161"/>
      <c r="I32" s="1161"/>
      <c r="J32" s="1161"/>
      <c r="K32" s="1161"/>
      <c r="L32" s="1161"/>
      <c r="M32" s="1161"/>
      <c r="N32" s="1161"/>
      <c r="O32" s="1161"/>
      <c r="P32" s="1161"/>
      <c r="Q32" s="1161"/>
      <c r="R32" s="1161"/>
      <c r="S32" s="1161"/>
      <c r="T32" s="1161"/>
      <c r="U32" s="1161"/>
      <c r="V32" s="1161"/>
      <c r="W32" s="1161"/>
      <c r="X32" s="1161"/>
      <c r="Y32" s="1161"/>
      <c r="Z32" s="1161"/>
      <c r="AA32" s="1161"/>
      <c r="AB32" s="1161"/>
      <c r="AC32" s="1161"/>
      <c r="AD32" s="1161"/>
      <c r="AE32" s="1161"/>
      <c r="AF32" s="1161"/>
      <c r="AG32" s="1095"/>
      <c r="AH32" s="1161"/>
      <c r="AI32" s="868">
        <f t="shared" si="14"/>
        <v>0</v>
      </c>
      <c r="AJ32" s="192"/>
      <c r="AK32" s="71"/>
      <c r="AL32" s="93">
        <f>IF(Validation!$H$3=1,0,IF(ISNUMBER(G32),0,1))</f>
        <v>0</v>
      </c>
      <c r="AM32" s="1882"/>
      <c r="AN32" s="1882"/>
      <c r="AO32" s="1882"/>
      <c r="AP32" s="1882"/>
      <c r="AQ32" s="1882"/>
      <c r="AR32" s="1882"/>
      <c r="AS32" s="1882"/>
      <c r="AT32" s="1882"/>
      <c r="AU32" s="1882"/>
      <c r="AV32" s="1882"/>
      <c r="AW32" s="1882"/>
      <c r="AX32" s="1882"/>
      <c r="AY32" s="1882"/>
      <c r="AZ32" s="1882"/>
      <c r="BA32" s="1882"/>
      <c r="BB32" s="1882"/>
      <c r="BC32" s="1882"/>
      <c r="BD32" s="1882"/>
      <c r="BE32" s="1882"/>
      <c r="BF32" s="1882"/>
      <c r="BG32" s="1882"/>
      <c r="BH32" s="1882"/>
      <c r="BI32" s="1882"/>
      <c r="BJ32" s="1882"/>
      <c r="BK32" s="1882"/>
      <c r="BL32" s="71"/>
      <c r="BM32" s="1882"/>
      <c r="BN32" s="94" t="s">
        <v>7645</v>
      </c>
      <c r="BO32" s="87" t="s">
        <v>7646</v>
      </c>
      <c r="BP32" s="95" t="s">
        <v>7647</v>
      </c>
      <c r="BQ32" s="95" t="s">
        <v>2465</v>
      </c>
      <c r="BR32" s="96">
        <v>3</v>
      </c>
      <c r="BS32" s="2779"/>
      <c r="BT32" s="2363"/>
      <c r="BU32" s="2363"/>
      <c r="BV32" s="2363"/>
      <c r="BW32" s="2363"/>
      <c r="BX32" s="2363"/>
      <c r="BY32" s="2363"/>
      <c r="BZ32" s="2363"/>
      <c r="CA32" s="2363"/>
      <c r="CB32" s="2363"/>
      <c r="CC32" s="2363"/>
      <c r="CD32" s="2363"/>
      <c r="CE32" s="2363"/>
      <c r="CF32" s="2363"/>
      <c r="CG32" s="2363"/>
      <c r="CH32" s="2363"/>
      <c r="CI32" s="2363"/>
      <c r="CJ32" s="2363"/>
      <c r="CK32" s="2363"/>
      <c r="CL32" s="2363"/>
      <c r="CM32" s="2363"/>
      <c r="CN32" s="2363"/>
      <c r="CO32" s="2363"/>
      <c r="CP32" s="2363"/>
      <c r="CQ32" s="2363"/>
      <c r="CR32" s="2363"/>
    </row>
    <row r="33" spans="1:96" ht="16">
      <c r="A33" s="1226"/>
      <c r="B33" s="94" t="s">
        <v>7648</v>
      </c>
      <c r="C33" s="884" t="s">
        <v>7649</v>
      </c>
      <c r="D33" s="1239"/>
      <c r="E33" s="1239" t="s">
        <v>2465</v>
      </c>
      <c r="F33" s="1240">
        <v>3</v>
      </c>
      <c r="G33" s="1249"/>
      <c r="H33" s="1161"/>
      <c r="I33" s="1161"/>
      <c r="J33" s="1161"/>
      <c r="K33" s="1161"/>
      <c r="L33" s="1161"/>
      <c r="M33" s="1161"/>
      <c r="N33" s="1161"/>
      <c r="O33" s="1161"/>
      <c r="P33" s="1161"/>
      <c r="Q33" s="1161"/>
      <c r="R33" s="1161"/>
      <c r="S33" s="1161"/>
      <c r="T33" s="1161"/>
      <c r="U33" s="1161"/>
      <c r="V33" s="1161"/>
      <c r="W33" s="1161"/>
      <c r="X33" s="1161"/>
      <c r="Y33" s="1161"/>
      <c r="Z33" s="1161"/>
      <c r="AA33" s="1161"/>
      <c r="AB33" s="1161"/>
      <c r="AC33" s="1161"/>
      <c r="AD33" s="1161"/>
      <c r="AE33" s="1161"/>
      <c r="AF33" s="1161"/>
      <c r="AG33" s="1095"/>
      <c r="AH33" s="1161"/>
      <c r="AI33" s="868">
        <f t="shared" si="14"/>
        <v>0</v>
      </c>
      <c r="AJ33" s="192"/>
      <c r="AK33" s="71"/>
      <c r="AL33" s="93">
        <f>IF(Validation!$H$3=1,0,IF(ISNUMBER(G33),0,1))</f>
        <v>0</v>
      </c>
      <c r="AM33" s="1882"/>
      <c r="AN33" s="1882"/>
      <c r="AO33" s="1882"/>
      <c r="AP33" s="1882"/>
      <c r="AQ33" s="1882"/>
      <c r="AR33" s="1882"/>
      <c r="AS33" s="1882"/>
      <c r="AT33" s="1882"/>
      <c r="AU33" s="1882"/>
      <c r="AV33" s="1882"/>
      <c r="AW33" s="1882"/>
      <c r="AX33" s="1882"/>
      <c r="AY33" s="1882"/>
      <c r="AZ33" s="1882"/>
      <c r="BA33" s="1882"/>
      <c r="BB33" s="1882"/>
      <c r="BC33" s="1882"/>
      <c r="BD33" s="1882"/>
      <c r="BE33" s="1882"/>
      <c r="BF33" s="1882"/>
      <c r="BG33" s="1882"/>
      <c r="BH33" s="1882"/>
      <c r="BI33" s="1882"/>
      <c r="BJ33" s="1882"/>
      <c r="BK33" s="1882"/>
      <c r="BL33" s="71"/>
      <c r="BM33" s="1882"/>
      <c r="BN33" s="94" t="s">
        <v>7648</v>
      </c>
      <c r="BO33" s="884" t="s">
        <v>7649</v>
      </c>
      <c r="BP33" s="1239" t="s">
        <v>7650</v>
      </c>
      <c r="BQ33" s="1239" t="s">
        <v>2465</v>
      </c>
      <c r="BR33" s="1240">
        <v>3</v>
      </c>
      <c r="BS33" s="2779"/>
      <c r="BT33" s="2363"/>
      <c r="BU33" s="2363"/>
      <c r="BV33" s="2363"/>
      <c r="BW33" s="2363"/>
      <c r="BX33" s="2363"/>
      <c r="BY33" s="2363"/>
      <c r="BZ33" s="2363"/>
      <c r="CA33" s="2363"/>
      <c r="CB33" s="2363"/>
      <c r="CC33" s="2363"/>
      <c r="CD33" s="2363"/>
      <c r="CE33" s="2363"/>
      <c r="CF33" s="2363"/>
      <c r="CG33" s="2363"/>
      <c r="CH33" s="2363"/>
      <c r="CI33" s="2363"/>
      <c r="CJ33" s="2363"/>
      <c r="CK33" s="2363"/>
      <c r="CL33" s="2363"/>
      <c r="CM33" s="2363"/>
      <c r="CN33" s="2363"/>
      <c r="CO33" s="2363"/>
      <c r="CP33" s="2363"/>
      <c r="CQ33" s="2363"/>
      <c r="CR33" s="2363"/>
    </row>
    <row r="34" spans="1:96" ht="16">
      <c r="A34" s="1226"/>
      <c r="B34" s="94" t="s">
        <v>7651</v>
      </c>
      <c r="C34" s="87" t="s">
        <v>7652</v>
      </c>
      <c r="D34" s="95"/>
      <c r="E34" s="95" t="s">
        <v>2465</v>
      </c>
      <c r="F34" s="96">
        <v>3</v>
      </c>
      <c r="G34" s="1249"/>
      <c r="H34" s="1161"/>
      <c r="I34" s="1161"/>
      <c r="J34" s="1161"/>
      <c r="K34" s="1161"/>
      <c r="L34" s="1161"/>
      <c r="M34" s="1161"/>
      <c r="N34" s="1161"/>
      <c r="O34" s="1161"/>
      <c r="P34" s="1161"/>
      <c r="Q34" s="1161"/>
      <c r="R34" s="1161"/>
      <c r="S34" s="1161"/>
      <c r="T34" s="1161"/>
      <c r="U34" s="1161"/>
      <c r="V34" s="1161"/>
      <c r="W34" s="1161"/>
      <c r="X34" s="1161"/>
      <c r="Y34" s="1161"/>
      <c r="Z34" s="1161"/>
      <c r="AA34" s="1161"/>
      <c r="AB34" s="1161"/>
      <c r="AC34" s="1161"/>
      <c r="AD34" s="1161"/>
      <c r="AE34" s="1161"/>
      <c r="AF34" s="1161"/>
      <c r="AG34" s="1095"/>
      <c r="AH34" s="1161"/>
      <c r="AI34" s="868">
        <f t="shared" si="14"/>
        <v>0</v>
      </c>
      <c r="AJ34" s="192"/>
      <c r="AK34" s="71"/>
      <c r="AL34" s="93">
        <f>IF(Validation!$H$3=1,0,IF(ISNUMBER(G34),0,1))</f>
        <v>0</v>
      </c>
      <c r="AM34" s="1882"/>
      <c r="AN34" s="1882"/>
      <c r="AO34" s="1882"/>
      <c r="AP34" s="1882"/>
      <c r="AQ34" s="1882"/>
      <c r="AR34" s="1882"/>
      <c r="AS34" s="1882"/>
      <c r="AT34" s="1882"/>
      <c r="AU34" s="1882"/>
      <c r="AV34" s="1882"/>
      <c r="AW34" s="1882"/>
      <c r="AX34" s="1882"/>
      <c r="AY34" s="1882"/>
      <c r="AZ34" s="1882"/>
      <c r="BA34" s="1882"/>
      <c r="BB34" s="1882"/>
      <c r="BC34" s="1882"/>
      <c r="BD34" s="1882"/>
      <c r="BE34" s="1882"/>
      <c r="BF34" s="1882"/>
      <c r="BG34" s="1882"/>
      <c r="BH34" s="1882"/>
      <c r="BI34" s="1882"/>
      <c r="BJ34" s="1882"/>
      <c r="BK34" s="1882"/>
      <c r="BL34" s="71"/>
      <c r="BM34" s="1882"/>
      <c r="BN34" s="94" t="s">
        <v>7651</v>
      </c>
      <c r="BO34" s="87" t="s">
        <v>7652</v>
      </c>
      <c r="BP34" s="95" t="s">
        <v>7653</v>
      </c>
      <c r="BQ34" s="95" t="s">
        <v>2465</v>
      </c>
      <c r="BR34" s="96">
        <v>3</v>
      </c>
      <c r="BS34" s="2779"/>
      <c r="BT34" s="2363"/>
      <c r="BU34" s="2363"/>
      <c r="BV34" s="2363"/>
      <c r="BW34" s="2363"/>
      <c r="BX34" s="2363"/>
      <c r="BY34" s="2363"/>
      <c r="BZ34" s="2363"/>
      <c r="CA34" s="2363"/>
      <c r="CB34" s="2363"/>
      <c r="CC34" s="2363"/>
      <c r="CD34" s="2363"/>
      <c r="CE34" s="2363"/>
      <c r="CF34" s="2363"/>
      <c r="CG34" s="2363"/>
      <c r="CH34" s="2363"/>
      <c r="CI34" s="2363"/>
      <c r="CJ34" s="2363"/>
      <c r="CK34" s="2363"/>
      <c r="CL34" s="2363"/>
      <c r="CM34" s="2363"/>
      <c r="CN34" s="2363"/>
      <c r="CO34" s="2363"/>
      <c r="CP34" s="2363"/>
      <c r="CQ34" s="2363"/>
      <c r="CR34" s="2363"/>
    </row>
    <row r="35" spans="1:96" ht="16">
      <c r="A35" s="1226"/>
      <c r="B35" s="94" t="s">
        <v>7654</v>
      </c>
      <c r="C35" s="87" t="s">
        <v>7655</v>
      </c>
      <c r="D35" s="95"/>
      <c r="E35" s="95" t="s">
        <v>2465</v>
      </c>
      <c r="F35" s="96">
        <v>3</v>
      </c>
      <c r="G35" s="1249"/>
      <c r="H35" s="1161"/>
      <c r="I35" s="1161"/>
      <c r="J35" s="1161"/>
      <c r="K35" s="1161"/>
      <c r="L35" s="1161"/>
      <c r="M35" s="1161"/>
      <c r="N35" s="1161"/>
      <c r="O35" s="1161"/>
      <c r="P35" s="1161"/>
      <c r="Q35" s="1161"/>
      <c r="R35" s="1161"/>
      <c r="S35" s="1161"/>
      <c r="T35" s="1161"/>
      <c r="U35" s="1161"/>
      <c r="V35" s="1161"/>
      <c r="W35" s="1161"/>
      <c r="X35" s="1161"/>
      <c r="Y35" s="1161"/>
      <c r="Z35" s="1161"/>
      <c r="AA35" s="1161"/>
      <c r="AB35" s="1161"/>
      <c r="AC35" s="1161"/>
      <c r="AD35" s="1161"/>
      <c r="AE35" s="1161"/>
      <c r="AF35" s="1161"/>
      <c r="AG35" s="1095"/>
      <c r="AH35" s="1161"/>
      <c r="AI35" s="868">
        <f t="shared" si="14"/>
        <v>0</v>
      </c>
      <c r="AJ35" s="192"/>
      <c r="AK35" s="71"/>
      <c r="AL35" s="93">
        <f>IF(Validation!$H$3=1,0,IF(ISNUMBER(G35),0,1))</f>
        <v>0</v>
      </c>
      <c r="AM35" s="1882"/>
      <c r="AN35" s="1882"/>
      <c r="AO35" s="1882"/>
      <c r="AP35" s="1882"/>
      <c r="AQ35" s="1882"/>
      <c r="AR35" s="1882"/>
      <c r="AS35" s="1882"/>
      <c r="AT35" s="1882"/>
      <c r="AU35" s="1882"/>
      <c r="AV35" s="1882"/>
      <c r="AW35" s="1882"/>
      <c r="AX35" s="1882"/>
      <c r="AY35" s="1882"/>
      <c r="AZ35" s="1882"/>
      <c r="BA35" s="1882"/>
      <c r="BB35" s="1882"/>
      <c r="BC35" s="1882"/>
      <c r="BD35" s="1882"/>
      <c r="BE35" s="1882"/>
      <c r="BF35" s="1882"/>
      <c r="BG35" s="1882"/>
      <c r="BH35" s="1882"/>
      <c r="BI35" s="1882"/>
      <c r="BJ35" s="1882"/>
      <c r="BK35" s="1882"/>
      <c r="BL35" s="71"/>
      <c r="BM35" s="1882"/>
      <c r="BN35" s="94" t="s">
        <v>7654</v>
      </c>
      <c r="BO35" s="87" t="s">
        <v>7655</v>
      </c>
      <c r="BP35" s="95" t="s">
        <v>7656</v>
      </c>
      <c r="BQ35" s="95" t="s">
        <v>2465</v>
      </c>
      <c r="BR35" s="96">
        <v>3</v>
      </c>
      <c r="BS35" s="2779"/>
      <c r="BT35" s="2363"/>
      <c r="BU35" s="2363"/>
      <c r="BV35" s="2363"/>
      <c r="BW35" s="2363"/>
      <c r="BX35" s="2363"/>
      <c r="BY35" s="2363"/>
      <c r="BZ35" s="2363"/>
      <c r="CA35" s="2363"/>
      <c r="CB35" s="2363"/>
      <c r="CC35" s="2363"/>
      <c r="CD35" s="2363"/>
      <c r="CE35" s="2363"/>
      <c r="CF35" s="2363"/>
      <c r="CG35" s="2363"/>
      <c r="CH35" s="2363"/>
      <c r="CI35" s="2363"/>
      <c r="CJ35" s="2363"/>
      <c r="CK35" s="2363"/>
      <c r="CL35" s="2363"/>
      <c r="CM35" s="2363"/>
      <c r="CN35" s="2363"/>
      <c r="CO35" s="2363"/>
      <c r="CP35" s="2363"/>
      <c r="CQ35" s="2363"/>
      <c r="CR35" s="2363"/>
    </row>
    <row r="36" spans="1:96" ht="16">
      <c r="A36" s="1226"/>
      <c r="B36" s="94" t="s">
        <v>7657</v>
      </c>
      <c r="C36" s="87" t="s">
        <v>7658</v>
      </c>
      <c r="D36" s="95"/>
      <c r="E36" s="95" t="s">
        <v>2465</v>
      </c>
      <c r="F36" s="96">
        <v>3</v>
      </c>
      <c r="G36" s="1249"/>
      <c r="H36" s="1161"/>
      <c r="I36" s="1161"/>
      <c r="J36" s="1161"/>
      <c r="K36" s="1161"/>
      <c r="L36" s="1161"/>
      <c r="M36" s="1161"/>
      <c r="N36" s="1161"/>
      <c r="O36" s="1161"/>
      <c r="P36" s="1161"/>
      <c r="Q36" s="1161"/>
      <c r="R36" s="1161"/>
      <c r="S36" s="1161"/>
      <c r="T36" s="1161"/>
      <c r="U36" s="1161"/>
      <c r="V36" s="1161"/>
      <c r="W36" s="1161"/>
      <c r="X36" s="1161"/>
      <c r="Y36" s="1161"/>
      <c r="Z36" s="1161"/>
      <c r="AA36" s="1161"/>
      <c r="AB36" s="1161"/>
      <c r="AC36" s="1161"/>
      <c r="AD36" s="1161"/>
      <c r="AE36" s="1161"/>
      <c r="AF36" s="1161"/>
      <c r="AG36" s="1081"/>
      <c r="AH36" s="1161"/>
      <c r="AI36" s="868">
        <f t="shared" si="14"/>
        <v>0</v>
      </c>
      <c r="AJ36" s="192"/>
      <c r="AK36" s="71"/>
      <c r="AL36" s="93">
        <f>IF(Validation!$H$3=1,0,IF(ISNUMBER(G36),0,1))</f>
        <v>0</v>
      </c>
      <c r="AM36" s="1882"/>
      <c r="AN36" s="1882"/>
      <c r="AO36" s="1882"/>
      <c r="AP36" s="1882"/>
      <c r="AQ36" s="1882"/>
      <c r="AR36" s="1882"/>
      <c r="AS36" s="1882"/>
      <c r="AT36" s="1882"/>
      <c r="AU36" s="1882"/>
      <c r="AV36" s="1882"/>
      <c r="AW36" s="1882"/>
      <c r="AX36" s="1882"/>
      <c r="AY36" s="1882"/>
      <c r="AZ36" s="1882"/>
      <c r="BA36" s="1882"/>
      <c r="BB36" s="1882"/>
      <c r="BC36" s="1882"/>
      <c r="BD36" s="1882"/>
      <c r="BE36" s="1882"/>
      <c r="BF36" s="1882"/>
      <c r="BG36" s="1882"/>
      <c r="BH36" s="1882"/>
      <c r="BI36" s="1882"/>
      <c r="BJ36" s="1882"/>
      <c r="BK36" s="1882"/>
      <c r="BL36" s="71"/>
      <c r="BM36" s="1882"/>
      <c r="BN36" s="94" t="s">
        <v>7657</v>
      </c>
      <c r="BO36" s="87" t="s">
        <v>7658</v>
      </c>
      <c r="BP36" s="95" t="s">
        <v>7659</v>
      </c>
      <c r="BQ36" s="95" t="s">
        <v>2465</v>
      </c>
      <c r="BR36" s="96">
        <v>3</v>
      </c>
      <c r="BS36" s="2779"/>
      <c r="BT36" s="2363"/>
      <c r="BU36" s="2363"/>
      <c r="BV36" s="2363"/>
      <c r="BW36" s="2363"/>
      <c r="BX36" s="2363"/>
      <c r="BY36" s="2363"/>
      <c r="BZ36" s="2363"/>
      <c r="CA36" s="2363"/>
      <c r="CB36" s="2363"/>
      <c r="CC36" s="2363"/>
      <c r="CD36" s="2363"/>
      <c r="CE36" s="2363"/>
      <c r="CF36" s="2363"/>
      <c r="CG36" s="2363"/>
      <c r="CH36" s="2363"/>
      <c r="CI36" s="2363"/>
      <c r="CJ36" s="2363"/>
      <c r="CK36" s="2363"/>
      <c r="CL36" s="2363"/>
      <c r="CM36" s="2363"/>
      <c r="CN36" s="2363"/>
      <c r="CO36" s="2363"/>
      <c r="CP36" s="2363"/>
      <c r="CQ36" s="2363"/>
      <c r="CR36" s="2363"/>
    </row>
    <row r="37" spans="1:96" ht="16">
      <c r="A37" s="1226"/>
      <c r="B37" s="94" t="s">
        <v>7660</v>
      </c>
      <c r="C37" s="87" t="s">
        <v>7661</v>
      </c>
      <c r="D37" s="95"/>
      <c r="E37" s="95" t="s">
        <v>2465</v>
      </c>
      <c r="F37" s="96">
        <v>3</v>
      </c>
      <c r="G37" s="1249"/>
      <c r="H37" s="1161"/>
      <c r="I37" s="1161"/>
      <c r="J37" s="1161"/>
      <c r="K37" s="1161"/>
      <c r="L37" s="1161"/>
      <c r="M37" s="1161"/>
      <c r="N37" s="1161"/>
      <c r="O37" s="1161"/>
      <c r="P37" s="1161"/>
      <c r="Q37" s="1161"/>
      <c r="R37" s="1161"/>
      <c r="S37" s="1161"/>
      <c r="T37" s="1161"/>
      <c r="U37" s="1161"/>
      <c r="V37" s="1161"/>
      <c r="W37" s="1161"/>
      <c r="X37" s="1161"/>
      <c r="Y37" s="1161"/>
      <c r="Z37" s="1161"/>
      <c r="AA37" s="1161"/>
      <c r="AB37" s="1161"/>
      <c r="AC37" s="1161"/>
      <c r="AD37" s="1161"/>
      <c r="AE37" s="1161"/>
      <c r="AF37" s="1161"/>
      <c r="AG37" s="1081"/>
      <c r="AH37" s="1161"/>
      <c r="AI37" s="868">
        <f t="shared" si="14"/>
        <v>0</v>
      </c>
      <c r="AJ37" s="192"/>
      <c r="AK37" s="71"/>
      <c r="AL37" s="93">
        <f>IF(Validation!$H$3=1,0,IF(ISNUMBER(G37),0,1))</f>
        <v>0</v>
      </c>
      <c r="AM37" s="1882"/>
      <c r="AN37" s="1882"/>
      <c r="AO37" s="1882"/>
      <c r="AP37" s="1882"/>
      <c r="AQ37" s="1882"/>
      <c r="AR37" s="1882"/>
      <c r="AS37" s="1882"/>
      <c r="AT37" s="1882"/>
      <c r="AU37" s="1882"/>
      <c r="AV37" s="1882"/>
      <c r="AW37" s="1882"/>
      <c r="AX37" s="1882"/>
      <c r="AY37" s="1882"/>
      <c r="AZ37" s="1882"/>
      <c r="BA37" s="1882"/>
      <c r="BB37" s="1882"/>
      <c r="BC37" s="1882"/>
      <c r="BD37" s="1882"/>
      <c r="BE37" s="1882"/>
      <c r="BF37" s="1882"/>
      <c r="BG37" s="1882"/>
      <c r="BH37" s="1882"/>
      <c r="BI37" s="1882"/>
      <c r="BJ37" s="1882"/>
      <c r="BK37" s="1882"/>
      <c r="BL37" s="71"/>
      <c r="BM37" s="1882"/>
      <c r="BN37" s="94" t="s">
        <v>7660</v>
      </c>
      <c r="BO37" s="87" t="s">
        <v>7661</v>
      </c>
      <c r="BP37" s="95" t="s">
        <v>7662</v>
      </c>
      <c r="BQ37" s="95" t="s">
        <v>2465</v>
      </c>
      <c r="BR37" s="96">
        <v>3</v>
      </c>
      <c r="BS37" s="2779"/>
      <c r="BT37" s="2363"/>
      <c r="BU37" s="2363"/>
      <c r="BV37" s="2363"/>
      <c r="BW37" s="2363"/>
      <c r="BX37" s="2363"/>
      <c r="BY37" s="2363"/>
      <c r="BZ37" s="2363"/>
      <c r="CA37" s="2363"/>
      <c r="CB37" s="2363"/>
      <c r="CC37" s="2363"/>
      <c r="CD37" s="2363"/>
      <c r="CE37" s="2363"/>
      <c r="CF37" s="2363"/>
      <c r="CG37" s="2363"/>
      <c r="CH37" s="2363"/>
      <c r="CI37" s="2363"/>
      <c r="CJ37" s="2363"/>
      <c r="CK37" s="2363"/>
      <c r="CL37" s="2363"/>
      <c r="CM37" s="2363"/>
      <c r="CN37" s="2363"/>
      <c r="CO37" s="2363"/>
      <c r="CP37" s="2363"/>
      <c r="CQ37" s="2363"/>
      <c r="CR37" s="2363"/>
    </row>
    <row r="38" spans="1:96" ht="16.5" thickBot="1">
      <c r="A38" s="1226"/>
      <c r="B38" s="101" t="s">
        <v>7663</v>
      </c>
      <c r="C38" s="102" t="s">
        <v>7664</v>
      </c>
      <c r="D38" s="103"/>
      <c r="E38" s="103" t="s">
        <v>2465</v>
      </c>
      <c r="F38" s="100">
        <v>3</v>
      </c>
      <c r="G38" s="1250"/>
      <c r="H38" s="1161"/>
      <c r="I38" s="1161"/>
      <c r="J38" s="1161"/>
      <c r="K38" s="1161"/>
      <c r="L38" s="1161"/>
      <c r="M38" s="1161"/>
      <c r="N38" s="1161"/>
      <c r="O38" s="1161"/>
      <c r="P38" s="1161"/>
      <c r="Q38" s="1161"/>
      <c r="R38" s="1161"/>
      <c r="S38" s="1161"/>
      <c r="T38" s="1161"/>
      <c r="U38" s="1161"/>
      <c r="V38" s="1161"/>
      <c r="W38" s="1161"/>
      <c r="X38" s="1161"/>
      <c r="Y38" s="1161"/>
      <c r="Z38" s="1161"/>
      <c r="AA38" s="1161"/>
      <c r="AB38" s="1161"/>
      <c r="AC38" s="1161"/>
      <c r="AD38" s="1161"/>
      <c r="AE38" s="1161"/>
      <c r="AF38" s="1161"/>
      <c r="AG38" s="1089"/>
      <c r="AH38" s="1161"/>
      <c r="AI38" s="868">
        <f t="shared" si="14"/>
        <v>0</v>
      </c>
      <c r="AJ38" s="192"/>
      <c r="AK38" s="71"/>
      <c r="AL38" s="93">
        <f>IF(Validation!$H$3=1,0,IF(ISNUMBER(G38),0,1))</f>
        <v>0</v>
      </c>
      <c r="AM38" s="1882"/>
      <c r="AN38" s="1882"/>
      <c r="AO38" s="1882"/>
      <c r="AP38" s="1882"/>
      <c r="AQ38" s="1882"/>
      <c r="AR38" s="1882"/>
      <c r="AS38" s="1882"/>
      <c r="AT38" s="1882"/>
      <c r="AU38" s="1882"/>
      <c r="AV38" s="1882"/>
      <c r="AW38" s="1882"/>
      <c r="AX38" s="1882"/>
      <c r="AY38" s="1882"/>
      <c r="AZ38" s="1882"/>
      <c r="BA38" s="1882"/>
      <c r="BB38" s="1882"/>
      <c r="BC38" s="1882"/>
      <c r="BD38" s="1882"/>
      <c r="BE38" s="1882"/>
      <c r="BF38" s="1882"/>
      <c r="BG38" s="1882"/>
      <c r="BH38" s="1882"/>
      <c r="BI38" s="1882"/>
      <c r="BJ38" s="1882"/>
      <c r="BK38" s="1882"/>
      <c r="BL38" s="71"/>
      <c r="BM38" s="1882"/>
      <c r="BN38" s="101" t="s">
        <v>7663</v>
      </c>
      <c r="BO38" s="102" t="s">
        <v>7664</v>
      </c>
      <c r="BP38" s="103" t="s">
        <v>7665</v>
      </c>
      <c r="BQ38" s="103" t="s">
        <v>2465</v>
      </c>
      <c r="BR38" s="100">
        <v>3</v>
      </c>
      <c r="BS38" s="2780"/>
      <c r="BT38" s="2363"/>
      <c r="BU38" s="2363"/>
      <c r="BV38" s="2363"/>
      <c r="BW38" s="2363"/>
      <c r="BX38" s="2363"/>
      <c r="BY38" s="2363"/>
      <c r="BZ38" s="2363"/>
      <c r="CA38" s="2363"/>
      <c r="CB38" s="2363"/>
      <c r="CC38" s="2363"/>
      <c r="CD38" s="2363"/>
      <c r="CE38" s="2363"/>
      <c r="CF38" s="2363"/>
      <c r="CG38" s="2363"/>
      <c r="CH38" s="2363"/>
      <c r="CI38" s="2363"/>
      <c r="CJ38" s="2363"/>
      <c r="CK38" s="2363"/>
      <c r="CL38" s="2363"/>
      <c r="CM38" s="2363"/>
      <c r="CN38" s="2363"/>
      <c r="CO38" s="2363"/>
      <c r="CP38" s="2363"/>
      <c r="CQ38" s="2363"/>
      <c r="CR38" s="2363"/>
    </row>
    <row r="39" spans="1:96" ht="16">
      <c r="A39" s="1226"/>
      <c r="B39" s="1161"/>
      <c r="C39" s="1161"/>
      <c r="D39" s="1168"/>
      <c r="E39" s="1161"/>
      <c r="F39" s="1223"/>
      <c r="G39" s="1223"/>
      <c r="H39" s="1161"/>
      <c r="I39" s="1161"/>
      <c r="J39" s="1161"/>
      <c r="K39" s="1161"/>
      <c r="L39" s="1161"/>
      <c r="M39" s="1161"/>
      <c r="N39" s="1161"/>
      <c r="O39" s="1161"/>
      <c r="P39" s="1161"/>
      <c r="Q39" s="1161"/>
      <c r="R39" s="1161"/>
      <c r="S39" s="1161"/>
      <c r="T39" s="1161"/>
      <c r="U39" s="1161"/>
      <c r="V39" s="1161"/>
      <c r="W39" s="1161"/>
      <c r="X39" s="1161"/>
      <c r="Y39" s="1161"/>
      <c r="Z39" s="1161"/>
      <c r="AA39" s="1161"/>
      <c r="AB39" s="1161"/>
      <c r="AC39" s="1161"/>
      <c r="AD39" s="1161"/>
      <c r="AE39" s="1161"/>
      <c r="AF39" s="1161"/>
      <c r="AG39" s="1161"/>
      <c r="AH39" s="1161"/>
      <c r="AI39" s="1161"/>
      <c r="AJ39" s="1882"/>
      <c r="AL39" s="1882"/>
      <c r="AM39" s="1882"/>
      <c r="AN39" s="1882"/>
      <c r="AO39" s="1882"/>
      <c r="AP39" s="1882"/>
      <c r="AQ39" s="1882"/>
      <c r="AR39" s="1882"/>
      <c r="AS39" s="1882"/>
      <c r="AT39" s="1882"/>
      <c r="AU39" s="1882"/>
      <c r="AV39" s="1882"/>
      <c r="AW39" s="1882"/>
      <c r="AX39" s="1882"/>
      <c r="AY39" s="1882"/>
      <c r="AZ39" s="1882"/>
      <c r="BA39" s="1882"/>
      <c r="BB39" s="1882"/>
      <c r="BC39" s="1882"/>
      <c r="BD39" s="1882"/>
      <c r="BE39" s="1882"/>
      <c r="BF39" s="1882"/>
      <c r="BG39" s="1882"/>
      <c r="BH39" s="1882"/>
      <c r="BI39" s="1882"/>
      <c r="BJ39" s="1882"/>
      <c r="BK39" s="1882"/>
      <c r="BM39" s="1882"/>
      <c r="BN39" s="483"/>
      <c r="BO39" s="483"/>
      <c r="BP39" s="483"/>
      <c r="BQ39" s="483"/>
      <c r="BR39" s="483"/>
      <c r="BS39" s="483"/>
      <c r="BT39" s="483"/>
      <c r="BU39" s="483"/>
      <c r="BV39" s="483"/>
      <c r="BW39" s="483"/>
      <c r="BX39" s="483"/>
      <c r="BY39" s="483"/>
      <c r="BZ39" s="483"/>
      <c r="CA39" s="483"/>
      <c r="CB39" s="483"/>
      <c r="CC39" s="483"/>
      <c r="CD39" s="483"/>
      <c r="CE39" s="483"/>
      <c r="CF39" s="483"/>
      <c r="CG39" s="483"/>
      <c r="CH39" s="483"/>
      <c r="CI39" s="483"/>
      <c r="CJ39" s="483"/>
      <c r="CK39" s="483"/>
      <c r="CL39" s="483"/>
      <c r="CM39" s="483"/>
      <c r="CN39" s="483"/>
      <c r="CO39" s="483"/>
      <c r="CP39" s="483"/>
      <c r="CQ39" s="483"/>
      <c r="CR39" s="483"/>
    </row>
    <row r="40" spans="1:96" ht="16">
      <c r="A40" s="966"/>
      <c r="B40" s="1251" t="s">
        <v>241</v>
      </c>
      <c r="C40" s="2859"/>
      <c r="D40" s="966"/>
      <c r="E40" s="966"/>
      <c r="F40" s="966"/>
      <c r="G40" s="966"/>
      <c r="H40" s="966"/>
      <c r="I40" s="966"/>
      <c r="J40" s="966"/>
      <c r="K40" s="966"/>
      <c r="L40" s="966"/>
      <c r="M40" s="966"/>
      <c r="N40" s="966"/>
      <c r="O40" s="1882"/>
      <c r="P40" s="1882"/>
      <c r="Q40" s="1882"/>
      <c r="R40" s="1882"/>
      <c r="S40" s="1882"/>
      <c r="T40" s="1882"/>
      <c r="U40" s="1882"/>
      <c r="V40" s="1882"/>
      <c r="W40" s="1882"/>
      <c r="X40" s="1882"/>
      <c r="Y40" s="1882"/>
      <c r="Z40" s="1882"/>
      <c r="AA40" s="1882"/>
      <c r="AB40" s="1882"/>
      <c r="AC40" s="1882"/>
      <c r="AD40" s="1882"/>
      <c r="AE40" s="1882"/>
      <c r="AF40" s="1882"/>
      <c r="AG40" s="1882"/>
      <c r="AH40" s="1882"/>
      <c r="AI40" s="1882"/>
      <c r="AJ40" s="1882"/>
      <c r="AL40" s="1882"/>
      <c r="AM40" s="1882"/>
      <c r="AN40" s="1882"/>
      <c r="AO40" s="1882"/>
      <c r="AP40" s="1882"/>
      <c r="AQ40" s="1882"/>
      <c r="AR40" s="1882"/>
      <c r="AS40" s="1882"/>
      <c r="AT40" s="1882"/>
      <c r="AU40" s="1882"/>
      <c r="AV40" s="1882"/>
      <c r="AW40" s="1882"/>
      <c r="AX40" s="1882"/>
      <c r="AY40" s="1882"/>
      <c r="AZ40" s="1882"/>
      <c r="BA40" s="1882"/>
      <c r="BB40" s="1882"/>
      <c r="BC40" s="1882"/>
      <c r="BD40" s="1882"/>
      <c r="BE40" s="1882"/>
      <c r="BF40" s="1882"/>
      <c r="BG40" s="1882"/>
      <c r="BH40" s="1882"/>
      <c r="BI40" s="1882"/>
      <c r="BJ40" s="1882"/>
      <c r="BK40" s="1882"/>
      <c r="BM40" s="1882"/>
      <c r="BN40" s="483"/>
      <c r="BO40" s="483"/>
      <c r="BP40" s="483"/>
      <c r="BQ40" s="483"/>
      <c r="BR40" s="483"/>
      <c r="BS40" s="483"/>
      <c r="BT40" s="483"/>
      <c r="BU40" s="483"/>
      <c r="BV40" s="483"/>
      <c r="BW40" s="483"/>
      <c r="BX40" s="483"/>
      <c r="BY40" s="483"/>
      <c r="BZ40" s="483"/>
      <c r="CA40" s="483"/>
      <c r="CB40" s="483"/>
      <c r="CC40" s="483"/>
      <c r="CD40" s="483"/>
      <c r="CE40" s="483"/>
      <c r="CF40" s="483"/>
      <c r="CG40" s="483"/>
      <c r="CH40" s="483"/>
      <c r="CI40" s="483"/>
      <c r="CJ40" s="483"/>
      <c r="CK40" s="483"/>
      <c r="CL40" s="483"/>
      <c r="CM40" s="483"/>
      <c r="CN40" s="483"/>
      <c r="CO40" s="483"/>
      <c r="CP40" s="483"/>
      <c r="CQ40" s="483"/>
      <c r="CR40" s="483"/>
    </row>
    <row r="41" spans="1:96" ht="16">
      <c r="A41" s="966"/>
      <c r="B41" s="995"/>
      <c r="C41" s="1002"/>
      <c r="D41" s="966"/>
      <c r="E41" s="966"/>
      <c r="F41" s="966"/>
      <c r="G41" s="966"/>
      <c r="H41" s="966"/>
      <c r="I41" s="966"/>
      <c r="J41" s="966"/>
      <c r="K41" s="966"/>
      <c r="L41" s="966"/>
      <c r="M41" s="966"/>
      <c r="N41" s="966"/>
      <c r="O41" s="1882"/>
      <c r="P41" s="1882"/>
      <c r="Q41" s="1882"/>
      <c r="R41" s="1882"/>
      <c r="S41" s="1882"/>
      <c r="T41" s="1882"/>
      <c r="U41" s="1882"/>
      <c r="V41" s="1882"/>
      <c r="W41" s="1882"/>
      <c r="X41" s="1882"/>
      <c r="Y41" s="1882"/>
      <c r="Z41" s="1882"/>
      <c r="AA41" s="1882"/>
      <c r="AB41" s="1882"/>
      <c r="AC41" s="1882"/>
      <c r="AD41" s="1882"/>
      <c r="AE41" s="1882"/>
      <c r="AF41" s="1882"/>
      <c r="AG41" s="1882"/>
      <c r="AH41" s="1882"/>
      <c r="AI41" s="1882"/>
      <c r="AJ41" s="1882"/>
      <c r="AL41" s="1882"/>
      <c r="AM41" s="1882"/>
      <c r="AN41" s="1882"/>
      <c r="AO41" s="1882"/>
      <c r="AP41" s="1882"/>
      <c r="AQ41" s="1882"/>
      <c r="AR41" s="1882"/>
      <c r="AS41" s="1882"/>
      <c r="AT41" s="1882"/>
      <c r="AU41" s="1882"/>
      <c r="AV41" s="1882"/>
      <c r="AW41" s="1882"/>
      <c r="AX41" s="1882"/>
      <c r="AY41" s="1882"/>
      <c r="AZ41" s="1882"/>
      <c r="BA41" s="1882"/>
      <c r="BB41" s="1882"/>
      <c r="BC41" s="1882"/>
      <c r="BD41" s="1882"/>
      <c r="BE41" s="1882"/>
      <c r="BF41" s="1882"/>
      <c r="BG41" s="1882"/>
      <c r="BH41" s="1882"/>
      <c r="BI41" s="1882"/>
      <c r="BJ41" s="1882"/>
      <c r="BK41" s="1882"/>
      <c r="BM41" s="1882"/>
      <c r="BN41" s="1882"/>
      <c r="BO41" s="1882"/>
      <c r="BP41" s="1882"/>
      <c r="BQ41" s="1882"/>
      <c r="BR41" s="1882"/>
      <c r="BS41" s="1882"/>
      <c r="BT41" s="1882"/>
      <c r="BU41" s="1882"/>
      <c r="BV41" s="1882"/>
      <c r="BW41" s="1882"/>
      <c r="BX41" s="1882"/>
      <c r="BY41" s="1882"/>
      <c r="BZ41" s="1882"/>
      <c r="CA41" s="1882"/>
      <c r="CB41" s="1882"/>
      <c r="CC41" s="1882"/>
      <c r="CD41" s="1882"/>
      <c r="CE41" s="1882"/>
      <c r="CF41" s="1882"/>
      <c r="CG41" s="1882"/>
      <c r="CH41" s="1882"/>
      <c r="CI41" s="1882"/>
      <c r="CJ41" s="1882"/>
      <c r="CK41" s="1882"/>
      <c r="CL41" s="1882"/>
      <c r="CM41" s="1882"/>
      <c r="CN41" s="1882"/>
      <c r="CO41" s="1882"/>
      <c r="CP41" s="1882"/>
      <c r="CQ41" s="1882"/>
      <c r="CR41" s="1882"/>
    </row>
    <row r="42" spans="1:96" ht="16">
      <c r="A42" s="966"/>
      <c r="B42" s="929"/>
      <c r="C42" s="1252" t="s">
        <v>188</v>
      </c>
      <c r="D42" s="966"/>
      <c r="E42" s="966"/>
      <c r="F42" s="966"/>
      <c r="G42" s="3416"/>
      <c r="H42" s="3417"/>
      <c r="I42" s="3417"/>
      <c r="J42" s="3417"/>
      <c r="K42" s="3417"/>
      <c r="L42" s="3417"/>
      <c r="M42" s="3417"/>
      <c r="N42" s="3417"/>
      <c r="O42" s="1882"/>
      <c r="P42" s="1882"/>
      <c r="Q42" s="1882"/>
      <c r="R42" s="1882"/>
      <c r="S42" s="1882"/>
      <c r="T42" s="1882"/>
      <c r="U42" s="1882"/>
      <c r="V42" s="1882"/>
      <c r="W42" s="1882"/>
      <c r="X42" s="1882"/>
      <c r="Y42" s="1882"/>
      <c r="Z42" s="1882"/>
      <c r="AA42" s="1882"/>
      <c r="AB42" s="1882"/>
      <c r="AC42" s="1882"/>
      <c r="AD42" s="1882"/>
      <c r="AE42" s="1882"/>
      <c r="AF42" s="1882"/>
      <c r="AG42" s="1882"/>
      <c r="AH42" s="1882"/>
      <c r="AI42" s="1882"/>
      <c r="AJ42" s="1882"/>
      <c r="AL42" s="1882"/>
      <c r="AM42" s="1882"/>
      <c r="AN42" s="1882"/>
      <c r="AO42" s="1882"/>
      <c r="AP42" s="1882"/>
      <c r="AQ42" s="1882"/>
      <c r="AR42" s="1882"/>
      <c r="AS42" s="1882"/>
      <c r="AT42" s="1882"/>
      <c r="AU42" s="1882"/>
      <c r="AV42" s="1882"/>
      <c r="AW42" s="1882"/>
      <c r="AX42" s="1882"/>
      <c r="AY42" s="1882"/>
      <c r="AZ42" s="1882"/>
      <c r="BA42" s="1882"/>
      <c r="BB42" s="1882"/>
      <c r="BC42" s="1882"/>
      <c r="BD42" s="1882"/>
      <c r="BE42" s="1882"/>
      <c r="BF42" s="1882"/>
      <c r="BG42" s="1882"/>
      <c r="BH42" s="1882"/>
      <c r="BI42" s="1882"/>
      <c r="BJ42" s="1882"/>
      <c r="BK42" s="1882"/>
      <c r="BM42" s="1882"/>
      <c r="BN42" s="1882"/>
      <c r="BO42" s="1882"/>
      <c r="BP42" s="1882"/>
      <c r="BQ42" s="1882"/>
      <c r="BR42" s="1882"/>
      <c r="BS42" s="1882"/>
      <c r="BT42" s="1882"/>
      <c r="BU42" s="1882"/>
      <c r="BV42" s="1882"/>
      <c r="BW42" s="1882"/>
      <c r="BX42" s="1882"/>
      <c r="BY42" s="1882"/>
      <c r="BZ42" s="1882"/>
      <c r="CA42" s="1882"/>
      <c r="CB42" s="1882"/>
      <c r="CC42" s="1882"/>
      <c r="CD42" s="1882"/>
      <c r="CE42" s="1882"/>
      <c r="CF42" s="1882"/>
      <c r="CG42" s="1882"/>
      <c r="CH42" s="1882"/>
      <c r="CI42" s="1882"/>
      <c r="CJ42" s="1882"/>
      <c r="CK42" s="1882"/>
      <c r="CL42" s="1882"/>
      <c r="CM42" s="1882"/>
      <c r="CN42" s="1882"/>
      <c r="CO42" s="1882"/>
      <c r="CP42" s="1882"/>
      <c r="CQ42" s="1882"/>
      <c r="CR42" s="1882"/>
    </row>
    <row r="43" spans="1:96" ht="16">
      <c r="A43" s="966"/>
      <c r="B43" s="927"/>
      <c r="C43" s="928"/>
      <c r="D43" s="966"/>
      <c r="E43" s="966"/>
      <c r="F43" s="966"/>
      <c r="G43" s="3416"/>
      <c r="H43" s="3417"/>
      <c r="I43" s="3417"/>
      <c r="J43" s="3417"/>
      <c r="K43" s="3417"/>
      <c r="L43" s="3417"/>
      <c r="M43" s="3417"/>
      <c r="N43" s="3417"/>
      <c r="O43" s="1882"/>
      <c r="P43" s="1882"/>
      <c r="Q43" s="1882"/>
      <c r="R43" s="1882"/>
      <c r="S43" s="1882"/>
      <c r="T43" s="1882"/>
      <c r="U43" s="1882"/>
      <c r="V43" s="1882"/>
      <c r="W43" s="1882"/>
      <c r="X43" s="1882"/>
      <c r="Y43" s="1882"/>
      <c r="Z43" s="1882"/>
      <c r="AA43" s="1882"/>
      <c r="AB43" s="1882"/>
      <c r="AC43" s="1882"/>
      <c r="AD43" s="1882"/>
      <c r="AE43" s="1882"/>
      <c r="AF43" s="1882"/>
      <c r="AG43" s="1882"/>
      <c r="AH43" s="1882"/>
      <c r="AI43" s="1882"/>
      <c r="AJ43" s="1882"/>
      <c r="AL43" s="1882"/>
      <c r="AM43" s="1882"/>
      <c r="AN43" s="1882"/>
      <c r="AO43" s="1882"/>
      <c r="AP43" s="1882"/>
      <c r="AQ43" s="1882"/>
      <c r="AR43" s="1882"/>
      <c r="AS43" s="1882"/>
      <c r="AT43" s="1882"/>
      <c r="AU43" s="1882"/>
      <c r="AV43" s="1882"/>
      <c r="AW43" s="1882"/>
      <c r="AX43" s="1882"/>
      <c r="AY43" s="1882"/>
      <c r="AZ43" s="1882"/>
      <c r="BA43" s="1882"/>
      <c r="BB43" s="1882"/>
      <c r="BC43" s="1882"/>
      <c r="BD43" s="1882"/>
      <c r="BE43" s="1882"/>
      <c r="BF43" s="1882"/>
      <c r="BG43" s="1882"/>
      <c r="BH43" s="1882"/>
      <c r="BI43" s="1882"/>
      <c r="BJ43" s="1882"/>
      <c r="BK43" s="1882"/>
      <c r="BM43" s="1882"/>
      <c r="BN43" s="1882"/>
      <c r="BO43" s="1882"/>
      <c r="BP43" s="1882"/>
      <c r="BQ43" s="1882"/>
      <c r="BR43" s="1882"/>
      <c r="BS43" s="1882"/>
      <c r="BT43" s="1882"/>
      <c r="BU43" s="1882"/>
      <c r="BV43" s="1882"/>
      <c r="BW43" s="1882"/>
      <c r="BX43" s="1882"/>
      <c r="BY43" s="1882"/>
      <c r="BZ43" s="1882"/>
      <c r="CA43" s="1882"/>
      <c r="CB43" s="1882"/>
      <c r="CC43" s="1882"/>
      <c r="CD43" s="1882"/>
      <c r="CE43" s="1882"/>
      <c r="CF43" s="1882"/>
      <c r="CG43" s="1882"/>
      <c r="CH43" s="1882"/>
      <c r="CI43" s="1882"/>
      <c r="CJ43" s="1882"/>
      <c r="CK43" s="1882"/>
      <c r="CL43" s="1882"/>
      <c r="CM43" s="1882"/>
      <c r="CN43" s="1882"/>
      <c r="CO43" s="1882"/>
      <c r="CP43" s="1882"/>
      <c r="CQ43" s="1882"/>
      <c r="CR43" s="1882"/>
    </row>
    <row r="44" spans="1:96" ht="16">
      <c r="A44" s="966"/>
      <c r="B44" s="931"/>
      <c r="C44" s="1220" t="s">
        <v>4346</v>
      </c>
      <c r="D44" s="966"/>
      <c r="E44" s="966"/>
      <c r="F44" s="966"/>
      <c r="G44" s="966"/>
      <c r="H44" s="966"/>
      <c r="I44" s="966"/>
      <c r="J44" s="966"/>
      <c r="K44" s="966"/>
      <c r="L44" s="966"/>
      <c r="M44" s="966"/>
      <c r="N44" s="966"/>
      <c r="O44" s="1882"/>
      <c r="P44" s="1882"/>
      <c r="Q44" s="1882"/>
      <c r="R44" s="1882"/>
      <c r="S44" s="1882"/>
      <c r="T44" s="1882"/>
      <c r="U44" s="1882"/>
      <c r="V44" s="1882"/>
      <c r="W44" s="1882"/>
      <c r="X44" s="1882"/>
      <c r="Y44" s="1882"/>
      <c r="Z44" s="1882"/>
      <c r="AA44" s="1882"/>
      <c r="AB44" s="1882"/>
      <c r="AC44" s="1882"/>
      <c r="AD44" s="1882"/>
      <c r="AE44" s="1882"/>
      <c r="AF44" s="1882"/>
      <c r="AG44" s="1882"/>
      <c r="AH44" s="1882"/>
      <c r="AI44" s="1882"/>
      <c r="AJ44" s="1882"/>
      <c r="AL44" s="1882"/>
      <c r="AM44" s="1882"/>
      <c r="AN44" s="1882"/>
      <c r="AO44" s="1882"/>
      <c r="AP44" s="1882"/>
      <c r="AQ44" s="1882"/>
      <c r="AR44" s="1882"/>
      <c r="AS44" s="1882"/>
      <c r="AT44" s="1882"/>
      <c r="AU44" s="1882"/>
      <c r="AV44" s="1882"/>
      <c r="AW44" s="1882"/>
      <c r="AX44" s="1882"/>
      <c r="AY44" s="1882"/>
      <c r="AZ44" s="1882"/>
      <c r="BA44" s="1882"/>
      <c r="BB44" s="1882"/>
      <c r="BC44" s="1882"/>
      <c r="BD44" s="1882"/>
      <c r="BE44" s="1882"/>
      <c r="BF44" s="1882"/>
      <c r="BG44" s="1882"/>
      <c r="BH44" s="1882"/>
      <c r="BI44" s="1882"/>
      <c r="BJ44" s="1882"/>
      <c r="BK44" s="1882"/>
      <c r="BM44" s="1882"/>
      <c r="BN44" s="1882"/>
      <c r="BO44" s="1882"/>
      <c r="BP44" s="1882"/>
      <c r="BQ44" s="1882"/>
      <c r="BR44" s="1882"/>
      <c r="BS44" s="1882"/>
      <c r="BT44" s="1882"/>
      <c r="BU44" s="1882"/>
      <c r="BV44" s="1882"/>
      <c r="BW44" s="1882"/>
      <c r="BX44" s="1882"/>
      <c r="BY44" s="1882"/>
      <c r="BZ44" s="1882"/>
      <c r="CA44" s="1882"/>
      <c r="CB44" s="1882"/>
      <c r="CC44" s="1882"/>
      <c r="CD44" s="1882"/>
      <c r="CE44" s="1882"/>
      <c r="CF44" s="1882"/>
      <c r="CG44" s="1882"/>
      <c r="CH44" s="1882"/>
      <c r="CI44" s="1882"/>
      <c r="CJ44" s="1882"/>
      <c r="CK44" s="1882"/>
      <c r="CL44" s="1882"/>
      <c r="CM44" s="1882"/>
      <c r="CN44" s="1882"/>
      <c r="CO44" s="1882"/>
      <c r="CP44" s="1882"/>
      <c r="CQ44" s="1882"/>
      <c r="CR44" s="1882"/>
    </row>
    <row r="45" spans="1:96" ht="16">
      <c r="A45" s="1226"/>
      <c r="B45" s="1161"/>
      <c r="C45" s="1161"/>
      <c r="D45" s="1168"/>
      <c r="E45" s="1161"/>
      <c r="F45" s="1161"/>
      <c r="G45" s="1161"/>
      <c r="H45" s="1161"/>
      <c r="I45" s="1161"/>
      <c r="J45" s="1161"/>
      <c r="K45" s="1161"/>
      <c r="L45" s="1161"/>
      <c r="M45" s="1161"/>
      <c r="N45" s="1161"/>
      <c r="O45" s="1882"/>
      <c r="P45" s="1882"/>
      <c r="Q45" s="1882"/>
      <c r="R45" s="1882"/>
      <c r="S45" s="1882"/>
      <c r="T45" s="1882"/>
      <c r="U45" s="1882"/>
      <c r="V45" s="1882"/>
      <c r="W45" s="1882"/>
      <c r="X45" s="1882"/>
      <c r="Y45" s="1882"/>
      <c r="Z45" s="1882"/>
      <c r="AA45" s="1882"/>
      <c r="AB45" s="1882"/>
      <c r="AC45" s="1882"/>
      <c r="AD45" s="1882"/>
      <c r="AE45" s="1882"/>
      <c r="AF45" s="1882"/>
      <c r="AG45" s="1882"/>
      <c r="AH45" s="1882"/>
      <c r="AI45" s="1882"/>
      <c r="AJ45" s="1882"/>
      <c r="AL45" s="1882"/>
      <c r="AM45" s="1882"/>
      <c r="AN45" s="1882"/>
      <c r="AO45" s="1882"/>
      <c r="AP45" s="1882"/>
      <c r="AQ45" s="1882"/>
      <c r="AR45" s="1882"/>
      <c r="AS45" s="1882"/>
      <c r="AT45" s="1882"/>
      <c r="AU45" s="1882"/>
      <c r="AV45" s="1882"/>
      <c r="AW45" s="1882"/>
      <c r="AX45" s="1882"/>
      <c r="AY45" s="1882"/>
      <c r="AZ45" s="1882"/>
      <c r="BA45" s="1882"/>
      <c r="BB45" s="1882"/>
      <c r="BC45" s="1882"/>
      <c r="BD45" s="1882"/>
      <c r="BE45" s="1882"/>
      <c r="BF45" s="1882"/>
      <c r="BG45" s="1882"/>
      <c r="BH45" s="1882"/>
      <c r="BI45" s="1882"/>
      <c r="BJ45" s="1882"/>
      <c r="BK45" s="1882"/>
      <c r="BM45" s="1882"/>
      <c r="BN45" s="1882"/>
      <c r="BO45" s="1882"/>
      <c r="BP45" s="1882"/>
      <c r="BQ45" s="1882"/>
      <c r="BR45" s="1882"/>
      <c r="BS45" s="1882"/>
      <c r="BT45" s="1882"/>
      <c r="BU45" s="1882"/>
      <c r="BV45" s="1882"/>
      <c r="BW45" s="1882"/>
      <c r="BX45" s="1882"/>
      <c r="BY45" s="1882"/>
      <c r="BZ45" s="1882"/>
      <c r="CA45" s="1882"/>
      <c r="CB45" s="1882"/>
      <c r="CC45" s="1882"/>
      <c r="CD45" s="1882"/>
      <c r="CE45" s="1882"/>
      <c r="CF45" s="1882"/>
      <c r="CG45" s="1882"/>
      <c r="CH45" s="1882"/>
      <c r="CI45" s="1882"/>
      <c r="CJ45" s="1882"/>
      <c r="CK45" s="1882"/>
      <c r="CL45" s="1882"/>
      <c r="CM45" s="1882"/>
      <c r="CN45" s="1882"/>
      <c r="CO45" s="1882"/>
      <c r="CP45" s="1882"/>
      <c r="CQ45" s="1882"/>
      <c r="CR45" s="1882"/>
    </row>
    <row r="46" spans="1:96" ht="16.5" thickBot="1">
      <c r="A46" s="1226"/>
      <c r="B46" s="1161"/>
      <c r="C46" s="1161"/>
      <c r="D46" s="1168"/>
      <c r="E46" s="1161"/>
      <c r="F46" s="1161"/>
      <c r="G46" s="1161"/>
      <c r="H46" s="1161"/>
      <c r="I46" s="1161"/>
      <c r="J46" s="1161"/>
      <c r="K46" s="1161"/>
      <c r="L46" s="1161"/>
      <c r="M46" s="1161"/>
      <c r="N46" s="1161"/>
      <c r="O46" s="1882"/>
      <c r="P46" s="1882"/>
      <c r="Q46" s="1882"/>
      <c r="R46" s="1882"/>
      <c r="S46" s="1882"/>
      <c r="T46" s="1882"/>
      <c r="U46" s="1882"/>
      <c r="V46" s="1882"/>
      <c r="W46" s="1882"/>
      <c r="X46" s="1882"/>
      <c r="Y46" s="1882"/>
      <c r="Z46" s="1882"/>
      <c r="AA46" s="1882"/>
      <c r="AB46" s="1882"/>
      <c r="AC46" s="1882"/>
      <c r="AD46" s="1882"/>
      <c r="AE46" s="1882"/>
      <c r="AF46" s="1882"/>
      <c r="AG46" s="1882"/>
      <c r="AH46" s="1882"/>
      <c r="AI46" s="1882"/>
      <c r="AJ46" s="1882"/>
      <c r="AL46" s="1882"/>
      <c r="AM46" s="1882"/>
      <c r="AN46" s="1882"/>
      <c r="AO46" s="1882"/>
      <c r="AP46" s="1882"/>
      <c r="AQ46" s="1882"/>
      <c r="AR46" s="1882"/>
      <c r="AS46" s="1882"/>
      <c r="AT46" s="1882"/>
      <c r="AU46" s="1882"/>
      <c r="AV46" s="1882"/>
      <c r="AW46" s="1882"/>
      <c r="AX46" s="1882"/>
      <c r="AY46" s="1882"/>
      <c r="AZ46" s="1882"/>
      <c r="BA46" s="1882"/>
      <c r="BB46" s="1882"/>
      <c r="BC46" s="1882"/>
      <c r="BD46" s="1882"/>
      <c r="BE46" s="1882"/>
      <c r="BF46" s="1882"/>
      <c r="BG46" s="1882"/>
      <c r="BH46" s="1882"/>
      <c r="BI46" s="1882"/>
      <c r="BJ46" s="1882"/>
      <c r="BK46" s="1882"/>
      <c r="BM46" s="1882"/>
      <c r="BN46" s="1882"/>
      <c r="BO46" s="1882"/>
      <c r="BP46" s="1882"/>
      <c r="BQ46" s="1882"/>
      <c r="BR46" s="1882"/>
      <c r="BS46" s="1882"/>
      <c r="BT46" s="1882"/>
      <c r="BU46" s="1882"/>
      <c r="BV46" s="1882"/>
      <c r="BW46" s="1882"/>
      <c r="BX46" s="1882"/>
      <c r="BY46" s="1882"/>
      <c r="BZ46" s="1882"/>
      <c r="CA46" s="1882"/>
      <c r="CB46" s="1882"/>
      <c r="CC46" s="1882"/>
      <c r="CD46" s="1882"/>
      <c r="CE46" s="1882"/>
      <c r="CF46" s="1882"/>
      <c r="CG46" s="1882"/>
      <c r="CH46" s="1882"/>
      <c r="CI46" s="1882"/>
      <c r="CJ46" s="1882"/>
      <c r="CK46" s="1882"/>
      <c r="CL46" s="1882"/>
      <c r="CM46" s="1882"/>
      <c r="CN46" s="1882"/>
      <c r="CO46" s="1882"/>
      <c r="CP46" s="1882"/>
      <c r="CQ46" s="1882"/>
      <c r="CR46" s="1882"/>
    </row>
    <row r="47" spans="1:96" ht="16.5" thickBot="1">
      <c r="A47" s="1226"/>
      <c r="B47" s="1342" t="str">
        <f>'4R'!B64</f>
        <v>Please refer to RAG 4.08 - Guideline for the table definitions in the annual performance report for the reporting year 2019-20</v>
      </c>
      <c r="C47" s="932"/>
      <c r="D47" s="932"/>
      <c r="E47" s="933"/>
      <c r="F47" s="933"/>
      <c r="G47" s="933"/>
      <c r="H47" s="933"/>
      <c r="I47" s="933"/>
      <c r="J47" s="933"/>
      <c r="K47" s="933"/>
      <c r="L47" s="934"/>
      <c r="M47" s="1161"/>
      <c r="N47" s="1161"/>
      <c r="O47" s="1882"/>
      <c r="P47" s="1882"/>
      <c r="Q47" s="1882"/>
      <c r="R47" s="1882"/>
      <c r="S47" s="1882"/>
      <c r="T47" s="1882"/>
      <c r="U47" s="1882"/>
      <c r="V47" s="1882"/>
      <c r="W47" s="1882"/>
      <c r="X47" s="1882"/>
      <c r="Y47" s="1882"/>
      <c r="Z47" s="1882"/>
      <c r="AA47" s="1882"/>
      <c r="AB47" s="1882"/>
      <c r="AC47" s="1882"/>
      <c r="AD47" s="1882"/>
      <c r="AE47" s="1882"/>
      <c r="AF47" s="1882"/>
      <c r="AG47" s="1882"/>
      <c r="AH47" s="1882"/>
      <c r="AI47" s="1882"/>
      <c r="AJ47" s="1882"/>
      <c r="AL47" s="1882"/>
      <c r="AM47" s="1882"/>
      <c r="AN47" s="1882"/>
      <c r="AO47" s="1882"/>
      <c r="AP47" s="1882"/>
      <c r="AQ47" s="1882"/>
      <c r="AR47" s="1882"/>
      <c r="AS47" s="1882"/>
      <c r="AT47" s="1882"/>
      <c r="AU47" s="1882"/>
      <c r="AV47" s="1882"/>
      <c r="AW47" s="1882"/>
      <c r="AX47" s="1882"/>
      <c r="AY47" s="1882"/>
      <c r="AZ47" s="1882"/>
      <c r="BA47" s="1882"/>
      <c r="BB47" s="1882"/>
      <c r="BC47" s="1882"/>
      <c r="BD47" s="1882"/>
      <c r="BE47" s="1882"/>
      <c r="BF47" s="1882"/>
      <c r="BG47" s="1882"/>
      <c r="BH47" s="1882"/>
      <c r="BI47" s="1882"/>
      <c r="BJ47" s="1882"/>
      <c r="BK47" s="1882"/>
      <c r="BM47" s="1882"/>
      <c r="BN47" s="1882"/>
      <c r="BO47" s="1882"/>
      <c r="BP47" s="1882"/>
      <c r="BQ47" s="1882"/>
      <c r="BR47" s="1882"/>
      <c r="BS47" s="1882"/>
      <c r="BT47" s="1882"/>
      <c r="BU47" s="1882"/>
      <c r="BV47" s="1882"/>
      <c r="BW47" s="1882"/>
      <c r="BX47" s="1882"/>
      <c r="BY47" s="1882"/>
      <c r="BZ47" s="1882"/>
      <c r="CA47" s="1882"/>
      <c r="CB47" s="1882"/>
      <c r="CC47" s="1882"/>
      <c r="CD47" s="1882"/>
      <c r="CE47" s="1882"/>
      <c r="CF47" s="1882"/>
      <c r="CG47" s="1882"/>
      <c r="CH47" s="1882"/>
      <c r="CI47" s="1882"/>
      <c r="CJ47" s="1882"/>
      <c r="CK47" s="1882"/>
      <c r="CL47" s="1882"/>
      <c r="CM47" s="1882"/>
      <c r="CN47" s="1882"/>
      <c r="CO47" s="1882"/>
      <c r="CP47" s="1882"/>
      <c r="CQ47" s="1882"/>
      <c r="CR47" s="1882"/>
    </row>
    <row r="48" spans="1:96" ht="16.5" thickBot="1">
      <c r="A48" s="1226"/>
      <c r="B48" s="1161"/>
      <c r="C48" s="1161"/>
      <c r="D48" s="1168"/>
      <c r="E48" s="1161"/>
      <c r="F48" s="1161"/>
      <c r="G48" s="1161"/>
      <c r="H48" s="1161"/>
      <c r="I48" s="1161"/>
      <c r="J48" s="1161"/>
      <c r="K48" s="1161"/>
      <c r="L48" s="1161"/>
      <c r="M48" s="1161"/>
      <c r="N48" s="1161"/>
      <c r="O48" s="1882"/>
      <c r="P48" s="1882"/>
      <c r="Q48" s="1882"/>
      <c r="R48" s="1882"/>
      <c r="S48" s="1882"/>
      <c r="T48" s="1882"/>
      <c r="U48" s="1882"/>
      <c r="V48" s="1882"/>
      <c r="W48" s="1882"/>
      <c r="X48" s="1882"/>
      <c r="Y48" s="1882"/>
      <c r="Z48" s="1882"/>
      <c r="AA48" s="1882"/>
      <c r="AB48" s="1882"/>
      <c r="AC48" s="1882"/>
      <c r="AD48" s="1882"/>
      <c r="AE48" s="1882"/>
      <c r="AF48" s="1882"/>
      <c r="AG48" s="1882"/>
      <c r="AH48" s="1882"/>
      <c r="AI48" s="1882"/>
      <c r="AJ48" s="1882"/>
      <c r="AL48" s="1882"/>
      <c r="AM48" s="1882"/>
      <c r="AN48" s="1882"/>
      <c r="AO48" s="1882"/>
      <c r="AP48" s="1882"/>
      <c r="AQ48" s="1882"/>
      <c r="AR48" s="1882"/>
      <c r="AS48" s="1882"/>
      <c r="AT48" s="1882"/>
      <c r="AU48" s="1882"/>
      <c r="AV48" s="1882"/>
      <c r="AW48" s="1882"/>
      <c r="AX48" s="1882"/>
      <c r="AY48" s="1882"/>
      <c r="AZ48" s="1882"/>
      <c r="BA48" s="1882"/>
      <c r="BB48" s="1882"/>
      <c r="BC48" s="1882"/>
      <c r="BD48" s="1882"/>
      <c r="BE48" s="1882"/>
      <c r="BF48" s="1882"/>
      <c r="BG48" s="1882"/>
      <c r="BH48" s="1882"/>
      <c r="BI48" s="1882"/>
      <c r="BJ48" s="1882"/>
      <c r="BK48" s="1882"/>
      <c r="BM48" s="1882"/>
      <c r="BN48" s="1882"/>
      <c r="BO48" s="1882"/>
      <c r="BP48" s="1882"/>
      <c r="BQ48" s="1882"/>
      <c r="BR48" s="1882"/>
      <c r="BS48" s="1882"/>
      <c r="BT48" s="1882"/>
      <c r="BU48" s="1882"/>
      <c r="BV48" s="1882"/>
      <c r="BW48" s="1882"/>
      <c r="BX48" s="1882"/>
      <c r="BY48" s="1882"/>
      <c r="BZ48" s="1882"/>
      <c r="CA48" s="1882"/>
      <c r="CB48" s="1882"/>
      <c r="CC48" s="1882"/>
      <c r="CD48" s="1882"/>
      <c r="CE48" s="1882"/>
      <c r="CF48" s="1882"/>
      <c r="CG48" s="1882"/>
      <c r="CH48" s="1882"/>
      <c r="CI48" s="1882"/>
      <c r="CJ48" s="1882"/>
      <c r="CK48" s="1882"/>
      <c r="CL48" s="1882"/>
      <c r="CM48" s="1882"/>
      <c r="CN48" s="1882"/>
      <c r="CO48" s="1882"/>
      <c r="CP48" s="1882"/>
      <c r="CQ48" s="1882"/>
      <c r="CR48" s="1882"/>
    </row>
    <row r="49" spans="1:14" ht="16.5" hidden="1" thickBot="1">
      <c r="A49" s="1664"/>
      <c r="B49" s="34" t="str">
        <f ca="1" xml:space="preserve"> RIGHT(CELL("filename", $A$1), LEN(CELL("filename", $A$1)) - SEARCH("]", CELL("filename", $A$1)))&amp;" - Line definitions"</f>
        <v>4S - Line definitions</v>
      </c>
      <c r="C49" s="932"/>
      <c r="D49" s="932"/>
      <c r="E49" s="933"/>
      <c r="F49" s="933"/>
      <c r="G49" s="933"/>
      <c r="H49" s="933"/>
      <c r="I49" s="933"/>
      <c r="J49" s="933"/>
      <c r="K49" s="933"/>
      <c r="L49" s="934"/>
      <c r="M49" s="1161"/>
      <c r="N49" s="1161"/>
    </row>
    <row r="50" spans="1:14" ht="16.5" hidden="1" thickBot="1">
      <c r="A50" s="1664"/>
      <c r="B50" s="1161"/>
      <c r="C50" s="1161"/>
      <c r="D50" s="1168"/>
      <c r="E50" s="1161"/>
      <c r="F50" s="1161"/>
      <c r="G50" s="1223"/>
      <c r="H50" s="1161"/>
      <c r="I50" s="1161"/>
      <c r="J50" s="1161"/>
      <c r="K50" s="1161"/>
      <c r="L50" s="1161"/>
      <c r="M50" s="1161"/>
      <c r="N50" s="1161"/>
    </row>
    <row r="51" spans="1:14" ht="16.5" hidden="1" thickBot="1">
      <c r="A51" s="1664"/>
      <c r="B51" s="1043" t="s">
        <v>191</v>
      </c>
      <c r="C51" s="3231" t="s">
        <v>5910</v>
      </c>
      <c r="D51" s="3232"/>
      <c r="E51" s="3232"/>
      <c r="F51" s="3232"/>
      <c r="G51" s="3232"/>
      <c r="H51" s="3232"/>
      <c r="I51" s="3232"/>
      <c r="J51" s="3232"/>
      <c r="K51" s="3232"/>
      <c r="L51" s="3233"/>
      <c r="M51" s="1161"/>
      <c r="N51" s="1161"/>
    </row>
    <row r="52" spans="1:14" ht="16" hidden="1">
      <c r="A52" s="1664"/>
      <c r="B52" s="1044">
        <v>1</v>
      </c>
      <c r="C52" s="3418" t="s">
        <v>7666</v>
      </c>
      <c r="D52" s="3419"/>
      <c r="E52" s="3419"/>
      <c r="F52" s="3419"/>
      <c r="G52" s="3419"/>
      <c r="H52" s="3419"/>
      <c r="I52" s="3419"/>
      <c r="J52" s="3419"/>
      <c r="K52" s="3419"/>
      <c r="L52" s="3420"/>
      <c r="M52" s="1161"/>
      <c r="N52" s="1161"/>
    </row>
    <row r="53" spans="1:14" ht="16" hidden="1">
      <c r="A53" s="1664"/>
      <c r="B53" s="1045">
        <f>B52+1</f>
        <v>2</v>
      </c>
      <c r="C53" s="3421" t="s">
        <v>7667</v>
      </c>
      <c r="D53" s="3422"/>
      <c r="E53" s="3422"/>
      <c r="F53" s="3422"/>
      <c r="G53" s="3422"/>
      <c r="H53" s="3422"/>
      <c r="I53" s="3422"/>
      <c r="J53" s="3422"/>
      <c r="K53" s="3422"/>
      <c r="L53" s="3423"/>
      <c r="M53" s="1161"/>
      <c r="N53" s="1161"/>
    </row>
    <row r="54" spans="1:14" ht="16" hidden="1">
      <c r="A54" s="1664"/>
      <c r="B54" s="1045">
        <f t="shared" ref="B54:B76" si="15">B53+1</f>
        <v>3</v>
      </c>
      <c r="C54" s="3409" t="s">
        <v>7668</v>
      </c>
      <c r="D54" s="3410"/>
      <c r="E54" s="3410"/>
      <c r="F54" s="3410"/>
      <c r="G54" s="3410"/>
      <c r="H54" s="3410"/>
      <c r="I54" s="3410"/>
      <c r="J54" s="3410"/>
      <c r="K54" s="3410"/>
      <c r="L54" s="3411"/>
      <c r="M54" s="1161"/>
      <c r="N54" s="1161"/>
    </row>
    <row r="55" spans="1:14" ht="16" hidden="1">
      <c r="A55" s="1664"/>
      <c r="B55" s="1045">
        <f t="shared" si="15"/>
        <v>4</v>
      </c>
      <c r="C55" s="3409" t="s">
        <v>7669</v>
      </c>
      <c r="D55" s="3410"/>
      <c r="E55" s="3410"/>
      <c r="F55" s="3410"/>
      <c r="G55" s="3410"/>
      <c r="H55" s="3410"/>
      <c r="I55" s="3410"/>
      <c r="J55" s="3410"/>
      <c r="K55" s="3410"/>
      <c r="L55" s="3411"/>
      <c r="M55" s="1161"/>
      <c r="N55" s="1161"/>
    </row>
    <row r="56" spans="1:14" ht="16" hidden="1">
      <c r="A56" s="1664"/>
      <c r="B56" s="1045">
        <f t="shared" si="15"/>
        <v>5</v>
      </c>
      <c r="C56" s="3409" t="s">
        <v>7670</v>
      </c>
      <c r="D56" s="3410"/>
      <c r="E56" s="3410"/>
      <c r="F56" s="3410"/>
      <c r="G56" s="3410"/>
      <c r="H56" s="3410"/>
      <c r="I56" s="3410"/>
      <c r="J56" s="3410"/>
      <c r="K56" s="3410"/>
      <c r="L56" s="3411"/>
      <c r="M56" s="1161"/>
      <c r="N56" s="1161"/>
    </row>
    <row r="57" spans="1:14" ht="16" hidden="1">
      <c r="A57" s="1664"/>
      <c r="B57" s="1045">
        <f t="shared" si="15"/>
        <v>6</v>
      </c>
      <c r="C57" s="3409" t="s">
        <v>7671</v>
      </c>
      <c r="D57" s="3410"/>
      <c r="E57" s="3410"/>
      <c r="F57" s="3410"/>
      <c r="G57" s="3410"/>
      <c r="H57" s="3410"/>
      <c r="I57" s="3410"/>
      <c r="J57" s="3410"/>
      <c r="K57" s="3410"/>
      <c r="L57" s="3411"/>
      <c r="M57" s="1161"/>
      <c r="N57" s="1161"/>
    </row>
    <row r="58" spans="1:14" ht="16" hidden="1">
      <c r="A58" s="1664"/>
      <c r="B58" s="1045">
        <f t="shared" si="15"/>
        <v>7</v>
      </c>
      <c r="C58" s="3409" t="s">
        <v>7672</v>
      </c>
      <c r="D58" s="3410"/>
      <c r="E58" s="3410"/>
      <c r="F58" s="3410"/>
      <c r="G58" s="3410"/>
      <c r="H58" s="3410"/>
      <c r="I58" s="3410"/>
      <c r="J58" s="3410"/>
      <c r="K58" s="3410"/>
      <c r="L58" s="3411"/>
      <c r="M58" s="1161"/>
      <c r="N58" s="1161"/>
    </row>
    <row r="59" spans="1:14" ht="16" hidden="1">
      <c r="A59" s="1664"/>
      <c r="B59" s="1045">
        <f t="shared" si="15"/>
        <v>8</v>
      </c>
      <c r="C59" s="3409" t="s">
        <v>7673</v>
      </c>
      <c r="D59" s="3410"/>
      <c r="E59" s="3410"/>
      <c r="F59" s="3410"/>
      <c r="G59" s="3410"/>
      <c r="H59" s="3410"/>
      <c r="I59" s="3410"/>
      <c r="J59" s="3410"/>
      <c r="K59" s="3410"/>
      <c r="L59" s="3411"/>
      <c r="M59" s="1161"/>
      <c r="N59" s="1161"/>
    </row>
    <row r="60" spans="1:14" ht="16" hidden="1">
      <c r="A60" s="1664"/>
      <c r="B60" s="1045">
        <f t="shared" si="15"/>
        <v>9</v>
      </c>
      <c r="C60" s="3409" t="s">
        <v>7674</v>
      </c>
      <c r="D60" s="3410"/>
      <c r="E60" s="3410"/>
      <c r="F60" s="3410"/>
      <c r="G60" s="3410"/>
      <c r="H60" s="3410"/>
      <c r="I60" s="3410"/>
      <c r="J60" s="3410"/>
      <c r="K60" s="3410"/>
      <c r="L60" s="3411"/>
      <c r="M60" s="1161"/>
      <c r="N60" s="1161"/>
    </row>
    <row r="61" spans="1:14" ht="16" hidden="1">
      <c r="A61" s="1664"/>
      <c r="B61" s="1045">
        <f t="shared" si="15"/>
        <v>10</v>
      </c>
      <c r="C61" s="3409" t="s">
        <v>7675</v>
      </c>
      <c r="D61" s="3410"/>
      <c r="E61" s="3410"/>
      <c r="F61" s="3410"/>
      <c r="G61" s="3410"/>
      <c r="H61" s="3410"/>
      <c r="I61" s="3410"/>
      <c r="J61" s="3410"/>
      <c r="K61" s="3410"/>
      <c r="L61" s="3411"/>
      <c r="M61" s="1161"/>
      <c r="N61" s="1161"/>
    </row>
    <row r="62" spans="1:14" ht="16" hidden="1">
      <c r="A62" s="1664"/>
      <c r="B62" s="1045">
        <f t="shared" si="15"/>
        <v>11</v>
      </c>
      <c r="C62" s="3409" t="s">
        <v>7676</v>
      </c>
      <c r="D62" s="3410"/>
      <c r="E62" s="3410"/>
      <c r="F62" s="3410"/>
      <c r="G62" s="3410"/>
      <c r="H62" s="3410"/>
      <c r="I62" s="3410"/>
      <c r="J62" s="3410"/>
      <c r="K62" s="3410"/>
      <c r="L62" s="3411"/>
      <c r="M62" s="1161"/>
      <c r="N62" s="1161"/>
    </row>
    <row r="63" spans="1:14" ht="16" hidden="1">
      <c r="A63" s="1664"/>
      <c r="B63" s="1045">
        <f t="shared" si="15"/>
        <v>12</v>
      </c>
      <c r="C63" s="3409" t="s">
        <v>7677</v>
      </c>
      <c r="D63" s="3410"/>
      <c r="E63" s="3410"/>
      <c r="F63" s="3410"/>
      <c r="G63" s="3410"/>
      <c r="H63" s="3410"/>
      <c r="I63" s="3410"/>
      <c r="J63" s="3410"/>
      <c r="K63" s="3410"/>
      <c r="L63" s="3411"/>
      <c r="M63" s="1161"/>
      <c r="N63" s="1161"/>
    </row>
    <row r="64" spans="1:14" ht="16" hidden="1">
      <c r="A64" s="1664"/>
      <c r="B64" s="1045">
        <f t="shared" si="15"/>
        <v>13</v>
      </c>
      <c r="C64" s="3409" t="s">
        <v>7678</v>
      </c>
      <c r="D64" s="3410"/>
      <c r="E64" s="3410"/>
      <c r="F64" s="3410"/>
      <c r="G64" s="3410"/>
      <c r="H64" s="3410"/>
      <c r="I64" s="3410"/>
      <c r="J64" s="3410"/>
      <c r="K64" s="3410"/>
      <c r="L64" s="3411"/>
      <c r="M64" s="1161"/>
      <c r="N64" s="1161"/>
    </row>
    <row r="65" spans="1:14" ht="16" hidden="1">
      <c r="A65" s="1664"/>
      <c r="B65" s="1045">
        <f t="shared" si="15"/>
        <v>14</v>
      </c>
      <c r="C65" s="3409" t="s">
        <v>7679</v>
      </c>
      <c r="D65" s="3410"/>
      <c r="E65" s="3410"/>
      <c r="F65" s="3410"/>
      <c r="G65" s="3410"/>
      <c r="H65" s="3410"/>
      <c r="I65" s="3410"/>
      <c r="J65" s="3410"/>
      <c r="K65" s="3410"/>
      <c r="L65" s="3411"/>
      <c r="M65" s="1161"/>
      <c r="N65" s="1161"/>
    </row>
    <row r="66" spans="1:14" ht="16" hidden="1">
      <c r="A66" s="1664"/>
      <c r="B66" s="1045">
        <f t="shared" si="15"/>
        <v>15</v>
      </c>
      <c r="C66" s="3409" t="s">
        <v>7680</v>
      </c>
      <c r="D66" s="3410"/>
      <c r="E66" s="3410"/>
      <c r="F66" s="3410"/>
      <c r="G66" s="3410"/>
      <c r="H66" s="3410"/>
      <c r="I66" s="3410"/>
      <c r="J66" s="3410"/>
      <c r="K66" s="3410"/>
      <c r="L66" s="3411"/>
      <c r="M66" s="1161"/>
      <c r="N66" s="1161"/>
    </row>
    <row r="67" spans="1:14" ht="30" hidden="1" customHeight="1">
      <c r="A67" s="1664"/>
      <c r="B67" s="1045">
        <f t="shared" si="15"/>
        <v>16</v>
      </c>
      <c r="C67" s="3409" t="s">
        <v>7681</v>
      </c>
      <c r="D67" s="3410"/>
      <c r="E67" s="3410"/>
      <c r="F67" s="3410"/>
      <c r="G67" s="3410"/>
      <c r="H67" s="3410"/>
      <c r="I67" s="3410"/>
      <c r="J67" s="3410"/>
      <c r="K67" s="3410"/>
      <c r="L67" s="3411"/>
      <c r="M67" s="1161"/>
      <c r="N67" s="1161"/>
    </row>
    <row r="68" spans="1:14" ht="31.15" hidden="1" customHeight="1">
      <c r="A68" s="1664"/>
      <c r="B68" s="1045">
        <f t="shared" si="15"/>
        <v>17</v>
      </c>
      <c r="C68" s="3409" t="s">
        <v>7682</v>
      </c>
      <c r="D68" s="3410"/>
      <c r="E68" s="3410"/>
      <c r="F68" s="3410"/>
      <c r="G68" s="3410"/>
      <c r="H68" s="3410"/>
      <c r="I68" s="3410"/>
      <c r="J68" s="3410"/>
      <c r="K68" s="3410"/>
      <c r="L68" s="3411"/>
      <c r="M68" s="1161"/>
      <c r="N68" s="1161"/>
    </row>
    <row r="69" spans="1:14" ht="32.25" hidden="1" customHeight="1">
      <c r="A69" s="1664"/>
      <c r="B69" s="1045">
        <f t="shared" si="15"/>
        <v>18</v>
      </c>
      <c r="C69" s="3409" t="s">
        <v>7683</v>
      </c>
      <c r="D69" s="3410"/>
      <c r="E69" s="3410"/>
      <c r="F69" s="3410"/>
      <c r="G69" s="3410"/>
      <c r="H69" s="3410"/>
      <c r="I69" s="3410"/>
      <c r="J69" s="3410"/>
      <c r="K69" s="3410"/>
      <c r="L69" s="3411"/>
      <c r="M69" s="1161"/>
      <c r="N69" s="1161"/>
    </row>
    <row r="70" spans="1:14" ht="32.25" hidden="1" customHeight="1">
      <c r="A70" s="1664"/>
      <c r="B70" s="1045">
        <f t="shared" si="15"/>
        <v>19</v>
      </c>
      <c r="C70" s="3409" t="s">
        <v>7684</v>
      </c>
      <c r="D70" s="3410"/>
      <c r="E70" s="3410"/>
      <c r="F70" s="3410"/>
      <c r="G70" s="3410"/>
      <c r="H70" s="3410"/>
      <c r="I70" s="3410"/>
      <c r="J70" s="3410"/>
      <c r="K70" s="3410"/>
      <c r="L70" s="3411"/>
      <c r="M70" s="1161"/>
      <c r="N70" s="1161"/>
    </row>
    <row r="71" spans="1:14" ht="32.25" hidden="1" customHeight="1">
      <c r="A71" s="1664"/>
      <c r="B71" s="1045">
        <f t="shared" si="15"/>
        <v>20</v>
      </c>
      <c r="C71" s="3409" t="s">
        <v>7685</v>
      </c>
      <c r="D71" s="3410"/>
      <c r="E71" s="3410"/>
      <c r="F71" s="3410"/>
      <c r="G71" s="3410"/>
      <c r="H71" s="3410"/>
      <c r="I71" s="3410"/>
      <c r="J71" s="3410"/>
      <c r="K71" s="3410"/>
      <c r="L71" s="3411"/>
      <c r="M71" s="1161"/>
      <c r="N71" s="1161"/>
    </row>
    <row r="72" spans="1:14" ht="32.25" hidden="1" customHeight="1">
      <c r="A72" s="1664"/>
      <c r="B72" s="1045">
        <f t="shared" si="15"/>
        <v>21</v>
      </c>
      <c r="C72" s="3409" t="s">
        <v>7686</v>
      </c>
      <c r="D72" s="3410"/>
      <c r="E72" s="3410"/>
      <c r="F72" s="3410"/>
      <c r="G72" s="3410"/>
      <c r="H72" s="3410"/>
      <c r="I72" s="3410"/>
      <c r="J72" s="3410"/>
      <c r="K72" s="3410"/>
      <c r="L72" s="3411"/>
      <c r="M72" s="1161"/>
      <c r="N72" s="1161"/>
    </row>
    <row r="73" spans="1:14" ht="32.25" hidden="1" customHeight="1">
      <c r="A73" s="1664"/>
      <c r="B73" s="1045">
        <f t="shared" si="15"/>
        <v>22</v>
      </c>
      <c r="C73" s="3409" t="s">
        <v>7687</v>
      </c>
      <c r="D73" s="3410"/>
      <c r="E73" s="3410"/>
      <c r="F73" s="3410"/>
      <c r="G73" s="3410"/>
      <c r="H73" s="3410"/>
      <c r="I73" s="3410"/>
      <c r="J73" s="3410"/>
      <c r="K73" s="3410"/>
      <c r="L73" s="3411"/>
      <c r="M73" s="1161"/>
      <c r="N73" s="1161"/>
    </row>
    <row r="74" spans="1:14" ht="32.25" hidden="1" customHeight="1">
      <c r="A74" s="1664"/>
      <c r="B74" s="1045">
        <f t="shared" si="15"/>
        <v>23</v>
      </c>
      <c r="C74" s="3409" t="s">
        <v>7688</v>
      </c>
      <c r="D74" s="3410"/>
      <c r="E74" s="3410"/>
      <c r="F74" s="3410"/>
      <c r="G74" s="3410"/>
      <c r="H74" s="3410"/>
      <c r="I74" s="3410"/>
      <c r="J74" s="3410"/>
      <c r="K74" s="3410"/>
      <c r="L74" s="3411"/>
      <c r="M74" s="1161"/>
      <c r="N74" s="1161"/>
    </row>
    <row r="75" spans="1:14" ht="38.65" hidden="1" customHeight="1">
      <c r="A75" s="1664"/>
      <c r="B75" s="1045">
        <f t="shared" si="15"/>
        <v>24</v>
      </c>
      <c r="C75" s="3409" t="s">
        <v>7689</v>
      </c>
      <c r="D75" s="3410"/>
      <c r="E75" s="3410"/>
      <c r="F75" s="3410"/>
      <c r="G75" s="3410"/>
      <c r="H75" s="3410"/>
      <c r="I75" s="3410"/>
      <c r="J75" s="3410"/>
      <c r="K75" s="3410"/>
      <c r="L75" s="3411"/>
      <c r="M75" s="1161"/>
      <c r="N75" s="1161"/>
    </row>
    <row r="76" spans="1:14" ht="32.25" hidden="1" customHeight="1" thickBot="1">
      <c r="A76" s="1664"/>
      <c r="B76" s="1046">
        <f t="shared" si="15"/>
        <v>25</v>
      </c>
      <c r="C76" s="3218" t="s">
        <v>7690</v>
      </c>
      <c r="D76" s="3219"/>
      <c r="E76" s="3219"/>
      <c r="F76" s="3219"/>
      <c r="G76" s="3219"/>
      <c r="H76" s="3219"/>
      <c r="I76" s="3219"/>
      <c r="J76" s="3219"/>
      <c r="K76" s="3219"/>
      <c r="L76" s="3220"/>
      <c r="M76" s="1161"/>
      <c r="N76" s="1161"/>
    </row>
    <row r="77" spans="1:14" ht="16.5" hidden="1" thickBot="1">
      <c r="A77" s="1664"/>
      <c r="B77" s="1161"/>
      <c r="C77" s="1161"/>
      <c r="D77" s="1168"/>
      <c r="E77" s="1161"/>
      <c r="F77" s="1161"/>
      <c r="G77" s="1161"/>
      <c r="H77" s="1161"/>
      <c r="I77" s="1161"/>
      <c r="J77" s="1161"/>
      <c r="K77" s="1161"/>
      <c r="L77" s="1161"/>
      <c r="M77" s="1161"/>
      <c r="N77" s="1161"/>
    </row>
    <row r="78" spans="1:14" ht="16.5" thickBot="1">
      <c r="A78" s="1226"/>
      <c r="B78" s="3228" t="s">
        <v>7691</v>
      </c>
      <c r="C78" s="3412"/>
      <c r="D78" s="3412"/>
      <c r="E78" s="3412"/>
      <c r="F78" s="3412"/>
      <c r="G78" s="3412"/>
      <c r="H78" s="3412"/>
      <c r="I78" s="3412"/>
      <c r="J78" s="3412"/>
      <c r="K78" s="3412"/>
      <c r="L78" s="3413"/>
      <c r="M78" s="1161"/>
      <c r="N78" s="1161"/>
    </row>
    <row r="79" spans="1:14" ht="16.5" thickBot="1">
      <c r="A79" s="1226"/>
      <c r="B79" s="1227"/>
      <c r="C79" s="1161"/>
      <c r="D79" s="1168"/>
      <c r="E79" s="1161"/>
      <c r="F79" s="1161"/>
      <c r="G79" s="1161"/>
      <c r="H79" s="1161"/>
      <c r="I79" s="1161"/>
      <c r="J79" s="1161"/>
      <c r="K79" s="1161"/>
      <c r="L79" s="1161"/>
      <c r="M79" s="1161"/>
      <c r="N79" s="1161"/>
    </row>
    <row r="80" spans="1:14" ht="50">
      <c r="A80" s="1226"/>
      <c r="B80" s="1936" t="s">
        <v>7692</v>
      </c>
      <c r="C80" s="3403" t="s">
        <v>7693</v>
      </c>
      <c r="D80" s="3403"/>
      <c r="E80" s="3403"/>
      <c r="F80" s="3403"/>
      <c r="G80" s="3403"/>
      <c r="H80" s="3403"/>
      <c r="I80" s="3403"/>
      <c r="J80" s="3403"/>
      <c r="K80" s="3404"/>
      <c r="L80" s="1937"/>
      <c r="M80" s="1161"/>
      <c r="N80" s="1161"/>
    </row>
    <row r="81" spans="1:14" ht="37.5">
      <c r="A81" s="1226"/>
      <c r="B81" s="1938" t="s">
        <v>7694</v>
      </c>
      <c r="C81" s="3405" t="s">
        <v>7695</v>
      </c>
      <c r="D81" s="3405"/>
      <c r="E81" s="3405"/>
      <c r="F81" s="3405"/>
      <c r="G81" s="3405"/>
      <c r="H81" s="3405"/>
      <c r="I81" s="3405"/>
      <c r="J81" s="3405"/>
      <c r="K81" s="3406"/>
      <c r="L81" s="1937"/>
      <c r="M81" s="1161"/>
      <c r="N81" s="1161"/>
    </row>
    <row r="82" spans="1:14" ht="37.5">
      <c r="A82" s="1226"/>
      <c r="B82" s="1938" t="s">
        <v>7696</v>
      </c>
      <c r="C82" s="3405" t="s">
        <v>7697</v>
      </c>
      <c r="D82" s="3405"/>
      <c r="E82" s="3405"/>
      <c r="F82" s="3405"/>
      <c r="G82" s="3405"/>
      <c r="H82" s="3405"/>
      <c r="I82" s="3405"/>
      <c r="J82" s="3405"/>
      <c r="K82" s="3406"/>
      <c r="L82" s="1937"/>
      <c r="M82" s="1161"/>
      <c r="N82" s="1161"/>
    </row>
    <row r="83" spans="1:14" ht="67.5" customHeight="1">
      <c r="A83" s="1226"/>
      <c r="B83" s="1938" t="s">
        <v>7698</v>
      </c>
      <c r="C83" s="3405" t="s">
        <v>7699</v>
      </c>
      <c r="D83" s="3405"/>
      <c r="E83" s="3405"/>
      <c r="F83" s="3405"/>
      <c r="G83" s="3405"/>
      <c r="H83" s="3405"/>
      <c r="I83" s="3405"/>
      <c r="J83" s="3405"/>
      <c r="K83" s="3406"/>
      <c r="L83" s="1937"/>
      <c r="M83" s="1161"/>
      <c r="N83" s="1161"/>
    </row>
    <row r="84" spans="1:14" ht="70.150000000000006" customHeight="1" thickBot="1">
      <c r="A84" s="1226"/>
      <c r="B84" s="1939" t="s">
        <v>7700</v>
      </c>
      <c r="C84" s="3407" t="s">
        <v>7701</v>
      </c>
      <c r="D84" s="3407"/>
      <c r="E84" s="3407"/>
      <c r="F84" s="3407"/>
      <c r="G84" s="3407"/>
      <c r="H84" s="3407"/>
      <c r="I84" s="3407"/>
      <c r="J84" s="3407"/>
      <c r="K84" s="3408"/>
      <c r="L84" s="1937"/>
      <c r="M84" s="1161"/>
      <c r="N84" s="1161"/>
    </row>
    <row r="85" spans="1:14" ht="16.5" thickBot="1">
      <c r="A85" s="1226"/>
      <c r="B85" s="1937"/>
      <c r="C85" s="1940"/>
      <c r="D85" s="1937"/>
      <c r="E85" s="1937"/>
      <c r="F85" s="1937"/>
      <c r="G85" s="1937"/>
      <c r="H85" s="1937"/>
      <c r="I85" s="1937"/>
      <c r="J85" s="1937"/>
      <c r="K85" s="1937"/>
      <c r="L85" s="1937"/>
      <c r="M85" s="1161"/>
      <c r="N85" s="1161"/>
    </row>
    <row r="86" spans="1:14" ht="62.5">
      <c r="A86" s="1226"/>
      <c r="B86" s="1936" t="s">
        <v>7252</v>
      </c>
      <c r="C86" s="3403" t="s">
        <v>7702</v>
      </c>
      <c r="D86" s="3403"/>
      <c r="E86" s="3403"/>
      <c r="F86" s="3403"/>
      <c r="G86" s="3403"/>
      <c r="H86" s="3403"/>
      <c r="I86" s="3403"/>
      <c r="J86" s="3403"/>
      <c r="K86" s="3404"/>
      <c r="L86" s="1937"/>
      <c r="M86" s="1161"/>
      <c r="N86" s="1161"/>
    </row>
    <row r="87" spans="1:14" ht="62.5">
      <c r="A87" s="1226"/>
      <c r="B87" s="1938" t="s">
        <v>7280</v>
      </c>
      <c r="C87" s="3405" t="s">
        <v>7703</v>
      </c>
      <c r="D87" s="3405"/>
      <c r="E87" s="3405"/>
      <c r="F87" s="3405"/>
      <c r="G87" s="3405"/>
      <c r="H87" s="3405"/>
      <c r="I87" s="3405"/>
      <c r="J87" s="3405"/>
      <c r="K87" s="3406"/>
      <c r="L87" s="1937"/>
      <c r="M87" s="1161"/>
      <c r="N87" s="1161"/>
    </row>
    <row r="88" spans="1:14" ht="62.5">
      <c r="A88" s="1226"/>
      <c r="B88" s="1938" t="s">
        <v>7307</v>
      </c>
      <c r="C88" s="3405" t="s">
        <v>7704</v>
      </c>
      <c r="D88" s="3405"/>
      <c r="E88" s="3405"/>
      <c r="F88" s="3405"/>
      <c r="G88" s="3405"/>
      <c r="H88" s="3405"/>
      <c r="I88" s="3405"/>
      <c r="J88" s="3405"/>
      <c r="K88" s="3406"/>
      <c r="L88" s="1937"/>
      <c r="M88" s="1161"/>
      <c r="N88" s="1161"/>
    </row>
    <row r="89" spans="1:14" ht="62.5">
      <c r="A89" s="1226"/>
      <c r="B89" s="1938" t="s">
        <v>7334</v>
      </c>
      <c r="C89" s="3405" t="s">
        <v>7705</v>
      </c>
      <c r="D89" s="3405"/>
      <c r="E89" s="3405"/>
      <c r="F89" s="3405"/>
      <c r="G89" s="3405"/>
      <c r="H89" s="3405"/>
      <c r="I89" s="3405"/>
      <c r="J89" s="3405"/>
      <c r="K89" s="3406"/>
      <c r="L89" s="1937"/>
      <c r="M89" s="1161"/>
      <c r="N89" s="1161"/>
    </row>
    <row r="90" spans="1:14" ht="62.5">
      <c r="A90" s="1226"/>
      <c r="B90" s="1938" t="s">
        <v>7361</v>
      </c>
      <c r="C90" s="3405" t="s">
        <v>7706</v>
      </c>
      <c r="D90" s="3405"/>
      <c r="E90" s="3405"/>
      <c r="F90" s="3405"/>
      <c r="G90" s="3405"/>
      <c r="H90" s="3405"/>
      <c r="I90" s="3405"/>
      <c r="J90" s="3405"/>
      <c r="K90" s="3406"/>
      <c r="L90" s="1937"/>
      <c r="M90" s="1161"/>
      <c r="N90" s="1161"/>
    </row>
    <row r="91" spans="1:14" ht="63" thickBot="1">
      <c r="A91" s="1226"/>
      <c r="B91" s="1939" t="s">
        <v>7388</v>
      </c>
      <c r="C91" s="3407" t="s">
        <v>7707</v>
      </c>
      <c r="D91" s="3407"/>
      <c r="E91" s="3407"/>
      <c r="F91" s="3407"/>
      <c r="G91" s="3407"/>
      <c r="H91" s="3407"/>
      <c r="I91" s="3407"/>
      <c r="J91" s="3407"/>
      <c r="K91" s="3408"/>
      <c r="L91" s="1937"/>
      <c r="M91" s="1161"/>
      <c r="N91" s="1161"/>
    </row>
    <row r="92" spans="1:14" ht="16">
      <c r="A92" s="1226"/>
      <c r="B92" s="1937"/>
      <c r="C92" s="1941"/>
      <c r="D92" s="1929"/>
      <c r="E92" s="1929"/>
      <c r="F92" s="1929"/>
      <c r="G92" s="1929"/>
      <c r="H92" s="1929"/>
      <c r="I92" s="1929"/>
      <c r="J92" s="1929"/>
      <c r="K92" s="1929"/>
      <c r="L92" s="1929"/>
      <c r="M92" s="1161"/>
      <c r="N92" s="1161"/>
    </row>
    <row r="93" spans="1:14" ht="16.5" thickBot="1">
      <c r="A93" s="1176"/>
      <c r="B93" s="1935" t="s">
        <v>4365</v>
      </c>
      <c r="C93" s="1932"/>
      <c r="D93" s="1932"/>
      <c r="E93" s="1932"/>
      <c r="F93" s="1933"/>
      <c r="G93" s="1932"/>
      <c r="H93" s="1932"/>
      <c r="I93" s="1932"/>
      <c r="J93" s="1932"/>
      <c r="K93" s="1932"/>
      <c r="L93" s="1932"/>
      <c r="M93" s="1176"/>
      <c r="N93" s="1176"/>
    </row>
    <row r="94" spans="1:14" ht="29.25" customHeight="1" thickBot="1">
      <c r="A94" s="1176"/>
      <c r="B94" s="3400" t="s">
        <v>7708</v>
      </c>
      <c r="C94" s="3401"/>
      <c r="D94" s="3401"/>
      <c r="E94" s="3401"/>
      <c r="F94" s="3401"/>
      <c r="G94" s="3401"/>
      <c r="H94" s="3401"/>
      <c r="I94" s="3401"/>
      <c r="J94" s="3401"/>
      <c r="K94" s="3402"/>
      <c r="L94" s="1932"/>
      <c r="M94" s="1176"/>
      <c r="N94" s="1176"/>
    </row>
    <row r="95" spans="1:14">
      <c r="A95" s="1882"/>
      <c r="B95" s="1882"/>
      <c r="C95" s="1882"/>
      <c r="D95" s="1882"/>
      <c r="E95" s="1882"/>
      <c r="F95" s="1882"/>
      <c r="G95" s="1882"/>
      <c r="H95" s="1882"/>
      <c r="I95" s="1882"/>
      <c r="J95" s="1882"/>
      <c r="K95" s="1882"/>
      <c r="L95" s="1882"/>
      <c r="M95" s="1882"/>
      <c r="N95" s="1882"/>
    </row>
  </sheetData>
  <sheetProtection algorithmName="SHA-512" hashValue="aeOMflmVp1W9zOA/2FTjQUmR04tSn8EJra+/qMYzVr3rsgzuuc14R8EbKx0oxkocqYt19Sd/Prmt9wwq/kCjVg==" saltValue="FQUtVVZweQ2vq358/rpvNQ==" spinCount="100000" sheet="1" objects="1" scenarios="1"/>
  <mergeCells count="67">
    <mergeCell ref="D3:D5"/>
    <mergeCell ref="P3:AF3"/>
    <mergeCell ref="AG3:AG5"/>
    <mergeCell ref="AI3:AI5"/>
    <mergeCell ref="G4:G5"/>
    <mergeCell ref="H4:I4"/>
    <mergeCell ref="J4:M4"/>
    <mergeCell ref="N4:N5"/>
    <mergeCell ref="P4:T4"/>
    <mergeCell ref="U4:Z4"/>
    <mergeCell ref="C58:L58"/>
    <mergeCell ref="AA4:AF4"/>
    <mergeCell ref="B26:C26"/>
    <mergeCell ref="G42:G43"/>
    <mergeCell ref="H42:N43"/>
    <mergeCell ref="C51:L51"/>
    <mergeCell ref="C52:L52"/>
    <mergeCell ref="C53:L53"/>
    <mergeCell ref="C54:L54"/>
    <mergeCell ref="C55:L55"/>
    <mergeCell ref="C56:L56"/>
    <mergeCell ref="C57:L57"/>
    <mergeCell ref="B3:C5"/>
    <mergeCell ref="E3:E5"/>
    <mergeCell ref="F3:F5"/>
    <mergeCell ref="G3:N3"/>
    <mergeCell ref="C70:L70"/>
    <mergeCell ref="C59:L59"/>
    <mergeCell ref="C60:L60"/>
    <mergeCell ref="C61:L61"/>
    <mergeCell ref="C62:L62"/>
    <mergeCell ref="C63:L63"/>
    <mergeCell ref="C64:L64"/>
    <mergeCell ref="C65:L65"/>
    <mergeCell ref="C66:L66"/>
    <mergeCell ref="C67:L67"/>
    <mergeCell ref="C68:L68"/>
    <mergeCell ref="C69:L69"/>
    <mergeCell ref="C84:K84"/>
    <mergeCell ref="C71:L71"/>
    <mergeCell ref="C72:L72"/>
    <mergeCell ref="C73:L73"/>
    <mergeCell ref="C74:L74"/>
    <mergeCell ref="C75:L75"/>
    <mergeCell ref="C76:L76"/>
    <mergeCell ref="B78:L78"/>
    <mergeCell ref="C80:K80"/>
    <mergeCell ref="C81:K81"/>
    <mergeCell ref="C82:K82"/>
    <mergeCell ref="C83:K83"/>
    <mergeCell ref="B94:K94"/>
    <mergeCell ref="C86:K86"/>
    <mergeCell ref="C87:K87"/>
    <mergeCell ref="C88:K88"/>
    <mergeCell ref="C89:K89"/>
    <mergeCell ref="C90:K90"/>
    <mergeCell ref="C91:K91"/>
    <mergeCell ref="BN26:BO26"/>
    <mergeCell ref="BS3:BZ3"/>
    <mergeCell ref="CB3:CR3"/>
    <mergeCell ref="BS4:BS5"/>
    <mergeCell ref="BT4:BU4"/>
    <mergeCell ref="BV4:BY4"/>
    <mergeCell ref="BZ4:BZ5"/>
    <mergeCell ref="CB4:CF4"/>
    <mergeCell ref="CG4:CL4"/>
    <mergeCell ref="CM4:CR4"/>
  </mergeCells>
  <conditionalFormatting sqref="AI8">
    <cfRule type="cellIs" dxfId="95" priority="5" operator="equal">
      <formula>0</formula>
    </cfRule>
  </conditionalFormatting>
  <conditionalFormatting sqref="AI29:AI38 AI18:AI23 AI9:AI13">
    <cfRule type="cellIs" dxfId="94"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23"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6" operator="containsText" id="{D1AF3674-A232-4AD5-9628-79EA5AFC5A82}">
            <xm:f>NOT(ISERROR(SEARCH('4J'!$T$5,AI8)))</xm:f>
            <xm:f>'4J'!$T$5</xm:f>
            <x14:dxf>
              <fill>
                <patternFill>
                  <bgColor rgb="FFFF0000"/>
                </patternFill>
              </fill>
            </x14:dxf>
          </x14:cfRule>
          <xm:sqref>AI18:AI23 AI8:AI13</xm:sqref>
        </x14:conditionalFormatting>
        <x14:conditionalFormatting xmlns:xm="http://schemas.microsoft.com/office/excel/2006/main">
          <x14:cfRule type="containsText" priority="4" operator="containsText" id="{CB510AC0-A3A6-4ADF-BE2B-B5576FE98204}">
            <xm:f>NOT(ISERROR(SEARCH('4J'!$T$5,AI29)))</xm:f>
            <xm:f>'4J'!$T$5</xm:f>
            <x14:dxf>
              <fill>
                <patternFill>
                  <bgColor rgb="FFFF0000"/>
                </patternFill>
              </fill>
            </x14:dxf>
          </x14:cfRule>
          <xm:sqref>AI29:AI38</xm:sqref>
        </x14:conditionalFormatting>
        <x14:conditionalFormatting xmlns:xm="http://schemas.microsoft.com/office/excel/2006/main">
          <x14:cfRule type="expression" priority="2" id="{8D14C003-6FEC-4849-A4B6-66FDB1D05D8F}">
            <xm:f>Validation!$H$3=1</xm:f>
            <x14:dxf>
              <fill>
                <patternFill>
                  <bgColor theme="2"/>
                </patternFill>
              </fill>
            </x14:dxf>
          </x14:cfRule>
          <xm:sqref>G8:N14 N15 G18:N24 G29:G38 AG29:AG38 P8:AG14 P18:AG24</xm:sqref>
        </x14:conditionalFormatting>
        <x14:conditionalFormatting xmlns:xm="http://schemas.microsoft.com/office/excel/2006/main">
          <x14:cfRule type="expression" priority="1" id="{F65C561F-F4FD-4188-8300-65CE81E0106D}">
            <xm:f>Validation!$H$3=1</xm:f>
            <x14:dxf>
              <fill>
                <patternFill>
                  <bgColor theme="2"/>
                </patternFill>
              </fill>
            </x14:dxf>
          </x14:cfRule>
          <xm:sqref>BS8:BZ14 BZ15 BS18:BZ24 BS29:BS38 CB8:CR14 CB18:CR24</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tabColor theme="0" tint="-0.499984740745262"/>
    <pageSetUpPr fitToPage="1"/>
  </sheetPr>
  <dimension ref="A1:AE54"/>
  <sheetViews>
    <sheetView workbookViewId="0"/>
  </sheetViews>
  <sheetFormatPr defaultColWidth="0" defaultRowHeight="14" zeroHeight="1"/>
  <cols>
    <col min="1" max="1" width="0.58203125" customWidth="1"/>
    <col min="2" max="2" width="8.58203125" customWidth="1"/>
    <col min="3" max="3" width="55" customWidth="1"/>
    <col min="4" max="4" width="8.203125E-2" hidden="1" customWidth="1"/>
    <col min="5" max="6" width="6.08203125" customWidth="1"/>
    <col min="7" max="8" width="15.08203125" customWidth="1"/>
    <col min="9" max="9" width="28.58203125" customWidth="1"/>
    <col min="10" max="10" width="2.08203125" customWidth="1"/>
    <col min="11" max="11" width="24.58203125" customWidth="1"/>
    <col min="12" max="12" width="2.08203125" customWidth="1"/>
    <col min="13" max="13" width="1.58203125" style="1635" hidden="1" customWidth="1"/>
    <col min="14" max="14" width="18.58203125" hidden="1" customWidth="1"/>
    <col min="15" max="15" width="1.5" hidden="1" customWidth="1"/>
    <col min="16" max="16" width="1.58203125" style="1635" hidden="1" customWidth="1"/>
    <col min="17" max="17" width="8.08203125" hidden="1" customWidth="1"/>
    <col min="18" max="18" width="1.58203125" style="1635" hidden="1" customWidth="1"/>
    <col min="19" max="20" width="0" hidden="1" customWidth="1"/>
    <col min="21" max="21" width="27.08203125" hidden="1" customWidth="1"/>
    <col min="22" max="22" width="1.58203125" style="1635" hidden="1" customWidth="1"/>
    <col min="23" max="24" width="8.58203125" customWidth="1"/>
    <col min="25" max="25" width="46" bestFit="1" customWidth="1"/>
    <col min="26" max="28" width="8.58203125" customWidth="1"/>
    <col min="29" max="30" width="15.33203125" customWidth="1"/>
    <col min="31" max="31" width="1.75" customWidth="1"/>
    <col min="32" max="16384" width="8.58203125" hidden="1"/>
  </cols>
  <sheetData>
    <row r="1" spans="1:30" ht="20">
      <c r="A1" s="851"/>
      <c r="B1" s="66" t="s">
        <v>7709</v>
      </c>
      <c r="C1" s="66"/>
      <c r="D1" s="66"/>
      <c r="E1" s="66"/>
      <c r="F1" s="66"/>
      <c r="G1" s="66"/>
      <c r="H1" s="66"/>
      <c r="I1" s="68" t="str">
        <f>Validation!B3</f>
        <v>Bristol Water</v>
      </c>
      <c r="J1" s="66"/>
      <c r="K1" s="69" t="s">
        <v>32</v>
      </c>
      <c r="L1" s="70"/>
      <c r="M1" s="71"/>
      <c r="N1" s="70"/>
      <c r="O1" s="70"/>
      <c r="P1" s="1643"/>
      <c r="Q1" s="1882"/>
      <c r="S1" s="1882"/>
      <c r="T1" s="1882"/>
      <c r="U1" s="1882"/>
      <c r="W1" s="1882"/>
      <c r="X1" s="66" t="s">
        <v>7709</v>
      </c>
      <c r="Y1" s="66"/>
      <c r="Z1" s="66"/>
      <c r="AA1" s="66"/>
      <c r="AB1" s="66"/>
      <c r="AC1" s="66"/>
      <c r="AD1" s="66"/>
    </row>
    <row r="2" spans="1:30" ht="16.5" thickBot="1">
      <c r="A2" s="1189"/>
      <c r="B2" s="73" t="str">
        <f>'4S'!B2</f>
        <v>For the 12 months ended 31 March 2020</v>
      </c>
      <c r="C2" s="1189"/>
      <c r="D2" s="1189"/>
      <c r="E2" s="1189"/>
      <c r="F2" s="1189"/>
      <c r="G2" s="1189"/>
      <c r="H2" s="1189"/>
      <c r="I2" s="1161"/>
      <c r="J2" s="1161"/>
      <c r="K2" s="70"/>
      <c r="L2" s="70"/>
      <c r="M2" s="71"/>
      <c r="N2" s="70"/>
      <c r="O2" s="70"/>
      <c r="P2" s="1643"/>
      <c r="Q2" s="1882"/>
      <c r="S2" s="1882"/>
      <c r="T2" s="1882"/>
      <c r="U2" s="1882"/>
      <c r="W2" s="1882"/>
      <c r="X2" s="73" t="str">
        <f>+B2</f>
        <v>For the 12 months ended 31 March 2020</v>
      </c>
      <c r="Y2" s="2781"/>
      <c r="Z2" s="2781"/>
      <c r="AA2" s="2781"/>
      <c r="AB2" s="2781"/>
      <c r="AC2" s="2781"/>
      <c r="AD2" s="2781"/>
    </row>
    <row r="3" spans="1:30" ht="33" customHeight="1" thickBot="1">
      <c r="A3" s="1176"/>
      <c r="B3" s="1449" t="s">
        <v>191</v>
      </c>
      <c r="C3" s="1451" t="s">
        <v>3980</v>
      </c>
      <c r="D3" s="1450" t="s">
        <v>2462</v>
      </c>
      <c r="E3" s="1451" t="s">
        <v>2308</v>
      </c>
      <c r="F3" s="1452" t="s">
        <v>37</v>
      </c>
      <c r="G3" s="1453" t="s">
        <v>7710</v>
      </c>
      <c r="H3" s="1454" t="s">
        <v>7711</v>
      </c>
      <c r="I3" s="1376" t="s">
        <v>3638</v>
      </c>
      <c r="J3" s="1228"/>
      <c r="K3" s="2824" t="s">
        <v>41</v>
      </c>
      <c r="L3" s="70"/>
      <c r="M3" s="71"/>
      <c r="N3" s="76" t="s">
        <v>45</v>
      </c>
      <c r="O3" s="1574"/>
      <c r="P3" s="71"/>
      <c r="Q3" s="2822" t="s">
        <v>24</v>
      </c>
      <c r="R3" s="71"/>
      <c r="S3" s="76" t="s">
        <v>902</v>
      </c>
      <c r="T3" s="2822"/>
      <c r="U3" s="2822"/>
      <c r="V3" s="71"/>
      <c r="W3" s="1882"/>
      <c r="X3" s="1449" t="s">
        <v>191</v>
      </c>
      <c r="Y3" s="1449" t="s">
        <v>3980</v>
      </c>
      <c r="Z3" s="1450" t="s">
        <v>2462</v>
      </c>
      <c r="AA3" s="1451" t="s">
        <v>2308</v>
      </c>
      <c r="AB3" s="1452" t="s">
        <v>37</v>
      </c>
      <c r="AC3" s="1453" t="s">
        <v>7710</v>
      </c>
      <c r="AD3" s="1454" t="s">
        <v>7711</v>
      </c>
    </row>
    <row r="4" spans="1:30" ht="16.5" thickBot="1">
      <c r="A4" s="1176"/>
      <c r="B4" s="1176"/>
      <c r="C4" s="1176"/>
      <c r="D4" s="1176"/>
      <c r="E4" s="1176"/>
      <c r="F4" s="1176"/>
      <c r="G4" s="1176"/>
      <c r="H4" s="1176"/>
      <c r="I4" s="1882"/>
      <c r="J4" s="1882"/>
      <c r="K4" s="1882"/>
      <c r="L4" s="1882"/>
      <c r="M4" s="71"/>
      <c r="N4" s="85" t="s">
        <v>46</v>
      </c>
      <c r="O4" s="85"/>
      <c r="P4" s="71"/>
      <c r="Q4" s="1882"/>
      <c r="S4" s="1882"/>
      <c r="T4" s="1882"/>
      <c r="U4" s="1882"/>
      <c r="W4" s="1882"/>
      <c r="X4" s="2782"/>
      <c r="Y4" s="2782"/>
      <c r="Z4" s="2782"/>
      <c r="AA4" s="2782"/>
      <c r="AB4" s="2782"/>
      <c r="AC4" s="2783" t="s">
        <v>7712</v>
      </c>
      <c r="AD4" s="2783" t="s">
        <v>7713</v>
      </c>
    </row>
    <row r="5" spans="1:30" ht="16.5" thickBot="1">
      <c r="A5" s="1176"/>
      <c r="B5" s="2863" t="s">
        <v>153</v>
      </c>
      <c r="C5" s="1031" t="s">
        <v>7714</v>
      </c>
      <c r="D5" s="1176"/>
      <c r="E5" s="1176"/>
      <c r="F5" s="1176"/>
      <c r="G5" s="1176"/>
      <c r="H5" s="1176"/>
      <c r="I5" s="1882"/>
      <c r="J5" s="1882"/>
      <c r="K5" s="1882"/>
      <c r="L5" s="1882"/>
      <c r="M5" s="71"/>
      <c r="N5" s="85"/>
      <c r="O5" s="85"/>
      <c r="P5" s="71"/>
      <c r="Q5" s="1882"/>
      <c r="S5" s="1882"/>
      <c r="T5" s="1882"/>
      <c r="U5" s="1882"/>
      <c r="W5" s="1882"/>
      <c r="X5" s="2863" t="s">
        <v>153</v>
      </c>
      <c r="Y5" s="2784" t="s">
        <v>7714</v>
      </c>
      <c r="Z5" s="2782"/>
      <c r="AA5" s="2782"/>
      <c r="AB5" s="2782"/>
      <c r="AC5" s="2782"/>
      <c r="AD5" s="2782"/>
    </row>
    <row r="6" spans="1:30" ht="16">
      <c r="A6" s="1176"/>
      <c r="B6" s="86" t="s">
        <v>7715</v>
      </c>
      <c r="C6" s="117" t="s">
        <v>7716</v>
      </c>
      <c r="D6" s="1606" t="s">
        <v>7717</v>
      </c>
      <c r="E6" s="88" t="s">
        <v>732</v>
      </c>
      <c r="F6" s="89">
        <v>1</v>
      </c>
      <c r="G6" s="1253"/>
      <c r="H6" s="1554"/>
      <c r="I6" s="1741"/>
      <c r="J6" s="1882"/>
      <c r="K6" s="24">
        <f t="shared" ref="K6:K13" si="0" xml:space="preserve"> IF( SUM( M6:P6 ) = 0, 0, $N$4 )</f>
        <v>0</v>
      </c>
      <c r="L6" s="70"/>
      <c r="M6" s="71"/>
      <c r="N6" s="93">
        <f>IF(Validation!$H$3=1,0,IF(ISNUMBER(G6),0,1))</f>
        <v>0</v>
      </c>
      <c r="O6" s="93">
        <f>IF(Validation!$H$3=1,0,IF(ISNUMBER(H6),0,1))</f>
        <v>0</v>
      </c>
      <c r="P6" s="71"/>
      <c r="Q6" s="1882"/>
      <c r="S6" s="1882"/>
      <c r="T6" s="1882"/>
      <c r="U6" s="1882"/>
      <c r="W6" s="1882"/>
      <c r="X6" s="86" t="s">
        <v>7715</v>
      </c>
      <c r="Y6" s="117" t="s">
        <v>7716</v>
      </c>
      <c r="Z6" s="2348" t="s">
        <v>7717</v>
      </c>
      <c r="AA6" s="88" t="s">
        <v>732</v>
      </c>
      <c r="AB6" s="89">
        <v>1</v>
      </c>
      <c r="AC6" s="2785" t="str">
        <f>$D6&amp;AC$4</f>
        <v>BN5611INC</v>
      </c>
      <c r="AD6" s="2786" t="str">
        <f t="shared" ref="AD6:AD14" si="1">$D6&amp;AD$4</f>
        <v>BN5611TPS</v>
      </c>
    </row>
    <row r="7" spans="1:30" ht="15.75" customHeight="1">
      <c r="A7" s="1176"/>
      <c r="B7" s="980" t="s">
        <v>7718</v>
      </c>
      <c r="C7" s="981" t="s">
        <v>7719</v>
      </c>
      <c r="D7" s="1607" t="s">
        <v>7720</v>
      </c>
      <c r="E7" s="1881" t="s">
        <v>732</v>
      </c>
      <c r="F7" s="978">
        <v>1</v>
      </c>
      <c r="G7" s="1254"/>
      <c r="H7" s="1555"/>
      <c r="I7" s="1742"/>
      <c r="J7" s="1882"/>
      <c r="K7" s="24">
        <f t="shared" si="0"/>
        <v>0</v>
      </c>
      <c r="L7" s="70"/>
      <c r="M7" s="71"/>
      <c r="N7" s="93">
        <f>IF(Validation!$H$3=1,0,IF(ISNUMBER(G7),0,1))</f>
        <v>0</v>
      </c>
      <c r="O7" s="93">
        <f>IF(Validation!$H$3=1,0,IF(ISNUMBER(H7),0,1))</f>
        <v>0</v>
      </c>
      <c r="P7" s="71"/>
      <c r="Q7" s="1882"/>
      <c r="S7" s="1882"/>
      <c r="T7" s="1882"/>
      <c r="U7" s="1882"/>
      <c r="W7" s="1882"/>
      <c r="X7" s="980" t="s">
        <v>7718</v>
      </c>
      <c r="Y7" s="2787" t="s">
        <v>7719</v>
      </c>
      <c r="Z7" s="2788" t="s">
        <v>7720</v>
      </c>
      <c r="AA7" s="1881" t="s">
        <v>732</v>
      </c>
      <c r="AB7" s="978">
        <v>1</v>
      </c>
      <c r="AC7" s="2789" t="str">
        <f t="shared" ref="AC7:AC14" si="2">$D7&amp;AC$4</f>
        <v>BN5612INC</v>
      </c>
      <c r="AD7" s="2790" t="str">
        <f t="shared" si="1"/>
        <v>BN5612TPS</v>
      </c>
    </row>
    <row r="8" spans="1:30" ht="15.75" customHeight="1">
      <c r="A8" s="1176"/>
      <c r="B8" s="980" t="s">
        <v>7721</v>
      </c>
      <c r="C8" s="981" t="s">
        <v>7722</v>
      </c>
      <c r="D8" s="1607" t="s">
        <v>7723</v>
      </c>
      <c r="E8" s="1881" t="s">
        <v>732</v>
      </c>
      <c r="F8" s="978">
        <v>1</v>
      </c>
      <c r="G8" s="1254"/>
      <c r="H8" s="1555"/>
      <c r="I8" s="1742"/>
      <c r="J8" s="1882"/>
      <c r="K8" s="24">
        <f t="shared" si="0"/>
        <v>0</v>
      </c>
      <c r="L8" s="70"/>
      <c r="M8" s="71"/>
      <c r="N8" s="93">
        <f>IF(Validation!$H$3=1,0,IF(ISNUMBER(G8),0,1))</f>
        <v>0</v>
      </c>
      <c r="O8" s="93">
        <f>IF(Validation!$H$3=1,0,IF(ISNUMBER(H8),0,1))</f>
        <v>0</v>
      </c>
      <c r="P8" s="71"/>
      <c r="Q8" s="1882"/>
      <c r="S8" s="1882"/>
      <c r="T8" s="1882"/>
      <c r="U8" s="1882"/>
      <c r="W8" s="1882"/>
      <c r="X8" s="980" t="s">
        <v>7721</v>
      </c>
      <c r="Y8" s="2787" t="s">
        <v>7722</v>
      </c>
      <c r="Z8" s="2788" t="s">
        <v>7723</v>
      </c>
      <c r="AA8" s="1881" t="s">
        <v>732</v>
      </c>
      <c r="AB8" s="978">
        <v>1</v>
      </c>
      <c r="AC8" s="2789" t="str">
        <f t="shared" si="2"/>
        <v>BN5613INC</v>
      </c>
      <c r="AD8" s="2790" t="str">
        <f t="shared" si="1"/>
        <v>BN5613TPS</v>
      </c>
    </row>
    <row r="9" spans="1:30" ht="15.75" customHeight="1">
      <c r="A9" s="1176"/>
      <c r="B9" s="980" t="s">
        <v>7724</v>
      </c>
      <c r="C9" s="981" t="s">
        <v>7725</v>
      </c>
      <c r="D9" s="1607" t="s">
        <v>7726</v>
      </c>
      <c r="E9" s="1881" t="s">
        <v>732</v>
      </c>
      <c r="F9" s="978">
        <v>1</v>
      </c>
      <c r="G9" s="1254"/>
      <c r="H9" s="1555"/>
      <c r="I9" s="1742"/>
      <c r="J9" s="1882"/>
      <c r="K9" s="24">
        <f t="shared" si="0"/>
        <v>0</v>
      </c>
      <c r="L9" s="70"/>
      <c r="M9" s="71"/>
      <c r="N9" s="93">
        <f>IF(Validation!$H$3=1,0,IF(ISNUMBER(G9),0,1))</f>
        <v>0</v>
      </c>
      <c r="O9" s="93">
        <f>IF(Validation!$H$3=1,0,IF(ISNUMBER(H9),0,1))</f>
        <v>0</v>
      </c>
      <c r="P9" s="71"/>
      <c r="Q9" s="1882"/>
      <c r="S9" s="1882"/>
      <c r="T9" s="1882"/>
      <c r="U9" s="1882"/>
      <c r="W9" s="1882"/>
      <c r="X9" s="980" t="s">
        <v>7724</v>
      </c>
      <c r="Y9" s="2787" t="s">
        <v>7725</v>
      </c>
      <c r="Z9" s="2788" t="s">
        <v>7726</v>
      </c>
      <c r="AA9" s="1881" t="s">
        <v>732</v>
      </c>
      <c r="AB9" s="978">
        <v>1</v>
      </c>
      <c r="AC9" s="2789" t="str">
        <f t="shared" si="2"/>
        <v>BN5614INC</v>
      </c>
      <c r="AD9" s="2790" t="str">
        <f t="shared" si="1"/>
        <v>BN5614TPS</v>
      </c>
    </row>
    <row r="10" spans="1:30" ht="15.75" customHeight="1">
      <c r="A10" s="1176"/>
      <c r="B10" s="980" t="s">
        <v>7727</v>
      </c>
      <c r="C10" s="981" t="s">
        <v>7728</v>
      </c>
      <c r="D10" s="1607" t="s">
        <v>7729</v>
      </c>
      <c r="E10" s="1881" t="s">
        <v>732</v>
      </c>
      <c r="F10" s="978">
        <v>1</v>
      </c>
      <c r="G10" s="1255"/>
      <c r="H10" s="1556"/>
      <c r="I10" s="1743"/>
      <c r="J10" s="1882"/>
      <c r="K10" s="24">
        <f t="shared" si="0"/>
        <v>0</v>
      </c>
      <c r="L10" s="70"/>
      <c r="M10" s="71"/>
      <c r="N10" s="93">
        <f>IF(Validation!$H$3=1,0,IF(ISNUMBER(G10),0,1))</f>
        <v>0</v>
      </c>
      <c r="O10" s="93">
        <f>IF(Validation!$H$3=1,0,IF(ISNUMBER(H10),0,1))</f>
        <v>0</v>
      </c>
      <c r="P10" s="71"/>
      <c r="Q10" s="1882"/>
      <c r="S10" s="1882"/>
      <c r="T10" s="1882"/>
      <c r="U10" s="1882"/>
      <c r="W10" s="1882"/>
      <c r="X10" s="980" t="s">
        <v>7727</v>
      </c>
      <c r="Y10" s="2787" t="s">
        <v>7728</v>
      </c>
      <c r="Z10" s="2788" t="s">
        <v>7729</v>
      </c>
      <c r="AA10" s="1881" t="s">
        <v>732</v>
      </c>
      <c r="AB10" s="978">
        <v>1</v>
      </c>
      <c r="AC10" s="2791" t="str">
        <f t="shared" si="2"/>
        <v>BN5615INC</v>
      </c>
      <c r="AD10" s="2792" t="str">
        <f t="shared" si="1"/>
        <v>BN5615TPS</v>
      </c>
    </row>
    <row r="11" spans="1:30" ht="15.75" customHeight="1">
      <c r="A11" s="1176"/>
      <c r="B11" s="980" t="s">
        <v>7730</v>
      </c>
      <c r="C11" s="981" t="s">
        <v>7731</v>
      </c>
      <c r="D11" s="1607" t="s">
        <v>7732</v>
      </c>
      <c r="E11" s="1881" t="s">
        <v>732</v>
      </c>
      <c r="F11" s="978">
        <v>1</v>
      </c>
      <c r="G11" s="1254"/>
      <c r="H11" s="1555"/>
      <c r="I11" s="1742"/>
      <c r="J11" s="1882"/>
      <c r="K11" s="24">
        <f t="shared" si="0"/>
        <v>0</v>
      </c>
      <c r="L11" s="70"/>
      <c r="M11" s="71"/>
      <c r="N11" s="93">
        <f>IF(Validation!$H$3=1,0,IF(ISNUMBER(G11),0,1))</f>
        <v>0</v>
      </c>
      <c r="O11" s="93">
        <f>IF(Validation!$H$3=1,0,IF(ISNUMBER(H11),0,1))</f>
        <v>0</v>
      </c>
      <c r="P11" s="71"/>
      <c r="Q11" s="1882"/>
      <c r="S11" s="1882"/>
      <c r="T11" s="1882"/>
      <c r="U11" s="1882"/>
      <c r="W11" s="1882"/>
      <c r="X11" s="980" t="s">
        <v>7730</v>
      </c>
      <c r="Y11" s="2787" t="s">
        <v>7731</v>
      </c>
      <c r="Z11" s="2788" t="s">
        <v>7732</v>
      </c>
      <c r="AA11" s="1881" t="s">
        <v>732</v>
      </c>
      <c r="AB11" s="978">
        <v>1</v>
      </c>
      <c r="AC11" s="2789" t="str">
        <f t="shared" si="2"/>
        <v>BN5616INC</v>
      </c>
      <c r="AD11" s="2790" t="str">
        <f t="shared" si="1"/>
        <v>BN5616TPS</v>
      </c>
    </row>
    <row r="12" spans="1:30" ht="15.75" customHeight="1">
      <c r="A12" s="1176"/>
      <c r="B12" s="980" t="s">
        <v>7733</v>
      </c>
      <c r="C12" s="981" t="s">
        <v>7734</v>
      </c>
      <c r="D12" s="1607" t="s">
        <v>7735</v>
      </c>
      <c r="E12" s="1881" t="s">
        <v>732</v>
      </c>
      <c r="F12" s="978">
        <v>1</v>
      </c>
      <c r="G12" s="1254"/>
      <c r="H12" s="1555"/>
      <c r="I12" s="1742"/>
      <c r="J12" s="1882"/>
      <c r="K12" s="24">
        <f t="shared" si="0"/>
        <v>0</v>
      </c>
      <c r="L12" s="70"/>
      <c r="M12" s="71"/>
      <c r="N12" s="93">
        <f>IF(Validation!$H$3=1,0,IF(ISNUMBER(G12),0,1))</f>
        <v>0</v>
      </c>
      <c r="O12" s="93">
        <f>IF(Validation!$H$3=1,0,IF(ISNUMBER(H12),0,1))</f>
        <v>0</v>
      </c>
      <c r="P12" s="71"/>
      <c r="Q12" s="1882"/>
      <c r="S12" s="1882"/>
      <c r="T12" s="1882"/>
      <c r="U12" s="1882"/>
      <c r="W12" s="1882"/>
      <c r="X12" s="980" t="s">
        <v>7733</v>
      </c>
      <c r="Y12" s="2787" t="s">
        <v>7734</v>
      </c>
      <c r="Z12" s="2788" t="s">
        <v>7735</v>
      </c>
      <c r="AA12" s="1881" t="s">
        <v>732</v>
      </c>
      <c r="AB12" s="978">
        <v>1</v>
      </c>
      <c r="AC12" s="2789" t="str">
        <f t="shared" si="2"/>
        <v>BN5617INC</v>
      </c>
      <c r="AD12" s="2790" t="str">
        <f t="shared" si="1"/>
        <v>BN5617TPS</v>
      </c>
    </row>
    <row r="13" spans="1:30" ht="15.75" customHeight="1">
      <c r="A13" s="1176"/>
      <c r="B13" s="980" t="s">
        <v>7736</v>
      </c>
      <c r="C13" s="981" t="s">
        <v>7737</v>
      </c>
      <c r="D13" s="1607" t="s">
        <v>7738</v>
      </c>
      <c r="E13" s="1881" t="s">
        <v>732</v>
      </c>
      <c r="F13" s="978">
        <v>1</v>
      </c>
      <c r="G13" s="1254"/>
      <c r="H13" s="1555"/>
      <c r="I13" s="1742"/>
      <c r="J13" s="1882"/>
      <c r="K13" s="24">
        <f t="shared" si="0"/>
        <v>0</v>
      </c>
      <c r="L13" s="70"/>
      <c r="M13" s="71"/>
      <c r="N13" s="93">
        <f>IF(Validation!$H$3=1,0,IF(ISNUMBER(G13),0,1))</f>
        <v>0</v>
      </c>
      <c r="O13" s="93">
        <f>IF(Validation!$H$3=1,0,IF(ISNUMBER(H13),0,1))</f>
        <v>0</v>
      </c>
      <c r="P13" s="71"/>
      <c r="Q13" s="1882"/>
      <c r="S13" s="1882"/>
      <c r="T13" s="1882"/>
      <c r="U13" s="1882"/>
      <c r="W13" s="1882"/>
      <c r="X13" s="980" t="s">
        <v>7736</v>
      </c>
      <c r="Y13" s="2787" t="s">
        <v>7737</v>
      </c>
      <c r="Z13" s="2788" t="s">
        <v>7738</v>
      </c>
      <c r="AA13" s="1881" t="s">
        <v>732</v>
      </c>
      <c r="AB13" s="978">
        <v>1</v>
      </c>
      <c r="AC13" s="2789" t="str">
        <f t="shared" si="2"/>
        <v>BN5618INC</v>
      </c>
      <c r="AD13" s="2790" t="str">
        <f t="shared" si="1"/>
        <v>BN5618TPS</v>
      </c>
    </row>
    <row r="14" spans="1:30" ht="21.75" customHeight="1" thickBot="1">
      <c r="A14" s="1189"/>
      <c r="B14" s="985" t="s">
        <v>7739</v>
      </c>
      <c r="C14" s="1086" t="s">
        <v>7740</v>
      </c>
      <c r="D14" s="1608" t="s">
        <v>7741</v>
      </c>
      <c r="E14" s="987" t="s">
        <v>732</v>
      </c>
      <c r="F14" s="988">
        <v>1</v>
      </c>
      <c r="G14" s="1256">
        <f>+SUM(G6:G13)</f>
        <v>0</v>
      </c>
      <c r="H14" s="1708">
        <f>+SUM(H6:H13)</f>
        <v>0</v>
      </c>
      <c r="I14" s="1744"/>
      <c r="J14" s="1882"/>
      <c r="K14" s="1339" t="str">
        <f>IF(SUM(P14:R15) = 0, 0, $U$14)</f>
        <v>Total of lines 4T.1 to 4T.8 do not equal 100%.</v>
      </c>
      <c r="L14" s="1882"/>
      <c r="N14" s="1882"/>
      <c r="O14" s="1882"/>
      <c r="P14" s="71"/>
      <c r="Q14" s="93">
        <f xml:space="preserve"> IF( (S14 - T14) = 0, 0, 1 )</f>
        <v>1</v>
      </c>
      <c r="R14" s="119"/>
      <c r="S14" s="112">
        <f>SUM(G6:H13)</f>
        <v>0</v>
      </c>
      <c r="T14" s="112">
        <v>1</v>
      </c>
      <c r="U14" s="139" t="s">
        <v>7742</v>
      </c>
      <c r="V14" s="119"/>
      <c r="W14" s="1882"/>
      <c r="X14" s="985" t="s">
        <v>7739</v>
      </c>
      <c r="Y14" s="2793" t="s">
        <v>7740</v>
      </c>
      <c r="Z14" s="2794" t="s">
        <v>7741</v>
      </c>
      <c r="AA14" s="987" t="s">
        <v>732</v>
      </c>
      <c r="AB14" s="988">
        <v>1</v>
      </c>
      <c r="AC14" s="1256" t="str">
        <f t="shared" si="2"/>
        <v>BN5619INC</v>
      </c>
      <c r="AD14" s="1256" t="str">
        <f t="shared" si="1"/>
        <v>BN5619TPS</v>
      </c>
    </row>
    <row r="15" spans="1:30" ht="14.5" thickBot="1">
      <c r="A15" s="1189"/>
      <c r="B15" s="1188"/>
      <c r="C15" s="1189"/>
      <c r="D15" s="1188"/>
      <c r="E15" s="1188"/>
      <c r="F15" s="1188"/>
      <c r="G15" s="1188"/>
      <c r="H15" s="1188"/>
      <c r="I15" s="1882"/>
      <c r="J15" s="1882"/>
      <c r="K15" s="1882"/>
      <c r="L15" s="1882"/>
      <c r="N15" s="1882"/>
      <c r="O15" s="1882"/>
      <c r="Q15" s="1882"/>
      <c r="S15" s="1882"/>
      <c r="T15" s="1882"/>
      <c r="U15" s="1882"/>
      <c r="W15" s="1882"/>
      <c r="X15" s="2795"/>
      <c r="Y15" s="2781"/>
      <c r="Z15" s="2796"/>
      <c r="AA15" s="2795"/>
      <c r="AB15" s="2795"/>
      <c r="AC15" s="2795"/>
      <c r="AD15" s="2795"/>
    </row>
    <row r="16" spans="1:30" ht="15" thickBot="1">
      <c r="A16" s="1189"/>
      <c r="B16" s="2863" t="s">
        <v>175</v>
      </c>
      <c r="C16" s="1031" t="s">
        <v>7743</v>
      </c>
      <c r="D16" s="1188"/>
      <c r="E16" s="1188"/>
      <c r="F16" s="1188"/>
      <c r="G16" s="1188"/>
      <c r="H16" s="1188"/>
      <c r="I16" s="1882"/>
      <c r="J16" s="1882"/>
      <c r="K16" s="1882"/>
      <c r="L16" s="1882"/>
      <c r="N16" s="1882"/>
      <c r="O16" s="1882"/>
      <c r="Q16" s="1882"/>
      <c r="S16" s="1882"/>
      <c r="T16" s="1882"/>
      <c r="U16" s="1882"/>
      <c r="W16" s="1882"/>
      <c r="X16" s="2863" t="s">
        <v>175</v>
      </c>
      <c r="Y16" s="2784" t="s">
        <v>7743</v>
      </c>
      <c r="Z16" s="2796"/>
      <c r="AA16" s="2795"/>
      <c r="AB16" s="2795"/>
      <c r="AC16" s="2795"/>
      <c r="AD16" s="2795"/>
    </row>
    <row r="17" spans="1:30" ht="15" customHeight="1">
      <c r="A17" s="1189"/>
      <c r="B17" s="86" t="s">
        <v>7744</v>
      </c>
      <c r="C17" s="117" t="s">
        <v>7745</v>
      </c>
      <c r="D17" s="1606" t="s">
        <v>7746</v>
      </c>
      <c r="E17" s="88" t="s">
        <v>732</v>
      </c>
      <c r="F17" s="89">
        <v>1</v>
      </c>
      <c r="G17" s="1253"/>
      <c r="H17" s="1554"/>
      <c r="I17" s="1741"/>
      <c r="J17" s="1882"/>
      <c r="K17" s="24">
        <f xml:space="preserve"> IF( SUM( M17:P17 ) = 0, 0, $N$4 )</f>
        <v>0</v>
      </c>
      <c r="L17" s="70"/>
      <c r="M17" s="71"/>
      <c r="N17" s="93">
        <f>IF(Validation!$H$3=1,0,IF(ISNUMBER(G17),0,1))</f>
        <v>0</v>
      </c>
      <c r="O17" s="93">
        <f>IF(Validation!$H$3=1,0,IF(ISNUMBER(H17),0,1))</f>
        <v>0</v>
      </c>
      <c r="P17" s="71"/>
      <c r="Q17" s="1882"/>
      <c r="S17" s="1882"/>
      <c r="T17" s="1882"/>
      <c r="U17" s="1882"/>
      <c r="W17" s="1882"/>
      <c r="X17" s="86" t="s">
        <v>7744</v>
      </c>
      <c r="Y17" s="117" t="s">
        <v>7745</v>
      </c>
      <c r="Z17" s="2348" t="s">
        <v>7746</v>
      </c>
      <c r="AA17" s="88" t="s">
        <v>732</v>
      </c>
      <c r="AB17" s="89">
        <v>1</v>
      </c>
      <c r="AC17" s="2785" t="str">
        <f t="shared" ref="AC17:AD22" si="3">$D17&amp;AC$4</f>
        <v>BN5620INC</v>
      </c>
      <c r="AD17" s="2786" t="str">
        <f t="shared" si="3"/>
        <v>BN5620TPS</v>
      </c>
    </row>
    <row r="18" spans="1:30" ht="15" customHeight="1">
      <c r="A18" s="1189"/>
      <c r="B18" s="980" t="s">
        <v>7747</v>
      </c>
      <c r="C18" s="981" t="s">
        <v>7748</v>
      </c>
      <c r="D18" s="1607" t="s">
        <v>7749</v>
      </c>
      <c r="E18" s="1881" t="s">
        <v>732</v>
      </c>
      <c r="F18" s="978">
        <v>1</v>
      </c>
      <c r="G18" s="1254"/>
      <c r="H18" s="1555"/>
      <c r="I18" s="1742"/>
      <c r="J18" s="1882"/>
      <c r="K18" s="24">
        <f xml:space="preserve"> IF( SUM( M18:P18 ) = 0, 0, $N$4 )</f>
        <v>0</v>
      </c>
      <c r="L18" s="70"/>
      <c r="M18" s="71"/>
      <c r="N18" s="93">
        <f>IF(Validation!$H$3=1,0,IF(ISNUMBER(G18),0,1))</f>
        <v>0</v>
      </c>
      <c r="O18" s="93">
        <f>IF(Validation!$H$3=1,0,IF(ISNUMBER(H18),0,1))</f>
        <v>0</v>
      </c>
      <c r="P18" s="71"/>
      <c r="Q18" s="1882"/>
      <c r="S18" s="1882"/>
      <c r="T18" s="1882"/>
      <c r="U18" s="1882"/>
      <c r="W18" s="1882"/>
      <c r="X18" s="980" t="s">
        <v>7747</v>
      </c>
      <c r="Y18" s="2787" t="s">
        <v>7748</v>
      </c>
      <c r="Z18" s="2788" t="s">
        <v>7749</v>
      </c>
      <c r="AA18" s="1881" t="s">
        <v>732</v>
      </c>
      <c r="AB18" s="978">
        <v>1</v>
      </c>
      <c r="AC18" s="2789" t="str">
        <f t="shared" si="3"/>
        <v>BN5621INC</v>
      </c>
      <c r="AD18" s="2790" t="str">
        <f t="shared" si="3"/>
        <v>BN5621TPS</v>
      </c>
    </row>
    <row r="19" spans="1:30" ht="15" customHeight="1">
      <c r="A19" s="1189"/>
      <c r="B19" s="980" t="s">
        <v>7750</v>
      </c>
      <c r="C19" s="981" t="s">
        <v>7751</v>
      </c>
      <c r="D19" s="1607" t="s">
        <v>7752</v>
      </c>
      <c r="E19" s="1881" t="s">
        <v>732</v>
      </c>
      <c r="F19" s="978">
        <v>1</v>
      </c>
      <c r="G19" s="1254"/>
      <c r="H19" s="1555"/>
      <c r="I19" s="1742"/>
      <c r="J19" s="1882"/>
      <c r="K19" s="24">
        <f xml:space="preserve"> IF( SUM( M19:P19 ) = 0, 0, $N$4 )</f>
        <v>0</v>
      </c>
      <c r="L19" s="70"/>
      <c r="M19" s="71"/>
      <c r="N19" s="93">
        <f>IF(Validation!$H$3=1,0,IF(ISNUMBER(G19),0,1))</f>
        <v>0</v>
      </c>
      <c r="O19" s="93">
        <f>IF(Validation!$H$3=1,0,IF(ISNUMBER(H19),0,1))</f>
        <v>0</v>
      </c>
      <c r="P19" s="71"/>
      <c r="Q19" s="1882"/>
      <c r="S19" s="1882"/>
      <c r="T19" s="1882"/>
      <c r="U19" s="1882"/>
      <c r="W19" s="1882"/>
      <c r="X19" s="980" t="s">
        <v>7750</v>
      </c>
      <c r="Y19" s="2787" t="s">
        <v>7751</v>
      </c>
      <c r="Z19" s="2788" t="s">
        <v>7752</v>
      </c>
      <c r="AA19" s="1881" t="s">
        <v>732</v>
      </c>
      <c r="AB19" s="978">
        <v>1</v>
      </c>
      <c r="AC19" s="2789" t="str">
        <f t="shared" si="3"/>
        <v>BN5622INC</v>
      </c>
      <c r="AD19" s="2790" t="str">
        <f t="shared" si="3"/>
        <v>BN5622TPS</v>
      </c>
    </row>
    <row r="20" spans="1:30" ht="15" customHeight="1">
      <c r="A20" s="1189"/>
      <c r="B20" s="980" t="s">
        <v>7753</v>
      </c>
      <c r="C20" s="981" t="s">
        <v>7754</v>
      </c>
      <c r="D20" s="1607" t="s">
        <v>7755</v>
      </c>
      <c r="E20" s="1881" t="s">
        <v>732</v>
      </c>
      <c r="F20" s="978">
        <v>1</v>
      </c>
      <c r="G20" s="1254"/>
      <c r="H20" s="1555"/>
      <c r="I20" s="1742"/>
      <c r="J20" s="1882"/>
      <c r="K20" s="24">
        <f xml:space="preserve"> IF( SUM( M20:P20 ) = 0, 0, $N$4 )</f>
        <v>0</v>
      </c>
      <c r="L20" s="70"/>
      <c r="M20" s="71"/>
      <c r="N20" s="93">
        <f>IF(Validation!$H$3=1,0,IF(ISNUMBER(G20),0,1))</f>
        <v>0</v>
      </c>
      <c r="O20" s="93">
        <f>IF(Validation!$H$3=1,0,IF(ISNUMBER(H20),0,1))</f>
        <v>0</v>
      </c>
      <c r="P20" s="71"/>
      <c r="Q20" s="1882"/>
      <c r="S20" s="1882"/>
      <c r="T20" s="1882"/>
      <c r="U20" s="1882"/>
      <c r="W20" s="1882"/>
      <c r="X20" s="980" t="s">
        <v>7753</v>
      </c>
      <c r="Y20" s="2787" t="s">
        <v>7754</v>
      </c>
      <c r="Z20" s="2788" t="s">
        <v>7755</v>
      </c>
      <c r="AA20" s="1881" t="s">
        <v>732</v>
      </c>
      <c r="AB20" s="978">
        <v>1</v>
      </c>
      <c r="AC20" s="2789" t="str">
        <f t="shared" si="3"/>
        <v>BN5623INC</v>
      </c>
      <c r="AD20" s="2790" t="str">
        <f t="shared" si="3"/>
        <v>BN5623TPS</v>
      </c>
    </row>
    <row r="21" spans="1:30" ht="15" customHeight="1">
      <c r="A21" s="1189"/>
      <c r="B21" s="980" t="s">
        <v>7756</v>
      </c>
      <c r="C21" s="981" t="s">
        <v>7757</v>
      </c>
      <c r="D21" s="1607" t="s">
        <v>7758</v>
      </c>
      <c r="E21" s="1881" t="s">
        <v>732</v>
      </c>
      <c r="F21" s="978">
        <v>1</v>
      </c>
      <c r="G21" s="1254"/>
      <c r="H21" s="1555"/>
      <c r="I21" s="1742"/>
      <c r="J21" s="1882"/>
      <c r="K21" s="24">
        <f xml:space="preserve"> IF( SUM( M21:P21 ) = 0, 0, $N$4 )</f>
        <v>0</v>
      </c>
      <c r="L21" s="70"/>
      <c r="M21" s="71"/>
      <c r="N21" s="93">
        <f>IF(Validation!$H$3=1,0,IF(ISNUMBER(G21),0,1))</f>
        <v>0</v>
      </c>
      <c r="O21" s="93">
        <f>IF(Validation!$H$3=1,0,IF(ISNUMBER(H21),0,1))</f>
        <v>0</v>
      </c>
      <c r="P21" s="71"/>
      <c r="Q21" s="1882"/>
      <c r="S21" s="1882"/>
      <c r="T21" s="1882"/>
      <c r="U21" s="1882"/>
      <c r="W21" s="1882"/>
      <c r="X21" s="980" t="s">
        <v>7756</v>
      </c>
      <c r="Y21" s="2787" t="s">
        <v>7757</v>
      </c>
      <c r="Z21" s="2788" t="s">
        <v>7758</v>
      </c>
      <c r="AA21" s="1881" t="s">
        <v>732</v>
      </c>
      <c r="AB21" s="978">
        <v>1</v>
      </c>
      <c r="AC21" s="2789" t="str">
        <f t="shared" si="3"/>
        <v>BN5624INC</v>
      </c>
      <c r="AD21" s="2790" t="str">
        <f t="shared" si="3"/>
        <v>BN5624TPS</v>
      </c>
    </row>
    <row r="22" spans="1:30" ht="21.75" customHeight="1" thickBot="1">
      <c r="A22" s="1189"/>
      <c r="B22" s="985" t="s">
        <v>7759</v>
      </c>
      <c r="C22" s="1086" t="s">
        <v>7760</v>
      </c>
      <c r="D22" s="1608" t="s">
        <v>7761</v>
      </c>
      <c r="E22" s="987" t="s">
        <v>732</v>
      </c>
      <c r="F22" s="988">
        <v>1</v>
      </c>
      <c r="G22" s="1256">
        <f>+SUM(G17:G21)</f>
        <v>0</v>
      </c>
      <c r="H22" s="1708">
        <f>+SUM(H17:H21)</f>
        <v>0</v>
      </c>
      <c r="I22" s="1744"/>
      <c r="J22" s="1882"/>
      <c r="K22" s="1339" t="str">
        <f>IF(SUM(P22:R23) = 0, 0, $U$22)</f>
        <v>Total of lines 4T.10 to 4T.14 do not equal 100%.</v>
      </c>
      <c r="L22" s="1882"/>
      <c r="N22" s="1882"/>
      <c r="O22" s="1882"/>
      <c r="P22" s="71"/>
      <c r="Q22" s="93">
        <f xml:space="preserve"> IF( (S22 - T22) = 0, 0, 1 )</f>
        <v>1</v>
      </c>
      <c r="R22" s="119"/>
      <c r="S22" s="112">
        <f>SUM(G17:H21)</f>
        <v>0</v>
      </c>
      <c r="T22" s="112">
        <v>1</v>
      </c>
      <c r="U22" s="139" t="s">
        <v>7762</v>
      </c>
      <c r="V22" s="119"/>
      <c r="W22" s="1882"/>
      <c r="X22" s="985" t="s">
        <v>7759</v>
      </c>
      <c r="Y22" s="2793" t="s">
        <v>7760</v>
      </c>
      <c r="Z22" s="2794" t="s">
        <v>7761</v>
      </c>
      <c r="AA22" s="987" t="s">
        <v>732</v>
      </c>
      <c r="AB22" s="988">
        <v>1</v>
      </c>
      <c r="AC22" s="1256" t="str">
        <f t="shared" si="3"/>
        <v>BN5625INC</v>
      </c>
      <c r="AD22" s="1257" t="str">
        <f t="shared" si="3"/>
        <v>BN5625TPS</v>
      </c>
    </row>
    <row r="23" spans="1:30">
      <c r="A23" s="1882"/>
      <c r="B23" s="1882"/>
      <c r="C23" s="1882"/>
      <c r="D23" s="1882"/>
      <c r="E23" s="1882"/>
      <c r="F23" s="1882"/>
      <c r="G23" s="1882"/>
      <c r="H23" s="1882"/>
      <c r="I23" s="1882"/>
      <c r="J23" s="1882"/>
      <c r="K23" s="1882"/>
      <c r="L23" s="1882"/>
      <c r="N23" s="1882"/>
      <c r="O23" s="1882"/>
      <c r="Q23" s="1882"/>
      <c r="S23" s="1882"/>
      <c r="T23" s="1882"/>
      <c r="U23" s="1882"/>
      <c r="V23" s="119"/>
      <c r="W23" s="1882"/>
      <c r="X23" s="483"/>
      <c r="Y23" s="483"/>
      <c r="Z23" s="2346"/>
      <c r="AA23" s="483"/>
      <c r="AB23" s="483"/>
      <c r="AC23" s="483"/>
      <c r="AD23" s="483"/>
    </row>
    <row r="24" spans="1:30" ht="16">
      <c r="A24" s="1882"/>
      <c r="B24" s="3441" t="s">
        <v>241</v>
      </c>
      <c r="C24" s="3442"/>
      <c r="D24" s="1882"/>
      <c r="E24" s="1882"/>
      <c r="F24" s="1882"/>
      <c r="G24" s="1882"/>
      <c r="H24" s="1882"/>
      <c r="I24" s="1882"/>
      <c r="J24" s="1882"/>
      <c r="K24" s="1882"/>
      <c r="L24" s="1882"/>
      <c r="N24" s="1882"/>
      <c r="O24" s="1882"/>
      <c r="Q24" s="1882"/>
      <c r="S24" s="1882"/>
      <c r="T24" s="1882"/>
      <c r="U24" s="1882"/>
      <c r="W24" s="1882"/>
      <c r="X24" s="483"/>
      <c r="Y24" s="483"/>
      <c r="Z24" s="2346"/>
      <c r="AA24" s="483"/>
      <c r="AB24" s="483"/>
      <c r="AC24" s="483"/>
      <c r="AD24" s="483"/>
    </row>
    <row r="25" spans="1:30" ht="16">
      <c r="A25" s="1882"/>
      <c r="B25" s="1097"/>
      <c r="C25" s="1097"/>
      <c r="D25" s="1882"/>
      <c r="E25" s="1882"/>
      <c r="F25" s="1882"/>
      <c r="G25" s="1882"/>
      <c r="H25" s="1882"/>
      <c r="I25" s="1882"/>
      <c r="J25" s="1882"/>
      <c r="K25" s="1882"/>
      <c r="L25" s="1882"/>
      <c r="N25" s="1882"/>
      <c r="O25" s="1882"/>
      <c r="Q25" s="1882"/>
      <c r="S25" s="1882"/>
      <c r="T25" s="1882"/>
      <c r="U25" s="1882"/>
      <c r="W25" s="1882"/>
      <c r="X25" s="1882"/>
      <c r="Y25" s="1882"/>
      <c r="Z25" s="1882"/>
      <c r="AA25" s="1882"/>
      <c r="AB25" s="1882"/>
      <c r="AC25" s="1882"/>
      <c r="AD25" s="1882"/>
    </row>
    <row r="26" spans="1:30" ht="16">
      <c r="A26" s="1882"/>
      <c r="B26" s="929"/>
      <c r="C26" s="1220" t="s">
        <v>188</v>
      </c>
      <c r="D26" s="1882"/>
      <c r="E26" s="1882"/>
      <c r="F26" s="1882"/>
      <c r="G26" s="1882"/>
      <c r="H26" s="1882"/>
      <c r="I26" s="1882"/>
      <c r="J26" s="1882"/>
      <c r="K26" s="1882"/>
      <c r="L26" s="1882"/>
      <c r="N26" s="1882"/>
      <c r="O26" s="1882"/>
      <c r="Q26" s="1882"/>
      <c r="S26" s="1882"/>
      <c r="T26" s="1882"/>
      <c r="U26" s="1882"/>
      <c r="W26" s="1882"/>
      <c r="X26" s="1882"/>
      <c r="Y26" s="1882"/>
      <c r="Z26" s="1882"/>
      <c r="AA26" s="1882"/>
      <c r="AB26" s="1882"/>
      <c r="AC26" s="1882"/>
      <c r="AD26" s="1882"/>
    </row>
    <row r="27" spans="1:30" ht="16">
      <c r="A27" s="1882"/>
      <c r="B27" s="1097"/>
      <c r="C27" s="1097"/>
      <c r="D27" s="1882"/>
      <c r="E27" s="1882"/>
      <c r="F27" s="1882"/>
      <c r="G27" s="1882"/>
      <c r="H27" s="1882"/>
      <c r="I27" s="1882"/>
      <c r="J27" s="1882"/>
      <c r="K27" s="1882"/>
      <c r="L27" s="1882"/>
      <c r="N27" s="1882"/>
      <c r="O27" s="1882"/>
      <c r="Q27" s="1882"/>
      <c r="S27" s="1882"/>
      <c r="T27" s="1882"/>
      <c r="U27" s="1882"/>
      <c r="W27" s="1882"/>
      <c r="X27" s="1882"/>
      <c r="Y27" s="1882"/>
      <c r="Z27" s="1882"/>
      <c r="AA27" s="1882"/>
      <c r="AB27" s="1882"/>
      <c r="AC27" s="1882"/>
      <c r="AD27" s="1882"/>
    </row>
    <row r="28" spans="1:30" ht="16">
      <c r="A28" s="1882"/>
      <c r="B28" s="931"/>
      <c r="C28" s="1220" t="s">
        <v>4346</v>
      </c>
      <c r="D28" s="1882"/>
      <c r="E28" s="1882"/>
      <c r="F28" s="1882"/>
      <c r="G28" s="1882"/>
      <c r="H28" s="1882"/>
      <c r="I28" s="1882"/>
      <c r="J28" s="1882"/>
      <c r="K28" s="1882"/>
      <c r="L28" s="1882"/>
      <c r="N28" s="1882"/>
      <c r="O28" s="1882"/>
      <c r="Q28" s="1882"/>
      <c r="S28" s="1882"/>
      <c r="T28" s="1882"/>
      <c r="U28" s="1882"/>
      <c r="W28" s="1882"/>
      <c r="X28" s="1882"/>
      <c r="Y28" s="1882"/>
      <c r="Z28" s="1882"/>
      <c r="AA28" s="1882"/>
      <c r="AB28" s="1882"/>
      <c r="AC28" s="1882"/>
      <c r="AD28" s="1882"/>
    </row>
    <row r="29" spans="1:30">
      <c r="A29" s="1882"/>
      <c r="B29" s="1882"/>
      <c r="C29" s="1882"/>
      <c r="D29" s="1882"/>
      <c r="E29" s="1882"/>
      <c r="F29" s="1882"/>
      <c r="G29" s="1882"/>
      <c r="H29" s="1882"/>
      <c r="I29" s="1882"/>
      <c r="J29" s="1882"/>
      <c r="K29" s="1882"/>
      <c r="L29" s="1882"/>
      <c r="N29" s="1882"/>
      <c r="O29" s="1882"/>
      <c r="Q29" s="1882"/>
      <c r="S29" s="1882"/>
      <c r="T29" s="1882"/>
      <c r="U29" s="1882"/>
      <c r="W29" s="1882"/>
      <c r="X29" s="1882"/>
      <c r="Y29" s="1882"/>
      <c r="Z29" s="1882"/>
      <c r="AA29" s="1882"/>
      <c r="AB29" s="1882"/>
      <c r="AC29" s="1882"/>
      <c r="AD29" s="1882"/>
    </row>
    <row r="30" spans="1:30" ht="14.5" thickBot="1">
      <c r="A30" s="1882"/>
      <c r="B30" s="1882"/>
      <c r="C30" s="1882"/>
      <c r="D30" s="1882"/>
      <c r="E30" s="1882"/>
      <c r="F30" s="1882"/>
      <c r="G30" s="1882"/>
      <c r="H30" s="1882"/>
      <c r="I30" s="1882"/>
      <c r="J30" s="1882"/>
      <c r="K30" s="1882"/>
      <c r="L30" s="1882"/>
      <c r="N30" s="1882"/>
      <c r="O30" s="1882"/>
      <c r="Q30" s="1882"/>
      <c r="S30" s="1882"/>
      <c r="T30" s="1882"/>
      <c r="U30" s="1882"/>
      <c r="W30" s="1882"/>
      <c r="X30" s="1882"/>
      <c r="Y30" s="1882"/>
      <c r="Z30" s="1882"/>
      <c r="AA30" s="1882"/>
      <c r="AB30" s="1882"/>
      <c r="AC30" s="1882"/>
      <c r="AD30" s="1882"/>
    </row>
    <row r="31" spans="1:30" ht="15.5" thickBot="1">
      <c r="A31" s="1882"/>
      <c r="B31" s="1342" t="str">
        <f>'4S'!B47</f>
        <v>Please refer to RAG 4.08 - Guideline for the table definitions in the annual performance report for the reporting year 2019-20</v>
      </c>
      <c r="C31" s="932"/>
      <c r="D31" s="932"/>
      <c r="E31" s="932"/>
      <c r="F31" s="933"/>
      <c r="G31" s="933"/>
      <c r="H31" s="933"/>
      <c r="I31" s="934"/>
      <c r="J31" s="1882"/>
      <c r="K31" s="1882"/>
      <c r="L31" s="1882"/>
      <c r="N31" s="1882"/>
      <c r="O31" s="1882"/>
      <c r="Q31" s="1882"/>
      <c r="S31" s="1882"/>
      <c r="T31" s="1882"/>
      <c r="U31" s="1882"/>
      <c r="W31" s="1882"/>
      <c r="X31" s="1882"/>
      <c r="Y31" s="1882"/>
      <c r="Z31" s="1882"/>
      <c r="AA31" s="1882"/>
      <c r="AB31" s="1882"/>
      <c r="AC31" s="1882"/>
      <c r="AD31" s="1882"/>
    </row>
    <row r="32" spans="1:30" ht="14.5" thickBot="1">
      <c r="A32" s="1882"/>
      <c r="B32" s="1882"/>
      <c r="C32" s="1882"/>
      <c r="D32" s="1882"/>
      <c r="E32" s="1882"/>
      <c r="F32" s="1882"/>
      <c r="G32" s="1882"/>
      <c r="H32" s="1882"/>
      <c r="I32" s="1882"/>
      <c r="J32" s="1882"/>
      <c r="K32" s="1882"/>
      <c r="L32" s="1882"/>
      <c r="N32" s="1882"/>
      <c r="O32" s="1882"/>
      <c r="Q32" s="1882"/>
      <c r="S32" s="1882"/>
      <c r="T32" s="1882"/>
      <c r="U32" s="1882"/>
      <c r="W32" s="1882"/>
      <c r="X32" s="1882"/>
      <c r="Y32" s="1882"/>
      <c r="Z32" s="1882"/>
      <c r="AA32" s="1882"/>
      <c r="AB32" s="1882"/>
      <c r="AC32" s="1882"/>
      <c r="AD32" s="1882"/>
    </row>
    <row r="33" spans="1:9" ht="15.5" hidden="1" thickBot="1">
      <c r="A33" s="1571"/>
      <c r="B33" s="34" t="str">
        <f ca="1" xml:space="preserve"> RIGHT(CELL("filename", $A$1), LEN(CELL("filename", $A$1)) - SEARCH("]", CELL("filename", $A$1)))&amp;" - Line definitions"</f>
        <v>4T - Line definitions</v>
      </c>
      <c r="C33" s="932"/>
      <c r="D33" s="932"/>
      <c r="E33" s="932"/>
      <c r="F33" s="933"/>
      <c r="G33" s="933"/>
      <c r="H33" s="933"/>
      <c r="I33" s="934"/>
    </row>
    <row r="34" spans="1:9" ht="14.5" hidden="1" thickBot="1">
      <c r="A34" s="1571"/>
      <c r="B34" s="851"/>
      <c r="C34" s="1005"/>
      <c r="D34" s="1005"/>
      <c r="E34" s="1005"/>
      <c r="F34" s="851"/>
      <c r="G34" s="851"/>
      <c r="H34" s="851"/>
      <c r="I34" s="1258"/>
    </row>
    <row r="35" spans="1:9" ht="14.5" hidden="1" thickBot="1">
      <c r="A35" s="1571"/>
      <c r="B35" s="1259" t="s">
        <v>191</v>
      </c>
      <c r="C35" s="3443" t="s">
        <v>192</v>
      </c>
      <c r="D35" s="3443"/>
      <c r="E35" s="3444"/>
      <c r="F35" s="3444"/>
      <c r="G35" s="3444"/>
      <c r="H35" s="3444"/>
      <c r="I35" s="3445"/>
    </row>
    <row r="36" spans="1:9" ht="16" hidden="1">
      <c r="A36" s="1571"/>
      <c r="B36" s="1260">
        <v>1</v>
      </c>
      <c r="C36" s="3446" t="s">
        <v>7763</v>
      </c>
      <c r="D36" s="3447"/>
      <c r="E36" s="3447"/>
      <c r="F36" s="3447"/>
      <c r="G36" s="3447"/>
      <c r="H36" s="3447"/>
      <c r="I36" s="3448"/>
    </row>
    <row r="37" spans="1:9" ht="16" hidden="1">
      <c r="A37" s="1571"/>
      <c r="B37" s="1261">
        <f t="shared" ref="B37:B50" si="4">+B36+1</f>
        <v>2</v>
      </c>
      <c r="C37" s="3435" t="s">
        <v>7764</v>
      </c>
      <c r="D37" s="3436"/>
      <c r="E37" s="3436"/>
      <c r="F37" s="3436"/>
      <c r="G37" s="3436"/>
      <c r="H37" s="3436"/>
      <c r="I37" s="3437"/>
    </row>
    <row r="38" spans="1:9" ht="16" hidden="1">
      <c r="A38" s="1571"/>
      <c r="B38" s="1261">
        <f t="shared" si="4"/>
        <v>3</v>
      </c>
      <c r="C38" s="3435" t="s">
        <v>7765</v>
      </c>
      <c r="D38" s="3436"/>
      <c r="E38" s="3436"/>
      <c r="F38" s="3436"/>
      <c r="G38" s="3436"/>
      <c r="H38" s="3436"/>
      <c r="I38" s="3437"/>
    </row>
    <row r="39" spans="1:9" ht="16" hidden="1">
      <c r="A39" s="1571"/>
      <c r="B39" s="1261">
        <f t="shared" si="4"/>
        <v>4</v>
      </c>
      <c r="C39" s="3435" t="s">
        <v>7766</v>
      </c>
      <c r="D39" s="3436"/>
      <c r="E39" s="3436"/>
      <c r="F39" s="3436"/>
      <c r="G39" s="3436"/>
      <c r="H39" s="3436"/>
      <c r="I39" s="3437"/>
    </row>
    <row r="40" spans="1:9" ht="16" hidden="1">
      <c r="A40" s="1571"/>
      <c r="B40" s="1261">
        <f t="shared" si="4"/>
        <v>5</v>
      </c>
      <c r="C40" s="3435" t="s">
        <v>7767</v>
      </c>
      <c r="D40" s="3436"/>
      <c r="E40" s="3436"/>
      <c r="F40" s="3436"/>
      <c r="G40" s="3436"/>
      <c r="H40" s="3436"/>
      <c r="I40" s="3437"/>
    </row>
    <row r="41" spans="1:9" ht="16" hidden="1">
      <c r="A41" s="1571"/>
      <c r="B41" s="1261">
        <f t="shared" si="4"/>
        <v>6</v>
      </c>
      <c r="C41" s="3435" t="s">
        <v>7768</v>
      </c>
      <c r="D41" s="3436"/>
      <c r="E41" s="3436"/>
      <c r="F41" s="3436"/>
      <c r="G41" s="3436"/>
      <c r="H41" s="3436"/>
      <c r="I41" s="3437"/>
    </row>
    <row r="42" spans="1:9" ht="16" hidden="1">
      <c r="A42" s="1571"/>
      <c r="B42" s="1261">
        <f t="shared" si="4"/>
        <v>7</v>
      </c>
      <c r="C42" s="3435" t="s">
        <v>7769</v>
      </c>
      <c r="D42" s="3436"/>
      <c r="E42" s="3436"/>
      <c r="F42" s="3436"/>
      <c r="G42" s="3436"/>
      <c r="H42" s="3436"/>
      <c r="I42" s="3437"/>
    </row>
    <row r="43" spans="1:9" ht="16" hidden="1">
      <c r="A43" s="1571"/>
      <c r="B43" s="1261">
        <f t="shared" si="4"/>
        <v>8</v>
      </c>
      <c r="C43" s="3435" t="s">
        <v>7770</v>
      </c>
      <c r="D43" s="3436"/>
      <c r="E43" s="3436"/>
      <c r="F43" s="3436"/>
      <c r="G43" s="3436"/>
      <c r="H43" s="3436"/>
      <c r="I43" s="3437"/>
    </row>
    <row r="44" spans="1:9" ht="16" hidden="1">
      <c r="A44" s="1571"/>
      <c r="B44" s="1261">
        <f t="shared" si="4"/>
        <v>9</v>
      </c>
      <c r="C44" s="3435" t="s">
        <v>7771</v>
      </c>
      <c r="D44" s="3436"/>
      <c r="E44" s="3436"/>
      <c r="F44" s="3436"/>
      <c r="G44" s="3436"/>
      <c r="H44" s="3436"/>
      <c r="I44" s="3437"/>
    </row>
    <row r="45" spans="1:9" ht="16" hidden="1">
      <c r="A45" s="1571"/>
      <c r="B45" s="1261">
        <f t="shared" si="4"/>
        <v>10</v>
      </c>
      <c r="C45" s="3435" t="s">
        <v>7772</v>
      </c>
      <c r="D45" s="3436"/>
      <c r="E45" s="3436"/>
      <c r="F45" s="3436"/>
      <c r="G45" s="3436"/>
      <c r="H45" s="3436"/>
      <c r="I45" s="3437"/>
    </row>
    <row r="46" spans="1:9" ht="16" hidden="1">
      <c r="A46" s="1571"/>
      <c r="B46" s="1261">
        <f t="shared" si="4"/>
        <v>11</v>
      </c>
      <c r="C46" s="3435" t="s">
        <v>7773</v>
      </c>
      <c r="D46" s="3436"/>
      <c r="E46" s="3436"/>
      <c r="F46" s="3436"/>
      <c r="G46" s="3436"/>
      <c r="H46" s="3436"/>
      <c r="I46" s="3437"/>
    </row>
    <row r="47" spans="1:9" ht="16" hidden="1">
      <c r="A47" s="1571"/>
      <c r="B47" s="1261">
        <f t="shared" si="4"/>
        <v>12</v>
      </c>
      <c r="C47" s="3435" t="s">
        <v>7774</v>
      </c>
      <c r="D47" s="3436"/>
      <c r="E47" s="3436"/>
      <c r="F47" s="3436"/>
      <c r="G47" s="3436"/>
      <c r="H47" s="3436"/>
      <c r="I47" s="3437"/>
    </row>
    <row r="48" spans="1:9" ht="16" hidden="1">
      <c r="A48" s="1571"/>
      <c r="B48" s="1261">
        <f t="shared" si="4"/>
        <v>13</v>
      </c>
      <c r="C48" s="3435" t="s">
        <v>7775</v>
      </c>
      <c r="D48" s="3436"/>
      <c r="E48" s="3436"/>
      <c r="F48" s="3436"/>
      <c r="G48" s="3436"/>
      <c r="H48" s="3436"/>
      <c r="I48" s="3437"/>
    </row>
    <row r="49" spans="1:9" ht="16" hidden="1">
      <c r="A49" s="1571"/>
      <c r="B49" s="1261">
        <f t="shared" si="4"/>
        <v>14</v>
      </c>
      <c r="C49" s="3435" t="s">
        <v>7776</v>
      </c>
      <c r="D49" s="3436"/>
      <c r="E49" s="3436"/>
      <c r="F49" s="3436"/>
      <c r="G49" s="3436"/>
      <c r="H49" s="3436"/>
      <c r="I49" s="3437"/>
    </row>
    <row r="50" spans="1:9" ht="16.5" hidden="1" thickBot="1">
      <c r="A50" s="1571"/>
      <c r="B50" s="1262">
        <f t="shared" si="4"/>
        <v>15</v>
      </c>
      <c r="C50" s="3435" t="s">
        <v>7777</v>
      </c>
      <c r="D50" s="3436"/>
      <c r="E50" s="3436"/>
      <c r="F50" s="3436"/>
      <c r="G50" s="3436"/>
      <c r="H50" s="3436"/>
      <c r="I50" s="3437"/>
    </row>
    <row r="51" spans="1:9" ht="14.5" hidden="1" thickBot="1">
      <c r="A51" s="1571"/>
      <c r="B51" s="1189"/>
      <c r="C51" s="1189"/>
      <c r="D51" s="1189"/>
      <c r="E51" s="1189"/>
      <c r="F51" s="1189"/>
      <c r="G51" s="1189"/>
      <c r="H51" s="1189"/>
      <c r="I51" s="1189"/>
    </row>
    <row r="52" spans="1:9" ht="16.5" thickBot="1">
      <c r="A52" s="1882"/>
      <c r="B52" s="1774" t="s">
        <v>4365</v>
      </c>
      <c r="C52" s="1775"/>
      <c r="D52" s="1775"/>
      <c r="E52" s="1775"/>
      <c r="F52" s="1775"/>
      <c r="G52" s="1776"/>
      <c r="H52" s="1776"/>
      <c r="I52" s="1777"/>
    </row>
    <row r="53" spans="1:9" ht="16.5" thickBot="1">
      <c r="A53" s="1882"/>
      <c r="B53" s="3438" t="s">
        <v>7778</v>
      </c>
      <c r="C53" s="3439"/>
      <c r="D53" s="3439"/>
      <c r="E53" s="3439"/>
      <c r="F53" s="3439"/>
      <c r="G53" s="3439"/>
      <c r="H53" s="3439"/>
      <c r="I53" s="3440"/>
    </row>
    <row r="54" spans="1:9">
      <c r="A54" s="1882"/>
      <c r="B54" s="1882"/>
      <c r="C54" s="1882"/>
      <c r="D54" s="1882"/>
      <c r="E54" s="1882"/>
      <c r="F54" s="1882"/>
      <c r="G54" s="1882"/>
      <c r="H54" s="1882"/>
      <c r="I54" s="1882"/>
    </row>
  </sheetData>
  <sheetProtection algorithmName="SHA-512" hashValue="Gnf5WhteO4vETxD85WRT29NAQb7wK1dfEYw7Ve7omB6/mTRBBH5VFV7yseTtMmQQSuYTKhZG3I1tBclz4RnHRQ==" saltValue="A2ex7dFm8LMrenmQjr51XA==" spinCount="100000" sheet="1" objects="1" scenarios="1"/>
  <mergeCells count="18">
    <mergeCell ref="C40:I40"/>
    <mergeCell ref="C41:I41"/>
    <mergeCell ref="C38:I38"/>
    <mergeCell ref="B24:C24"/>
    <mergeCell ref="C35:I35"/>
    <mergeCell ref="C36:I36"/>
    <mergeCell ref="C37:I37"/>
    <mergeCell ref="C39:I39"/>
    <mergeCell ref="C42:I42"/>
    <mergeCell ref="C43:I43"/>
    <mergeCell ref="B53:I53"/>
    <mergeCell ref="C45:I45"/>
    <mergeCell ref="C46:I46"/>
    <mergeCell ref="C47:I47"/>
    <mergeCell ref="C48:I48"/>
    <mergeCell ref="C49:I49"/>
    <mergeCell ref="C50:I50"/>
    <mergeCell ref="C44:I44"/>
  </mergeCells>
  <conditionalFormatting sqref="K17:K21">
    <cfRule type="cellIs" dxfId="89" priority="5" operator="equal">
      <formula>0</formula>
    </cfRule>
  </conditionalFormatting>
  <conditionalFormatting sqref="K6:K13">
    <cfRule type="cellIs" dxfId="88" priority="6" operator="equal">
      <formula>0</formula>
    </cfRule>
  </conditionalFormatting>
  <conditionalFormatting sqref="K14">
    <cfRule type="cellIs" dxfId="87" priority="3" operator="equal">
      <formula>0</formula>
    </cfRule>
  </conditionalFormatting>
  <conditionalFormatting sqref="K22">
    <cfRule type="cellIs" dxfId="86"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B176302D-6702-493F-BE1E-9C03BC46205B}">
            <xm:f>Validation!$H$3=1</xm:f>
            <x14:dxf>
              <fill>
                <patternFill>
                  <bgColor theme="2"/>
                </patternFill>
              </fill>
            </x14:dxf>
          </x14:cfRule>
          <xm:sqref>G6:I14 G17:I22</xm:sqref>
        </x14:conditionalFormatting>
        <x14:conditionalFormatting xmlns:xm="http://schemas.microsoft.com/office/excel/2006/main">
          <x14:cfRule type="expression" priority="1" id="{28A0CB1A-6958-4B0A-B2E9-41637771A34A}">
            <xm:f>Validation!$H$3=1</xm:f>
            <x14:dxf>
              <fill>
                <patternFill>
                  <bgColor theme="2"/>
                </patternFill>
              </fill>
            </x14:dxf>
          </x14:cfRule>
          <xm:sqref>AC6:AD14 AC17:AD22</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tabColor theme="0" tint="-0.34998626667073579"/>
    <pageSetUpPr fitToPage="1"/>
  </sheetPr>
  <dimension ref="A1:N81"/>
  <sheetViews>
    <sheetView workbookViewId="0"/>
  </sheetViews>
  <sheetFormatPr defaultColWidth="0" defaultRowHeight="14" zeroHeight="1"/>
  <cols>
    <col min="1" max="1" width="0.58203125" customWidth="1"/>
    <col min="2" max="2" width="8.58203125" customWidth="1"/>
    <col min="3" max="3" width="93.08203125" customWidth="1"/>
    <col min="4" max="4" width="13.75" customWidth="1"/>
    <col min="5" max="6" width="8.58203125" customWidth="1"/>
    <col min="7" max="7" width="12.58203125" customWidth="1"/>
    <col min="8" max="8" width="26.08203125" bestFit="1" customWidth="1"/>
    <col min="9" max="9" width="1.58203125" customWidth="1"/>
    <col min="10" max="10" width="21.58203125" customWidth="1"/>
    <col min="11" max="11" width="2.08203125" customWidth="1"/>
    <col min="12" max="12" width="1.08203125" style="1635" hidden="1" customWidth="1"/>
    <col min="13" max="13" width="19.08203125" hidden="1" customWidth="1"/>
    <col min="14" max="14" width="1.08203125" style="1635" hidden="1" customWidth="1"/>
    <col min="15" max="16384" width="8.58203125" hidden="1"/>
  </cols>
  <sheetData>
    <row r="1" spans="1:14" ht="20">
      <c r="A1" s="851"/>
      <c r="B1" s="66" t="s">
        <v>7779</v>
      </c>
      <c r="C1" s="66"/>
      <c r="D1" s="66"/>
      <c r="E1" s="66"/>
      <c r="F1" s="66"/>
      <c r="G1" s="66"/>
      <c r="H1" s="68" t="str">
        <f>Validation!B3</f>
        <v>Bristol Water</v>
      </c>
      <c r="I1" s="66"/>
      <c r="J1" s="69" t="s">
        <v>32</v>
      </c>
      <c r="K1" s="70"/>
      <c r="L1" s="71"/>
      <c r="M1" s="851"/>
      <c r="N1" s="71"/>
    </row>
    <row r="2" spans="1:14" ht="16.5" thickBot="1">
      <c r="A2" s="1161"/>
      <c r="B2" s="73" t="str">
        <f>'4T'!B2</f>
        <v>For the 12 months ended 31 March 2020</v>
      </c>
      <c r="C2" s="1161"/>
      <c r="D2" s="1161"/>
      <c r="E2" s="1161"/>
      <c r="F2" s="1161"/>
      <c r="G2" s="1161"/>
      <c r="H2" s="851"/>
      <c r="I2" s="70"/>
      <c r="J2" s="70"/>
      <c r="K2" s="70"/>
      <c r="L2" s="71"/>
      <c r="M2" s="851"/>
      <c r="N2" s="71"/>
    </row>
    <row r="3" spans="1:14" ht="16.5" thickBot="1">
      <c r="A3" s="1047"/>
      <c r="B3" s="967" t="s">
        <v>191</v>
      </c>
      <c r="C3" s="968" t="s">
        <v>3980</v>
      </c>
      <c r="D3" s="969" t="s">
        <v>2462</v>
      </c>
      <c r="E3" s="969" t="s">
        <v>2308</v>
      </c>
      <c r="F3" s="969" t="s">
        <v>37</v>
      </c>
      <c r="G3" s="2870" t="s">
        <v>156</v>
      </c>
      <c r="H3" s="1263" t="s">
        <v>3638</v>
      </c>
      <c r="I3" s="70"/>
      <c r="J3" s="2824" t="s">
        <v>41</v>
      </c>
      <c r="K3" s="70"/>
      <c r="L3" s="71"/>
      <c r="M3" s="76" t="s">
        <v>45</v>
      </c>
      <c r="N3" s="71"/>
    </row>
    <row r="4" spans="1:14" ht="16.5" thickBot="1">
      <c r="A4" s="1166"/>
      <c r="B4" s="1167"/>
      <c r="C4" s="1167"/>
      <c r="D4" s="568"/>
      <c r="E4" s="1166"/>
      <c r="F4" s="1166"/>
      <c r="G4" s="1166"/>
      <c r="H4" s="851"/>
      <c r="I4" s="70"/>
      <c r="J4" s="1063"/>
      <c r="K4" s="70"/>
      <c r="L4" s="71"/>
      <c r="M4" s="85" t="s">
        <v>46</v>
      </c>
      <c r="N4" s="71"/>
    </row>
    <row r="5" spans="1:14" ht="16.5" thickBot="1">
      <c r="A5" s="1166"/>
      <c r="B5" s="2863" t="s">
        <v>153</v>
      </c>
      <c r="C5" s="1031" t="s">
        <v>6633</v>
      </c>
      <c r="D5" s="568"/>
      <c r="E5" s="1166"/>
      <c r="F5" s="1166"/>
      <c r="G5" s="1166"/>
      <c r="H5" s="851"/>
      <c r="I5" s="70"/>
      <c r="J5" s="1063"/>
      <c r="K5" s="70"/>
      <c r="L5" s="71"/>
      <c r="M5" s="85"/>
      <c r="N5" s="71"/>
    </row>
    <row r="6" spans="1:14" ht="18" customHeight="1">
      <c r="A6" s="1163"/>
      <c r="B6" s="1264" t="s">
        <v>7780</v>
      </c>
      <c r="C6" s="1265" t="s">
        <v>7781</v>
      </c>
      <c r="D6" s="1581" t="s">
        <v>7782</v>
      </c>
      <c r="E6" s="1266" t="s">
        <v>6084</v>
      </c>
      <c r="F6" s="1267">
        <v>3</v>
      </c>
      <c r="G6" s="1268"/>
      <c r="H6" s="1745"/>
      <c r="I6" s="70"/>
      <c r="J6" s="24">
        <f xml:space="preserve"> IF( SUM( L6:N6 ) = 0, 0, $M$4 )</f>
        <v>0</v>
      </c>
      <c r="K6" s="70"/>
      <c r="L6" s="71"/>
      <c r="M6" s="93">
        <f>IF(Validation!$H$3=1,0,IF(ISNUMBER(G6),0,1))</f>
        <v>0</v>
      </c>
      <c r="N6" s="71"/>
    </row>
    <row r="7" spans="1:14" ht="18" customHeight="1">
      <c r="A7" s="1163"/>
      <c r="B7" s="1057" t="s">
        <v>7783</v>
      </c>
      <c r="C7" s="1269" t="s">
        <v>7784</v>
      </c>
      <c r="D7" s="1582" t="s">
        <v>7785</v>
      </c>
      <c r="E7" s="1270" t="s">
        <v>6084</v>
      </c>
      <c r="F7" s="1060">
        <v>3</v>
      </c>
      <c r="G7" s="1271"/>
      <c r="H7" s="1727"/>
      <c r="I7" s="70"/>
      <c r="J7" s="24">
        <f t="shared" ref="J7:J14" si="0" xml:space="preserve"> IF( SUM( L7:N7 ) = 0, 0, $M$4 )</f>
        <v>0</v>
      </c>
      <c r="K7" s="70"/>
      <c r="L7" s="71"/>
      <c r="M7" s="93">
        <f>IF(Validation!$H$3=1,0,IF(ISNUMBER(G7),0,1))</f>
        <v>0</v>
      </c>
      <c r="N7" s="71"/>
    </row>
    <row r="8" spans="1:14" ht="18" customHeight="1">
      <c r="A8" s="1163"/>
      <c r="B8" s="1057" t="s">
        <v>7786</v>
      </c>
      <c r="C8" s="1269" t="s">
        <v>7787</v>
      </c>
      <c r="D8" s="1582" t="s">
        <v>7788</v>
      </c>
      <c r="E8" s="1270" t="s">
        <v>6084</v>
      </c>
      <c r="F8" s="1060">
        <v>3</v>
      </c>
      <c r="G8" s="1271"/>
      <c r="H8" s="1727"/>
      <c r="I8" s="70"/>
      <c r="J8" s="24">
        <f t="shared" si="0"/>
        <v>0</v>
      </c>
      <c r="K8" s="70"/>
      <c r="L8" s="71"/>
      <c r="M8" s="93">
        <f>IF(Validation!$H$3=1,0,IF(ISNUMBER(G8),0,1))</f>
        <v>0</v>
      </c>
      <c r="N8" s="71"/>
    </row>
    <row r="9" spans="1:14" ht="18" customHeight="1">
      <c r="A9" s="1163"/>
      <c r="B9" s="1057" t="s">
        <v>7789</v>
      </c>
      <c r="C9" s="1269" t="s">
        <v>7790</v>
      </c>
      <c r="D9" s="1582" t="s">
        <v>7791</v>
      </c>
      <c r="E9" s="1270" t="s">
        <v>6084</v>
      </c>
      <c r="F9" s="1060">
        <v>3</v>
      </c>
      <c r="G9" s="1271"/>
      <c r="H9" s="1727"/>
      <c r="I9" s="70"/>
      <c r="J9" s="24">
        <f t="shared" si="0"/>
        <v>0</v>
      </c>
      <c r="K9" s="70"/>
      <c r="L9" s="71"/>
      <c r="M9" s="93">
        <f>IF(Validation!$H$3=1,0,IF(ISNUMBER(G9),0,1))</f>
        <v>0</v>
      </c>
      <c r="N9" s="71"/>
    </row>
    <row r="10" spans="1:14" ht="18" customHeight="1">
      <c r="A10" s="1163"/>
      <c r="B10" s="1057" t="s">
        <v>7792</v>
      </c>
      <c r="C10" s="1269" t="s">
        <v>7793</v>
      </c>
      <c r="D10" s="1582" t="s">
        <v>7794</v>
      </c>
      <c r="E10" s="1270" t="s">
        <v>6084</v>
      </c>
      <c r="F10" s="1060">
        <v>3</v>
      </c>
      <c r="G10" s="2372">
        <f>+G8+G9</f>
        <v>0</v>
      </c>
      <c r="H10" s="1727"/>
      <c r="I10" s="70"/>
      <c r="J10" s="1187"/>
      <c r="K10" s="1882"/>
      <c r="M10" s="1882"/>
    </row>
    <row r="11" spans="1:14" ht="18" customHeight="1">
      <c r="A11" s="1163"/>
      <c r="B11" s="1057" t="s">
        <v>7795</v>
      </c>
      <c r="C11" s="1269" t="s">
        <v>7796</v>
      </c>
      <c r="D11" s="1582" t="s">
        <v>7797</v>
      </c>
      <c r="E11" s="1270" t="s">
        <v>6084</v>
      </c>
      <c r="F11" s="1060">
        <v>3</v>
      </c>
      <c r="G11" s="1271"/>
      <c r="H11" s="1727"/>
      <c r="I11" s="70"/>
      <c r="J11" s="24">
        <f t="shared" si="0"/>
        <v>0</v>
      </c>
      <c r="K11" s="70"/>
      <c r="L11" s="71"/>
      <c r="M11" s="93">
        <f>IF(Validation!$H$3=1,0,IF(ISNUMBER(G11),0,1))</f>
        <v>0</v>
      </c>
      <c r="N11" s="71"/>
    </row>
    <row r="12" spans="1:14" ht="18" customHeight="1">
      <c r="A12" s="1163"/>
      <c r="B12" s="1057" t="s">
        <v>7798</v>
      </c>
      <c r="C12" s="1269" t="s">
        <v>7799</v>
      </c>
      <c r="D12" s="1582" t="s">
        <v>7800</v>
      </c>
      <c r="E12" s="1270" t="s">
        <v>6084</v>
      </c>
      <c r="F12" s="1060">
        <v>3</v>
      </c>
      <c r="G12" s="1271"/>
      <c r="H12" s="1727"/>
      <c r="I12" s="70"/>
      <c r="J12" s="24">
        <f t="shared" si="0"/>
        <v>0</v>
      </c>
      <c r="K12" s="70"/>
      <c r="L12" s="71"/>
      <c r="M12" s="93">
        <f>IF(Validation!$H$3=1,0,IF(ISNUMBER(G12),0,1))</f>
        <v>0</v>
      </c>
      <c r="N12" s="71"/>
    </row>
    <row r="13" spans="1:14" ht="18" customHeight="1">
      <c r="A13" s="1163"/>
      <c r="B13" s="1057" t="s">
        <v>7801</v>
      </c>
      <c r="C13" s="1269" t="s">
        <v>7802</v>
      </c>
      <c r="D13" s="1582" t="s">
        <v>7803</v>
      </c>
      <c r="E13" s="1270" t="s">
        <v>6084</v>
      </c>
      <c r="F13" s="1060">
        <v>3</v>
      </c>
      <c r="G13" s="2372">
        <f>+G11+G12</f>
        <v>0</v>
      </c>
      <c r="H13" s="1727"/>
      <c r="I13" s="70"/>
      <c r="J13" s="1187"/>
      <c r="K13" s="1882"/>
      <c r="M13" s="1882"/>
    </row>
    <row r="14" spans="1:14" ht="18" customHeight="1">
      <c r="A14" s="1163"/>
      <c r="B14" s="1057" t="s">
        <v>7804</v>
      </c>
      <c r="C14" s="1269" t="s">
        <v>7805</v>
      </c>
      <c r="D14" s="1582" t="s">
        <v>7806</v>
      </c>
      <c r="E14" s="1270" t="s">
        <v>6084</v>
      </c>
      <c r="F14" s="1060">
        <v>3</v>
      </c>
      <c r="G14" s="1271"/>
      <c r="H14" s="1727"/>
      <c r="I14" s="70"/>
      <c r="J14" s="24">
        <f t="shared" si="0"/>
        <v>0</v>
      </c>
      <c r="K14" s="70"/>
      <c r="L14" s="71"/>
      <c r="M14" s="93">
        <f>IF(Validation!$H$3=1,0,IF(ISNUMBER(G14),0,1))</f>
        <v>0</v>
      </c>
      <c r="N14" s="71"/>
    </row>
    <row r="15" spans="1:14" ht="17.25" customHeight="1" thickBot="1">
      <c r="A15" s="1163"/>
      <c r="B15" s="1272" t="s">
        <v>7807</v>
      </c>
      <c r="C15" s="1273" t="s">
        <v>7808</v>
      </c>
      <c r="D15" s="1583" t="s">
        <v>7809</v>
      </c>
      <c r="E15" s="1274" t="s">
        <v>2465</v>
      </c>
      <c r="F15" s="1275">
        <v>3</v>
      </c>
      <c r="G15" s="2373">
        <f>+G10+G13+G14</f>
        <v>0</v>
      </c>
      <c r="H15" s="1728"/>
      <c r="I15" s="70"/>
      <c r="J15" s="1187"/>
      <c r="K15" s="1882"/>
      <c r="M15" s="1882"/>
    </row>
    <row r="16" spans="1:14" ht="16.5" thickBot="1">
      <c r="A16" s="1163"/>
      <c r="B16" s="1276"/>
      <c r="C16" s="1163"/>
      <c r="D16" s="1276"/>
      <c r="E16" s="1276"/>
      <c r="F16" s="1276"/>
      <c r="G16" s="1673"/>
      <c r="H16" s="26"/>
      <c r="I16" s="1882"/>
      <c r="J16" s="1187"/>
      <c r="K16" s="1882"/>
      <c r="M16" s="1882"/>
    </row>
    <row r="17" spans="1:14" ht="19.5" customHeight="1">
      <c r="A17" s="1163"/>
      <c r="B17" s="1264" t="s">
        <v>7810</v>
      </c>
      <c r="C17" s="1265" t="s">
        <v>7811</v>
      </c>
      <c r="D17" s="1581" t="s">
        <v>7812</v>
      </c>
      <c r="E17" s="1266" t="s">
        <v>6084</v>
      </c>
      <c r="F17" s="1267">
        <v>3</v>
      </c>
      <c r="G17" s="1268"/>
      <c r="H17" s="1745"/>
      <c r="I17" s="70"/>
      <c r="J17" s="24">
        <f xml:space="preserve"> IF( SUM( L17:N17 ) = 0, 0, $M$4 )</f>
        <v>0</v>
      </c>
      <c r="K17" s="70"/>
      <c r="L17" s="71"/>
      <c r="M17" s="93">
        <f>IF(Validation!$H$3=1,0,IF(ISNUMBER(G17),0,1))</f>
        <v>0</v>
      </c>
      <c r="N17" s="71"/>
    </row>
    <row r="18" spans="1:14" ht="19.5" customHeight="1" thickBot="1">
      <c r="A18" s="1163"/>
      <c r="B18" s="1272" t="s">
        <v>7813</v>
      </c>
      <c r="C18" s="1273" t="s">
        <v>7814</v>
      </c>
      <c r="D18" s="1583" t="s">
        <v>7815</v>
      </c>
      <c r="E18" s="1274" t="s">
        <v>6084</v>
      </c>
      <c r="F18" s="1275">
        <v>3</v>
      </c>
      <c r="G18" s="1277"/>
      <c r="H18" s="1728"/>
      <c r="I18" s="70"/>
      <c r="J18" s="24">
        <f t="shared" ref="J18" si="1" xml:space="preserve"> IF( SUM( L18:N18 ) = 0, 0, $M$4 )</f>
        <v>0</v>
      </c>
      <c r="K18" s="70"/>
      <c r="L18" s="71"/>
      <c r="M18" s="93">
        <f>IF(Validation!$H$3=1,0,IF(ISNUMBER(G18),0,1))</f>
        <v>0</v>
      </c>
      <c r="N18" s="71"/>
    </row>
    <row r="19" spans="1:14" ht="14.5" thickBot="1">
      <c r="A19" s="1882"/>
      <c r="B19" s="1882"/>
      <c r="C19" s="1882"/>
      <c r="D19" s="568"/>
      <c r="E19" s="1882"/>
      <c r="F19" s="1882"/>
      <c r="G19" s="26"/>
      <c r="H19" s="26"/>
      <c r="I19" s="1882"/>
      <c r="J19" s="1882"/>
      <c r="K19" s="1882"/>
      <c r="M19" s="1882"/>
    </row>
    <row r="20" spans="1:14" ht="15" thickBot="1">
      <c r="A20" s="1882"/>
      <c r="B20" s="2863" t="s">
        <v>175</v>
      </c>
      <c r="C20" s="1031" t="s">
        <v>29</v>
      </c>
      <c r="D20" s="568"/>
      <c r="E20" s="1882"/>
      <c r="F20" s="1882"/>
      <c r="G20" s="26"/>
      <c r="H20" s="26"/>
      <c r="I20" s="1882"/>
      <c r="J20" s="1882"/>
      <c r="K20" s="1882"/>
      <c r="M20" s="1882"/>
    </row>
    <row r="21" spans="1:14" ht="20.25" customHeight="1">
      <c r="A21" s="1161"/>
      <c r="B21" s="971" t="s">
        <v>7816</v>
      </c>
      <c r="C21" s="1111" t="s">
        <v>6705</v>
      </c>
      <c r="D21" s="1118" t="s">
        <v>7817</v>
      </c>
      <c r="E21" s="1118" t="s">
        <v>6707</v>
      </c>
      <c r="F21" s="974">
        <v>3</v>
      </c>
      <c r="G21" s="1710"/>
      <c r="H21" s="1746"/>
      <c r="I21" s="70"/>
      <c r="J21" s="24">
        <f xml:space="preserve"> IF( SUM( L21:N21 ) = 0, 0, $M$4 )</f>
        <v>0</v>
      </c>
      <c r="K21" s="70"/>
      <c r="L21" s="71"/>
      <c r="M21" s="93">
        <f>IF(Validation!$H$3=1,0,IF(ISNUMBER(G21),0,1))</f>
        <v>0</v>
      </c>
      <c r="N21" s="71"/>
    </row>
    <row r="22" spans="1:14" ht="20.25" customHeight="1">
      <c r="A22" s="1161"/>
      <c r="B22" s="980" t="s">
        <v>7818</v>
      </c>
      <c r="C22" s="1114" t="s">
        <v>7819</v>
      </c>
      <c r="D22" s="1120" t="s">
        <v>7820</v>
      </c>
      <c r="E22" s="1120" t="s">
        <v>6707</v>
      </c>
      <c r="F22" s="978">
        <v>3</v>
      </c>
      <c r="G22" s="1711"/>
      <c r="H22" s="1747"/>
      <c r="I22" s="70"/>
      <c r="J22" s="24">
        <f t="shared" ref="J22:J30" si="2" xml:space="preserve"> IF( SUM( L22:N22 ) = 0, 0, $M$4 )</f>
        <v>0</v>
      </c>
      <c r="K22" s="70"/>
      <c r="L22" s="71"/>
      <c r="M22" s="93">
        <f>IF(Validation!$H$3=1,0,IF(ISNUMBER(G22),0,1))</f>
        <v>0</v>
      </c>
      <c r="N22" s="71"/>
    </row>
    <row r="23" spans="1:14" ht="20.25" customHeight="1">
      <c r="A23" s="1161"/>
      <c r="B23" s="980" t="s">
        <v>7821</v>
      </c>
      <c r="C23" s="1114" t="s">
        <v>6712</v>
      </c>
      <c r="D23" s="1120" t="s">
        <v>7822</v>
      </c>
      <c r="E23" s="1120" t="s">
        <v>6707</v>
      </c>
      <c r="F23" s="978">
        <v>3</v>
      </c>
      <c r="G23" s="2374">
        <f>+G21+G22</f>
        <v>0</v>
      </c>
      <c r="H23" s="1747"/>
      <c r="I23" s="70"/>
      <c r="J23" s="1187"/>
      <c r="K23" s="1882"/>
      <c r="M23" s="1882"/>
    </row>
    <row r="24" spans="1:14" ht="20.25" customHeight="1">
      <c r="A24" s="1161"/>
      <c r="B24" s="980" t="s">
        <v>7823</v>
      </c>
      <c r="C24" s="1114" t="s">
        <v>7824</v>
      </c>
      <c r="D24" s="1120" t="s">
        <v>7825</v>
      </c>
      <c r="E24" s="1120" t="s">
        <v>2465</v>
      </c>
      <c r="F24" s="978">
        <v>3</v>
      </c>
      <c r="G24" s="1552"/>
      <c r="H24" s="1747"/>
      <c r="I24" s="70"/>
      <c r="J24" s="24">
        <f t="shared" si="2"/>
        <v>0</v>
      </c>
      <c r="K24" s="70"/>
      <c r="L24" s="71"/>
      <c r="M24" s="93">
        <f>IF(Validation!$H$3=1,0,IF(ISNUMBER(G24),0,1))</f>
        <v>0</v>
      </c>
      <c r="N24" s="71"/>
    </row>
    <row r="25" spans="1:14" ht="20.25" customHeight="1">
      <c r="A25" s="1161"/>
      <c r="B25" s="980" t="s">
        <v>7826</v>
      </c>
      <c r="C25" s="1114" t="s">
        <v>7827</v>
      </c>
      <c r="D25" s="1120" t="s">
        <v>7828</v>
      </c>
      <c r="E25" s="1120" t="s">
        <v>6688</v>
      </c>
      <c r="F25" s="978">
        <v>0</v>
      </c>
      <c r="G25" s="1062"/>
      <c r="H25" s="1747"/>
      <c r="I25" s="70"/>
      <c r="J25" s="24">
        <f t="shared" si="2"/>
        <v>0</v>
      </c>
      <c r="K25" s="70"/>
      <c r="L25" s="71"/>
      <c r="M25" s="93">
        <f>IF(Validation!$H$3=1,0,IF(ISNUMBER(G25),0,1))</f>
        <v>0</v>
      </c>
      <c r="N25" s="71"/>
    </row>
    <row r="26" spans="1:14" ht="20.25" customHeight="1">
      <c r="A26" s="1161"/>
      <c r="B26" s="980" t="s">
        <v>7829</v>
      </c>
      <c r="C26" s="1114" t="s">
        <v>7830</v>
      </c>
      <c r="D26" s="1120" t="s">
        <v>7831</v>
      </c>
      <c r="E26" s="1120" t="s">
        <v>764</v>
      </c>
      <c r="F26" s="978">
        <v>0</v>
      </c>
      <c r="G26" s="1712"/>
      <c r="H26" s="1747"/>
      <c r="I26" s="70"/>
      <c r="J26" s="24">
        <f t="shared" si="2"/>
        <v>0</v>
      </c>
      <c r="K26" s="70"/>
      <c r="L26" s="71"/>
      <c r="M26" s="93">
        <f>IF(Validation!$H$3=1,0,IF(ISNUMBER(G26),0,1))</f>
        <v>0</v>
      </c>
      <c r="N26" s="71"/>
    </row>
    <row r="27" spans="1:14" ht="20.25" customHeight="1">
      <c r="A27" s="1161"/>
      <c r="B27" s="980" t="s">
        <v>7832</v>
      </c>
      <c r="C27" s="1114" t="s">
        <v>7833</v>
      </c>
      <c r="D27" s="1120" t="s">
        <v>7834</v>
      </c>
      <c r="E27" s="1120" t="s">
        <v>764</v>
      </c>
      <c r="F27" s="978">
        <v>0</v>
      </c>
      <c r="G27" s="1712"/>
      <c r="H27" s="1747"/>
      <c r="I27" s="70"/>
      <c r="J27" s="24">
        <f t="shared" si="2"/>
        <v>0</v>
      </c>
      <c r="K27" s="70"/>
      <c r="L27" s="71"/>
      <c r="M27" s="93">
        <f>IF(Validation!$H$3=1,0,IF(ISNUMBER(G27),0,1))</f>
        <v>0</v>
      </c>
      <c r="N27" s="71"/>
    </row>
    <row r="28" spans="1:14" ht="20.25" customHeight="1">
      <c r="A28" s="1161"/>
      <c r="B28" s="980" t="s">
        <v>7835</v>
      </c>
      <c r="C28" s="1114" t="s">
        <v>7836</v>
      </c>
      <c r="D28" s="1120" t="s">
        <v>7837</v>
      </c>
      <c r="E28" s="1120" t="s">
        <v>6448</v>
      </c>
      <c r="F28" s="978">
        <v>0</v>
      </c>
      <c r="G28" s="1062"/>
      <c r="H28" s="1747"/>
      <c r="I28" s="70"/>
      <c r="J28" s="24">
        <f t="shared" si="2"/>
        <v>0</v>
      </c>
      <c r="K28" s="70"/>
      <c r="L28" s="71"/>
      <c r="M28" s="93">
        <f>IF(Validation!$H$3=1,0,IF(ISNUMBER(G28),0,1))</f>
        <v>0</v>
      </c>
      <c r="N28" s="71"/>
    </row>
    <row r="29" spans="1:14" ht="20.25" customHeight="1">
      <c r="A29" s="1161"/>
      <c r="B29" s="980" t="s">
        <v>7838</v>
      </c>
      <c r="C29" s="1114" t="s">
        <v>7839</v>
      </c>
      <c r="D29" s="1120" t="s">
        <v>7840</v>
      </c>
      <c r="E29" s="1120" t="s">
        <v>764</v>
      </c>
      <c r="F29" s="978">
        <v>0</v>
      </c>
      <c r="G29" s="1062"/>
      <c r="H29" s="1747"/>
      <c r="I29" s="70"/>
      <c r="J29" s="24">
        <f t="shared" si="2"/>
        <v>0</v>
      </c>
      <c r="K29" s="70"/>
      <c r="L29" s="71"/>
      <c r="M29" s="93">
        <f>IF(Validation!$H$3=1,0,IF(ISNUMBER(G29),0,1))</f>
        <v>0</v>
      </c>
      <c r="N29" s="71"/>
    </row>
    <row r="30" spans="1:14" ht="20.25" customHeight="1">
      <c r="A30" s="1161"/>
      <c r="B30" s="980" t="s">
        <v>7841</v>
      </c>
      <c r="C30" s="1114" t="s">
        <v>7842</v>
      </c>
      <c r="D30" s="1120" t="s">
        <v>7843</v>
      </c>
      <c r="E30" s="1120" t="s">
        <v>3148</v>
      </c>
      <c r="F30" s="978">
        <v>0</v>
      </c>
      <c r="G30" s="1712"/>
      <c r="H30" s="1747"/>
      <c r="I30" s="70"/>
      <c r="J30" s="24">
        <f t="shared" si="2"/>
        <v>0</v>
      </c>
      <c r="K30" s="70"/>
      <c r="L30" s="71"/>
      <c r="M30" s="93">
        <f>IF(Validation!$H$3=1,0,IF(ISNUMBER(G30),0,1))</f>
        <v>0</v>
      </c>
      <c r="N30" s="71"/>
    </row>
    <row r="31" spans="1:14" ht="20.25" customHeight="1" thickBot="1">
      <c r="A31" s="1161"/>
      <c r="B31" s="985" t="s">
        <v>7844</v>
      </c>
      <c r="C31" s="1116" t="s">
        <v>7845</v>
      </c>
      <c r="D31" s="1124" t="s">
        <v>7846</v>
      </c>
      <c r="E31" s="1124" t="s">
        <v>3148</v>
      </c>
      <c r="F31" s="988">
        <v>0</v>
      </c>
      <c r="G31" s="1713"/>
      <c r="H31" s="1748"/>
      <c r="I31" s="70"/>
      <c r="J31" s="24">
        <f t="shared" ref="J31" si="3" xml:space="preserve"> IF( SUM( L31:N31 ) = 0, 0, $M$4 )</f>
        <v>0</v>
      </c>
      <c r="K31" s="70"/>
      <c r="L31" s="71"/>
      <c r="M31" s="93">
        <f>IF(Validation!$H$3=1,0,IF(ISNUMBER(G31),0,1))</f>
        <v>0</v>
      </c>
      <c r="N31" s="71"/>
    </row>
    <row r="32" spans="1:14">
      <c r="A32" s="1882"/>
      <c r="B32" s="1882"/>
      <c r="C32" s="1882"/>
      <c r="D32" s="1882"/>
      <c r="E32" s="1882"/>
      <c r="F32" s="1882"/>
      <c r="G32" s="1882"/>
      <c r="H32" s="1882"/>
      <c r="I32" s="1882"/>
      <c r="J32" s="1882"/>
      <c r="K32" s="1882"/>
      <c r="M32" s="1882"/>
    </row>
    <row r="33" spans="1:14" ht="16">
      <c r="A33" s="1882"/>
      <c r="B33" s="1278" t="s">
        <v>241</v>
      </c>
      <c r="C33" s="1882"/>
      <c r="D33" s="1882"/>
      <c r="E33" s="1882"/>
      <c r="F33" s="1882"/>
      <c r="G33" s="1882"/>
      <c r="H33" s="1882"/>
      <c r="I33" s="1882"/>
      <c r="J33" s="1882"/>
      <c r="K33" s="1882"/>
      <c r="M33" s="1882"/>
    </row>
    <row r="34" spans="1:14">
      <c r="A34" s="1882"/>
      <c r="B34" s="995"/>
      <c r="C34" s="1002"/>
      <c r="D34" s="1882"/>
      <c r="E34" s="1882"/>
      <c r="F34" s="1882"/>
      <c r="G34" s="1882"/>
      <c r="H34" s="1882"/>
      <c r="I34" s="1882"/>
      <c r="J34" s="1882"/>
      <c r="K34" s="1882"/>
      <c r="M34" s="1882"/>
    </row>
    <row r="35" spans="1:14" ht="16">
      <c r="A35" s="1882"/>
      <c r="B35" s="1218"/>
      <c r="C35" s="1096" t="s">
        <v>188</v>
      </c>
      <c r="D35" s="1882"/>
      <c r="E35" s="1882"/>
      <c r="F35" s="1882"/>
      <c r="G35" s="1882"/>
      <c r="H35" s="1882"/>
      <c r="I35" s="1882"/>
      <c r="J35" s="1882"/>
      <c r="K35" s="1882"/>
      <c r="M35" s="1882"/>
    </row>
    <row r="36" spans="1:14">
      <c r="A36" s="1882"/>
      <c r="B36" s="927"/>
      <c r="C36" s="928"/>
      <c r="D36" s="930"/>
      <c r="E36" s="1187"/>
      <c r="F36" s="1187"/>
      <c r="G36" s="1187"/>
      <c r="H36" s="1187"/>
      <c r="I36" s="1187"/>
      <c r="J36" s="1187"/>
      <c r="K36" s="1187"/>
      <c r="L36" s="1642"/>
      <c r="M36" s="1187"/>
      <c r="N36" s="1642"/>
    </row>
    <row r="37" spans="1:14" ht="16">
      <c r="A37" s="1882"/>
      <c r="B37" s="931"/>
      <c r="C37" s="1096" t="s">
        <v>4346</v>
      </c>
      <c r="D37" s="930"/>
      <c r="E37" s="1187"/>
      <c r="F37" s="1187"/>
      <c r="G37" s="1187"/>
      <c r="H37" s="1187"/>
      <c r="I37" s="1187"/>
      <c r="J37" s="1187"/>
      <c r="K37" s="1187"/>
      <c r="L37" s="1642"/>
      <c r="M37" s="1187"/>
      <c r="N37" s="1642"/>
    </row>
    <row r="38" spans="1:14" ht="16">
      <c r="A38" s="1882"/>
      <c r="B38" s="1161"/>
      <c r="C38" s="1161"/>
      <c r="D38" s="930"/>
      <c r="E38" s="1187"/>
      <c r="F38" s="1187"/>
      <c r="G38" s="1187"/>
      <c r="H38" s="1187"/>
      <c r="I38" s="1187"/>
      <c r="J38" s="1187"/>
      <c r="K38" s="1187"/>
      <c r="L38" s="1642"/>
      <c r="M38" s="1187"/>
      <c r="N38" s="1642"/>
    </row>
    <row r="39" spans="1:14" ht="16.5" thickBot="1">
      <c r="A39" s="1882"/>
      <c r="B39" s="1161"/>
      <c r="C39" s="1161"/>
      <c r="D39" s="930"/>
      <c r="E39" s="1187"/>
      <c r="F39" s="1187"/>
      <c r="G39" s="1187"/>
      <c r="H39" s="1187"/>
      <c r="I39" s="1187"/>
      <c r="J39" s="1187"/>
      <c r="K39" s="1187"/>
      <c r="L39" s="1642"/>
      <c r="M39" s="1187"/>
      <c r="N39" s="1642"/>
    </row>
    <row r="40" spans="1:14" ht="20.5" thickBot="1">
      <c r="A40" s="1882"/>
      <c r="B40" s="2886" t="str">
        <f>'4T'!B31</f>
        <v>Please refer to RAG 4.08 - Guideline for the table definitions in the annual performance report for the reporting year 2019-20</v>
      </c>
      <c r="C40" s="147"/>
      <c r="D40" s="148"/>
      <c r="E40" s="148"/>
      <c r="F40" s="148"/>
      <c r="G40" s="148"/>
      <c r="H40" s="148"/>
      <c r="I40" s="154"/>
      <c r="J40" s="1187"/>
      <c r="K40" s="1187"/>
      <c r="L40" s="1642"/>
      <c r="M40" s="1187"/>
      <c r="N40" s="1642"/>
    </row>
    <row r="41" spans="1:14" ht="16.5" thickBot="1">
      <c r="A41" s="1882"/>
      <c r="B41" s="1161"/>
      <c r="C41" s="1161"/>
      <c r="D41" s="930"/>
      <c r="E41" s="1187"/>
      <c r="F41" s="1187"/>
      <c r="G41" s="1187"/>
      <c r="H41" s="1187"/>
      <c r="I41" s="1187"/>
      <c r="J41" s="1187"/>
      <c r="K41" s="1187"/>
      <c r="L41" s="1642"/>
      <c r="M41" s="1187"/>
      <c r="N41" s="1642"/>
    </row>
    <row r="42" spans="1:14" ht="14.5" hidden="1" thickBot="1">
      <c r="A42" s="1571"/>
      <c r="B42" s="2871" t="str">
        <f ca="1" xml:space="preserve"> RIGHT(CELL("filename", $A$1), LEN(CELL("filename", $A$1)) - SEARCH("]", CELL("filename", $A$1)))&amp;" - Line definitions"</f>
        <v>4U - Line definitions</v>
      </c>
      <c r="C42" s="1942"/>
      <c r="D42" s="930"/>
      <c r="E42" s="1187"/>
      <c r="F42" s="1187"/>
      <c r="G42" s="1187"/>
      <c r="H42" s="1187"/>
      <c r="I42" s="1187"/>
      <c r="J42" s="1187"/>
      <c r="K42" s="1187"/>
      <c r="L42" s="1642"/>
      <c r="M42" s="1187"/>
      <c r="N42" s="1642"/>
    </row>
    <row r="43" spans="1:14" ht="16.5" hidden="1" thickBot="1">
      <c r="A43" s="1571"/>
      <c r="B43" s="1161"/>
      <c r="C43" s="1161"/>
      <c r="D43" s="930"/>
      <c r="E43" s="1187"/>
      <c r="F43" s="1187"/>
      <c r="G43" s="1187"/>
      <c r="H43" s="1187"/>
      <c r="I43" s="1187"/>
      <c r="J43" s="1187"/>
      <c r="K43" s="1187"/>
      <c r="L43" s="1642"/>
      <c r="M43" s="1187"/>
      <c r="N43" s="1642"/>
    </row>
    <row r="44" spans="1:14" ht="14.5" hidden="1" thickBot="1">
      <c r="A44" s="1571"/>
      <c r="B44" s="1280" t="s">
        <v>191</v>
      </c>
      <c r="C44" s="1281" t="s">
        <v>5910</v>
      </c>
      <c r="D44" s="930"/>
      <c r="E44" s="1187"/>
      <c r="F44" s="1187"/>
      <c r="G44" s="1187"/>
      <c r="H44" s="1187"/>
      <c r="I44" s="1187"/>
      <c r="J44" s="1187"/>
      <c r="K44" s="1187"/>
      <c r="L44" s="1642"/>
      <c r="M44" s="1187"/>
      <c r="N44" s="1642"/>
    </row>
    <row r="45" spans="1:14" hidden="1">
      <c r="A45" s="1571"/>
      <c r="B45" s="1098">
        <v>1</v>
      </c>
      <c r="C45" s="1282" t="s">
        <v>7847</v>
      </c>
      <c r="D45" s="930"/>
      <c r="E45" s="1187"/>
      <c r="F45" s="1187"/>
      <c r="G45" s="1187"/>
      <c r="H45" s="1187"/>
      <c r="I45" s="1187"/>
      <c r="J45" s="1187"/>
      <c r="K45" s="1187"/>
      <c r="L45" s="1642"/>
      <c r="M45" s="1187"/>
      <c r="N45" s="1642"/>
    </row>
    <row r="46" spans="1:14" ht="14.25" hidden="1" customHeight="1">
      <c r="A46" s="1571"/>
      <c r="B46" s="1221">
        <f>+B45+1</f>
        <v>2</v>
      </c>
      <c r="C46" s="1283" t="s">
        <v>7848</v>
      </c>
      <c r="D46" s="930"/>
      <c r="E46" s="1187"/>
      <c r="F46" s="1187"/>
      <c r="G46" s="1187"/>
      <c r="H46" s="1187"/>
      <c r="I46" s="1187"/>
      <c r="J46" s="1187"/>
      <c r="K46" s="1187"/>
      <c r="L46" s="1642"/>
      <c r="M46" s="1187"/>
      <c r="N46" s="1642"/>
    </row>
    <row r="47" spans="1:14" hidden="1">
      <c r="A47" s="1571"/>
      <c r="B47" s="1221">
        <f t="shared" ref="B47:B56" si="4">+B46+1</f>
        <v>3</v>
      </c>
      <c r="C47" s="1283" t="s">
        <v>7849</v>
      </c>
      <c r="D47" s="930"/>
      <c r="E47" s="1187"/>
      <c r="F47" s="1187"/>
      <c r="G47" s="1187"/>
      <c r="H47" s="1187"/>
      <c r="I47" s="1187"/>
      <c r="J47" s="1187"/>
      <c r="K47" s="1187"/>
      <c r="L47" s="1642"/>
      <c r="M47" s="1187"/>
      <c r="N47" s="1642"/>
    </row>
    <row r="48" spans="1:14" ht="25.15" hidden="1" customHeight="1">
      <c r="A48" s="1571"/>
      <c r="B48" s="1221">
        <f t="shared" si="4"/>
        <v>4</v>
      </c>
      <c r="C48" s="1283" t="s">
        <v>7850</v>
      </c>
      <c r="D48" s="930"/>
      <c r="E48" s="1187"/>
      <c r="F48" s="1187"/>
      <c r="G48" s="1187"/>
      <c r="H48" s="1187"/>
      <c r="I48" s="1187"/>
      <c r="J48" s="1187"/>
      <c r="K48" s="1187"/>
      <c r="L48" s="1642"/>
      <c r="M48" s="1187"/>
      <c r="N48" s="1642"/>
    </row>
    <row r="49" spans="1:14" hidden="1">
      <c r="A49" s="1571"/>
      <c r="B49" s="1221">
        <f t="shared" si="4"/>
        <v>5</v>
      </c>
      <c r="C49" s="1283" t="s">
        <v>7851</v>
      </c>
      <c r="D49" s="930"/>
      <c r="E49" s="1187"/>
      <c r="F49" s="1187"/>
      <c r="G49" s="1187"/>
      <c r="H49" s="1187"/>
      <c r="I49" s="1187"/>
      <c r="J49" s="1187"/>
      <c r="K49" s="1187"/>
      <c r="L49" s="1642"/>
      <c r="M49" s="1187"/>
      <c r="N49" s="1642"/>
    </row>
    <row r="50" spans="1:14" hidden="1">
      <c r="A50" s="1571"/>
      <c r="B50" s="1221">
        <f t="shared" si="4"/>
        <v>6</v>
      </c>
      <c r="C50" s="1283" t="s">
        <v>7852</v>
      </c>
      <c r="D50" s="930"/>
      <c r="E50" s="1187"/>
      <c r="F50" s="1187"/>
      <c r="G50" s="1187"/>
      <c r="H50" s="1187"/>
      <c r="I50" s="1187"/>
      <c r="J50" s="1187"/>
      <c r="K50" s="1187"/>
      <c r="L50" s="1642"/>
      <c r="M50" s="1187"/>
      <c r="N50" s="1642"/>
    </row>
    <row r="51" spans="1:14" hidden="1">
      <c r="A51" s="1571"/>
      <c r="B51" s="1221">
        <f t="shared" si="4"/>
        <v>7</v>
      </c>
      <c r="C51" s="1283" t="s">
        <v>7853</v>
      </c>
      <c r="D51" s="930"/>
      <c r="E51" s="1187"/>
      <c r="F51" s="1187"/>
      <c r="G51" s="1187"/>
      <c r="H51" s="1187"/>
      <c r="I51" s="1187"/>
      <c r="J51" s="1187"/>
      <c r="K51" s="1187"/>
      <c r="L51" s="1642"/>
      <c r="M51" s="1187"/>
      <c r="N51" s="1642"/>
    </row>
    <row r="52" spans="1:14" hidden="1">
      <c r="A52" s="1571"/>
      <c r="B52" s="1221">
        <f t="shared" si="4"/>
        <v>8</v>
      </c>
      <c r="C52" s="1283" t="s">
        <v>7854</v>
      </c>
      <c r="D52" s="930"/>
      <c r="E52" s="1187"/>
      <c r="F52" s="1187"/>
      <c r="G52" s="1187"/>
      <c r="H52" s="1187"/>
      <c r="I52" s="1187"/>
      <c r="J52" s="1187"/>
      <c r="K52" s="1187"/>
      <c r="L52" s="1642"/>
      <c r="M52" s="1187"/>
      <c r="N52" s="1642"/>
    </row>
    <row r="53" spans="1:14" ht="36" hidden="1" customHeight="1">
      <c r="A53" s="1571"/>
      <c r="B53" s="1221">
        <f t="shared" si="4"/>
        <v>9</v>
      </c>
      <c r="C53" s="1283" t="s">
        <v>7855</v>
      </c>
      <c r="D53" s="930"/>
      <c r="E53" s="1187"/>
      <c r="F53" s="1187"/>
      <c r="G53" s="1187"/>
      <c r="H53" s="1187"/>
      <c r="I53" s="1187"/>
      <c r="J53" s="1187"/>
      <c r="K53" s="1187"/>
      <c r="L53" s="1642"/>
      <c r="M53" s="1187"/>
      <c r="N53" s="1642"/>
    </row>
    <row r="54" spans="1:14" hidden="1">
      <c r="A54" s="1571"/>
      <c r="B54" s="1221">
        <f t="shared" si="4"/>
        <v>10</v>
      </c>
      <c r="C54" s="1283" t="s">
        <v>7856</v>
      </c>
      <c r="D54" s="930"/>
      <c r="E54" s="1187"/>
      <c r="F54" s="1187"/>
      <c r="G54" s="1187"/>
      <c r="H54" s="1187"/>
      <c r="I54" s="1187"/>
      <c r="J54" s="1187"/>
      <c r="K54" s="1187"/>
      <c r="L54" s="1642"/>
      <c r="M54" s="1187"/>
      <c r="N54" s="1642"/>
    </row>
    <row r="55" spans="1:14" hidden="1">
      <c r="A55" s="1571"/>
      <c r="B55" s="1221">
        <f t="shared" si="4"/>
        <v>11</v>
      </c>
      <c r="C55" s="1283" t="s">
        <v>7857</v>
      </c>
      <c r="D55" s="930"/>
      <c r="E55" s="1187"/>
      <c r="F55" s="1187"/>
      <c r="G55" s="1187"/>
      <c r="H55" s="1187"/>
      <c r="I55" s="1187"/>
      <c r="J55" s="1187"/>
      <c r="K55" s="1187"/>
      <c r="L55" s="1642"/>
      <c r="M55" s="1187"/>
      <c r="N55" s="1642"/>
    </row>
    <row r="56" spans="1:14" ht="14.5" hidden="1" thickBot="1">
      <c r="A56" s="1571"/>
      <c r="B56" s="1222">
        <f t="shared" si="4"/>
        <v>12</v>
      </c>
      <c r="C56" s="1284" t="s">
        <v>7858</v>
      </c>
      <c r="D56" s="930"/>
      <c r="E56" s="1187"/>
      <c r="F56" s="1187"/>
      <c r="G56" s="1187"/>
      <c r="H56" s="1187"/>
      <c r="I56" s="1187"/>
      <c r="J56" s="1187"/>
      <c r="K56" s="1187"/>
      <c r="L56" s="1642"/>
      <c r="M56" s="1187"/>
      <c r="N56" s="1642"/>
    </row>
    <row r="57" spans="1:14" ht="16" hidden="1">
      <c r="A57" s="1571"/>
      <c r="B57" s="1161"/>
      <c r="C57" s="1161"/>
      <c r="D57" s="930"/>
      <c r="E57" s="1187"/>
      <c r="F57" s="1187"/>
      <c r="G57" s="1187"/>
      <c r="H57" s="1187"/>
      <c r="I57" s="1187"/>
      <c r="J57" s="1187"/>
      <c r="K57" s="1187"/>
      <c r="L57" s="1642"/>
      <c r="M57" s="1187"/>
      <c r="N57" s="1642"/>
    </row>
    <row r="58" spans="1:14" ht="16" hidden="1">
      <c r="A58" s="1571"/>
      <c r="B58" s="2884" t="s">
        <v>4365</v>
      </c>
      <c r="C58" s="1176"/>
      <c r="D58" s="930"/>
      <c r="E58" s="1187"/>
      <c r="F58" s="1187"/>
      <c r="G58" s="1187"/>
      <c r="H58" s="1187"/>
      <c r="I58" s="1187"/>
      <c r="J58" s="1187"/>
      <c r="K58" s="1187"/>
      <c r="L58" s="1642"/>
      <c r="M58" s="1187"/>
      <c r="N58" s="1642"/>
    </row>
    <row r="59" spans="1:14" ht="16" hidden="1">
      <c r="A59" s="1571"/>
      <c r="B59" s="1161"/>
      <c r="C59" s="1161"/>
      <c r="D59" s="930"/>
      <c r="E59" s="1187"/>
      <c r="F59" s="1187"/>
      <c r="G59" s="1187"/>
      <c r="H59" s="1187"/>
      <c r="I59" s="1187"/>
      <c r="J59" s="1187"/>
      <c r="K59" s="1187"/>
      <c r="L59" s="1642"/>
      <c r="M59" s="1187"/>
      <c r="N59" s="1642"/>
    </row>
    <row r="60" spans="1:14" ht="16.5" hidden="1" customHeight="1">
      <c r="A60" s="1571"/>
      <c r="B60" s="3451" t="s">
        <v>7859</v>
      </c>
      <c r="C60" s="3452"/>
      <c r="D60" s="930"/>
      <c r="E60" s="1187"/>
      <c r="F60" s="1187"/>
      <c r="G60" s="1187"/>
      <c r="H60" s="1187"/>
      <c r="I60" s="1187"/>
      <c r="J60" s="1187"/>
      <c r="K60" s="1187"/>
      <c r="L60" s="1642"/>
      <c r="M60" s="1187"/>
      <c r="N60" s="1642"/>
    </row>
    <row r="61" spans="1:14" ht="16.149999999999999" hidden="1" customHeight="1">
      <c r="A61" s="1571"/>
      <c r="B61" s="3453"/>
      <c r="C61" s="3454"/>
      <c r="D61" s="930"/>
      <c r="E61" s="1187"/>
      <c r="F61" s="1187"/>
      <c r="G61" s="1187"/>
      <c r="H61" s="1187"/>
      <c r="I61" s="1187"/>
      <c r="J61" s="1187"/>
      <c r="K61" s="1187"/>
      <c r="L61" s="1642"/>
      <c r="M61" s="1187"/>
      <c r="N61" s="1642"/>
    </row>
    <row r="62" spans="1:14" ht="14.5" hidden="1" thickBot="1">
      <c r="A62" s="1571"/>
      <c r="B62" s="1882"/>
      <c r="C62" s="1882"/>
      <c r="D62" s="930"/>
      <c r="E62" s="1187"/>
      <c r="F62" s="1187"/>
      <c r="G62" s="1187"/>
      <c r="H62" s="1187"/>
      <c r="I62" s="1187"/>
      <c r="J62" s="1187"/>
      <c r="K62" s="1187"/>
      <c r="L62" s="1642"/>
      <c r="M62" s="1187"/>
      <c r="N62" s="1642"/>
    </row>
    <row r="63" spans="1:14" ht="14.5" hidden="1" thickBot="1">
      <c r="A63" s="1571"/>
      <c r="B63" s="1259" t="s">
        <v>191</v>
      </c>
      <c r="C63" s="1285" t="s">
        <v>192</v>
      </c>
      <c r="D63" s="930"/>
      <c r="E63" s="1187"/>
      <c r="F63" s="1187"/>
      <c r="G63" s="1187"/>
      <c r="H63" s="1187"/>
      <c r="I63" s="1187"/>
      <c r="J63" s="1187"/>
      <c r="K63" s="1187"/>
      <c r="L63" s="1642"/>
      <c r="M63" s="1187"/>
      <c r="N63" s="1642"/>
    </row>
    <row r="64" spans="1:14" ht="57.75" hidden="1" customHeight="1">
      <c r="A64" s="1571"/>
      <c r="B64" s="1044">
        <f>+B56+1</f>
        <v>13</v>
      </c>
      <c r="C64" s="1286" t="s">
        <v>7860</v>
      </c>
      <c r="D64" s="930"/>
      <c r="E64" s="1187"/>
      <c r="F64" s="1187"/>
      <c r="G64" s="1187"/>
      <c r="H64" s="1187"/>
      <c r="I64" s="1187"/>
      <c r="J64" s="1187"/>
      <c r="K64" s="1187"/>
      <c r="L64" s="1642"/>
      <c r="M64" s="1187"/>
      <c r="N64" s="1642"/>
    </row>
    <row r="65" spans="1:14" ht="57.75" hidden="1" customHeight="1">
      <c r="A65" s="1571"/>
      <c r="B65" s="1287">
        <f t="shared" ref="B65:B74" si="5">+B64+1</f>
        <v>14</v>
      </c>
      <c r="C65" s="1288" t="s">
        <v>7861</v>
      </c>
      <c r="D65" s="930"/>
      <c r="E65" s="1187"/>
      <c r="F65" s="1187"/>
      <c r="G65" s="1187"/>
      <c r="H65" s="1187"/>
      <c r="I65" s="1187"/>
      <c r="J65" s="1187"/>
      <c r="K65" s="1187"/>
      <c r="L65" s="1642"/>
      <c r="M65" s="1187"/>
      <c r="N65" s="1642"/>
    </row>
    <row r="66" spans="1:14" ht="18.75" hidden="1" customHeight="1">
      <c r="A66" s="1571"/>
      <c r="B66" s="1045">
        <f t="shared" si="5"/>
        <v>15</v>
      </c>
      <c r="C66" s="1288" t="s">
        <v>7862</v>
      </c>
      <c r="D66" s="930"/>
      <c r="E66" s="1187"/>
      <c r="F66" s="1187"/>
      <c r="G66" s="1187"/>
      <c r="H66" s="1187"/>
      <c r="I66" s="1187"/>
      <c r="J66" s="1187"/>
      <c r="K66" s="1187"/>
      <c r="L66" s="1642"/>
      <c r="M66" s="1187"/>
      <c r="N66" s="1642"/>
    </row>
    <row r="67" spans="1:14" ht="57.75" hidden="1" customHeight="1">
      <c r="A67" s="1571"/>
      <c r="B67" s="1045">
        <f t="shared" si="5"/>
        <v>16</v>
      </c>
      <c r="C67" s="1289" t="s">
        <v>7863</v>
      </c>
      <c r="D67" s="930"/>
      <c r="E67" s="1187"/>
      <c r="F67" s="1187"/>
      <c r="G67" s="1187"/>
      <c r="H67" s="1187"/>
      <c r="I67" s="1187"/>
      <c r="J67" s="1187"/>
      <c r="K67" s="1187"/>
      <c r="L67" s="1642"/>
      <c r="M67" s="1187"/>
      <c r="N67" s="1642"/>
    </row>
    <row r="68" spans="1:14" ht="57.75" hidden="1" customHeight="1">
      <c r="A68" s="1571"/>
      <c r="B68" s="1045">
        <f t="shared" si="5"/>
        <v>17</v>
      </c>
      <c r="C68" s="1289" t="s">
        <v>7864</v>
      </c>
      <c r="D68" s="930"/>
      <c r="E68" s="1187"/>
      <c r="F68" s="1187"/>
      <c r="G68" s="1187"/>
      <c r="H68" s="1187"/>
      <c r="I68" s="1187"/>
      <c r="J68" s="1187"/>
      <c r="K68" s="1187"/>
      <c r="L68" s="1642"/>
      <c r="M68" s="1187"/>
      <c r="N68" s="1642"/>
    </row>
    <row r="69" spans="1:14" ht="57.75" hidden="1" customHeight="1">
      <c r="A69" s="1571"/>
      <c r="B69" s="1045">
        <f t="shared" si="5"/>
        <v>18</v>
      </c>
      <c r="C69" s="1289" t="s">
        <v>7865</v>
      </c>
      <c r="D69" s="930"/>
      <c r="E69" s="1187"/>
      <c r="F69" s="1187"/>
      <c r="G69" s="1187"/>
      <c r="H69" s="1187"/>
      <c r="I69" s="1187"/>
      <c r="J69" s="1187"/>
      <c r="K69" s="1187"/>
      <c r="L69" s="1642"/>
      <c r="M69" s="1187"/>
      <c r="N69" s="1642"/>
    </row>
    <row r="70" spans="1:14" ht="67.5" hidden="1" customHeight="1">
      <c r="A70" s="1571"/>
      <c r="B70" s="1045">
        <f t="shared" si="5"/>
        <v>19</v>
      </c>
      <c r="C70" s="1289" t="s">
        <v>7866</v>
      </c>
      <c r="D70" s="930"/>
      <c r="E70" s="1187"/>
      <c r="F70" s="1187"/>
      <c r="G70" s="1187"/>
      <c r="H70" s="1187"/>
      <c r="I70" s="1187"/>
      <c r="J70" s="1187"/>
      <c r="K70" s="1187"/>
      <c r="L70" s="1642"/>
      <c r="M70" s="1187"/>
      <c r="N70" s="1642"/>
    </row>
    <row r="71" spans="1:14" ht="33.75" hidden="1" customHeight="1">
      <c r="A71" s="1571"/>
      <c r="B71" s="1290">
        <f t="shared" si="5"/>
        <v>20</v>
      </c>
      <c r="C71" s="1289" t="s">
        <v>7867</v>
      </c>
      <c r="D71" s="930"/>
      <c r="E71" s="1187"/>
      <c r="F71" s="1187"/>
      <c r="G71" s="1187"/>
      <c r="H71" s="1187"/>
      <c r="I71" s="1187"/>
      <c r="J71" s="1187"/>
      <c r="K71" s="1187"/>
      <c r="L71" s="1642"/>
      <c r="M71" s="1187"/>
      <c r="N71" s="1642"/>
    </row>
    <row r="72" spans="1:14" ht="17.25" hidden="1" customHeight="1">
      <c r="A72" s="1571"/>
      <c r="B72" s="1290">
        <f t="shared" si="5"/>
        <v>21</v>
      </c>
      <c r="C72" s="1289" t="s">
        <v>7868</v>
      </c>
      <c r="D72" s="930"/>
      <c r="E72" s="1187"/>
      <c r="F72" s="1187"/>
      <c r="G72" s="1187"/>
      <c r="H72" s="1187"/>
      <c r="I72" s="1187"/>
      <c r="J72" s="1187"/>
      <c r="K72" s="1187"/>
      <c r="L72" s="1642"/>
      <c r="M72" s="1187"/>
      <c r="N72" s="1642"/>
    </row>
    <row r="73" spans="1:14" ht="98.25" hidden="1" customHeight="1">
      <c r="A73" s="1571"/>
      <c r="B73" s="1290">
        <f t="shared" si="5"/>
        <v>22</v>
      </c>
      <c r="C73" s="1289" t="s">
        <v>7869</v>
      </c>
      <c r="D73" s="930"/>
      <c r="E73" s="1187"/>
      <c r="F73" s="1187"/>
      <c r="G73" s="1187"/>
      <c r="H73" s="1187"/>
      <c r="I73" s="1187"/>
      <c r="J73" s="1187"/>
      <c r="K73" s="1187"/>
      <c r="L73" s="1642"/>
      <c r="M73" s="1187"/>
      <c r="N73" s="1642"/>
    </row>
    <row r="74" spans="1:14" ht="57.75" hidden="1" customHeight="1" thickBot="1">
      <c r="A74" s="1571"/>
      <c r="B74" s="1046">
        <f t="shared" si="5"/>
        <v>23</v>
      </c>
      <c r="C74" s="1291" t="s">
        <v>7870</v>
      </c>
      <c r="D74" s="930"/>
      <c r="E74" s="1187"/>
      <c r="F74" s="1187"/>
      <c r="G74" s="1187"/>
      <c r="H74" s="1187"/>
      <c r="I74" s="1187"/>
      <c r="J74" s="1187"/>
      <c r="K74" s="1187"/>
      <c r="L74" s="1642"/>
      <c r="M74" s="1187"/>
      <c r="N74" s="1642"/>
    </row>
    <row r="75" spans="1:14" ht="14.5" hidden="1" thickBot="1">
      <c r="A75" s="1571"/>
      <c r="B75" s="1882"/>
      <c r="C75" s="1882"/>
      <c r="D75" s="930"/>
      <c r="E75" s="1187"/>
      <c r="F75" s="1187"/>
      <c r="G75" s="1187"/>
      <c r="H75" s="1187"/>
      <c r="I75" s="1187"/>
      <c r="J75" s="1187"/>
      <c r="K75" s="1187"/>
      <c r="L75" s="1642"/>
      <c r="M75" s="1187"/>
      <c r="N75" s="1642"/>
    </row>
    <row r="76" spans="1:14" ht="15">
      <c r="A76" s="1882"/>
      <c r="B76" s="1778" t="s">
        <v>4365</v>
      </c>
      <c r="C76" s="1779"/>
      <c r="D76" s="930"/>
      <c r="E76" s="1187"/>
      <c r="F76" s="1187"/>
      <c r="G76" s="1187"/>
      <c r="H76" s="1187"/>
      <c r="I76" s="1187"/>
      <c r="J76" s="1187"/>
      <c r="K76" s="1187"/>
      <c r="L76" s="1642"/>
      <c r="M76" s="1187"/>
      <c r="N76" s="1642"/>
    </row>
    <row r="77" spans="1:14" ht="86.25" customHeight="1">
      <c r="A77" s="1882"/>
      <c r="B77" s="3455" t="s">
        <v>7871</v>
      </c>
      <c r="C77" s="3456"/>
      <c r="D77" s="930"/>
      <c r="E77" s="1187"/>
      <c r="F77" s="1187"/>
      <c r="G77" s="1187"/>
      <c r="H77" s="1187"/>
      <c r="I77" s="1187"/>
      <c r="J77" s="1187"/>
      <c r="K77" s="1187"/>
      <c r="L77" s="1642"/>
      <c r="M77" s="1187"/>
      <c r="N77" s="1642"/>
    </row>
    <row r="78" spans="1:14" ht="25.5" customHeight="1" thickBot="1">
      <c r="A78" s="1882"/>
      <c r="B78" s="3449" t="s">
        <v>7872</v>
      </c>
      <c r="C78" s="3450"/>
      <c r="D78" s="930"/>
      <c r="E78" s="1187"/>
      <c r="F78" s="1187"/>
      <c r="G78" s="1187"/>
      <c r="H78" s="1187"/>
      <c r="I78" s="1187"/>
      <c r="J78" s="1187"/>
      <c r="K78" s="1187"/>
      <c r="L78" s="1642"/>
      <c r="M78" s="1187"/>
      <c r="N78" s="1642"/>
    </row>
    <row r="79" spans="1:14">
      <c r="A79" s="1882"/>
      <c r="B79" s="1882"/>
      <c r="C79" s="1882"/>
      <c r="D79" s="930"/>
      <c r="E79" s="1187"/>
      <c r="F79" s="1187"/>
      <c r="G79" s="1187"/>
      <c r="H79" s="1187"/>
      <c r="I79" s="1187"/>
      <c r="J79" s="1187"/>
      <c r="K79" s="1187"/>
      <c r="L79" s="1642"/>
      <c r="M79" s="1187"/>
      <c r="N79" s="1642"/>
    </row>
    <row r="80" spans="1:14" hidden="1">
      <c r="A80" s="1882"/>
      <c r="B80" s="1882"/>
      <c r="C80" s="1882"/>
      <c r="D80" s="930"/>
      <c r="E80" s="1187"/>
      <c r="F80" s="1187"/>
      <c r="G80" s="1187"/>
      <c r="H80" s="1187"/>
      <c r="I80" s="1187"/>
      <c r="J80" s="1187"/>
      <c r="K80" s="1187"/>
      <c r="L80" s="1642"/>
      <c r="M80" s="1187"/>
      <c r="N80" s="1642"/>
    </row>
    <row r="81" spans="4:14" hidden="1">
      <c r="D81" s="930"/>
      <c r="E81" s="1187"/>
      <c r="F81" s="1187"/>
      <c r="G81" s="1187"/>
      <c r="H81" s="1187"/>
      <c r="I81" s="1187"/>
      <c r="J81" s="1187"/>
      <c r="K81" s="1187"/>
      <c r="L81" s="1642"/>
      <c r="M81" s="1187"/>
      <c r="N81" s="1642"/>
    </row>
  </sheetData>
  <sheetProtection algorithmName="SHA-512" hashValue="vuJmRHYUkYLR9BZW14kA522giTtfOyQxSHayhjNwoFeeZ1iDtNSdXLzvHyfHRQzmyQ/kunlnFaM1xTgDRQnCqg==" saltValue="HEL7+iuCyMbm070ENvMaAA==" spinCount="100000" sheet="1" objects="1" scenarios="1"/>
  <mergeCells count="3">
    <mergeCell ref="B78:C78"/>
    <mergeCell ref="B60:C61"/>
    <mergeCell ref="B77:C77"/>
  </mergeCells>
  <conditionalFormatting sqref="J6:J9 J14 J11:J12">
    <cfRule type="cellIs" dxfId="83" priority="7" operator="equal">
      <formula>0</formula>
    </cfRule>
  </conditionalFormatting>
  <conditionalFormatting sqref="J17">
    <cfRule type="cellIs" dxfId="82" priority="6" operator="equal">
      <formula>0</formula>
    </cfRule>
  </conditionalFormatting>
  <conditionalFormatting sqref="J18">
    <cfRule type="cellIs" dxfId="81" priority="5" operator="equal">
      <formula>0</formula>
    </cfRule>
  </conditionalFormatting>
  <conditionalFormatting sqref="J21">
    <cfRule type="cellIs" dxfId="80" priority="4" operator="equal">
      <formula>0</formula>
    </cfRule>
  </conditionalFormatting>
  <conditionalFormatting sqref="J31">
    <cfRule type="cellIs" dxfId="79" priority="3" operator="equal">
      <formula>0</formula>
    </cfRule>
  </conditionalFormatting>
  <conditionalFormatting sqref="J22 J24:J30">
    <cfRule type="cellIs" dxfId="78"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B6D85FC-587D-4C7B-88BB-7D77A6A7AED5}">
            <xm:f>Validation!$H$3=1</xm:f>
            <x14:dxf>
              <fill>
                <patternFill>
                  <bgColor rgb="FFE0DCD8"/>
                </patternFill>
              </fill>
            </x14:dxf>
          </x14:cfRule>
          <xm:sqref>G6:H15 G17:H18 G21:H31</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tabColor rgb="FF92D050"/>
    <pageSetUpPr fitToPage="1"/>
  </sheetPr>
  <dimension ref="A1:WXQ116"/>
  <sheetViews>
    <sheetView zoomScaleNormal="100" workbookViewId="0">
      <selection activeCell="B36" sqref="B1:K36"/>
    </sheetView>
  </sheetViews>
  <sheetFormatPr defaultColWidth="0" defaultRowHeight="0" customHeight="1" zeroHeight="1"/>
  <cols>
    <col min="1" max="1" width="0.58203125" customWidth="1"/>
    <col min="2" max="2" width="6.58203125" customWidth="1"/>
    <col min="3" max="3" width="50.08203125" customWidth="1"/>
    <col min="4" max="4" width="9.5" customWidth="1"/>
    <col min="5" max="6" width="8.58203125" customWidth="1"/>
    <col min="7" max="12" width="12.58203125" customWidth="1"/>
    <col min="13" max="13" width="12.58203125" style="1882" customWidth="1"/>
    <col min="14" max="14" width="9.08203125" customWidth="1"/>
    <col min="15" max="15" width="30.08203125" customWidth="1"/>
    <col min="16" max="16" width="2.58203125" customWidth="1"/>
    <col min="17" max="17" width="40.58203125" customWidth="1"/>
    <col min="18" max="18" width="1.58203125" hidden="1" customWidth="1"/>
    <col min="19" max="19" width="1.58203125" style="1635" hidden="1" customWidth="1"/>
    <col min="20" max="24" width="3.58203125" hidden="1" customWidth="1"/>
    <col min="25" max="25" width="3.58203125" style="1882" hidden="1" customWidth="1"/>
    <col min="26" max="26" width="3.58203125" hidden="1" customWidth="1"/>
    <col min="27" max="27" width="1.58203125" style="1635" hidden="1" customWidth="1"/>
    <col min="28" max="28" width="7.58203125" hidden="1" customWidth="1"/>
    <col min="29" max="29" width="1.08203125" style="1635" hidden="1" customWidth="1"/>
    <col min="30" max="31" width="8.58203125" hidden="1" customWidth="1"/>
    <col min="32" max="32" width="68.58203125" hidden="1" customWidth="1"/>
    <col min="33" max="33" width="1.08203125" style="1635" hidden="1" customWidth="1"/>
    <col min="34" max="35" width="8.58203125" customWidth="1"/>
    <col min="36" max="36" width="49.58203125" bestFit="1" customWidth="1"/>
    <col min="37" max="37" width="11.58203125" customWidth="1"/>
    <col min="38" max="39" width="8.58203125" customWidth="1"/>
    <col min="40" max="45" width="13.58203125" customWidth="1"/>
    <col min="46" max="46" width="15" style="1882" bestFit="1" customWidth="1"/>
    <col min="47" max="47" width="14.75" bestFit="1" customWidth="1"/>
    <col min="48" max="48" width="8.58203125" customWidth="1"/>
    <col min="49" max="182" width="8.58203125" hidden="1" customWidth="1"/>
    <col min="183" max="183" width="0.58203125" hidden="1" customWidth="1"/>
    <col min="184" max="184" width="6.58203125" hidden="1" customWidth="1"/>
    <col min="185" max="185" width="50.08203125" hidden="1" customWidth="1"/>
    <col min="186" max="186" width="8.203125E-2" hidden="1" customWidth="1"/>
    <col min="187" max="188" width="8.58203125" hidden="1" customWidth="1"/>
    <col min="189" max="189" width="10.58203125" hidden="1" customWidth="1"/>
    <col min="190" max="190" width="10" hidden="1" customWidth="1"/>
    <col min="191" max="191" width="11.58203125" hidden="1" customWidth="1"/>
    <col min="192" max="194" width="10.58203125" hidden="1" customWidth="1"/>
    <col min="195" max="195" width="9.08203125" hidden="1" customWidth="1"/>
    <col min="196" max="197" width="9.58203125" hidden="1" customWidth="1"/>
    <col min="198" max="198" width="9.5" hidden="1" customWidth="1"/>
    <col min="199" max="199" width="9.58203125" hidden="1" customWidth="1"/>
    <col min="200" max="200" width="9.5" hidden="1" customWidth="1"/>
    <col min="201" max="201" width="8.58203125" hidden="1" customWidth="1"/>
    <col min="202" max="202" width="10.58203125" hidden="1" customWidth="1"/>
    <col min="203" max="204" width="8.58203125" hidden="1" customWidth="1"/>
    <col min="205" max="208" width="10.08203125" hidden="1" customWidth="1"/>
    <col min="209" max="209" width="8.58203125" hidden="1" customWidth="1"/>
    <col min="210" max="210" width="10.08203125" hidden="1" customWidth="1"/>
    <col min="211" max="212" width="8.58203125" hidden="1" customWidth="1"/>
    <col min="213" max="214" width="9.58203125" hidden="1" customWidth="1"/>
    <col min="215" max="215" width="10" hidden="1" customWidth="1"/>
    <col min="216" max="216" width="9.58203125" hidden="1" customWidth="1"/>
    <col min="217" max="217" width="8.58203125" hidden="1" customWidth="1"/>
    <col min="218" max="218" width="9.58203125" hidden="1" customWidth="1"/>
    <col min="219" max="220" width="8.58203125" hidden="1" customWidth="1"/>
    <col min="221" max="221" width="9.08203125" hidden="1" customWidth="1"/>
    <col min="222" max="222" width="9.5" hidden="1" customWidth="1"/>
    <col min="223" max="223" width="10.5" hidden="1" customWidth="1"/>
    <col min="224" max="224" width="9.5" hidden="1" customWidth="1"/>
    <col min="225" max="225" width="8.58203125" hidden="1" customWidth="1"/>
    <col min="226" max="226" width="11.08203125" hidden="1" customWidth="1"/>
    <col min="227" max="228" width="8.58203125" hidden="1" customWidth="1"/>
    <col min="229" max="229" width="9.08203125" hidden="1" customWidth="1"/>
    <col min="230" max="232" width="9.58203125" hidden="1" customWidth="1"/>
    <col min="233" max="233" width="8.58203125" hidden="1" customWidth="1"/>
    <col min="234" max="234" width="10.08203125" hidden="1" customWidth="1"/>
    <col min="235" max="236" width="8.58203125" hidden="1" customWidth="1"/>
    <col min="237" max="237" width="30.08203125" hidden="1" customWidth="1"/>
    <col min="238" max="238" width="2.58203125" hidden="1" customWidth="1"/>
    <col min="239" max="239" width="18.58203125" hidden="1" customWidth="1"/>
    <col min="240" max="240" width="1.58203125" hidden="1" customWidth="1"/>
    <col min="241" max="289" width="8.58203125" hidden="1" customWidth="1"/>
    <col min="290" max="438" width="8.58203125" hidden="1"/>
    <col min="439" max="439" width="0.58203125" hidden="1" customWidth="1"/>
    <col min="440" max="440" width="6.58203125" hidden="1" customWidth="1"/>
    <col min="441" max="441" width="50.08203125" hidden="1" customWidth="1"/>
    <col min="442" max="442" width="8.203125E-2" hidden="1" customWidth="1"/>
    <col min="443" max="444" width="8.58203125" hidden="1" customWidth="1"/>
    <col min="445" max="445" width="10.58203125" hidden="1" customWidth="1"/>
    <col min="446" max="446" width="10" hidden="1" customWidth="1"/>
    <col min="447" max="447" width="11.58203125" hidden="1" customWidth="1"/>
    <col min="448" max="450" width="10.58203125" hidden="1" customWidth="1"/>
    <col min="451" max="451" width="9.08203125" hidden="1" customWidth="1"/>
    <col min="452" max="453" width="9.58203125" hidden="1" customWidth="1"/>
    <col min="454" max="454" width="9.5" hidden="1" customWidth="1"/>
    <col min="455" max="455" width="9.58203125" hidden="1" customWidth="1"/>
    <col min="456" max="456" width="9.5" hidden="1" customWidth="1"/>
    <col min="457" max="457" width="8.58203125" hidden="1" customWidth="1"/>
    <col min="458" max="458" width="10.58203125" hidden="1" customWidth="1"/>
    <col min="459" max="460" width="8.58203125" hidden="1" customWidth="1"/>
    <col min="461" max="464" width="10.08203125" hidden="1" customWidth="1"/>
    <col min="465" max="465" width="8.58203125" hidden="1" customWidth="1"/>
    <col min="466" max="466" width="10.08203125" hidden="1" customWidth="1"/>
    <col min="467" max="468" width="8.58203125" hidden="1" customWidth="1"/>
    <col min="469" max="470" width="9.58203125" hidden="1" customWidth="1"/>
    <col min="471" max="471" width="10" hidden="1" customWidth="1"/>
    <col min="472" max="472" width="9.58203125" hidden="1" customWidth="1"/>
    <col min="473" max="473" width="8.58203125" hidden="1" customWidth="1"/>
    <col min="474" max="474" width="9.58203125" hidden="1" customWidth="1"/>
    <col min="475" max="476" width="8.58203125" hidden="1" customWidth="1"/>
    <col min="477" max="477" width="9.08203125" hidden="1" customWidth="1"/>
    <col min="478" max="478" width="9.5" hidden="1" customWidth="1"/>
    <col min="479" max="479" width="10.5" hidden="1" customWidth="1"/>
    <col min="480" max="480" width="9.5" hidden="1" customWidth="1"/>
    <col min="481" max="481" width="8.58203125" hidden="1" customWidth="1"/>
    <col min="482" max="482" width="11.08203125" hidden="1" customWidth="1"/>
    <col min="483" max="484" width="8.58203125" hidden="1" customWidth="1"/>
    <col min="485" max="485" width="9.08203125" hidden="1" customWidth="1"/>
    <col min="486" max="488" width="9.58203125" hidden="1" customWidth="1"/>
    <col min="489" max="489" width="8.58203125" hidden="1" customWidth="1"/>
    <col min="490" max="490" width="10.08203125" hidden="1" customWidth="1"/>
    <col min="491" max="492" width="8.58203125" hidden="1" customWidth="1"/>
    <col min="493" max="493" width="30.08203125" hidden="1" customWidth="1"/>
    <col min="494" max="494" width="2.58203125" hidden="1" customWidth="1"/>
    <col min="495" max="495" width="18.58203125" hidden="1" customWidth="1"/>
    <col min="496" max="496" width="1.58203125" hidden="1" customWidth="1"/>
    <col min="497" max="545" width="8.58203125" hidden="1" customWidth="1"/>
    <col min="546" max="694" width="8.58203125" hidden="1"/>
    <col min="695" max="695" width="0.58203125" hidden="1" customWidth="1"/>
    <col min="696" max="696" width="6.58203125" hidden="1" customWidth="1"/>
    <col min="697" max="697" width="50.08203125" hidden="1" customWidth="1"/>
    <col min="698" max="698" width="8.203125E-2" hidden="1" customWidth="1"/>
    <col min="699" max="700" width="8.58203125" hidden="1" customWidth="1"/>
    <col min="701" max="701" width="10.58203125" hidden="1" customWidth="1"/>
    <col min="702" max="702" width="10" hidden="1" customWidth="1"/>
    <col min="703" max="703" width="11.58203125" hidden="1" customWidth="1"/>
    <col min="704" max="706" width="10.58203125" hidden="1" customWidth="1"/>
    <col min="707" max="707" width="9.08203125" hidden="1" customWidth="1"/>
    <col min="708" max="709" width="9.58203125" hidden="1" customWidth="1"/>
    <col min="710" max="710" width="9.5" hidden="1" customWidth="1"/>
    <col min="711" max="711" width="9.58203125" hidden="1" customWidth="1"/>
    <col min="712" max="712" width="9.5" hidden="1" customWidth="1"/>
    <col min="713" max="713" width="8.58203125" hidden="1" customWidth="1"/>
    <col min="714" max="714" width="10.58203125" hidden="1" customWidth="1"/>
    <col min="715" max="716" width="8.58203125" hidden="1" customWidth="1"/>
    <col min="717" max="720" width="10.08203125" hidden="1" customWidth="1"/>
    <col min="721" max="721" width="8.58203125" hidden="1" customWidth="1"/>
    <col min="722" max="722" width="10.08203125" hidden="1" customWidth="1"/>
    <col min="723" max="724" width="8.58203125" hidden="1" customWidth="1"/>
    <col min="725" max="726" width="9.58203125" hidden="1" customWidth="1"/>
    <col min="727" max="727" width="10" hidden="1" customWidth="1"/>
    <col min="728" max="728" width="9.58203125" hidden="1" customWidth="1"/>
    <col min="729" max="729" width="8.58203125" hidden="1" customWidth="1"/>
    <col min="730" max="730" width="9.58203125" hidden="1" customWidth="1"/>
    <col min="731" max="732" width="8.58203125" hidden="1" customWidth="1"/>
    <col min="733" max="733" width="9.08203125" hidden="1" customWidth="1"/>
    <col min="734" max="734" width="9.5" hidden="1" customWidth="1"/>
    <col min="735" max="735" width="10.5" hidden="1" customWidth="1"/>
    <col min="736" max="736" width="9.5" hidden="1" customWidth="1"/>
    <col min="737" max="737" width="8.58203125" hidden="1" customWidth="1"/>
    <col min="738" max="738" width="11.08203125" hidden="1" customWidth="1"/>
    <col min="739" max="740" width="8.58203125" hidden="1" customWidth="1"/>
    <col min="741" max="741" width="9.08203125" hidden="1" customWidth="1"/>
    <col min="742" max="744" width="9.58203125" hidden="1" customWidth="1"/>
    <col min="745" max="745" width="8.58203125" hidden="1" customWidth="1"/>
    <col min="746" max="746" width="10.08203125" hidden="1" customWidth="1"/>
    <col min="747" max="748" width="8.58203125" hidden="1" customWidth="1"/>
    <col min="749" max="749" width="30.08203125" hidden="1" customWidth="1"/>
    <col min="750" max="750" width="2.58203125" hidden="1" customWidth="1"/>
    <col min="751" max="751" width="18.58203125" hidden="1" customWidth="1"/>
    <col min="752" max="752" width="1.58203125" hidden="1" customWidth="1"/>
    <col min="753" max="801" width="8.58203125" hidden="1" customWidth="1"/>
    <col min="802" max="950" width="8.58203125" hidden="1"/>
    <col min="951" max="951" width="0.58203125" hidden="1" customWidth="1"/>
    <col min="952" max="952" width="6.58203125" hidden="1" customWidth="1"/>
    <col min="953" max="953" width="50.08203125" hidden="1" customWidth="1"/>
    <col min="954" max="954" width="8.203125E-2" hidden="1" customWidth="1"/>
    <col min="955" max="956" width="8.58203125" hidden="1" customWidth="1"/>
    <col min="957" max="957" width="10.58203125" hidden="1" customWidth="1"/>
    <col min="958" max="958" width="10" hidden="1" customWidth="1"/>
    <col min="959" max="959" width="11.58203125" hidden="1" customWidth="1"/>
    <col min="960" max="962" width="10.58203125" hidden="1" customWidth="1"/>
    <col min="963" max="963" width="9.08203125" hidden="1" customWidth="1"/>
    <col min="964" max="965" width="9.58203125" hidden="1" customWidth="1"/>
    <col min="966" max="966" width="9.5" hidden="1" customWidth="1"/>
    <col min="967" max="967" width="9.58203125" hidden="1" customWidth="1"/>
    <col min="968" max="968" width="9.5" hidden="1" customWidth="1"/>
    <col min="969" max="969" width="8.58203125" hidden="1" customWidth="1"/>
    <col min="970" max="970" width="10.58203125" hidden="1" customWidth="1"/>
    <col min="971" max="972" width="8.58203125" hidden="1" customWidth="1"/>
    <col min="973" max="976" width="10.08203125" hidden="1" customWidth="1"/>
    <col min="977" max="977" width="8.58203125" hidden="1" customWidth="1"/>
    <col min="978" max="978" width="10.08203125" hidden="1" customWidth="1"/>
    <col min="979" max="980" width="8.58203125" hidden="1" customWidth="1"/>
    <col min="981" max="982" width="9.58203125" hidden="1" customWidth="1"/>
    <col min="983" max="983" width="10" hidden="1" customWidth="1"/>
    <col min="984" max="984" width="9.58203125" hidden="1" customWidth="1"/>
    <col min="985" max="985" width="8.58203125" hidden="1" customWidth="1"/>
    <col min="986" max="986" width="9.58203125" hidden="1" customWidth="1"/>
    <col min="987" max="988" width="8.58203125" hidden="1" customWidth="1"/>
    <col min="989" max="989" width="9.08203125" hidden="1" customWidth="1"/>
    <col min="990" max="990" width="9.5" hidden="1" customWidth="1"/>
    <col min="991" max="991" width="10.5" hidden="1" customWidth="1"/>
    <col min="992" max="992" width="9.5" hidden="1" customWidth="1"/>
    <col min="993" max="993" width="8.58203125" hidden="1" customWidth="1"/>
    <col min="994" max="994" width="11.08203125" hidden="1" customWidth="1"/>
    <col min="995" max="996" width="8.58203125" hidden="1" customWidth="1"/>
    <col min="997" max="997" width="9.08203125" hidden="1" customWidth="1"/>
    <col min="998" max="1000" width="9.58203125" hidden="1" customWidth="1"/>
    <col min="1001" max="1001" width="8.58203125" hidden="1" customWidth="1"/>
    <col min="1002" max="1002" width="10.08203125" hidden="1" customWidth="1"/>
    <col min="1003" max="1004" width="8.58203125" hidden="1" customWidth="1"/>
    <col min="1005" max="1005" width="30.08203125" hidden="1" customWidth="1"/>
    <col min="1006" max="1006" width="2.58203125" hidden="1" customWidth="1"/>
    <col min="1007" max="1007" width="18.58203125" hidden="1" customWidth="1"/>
    <col min="1008" max="1008" width="1.58203125" hidden="1" customWidth="1"/>
    <col min="1009" max="1057" width="8.58203125" hidden="1" customWidth="1"/>
    <col min="1058" max="1206" width="8.58203125" hidden="1"/>
    <col min="1207" max="1207" width="0.58203125" hidden="1" customWidth="1"/>
    <col min="1208" max="1208" width="6.58203125" hidden="1" customWidth="1"/>
    <col min="1209" max="1209" width="50.08203125" hidden="1" customWidth="1"/>
    <col min="1210" max="1210" width="8.203125E-2" hidden="1" customWidth="1"/>
    <col min="1211" max="1212" width="8.58203125" hidden="1" customWidth="1"/>
    <col min="1213" max="1213" width="10.58203125" hidden="1" customWidth="1"/>
    <col min="1214" max="1214" width="10" hidden="1" customWidth="1"/>
    <col min="1215" max="1215" width="11.58203125" hidden="1" customWidth="1"/>
    <col min="1216" max="1218" width="10.58203125" hidden="1" customWidth="1"/>
    <col min="1219" max="1219" width="9.08203125" hidden="1" customWidth="1"/>
    <col min="1220" max="1221" width="9.58203125" hidden="1" customWidth="1"/>
    <col min="1222" max="1222" width="9.5" hidden="1" customWidth="1"/>
    <col min="1223" max="1223" width="9.58203125" hidden="1" customWidth="1"/>
    <col min="1224" max="1224" width="9.5" hidden="1" customWidth="1"/>
    <col min="1225" max="1225" width="8.58203125" hidden="1" customWidth="1"/>
    <col min="1226" max="1226" width="10.58203125" hidden="1" customWidth="1"/>
    <col min="1227" max="1228" width="8.58203125" hidden="1" customWidth="1"/>
    <col min="1229" max="1232" width="10.08203125" hidden="1" customWidth="1"/>
    <col min="1233" max="1233" width="8.58203125" hidden="1" customWidth="1"/>
    <col min="1234" max="1234" width="10.08203125" hidden="1" customWidth="1"/>
    <col min="1235" max="1236" width="8.58203125" hidden="1" customWidth="1"/>
    <col min="1237" max="1238" width="9.58203125" hidden="1" customWidth="1"/>
    <col min="1239" max="1239" width="10" hidden="1" customWidth="1"/>
    <col min="1240" max="1240" width="9.58203125" hidden="1" customWidth="1"/>
    <col min="1241" max="1241" width="8.58203125" hidden="1" customWidth="1"/>
    <col min="1242" max="1242" width="9.58203125" hidden="1" customWidth="1"/>
    <col min="1243" max="1244" width="8.58203125" hidden="1" customWidth="1"/>
    <col min="1245" max="1245" width="9.08203125" hidden="1" customWidth="1"/>
    <col min="1246" max="1246" width="9.5" hidden="1" customWidth="1"/>
    <col min="1247" max="1247" width="10.5" hidden="1" customWidth="1"/>
    <col min="1248" max="1248" width="9.5" hidden="1" customWidth="1"/>
    <col min="1249" max="1249" width="8.58203125" hidden="1" customWidth="1"/>
    <col min="1250" max="1250" width="11.08203125" hidden="1" customWidth="1"/>
    <col min="1251" max="1252" width="8.58203125" hidden="1" customWidth="1"/>
    <col min="1253" max="1253" width="9.08203125" hidden="1" customWidth="1"/>
    <col min="1254" max="1256" width="9.58203125" hidden="1" customWidth="1"/>
    <col min="1257" max="1257" width="8.58203125" hidden="1" customWidth="1"/>
    <col min="1258" max="1258" width="10.08203125" hidden="1" customWidth="1"/>
    <col min="1259" max="1260" width="8.58203125" hidden="1" customWidth="1"/>
    <col min="1261" max="1261" width="30.08203125" hidden="1" customWidth="1"/>
    <col min="1262" max="1262" width="2.58203125" hidden="1" customWidth="1"/>
    <col min="1263" max="1263" width="18.58203125" hidden="1" customWidth="1"/>
    <col min="1264" max="1264" width="1.58203125" hidden="1" customWidth="1"/>
    <col min="1265" max="1313" width="8.58203125" hidden="1" customWidth="1"/>
    <col min="1314" max="1462" width="8.58203125" hidden="1"/>
    <col min="1463" max="1463" width="0.58203125" hidden="1" customWidth="1"/>
    <col min="1464" max="1464" width="6.58203125" hidden="1" customWidth="1"/>
    <col min="1465" max="1465" width="50.08203125" hidden="1" customWidth="1"/>
    <col min="1466" max="1466" width="8.203125E-2" hidden="1" customWidth="1"/>
    <col min="1467" max="1468" width="8.58203125" hidden="1" customWidth="1"/>
    <col min="1469" max="1469" width="10.58203125" hidden="1" customWidth="1"/>
    <col min="1470" max="1470" width="10" hidden="1" customWidth="1"/>
    <col min="1471" max="1471" width="11.58203125" hidden="1" customWidth="1"/>
    <col min="1472" max="1474" width="10.58203125" hidden="1" customWidth="1"/>
    <col min="1475" max="1475" width="9.08203125" hidden="1" customWidth="1"/>
    <col min="1476" max="1477" width="9.58203125" hidden="1" customWidth="1"/>
    <col min="1478" max="1478" width="9.5" hidden="1" customWidth="1"/>
    <col min="1479" max="1479" width="9.58203125" hidden="1" customWidth="1"/>
    <col min="1480" max="1480" width="9.5" hidden="1" customWidth="1"/>
    <col min="1481" max="1481" width="8.58203125" hidden="1" customWidth="1"/>
    <col min="1482" max="1482" width="10.58203125" hidden="1" customWidth="1"/>
    <col min="1483" max="1484" width="8.58203125" hidden="1" customWidth="1"/>
    <col min="1485" max="1488" width="10.08203125" hidden="1" customWidth="1"/>
    <col min="1489" max="1489" width="8.58203125" hidden="1" customWidth="1"/>
    <col min="1490" max="1490" width="10.08203125" hidden="1" customWidth="1"/>
    <col min="1491" max="1492" width="8.58203125" hidden="1" customWidth="1"/>
    <col min="1493" max="1494" width="9.58203125" hidden="1" customWidth="1"/>
    <col min="1495" max="1495" width="10" hidden="1" customWidth="1"/>
    <col min="1496" max="1496" width="9.58203125" hidden="1" customWidth="1"/>
    <col min="1497" max="1497" width="8.58203125" hidden="1" customWidth="1"/>
    <col min="1498" max="1498" width="9.58203125" hidden="1" customWidth="1"/>
    <col min="1499" max="1500" width="8.58203125" hidden="1" customWidth="1"/>
    <col min="1501" max="1501" width="9.08203125" hidden="1" customWidth="1"/>
    <col min="1502" max="1502" width="9.5" hidden="1" customWidth="1"/>
    <col min="1503" max="1503" width="10.5" hidden="1" customWidth="1"/>
    <col min="1504" max="1504" width="9.5" hidden="1" customWidth="1"/>
    <col min="1505" max="1505" width="8.58203125" hidden="1" customWidth="1"/>
    <col min="1506" max="1506" width="11.08203125" hidden="1" customWidth="1"/>
    <col min="1507" max="1508" width="8.58203125" hidden="1" customWidth="1"/>
    <col min="1509" max="1509" width="9.08203125" hidden="1" customWidth="1"/>
    <col min="1510" max="1512" width="9.58203125" hidden="1" customWidth="1"/>
    <col min="1513" max="1513" width="8.58203125" hidden="1" customWidth="1"/>
    <col min="1514" max="1514" width="10.08203125" hidden="1" customWidth="1"/>
    <col min="1515" max="1516" width="8.58203125" hidden="1" customWidth="1"/>
    <col min="1517" max="1517" width="30.08203125" hidden="1" customWidth="1"/>
    <col min="1518" max="1518" width="2.58203125" hidden="1" customWidth="1"/>
    <col min="1519" max="1519" width="18.58203125" hidden="1" customWidth="1"/>
    <col min="1520" max="1520" width="1.58203125" hidden="1" customWidth="1"/>
    <col min="1521" max="1569" width="8.58203125" hidden="1" customWidth="1"/>
    <col min="1570" max="1718" width="8.58203125" hidden="1"/>
    <col min="1719" max="1719" width="0.58203125" hidden="1" customWidth="1"/>
    <col min="1720" max="1720" width="6.58203125" hidden="1" customWidth="1"/>
    <col min="1721" max="1721" width="50.08203125" hidden="1" customWidth="1"/>
    <col min="1722" max="1722" width="8.203125E-2" hidden="1" customWidth="1"/>
    <col min="1723" max="1724" width="8.58203125" hidden="1" customWidth="1"/>
    <col min="1725" max="1725" width="10.58203125" hidden="1" customWidth="1"/>
    <col min="1726" max="1726" width="10" hidden="1" customWidth="1"/>
    <col min="1727" max="1727" width="11.58203125" hidden="1" customWidth="1"/>
    <col min="1728" max="1730" width="10.58203125" hidden="1" customWidth="1"/>
    <col min="1731" max="1731" width="9.08203125" hidden="1" customWidth="1"/>
    <col min="1732" max="1733" width="9.58203125" hidden="1" customWidth="1"/>
    <col min="1734" max="1734" width="9.5" hidden="1" customWidth="1"/>
    <col min="1735" max="1735" width="9.58203125" hidden="1" customWidth="1"/>
    <col min="1736" max="1736" width="9.5" hidden="1" customWidth="1"/>
    <col min="1737" max="1737" width="8.58203125" hidden="1" customWidth="1"/>
    <col min="1738" max="1738" width="10.58203125" hidden="1" customWidth="1"/>
    <col min="1739" max="1740" width="8.58203125" hidden="1" customWidth="1"/>
    <col min="1741" max="1744" width="10.08203125" hidden="1" customWidth="1"/>
    <col min="1745" max="1745" width="8.58203125" hidden="1" customWidth="1"/>
    <col min="1746" max="1746" width="10.08203125" hidden="1" customWidth="1"/>
    <col min="1747" max="1748" width="8.58203125" hidden="1" customWidth="1"/>
    <col min="1749" max="1750" width="9.58203125" hidden="1" customWidth="1"/>
    <col min="1751" max="1751" width="10" hidden="1" customWidth="1"/>
    <col min="1752" max="1752" width="9.58203125" hidden="1" customWidth="1"/>
    <col min="1753" max="1753" width="8.58203125" hidden="1" customWidth="1"/>
    <col min="1754" max="1754" width="9.58203125" hidden="1" customWidth="1"/>
    <col min="1755" max="1756" width="8.58203125" hidden="1" customWidth="1"/>
    <col min="1757" max="1757" width="9.08203125" hidden="1" customWidth="1"/>
    <col min="1758" max="1758" width="9.5" hidden="1" customWidth="1"/>
    <col min="1759" max="1759" width="10.5" hidden="1" customWidth="1"/>
    <col min="1760" max="1760" width="9.5" hidden="1" customWidth="1"/>
    <col min="1761" max="1761" width="8.58203125" hidden="1" customWidth="1"/>
    <col min="1762" max="1762" width="11.08203125" hidden="1" customWidth="1"/>
    <col min="1763" max="1764" width="8.58203125" hidden="1" customWidth="1"/>
    <col min="1765" max="1765" width="9.08203125" hidden="1" customWidth="1"/>
    <col min="1766" max="1768" width="9.58203125" hidden="1" customWidth="1"/>
    <col min="1769" max="1769" width="8.58203125" hidden="1" customWidth="1"/>
    <col min="1770" max="1770" width="10.08203125" hidden="1" customWidth="1"/>
    <col min="1771" max="1772" width="8.58203125" hidden="1" customWidth="1"/>
    <col min="1773" max="1773" width="30.08203125" hidden="1" customWidth="1"/>
    <col min="1774" max="1774" width="2.58203125" hidden="1" customWidth="1"/>
    <col min="1775" max="1775" width="18.58203125" hidden="1" customWidth="1"/>
    <col min="1776" max="1776" width="1.58203125" hidden="1" customWidth="1"/>
    <col min="1777" max="1825" width="8.58203125" hidden="1" customWidth="1"/>
    <col min="1826" max="1974" width="8.58203125" hidden="1"/>
    <col min="1975" max="1975" width="0.58203125" hidden="1" customWidth="1"/>
    <col min="1976" max="1976" width="6.58203125" hidden="1" customWidth="1"/>
    <col min="1977" max="1977" width="50.08203125" hidden="1" customWidth="1"/>
    <col min="1978" max="1978" width="8.203125E-2" hidden="1" customWidth="1"/>
    <col min="1979" max="1980" width="8.58203125" hidden="1" customWidth="1"/>
    <col min="1981" max="1981" width="10.58203125" hidden="1" customWidth="1"/>
    <col min="1982" max="1982" width="10" hidden="1" customWidth="1"/>
    <col min="1983" max="1983" width="11.58203125" hidden="1" customWidth="1"/>
    <col min="1984" max="1986" width="10.58203125" hidden="1" customWidth="1"/>
    <col min="1987" max="1987" width="9.08203125" hidden="1" customWidth="1"/>
    <col min="1988" max="1989" width="9.58203125" hidden="1" customWidth="1"/>
    <col min="1990" max="1990" width="9.5" hidden="1" customWidth="1"/>
    <col min="1991" max="1991" width="9.58203125" hidden="1" customWidth="1"/>
    <col min="1992" max="1992" width="9.5" hidden="1" customWidth="1"/>
    <col min="1993" max="1993" width="8.58203125" hidden="1" customWidth="1"/>
    <col min="1994" max="1994" width="10.58203125" hidden="1" customWidth="1"/>
    <col min="1995" max="1996" width="8.58203125" hidden="1" customWidth="1"/>
    <col min="1997" max="2000" width="10.08203125" hidden="1" customWidth="1"/>
    <col min="2001" max="2001" width="8.58203125" hidden="1" customWidth="1"/>
    <col min="2002" max="2002" width="10.08203125" hidden="1" customWidth="1"/>
    <col min="2003" max="2004" width="8.58203125" hidden="1" customWidth="1"/>
    <col min="2005" max="2006" width="9.58203125" hidden="1" customWidth="1"/>
    <col min="2007" max="2007" width="10" hidden="1" customWidth="1"/>
    <col min="2008" max="2008" width="9.58203125" hidden="1" customWidth="1"/>
    <col min="2009" max="2009" width="8.58203125" hidden="1" customWidth="1"/>
    <col min="2010" max="2010" width="9.58203125" hidden="1" customWidth="1"/>
    <col min="2011" max="2012" width="8.58203125" hidden="1" customWidth="1"/>
    <col min="2013" max="2013" width="9.08203125" hidden="1" customWidth="1"/>
    <col min="2014" max="2014" width="9.5" hidden="1" customWidth="1"/>
    <col min="2015" max="2015" width="10.5" hidden="1" customWidth="1"/>
    <col min="2016" max="2016" width="9.5" hidden="1" customWidth="1"/>
    <col min="2017" max="2017" width="8.58203125" hidden="1" customWidth="1"/>
    <col min="2018" max="2018" width="11.08203125" hidden="1" customWidth="1"/>
    <col min="2019" max="2020" width="8.58203125" hidden="1" customWidth="1"/>
    <col min="2021" max="2021" width="9.08203125" hidden="1" customWidth="1"/>
    <col min="2022" max="2024" width="9.58203125" hidden="1" customWidth="1"/>
    <col min="2025" max="2025" width="8.58203125" hidden="1" customWidth="1"/>
    <col min="2026" max="2026" width="10.08203125" hidden="1" customWidth="1"/>
    <col min="2027" max="2028" width="8.58203125" hidden="1" customWidth="1"/>
    <col min="2029" max="2029" width="30.08203125" hidden="1" customWidth="1"/>
    <col min="2030" max="2030" width="2.58203125" hidden="1" customWidth="1"/>
    <col min="2031" max="2031" width="18.58203125" hidden="1" customWidth="1"/>
    <col min="2032" max="2032" width="1.58203125" hidden="1" customWidth="1"/>
    <col min="2033" max="2081" width="8.58203125" hidden="1" customWidth="1"/>
    <col min="2082" max="2230" width="8.58203125" hidden="1"/>
    <col min="2231" max="2231" width="0.58203125" hidden="1" customWidth="1"/>
    <col min="2232" max="2232" width="6.58203125" hidden="1" customWidth="1"/>
    <col min="2233" max="2233" width="50.08203125" hidden="1" customWidth="1"/>
    <col min="2234" max="2234" width="8.203125E-2" hidden="1" customWidth="1"/>
    <col min="2235" max="2236" width="8.58203125" hidden="1" customWidth="1"/>
    <col min="2237" max="2237" width="10.58203125" hidden="1" customWidth="1"/>
    <col min="2238" max="2238" width="10" hidden="1" customWidth="1"/>
    <col min="2239" max="2239" width="11.58203125" hidden="1" customWidth="1"/>
    <col min="2240" max="2242" width="10.58203125" hidden="1" customWidth="1"/>
    <col min="2243" max="2243" width="9.08203125" hidden="1" customWidth="1"/>
    <col min="2244" max="2245" width="9.58203125" hidden="1" customWidth="1"/>
    <col min="2246" max="2246" width="9.5" hidden="1" customWidth="1"/>
    <col min="2247" max="2247" width="9.58203125" hidden="1" customWidth="1"/>
    <col min="2248" max="2248" width="9.5" hidden="1" customWidth="1"/>
    <col min="2249" max="2249" width="8.58203125" hidden="1" customWidth="1"/>
    <col min="2250" max="2250" width="10.58203125" hidden="1" customWidth="1"/>
    <col min="2251" max="2252" width="8.58203125" hidden="1" customWidth="1"/>
    <col min="2253" max="2256" width="10.08203125" hidden="1" customWidth="1"/>
    <col min="2257" max="2257" width="8.58203125" hidden="1" customWidth="1"/>
    <col min="2258" max="2258" width="10.08203125" hidden="1" customWidth="1"/>
    <col min="2259" max="2260" width="8.58203125" hidden="1" customWidth="1"/>
    <col min="2261" max="2262" width="9.58203125" hidden="1" customWidth="1"/>
    <col min="2263" max="2263" width="10" hidden="1" customWidth="1"/>
    <col min="2264" max="2264" width="9.58203125" hidden="1" customWidth="1"/>
    <col min="2265" max="2265" width="8.58203125" hidden="1" customWidth="1"/>
    <col min="2266" max="2266" width="9.58203125" hidden="1" customWidth="1"/>
    <col min="2267" max="2268" width="8.58203125" hidden="1" customWidth="1"/>
    <col min="2269" max="2269" width="9.08203125" hidden="1" customWidth="1"/>
    <col min="2270" max="2270" width="9.5" hidden="1" customWidth="1"/>
    <col min="2271" max="2271" width="10.5" hidden="1" customWidth="1"/>
    <col min="2272" max="2272" width="9.5" hidden="1" customWidth="1"/>
    <col min="2273" max="2273" width="8.58203125" hidden="1" customWidth="1"/>
    <col min="2274" max="2274" width="11.08203125" hidden="1" customWidth="1"/>
    <col min="2275" max="2276" width="8.58203125" hidden="1" customWidth="1"/>
    <col min="2277" max="2277" width="9.08203125" hidden="1" customWidth="1"/>
    <col min="2278" max="2280" width="9.58203125" hidden="1" customWidth="1"/>
    <col min="2281" max="2281" width="8.58203125" hidden="1" customWidth="1"/>
    <col min="2282" max="2282" width="10.08203125" hidden="1" customWidth="1"/>
    <col min="2283" max="2284" width="8.58203125" hidden="1" customWidth="1"/>
    <col min="2285" max="2285" width="30.08203125" hidden="1" customWidth="1"/>
    <col min="2286" max="2286" width="2.58203125" hidden="1" customWidth="1"/>
    <col min="2287" max="2287" width="18.58203125" hidden="1" customWidth="1"/>
    <col min="2288" max="2288" width="1.58203125" hidden="1" customWidth="1"/>
    <col min="2289" max="2337" width="8.58203125" hidden="1" customWidth="1"/>
    <col min="2338" max="2486" width="8.58203125" hidden="1"/>
    <col min="2487" max="2487" width="0.58203125" hidden="1" customWidth="1"/>
    <col min="2488" max="2488" width="6.58203125" hidden="1" customWidth="1"/>
    <col min="2489" max="2489" width="50.08203125" hidden="1" customWidth="1"/>
    <col min="2490" max="2490" width="8.203125E-2" hidden="1" customWidth="1"/>
    <col min="2491" max="2492" width="8.58203125" hidden="1" customWidth="1"/>
    <col min="2493" max="2493" width="10.58203125" hidden="1" customWidth="1"/>
    <col min="2494" max="2494" width="10" hidden="1" customWidth="1"/>
    <col min="2495" max="2495" width="11.58203125" hidden="1" customWidth="1"/>
    <col min="2496" max="2498" width="10.58203125" hidden="1" customWidth="1"/>
    <col min="2499" max="2499" width="9.08203125" hidden="1" customWidth="1"/>
    <col min="2500" max="2501" width="9.58203125" hidden="1" customWidth="1"/>
    <col min="2502" max="2502" width="9.5" hidden="1" customWidth="1"/>
    <col min="2503" max="2503" width="9.58203125" hidden="1" customWidth="1"/>
    <col min="2504" max="2504" width="9.5" hidden="1" customWidth="1"/>
    <col min="2505" max="2505" width="8.58203125" hidden="1" customWidth="1"/>
    <col min="2506" max="2506" width="10.58203125" hidden="1" customWidth="1"/>
    <col min="2507" max="2508" width="8.58203125" hidden="1" customWidth="1"/>
    <col min="2509" max="2512" width="10.08203125" hidden="1" customWidth="1"/>
    <col min="2513" max="2513" width="8.58203125" hidden="1" customWidth="1"/>
    <col min="2514" max="2514" width="10.08203125" hidden="1" customWidth="1"/>
    <col min="2515" max="2516" width="8.58203125" hidden="1" customWidth="1"/>
    <col min="2517" max="2518" width="9.58203125" hidden="1" customWidth="1"/>
    <col min="2519" max="2519" width="10" hidden="1" customWidth="1"/>
    <col min="2520" max="2520" width="9.58203125" hidden="1" customWidth="1"/>
    <col min="2521" max="2521" width="8.58203125" hidden="1" customWidth="1"/>
    <col min="2522" max="2522" width="9.58203125" hidden="1" customWidth="1"/>
    <col min="2523" max="2524" width="8.58203125" hidden="1" customWidth="1"/>
    <col min="2525" max="2525" width="9.08203125" hidden="1" customWidth="1"/>
    <col min="2526" max="2526" width="9.5" hidden="1" customWidth="1"/>
    <col min="2527" max="2527" width="10.5" hidden="1" customWidth="1"/>
    <col min="2528" max="2528" width="9.5" hidden="1" customWidth="1"/>
    <col min="2529" max="2529" width="8.58203125" hidden="1" customWidth="1"/>
    <col min="2530" max="2530" width="11.08203125" hidden="1" customWidth="1"/>
    <col min="2531" max="2532" width="8.58203125" hidden="1" customWidth="1"/>
    <col min="2533" max="2533" width="9.08203125" hidden="1" customWidth="1"/>
    <col min="2534" max="2536" width="9.58203125" hidden="1" customWidth="1"/>
    <col min="2537" max="2537" width="8.58203125" hidden="1" customWidth="1"/>
    <col min="2538" max="2538" width="10.08203125" hidden="1" customWidth="1"/>
    <col min="2539" max="2540" width="8.58203125" hidden="1" customWidth="1"/>
    <col min="2541" max="2541" width="30.08203125" hidden="1" customWidth="1"/>
    <col min="2542" max="2542" width="2.58203125" hidden="1" customWidth="1"/>
    <col min="2543" max="2543" width="18.58203125" hidden="1" customWidth="1"/>
    <col min="2544" max="2544" width="1.58203125" hidden="1" customWidth="1"/>
    <col min="2545" max="2593" width="8.58203125" hidden="1" customWidth="1"/>
    <col min="2594" max="2742" width="8.58203125" hidden="1"/>
    <col min="2743" max="2743" width="0.58203125" hidden="1" customWidth="1"/>
    <col min="2744" max="2744" width="6.58203125" hidden="1" customWidth="1"/>
    <col min="2745" max="2745" width="50.08203125" hidden="1" customWidth="1"/>
    <col min="2746" max="2746" width="8.203125E-2" hidden="1" customWidth="1"/>
    <col min="2747" max="2748" width="8.58203125" hidden="1" customWidth="1"/>
    <col min="2749" max="2749" width="10.58203125" hidden="1" customWidth="1"/>
    <col min="2750" max="2750" width="10" hidden="1" customWidth="1"/>
    <col min="2751" max="2751" width="11.58203125" hidden="1" customWidth="1"/>
    <col min="2752" max="2754" width="10.58203125" hidden="1" customWidth="1"/>
    <col min="2755" max="2755" width="9.08203125" hidden="1" customWidth="1"/>
    <col min="2756" max="2757" width="9.58203125" hidden="1" customWidth="1"/>
    <col min="2758" max="2758" width="9.5" hidden="1" customWidth="1"/>
    <col min="2759" max="2759" width="9.58203125" hidden="1" customWidth="1"/>
    <col min="2760" max="2760" width="9.5" hidden="1" customWidth="1"/>
    <col min="2761" max="2761" width="8.58203125" hidden="1" customWidth="1"/>
    <col min="2762" max="2762" width="10.58203125" hidden="1" customWidth="1"/>
    <col min="2763" max="2764" width="8.58203125" hidden="1" customWidth="1"/>
    <col min="2765" max="2768" width="10.08203125" hidden="1" customWidth="1"/>
    <col min="2769" max="2769" width="8.58203125" hidden="1" customWidth="1"/>
    <col min="2770" max="2770" width="10.08203125" hidden="1" customWidth="1"/>
    <col min="2771" max="2772" width="8.58203125" hidden="1" customWidth="1"/>
    <col min="2773" max="2774" width="9.58203125" hidden="1" customWidth="1"/>
    <col min="2775" max="2775" width="10" hidden="1" customWidth="1"/>
    <col min="2776" max="2776" width="9.58203125" hidden="1" customWidth="1"/>
    <col min="2777" max="2777" width="8.58203125" hidden="1" customWidth="1"/>
    <col min="2778" max="2778" width="9.58203125" hidden="1" customWidth="1"/>
    <col min="2779" max="2780" width="8.58203125" hidden="1" customWidth="1"/>
    <col min="2781" max="2781" width="9.08203125" hidden="1" customWidth="1"/>
    <col min="2782" max="2782" width="9.5" hidden="1" customWidth="1"/>
    <col min="2783" max="2783" width="10.5" hidden="1" customWidth="1"/>
    <col min="2784" max="2784" width="9.5" hidden="1" customWidth="1"/>
    <col min="2785" max="2785" width="8.58203125" hidden="1" customWidth="1"/>
    <col min="2786" max="2786" width="11.08203125" hidden="1" customWidth="1"/>
    <col min="2787" max="2788" width="8.58203125" hidden="1" customWidth="1"/>
    <col min="2789" max="2789" width="9.08203125" hidden="1" customWidth="1"/>
    <col min="2790" max="2792" width="9.58203125" hidden="1" customWidth="1"/>
    <col min="2793" max="2793" width="8.58203125" hidden="1" customWidth="1"/>
    <col min="2794" max="2794" width="10.08203125" hidden="1" customWidth="1"/>
    <col min="2795" max="2796" width="8.58203125" hidden="1" customWidth="1"/>
    <col min="2797" max="2797" width="30.08203125" hidden="1" customWidth="1"/>
    <col min="2798" max="2798" width="2.58203125" hidden="1" customWidth="1"/>
    <col min="2799" max="2799" width="18.58203125" hidden="1" customWidth="1"/>
    <col min="2800" max="2800" width="1.58203125" hidden="1" customWidth="1"/>
    <col min="2801" max="2849" width="8.58203125" hidden="1" customWidth="1"/>
    <col min="2850" max="2998" width="8.58203125" hidden="1"/>
    <col min="2999" max="2999" width="0.58203125" hidden="1" customWidth="1"/>
    <col min="3000" max="3000" width="6.58203125" hidden="1" customWidth="1"/>
    <col min="3001" max="3001" width="50.08203125" hidden="1" customWidth="1"/>
    <col min="3002" max="3002" width="8.203125E-2" hidden="1" customWidth="1"/>
    <col min="3003" max="3004" width="8.58203125" hidden="1" customWidth="1"/>
    <col min="3005" max="3005" width="10.58203125" hidden="1" customWidth="1"/>
    <col min="3006" max="3006" width="10" hidden="1" customWidth="1"/>
    <col min="3007" max="3007" width="11.58203125" hidden="1" customWidth="1"/>
    <col min="3008" max="3010" width="10.58203125" hidden="1" customWidth="1"/>
    <col min="3011" max="3011" width="9.08203125" hidden="1" customWidth="1"/>
    <col min="3012" max="3013" width="9.58203125" hidden="1" customWidth="1"/>
    <col min="3014" max="3014" width="9.5" hidden="1" customWidth="1"/>
    <col min="3015" max="3015" width="9.58203125" hidden="1" customWidth="1"/>
    <col min="3016" max="3016" width="9.5" hidden="1" customWidth="1"/>
    <col min="3017" max="3017" width="8.58203125" hidden="1" customWidth="1"/>
    <col min="3018" max="3018" width="10.58203125" hidden="1" customWidth="1"/>
    <col min="3019" max="3020" width="8.58203125" hidden="1" customWidth="1"/>
    <col min="3021" max="3024" width="10.08203125" hidden="1" customWidth="1"/>
    <col min="3025" max="3025" width="8.58203125" hidden="1" customWidth="1"/>
    <col min="3026" max="3026" width="10.08203125" hidden="1" customWidth="1"/>
    <col min="3027" max="3028" width="8.58203125" hidden="1" customWidth="1"/>
    <col min="3029" max="3030" width="9.58203125" hidden="1" customWidth="1"/>
    <col min="3031" max="3031" width="10" hidden="1" customWidth="1"/>
    <col min="3032" max="3032" width="9.58203125" hidden="1" customWidth="1"/>
    <col min="3033" max="3033" width="8.58203125" hidden="1" customWidth="1"/>
    <col min="3034" max="3034" width="9.58203125" hidden="1" customWidth="1"/>
    <col min="3035" max="3036" width="8.58203125" hidden="1" customWidth="1"/>
    <col min="3037" max="3037" width="9.08203125" hidden="1" customWidth="1"/>
    <col min="3038" max="3038" width="9.5" hidden="1" customWidth="1"/>
    <col min="3039" max="3039" width="10.5" hidden="1" customWidth="1"/>
    <col min="3040" max="3040" width="9.5" hidden="1" customWidth="1"/>
    <col min="3041" max="3041" width="8.58203125" hidden="1" customWidth="1"/>
    <col min="3042" max="3042" width="11.08203125" hidden="1" customWidth="1"/>
    <col min="3043" max="3044" width="8.58203125" hidden="1" customWidth="1"/>
    <col min="3045" max="3045" width="9.08203125" hidden="1" customWidth="1"/>
    <col min="3046" max="3048" width="9.58203125" hidden="1" customWidth="1"/>
    <col min="3049" max="3049" width="8.58203125" hidden="1" customWidth="1"/>
    <col min="3050" max="3050" width="10.08203125" hidden="1" customWidth="1"/>
    <col min="3051" max="3052" width="8.58203125" hidden="1" customWidth="1"/>
    <col min="3053" max="3053" width="30.08203125" hidden="1" customWidth="1"/>
    <col min="3054" max="3054" width="2.58203125" hidden="1" customWidth="1"/>
    <col min="3055" max="3055" width="18.58203125" hidden="1" customWidth="1"/>
    <col min="3056" max="3056" width="1.58203125" hidden="1" customWidth="1"/>
    <col min="3057" max="3105" width="8.58203125" hidden="1" customWidth="1"/>
    <col min="3106" max="3254" width="8.58203125" hidden="1"/>
    <col min="3255" max="3255" width="0.58203125" hidden="1" customWidth="1"/>
    <col min="3256" max="3256" width="6.58203125" hidden="1" customWidth="1"/>
    <col min="3257" max="3257" width="50.08203125" hidden="1" customWidth="1"/>
    <col min="3258" max="3258" width="8.203125E-2" hidden="1" customWidth="1"/>
    <col min="3259" max="3260" width="8.58203125" hidden="1" customWidth="1"/>
    <col min="3261" max="3261" width="10.58203125" hidden="1" customWidth="1"/>
    <col min="3262" max="3262" width="10" hidden="1" customWidth="1"/>
    <col min="3263" max="3263" width="11.58203125" hidden="1" customWidth="1"/>
    <col min="3264" max="3266" width="10.58203125" hidden="1" customWidth="1"/>
    <col min="3267" max="3267" width="9.08203125" hidden="1" customWidth="1"/>
    <col min="3268" max="3269" width="9.58203125" hidden="1" customWidth="1"/>
    <col min="3270" max="3270" width="9.5" hidden="1" customWidth="1"/>
    <col min="3271" max="3271" width="9.58203125" hidden="1" customWidth="1"/>
    <col min="3272" max="3272" width="9.5" hidden="1" customWidth="1"/>
    <col min="3273" max="3273" width="8.58203125" hidden="1" customWidth="1"/>
    <col min="3274" max="3274" width="10.58203125" hidden="1" customWidth="1"/>
    <col min="3275" max="3276" width="8.58203125" hidden="1" customWidth="1"/>
    <col min="3277" max="3280" width="10.08203125" hidden="1" customWidth="1"/>
    <col min="3281" max="3281" width="8.58203125" hidden="1" customWidth="1"/>
    <col min="3282" max="3282" width="10.08203125" hidden="1" customWidth="1"/>
    <col min="3283" max="3284" width="8.58203125" hidden="1" customWidth="1"/>
    <col min="3285" max="3286" width="9.58203125" hidden="1" customWidth="1"/>
    <col min="3287" max="3287" width="10" hidden="1" customWidth="1"/>
    <col min="3288" max="3288" width="9.58203125" hidden="1" customWidth="1"/>
    <col min="3289" max="3289" width="8.58203125" hidden="1" customWidth="1"/>
    <col min="3290" max="3290" width="9.58203125" hidden="1" customWidth="1"/>
    <col min="3291" max="3292" width="8.58203125" hidden="1" customWidth="1"/>
    <col min="3293" max="3293" width="9.08203125" hidden="1" customWidth="1"/>
    <col min="3294" max="3294" width="9.5" hidden="1" customWidth="1"/>
    <col min="3295" max="3295" width="10.5" hidden="1" customWidth="1"/>
    <col min="3296" max="3296" width="9.5" hidden="1" customWidth="1"/>
    <col min="3297" max="3297" width="8.58203125" hidden="1" customWidth="1"/>
    <col min="3298" max="3298" width="11.08203125" hidden="1" customWidth="1"/>
    <col min="3299" max="3300" width="8.58203125" hidden="1" customWidth="1"/>
    <col min="3301" max="3301" width="9.08203125" hidden="1" customWidth="1"/>
    <col min="3302" max="3304" width="9.58203125" hidden="1" customWidth="1"/>
    <col min="3305" max="3305" width="8.58203125" hidden="1" customWidth="1"/>
    <col min="3306" max="3306" width="10.08203125" hidden="1" customWidth="1"/>
    <col min="3307" max="3308" width="8.58203125" hidden="1" customWidth="1"/>
    <col min="3309" max="3309" width="30.08203125" hidden="1" customWidth="1"/>
    <col min="3310" max="3310" width="2.58203125" hidden="1" customWidth="1"/>
    <col min="3311" max="3311" width="18.58203125" hidden="1" customWidth="1"/>
    <col min="3312" max="3312" width="1.58203125" hidden="1" customWidth="1"/>
    <col min="3313" max="3361" width="8.58203125" hidden="1" customWidth="1"/>
    <col min="3362" max="3510" width="8.58203125" hidden="1"/>
    <col min="3511" max="3511" width="0.58203125" hidden="1" customWidth="1"/>
    <col min="3512" max="3512" width="6.58203125" hidden="1" customWidth="1"/>
    <col min="3513" max="3513" width="50.08203125" hidden="1" customWidth="1"/>
    <col min="3514" max="3514" width="8.203125E-2" hidden="1" customWidth="1"/>
    <col min="3515" max="3516" width="8.58203125" hidden="1" customWidth="1"/>
    <col min="3517" max="3517" width="10.58203125" hidden="1" customWidth="1"/>
    <col min="3518" max="3518" width="10" hidden="1" customWidth="1"/>
    <col min="3519" max="3519" width="11.58203125" hidden="1" customWidth="1"/>
    <col min="3520" max="3522" width="10.58203125" hidden="1" customWidth="1"/>
    <col min="3523" max="3523" width="9.08203125" hidden="1" customWidth="1"/>
    <col min="3524" max="3525" width="9.58203125" hidden="1" customWidth="1"/>
    <col min="3526" max="3526" width="9.5" hidden="1" customWidth="1"/>
    <col min="3527" max="3527" width="9.58203125" hidden="1" customWidth="1"/>
    <col min="3528" max="3528" width="9.5" hidden="1" customWidth="1"/>
    <col min="3529" max="3529" width="8.58203125" hidden="1" customWidth="1"/>
    <col min="3530" max="3530" width="10.58203125" hidden="1" customWidth="1"/>
    <col min="3531" max="3532" width="8.58203125" hidden="1" customWidth="1"/>
    <col min="3533" max="3536" width="10.08203125" hidden="1" customWidth="1"/>
    <col min="3537" max="3537" width="8.58203125" hidden="1" customWidth="1"/>
    <col min="3538" max="3538" width="10.08203125" hidden="1" customWidth="1"/>
    <col min="3539" max="3540" width="8.58203125" hidden="1" customWidth="1"/>
    <col min="3541" max="3542" width="9.58203125" hidden="1" customWidth="1"/>
    <col min="3543" max="3543" width="10" hidden="1" customWidth="1"/>
    <col min="3544" max="3544" width="9.58203125" hidden="1" customWidth="1"/>
    <col min="3545" max="3545" width="8.58203125" hidden="1" customWidth="1"/>
    <col min="3546" max="3546" width="9.58203125" hidden="1" customWidth="1"/>
    <col min="3547" max="3548" width="8.58203125" hidden="1" customWidth="1"/>
    <col min="3549" max="3549" width="9.08203125" hidden="1" customWidth="1"/>
    <col min="3550" max="3550" width="9.5" hidden="1" customWidth="1"/>
    <col min="3551" max="3551" width="10.5" hidden="1" customWidth="1"/>
    <col min="3552" max="3552" width="9.5" hidden="1" customWidth="1"/>
    <col min="3553" max="3553" width="8.58203125" hidden="1" customWidth="1"/>
    <col min="3554" max="3554" width="11.08203125" hidden="1" customWidth="1"/>
    <col min="3555" max="3556" width="8.58203125" hidden="1" customWidth="1"/>
    <col min="3557" max="3557" width="9.08203125" hidden="1" customWidth="1"/>
    <col min="3558" max="3560" width="9.58203125" hidden="1" customWidth="1"/>
    <col min="3561" max="3561" width="8.58203125" hidden="1" customWidth="1"/>
    <col min="3562" max="3562" width="10.08203125" hidden="1" customWidth="1"/>
    <col min="3563" max="3564" width="8.58203125" hidden="1" customWidth="1"/>
    <col min="3565" max="3565" width="30.08203125" hidden="1" customWidth="1"/>
    <col min="3566" max="3566" width="2.58203125" hidden="1" customWidth="1"/>
    <col min="3567" max="3567" width="18.58203125" hidden="1" customWidth="1"/>
    <col min="3568" max="3568" width="1.58203125" hidden="1" customWidth="1"/>
    <col min="3569" max="3617" width="8.58203125" hidden="1" customWidth="1"/>
    <col min="3618" max="3766" width="8.58203125" hidden="1"/>
    <col min="3767" max="3767" width="0.58203125" hidden="1" customWidth="1"/>
    <col min="3768" max="3768" width="6.58203125" hidden="1" customWidth="1"/>
    <col min="3769" max="3769" width="50.08203125" hidden="1" customWidth="1"/>
    <col min="3770" max="3770" width="8.203125E-2" hidden="1" customWidth="1"/>
    <col min="3771" max="3772" width="8.58203125" hidden="1" customWidth="1"/>
    <col min="3773" max="3773" width="10.58203125" hidden="1" customWidth="1"/>
    <col min="3774" max="3774" width="10" hidden="1" customWidth="1"/>
    <col min="3775" max="3775" width="11.58203125" hidden="1" customWidth="1"/>
    <col min="3776" max="3778" width="10.58203125" hidden="1" customWidth="1"/>
    <col min="3779" max="3779" width="9.08203125" hidden="1" customWidth="1"/>
    <col min="3780" max="3781" width="9.58203125" hidden="1" customWidth="1"/>
    <col min="3782" max="3782" width="9.5" hidden="1" customWidth="1"/>
    <col min="3783" max="3783" width="9.58203125" hidden="1" customWidth="1"/>
    <col min="3784" max="3784" width="9.5" hidden="1" customWidth="1"/>
    <col min="3785" max="3785" width="8.58203125" hidden="1" customWidth="1"/>
    <col min="3786" max="3786" width="10.58203125" hidden="1" customWidth="1"/>
    <col min="3787" max="3788" width="8.58203125" hidden="1" customWidth="1"/>
    <col min="3789" max="3792" width="10.08203125" hidden="1" customWidth="1"/>
    <col min="3793" max="3793" width="8.58203125" hidden="1" customWidth="1"/>
    <col min="3794" max="3794" width="10.08203125" hidden="1" customWidth="1"/>
    <col min="3795" max="3796" width="8.58203125" hidden="1" customWidth="1"/>
    <col min="3797" max="3798" width="9.58203125" hidden="1" customWidth="1"/>
    <col min="3799" max="3799" width="10" hidden="1" customWidth="1"/>
    <col min="3800" max="3800" width="9.58203125" hidden="1" customWidth="1"/>
    <col min="3801" max="3801" width="8.58203125" hidden="1" customWidth="1"/>
    <col min="3802" max="3802" width="9.58203125" hidden="1" customWidth="1"/>
    <col min="3803" max="3804" width="8.58203125" hidden="1" customWidth="1"/>
    <col min="3805" max="3805" width="9.08203125" hidden="1" customWidth="1"/>
    <col min="3806" max="3806" width="9.5" hidden="1" customWidth="1"/>
    <col min="3807" max="3807" width="10.5" hidden="1" customWidth="1"/>
    <col min="3808" max="3808" width="9.5" hidden="1" customWidth="1"/>
    <col min="3809" max="3809" width="8.58203125" hidden="1" customWidth="1"/>
    <col min="3810" max="3810" width="11.08203125" hidden="1" customWidth="1"/>
    <col min="3811" max="3812" width="8.58203125" hidden="1" customWidth="1"/>
    <col min="3813" max="3813" width="9.08203125" hidden="1" customWidth="1"/>
    <col min="3814" max="3816" width="9.58203125" hidden="1" customWidth="1"/>
    <col min="3817" max="3817" width="8.58203125" hidden="1" customWidth="1"/>
    <col min="3818" max="3818" width="10.08203125" hidden="1" customWidth="1"/>
    <col min="3819" max="3820" width="8.58203125" hidden="1" customWidth="1"/>
    <col min="3821" max="3821" width="30.08203125" hidden="1" customWidth="1"/>
    <col min="3822" max="3822" width="2.58203125" hidden="1" customWidth="1"/>
    <col min="3823" max="3823" width="18.58203125" hidden="1" customWidth="1"/>
    <col min="3824" max="3824" width="1.58203125" hidden="1" customWidth="1"/>
    <col min="3825" max="3873" width="8.58203125" hidden="1" customWidth="1"/>
    <col min="3874" max="4022" width="8.58203125" hidden="1"/>
    <col min="4023" max="4023" width="0.58203125" hidden="1" customWidth="1"/>
    <col min="4024" max="4024" width="6.58203125" hidden="1" customWidth="1"/>
    <col min="4025" max="4025" width="50.08203125" hidden="1" customWidth="1"/>
    <col min="4026" max="4026" width="8.203125E-2" hidden="1" customWidth="1"/>
    <col min="4027" max="4028" width="8.58203125" hidden="1" customWidth="1"/>
    <col min="4029" max="4029" width="10.58203125" hidden="1" customWidth="1"/>
    <col min="4030" max="4030" width="10" hidden="1" customWidth="1"/>
    <col min="4031" max="4031" width="11.58203125" hidden="1" customWidth="1"/>
    <col min="4032" max="4034" width="10.58203125" hidden="1" customWidth="1"/>
    <col min="4035" max="4035" width="9.08203125" hidden="1" customWidth="1"/>
    <col min="4036" max="4037" width="9.58203125" hidden="1" customWidth="1"/>
    <col min="4038" max="4038" width="9.5" hidden="1" customWidth="1"/>
    <col min="4039" max="4039" width="9.58203125" hidden="1" customWidth="1"/>
    <col min="4040" max="4040" width="9.5" hidden="1" customWidth="1"/>
    <col min="4041" max="4041" width="8.58203125" hidden="1" customWidth="1"/>
    <col min="4042" max="4042" width="10.58203125" hidden="1" customWidth="1"/>
    <col min="4043" max="4044" width="8.58203125" hidden="1" customWidth="1"/>
    <col min="4045" max="4048" width="10.08203125" hidden="1" customWidth="1"/>
    <col min="4049" max="4049" width="8.58203125" hidden="1" customWidth="1"/>
    <col min="4050" max="4050" width="10.08203125" hidden="1" customWidth="1"/>
    <col min="4051" max="4052" width="8.58203125" hidden="1" customWidth="1"/>
    <col min="4053" max="4054" width="9.58203125" hidden="1" customWidth="1"/>
    <col min="4055" max="4055" width="10" hidden="1" customWidth="1"/>
    <col min="4056" max="4056" width="9.58203125" hidden="1" customWidth="1"/>
    <col min="4057" max="4057" width="8.58203125" hidden="1" customWidth="1"/>
    <col min="4058" max="4058" width="9.58203125" hidden="1" customWidth="1"/>
    <col min="4059" max="4060" width="8.58203125" hidden="1" customWidth="1"/>
    <col min="4061" max="4061" width="9.08203125" hidden="1" customWidth="1"/>
    <col min="4062" max="4062" width="9.5" hidden="1" customWidth="1"/>
    <col min="4063" max="4063" width="10.5" hidden="1" customWidth="1"/>
    <col min="4064" max="4064" width="9.5" hidden="1" customWidth="1"/>
    <col min="4065" max="4065" width="8.58203125" hidden="1" customWidth="1"/>
    <col min="4066" max="4066" width="11.08203125" hidden="1" customWidth="1"/>
    <col min="4067" max="4068" width="8.58203125" hidden="1" customWidth="1"/>
    <col min="4069" max="4069" width="9.08203125" hidden="1" customWidth="1"/>
    <col min="4070" max="4072" width="9.58203125" hidden="1" customWidth="1"/>
    <col min="4073" max="4073" width="8.58203125" hidden="1" customWidth="1"/>
    <col min="4074" max="4074" width="10.08203125" hidden="1" customWidth="1"/>
    <col min="4075" max="4076" width="8.58203125" hidden="1" customWidth="1"/>
    <col min="4077" max="4077" width="30.08203125" hidden="1" customWidth="1"/>
    <col min="4078" max="4078" width="2.58203125" hidden="1" customWidth="1"/>
    <col min="4079" max="4079" width="18.58203125" hidden="1" customWidth="1"/>
    <col min="4080" max="4080" width="1.58203125" hidden="1" customWidth="1"/>
    <col min="4081" max="4129" width="8.58203125" hidden="1" customWidth="1"/>
    <col min="4130" max="4278" width="8.58203125" hidden="1"/>
    <col min="4279" max="4279" width="0.58203125" hidden="1" customWidth="1"/>
    <col min="4280" max="4280" width="6.58203125" hidden="1" customWidth="1"/>
    <col min="4281" max="4281" width="50.08203125" hidden="1" customWidth="1"/>
    <col min="4282" max="4282" width="8.203125E-2" hidden="1" customWidth="1"/>
    <col min="4283" max="4284" width="8.58203125" hidden="1" customWidth="1"/>
    <col min="4285" max="4285" width="10.58203125" hidden="1" customWidth="1"/>
    <col min="4286" max="4286" width="10" hidden="1" customWidth="1"/>
    <col min="4287" max="4287" width="11.58203125" hidden="1" customWidth="1"/>
    <col min="4288" max="4290" width="10.58203125" hidden="1" customWidth="1"/>
    <col min="4291" max="4291" width="9.08203125" hidden="1" customWidth="1"/>
    <col min="4292" max="4293" width="9.58203125" hidden="1" customWidth="1"/>
    <col min="4294" max="4294" width="9.5" hidden="1" customWidth="1"/>
    <col min="4295" max="4295" width="9.58203125" hidden="1" customWidth="1"/>
    <col min="4296" max="4296" width="9.5" hidden="1" customWidth="1"/>
    <col min="4297" max="4297" width="8.58203125" hidden="1" customWidth="1"/>
    <col min="4298" max="4298" width="10.58203125" hidden="1" customWidth="1"/>
    <col min="4299" max="4300" width="8.58203125" hidden="1" customWidth="1"/>
    <col min="4301" max="4304" width="10.08203125" hidden="1" customWidth="1"/>
    <col min="4305" max="4305" width="8.58203125" hidden="1" customWidth="1"/>
    <col min="4306" max="4306" width="10.08203125" hidden="1" customWidth="1"/>
    <col min="4307" max="4308" width="8.58203125" hidden="1" customWidth="1"/>
    <col min="4309" max="4310" width="9.58203125" hidden="1" customWidth="1"/>
    <col min="4311" max="4311" width="10" hidden="1" customWidth="1"/>
    <col min="4312" max="4312" width="9.58203125" hidden="1" customWidth="1"/>
    <col min="4313" max="4313" width="8.58203125" hidden="1" customWidth="1"/>
    <col min="4314" max="4314" width="9.58203125" hidden="1" customWidth="1"/>
    <col min="4315" max="4316" width="8.58203125" hidden="1" customWidth="1"/>
    <col min="4317" max="4317" width="9.08203125" hidden="1" customWidth="1"/>
    <col min="4318" max="4318" width="9.5" hidden="1" customWidth="1"/>
    <col min="4319" max="4319" width="10.5" hidden="1" customWidth="1"/>
    <col min="4320" max="4320" width="9.5" hidden="1" customWidth="1"/>
    <col min="4321" max="4321" width="8.58203125" hidden="1" customWidth="1"/>
    <col min="4322" max="4322" width="11.08203125" hidden="1" customWidth="1"/>
    <col min="4323" max="4324" width="8.58203125" hidden="1" customWidth="1"/>
    <col min="4325" max="4325" width="9.08203125" hidden="1" customWidth="1"/>
    <col min="4326" max="4328" width="9.58203125" hidden="1" customWidth="1"/>
    <col min="4329" max="4329" width="8.58203125" hidden="1" customWidth="1"/>
    <col min="4330" max="4330" width="10.08203125" hidden="1" customWidth="1"/>
    <col min="4331" max="4332" width="8.58203125" hidden="1" customWidth="1"/>
    <col min="4333" max="4333" width="30.08203125" hidden="1" customWidth="1"/>
    <col min="4334" max="4334" width="2.58203125" hidden="1" customWidth="1"/>
    <col min="4335" max="4335" width="18.58203125" hidden="1" customWidth="1"/>
    <col min="4336" max="4336" width="1.58203125" hidden="1" customWidth="1"/>
    <col min="4337" max="4385" width="8.58203125" hidden="1" customWidth="1"/>
    <col min="4386" max="4534" width="8.58203125" hidden="1"/>
    <col min="4535" max="4535" width="0.58203125" hidden="1" customWidth="1"/>
    <col min="4536" max="4536" width="6.58203125" hidden="1" customWidth="1"/>
    <col min="4537" max="4537" width="50.08203125" hidden="1" customWidth="1"/>
    <col min="4538" max="4538" width="8.203125E-2" hidden="1" customWidth="1"/>
    <col min="4539" max="4540" width="8.58203125" hidden="1" customWidth="1"/>
    <col min="4541" max="4541" width="10.58203125" hidden="1" customWidth="1"/>
    <col min="4542" max="4542" width="10" hidden="1" customWidth="1"/>
    <col min="4543" max="4543" width="11.58203125" hidden="1" customWidth="1"/>
    <col min="4544" max="4546" width="10.58203125" hidden="1" customWidth="1"/>
    <col min="4547" max="4547" width="9.08203125" hidden="1" customWidth="1"/>
    <col min="4548" max="4549" width="9.58203125" hidden="1" customWidth="1"/>
    <col min="4550" max="4550" width="9.5" hidden="1" customWidth="1"/>
    <col min="4551" max="4551" width="9.58203125" hidden="1" customWidth="1"/>
    <col min="4552" max="4552" width="9.5" hidden="1" customWidth="1"/>
    <col min="4553" max="4553" width="8.58203125" hidden="1" customWidth="1"/>
    <col min="4554" max="4554" width="10.58203125" hidden="1" customWidth="1"/>
    <col min="4555" max="4556" width="8.58203125" hidden="1" customWidth="1"/>
    <col min="4557" max="4560" width="10.08203125" hidden="1" customWidth="1"/>
    <col min="4561" max="4561" width="8.58203125" hidden="1" customWidth="1"/>
    <col min="4562" max="4562" width="10.08203125" hidden="1" customWidth="1"/>
    <col min="4563" max="4564" width="8.58203125" hidden="1" customWidth="1"/>
    <col min="4565" max="4566" width="9.58203125" hidden="1" customWidth="1"/>
    <col min="4567" max="4567" width="10" hidden="1" customWidth="1"/>
    <col min="4568" max="4568" width="9.58203125" hidden="1" customWidth="1"/>
    <col min="4569" max="4569" width="8.58203125" hidden="1" customWidth="1"/>
    <col min="4570" max="4570" width="9.58203125" hidden="1" customWidth="1"/>
    <col min="4571" max="4572" width="8.58203125" hidden="1" customWidth="1"/>
    <col min="4573" max="4573" width="9.08203125" hidden="1" customWidth="1"/>
    <col min="4574" max="4574" width="9.5" hidden="1" customWidth="1"/>
    <col min="4575" max="4575" width="10.5" hidden="1" customWidth="1"/>
    <col min="4576" max="4576" width="9.5" hidden="1" customWidth="1"/>
    <col min="4577" max="4577" width="8.58203125" hidden="1" customWidth="1"/>
    <col min="4578" max="4578" width="11.08203125" hidden="1" customWidth="1"/>
    <col min="4579" max="4580" width="8.58203125" hidden="1" customWidth="1"/>
    <col min="4581" max="4581" width="9.08203125" hidden="1" customWidth="1"/>
    <col min="4582" max="4584" width="9.58203125" hidden="1" customWidth="1"/>
    <col min="4585" max="4585" width="8.58203125" hidden="1" customWidth="1"/>
    <col min="4586" max="4586" width="10.08203125" hidden="1" customWidth="1"/>
    <col min="4587" max="4588" width="8.58203125" hidden="1" customWidth="1"/>
    <col min="4589" max="4589" width="30.08203125" hidden="1" customWidth="1"/>
    <col min="4590" max="4590" width="2.58203125" hidden="1" customWidth="1"/>
    <col min="4591" max="4591" width="18.58203125" hidden="1" customWidth="1"/>
    <col min="4592" max="4592" width="1.58203125" hidden="1" customWidth="1"/>
    <col min="4593" max="4641" width="8.58203125" hidden="1" customWidth="1"/>
    <col min="4642" max="4790" width="8.58203125" hidden="1"/>
    <col min="4791" max="4791" width="0.58203125" hidden="1" customWidth="1"/>
    <col min="4792" max="4792" width="6.58203125" hidden="1" customWidth="1"/>
    <col min="4793" max="4793" width="50.08203125" hidden="1" customWidth="1"/>
    <col min="4794" max="4794" width="8.203125E-2" hidden="1" customWidth="1"/>
    <col min="4795" max="4796" width="8.58203125" hidden="1" customWidth="1"/>
    <col min="4797" max="4797" width="10.58203125" hidden="1" customWidth="1"/>
    <col min="4798" max="4798" width="10" hidden="1" customWidth="1"/>
    <col min="4799" max="4799" width="11.58203125" hidden="1" customWidth="1"/>
    <col min="4800" max="4802" width="10.58203125" hidden="1" customWidth="1"/>
    <col min="4803" max="4803" width="9.08203125" hidden="1" customWidth="1"/>
    <col min="4804" max="4805" width="9.58203125" hidden="1" customWidth="1"/>
    <col min="4806" max="4806" width="9.5" hidden="1" customWidth="1"/>
    <col min="4807" max="4807" width="9.58203125" hidden="1" customWidth="1"/>
    <col min="4808" max="4808" width="9.5" hidden="1" customWidth="1"/>
    <col min="4809" max="4809" width="8.58203125" hidden="1" customWidth="1"/>
    <col min="4810" max="4810" width="10.58203125" hidden="1" customWidth="1"/>
    <col min="4811" max="4812" width="8.58203125" hidden="1" customWidth="1"/>
    <col min="4813" max="4816" width="10.08203125" hidden="1" customWidth="1"/>
    <col min="4817" max="4817" width="8.58203125" hidden="1" customWidth="1"/>
    <col min="4818" max="4818" width="10.08203125" hidden="1" customWidth="1"/>
    <col min="4819" max="4820" width="8.58203125" hidden="1" customWidth="1"/>
    <col min="4821" max="4822" width="9.58203125" hidden="1" customWidth="1"/>
    <col min="4823" max="4823" width="10" hidden="1" customWidth="1"/>
    <col min="4824" max="4824" width="9.58203125" hidden="1" customWidth="1"/>
    <col min="4825" max="4825" width="8.58203125" hidden="1" customWidth="1"/>
    <col min="4826" max="4826" width="9.58203125" hidden="1" customWidth="1"/>
    <col min="4827" max="4828" width="8.58203125" hidden="1" customWidth="1"/>
    <col min="4829" max="4829" width="9.08203125" hidden="1" customWidth="1"/>
    <col min="4830" max="4830" width="9.5" hidden="1" customWidth="1"/>
    <col min="4831" max="4831" width="10.5" hidden="1" customWidth="1"/>
    <col min="4832" max="4832" width="9.5" hidden="1" customWidth="1"/>
    <col min="4833" max="4833" width="8.58203125" hidden="1" customWidth="1"/>
    <col min="4834" max="4834" width="11.08203125" hidden="1" customWidth="1"/>
    <col min="4835" max="4836" width="8.58203125" hidden="1" customWidth="1"/>
    <col min="4837" max="4837" width="9.08203125" hidden="1" customWidth="1"/>
    <col min="4838" max="4840" width="9.58203125" hidden="1" customWidth="1"/>
    <col min="4841" max="4841" width="8.58203125" hidden="1" customWidth="1"/>
    <col min="4842" max="4842" width="10.08203125" hidden="1" customWidth="1"/>
    <col min="4843" max="4844" width="8.58203125" hidden="1" customWidth="1"/>
    <col min="4845" max="4845" width="30.08203125" hidden="1" customWidth="1"/>
    <col min="4846" max="4846" width="2.58203125" hidden="1" customWidth="1"/>
    <col min="4847" max="4847" width="18.58203125" hidden="1" customWidth="1"/>
    <col min="4848" max="4848" width="1.58203125" hidden="1" customWidth="1"/>
    <col min="4849" max="4897" width="8.58203125" hidden="1" customWidth="1"/>
    <col min="4898" max="5046" width="8.58203125" hidden="1"/>
    <col min="5047" max="5047" width="0.58203125" hidden="1" customWidth="1"/>
    <col min="5048" max="5048" width="6.58203125" hidden="1" customWidth="1"/>
    <col min="5049" max="5049" width="50.08203125" hidden="1" customWidth="1"/>
    <col min="5050" max="5050" width="8.203125E-2" hidden="1" customWidth="1"/>
    <col min="5051" max="5052" width="8.58203125" hidden="1" customWidth="1"/>
    <col min="5053" max="5053" width="10.58203125" hidden="1" customWidth="1"/>
    <col min="5054" max="5054" width="10" hidden="1" customWidth="1"/>
    <col min="5055" max="5055" width="11.58203125" hidden="1" customWidth="1"/>
    <col min="5056" max="5058" width="10.58203125" hidden="1" customWidth="1"/>
    <col min="5059" max="5059" width="9.08203125" hidden="1" customWidth="1"/>
    <col min="5060" max="5061" width="9.58203125" hidden="1" customWidth="1"/>
    <col min="5062" max="5062" width="9.5" hidden="1" customWidth="1"/>
    <col min="5063" max="5063" width="9.58203125" hidden="1" customWidth="1"/>
    <col min="5064" max="5064" width="9.5" hidden="1" customWidth="1"/>
    <col min="5065" max="5065" width="8.58203125" hidden="1" customWidth="1"/>
    <col min="5066" max="5066" width="10.58203125" hidden="1" customWidth="1"/>
    <col min="5067" max="5068" width="8.58203125" hidden="1" customWidth="1"/>
    <col min="5069" max="5072" width="10.08203125" hidden="1" customWidth="1"/>
    <col min="5073" max="5073" width="8.58203125" hidden="1" customWidth="1"/>
    <col min="5074" max="5074" width="10.08203125" hidden="1" customWidth="1"/>
    <col min="5075" max="5076" width="8.58203125" hidden="1" customWidth="1"/>
    <col min="5077" max="5078" width="9.58203125" hidden="1" customWidth="1"/>
    <col min="5079" max="5079" width="10" hidden="1" customWidth="1"/>
    <col min="5080" max="5080" width="9.58203125" hidden="1" customWidth="1"/>
    <col min="5081" max="5081" width="8.58203125" hidden="1" customWidth="1"/>
    <col min="5082" max="5082" width="9.58203125" hidden="1" customWidth="1"/>
    <col min="5083" max="5084" width="8.58203125" hidden="1" customWidth="1"/>
    <col min="5085" max="5085" width="9.08203125" hidden="1" customWidth="1"/>
    <col min="5086" max="5086" width="9.5" hidden="1" customWidth="1"/>
    <col min="5087" max="5087" width="10.5" hidden="1" customWidth="1"/>
    <col min="5088" max="5088" width="9.5" hidden="1" customWidth="1"/>
    <col min="5089" max="5089" width="8.58203125" hidden="1" customWidth="1"/>
    <col min="5090" max="5090" width="11.08203125" hidden="1" customWidth="1"/>
    <col min="5091" max="5092" width="8.58203125" hidden="1" customWidth="1"/>
    <col min="5093" max="5093" width="9.08203125" hidden="1" customWidth="1"/>
    <col min="5094" max="5096" width="9.58203125" hidden="1" customWidth="1"/>
    <col min="5097" max="5097" width="8.58203125" hidden="1" customWidth="1"/>
    <col min="5098" max="5098" width="10.08203125" hidden="1" customWidth="1"/>
    <col min="5099" max="5100" width="8.58203125" hidden="1" customWidth="1"/>
    <col min="5101" max="5101" width="30.08203125" hidden="1" customWidth="1"/>
    <col min="5102" max="5102" width="2.58203125" hidden="1" customWidth="1"/>
    <col min="5103" max="5103" width="18.58203125" hidden="1" customWidth="1"/>
    <col min="5104" max="5104" width="1.58203125" hidden="1" customWidth="1"/>
    <col min="5105" max="5153" width="8.58203125" hidden="1" customWidth="1"/>
    <col min="5154" max="5302" width="8.58203125" hidden="1"/>
    <col min="5303" max="5303" width="0.58203125" hidden="1" customWidth="1"/>
    <col min="5304" max="5304" width="6.58203125" hidden="1" customWidth="1"/>
    <col min="5305" max="5305" width="50.08203125" hidden="1" customWidth="1"/>
    <col min="5306" max="5306" width="8.203125E-2" hidden="1" customWidth="1"/>
    <col min="5307" max="5308" width="8.58203125" hidden="1" customWidth="1"/>
    <col min="5309" max="5309" width="10.58203125" hidden="1" customWidth="1"/>
    <col min="5310" max="5310" width="10" hidden="1" customWidth="1"/>
    <col min="5311" max="5311" width="11.58203125" hidden="1" customWidth="1"/>
    <col min="5312" max="5314" width="10.58203125" hidden="1" customWidth="1"/>
    <col min="5315" max="5315" width="9.08203125" hidden="1" customWidth="1"/>
    <col min="5316" max="5317" width="9.58203125" hidden="1" customWidth="1"/>
    <col min="5318" max="5318" width="9.5" hidden="1" customWidth="1"/>
    <col min="5319" max="5319" width="9.58203125" hidden="1" customWidth="1"/>
    <col min="5320" max="5320" width="9.5" hidden="1" customWidth="1"/>
    <col min="5321" max="5321" width="8.58203125" hidden="1" customWidth="1"/>
    <col min="5322" max="5322" width="10.58203125" hidden="1" customWidth="1"/>
    <col min="5323" max="5324" width="8.58203125" hidden="1" customWidth="1"/>
    <col min="5325" max="5328" width="10.08203125" hidden="1" customWidth="1"/>
    <col min="5329" max="5329" width="8.58203125" hidden="1" customWidth="1"/>
    <col min="5330" max="5330" width="10.08203125" hidden="1" customWidth="1"/>
    <col min="5331" max="5332" width="8.58203125" hidden="1" customWidth="1"/>
    <col min="5333" max="5334" width="9.58203125" hidden="1" customWidth="1"/>
    <col min="5335" max="5335" width="10" hidden="1" customWidth="1"/>
    <col min="5336" max="5336" width="9.58203125" hidden="1" customWidth="1"/>
    <col min="5337" max="5337" width="8.58203125" hidden="1" customWidth="1"/>
    <col min="5338" max="5338" width="9.58203125" hidden="1" customWidth="1"/>
    <col min="5339" max="5340" width="8.58203125" hidden="1" customWidth="1"/>
    <col min="5341" max="5341" width="9.08203125" hidden="1" customWidth="1"/>
    <col min="5342" max="5342" width="9.5" hidden="1" customWidth="1"/>
    <col min="5343" max="5343" width="10.5" hidden="1" customWidth="1"/>
    <col min="5344" max="5344" width="9.5" hidden="1" customWidth="1"/>
    <col min="5345" max="5345" width="8.58203125" hidden="1" customWidth="1"/>
    <col min="5346" max="5346" width="11.08203125" hidden="1" customWidth="1"/>
    <col min="5347" max="5348" width="8.58203125" hidden="1" customWidth="1"/>
    <col min="5349" max="5349" width="9.08203125" hidden="1" customWidth="1"/>
    <col min="5350" max="5352" width="9.58203125" hidden="1" customWidth="1"/>
    <col min="5353" max="5353" width="8.58203125" hidden="1" customWidth="1"/>
    <col min="5354" max="5354" width="10.08203125" hidden="1" customWidth="1"/>
    <col min="5355" max="5356" width="8.58203125" hidden="1" customWidth="1"/>
    <col min="5357" max="5357" width="30.08203125" hidden="1" customWidth="1"/>
    <col min="5358" max="5358" width="2.58203125" hidden="1" customWidth="1"/>
    <col min="5359" max="5359" width="18.58203125" hidden="1" customWidth="1"/>
    <col min="5360" max="5360" width="1.58203125" hidden="1" customWidth="1"/>
    <col min="5361" max="5409" width="8.58203125" hidden="1" customWidth="1"/>
    <col min="5410" max="5558" width="8.58203125" hidden="1"/>
    <col min="5559" max="5559" width="0.58203125" hidden="1" customWidth="1"/>
    <col min="5560" max="5560" width="6.58203125" hidden="1" customWidth="1"/>
    <col min="5561" max="5561" width="50.08203125" hidden="1" customWidth="1"/>
    <col min="5562" max="5562" width="8.203125E-2" hidden="1" customWidth="1"/>
    <col min="5563" max="5564" width="8.58203125" hidden="1" customWidth="1"/>
    <col min="5565" max="5565" width="10.58203125" hidden="1" customWidth="1"/>
    <col min="5566" max="5566" width="10" hidden="1" customWidth="1"/>
    <col min="5567" max="5567" width="11.58203125" hidden="1" customWidth="1"/>
    <col min="5568" max="5570" width="10.58203125" hidden="1" customWidth="1"/>
    <col min="5571" max="5571" width="9.08203125" hidden="1" customWidth="1"/>
    <col min="5572" max="5573" width="9.58203125" hidden="1" customWidth="1"/>
    <col min="5574" max="5574" width="9.5" hidden="1" customWidth="1"/>
    <col min="5575" max="5575" width="9.58203125" hidden="1" customWidth="1"/>
    <col min="5576" max="5576" width="9.5" hidden="1" customWidth="1"/>
    <col min="5577" max="5577" width="8.58203125" hidden="1" customWidth="1"/>
    <col min="5578" max="5578" width="10.58203125" hidden="1" customWidth="1"/>
    <col min="5579" max="5580" width="8.58203125" hidden="1" customWidth="1"/>
    <col min="5581" max="5584" width="10.08203125" hidden="1" customWidth="1"/>
    <col min="5585" max="5585" width="8.58203125" hidden="1" customWidth="1"/>
    <col min="5586" max="5586" width="10.08203125" hidden="1" customWidth="1"/>
    <col min="5587" max="5588" width="8.58203125" hidden="1" customWidth="1"/>
    <col min="5589" max="5590" width="9.58203125" hidden="1" customWidth="1"/>
    <col min="5591" max="5591" width="10" hidden="1" customWidth="1"/>
    <col min="5592" max="5592" width="9.58203125" hidden="1" customWidth="1"/>
    <col min="5593" max="5593" width="8.58203125" hidden="1" customWidth="1"/>
    <col min="5594" max="5594" width="9.58203125" hidden="1" customWidth="1"/>
    <col min="5595" max="5596" width="8.58203125" hidden="1" customWidth="1"/>
    <col min="5597" max="5597" width="9.08203125" hidden="1" customWidth="1"/>
    <col min="5598" max="5598" width="9.5" hidden="1" customWidth="1"/>
    <col min="5599" max="5599" width="10.5" hidden="1" customWidth="1"/>
    <col min="5600" max="5600" width="9.5" hidden="1" customWidth="1"/>
    <col min="5601" max="5601" width="8.58203125" hidden="1" customWidth="1"/>
    <col min="5602" max="5602" width="11.08203125" hidden="1" customWidth="1"/>
    <col min="5603" max="5604" width="8.58203125" hidden="1" customWidth="1"/>
    <col min="5605" max="5605" width="9.08203125" hidden="1" customWidth="1"/>
    <col min="5606" max="5608" width="9.58203125" hidden="1" customWidth="1"/>
    <col min="5609" max="5609" width="8.58203125" hidden="1" customWidth="1"/>
    <col min="5610" max="5610" width="10.08203125" hidden="1" customWidth="1"/>
    <col min="5611" max="5612" width="8.58203125" hidden="1" customWidth="1"/>
    <col min="5613" max="5613" width="30.08203125" hidden="1" customWidth="1"/>
    <col min="5614" max="5614" width="2.58203125" hidden="1" customWidth="1"/>
    <col min="5615" max="5615" width="18.58203125" hidden="1" customWidth="1"/>
    <col min="5616" max="5616" width="1.58203125" hidden="1" customWidth="1"/>
    <col min="5617" max="5665" width="8.58203125" hidden="1" customWidth="1"/>
    <col min="5666" max="5814" width="8.58203125" hidden="1"/>
    <col min="5815" max="5815" width="0.58203125" hidden="1" customWidth="1"/>
    <col min="5816" max="5816" width="6.58203125" hidden="1" customWidth="1"/>
    <col min="5817" max="5817" width="50.08203125" hidden="1" customWidth="1"/>
    <col min="5818" max="5818" width="8.203125E-2" hidden="1" customWidth="1"/>
    <col min="5819" max="5820" width="8.58203125" hidden="1" customWidth="1"/>
    <col min="5821" max="5821" width="10.58203125" hidden="1" customWidth="1"/>
    <col min="5822" max="5822" width="10" hidden="1" customWidth="1"/>
    <col min="5823" max="5823" width="11.58203125" hidden="1" customWidth="1"/>
    <col min="5824" max="5826" width="10.58203125" hidden="1" customWidth="1"/>
    <col min="5827" max="5827" width="9.08203125" hidden="1" customWidth="1"/>
    <col min="5828" max="5829" width="9.58203125" hidden="1" customWidth="1"/>
    <col min="5830" max="5830" width="9.5" hidden="1" customWidth="1"/>
    <col min="5831" max="5831" width="9.58203125" hidden="1" customWidth="1"/>
    <col min="5832" max="5832" width="9.5" hidden="1" customWidth="1"/>
    <col min="5833" max="5833" width="8.58203125" hidden="1" customWidth="1"/>
    <col min="5834" max="5834" width="10.58203125" hidden="1" customWidth="1"/>
    <col min="5835" max="5836" width="8.58203125" hidden="1" customWidth="1"/>
    <col min="5837" max="5840" width="10.08203125" hidden="1" customWidth="1"/>
    <col min="5841" max="5841" width="8.58203125" hidden="1" customWidth="1"/>
    <col min="5842" max="5842" width="10.08203125" hidden="1" customWidth="1"/>
    <col min="5843" max="5844" width="8.58203125" hidden="1" customWidth="1"/>
    <col min="5845" max="5846" width="9.58203125" hidden="1" customWidth="1"/>
    <col min="5847" max="5847" width="10" hidden="1" customWidth="1"/>
    <col min="5848" max="5848" width="9.58203125" hidden="1" customWidth="1"/>
    <col min="5849" max="5849" width="8.58203125" hidden="1" customWidth="1"/>
    <col min="5850" max="5850" width="9.58203125" hidden="1" customWidth="1"/>
    <col min="5851" max="5852" width="8.58203125" hidden="1" customWidth="1"/>
    <col min="5853" max="5853" width="9.08203125" hidden="1" customWidth="1"/>
    <col min="5854" max="5854" width="9.5" hidden="1" customWidth="1"/>
    <col min="5855" max="5855" width="10.5" hidden="1" customWidth="1"/>
    <col min="5856" max="5856" width="9.5" hidden="1" customWidth="1"/>
    <col min="5857" max="5857" width="8.58203125" hidden="1" customWidth="1"/>
    <col min="5858" max="5858" width="11.08203125" hidden="1" customWidth="1"/>
    <col min="5859" max="5860" width="8.58203125" hidden="1" customWidth="1"/>
    <col min="5861" max="5861" width="9.08203125" hidden="1" customWidth="1"/>
    <col min="5862" max="5864" width="9.58203125" hidden="1" customWidth="1"/>
    <col min="5865" max="5865" width="8.58203125" hidden="1" customWidth="1"/>
    <col min="5866" max="5866" width="10.08203125" hidden="1" customWidth="1"/>
    <col min="5867" max="5868" width="8.58203125" hidden="1" customWidth="1"/>
    <col min="5869" max="5869" width="30.08203125" hidden="1" customWidth="1"/>
    <col min="5870" max="5870" width="2.58203125" hidden="1" customWidth="1"/>
    <col min="5871" max="5871" width="18.58203125" hidden="1" customWidth="1"/>
    <col min="5872" max="5872" width="1.58203125" hidden="1" customWidth="1"/>
    <col min="5873" max="5921" width="8.58203125" hidden="1" customWidth="1"/>
    <col min="5922" max="6070" width="8.58203125" hidden="1"/>
    <col min="6071" max="6071" width="0.58203125" hidden="1" customWidth="1"/>
    <col min="6072" max="6072" width="6.58203125" hidden="1" customWidth="1"/>
    <col min="6073" max="6073" width="50.08203125" hidden="1" customWidth="1"/>
    <col min="6074" max="6074" width="8.203125E-2" hidden="1" customWidth="1"/>
    <col min="6075" max="6076" width="8.58203125" hidden="1" customWidth="1"/>
    <col min="6077" max="6077" width="10.58203125" hidden="1" customWidth="1"/>
    <col min="6078" max="6078" width="10" hidden="1" customWidth="1"/>
    <col min="6079" max="6079" width="11.58203125" hidden="1" customWidth="1"/>
    <col min="6080" max="6082" width="10.58203125" hidden="1" customWidth="1"/>
    <col min="6083" max="6083" width="9.08203125" hidden="1" customWidth="1"/>
    <col min="6084" max="6085" width="9.58203125" hidden="1" customWidth="1"/>
    <col min="6086" max="6086" width="9.5" hidden="1" customWidth="1"/>
    <col min="6087" max="6087" width="9.58203125" hidden="1" customWidth="1"/>
    <col min="6088" max="6088" width="9.5" hidden="1" customWidth="1"/>
    <col min="6089" max="6089" width="8.58203125" hidden="1" customWidth="1"/>
    <col min="6090" max="6090" width="10.58203125" hidden="1" customWidth="1"/>
    <col min="6091" max="6092" width="8.58203125" hidden="1" customWidth="1"/>
    <col min="6093" max="6096" width="10.08203125" hidden="1" customWidth="1"/>
    <col min="6097" max="6097" width="8.58203125" hidden="1" customWidth="1"/>
    <col min="6098" max="6098" width="10.08203125" hidden="1" customWidth="1"/>
    <col min="6099" max="6100" width="8.58203125" hidden="1" customWidth="1"/>
    <col min="6101" max="6102" width="9.58203125" hidden="1" customWidth="1"/>
    <col min="6103" max="6103" width="10" hidden="1" customWidth="1"/>
    <col min="6104" max="6104" width="9.58203125" hidden="1" customWidth="1"/>
    <col min="6105" max="6105" width="8.58203125" hidden="1" customWidth="1"/>
    <col min="6106" max="6106" width="9.58203125" hidden="1" customWidth="1"/>
    <col min="6107" max="6108" width="8.58203125" hidden="1" customWidth="1"/>
    <col min="6109" max="6109" width="9.08203125" hidden="1" customWidth="1"/>
    <col min="6110" max="6110" width="9.5" hidden="1" customWidth="1"/>
    <col min="6111" max="6111" width="10.5" hidden="1" customWidth="1"/>
    <col min="6112" max="6112" width="9.5" hidden="1" customWidth="1"/>
    <col min="6113" max="6113" width="8.58203125" hidden="1" customWidth="1"/>
    <col min="6114" max="6114" width="11.08203125" hidden="1" customWidth="1"/>
    <col min="6115" max="6116" width="8.58203125" hidden="1" customWidth="1"/>
    <col min="6117" max="6117" width="9.08203125" hidden="1" customWidth="1"/>
    <col min="6118" max="6120" width="9.58203125" hidden="1" customWidth="1"/>
    <col min="6121" max="6121" width="8.58203125" hidden="1" customWidth="1"/>
    <col min="6122" max="6122" width="10.08203125" hidden="1" customWidth="1"/>
    <col min="6123" max="6124" width="8.58203125" hidden="1" customWidth="1"/>
    <col min="6125" max="6125" width="30.08203125" hidden="1" customWidth="1"/>
    <col min="6126" max="6126" width="2.58203125" hidden="1" customWidth="1"/>
    <col min="6127" max="6127" width="18.58203125" hidden="1" customWidth="1"/>
    <col min="6128" max="6128" width="1.58203125" hidden="1" customWidth="1"/>
    <col min="6129" max="6177" width="8.58203125" hidden="1" customWidth="1"/>
    <col min="6178" max="6326" width="8.58203125" hidden="1"/>
    <col min="6327" max="6327" width="0.58203125" hidden="1" customWidth="1"/>
    <col min="6328" max="6328" width="6.58203125" hidden="1" customWidth="1"/>
    <col min="6329" max="6329" width="50.08203125" hidden="1" customWidth="1"/>
    <col min="6330" max="6330" width="8.203125E-2" hidden="1" customWidth="1"/>
    <col min="6331" max="6332" width="8.58203125" hidden="1" customWidth="1"/>
    <col min="6333" max="6333" width="10.58203125" hidden="1" customWidth="1"/>
    <col min="6334" max="6334" width="10" hidden="1" customWidth="1"/>
    <col min="6335" max="6335" width="11.58203125" hidden="1" customWidth="1"/>
    <col min="6336" max="6338" width="10.58203125" hidden="1" customWidth="1"/>
    <col min="6339" max="6339" width="9.08203125" hidden="1" customWidth="1"/>
    <col min="6340" max="6341" width="9.58203125" hidden="1" customWidth="1"/>
    <col min="6342" max="6342" width="9.5" hidden="1" customWidth="1"/>
    <col min="6343" max="6343" width="9.58203125" hidden="1" customWidth="1"/>
    <col min="6344" max="6344" width="9.5" hidden="1" customWidth="1"/>
    <col min="6345" max="6345" width="8.58203125" hidden="1" customWidth="1"/>
    <col min="6346" max="6346" width="10.58203125" hidden="1" customWidth="1"/>
    <col min="6347" max="6348" width="8.58203125" hidden="1" customWidth="1"/>
    <col min="6349" max="6352" width="10.08203125" hidden="1" customWidth="1"/>
    <col min="6353" max="6353" width="8.58203125" hidden="1" customWidth="1"/>
    <col min="6354" max="6354" width="10.08203125" hidden="1" customWidth="1"/>
    <col min="6355" max="6356" width="8.58203125" hidden="1" customWidth="1"/>
    <col min="6357" max="6358" width="9.58203125" hidden="1" customWidth="1"/>
    <col min="6359" max="6359" width="10" hidden="1" customWidth="1"/>
    <col min="6360" max="6360" width="9.58203125" hidden="1" customWidth="1"/>
    <col min="6361" max="6361" width="8.58203125" hidden="1" customWidth="1"/>
    <col min="6362" max="6362" width="9.58203125" hidden="1" customWidth="1"/>
    <col min="6363" max="6364" width="8.58203125" hidden="1" customWidth="1"/>
    <col min="6365" max="6365" width="9.08203125" hidden="1" customWidth="1"/>
    <col min="6366" max="6366" width="9.5" hidden="1" customWidth="1"/>
    <col min="6367" max="6367" width="10.5" hidden="1" customWidth="1"/>
    <col min="6368" max="6368" width="9.5" hidden="1" customWidth="1"/>
    <col min="6369" max="6369" width="8.58203125" hidden="1" customWidth="1"/>
    <col min="6370" max="6370" width="11.08203125" hidden="1" customWidth="1"/>
    <col min="6371" max="6372" width="8.58203125" hidden="1" customWidth="1"/>
    <col min="6373" max="6373" width="9.08203125" hidden="1" customWidth="1"/>
    <col min="6374" max="6376" width="9.58203125" hidden="1" customWidth="1"/>
    <col min="6377" max="6377" width="8.58203125" hidden="1" customWidth="1"/>
    <col min="6378" max="6378" width="10.08203125" hidden="1" customWidth="1"/>
    <col min="6379" max="6380" width="8.58203125" hidden="1" customWidth="1"/>
    <col min="6381" max="6381" width="30.08203125" hidden="1" customWidth="1"/>
    <col min="6382" max="6382" width="2.58203125" hidden="1" customWidth="1"/>
    <col min="6383" max="6383" width="18.58203125" hidden="1" customWidth="1"/>
    <col min="6384" max="6384" width="1.58203125" hidden="1" customWidth="1"/>
    <col min="6385" max="6433" width="8.58203125" hidden="1" customWidth="1"/>
    <col min="6434" max="6582" width="8.58203125" hidden="1"/>
    <col min="6583" max="6583" width="0.58203125" hidden="1" customWidth="1"/>
    <col min="6584" max="6584" width="6.58203125" hidden="1" customWidth="1"/>
    <col min="6585" max="6585" width="50.08203125" hidden="1" customWidth="1"/>
    <col min="6586" max="6586" width="8.203125E-2" hidden="1" customWidth="1"/>
    <col min="6587" max="6588" width="8.58203125" hidden="1" customWidth="1"/>
    <col min="6589" max="6589" width="10.58203125" hidden="1" customWidth="1"/>
    <col min="6590" max="6590" width="10" hidden="1" customWidth="1"/>
    <col min="6591" max="6591" width="11.58203125" hidden="1" customWidth="1"/>
    <col min="6592" max="6594" width="10.58203125" hidden="1" customWidth="1"/>
    <col min="6595" max="6595" width="9.08203125" hidden="1" customWidth="1"/>
    <col min="6596" max="6597" width="9.58203125" hidden="1" customWidth="1"/>
    <col min="6598" max="6598" width="9.5" hidden="1" customWidth="1"/>
    <col min="6599" max="6599" width="9.58203125" hidden="1" customWidth="1"/>
    <col min="6600" max="6600" width="9.5" hidden="1" customWidth="1"/>
    <col min="6601" max="6601" width="8.58203125" hidden="1" customWidth="1"/>
    <col min="6602" max="6602" width="10.58203125" hidden="1" customWidth="1"/>
    <col min="6603" max="6604" width="8.58203125" hidden="1" customWidth="1"/>
    <col min="6605" max="6608" width="10.08203125" hidden="1" customWidth="1"/>
    <col min="6609" max="6609" width="8.58203125" hidden="1" customWidth="1"/>
    <col min="6610" max="6610" width="10.08203125" hidden="1" customWidth="1"/>
    <col min="6611" max="6612" width="8.58203125" hidden="1" customWidth="1"/>
    <col min="6613" max="6614" width="9.58203125" hidden="1" customWidth="1"/>
    <col min="6615" max="6615" width="10" hidden="1" customWidth="1"/>
    <col min="6616" max="6616" width="9.58203125" hidden="1" customWidth="1"/>
    <col min="6617" max="6617" width="8.58203125" hidden="1" customWidth="1"/>
    <col min="6618" max="6618" width="9.58203125" hidden="1" customWidth="1"/>
    <col min="6619" max="6620" width="8.58203125" hidden="1" customWidth="1"/>
    <col min="6621" max="6621" width="9.08203125" hidden="1" customWidth="1"/>
    <col min="6622" max="6622" width="9.5" hidden="1" customWidth="1"/>
    <col min="6623" max="6623" width="10.5" hidden="1" customWidth="1"/>
    <col min="6624" max="6624" width="9.5" hidden="1" customWidth="1"/>
    <col min="6625" max="6625" width="8.58203125" hidden="1" customWidth="1"/>
    <col min="6626" max="6626" width="11.08203125" hidden="1" customWidth="1"/>
    <col min="6627" max="6628" width="8.58203125" hidden="1" customWidth="1"/>
    <col min="6629" max="6629" width="9.08203125" hidden="1" customWidth="1"/>
    <col min="6630" max="6632" width="9.58203125" hidden="1" customWidth="1"/>
    <col min="6633" max="6633" width="8.58203125" hidden="1" customWidth="1"/>
    <col min="6634" max="6634" width="10.08203125" hidden="1" customWidth="1"/>
    <col min="6635" max="6636" width="8.58203125" hidden="1" customWidth="1"/>
    <col min="6637" max="6637" width="30.08203125" hidden="1" customWidth="1"/>
    <col min="6638" max="6638" width="2.58203125" hidden="1" customWidth="1"/>
    <col min="6639" max="6639" width="18.58203125" hidden="1" customWidth="1"/>
    <col min="6640" max="6640" width="1.58203125" hidden="1" customWidth="1"/>
    <col min="6641" max="6689" width="8.58203125" hidden="1" customWidth="1"/>
    <col min="6690" max="6838" width="8.58203125" hidden="1"/>
    <col min="6839" max="6839" width="0.58203125" hidden="1" customWidth="1"/>
    <col min="6840" max="6840" width="6.58203125" hidden="1" customWidth="1"/>
    <col min="6841" max="6841" width="50.08203125" hidden="1" customWidth="1"/>
    <col min="6842" max="6842" width="8.203125E-2" hidden="1" customWidth="1"/>
    <col min="6843" max="6844" width="8.58203125" hidden="1" customWidth="1"/>
    <col min="6845" max="6845" width="10.58203125" hidden="1" customWidth="1"/>
    <col min="6846" max="6846" width="10" hidden="1" customWidth="1"/>
    <col min="6847" max="6847" width="11.58203125" hidden="1" customWidth="1"/>
    <col min="6848" max="6850" width="10.58203125" hidden="1" customWidth="1"/>
    <col min="6851" max="6851" width="9.08203125" hidden="1" customWidth="1"/>
    <col min="6852" max="6853" width="9.58203125" hidden="1" customWidth="1"/>
    <col min="6854" max="6854" width="9.5" hidden="1" customWidth="1"/>
    <col min="6855" max="6855" width="9.58203125" hidden="1" customWidth="1"/>
    <col min="6856" max="6856" width="9.5" hidden="1" customWidth="1"/>
    <col min="6857" max="6857" width="8.58203125" hidden="1" customWidth="1"/>
    <col min="6858" max="6858" width="10.58203125" hidden="1" customWidth="1"/>
    <col min="6859" max="6860" width="8.58203125" hidden="1" customWidth="1"/>
    <col min="6861" max="6864" width="10.08203125" hidden="1" customWidth="1"/>
    <col min="6865" max="6865" width="8.58203125" hidden="1" customWidth="1"/>
    <col min="6866" max="6866" width="10.08203125" hidden="1" customWidth="1"/>
    <col min="6867" max="6868" width="8.58203125" hidden="1" customWidth="1"/>
    <col min="6869" max="6870" width="9.58203125" hidden="1" customWidth="1"/>
    <col min="6871" max="6871" width="10" hidden="1" customWidth="1"/>
    <col min="6872" max="6872" width="9.58203125" hidden="1" customWidth="1"/>
    <col min="6873" max="6873" width="8.58203125" hidden="1" customWidth="1"/>
    <col min="6874" max="6874" width="9.58203125" hidden="1" customWidth="1"/>
    <col min="6875" max="6876" width="8.58203125" hidden="1" customWidth="1"/>
    <col min="6877" max="6877" width="9.08203125" hidden="1" customWidth="1"/>
    <col min="6878" max="6878" width="9.5" hidden="1" customWidth="1"/>
    <col min="6879" max="6879" width="10.5" hidden="1" customWidth="1"/>
    <col min="6880" max="6880" width="9.5" hidden="1" customWidth="1"/>
    <col min="6881" max="6881" width="8.58203125" hidden="1" customWidth="1"/>
    <col min="6882" max="6882" width="11.08203125" hidden="1" customWidth="1"/>
    <col min="6883" max="6884" width="8.58203125" hidden="1" customWidth="1"/>
    <col min="6885" max="6885" width="9.08203125" hidden="1" customWidth="1"/>
    <col min="6886" max="6888" width="9.58203125" hidden="1" customWidth="1"/>
    <col min="6889" max="6889" width="8.58203125" hidden="1" customWidth="1"/>
    <col min="6890" max="6890" width="10.08203125" hidden="1" customWidth="1"/>
    <col min="6891" max="6892" width="8.58203125" hidden="1" customWidth="1"/>
    <col min="6893" max="6893" width="30.08203125" hidden="1" customWidth="1"/>
    <col min="6894" max="6894" width="2.58203125" hidden="1" customWidth="1"/>
    <col min="6895" max="6895" width="18.58203125" hidden="1" customWidth="1"/>
    <col min="6896" max="6896" width="1.58203125" hidden="1" customWidth="1"/>
    <col min="6897" max="6945" width="8.58203125" hidden="1" customWidth="1"/>
    <col min="6946" max="7094" width="8.58203125" hidden="1"/>
    <col min="7095" max="7095" width="0.58203125" hidden="1" customWidth="1"/>
    <col min="7096" max="7096" width="6.58203125" hidden="1" customWidth="1"/>
    <col min="7097" max="7097" width="50.08203125" hidden="1" customWidth="1"/>
    <col min="7098" max="7098" width="8.203125E-2" hidden="1" customWidth="1"/>
    <col min="7099" max="7100" width="8.58203125" hidden="1" customWidth="1"/>
    <col min="7101" max="7101" width="10.58203125" hidden="1" customWidth="1"/>
    <col min="7102" max="7102" width="10" hidden="1" customWidth="1"/>
    <col min="7103" max="7103" width="11.58203125" hidden="1" customWidth="1"/>
    <col min="7104" max="7106" width="10.58203125" hidden="1" customWidth="1"/>
    <col min="7107" max="7107" width="9.08203125" hidden="1" customWidth="1"/>
    <col min="7108" max="7109" width="9.58203125" hidden="1" customWidth="1"/>
    <col min="7110" max="7110" width="9.5" hidden="1" customWidth="1"/>
    <col min="7111" max="7111" width="9.58203125" hidden="1" customWidth="1"/>
    <col min="7112" max="7112" width="9.5" hidden="1" customWidth="1"/>
    <col min="7113" max="7113" width="8.58203125" hidden="1" customWidth="1"/>
    <col min="7114" max="7114" width="10.58203125" hidden="1" customWidth="1"/>
    <col min="7115" max="7116" width="8.58203125" hidden="1" customWidth="1"/>
    <col min="7117" max="7120" width="10.08203125" hidden="1" customWidth="1"/>
    <col min="7121" max="7121" width="8.58203125" hidden="1" customWidth="1"/>
    <col min="7122" max="7122" width="10.08203125" hidden="1" customWidth="1"/>
    <col min="7123" max="7124" width="8.58203125" hidden="1" customWidth="1"/>
    <col min="7125" max="7126" width="9.58203125" hidden="1" customWidth="1"/>
    <col min="7127" max="7127" width="10" hidden="1" customWidth="1"/>
    <col min="7128" max="7128" width="9.58203125" hidden="1" customWidth="1"/>
    <col min="7129" max="7129" width="8.58203125" hidden="1" customWidth="1"/>
    <col min="7130" max="7130" width="9.58203125" hidden="1" customWidth="1"/>
    <col min="7131" max="7132" width="8.58203125" hidden="1" customWidth="1"/>
    <col min="7133" max="7133" width="9.08203125" hidden="1" customWidth="1"/>
    <col min="7134" max="7134" width="9.5" hidden="1" customWidth="1"/>
    <col min="7135" max="7135" width="10.5" hidden="1" customWidth="1"/>
    <col min="7136" max="7136" width="9.5" hidden="1" customWidth="1"/>
    <col min="7137" max="7137" width="8.58203125" hidden="1" customWidth="1"/>
    <col min="7138" max="7138" width="11.08203125" hidden="1" customWidth="1"/>
    <col min="7139" max="7140" width="8.58203125" hidden="1" customWidth="1"/>
    <col min="7141" max="7141" width="9.08203125" hidden="1" customWidth="1"/>
    <col min="7142" max="7144" width="9.58203125" hidden="1" customWidth="1"/>
    <col min="7145" max="7145" width="8.58203125" hidden="1" customWidth="1"/>
    <col min="7146" max="7146" width="10.08203125" hidden="1" customWidth="1"/>
    <col min="7147" max="7148" width="8.58203125" hidden="1" customWidth="1"/>
    <col min="7149" max="7149" width="30.08203125" hidden="1" customWidth="1"/>
    <col min="7150" max="7150" width="2.58203125" hidden="1" customWidth="1"/>
    <col min="7151" max="7151" width="18.58203125" hidden="1" customWidth="1"/>
    <col min="7152" max="7152" width="1.58203125" hidden="1" customWidth="1"/>
    <col min="7153" max="7201" width="8.58203125" hidden="1" customWidth="1"/>
    <col min="7202" max="7350" width="8.58203125" hidden="1"/>
    <col min="7351" max="7351" width="0.58203125" hidden="1" customWidth="1"/>
    <col min="7352" max="7352" width="6.58203125" hidden="1" customWidth="1"/>
    <col min="7353" max="7353" width="50.08203125" hidden="1" customWidth="1"/>
    <col min="7354" max="7354" width="8.203125E-2" hidden="1" customWidth="1"/>
    <col min="7355" max="7356" width="8.58203125" hidden="1" customWidth="1"/>
    <col min="7357" max="7357" width="10.58203125" hidden="1" customWidth="1"/>
    <col min="7358" max="7358" width="10" hidden="1" customWidth="1"/>
    <col min="7359" max="7359" width="11.58203125" hidden="1" customWidth="1"/>
    <col min="7360" max="7362" width="10.58203125" hidden="1" customWidth="1"/>
    <col min="7363" max="7363" width="9.08203125" hidden="1" customWidth="1"/>
    <col min="7364" max="7365" width="9.58203125" hidden="1" customWidth="1"/>
    <col min="7366" max="7366" width="9.5" hidden="1" customWidth="1"/>
    <col min="7367" max="7367" width="9.58203125" hidden="1" customWidth="1"/>
    <col min="7368" max="7368" width="9.5" hidden="1" customWidth="1"/>
    <col min="7369" max="7369" width="8.58203125" hidden="1" customWidth="1"/>
    <col min="7370" max="7370" width="10.58203125" hidden="1" customWidth="1"/>
    <col min="7371" max="7372" width="8.58203125" hidden="1" customWidth="1"/>
    <col min="7373" max="7376" width="10.08203125" hidden="1" customWidth="1"/>
    <col min="7377" max="7377" width="8.58203125" hidden="1" customWidth="1"/>
    <col min="7378" max="7378" width="10.08203125" hidden="1" customWidth="1"/>
    <col min="7379" max="7380" width="8.58203125" hidden="1" customWidth="1"/>
    <col min="7381" max="7382" width="9.58203125" hidden="1" customWidth="1"/>
    <col min="7383" max="7383" width="10" hidden="1" customWidth="1"/>
    <col min="7384" max="7384" width="9.58203125" hidden="1" customWidth="1"/>
    <col min="7385" max="7385" width="8.58203125" hidden="1" customWidth="1"/>
    <col min="7386" max="7386" width="9.58203125" hidden="1" customWidth="1"/>
    <col min="7387" max="7388" width="8.58203125" hidden="1" customWidth="1"/>
    <col min="7389" max="7389" width="9.08203125" hidden="1" customWidth="1"/>
    <col min="7390" max="7390" width="9.5" hidden="1" customWidth="1"/>
    <col min="7391" max="7391" width="10.5" hidden="1" customWidth="1"/>
    <col min="7392" max="7392" width="9.5" hidden="1" customWidth="1"/>
    <col min="7393" max="7393" width="8.58203125" hidden="1" customWidth="1"/>
    <col min="7394" max="7394" width="11.08203125" hidden="1" customWidth="1"/>
    <col min="7395" max="7396" width="8.58203125" hidden="1" customWidth="1"/>
    <col min="7397" max="7397" width="9.08203125" hidden="1" customWidth="1"/>
    <col min="7398" max="7400" width="9.58203125" hidden="1" customWidth="1"/>
    <col min="7401" max="7401" width="8.58203125" hidden="1" customWidth="1"/>
    <col min="7402" max="7402" width="10.08203125" hidden="1" customWidth="1"/>
    <col min="7403" max="7404" width="8.58203125" hidden="1" customWidth="1"/>
    <col min="7405" max="7405" width="30.08203125" hidden="1" customWidth="1"/>
    <col min="7406" max="7406" width="2.58203125" hidden="1" customWidth="1"/>
    <col min="7407" max="7407" width="18.58203125" hidden="1" customWidth="1"/>
    <col min="7408" max="7408" width="1.58203125" hidden="1" customWidth="1"/>
    <col min="7409" max="7457" width="8.58203125" hidden="1" customWidth="1"/>
    <col min="7458" max="7606" width="8.58203125" hidden="1"/>
    <col min="7607" max="7607" width="0.58203125" hidden="1" customWidth="1"/>
    <col min="7608" max="7608" width="6.58203125" hidden="1" customWidth="1"/>
    <col min="7609" max="7609" width="50.08203125" hidden="1" customWidth="1"/>
    <col min="7610" max="7610" width="8.203125E-2" hidden="1" customWidth="1"/>
    <col min="7611" max="7612" width="8.58203125" hidden="1" customWidth="1"/>
    <col min="7613" max="7613" width="10.58203125" hidden="1" customWidth="1"/>
    <col min="7614" max="7614" width="10" hidden="1" customWidth="1"/>
    <col min="7615" max="7615" width="11.58203125" hidden="1" customWidth="1"/>
    <col min="7616" max="7618" width="10.58203125" hidden="1" customWidth="1"/>
    <col min="7619" max="7619" width="9.08203125" hidden="1" customWidth="1"/>
    <col min="7620" max="7621" width="9.58203125" hidden="1" customWidth="1"/>
    <col min="7622" max="7622" width="9.5" hidden="1" customWidth="1"/>
    <col min="7623" max="7623" width="9.58203125" hidden="1" customWidth="1"/>
    <col min="7624" max="7624" width="9.5" hidden="1" customWidth="1"/>
    <col min="7625" max="7625" width="8.58203125" hidden="1" customWidth="1"/>
    <col min="7626" max="7626" width="10.58203125" hidden="1" customWidth="1"/>
    <col min="7627" max="7628" width="8.58203125" hidden="1" customWidth="1"/>
    <col min="7629" max="7632" width="10.08203125" hidden="1" customWidth="1"/>
    <col min="7633" max="7633" width="8.58203125" hidden="1" customWidth="1"/>
    <col min="7634" max="7634" width="10.08203125" hidden="1" customWidth="1"/>
    <col min="7635" max="7636" width="8.58203125" hidden="1" customWidth="1"/>
    <col min="7637" max="7638" width="9.58203125" hidden="1" customWidth="1"/>
    <col min="7639" max="7639" width="10" hidden="1" customWidth="1"/>
    <col min="7640" max="7640" width="9.58203125" hidden="1" customWidth="1"/>
    <col min="7641" max="7641" width="8.58203125" hidden="1" customWidth="1"/>
    <col min="7642" max="7642" width="9.58203125" hidden="1" customWidth="1"/>
    <col min="7643" max="7644" width="8.58203125" hidden="1" customWidth="1"/>
    <col min="7645" max="7645" width="9.08203125" hidden="1" customWidth="1"/>
    <col min="7646" max="7646" width="9.5" hidden="1" customWidth="1"/>
    <col min="7647" max="7647" width="10.5" hidden="1" customWidth="1"/>
    <col min="7648" max="7648" width="9.5" hidden="1" customWidth="1"/>
    <col min="7649" max="7649" width="8.58203125" hidden="1" customWidth="1"/>
    <col min="7650" max="7650" width="11.08203125" hidden="1" customWidth="1"/>
    <col min="7651" max="7652" width="8.58203125" hidden="1" customWidth="1"/>
    <col min="7653" max="7653" width="9.08203125" hidden="1" customWidth="1"/>
    <col min="7654" max="7656" width="9.58203125" hidden="1" customWidth="1"/>
    <col min="7657" max="7657" width="8.58203125" hidden="1" customWidth="1"/>
    <col min="7658" max="7658" width="10.08203125" hidden="1" customWidth="1"/>
    <col min="7659" max="7660" width="8.58203125" hidden="1" customWidth="1"/>
    <col min="7661" max="7661" width="30.08203125" hidden="1" customWidth="1"/>
    <col min="7662" max="7662" width="2.58203125" hidden="1" customWidth="1"/>
    <col min="7663" max="7663" width="18.58203125" hidden="1" customWidth="1"/>
    <col min="7664" max="7664" width="1.58203125" hidden="1" customWidth="1"/>
    <col min="7665" max="7713" width="8.58203125" hidden="1" customWidth="1"/>
    <col min="7714" max="7862" width="8.58203125" hidden="1"/>
    <col min="7863" max="7863" width="0.58203125" hidden="1" customWidth="1"/>
    <col min="7864" max="7864" width="6.58203125" hidden="1" customWidth="1"/>
    <col min="7865" max="7865" width="50.08203125" hidden="1" customWidth="1"/>
    <col min="7866" max="7866" width="8.203125E-2" hidden="1" customWidth="1"/>
    <col min="7867" max="7868" width="8.58203125" hidden="1" customWidth="1"/>
    <col min="7869" max="7869" width="10.58203125" hidden="1" customWidth="1"/>
    <col min="7870" max="7870" width="10" hidden="1" customWidth="1"/>
    <col min="7871" max="7871" width="11.58203125" hidden="1" customWidth="1"/>
    <col min="7872" max="7874" width="10.58203125" hidden="1" customWidth="1"/>
    <col min="7875" max="7875" width="9.08203125" hidden="1" customWidth="1"/>
    <col min="7876" max="7877" width="9.58203125" hidden="1" customWidth="1"/>
    <col min="7878" max="7878" width="9.5" hidden="1" customWidth="1"/>
    <col min="7879" max="7879" width="9.58203125" hidden="1" customWidth="1"/>
    <col min="7880" max="7880" width="9.5" hidden="1" customWidth="1"/>
    <col min="7881" max="7881" width="8.58203125" hidden="1" customWidth="1"/>
    <col min="7882" max="7882" width="10.58203125" hidden="1" customWidth="1"/>
    <col min="7883" max="7884" width="8.58203125" hidden="1" customWidth="1"/>
    <col min="7885" max="7888" width="10.08203125" hidden="1" customWidth="1"/>
    <col min="7889" max="7889" width="8.58203125" hidden="1" customWidth="1"/>
    <col min="7890" max="7890" width="10.08203125" hidden="1" customWidth="1"/>
    <col min="7891" max="7892" width="8.58203125" hidden="1" customWidth="1"/>
    <col min="7893" max="7894" width="9.58203125" hidden="1" customWidth="1"/>
    <col min="7895" max="7895" width="10" hidden="1" customWidth="1"/>
    <col min="7896" max="7896" width="9.58203125" hidden="1" customWidth="1"/>
    <col min="7897" max="7897" width="8.58203125" hidden="1" customWidth="1"/>
    <col min="7898" max="7898" width="9.58203125" hidden="1" customWidth="1"/>
    <col min="7899" max="7900" width="8.58203125" hidden="1" customWidth="1"/>
    <col min="7901" max="7901" width="9.08203125" hidden="1" customWidth="1"/>
    <col min="7902" max="7902" width="9.5" hidden="1" customWidth="1"/>
    <col min="7903" max="7903" width="10.5" hidden="1" customWidth="1"/>
    <col min="7904" max="7904" width="9.5" hidden="1" customWidth="1"/>
    <col min="7905" max="7905" width="8.58203125" hidden="1" customWidth="1"/>
    <col min="7906" max="7906" width="11.08203125" hidden="1" customWidth="1"/>
    <col min="7907" max="7908" width="8.58203125" hidden="1" customWidth="1"/>
    <col min="7909" max="7909" width="9.08203125" hidden="1" customWidth="1"/>
    <col min="7910" max="7912" width="9.58203125" hidden="1" customWidth="1"/>
    <col min="7913" max="7913" width="8.58203125" hidden="1" customWidth="1"/>
    <col min="7914" max="7914" width="10.08203125" hidden="1" customWidth="1"/>
    <col min="7915" max="7916" width="8.58203125" hidden="1" customWidth="1"/>
    <col min="7917" max="7917" width="30.08203125" hidden="1" customWidth="1"/>
    <col min="7918" max="7918" width="2.58203125" hidden="1" customWidth="1"/>
    <col min="7919" max="7919" width="18.58203125" hidden="1" customWidth="1"/>
    <col min="7920" max="7920" width="1.58203125" hidden="1" customWidth="1"/>
    <col min="7921" max="7969" width="8.58203125" hidden="1" customWidth="1"/>
    <col min="7970" max="8118" width="8.58203125" hidden="1"/>
    <col min="8119" max="8119" width="0.58203125" hidden="1" customWidth="1"/>
    <col min="8120" max="8120" width="6.58203125" hidden="1" customWidth="1"/>
    <col min="8121" max="8121" width="50.08203125" hidden="1" customWidth="1"/>
    <col min="8122" max="8122" width="8.203125E-2" hidden="1" customWidth="1"/>
    <col min="8123" max="8124" width="8.58203125" hidden="1" customWidth="1"/>
    <col min="8125" max="8125" width="10.58203125" hidden="1" customWidth="1"/>
    <col min="8126" max="8126" width="10" hidden="1" customWidth="1"/>
    <col min="8127" max="8127" width="11.58203125" hidden="1" customWidth="1"/>
    <col min="8128" max="8130" width="10.58203125" hidden="1" customWidth="1"/>
    <col min="8131" max="8131" width="9.08203125" hidden="1" customWidth="1"/>
    <col min="8132" max="8133" width="9.58203125" hidden="1" customWidth="1"/>
    <col min="8134" max="8134" width="9.5" hidden="1" customWidth="1"/>
    <col min="8135" max="8135" width="9.58203125" hidden="1" customWidth="1"/>
    <col min="8136" max="8136" width="9.5" hidden="1" customWidth="1"/>
    <col min="8137" max="8137" width="8.58203125" hidden="1" customWidth="1"/>
    <col min="8138" max="8138" width="10.58203125" hidden="1" customWidth="1"/>
    <col min="8139" max="8140" width="8.58203125" hidden="1" customWidth="1"/>
    <col min="8141" max="8144" width="10.08203125" hidden="1" customWidth="1"/>
    <col min="8145" max="8145" width="8.58203125" hidden="1" customWidth="1"/>
    <col min="8146" max="8146" width="10.08203125" hidden="1" customWidth="1"/>
    <col min="8147" max="8148" width="8.58203125" hidden="1" customWidth="1"/>
    <col min="8149" max="8150" width="9.58203125" hidden="1" customWidth="1"/>
    <col min="8151" max="8151" width="10" hidden="1" customWidth="1"/>
    <col min="8152" max="8152" width="9.58203125" hidden="1" customWidth="1"/>
    <col min="8153" max="8153" width="8.58203125" hidden="1" customWidth="1"/>
    <col min="8154" max="8154" width="9.58203125" hidden="1" customWidth="1"/>
    <col min="8155" max="8156" width="8.58203125" hidden="1" customWidth="1"/>
    <col min="8157" max="8157" width="9.08203125" hidden="1" customWidth="1"/>
    <col min="8158" max="8158" width="9.5" hidden="1" customWidth="1"/>
    <col min="8159" max="8159" width="10.5" hidden="1" customWidth="1"/>
    <col min="8160" max="8160" width="9.5" hidden="1" customWidth="1"/>
    <col min="8161" max="8161" width="8.58203125" hidden="1" customWidth="1"/>
    <col min="8162" max="8162" width="11.08203125" hidden="1" customWidth="1"/>
    <col min="8163" max="8164" width="8.58203125" hidden="1" customWidth="1"/>
    <col min="8165" max="8165" width="9.08203125" hidden="1" customWidth="1"/>
    <col min="8166" max="8168" width="9.58203125" hidden="1" customWidth="1"/>
    <col min="8169" max="8169" width="8.58203125" hidden="1" customWidth="1"/>
    <col min="8170" max="8170" width="10.08203125" hidden="1" customWidth="1"/>
    <col min="8171" max="8172" width="8.58203125" hidden="1" customWidth="1"/>
    <col min="8173" max="8173" width="30.08203125" hidden="1" customWidth="1"/>
    <col min="8174" max="8174" width="2.58203125" hidden="1" customWidth="1"/>
    <col min="8175" max="8175" width="18.58203125" hidden="1" customWidth="1"/>
    <col min="8176" max="8176" width="1.58203125" hidden="1" customWidth="1"/>
    <col min="8177" max="8225" width="8.58203125" hidden="1" customWidth="1"/>
    <col min="8226" max="8374" width="8.58203125" hidden="1"/>
    <col min="8375" max="8375" width="0.58203125" hidden="1" customWidth="1"/>
    <col min="8376" max="8376" width="6.58203125" hidden="1" customWidth="1"/>
    <col min="8377" max="8377" width="50.08203125" hidden="1" customWidth="1"/>
    <col min="8378" max="8378" width="8.203125E-2" hidden="1" customWidth="1"/>
    <col min="8379" max="8380" width="8.58203125" hidden="1" customWidth="1"/>
    <col min="8381" max="8381" width="10.58203125" hidden="1" customWidth="1"/>
    <col min="8382" max="8382" width="10" hidden="1" customWidth="1"/>
    <col min="8383" max="8383" width="11.58203125" hidden="1" customWidth="1"/>
    <col min="8384" max="8386" width="10.58203125" hidden="1" customWidth="1"/>
    <col min="8387" max="8387" width="9.08203125" hidden="1" customWidth="1"/>
    <col min="8388" max="8389" width="9.58203125" hidden="1" customWidth="1"/>
    <col min="8390" max="8390" width="9.5" hidden="1" customWidth="1"/>
    <col min="8391" max="8391" width="9.58203125" hidden="1" customWidth="1"/>
    <col min="8392" max="8392" width="9.5" hidden="1" customWidth="1"/>
    <col min="8393" max="8393" width="8.58203125" hidden="1" customWidth="1"/>
    <col min="8394" max="8394" width="10.58203125" hidden="1" customWidth="1"/>
    <col min="8395" max="8396" width="8.58203125" hidden="1" customWidth="1"/>
    <col min="8397" max="8400" width="10.08203125" hidden="1" customWidth="1"/>
    <col min="8401" max="8401" width="8.58203125" hidden="1" customWidth="1"/>
    <col min="8402" max="8402" width="10.08203125" hidden="1" customWidth="1"/>
    <col min="8403" max="8404" width="8.58203125" hidden="1" customWidth="1"/>
    <col min="8405" max="8406" width="9.58203125" hidden="1" customWidth="1"/>
    <col min="8407" max="8407" width="10" hidden="1" customWidth="1"/>
    <col min="8408" max="8408" width="9.58203125" hidden="1" customWidth="1"/>
    <col min="8409" max="8409" width="8.58203125" hidden="1" customWidth="1"/>
    <col min="8410" max="8410" width="9.58203125" hidden="1" customWidth="1"/>
    <col min="8411" max="8412" width="8.58203125" hidden="1" customWidth="1"/>
    <col min="8413" max="8413" width="9.08203125" hidden="1" customWidth="1"/>
    <col min="8414" max="8414" width="9.5" hidden="1" customWidth="1"/>
    <col min="8415" max="8415" width="10.5" hidden="1" customWidth="1"/>
    <col min="8416" max="8416" width="9.5" hidden="1" customWidth="1"/>
    <col min="8417" max="8417" width="8.58203125" hidden="1" customWidth="1"/>
    <col min="8418" max="8418" width="11.08203125" hidden="1" customWidth="1"/>
    <col min="8419" max="8420" width="8.58203125" hidden="1" customWidth="1"/>
    <col min="8421" max="8421" width="9.08203125" hidden="1" customWidth="1"/>
    <col min="8422" max="8424" width="9.58203125" hidden="1" customWidth="1"/>
    <col min="8425" max="8425" width="8.58203125" hidden="1" customWidth="1"/>
    <col min="8426" max="8426" width="10.08203125" hidden="1" customWidth="1"/>
    <col min="8427" max="8428" width="8.58203125" hidden="1" customWidth="1"/>
    <col min="8429" max="8429" width="30.08203125" hidden="1" customWidth="1"/>
    <col min="8430" max="8430" width="2.58203125" hidden="1" customWidth="1"/>
    <col min="8431" max="8431" width="18.58203125" hidden="1" customWidth="1"/>
    <col min="8432" max="8432" width="1.58203125" hidden="1" customWidth="1"/>
    <col min="8433" max="8481" width="8.58203125" hidden="1" customWidth="1"/>
    <col min="8482" max="8630" width="8.58203125" hidden="1"/>
    <col min="8631" max="8631" width="0.58203125" hidden="1" customWidth="1"/>
    <col min="8632" max="8632" width="6.58203125" hidden="1" customWidth="1"/>
    <col min="8633" max="8633" width="50.08203125" hidden="1" customWidth="1"/>
    <col min="8634" max="8634" width="8.203125E-2" hidden="1" customWidth="1"/>
    <col min="8635" max="8636" width="8.58203125" hidden="1" customWidth="1"/>
    <col min="8637" max="8637" width="10.58203125" hidden="1" customWidth="1"/>
    <col min="8638" max="8638" width="10" hidden="1" customWidth="1"/>
    <col min="8639" max="8639" width="11.58203125" hidden="1" customWidth="1"/>
    <col min="8640" max="8642" width="10.58203125" hidden="1" customWidth="1"/>
    <col min="8643" max="8643" width="9.08203125" hidden="1" customWidth="1"/>
    <col min="8644" max="8645" width="9.58203125" hidden="1" customWidth="1"/>
    <col min="8646" max="8646" width="9.5" hidden="1" customWidth="1"/>
    <col min="8647" max="8647" width="9.58203125" hidden="1" customWidth="1"/>
    <col min="8648" max="8648" width="9.5" hidden="1" customWidth="1"/>
    <col min="8649" max="8649" width="8.58203125" hidden="1" customWidth="1"/>
    <col min="8650" max="8650" width="10.58203125" hidden="1" customWidth="1"/>
    <col min="8651" max="8652" width="8.58203125" hidden="1" customWidth="1"/>
    <col min="8653" max="8656" width="10.08203125" hidden="1" customWidth="1"/>
    <col min="8657" max="8657" width="8.58203125" hidden="1" customWidth="1"/>
    <col min="8658" max="8658" width="10.08203125" hidden="1" customWidth="1"/>
    <col min="8659" max="8660" width="8.58203125" hidden="1" customWidth="1"/>
    <col min="8661" max="8662" width="9.58203125" hidden="1" customWidth="1"/>
    <col min="8663" max="8663" width="10" hidden="1" customWidth="1"/>
    <col min="8664" max="8664" width="9.58203125" hidden="1" customWidth="1"/>
    <col min="8665" max="8665" width="8.58203125" hidden="1" customWidth="1"/>
    <col min="8666" max="8666" width="9.58203125" hidden="1" customWidth="1"/>
    <col min="8667" max="8668" width="8.58203125" hidden="1" customWidth="1"/>
    <col min="8669" max="8669" width="9.08203125" hidden="1" customWidth="1"/>
    <col min="8670" max="8670" width="9.5" hidden="1" customWidth="1"/>
    <col min="8671" max="8671" width="10.5" hidden="1" customWidth="1"/>
    <col min="8672" max="8672" width="9.5" hidden="1" customWidth="1"/>
    <col min="8673" max="8673" width="8.58203125" hidden="1" customWidth="1"/>
    <col min="8674" max="8674" width="11.08203125" hidden="1" customWidth="1"/>
    <col min="8675" max="8676" width="8.58203125" hidden="1" customWidth="1"/>
    <col min="8677" max="8677" width="9.08203125" hidden="1" customWidth="1"/>
    <col min="8678" max="8680" width="9.58203125" hidden="1" customWidth="1"/>
    <col min="8681" max="8681" width="8.58203125" hidden="1" customWidth="1"/>
    <col min="8682" max="8682" width="10.08203125" hidden="1" customWidth="1"/>
    <col min="8683" max="8684" width="8.58203125" hidden="1" customWidth="1"/>
    <col min="8685" max="8685" width="30.08203125" hidden="1" customWidth="1"/>
    <col min="8686" max="8686" width="2.58203125" hidden="1" customWidth="1"/>
    <col min="8687" max="8687" width="18.58203125" hidden="1" customWidth="1"/>
    <col min="8688" max="8688" width="1.58203125" hidden="1" customWidth="1"/>
    <col min="8689" max="8737" width="8.58203125" hidden="1" customWidth="1"/>
    <col min="8738" max="8886" width="8.58203125" hidden="1"/>
    <col min="8887" max="8887" width="0.58203125" hidden="1" customWidth="1"/>
    <col min="8888" max="8888" width="6.58203125" hidden="1" customWidth="1"/>
    <col min="8889" max="8889" width="50.08203125" hidden="1" customWidth="1"/>
    <col min="8890" max="8890" width="8.203125E-2" hidden="1" customWidth="1"/>
    <col min="8891" max="8892" width="8.58203125" hidden="1" customWidth="1"/>
    <col min="8893" max="8893" width="10.58203125" hidden="1" customWidth="1"/>
    <col min="8894" max="8894" width="10" hidden="1" customWidth="1"/>
    <col min="8895" max="8895" width="11.58203125" hidden="1" customWidth="1"/>
    <col min="8896" max="8898" width="10.58203125" hidden="1" customWidth="1"/>
    <col min="8899" max="8899" width="9.08203125" hidden="1" customWidth="1"/>
    <col min="8900" max="8901" width="9.58203125" hidden="1" customWidth="1"/>
    <col min="8902" max="8902" width="9.5" hidden="1" customWidth="1"/>
    <col min="8903" max="8903" width="9.58203125" hidden="1" customWidth="1"/>
    <col min="8904" max="8904" width="9.5" hidden="1" customWidth="1"/>
    <col min="8905" max="8905" width="8.58203125" hidden="1" customWidth="1"/>
    <col min="8906" max="8906" width="10.58203125" hidden="1" customWidth="1"/>
    <col min="8907" max="8908" width="8.58203125" hidden="1" customWidth="1"/>
    <col min="8909" max="8912" width="10.08203125" hidden="1" customWidth="1"/>
    <col min="8913" max="8913" width="8.58203125" hidden="1" customWidth="1"/>
    <col min="8914" max="8914" width="10.08203125" hidden="1" customWidth="1"/>
    <col min="8915" max="8916" width="8.58203125" hidden="1" customWidth="1"/>
    <col min="8917" max="8918" width="9.58203125" hidden="1" customWidth="1"/>
    <col min="8919" max="8919" width="10" hidden="1" customWidth="1"/>
    <col min="8920" max="8920" width="9.58203125" hidden="1" customWidth="1"/>
    <col min="8921" max="8921" width="8.58203125" hidden="1" customWidth="1"/>
    <col min="8922" max="8922" width="9.58203125" hidden="1" customWidth="1"/>
    <col min="8923" max="8924" width="8.58203125" hidden="1" customWidth="1"/>
    <col min="8925" max="8925" width="9.08203125" hidden="1" customWidth="1"/>
    <col min="8926" max="8926" width="9.5" hidden="1" customWidth="1"/>
    <col min="8927" max="8927" width="10.5" hidden="1" customWidth="1"/>
    <col min="8928" max="8928" width="9.5" hidden="1" customWidth="1"/>
    <col min="8929" max="8929" width="8.58203125" hidden="1" customWidth="1"/>
    <col min="8930" max="8930" width="11.08203125" hidden="1" customWidth="1"/>
    <col min="8931" max="8932" width="8.58203125" hidden="1" customWidth="1"/>
    <col min="8933" max="8933" width="9.08203125" hidden="1" customWidth="1"/>
    <col min="8934" max="8936" width="9.58203125" hidden="1" customWidth="1"/>
    <col min="8937" max="8937" width="8.58203125" hidden="1" customWidth="1"/>
    <col min="8938" max="8938" width="10.08203125" hidden="1" customWidth="1"/>
    <col min="8939" max="8940" width="8.58203125" hidden="1" customWidth="1"/>
    <col min="8941" max="8941" width="30.08203125" hidden="1" customWidth="1"/>
    <col min="8942" max="8942" width="2.58203125" hidden="1" customWidth="1"/>
    <col min="8943" max="8943" width="18.58203125" hidden="1" customWidth="1"/>
    <col min="8944" max="8944" width="1.58203125" hidden="1" customWidth="1"/>
    <col min="8945" max="8993" width="8.58203125" hidden="1" customWidth="1"/>
    <col min="8994" max="9142" width="8.58203125" hidden="1"/>
    <col min="9143" max="9143" width="0.58203125" hidden="1" customWidth="1"/>
    <col min="9144" max="9144" width="6.58203125" hidden="1" customWidth="1"/>
    <col min="9145" max="9145" width="50.08203125" hidden="1" customWidth="1"/>
    <col min="9146" max="9146" width="8.203125E-2" hidden="1" customWidth="1"/>
    <col min="9147" max="9148" width="8.58203125" hidden="1" customWidth="1"/>
    <col min="9149" max="9149" width="10.58203125" hidden="1" customWidth="1"/>
    <col min="9150" max="9150" width="10" hidden="1" customWidth="1"/>
    <col min="9151" max="9151" width="11.58203125" hidden="1" customWidth="1"/>
    <col min="9152" max="9154" width="10.58203125" hidden="1" customWidth="1"/>
    <col min="9155" max="9155" width="9.08203125" hidden="1" customWidth="1"/>
    <col min="9156" max="9157" width="9.58203125" hidden="1" customWidth="1"/>
    <col min="9158" max="9158" width="9.5" hidden="1" customWidth="1"/>
    <col min="9159" max="9159" width="9.58203125" hidden="1" customWidth="1"/>
    <col min="9160" max="9160" width="9.5" hidden="1" customWidth="1"/>
    <col min="9161" max="9161" width="8.58203125" hidden="1" customWidth="1"/>
    <col min="9162" max="9162" width="10.58203125" hidden="1" customWidth="1"/>
    <col min="9163" max="9164" width="8.58203125" hidden="1" customWidth="1"/>
    <col min="9165" max="9168" width="10.08203125" hidden="1" customWidth="1"/>
    <col min="9169" max="9169" width="8.58203125" hidden="1" customWidth="1"/>
    <col min="9170" max="9170" width="10.08203125" hidden="1" customWidth="1"/>
    <col min="9171" max="9172" width="8.58203125" hidden="1" customWidth="1"/>
    <col min="9173" max="9174" width="9.58203125" hidden="1" customWidth="1"/>
    <col min="9175" max="9175" width="10" hidden="1" customWidth="1"/>
    <col min="9176" max="9176" width="9.58203125" hidden="1" customWidth="1"/>
    <col min="9177" max="9177" width="8.58203125" hidden="1" customWidth="1"/>
    <col min="9178" max="9178" width="9.58203125" hidden="1" customWidth="1"/>
    <col min="9179" max="9180" width="8.58203125" hidden="1" customWidth="1"/>
    <col min="9181" max="9181" width="9.08203125" hidden="1" customWidth="1"/>
    <col min="9182" max="9182" width="9.5" hidden="1" customWidth="1"/>
    <col min="9183" max="9183" width="10.5" hidden="1" customWidth="1"/>
    <col min="9184" max="9184" width="9.5" hidden="1" customWidth="1"/>
    <col min="9185" max="9185" width="8.58203125" hidden="1" customWidth="1"/>
    <col min="9186" max="9186" width="11.08203125" hidden="1" customWidth="1"/>
    <col min="9187" max="9188" width="8.58203125" hidden="1" customWidth="1"/>
    <col min="9189" max="9189" width="9.08203125" hidden="1" customWidth="1"/>
    <col min="9190" max="9192" width="9.58203125" hidden="1" customWidth="1"/>
    <col min="9193" max="9193" width="8.58203125" hidden="1" customWidth="1"/>
    <col min="9194" max="9194" width="10.08203125" hidden="1" customWidth="1"/>
    <col min="9195" max="9196" width="8.58203125" hidden="1" customWidth="1"/>
    <col min="9197" max="9197" width="30.08203125" hidden="1" customWidth="1"/>
    <col min="9198" max="9198" width="2.58203125" hidden="1" customWidth="1"/>
    <col min="9199" max="9199" width="18.58203125" hidden="1" customWidth="1"/>
    <col min="9200" max="9200" width="1.58203125" hidden="1" customWidth="1"/>
    <col min="9201" max="9249" width="8.58203125" hidden="1" customWidth="1"/>
    <col min="9250" max="9398" width="8.58203125" hidden="1"/>
    <col min="9399" max="9399" width="0.58203125" hidden="1" customWidth="1"/>
    <col min="9400" max="9400" width="6.58203125" hidden="1" customWidth="1"/>
    <col min="9401" max="9401" width="50.08203125" hidden="1" customWidth="1"/>
    <col min="9402" max="9402" width="8.203125E-2" hidden="1" customWidth="1"/>
    <col min="9403" max="9404" width="8.58203125" hidden="1" customWidth="1"/>
    <col min="9405" max="9405" width="10.58203125" hidden="1" customWidth="1"/>
    <col min="9406" max="9406" width="10" hidden="1" customWidth="1"/>
    <col min="9407" max="9407" width="11.58203125" hidden="1" customWidth="1"/>
    <col min="9408" max="9410" width="10.58203125" hidden="1" customWidth="1"/>
    <col min="9411" max="9411" width="9.08203125" hidden="1" customWidth="1"/>
    <col min="9412" max="9413" width="9.58203125" hidden="1" customWidth="1"/>
    <col min="9414" max="9414" width="9.5" hidden="1" customWidth="1"/>
    <col min="9415" max="9415" width="9.58203125" hidden="1" customWidth="1"/>
    <col min="9416" max="9416" width="9.5" hidden="1" customWidth="1"/>
    <col min="9417" max="9417" width="8.58203125" hidden="1" customWidth="1"/>
    <col min="9418" max="9418" width="10.58203125" hidden="1" customWidth="1"/>
    <col min="9419" max="9420" width="8.58203125" hidden="1" customWidth="1"/>
    <col min="9421" max="9424" width="10.08203125" hidden="1" customWidth="1"/>
    <col min="9425" max="9425" width="8.58203125" hidden="1" customWidth="1"/>
    <col min="9426" max="9426" width="10.08203125" hidden="1" customWidth="1"/>
    <col min="9427" max="9428" width="8.58203125" hidden="1" customWidth="1"/>
    <col min="9429" max="9430" width="9.58203125" hidden="1" customWidth="1"/>
    <col min="9431" max="9431" width="10" hidden="1" customWidth="1"/>
    <col min="9432" max="9432" width="9.58203125" hidden="1" customWidth="1"/>
    <col min="9433" max="9433" width="8.58203125" hidden="1" customWidth="1"/>
    <col min="9434" max="9434" width="9.58203125" hidden="1" customWidth="1"/>
    <col min="9435" max="9436" width="8.58203125" hidden="1" customWidth="1"/>
    <col min="9437" max="9437" width="9.08203125" hidden="1" customWidth="1"/>
    <col min="9438" max="9438" width="9.5" hidden="1" customWidth="1"/>
    <col min="9439" max="9439" width="10.5" hidden="1" customWidth="1"/>
    <col min="9440" max="9440" width="9.5" hidden="1" customWidth="1"/>
    <col min="9441" max="9441" width="8.58203125" hidden="1" customWidth="1"/>
    <col min="9442" max="9442" width="11.08203125" hidden="1" customWidth="1"/>
    <col min="9443" max="9444" width="8.58203125" hidden="1" customWidth="1"/>
    <col min="9445" max="9445" width="9.08203125" hidden="1" customWidth="1"/>
    <col min="9446" max="9448" width="9.58203125" hidden="1" customWidth="1"/>
    <col min="9449" max="9449" width="8.58203125" hidden="1" customWidth="1"/>
    <col min="9450" max="9450" width="10.08203125" hidden="1" customWidth="1"/>
    <col min="9451" max="9452" width="8.58203125" hidden="1" customWidth="1"/>
    <col min="9453" max="9453" width="30.08203125" hidden="1" customWidth="1"/>
    <col min="9454" max="9454" width="2.58203125" hidden="1" customWidth="1"/>
    <col min="9455" max="9455" width="18.58203125" hidden="1" customWidth="1"/>
    <col min="9456" max="9456" width="1.58203125" hidden="1" customWidth="1"/>
    <col min="9457" max="9505" width="8.58203125" hidden="1" customWidth="1"/>
    <col min="9506" max="9654" width="8.58203125" hidden="1"/>
    <col min="9655" max="9655" width="0.58203125" hidden="1" customWidth="1"/>
    <col min="9656" max="9656" width="6.58203125" hidden="1" customWidth="1"/>
    <col min="9657" max="9657" width="50.08203125" hidden="1" customWidth="1"/>
    <col min="9658" max="9658" width="8.203125E-2" hidden="1" customWidth="1"/>
    <col min="9659" max="9660" width="8.58203125" hidden="1" customWidth="1"/>
    <col min="9661" max="9661" width="10.58203125" hidden="1" customWidth="1"/>
    <col min="9662" max="9662" width="10" hidden="1" customWidth="1"/>
    <col min="9663" max="9663" width="11.58203125" hidden="1" customWidth="1"/>
    <col min="9664" max="9666" width="10.58203125" hidden="1" customWidth="1"/>
    <col min="9667" max="9667" width="9.08203125" hidden="1" customWidth="1"/>
    <col min="9668" max="9669" width="9.58203125" hidden="1" customWidth="1"/>
    <col min="9670" max="9670" width="9.5" hidden="1" customWidth="1"/>
    <col min="9671" max="9671" width="9.58203125" hidden="1" customWidth="1"/>
    <col min="9672" max="9672" width="9.5" hidden="1" customWidth="1"/>
    <col min="9673" max="9673" width="8.58203125" hidden="1" customWidth="1"/>
    <col min="9674" max="9674" width="10.58203125" hidden="1" customWidth="1"/>
    <col min="9675" max="9676" width="8.58203125" hidden="1" customWidth="1"/>
    <col min="9677" max="9680" width="10.08203125" hidden="1" customWidth="1"/>
    <col min="9681" max="9681" width="8.58203125" hidden="1" customWidth="1"/>
    <col min="9682" max="9682" width="10.08203125" hidden="1" customWidth="1"/>
    <col min="9683" max="9684" width="8.58203125" hidden="1" customWidth="1"/>
    <col min="9685" max="9686" width="9.58203125" hidden="1" customWidth="1"/>
    <col min="9687" max="9687" width="10" hidden="1" customWidth="1"/>
    <col min="9688" max="9688" width="9.58203125" hidden="1" customWidth="1"/>
    <col min="9689" max="9689" width="8.58203125" hidden="1" customWidth="1"/>
    <col min="9690" max="9690" width="9.58203125" hidden="1" customWidth="1"/>
    <col min="9691" max="9692" width="8.58203125" hidden="1" customWidth="1"/>
    <col min="9693" max="9693" width="9.08203125" hidden="1" customWidth="1"/>
    <col min="9694" max="9694" width="9.5" hidden="1" customWidth="1"/>
    <col min="9695" max="9695" width="10.5" hidden="1" customWidth="1"/>
    <col min="9696" max="9696" width="9.5" hidden="1" customWidth="1"/>
    <col min="9697" max="9697" width="8.58203125" hidden="1" customWidth="1"/>
    <col min="9698" max="9698" width="11.08203125" hidden="1" customWidth="1"/>
    <col min="9699" max="9700" width="8.58203125" hidden="1" customWidth="1"/>
    <col min="9701" max="9701" width="9.08203125" hidden="1" customWidth="1"/>
    <col min="9702" max="9704" width="9.58203125" hidden="1" customWidth="1"/>
    <col min="9705" max="9705" width="8.58203125" hidden="1" customWidth="1"/>
    <col min="9706" max="9706" width="10.08203125" hidden="1" customWidth="1"/>
    <col min="9707" max="9708" width="8.58203125" hidden="1" customWidth="1"/>
    <col min="9709" max="9709" width="30.08203125" hidden="1" customWidth="1"/>
    <col min="9710" max="9710" width="2.58203125" hidden="1" customWidth="1"/>
    <col min="9711" max="9711" width="18.58203125" hidden="1" customWidth="1"/>
    <col min="9712" max="9712" width="1.58203125" hidden="1" customWidth="1"/>
    <col min="9713" max="9761" width="8.58203125" hidden="1" customWidth="1"/>
    <col min="9762" max="9910" width="8.58203125" hidden="1"/>
    <col min="9911" max="9911" width="0.58203125" hidden="1" customWidth="1"/>
    <col min="9912" max="9912" width="6.58203125" hidden="1" customWidth="1"/>
    <col min="9913" max="9913" width="50.08203125" hidden="1" customWidth="1"/>
    <col min="9914" max="9914" width="8.203125E-2" hidden="1" customWidth="1"/>
    <col min="9915" max="9916" width="8.58203125" hidden="1" customWidth="1"/>
    <col min="9917" max="9917" width="10.58203125" hidden="1" customWidth="1"/>
    <col min="9918" max="9918" width="10" hidden="1" customWidth="1"/>
    <col min="9919" max="9919" width="11.58203125" hidden="1" customWidth="1"/>
    <col min="9920" max="9922" width="10.58203125" hidden="1" customWidth="1"/>
    <col min="9923" max="9923" width="9.08203125" hidden="1" customWidth="1"/>
    <col min="9924" max="9925" width="9.58203125" hidden="1" customWidth="1"/>
    <col min="9926" max="9926" width="9.5" hidden="1" customWidth="1"/>
    <col min="9927" max="9927" width="9.58203125" hidden="1" customWidth="1"/>
    <col min="9928" max="9928" width="9.5" hidden="1" customWidth="1"/>
    <col min="9929" max="9929" width="8.58203125" hidden="1" customWidth="1"/>
    <col min="9930" max="9930" width="10.58203125" hidden="1" customWidth="1"/>
    <col min="9931" max="9932" width="8.58203125" hidden="1" customWidth="1"/>
    <col min="9933" max="9936" width="10.08203125" hidden="1" customWidth="1"/>
    <col min="9937" max="9937" width="8.58203125" hidden="1" customWidth="1"/>
    <col min="9938" max="9938" width="10.08203125" hidden="1" customWidth="1"/>
    <col min="9939" max="9940" width="8.58203125" hidden="1" customWidth="1"/>
    <col min="9941" max="9942" width="9.58203125" hidden="1" customWidth="1"/>
    <col min="9943" max="9943" width="10" hidden="1" customWidth="1"/>
    <col min="9944" max="9944" width="9.58203125" hidden="1" customWidth="1"/>
    <col min="9945" max="9945" width="8.58203125" hidden="1" customWidth="1"/>
    <col min="9946" max="9946" width="9.58203125" hidden="1" customWidth="1"/>
    <col min="9947" max="9948" width="8.58203125" hidden="1" customWidth="1"/>
    <col min="9949" max="9949" width="9.08203125" hidden="1" customWidth="1"/>
    <col min="9950" max="9950" width="9.5" hidden="1" customWidth="1"/>
    <col min="9951" max="9951" width="10.5" hidden="1" customWidth="1"/>
    <col min="9952" max="9952" width="9.5" hidden="1" customWidth="1"/>
    <col min="9953" max="9953" width="8.58203125" hidden="1" customWidth="1"/>
    <col min="9954" max="9954" width="11.08203125" hidden="1" customWidth="1"/>
    <col min="9955" max="9956" width="8.58203125" hidden="1" customWidth="1"/>
    <col min="9957" max="9957" width="9.08203125" hidden="1" customWidth="1"/>
    <col min="9958" max="9960" width="9.58203125" hidden="1" customWidth="1"/>
    <col min="9961" max="9961" width="8.58203125" hidden="1" customWidth="1"/>
    <col min="9962" max="9962" width="10.08203125" hidden="1" customWidth="1"/>
    <col min="9963" max="9964" width="8.58203125" hidden="1" customWidth="1"/>
    <col min="9965" max="9965" width="30.08203125" hidden="1" customWidth="1"/>
    <col min="9966" max="9966" width="2.58203125" hidden="1" customWidth="1"/>
    <col min="9967" max="9967" width="18.58203125" hidden="1" customWidth="1"/>
    <col min="9968" max="9968" width="1.58203125" hidden="1" customWidth="1"/>
    <col min="9969" max="10017" width="8.58203125" hidden="1" customWidth="1"/>
    <col min="10018" max="10166" width="8.58203125" hidden="1"/>
    <col min="10167" max="10167" width="0.58203125" hidden="1" customWidth="1"/>
    <col min="10168" max="10168" width="6.58203125" hidden="1" customWidth="1"/>
    <col min="10169" max="10169" width="50.08203125" hidden="1" customWidth="1"/>
    <col min="10170" max="10170" width="8.203125E-2" hidden="1" customWidth="1"/>
    <col min="10171" max="10172" width="8.58203125" hidden="1" customWidth="1"/>
    <col min="10173" max="10173" width="10.58203125" hidden="1" customWidth="1"/>
    <col min="10174" max="10174" width="10" hidden="1" customWidth="1"/>
    <col min="10175" max="10175" width="11.58203125" hidden="1" customWidth="1"/>
    <col min="10176" max="10178" width="10.58203125" hidden="1" customWidth="1"/>
    <col min="10179" max="10179" width="9.08203125" hidden="1" customWidth="1"/>
    <col min="10180" max="10181" width="9.58203125" hidden="1" customWidth="1"/>
    <col min="10182" max="10182" width="9.5" hidden="1" customWidth="1"/>
    <col min="10183" max="10183" width="9.58203125" hidden="1" customWidth="1"/>
    <col min="10184" max="10184" width="9.5" hidden="1" customWidth="1"/>
    <col min="10185" max="10185" width="8.58203125" hidden="1" customWidth="1"/>
    <col min="10186" max="10186" width="10.58203125" hidden="1" customWidth="1"/>
    <col min="10187" max="10188" width="8.58203125" hidden="1" customWidth="1"/>
    <col min="10189" max="10192" width="10.08203125" hidden="1" customWidth="1"/>
    <col min="10193" max="10193" width="8.58203125" hidden="1" customWidth="1"/>
    <col min="10194" max="10194" width="10.08203125" hidden="1" customWidth="1"/>
    <col min="10195" max="10196" width="8.58203125" hidden="1" customWidth="1"/>
    <col min="10197" max="10198" width="9.58203125" hidden="1" customWidth="1"/>
    <col min="10199" max="10199" width="10" hidden="1" customWidth="1"/>
    <col min="10200" max="10200" width="9.58203125" hidden="1" customWidth="1"/>
    <col min="10201" max="10201" width="8.58203125" hidden="1" customWidth="1"/>
    <col min="10202" max="10202" width="9.58203125" hidden="1" customWidth="1"/>
    <col min="10203" max="10204" width="8.58203125" hidden="1" customWidth="1"/>
    <col min="10205" max="10205" width="9.08203125" hidden="1" customWidth="1"/>
    <col min="10206" max="10206" width="9.5" hidden="1" customWidth="1"/>
    <col min="10207" max="10207" width="10.5" hidden="1" customWidth="1"/>
    <col min="10208" max="10208" width="9.5" hidden="1" customWidth="1"/>
    <col min="10209" max="10209" width="8.58203125" hidden="1" customWidth="1"/>
    <col min="10210" max="10210" width="11.08203125" hidden="1" customWidth="1"/>
    <col min="10211" max="10212" width="8.58203125" hidden="1" customWidth="1"/>
    <col min="10213" max="10213" width="9.08203125" hidden="1" customWidth="1"/>
    <col min="10214" max="10216" width="9.58203125" hidden="1" customWidth="1"/>
    <col min="10217" max="10217" width="8.58203125" hidden="1" customWidth="1"/>
    <col min="10218" max="10218" width="10.08203125" hidden="1" customWidth="1"/>
    <col min="10219" max="10220" width="8.58203125" hidden="1" customWidth="1"/>
    <col min="10221" max="10221" width="30.08203125" hidden="1" customWidth="1"/>
    <col min="10222" max="10222" width="2.58203125" hidden="1" customWidth="1"/>
    <col min="10223" max="10223" width="18.58203125" hidden="1" customWidth="1"/>
    <col min="10224" max="10224" width="1.58203125" hidden="1" customWidth="1"/>
    <col min="10225" max="10273" width="8.58203125" hidden="1" customWidth="1"/>
    <col min="10274" max="10422" width="8.58203125" hidden="1"/>
    <col min="10423" max="10423" width="0.58203125" hidden="1" customWidth="1"/>
    <col min="10424" max="10424" width="6.58203125" hidden="1" customWidth="1"/>
    <col min="10425" max="10425" width="50.08203125" hidden="1" customWidth="1"/>
    <col min="10426" max="10426" width="8.203125E-2" hidden="1" customWidth="1"/>
    <col min="10427" max="10428" width="8.58203125" hidden="1" customWidth="1"/>
    <col min="10429" max="10429" width="10.58203125" hidden="1" customWidth="1"/>
    <col min="10430" max="10430" width="10" hidden="1" customWidth="1"/>
    <col min="10431" max="10431" width="11.58203125" hidden="1" customWidth="1"/>
    <col min="10432" max="10434" width="10.58203125" hidden="1" customWidth="1"/>
    <col min="10435" max="10435" width="9.08203125" hidden="1" customWidth="1"/>
    <col min="10436" max="10437" width="9.58203125" hidden="1" customWidth="1"/>
    <col min="10438" max="10438" width="9.5" hidden="1" customWidth="1"/>
    <col min="10439" max="10439" width="9.58203125" hidden="1" customWidth="1"/>
    <col min="10440" max="10440" width="9.5" hidden="1" customWidth="1"/>
    <col min="10441" max="10441" width="8.58203125" hidden="1" customWidth="1"/>
    <col min="10442" max="10442" width="10.58203125" hidden="1" customWidth="1"/>
    <col min="10443" max="10444" width="8.58203125" hidden="1" customWidth="1"/>
    <col min="10445" max="10448" width="10.08203125" hidden="1" customWidth="1"/>
    <col min="10449" max="10449" width="8.58203125" hidden="1" customWidth="1"/>
    <col min="10450" max="10450" width="10.08203125" hidden="1" customWidth="1"/>
    <col min="10451" max="10452" width="8.58203125" hidden="1" customWidth="1"/>
    <col min="10453" max="10454" width="9.58203125" hidden="1" customWidth="1"/>
    <col min="10455" max="10455" width="10" hidden="1" customWidth="1"/>
    <col min="10456" max="10456" width="9.58203125" hidden="1" customWidth="1"/>
    <col min="10457" max="10457" width="8.58203125" hidden="1" customWidth="1"/>
    <col min="10458" max="10458" width="9.58203125" hidden="1" customWidth="1"/>
    <col min="10459" max="10460" width="8.58203125" hidden="1" customWidth="1"/>
    <col min="10461" max="10461" width="9.08203125" hidden="1" customWidth="1"/>
    <col min="10462" max="10462" width="9.5" hidden="1" customWidth="1"/>
    <col min="10463" max="10463" width="10.5" hidden="1" customWidth="1"/>
    <col min="10464" max="10464" width="9.5" hidden="1" customWidth="1"/>
    <col min="10465" max="10465" width="8.58203125" hidden="1" customWidth="1"/>
    <col min="10466" max="10466" width="11.08203125" hidden="1" customWidth="1"/>
    <col min="10467" max="10468" width="8.58203125" hidden="1" customWidth="1"/>
    <col min="10469" max="10469" width="9.08203125" hidden="1" customWidth="1"/>
    <col min="10470" max="10472" width="9.58203125" hidden="1" customWidth="1"/>
    <col min="10473" max="10473" width="8.58203125" hidden="1" customWidth="1"/>
    <col min="10474" max="10474" width="10.08203125" hidden="1" customWidth="1"/>
    <col min="10475" max="10476" width="8.58203125" hidden="1" customWidth="1"/>
    <col min="10477" max="10477" width="30.08203125" hidden="1" customWidth="1"/>
    <col min="10478" max="10478" width="2.58203125" hidden="1" customWidth="1"/>
    <col min="10479" max="10479" width="18.58203125" hidden="1" customWidth="1"/>
    <col min="10480" max="10480" width="1.58203125" hidden="1" customWidth="1"/>
    <col min="10481" max="10529" width="8.58203125" hidden="1" customWidth="1"/>
    <col min="10530" max="10678" width="8.58203125" hidden="1"/>
    <col min="10679" max="10679" width="0.58203125" hidden="1" customWidth="1"/>
    <col min="10680" max="10680" width="6.58203125" hidden="1" customWidth="1"/>
    <col min="10681" max="10681" width="50.08203125" hidden="1" customWidth="1"/>
    <col min="10682" max="10682" width="8.203125E-2" hidden="1" customWidth="1"/>
    <col min="10683" max="10684" width="8.58203125" hidden="1" customWidth="1"/>
    <col min="10685" max="10685" width="10.58203125" hidden="1" customWidth="1"/>
    <col min="10686" max="10686" width="10" hidden="1" customWidth="1"/>
    <col min="10687" max="10687" width="11.58203125" hidden="1" customWidth="1"/>
    <col min="10688" max="10690" width="10.58203125" hidden="1" customWidth="1"/>
    <col min="10691" max="10691" width="9.08203125" hidden="1" customWidth="1"/>
    <col min="10692" max="10693" width="9.58203125" hidden="1" customWidth="1"/>
    <col min="10694" max="10694" width="9.5" hidden="1" customWidth="1"/>
    <col min="10695" max="10695" width="9.58203125" hidden="1" customWidth="1"/>
    <col min="10696" max="10696" width="9.5" hidden="1" customWidth="1"/>
    <col min="10697" max="10697" width="8.58203125" hidden="1" customWidth="1"/>
    <col min="10698" max="10698" width="10.58203125" hidden="1" customWidth="1"/>
    <col min="10699" max="10700" width="8.58203125" hidden="1" customWidth="1"/>
    <col min="10701" max="10704" width="10.08203125" hidden="1" customWidth="1"/>
    <col min="10705" max="10705" width="8.58203125" hidden="1" customWidth="1"/>
    <col min="10706" max="10706" width="10.08203125" hidden="1" customWidth="1"/>
    <col min="10707" max="10708" width="8.58203125" hidden="1" customWidth="1"/>
    <col min="10709" max="10710" width="9.58203125" hidden="1" customWidth="1"/>
    <col min="10711" max="10711" width="10" hidden="1" customWidth="1"/>
    <col min="10712" max="10712" width="9.58203125" hidden="1" customWidth="1"/>
    <col min="10713" max="10713" width="8.58203125" hidden="1" customWidth="1"/>
    <col min="10714" max="10714" width="9.58203125" hidden="1" customWidth="1"/>
    <col min="10715" max="10716" width="8.58203125" hidden="1" customWidth="1"/>
    <col min="10717" max="10717" width="9.08203125" hidden="1" customWidth="1"/>
    <col min="10718" max="10718" width="9.5" hidden="1" customWidth="1"/>
    <col min="10719" max="10719" width="10.5" hidden="1" customWidth="1"/>
    <col min="10720" max="10720" width="9.5" hidden="1" customWidth="1"/>
    <col min="10721" max="10721" width="8.58203125" hidden="1" customWidth="1"/>
    <col min="10722" max="10722" width="11.08203125" hidden="1" customWidth="1"/>
    <col min="10723" max="10724" width="8.58203125" hidden="1" customWidth="1"/>
    <col min="10725" max="10725" width="9.08203125" hidden="1" customWidth="1"/>
    <col min="10726" max="10728" width="9.58203125" hidden="1" customWidth="1"/>
    <col min="10729" max="10729" width="8.58203125" hidden="1" customWidth="1"/>
    <col min="10730" max="10730" width="10.08203125" hidden="1" customWidth="1"/>
    <col min="10731" max="10732" width="8.58203125" hidden="1" customWidth="1"/>
    <col min="10733" max="10733" width="30.08203125" hidden="1" customWidth="1"/>
    <col min="10734" max="10734" width="2.58203125" hidden="1" customWidth="1"/>
    <col min="10735" max="10735" width="18.58203125" hidden="1" customWidth="1"/>
    <col min="10736" max="10736" width="1.58203125" hidden="1" customWidth="1"/>
    <col min="10737" max="10785" width="8.58203125" hidden="1" customWidth="1"/>
    <col min="10786" max="10934" width="8.58203125" hidden="1"/>
    <col min="10935" max="10935" width="0.58203125" hidden="1" customWidth="1"/>
    <col min="10936" max="10936" width="6.58203125" hidden="1" customWidth="1"/>
    <col min="10937" max="10937" width="50.08203125" hidden="1" customWidth="1"/>
    <col min="10938" max="10938" width="8.203125E-2" hidden="1" customWidth="1"/>
    <col min="10939" max="10940" width="8.58203125" hidden="1" customWidth="1"/>
    <col min="10941" max="10941" width="10.58203125" hidden="1" customWidth="1"/>
    <col min="10942" max="10942" width="10" hidden="1" customWidth="1"/>
    <col min="10943" max="10943" width="11.58203125" hidden="1" customWidth="1"/>
    <col min="10944" max="10946" width="10.58203125" hidden="1" customWidth="1"/>
    <col min="10947" max="10947" width="9.08203125" hidden="1" customWidth="1"/>
    <col min="10948" max="10949" width="9.58203125" hidden="1" customWidth="1"/>
    <col min="10950" max="10950" width="9.5" hidden="1" customWidth="1"/>
    <col min="10951" max="10951" width="9.58203125" hidden="1" customWidth="1"/>
    <col min="10952" max="10952" width="9.5" hidden="1" customWidth="1"/>
    <col min="10953" max="10953" width="8.58203125" hidden="1" customWidth="1"/>
    <col min="10954" max="10954" width="10.58203125" hidden="1" customWidth="1"/>
    <col min="10955" max="10956" width="8.58203125" hidden="1" customWidth="1"/>
    <col min="10957" max="10960" width="10.08203125" hidden="1" customWidth="1"/>
    <col min="10961" max="10961" width="8.58203125" hidden="1" customWidth="1"/>
    <col min="10962" max="10962" width="10.08203125" hidden="1" customWidth="1"/>
    <col min="10963" max="10964" width="8.58203125" hidden="1" customWidth="1"/>
    <col min="10965" max="10966" width="9.58203125" hidden="1" customWidth="1"/>
    <col min="10967" max="10967" width="10" hidden="1" customWidth="1"/>
    <col min="10968" max="10968" width="9.58203125" hidden="1" customWidth="1"/>
    <col min="10969" max="10969" width="8.58203125" hidden="1" customWidth="1"/>
    <col min="10970" max="10970" width="9.58203125" hidden="1" customWidth="1"/>
    <col min="10971" max="10972" width="8.58203125" hidden="1" customWidth="1"/>
    <col min="10973" max="10973" width="9.08203125" hidden="1" customWidth="1"/>
    <col min="10974" max="10974" width="9.5" hidden="1" customWidth="1"/>
    <col min="10975" max="10975" width="10.5" hidden="1" customWidth="1"/>
    <col min="10976" max="10976" width="9.5" hidden="1" customWidth="1"/>
    <col min="10977" max="10977" width="8.58203125" hidden="1" customWidth="1"/>
    <col min="10978" max="10978" width="11.08203125" hidden="1" customWidth="1"/>
    <col min="10979" max="10980" width="8.58203125" hidden="1" customWidth="1"/>
    <col min="10981" max="10981" width="9.08203125" hidden="1" customWidth="1"/>
    <col min="10982" max="10984" width="9.58203125" hidden="1" customWidth="1"/>
    <col min="10985" max="10985" width="8.58203125" hidden="1" customWidth="1"/>
    <col min="10986" max="10986" width="10.08203125" hidden="1" customWidth="1"/>
    <col min="10987" max="10988" width="8.58203125" hidden="1" customWidth="1"/>
    <col min="10989" max="10989" width="30.08203125" hidden="1" customWidth="1"/>
    <col min="10990" max="10990" width="2.58203125" hidden="1" customWidth="1"/>
    <col min="10991" max="10991" width="18.58203125" hidden="1" customWidth="1"/>
    <col min="10992" max="10992" width="1.58203125" hidden="1" customWidth="1"/>
    <col min="10993" max="11041" width="8.58203125" hidden="1" customWidth="1"/>
    <col min="11042" max="11190" width="8.58203125" hidden="1"/>
    <col min="11191" max="11191" width="0.58203125" hidden="1" customWidth="1"/>
    <col min="11192" max="11192" width="6.58203125" hidden="1" customWidth="1"/>
    <col min="11193" max="11193" width="50.08203125" hidden="1" customWidth="1"/>
    <col min="11194" max="11194" width="8.203125E-2" hidden="1" customWidth="1"/>
    <col min="11195" max="11196" width="8.58203125" hidden="1" customWidth="1"/>
    <col min="11197" max="11197" width="10.58203125" hidden="1" customWidth="1"/>
    <col min="11198" max="11198" width="10" hidden="1" customWidth="1"/>
    <col min="11199" max="11199" width="11.58203125" hidden="1" customWidth="1"/>
    <col min="11200" max="11202" width="10.58203125" hidden="1" customWidth="1"/>
    <col min="11203" max="11203" width="9.08203125" hidden="1" customWidth="1"/>
    <col min="11204" max="11205" width="9.58203125" hidden="1" customWidth="1"/>
    <col min="11206" max="11206" width="9.5" hidden="1" customWidth="1"/>
    <col min="11207" max="11207" width="9.58203125" hidden="1" customWidth="1"/>
    <col min="11208" max="11208" width="9.5" hidden="1" customWidth="1"/>
    <col min="11209" max="11209" width="8.58203125" hidden="1" customWidth="1"/>
    <col min="11210" max="11210" width="10.58203125" hidden="1" customWidth="1"/>
    <col min="11211" max="11212" width="8.58203125" hidden="1" customWidth="1"/>
    <col min="11213" max="11216" width="10.08203125" hidden="1" customWidth="1"/>
    <col min="11217" max="11217" width="8.58203125" hidden="1" customWidth="1"/>
    <col min="11218" max="11218" width="10.08203125" hidden="1" customWidth="1"/>
    <col min="11219" max="11220" width="8.58203125" hidden="1" customWidth="1"/>
    <col min="11221" max="11222" width="9.58203125" hidden="1" customWidth="1"/>
    <col min="11223" max="11223" width="10" hidden="1" customWidth="1"/>
    <col min="11224" max="11224" width="9.58203125" hidden="1" customWidth="1"/>
    <col min="11225" max="11225" width="8.58203125" hidden="1" customWidth="1"/>
    <col min="11226" max="11226" width="9.58203125" hidden="1" customWidth="1"/>
    <col min="11227" max="11228" width="8.58203125" hidden="1" customWidth="1"/>
    <col min="11229" max="11229" width="9.08203125" hidden="1" customWidth="1"/>
    <col min="11230" max="11230" width="9.5" hidden="1" customWidth="1"/>
    <col min="11231" max="11231" width="10.5" hidden="1" customWidth="1"/>
    <col min="11232" max="11232" width="9.5" hidden="1" customWidth="1"/>
    <col min="11233" max="11233" width="8.58203125" hidden="1" customWidth="1"/>
    <col min="11234" max="11234" width="11.08203125" hidden="1" customWidth="1"/>
    <col min="11235" max="11236" width="8.58203125" hidden="1" customWidth="1"/>
    <col min="11237" max="11237" width="9.08203125" hidden="1" customWidth="1"/>
    <col min="11238" max="11240" width="9.58203125" hidden="1" customWidth="1"/>
    <col min="11241" max="11241" width="8.58203125" hidden="1" customWidth="1"/>
    <col min="11242" max="11242" width="10.08203125" hidden="1" customWidth="1"/>
    <col min="11243" max="11244" width="8.58203125" hidden="1" customWidth="1"/>
    <col min="11245" max="11245" width="30.08203125" hidden="1" customWidth="1"/>
    <col min="11246" max="11246" width="2.58203125" hidden="1" customWidth="1"/>
    <col min="11247" max="11247" width="18.58203125" hidden="1" customWidth="1"/>
    <col min="11248" max="11248" width="1.58203125" hidden="1" customWidth="1"/>
    <col min="11249" max="11297" width="8.58203125" hidden="1" customWidth="1"/>
    <col min="11298" max="11446" width="8.58203125" hidden="1"/>
    <col min="11447" max="11447" width="0.58203125" hidden="1" customWidth="1"/>
    <col min="11448" max="11448" width="6.58203125" hidden="1" customWidth="1"/>
    <col min="11449" max="11449" width="50.08203125" hidden="1" customWidth="1"/>
    <col min="11450" max="11450" width="8.203125E-2" hidden="1" customWidth="1"/>
    <col min="11451" max="11452" width="8.58203125" hidden="1" customWidth="1"/>
    <col min="11453" max="11453" width="10.58203125" hidden="1" customWidth="1"/>
    <col min="11454" max="11454" width="10" hidden="1" customWidth="1"/>
    <col min="11455" max="11455" width="11.58203125" hidden="1" customWidth="1"/>
    <col min="11456" max="11458" width="10.58203125" hidden="1" customWidth="1"/>
    <col min="11459" max="11459" width="9.08203125" hidden="1" customWidth="1"/>
    <col min="11460" max="11461" width="9.58203125" hidden="1" customWidth="1"/>
    <col min="11462" max="11462" width="9.5" hidden="1" customWidth="1"/>
    <col min="11463" max="11463" width="9.58203125" hidden="1" customWidth="1"/>
    <col min="11464" max="11464" width="9.5" hidden="1" customWidth="1"/>
    <col min="11465" max="11465" width="8.58203125" hidden="1" customWidth="1"/>
    <col min="11466" max="11466" width="10.58203125" hidden="1" customWidth="1"/>
    <col min="11467" max="11468" width="8.58203125" hidden="1" customWidth="1"/>
    <col min="11469" max="11472" width="10.08203125" hidden="1" customWidth="1"/>
    <col min="11473" max="11473" width="8.58203125" hidden="1" customWidth="1"/>
    <col min="11474" max="11474" width="10.08203125" hidden="1" customWidth="1"/>
    <col min="11475" max="11476" width="8.58203125" hidden="1" customWidth="1"/>
    <col min="11477" max="11478" width="9.58203125" hidden="1" customWidth="1"/>
    <col min="11479" max="11479" width="10" hidden="1" customWidth="1"/>
    <col min="11480" max="11480" width="9.58203125" hidden="1" customWidth="1"/>
    <col min="11481" max="11481" width="8.58203125" hidden="1" customWidth="1"/>
    <col min="11482" max="11482" width="9.58203125" hidden="1" customWidth="1"/>
    <col min="11483" max="11484" width="8.58203125" hidden="1" customWidth="1"/>
    <col min="11485" max="11485" width="9.08203125" hidden="1" customWidth="1"/>
    <col min="11486" max="11486" width="9.5" hidden="1" customWidth="1"/>
    <col min="11487" max="11487" width="10.5" hidden="1" customWidth="1"/>
    <col min="11488" max="11488" width="9.5" hidden="1" customWidth="1"/>
    <col min="11489" max="11489" width="8.58203125" hidden="1" customWidth="1"/>
    <col min="11490" max="11490" width="11.08203125" hidden="1" customWidth="1"/>
    <col min="11491" max="11492" width="8.58203125" hidden="1" customWidth="1"/>
    <col min="11493" max="11493" width="9.08203125" hidden="1" customWidth="1"/>
    <col min="11494" max="11496" width="9.58203125" hidden="1" customWidth="1"/>
    <col min="11497" max="11497" width="8.58203125" hidden="1" customWidth="1"/>
    <col min="11498" max="11498" width="10.08203125" hidden="1" customWidth="1"/>
    <col min="11499" max="11500" width="8.58203125" hidden="1" customWidth="1"/>
    <col min="11501" max="11501" width="30.08203125" hidden="1" customWidth="1"/>
    <col min="11502" max="11502" width="2.58203125" hidden="1" customWidth="1"/>
    <col min="11503" max="11503" width="18.58203125" hidden="1" customWidth="1"/>
    <col min="11504" max="11504" width="1.58203125" hidden="1" customWidth="1"/>
    <col min="11505" max="11553" width="8.58203125" hidden="1" customWidth="1"/>
    <col min="11554" max="11702" width="8.58203125" hidden="1"/>
    <col min="11703" max="11703" width="0.58203125" hidden="1" customWidth="1"/>
    <col min="11704" max="11704" width="6.58203125" hidden="1" customWidth="1"/>
    <col min="11705" max="11705" width="50.08203125" hidden="1" customWidth="1"/>
    <col min="11706" max="11706" width="8.203125E-2" hidden="1" customWidth="1"/>
    <col min="11707" max="11708" width="8.58203125" hidden="1" customWidth="1"/>
    <col min="11709" max="11709" width="10.58203125" hidden="1" customWidth="1"/>
    <col min="11710" max="11710" width="10" hidden="1" customWidth="1"/>
    <col min="11711" max="11711" width="11.58203125" hidden="1" customWidth="1"/>
    <col min="11712" max="11714" width="10.58203125" hidden="1" customWidth="1"/>
    <col min="11715" max="11715" width="9.08203125" hidden="1" customWidth="1"/>
    <col min="11716" max="11717" width="9.58203125" hidden="1" customWidth="1"/>
    <col min="11718" max="11718" width="9.5" hidden="1" customWidth="1"/>
    <col min="11719" max="11719" width="9.58203125" hidden="1" customWidth="1"/>
    <col min="11720" max="11720" width="9.5" hidden="1" customWidth="1"/>
    <col min="11721" max="11721" width="8.58203125" hidden="1" customWidth="1"/>
    <col min="11722" max="11722" width="10.58203125" hidden="1" customWidth="1"/>
    <col min="11723" max="11724" width="8.58203125" hidden="1" customWidth="1"/>
    <col min="11725" max="11728" width="10.08203125" hidden="1" customWidth="1"/>
    <col min="11729" max="11729" width="8.58203125" hidden="1" customWidth="1"/>
    <col min="11730" max="11730" width="10.08203125" hidden="1" customWidth="1"/>
    <col min="11731" max="11732" width="8.58203125" hidden="1" customWidth="1"/>
    <col min="11733" max="11734" width="9.58203125" hidden="1" customWidth="1"/>
    <col min="11735" max="11735" width="10" hidden="1" customWidth="1"/>
    <col min="11736" max="11736" width="9.58203125" hidden="1" customWidth="1"/>
    <col min="11737" max="11737" width="8.58203125" hidden="1" customWidth="1"/>
    <col min="11738" max="11738" width="9.58203125" hidden="1" customWidth="1"/>
    <col min="11739" max="11740" width="8.58203125" hidden="1" customWidth="1"/>
    <col min="11741" max="11741" width="9.08203125" hidden="1" customWidth="1"/>
    <col min="11742" max="11742" width="9.5" hidden="1" customWidth="1"/>
    <col min="11743" max="11743" width="10.5" hidden="1" customWidth="1"/>
    <col min="11744" max="11744" width="9.5" hidden="1" customWidth="1"/>
    <col min="11745" max="11745" width="8.58203125" hidden="1" customWidth="1"/>
    <col min="11746" max="11746" width="11.08203125" hidden="1" customWidth="1"/>
    <col min="11747" max="11748" width="8.58203125" hidden="1" customWidth="1"/>
    <col min="11749" max="11749" width="9.08203125" hidden="1" customWidth="1"/>
    <col min="11750" max="11752" width="9.58203125" hidden="1" customWidth="1"/>
    <col min="11753" max="11753" width="8.58203125" hidden="1" customWidth="1"/>
    <col min="11754" max="11754" width="10.08203125" hidden="1" customWidth="1"/>
    <col min="11755" max="11756" width="8.58203125" hidden="1" customWidth="1"/>
    <col min="11757" max="11757" width="30.08203125" hidden="1" customWidth="1"/>
    <col min="11758" max="11758" width="2.58203125" hidden="1" customWidth="1"/>
    <col min="11759" max="11759" width="18.58203125" hidden="1" customWidth="1"/>
    <col min="11760" max="11760" width="1.58203125" hidden="1" customWidth="1"/>
    <col min="11761" max="11809" width="8.58203125" hidden="1" customWidth="1"/>
    <col min="11810" max="11958" width="8.58203125" hidden="1"/>
    <col min="11959" max="11959" width="0.58203125" hidden="1" customWidth="1"/>
    <col min="11960" max="11960" width="6.58203125" hidden="1" customWidth="1"/>
    <col min="11961" max="11961" width="50.08203125" hidden="1" customWidth="1"/>
    <col min="11962" max="11962" width="8.203125E-2" hidden="1" customWidth="1"/>
    <col min="11963" max="11964" width="8.58203125" hidden="1" customWidth="1"/>
    <col min="11965" max="11965" width="10.58203125" hidden="1" customWidth="1"/>
    <col min="11966" max="11966" width="10" hidden="1" customWidth="1"/>
    <col min="11967" max="11967" width="11.58203125" hidden="1" customWidth="1"/>
    <col min="11968" max="11970" width="10.58203125" hidden="1" customWidth="1"/>
    <col min="11971" max="11971" width="9.08203125" hidden="1" customWidth="1"/>
    <col min="11972" max="11973" width="9.58203125" hidden="1" customWidth="1"/>
    <col min="11974" max="11974" width="9.5" hidden="1" customWidth="1"/>
    <col min="11975" max="11975" width="9.58203125" hidden="1" customWidth="1"/>
    <col min="11976" max="11976" width="9.5" hidden="1" customWidth="1"/>
    <col min="11977" max="11977" width="8.58203125" hidden="1" customWidth="1"/>
    <col min="11978" max="11978" width="10.58203125" hidden="1" customWidth="1"/>
    <col min="11979" max="11980" width="8.58203125" hidden="1" customWidth="1"/>
    <col min="11981" max="11984" width="10.08203125" hidden="1" customWidth="1"/>
    <col min="11985" max="11985" width="8.58203125" hidden="1" customWidth="1"/>
    <col min="11986" max="11986" width="10.08203125" hidden="1" customWidth="1"/>
    <col min="11987" max="11988" width="8.58203125" hidden="1" customWidth="1"/>
    <col min="11989" max="11990" width="9.58203125" hidden="1" customWidth="1"/>
    <col min="11991" max="11991" width="10" hidden="1" customWidth="1"/>
    <col min="11992" max="11992" width="9.58203125" hidden="1" customWidth="1"/>
    <col min="11993" max="11993" width="8.58203125" hidden="1" customWidth="1"/>
    <col min="11994" max="11994" width="9.58203125" hidden="1" customWidth="1"/>
    <col min="11995" max="11996" width="8.58203125" hidden="1" customWidth="1"/>
    <col min="11997" max="11997" width="9.08203125" hidden="1" customWidth="1"/>
    <col min="11998" max="11998" width="9.5" hidden="1" customWidth="1"/>
    <col min="11999" max="11999" width="10.5" hidden="1" customWidth="1"/>
    <col min="12000" max="12000" width="9.5" hidden="1" customWidth="1"/>
    <col min="12001" max="12001" width="8.58203125" hidden="1" customWidth="1"/>
    <col min="12002" max="12002" width="11.08203125" hidden="1" customWidth="1"/>
    <col min="12003" max="12004" width="8.58203125" hidden="1" customWidth="1"/>
    <col min="12005" max="12005" width="9.08203125" hidden="1" customWidth="1"/>
    <col min="12006" max="12008" width="9.58203125" hidden="1" customWidth="1"/>
    <col min="12009" max="12009" width="8.58203125" hidden="1" customWidth="1"/>
    <col min="12010" max="12010" width="10.08203125" hidden="1" customWidth="1"/>
    <col min="12011" max="12012" width="8.58203125" hidden="1" customWidth="1"/>
    <col min="12013" max="12013" width="30.08203125" hidden="1" customWidth="1"/>
    <col min="12014" max="12014" width="2.58203125" hidden="1" customWidth="1"/>
    <col min="12015" max="12015" width="18.58203125" hidden="1" customWidth="1"/>
    <col min="12016" max="12016" width="1.58203125" hidden="1" customWidth="1"/>
    <col min="12017" max="12065" width="8.58203125" hidden="1" customWidth="1"/>
    <col min="12066" max="12214" width="8.58203125" hidden="1"/>
    <col min="12215" max="12215" width="0.58203125" hidden="1" customWidth="1"/>
    <col min="12216" max="12216" width="6.58203125" hidden="1" customWidth="1"/>
    <col min="12217" max="12217" width="50.08203125" hidden="1" customWidth="1"/>
    <col min="12218" max="12218" width="8.203125E-2" hidden="1" customWidth="1"/>
    <col min="12219" max="12220" width="8.58203125" hidden="1" customWidth="1"/>
    <col min="12221" max="12221" width="10.58203125" hidden="1" customWidth="1"/>
    <col min="12222" max="12222" width="10" hidden="1" customWidth="1"/>
    <col min="12223" max="12223" width="11.58203125" hidden="1" customWidth="1"/>
    <col min="12224" max="12226" width="10.58203125" hidden="1" customWidth="1"/>
    <col min="12227" max="12227" width="9.08203125" hidden="1" customWidth="1"/>
    <col min="12228" max="12229" width="9.58203125" hidden="1" customWidth="1"/>
    <col min="12230" max="12230" width="9.5" hidden="1" customWidth="1"/>
    <col min="12231" max="12231" width="9.58203125" hidden="1" customWidth="1"/>
    <col min="12232" max="12232" width="9.5" hidden="1" customWidth="1"/>
    <col min="12233" max="12233" width="8.58203125" hidden="1" customWidth="1"/>
    <col min="12234" max="12234" width="10.58203125" hidden="1" customWidth="1"/>
    <col min="12235" max="12236" width="8.58203125" hidden="1" customWidth="1"/>
    <col min="12237" max="12240" width="10.08203125" hidden="1" customWidth="1"/>
    <col min="12241" max="12241" width="8.58203125" hidden="1" customWidth="1"/>
    <col min="12242" max="12242" width="10.08203125" hidden="1" customWidth="1"/>
    <col min="12243" max="12244" width="8.58203125" hidden="1" customWidth="1"/>
    <col min="12245" max="12246" width="9.58203125" hidden="1" customWidth="1"/>
    <col min="12247" max="12247" width="10" hidden="1" customWidth="1"/>
    <col min="12248" max="12248" width="9.58203125" hidden="1" customWidth="1"/>
    <col min="12249" max="12249" width="8.58203125" hidden="1" customWidth="1"/>
    <col min="12250" max="12250" width="9.58203125" hidden="1" customWidth="1"/>
    <col min="12251" max="12252" width="8.58203125" hidden="1" customWidth="1"/>
    <col min="12253" max="12253" width="9.08203125" hidden="1" customWidth="1"/>
    <col min="12254" max="12254" width="9.5" hidden="1" customWidth="1"/>
    <col min="12255" max="12255" width="10.5" hidden="1" customWidth="1"/>
    <col min="12256" max="12256" width="9.5" hidden="1" customWidth="1"/>
    <col min="12257" max="12257" width="8.58203125" hidden="1" customWidth="1"/>
    <col min="12258" max="12258" width="11.08203125" hidden="1" customWidth="1"/>
    <col min="12259" max="12260" width="8.58203125" hidden="1" customWidth="1"/>
    <col min="12261" max="12261" width="9.08203125" hidden="1" customWidth="1"/>
    <col min="12262" max="12264" width="9.58203125" hidden="1" customWidth="1"/>
    <col min="12265" max="12265" width="8.58203125" hidden="1" customWidth="1"/>
    <col min="12266" max="12266" width="10.08203125" hidden="1" customWidth="1"/>
    <col min="12267" max="12268" width="8.58203125" hidden="1" customWidth="1"/>
    <col min="12269" max="12269" width="30.08203125" hidden="1" customWidth="1"/>
    <col min="12270" max="12270" width="2.58203125" hidden="1" customWidth="1"/>
    <col min="12271" max="12271" width="18.58203125" hidden="1" customWidth="1"/>
    <col min="12272" max="12272" width="1.58203125" hidden="1" customWidth="1"/>
    <col min="12273" max="12321" width="8.58203125" hidden="1" customWidth="1"/>
    <col min="12322" max="12470" width="8.58203125" hidden="1"/>
    <col min="12471" max="12471" width="0.58203125" hidden="1" customWidth="1"/>
    <col min="12472" max="12472" width="6.58203125" hidden="1" customWidth="1"/>
    <col min="12473" max="12473" width="50.08203125" hidden="1" customWidth="1"/>
    <col min="12474" max="12474" width="8.203125E-2" hidden="1" customWidth="1"/>
    <col min="12475" max="12476" width="8.58203125" hidden="1" customWidth="1"/>
    <col min="12477" max="12477" width="10.58203125" hidden="1" customWidth="1"/>
    <col min="12478" max="12478" width="10" hidden="1" customWidth="1"/>
    <col min="12479" max="12479" width="11.58203125" hidden="1" customWidth="1"/>
    <col min="12480" max="12482" width="10.58203125" hidden="1" customWidth="1"/>
    <col min="12483" max="12483" width="9.08203125" hidden="1" customWidth="1"/>
    <col min="12484" max="12485" width="9.58203125" hidden="1" customWidth="1"/>
    <col min="12486" max="12486" width="9.5" hidden="1" customWidth="1"/>
    <col min="12487" max="12487" width="9.58203125" hidden="1" customWidth="1"/>
    <col min="12488" max="12488" width="9.5" hidden="1" customWidth="1"/>
    <col min="12489" max="12489" width="8.58203125" hidden="1" customWidth="1"/>
    <col min="12490" max="12490" width="10.58203125" hidden="1" customWidth="1"/>
    <col min="12491" max="12492" width="8.58203125" hidden="1" customWidth="1"/>
    <col min="12493" max="12496" width="10.08203125" hidden="1" customWidth="1"/>
    <col min="12497" max="12497" width="8.58203125" hidden="1" customWidth="1"/>
    <col min="12498" max="12498" width="10.08203125" hidden="1" customWidth="1"/>
    <col min="12499" max="12500" width="8.58203125" hidden="1" customWidth="1"/>
    <col min="12501" max="12502" width="9.58203125" hidden="1" customWidth="1"/>
    <col min="12503" max="12503" width="10" hidden="1" customWidth="1"/>
    <col min="12504" max="12504" width="9.58203125" hidden="1" customWidth="1"/>
    <col min="12505" max="12505" width="8.58203125" hidden="1" customWidth="1"/>
    <col min="12506" max="12506" width="9.58203125" hidden="1" customWidth="1"/>
    <col min="12507" max="12508" width="8.58203125" hidden="1" customWidth="1"/>
    <col min="12509" max="12509" width="9.08203125" hidden="1" customWidth="1"/>
    <col min="12510" max="12510" width="9.5" hidden="1" customWidth="1"/>
    <col min="12511" max="12511" width="10.5" hidden="1" customWidth="1"/>
    <col min="12512" max="12512" width="9.5" hidden="1" customWidth="1"/>
    <col min="12513" max="12513" width="8.58203125" hidden="1" customWidth="1"/>
    <col min="12514" max="12514" width="11.08203125" hidden="1" customWidth="1"/>
    <col min="12515" max="12516" width="8.58203125" hidden="1" customWidth="1"/>
    <col min="12517" max="12517" width="9.08203125" hidden="1" customWidth="1"/>
    <col min="12518" max="12520" width="9.58203125" hidden="1" customWidth="1"/>
    <col min="12521" max="12521" width="8.58203125" hidden="1" customWidth="1"/>
    <col min="12522" max="12522" width="10.08203125" hidden="1" customWidth="1"/>
    <col min="12523" max="12524" width="8.58203125" hidden="1" customWidth="1"/>
    <col min="12525" max="12525" width="30.08203125" hidden="1" customWidth="1"/>
    <col min="12526" max="12526" width="2.58203125" hidden="1" customWidth="1"/>
    <col min="12527" max="12527" width="18.58203125" hidden="1" customWidth="1"/>
    <col min="12528" max="12528" width="1.58203125" hidden="1" customWidth="1"/>
    <col min="12529" max="12577" width="8.58203125" hidden="1" customWidth="1"/>
    <col min="12578" max="12726" width="8.58203125" hidden="1"/>
    <col min="12727" max="12727" width="0.58203125" hidden="1" customWidth="1"/>
    <col min="12728" max="12728" width="6.58203125" hidden="1" customWidth="1"/>
    <col min="12729" max="12729" width="50.08203125" hidden="1" customWidth="1"/>
    <col min="12730" max="12730" width="8.203125E-2" hidden="1" customWidth="1"/>
    <col min="12731" max="12732" width="8.58203125" hidden="1" customWidth="1"/>
    <col min="12733" max="12733" width="10.58203125" hidden="1" customWidth="1"/>
    <col min="12734" max="12734" width="10" hidden="1" customWidth="1"/>
    <col min="12735" max="12735" width="11.58203125" hidden="1" customWidth="1"/>
    <col min="12736" max="12738" width="10.58203125" hidden="1" customWidth="1"/>
    <col min="12739" max="12739" width="9.08203125" hidden="1" customWidth="1"/>
    <col min="12740" max="12741" width="9.58203125" hidden="1" customWidth="1"/>
    <col min="12742" max="12742" width="9.5" hidden="1" customWidth="1"/>
    <col min="12743" max="12743" width="9.58203125" hidden="1" customWidth="1"/>
    <col min="12744" max="12744" width="9.5" hidden="1" customWidth="1"/>
    <col min="12745" max="12745" width="8.58203125" hidden="1" customWidth="1"/>
    <col min="12746" max="12746" width="10.58203125" hidden="1" customWidth="1"/>
    <col min="12747" max="12748" width="8.58203125" hidden="1" customWidth="1"/>
    <col min="12749" max="12752" width="10.08203125" hidden="1" customWidth="1"/>
    <col min="12753" max="12753" width="8.58203125" hidden="1" customWidth="1"/>
    <col min="12754" max="12754" width="10.08203125" hidden="1" customWidth="1"/>
    <col min="12755" max="12756" width="8.58203125" hidden="1" customWidth="1"/>
    <col min="12757" max="12758" width="9.58203125" hidden="1" customWidth="1"/>
    <col min="12759" max="12759" width="10" hidden="1" customWidth="1"/>
    <col min="12760" max="12760" width="9.58203125" hidden="1" customWidth="1"/>
    <col min="12761" max="12761" width="8.58203125" hidden="1" customWidth="1"/>
    <col min="12762" max="12762" width="9.58203125" hidden="1" customWidth="1"/>
    <col min="12763" max="12764" width="8.58203125" hidden="1" customWidth="1"/>
    <col min="12765" max="12765" width="9.08203125" hidden="1" customWidth="1"/>
    <col min="12766" max="12766" width="9.5" hidden="1" customWidth="1"/>
    <col min="12767" max="12767" width="10.5" hidden="1" customWidth="1"/>
    <col min="12768" max="12768" width="9.5" hidden="1" customWidth="1"/>
    <col min="12769" max="12769" width="8.58203125" hidden="1" customWidth="1"/>
    <col min="12770" max="12770" width="11.08203125" hidden="1" customWidth="1"/>
    <col min="12771" max="12772" width="8.58203125" hidden="1" customWidth="1"/>
    <col min="12773" max="12773" width="9.08203125" hidden="1" customWidth="1"/>
    <col min="12774" max="12776" width="9.58203125" hidden="1" customWidth="1"/>
    <col min="12777" max="12777" width="8.58203125" hidden="1" customWidth="1"/>
    <col min="12778" max="12778" width="10.08203125" hidden="1" customWidth="1"/>
    <col min="12779" max="12780" width="8.58203125" hidden="1" customWidth="1"/>
    <col min="12781" max="12781" width="30.08203125" hidden="1" customWidth="1"/>
    <col min="12782" max="12782" width="2.58203125" hidden="1" customWidth="1"/>
    <col min="12783" max="12783" width="18.58203125" hidden="1" customWidth="1"/>
    <col min="12784" max="12784" width="1.58203125" hidden="1" customWidth="1"/>
    <col min="12785" max="12833" width="8.58203125" hidden="1" customWidth="1"/>
    <col min="12834" max="12982" width="8.58203125" hidden="1"/>
    <col min="12983" max="12983" width="0.58203125" hidden="1" customWidth="1"/>
    <col min="12984" max="12984" width="6.58203125" hidden="1" customWidth="1"/>
    <col min="12985" max="12985" width="50.08203125" hidden="1" customWidth="1"/>
    <col min="12986" max="12986" width="8.203125E-2" hidden="1" customWidth="1"/>
    <col min="12987" max="12988" width="8.58203125" hidden="1" customWidth="1"/>
    <col min="12989" max="12989" width="10.58203125" hidden="1" customWidth="1"/>
    <col min="12990" max="12990" width="10" hidden="1" customWidth="1"/>
    <col min="12991" max="12991" width="11.58203125" hidden="1" customWidth="1"/>
    <col min="12992" max="12994" width="10.58203125" hidden="1" customWidth="1"/>
    <col min="12995" max="12995" width="9.08203125" hidden="1" customWidth="1"/>
    <col min="12996" max="12997" width="9.58203125" hidden="1" customWidth="1"/>
    <col min="12998" max="12998" width="9.5" hidden="1" customWidth="1"/>
    <col min="12999" max="12999" width="9.58203125" hidden="1" customWidth="1"/>
    <col min="13000" max="13000" width="9.5" hidden="1" customWidth="1"/>
    <col min="13001" max="13001" width="8.58203125" hidden="1" customWidth="1"/>
    <col min="13002" max="13002" width="10.58203125" hidden="1" customWidth="1"/>
    <col min="13003" max="13004" width="8.58203125" hidden="1" customWidth="1"/>
    <col min="13005" max="13008" width="10.08203125" hidden="1" customWidth="1"/>
    <col min="13009" max="13009" width="8.58203125" hidden="1" customWidth="1"/>
    <col min="13010" max="13010" width="10.08203125" hidden="1" customWidth="1"/>
    <col min="13011" max="13012" width="8.58203125" hidden="1" customWidth="1"/>
    <col min="13013" max="13014" width="9.58203125" hidden="1" customWidth="1"/>
    <col min="13015" max="13015" width="10" hidden="1" customWidth="1"/>
    <col min="13016" max="13016" width="9.58203125" hidden="1" customWidth="1"/>
    <col min="13017" max="13017" width="8.58203125" hidden="1" customWidth="1"/>
    <col min="13018" max="13018" width="9.58203125" hidden="1" customWidth="1"/>
    <col min="13019" max="13020" width="8.58203125" hidden="1" customWidth="1"/>
    <col min="13021" max="13021" width="9.08203125" hidden="1" customWidth="1"/>
    <col min="13022" max="13022" width="9.5" hidden="1" customWidth="1"/>
    <col min="13023" max="13023" width="10.5" hidden="1" customWidth="1"/>
    <col min="13024" max="13024" width="9.5" hidden="1" customWidth="1"/>
    <col min="13025" max="13025" width="8.58203125" hidden="1" customWidth="1"/>
    <col min="13026" max="13026" width="11.08203125" hidden="1" customWidth="1"/>
    <col min="13027" max="13028" width="8.58203125" hidden="1" customWidth="1"/>
    <col min="13029" max="13029" width="9.08203125" hidden="1" customWidth="1"/>
    <col min="13030" max="13032" width="9.58203125" hidden="1" customWidth="1"/>
    <col min="13033" max="13033" width="8.58203125" hidden="1" customWidth="1"/>
    <col min="13034" max="13034" width="10.08203125" hidden="1" customWidth="1"/>
    <col min="13035" max="13036" width="8.58203125" hidden="1" customWidth="1"/>
    <col min="13037" max="13037" width="30.08203125" hidden="1" customWidth="1"/>
    <col min="13038" max="13038" width="2.58203125" hidden="1" customWidth="1"/>
    <col min="13039" max="13039" width="18.58203125" hidden="1" customWidth="1"/>
    <col min="13040" max="13040" width="1.58203125" hidden="1" customWidth="1"/>
    <col min="13041" max="13089" width="8.58203125" hidden="1" customWidth="1"/>
    <col min="13090" max="13238" width="8.58203125" hidden="1"/>
    <col min="13239" max="13239" width="0.58203125" hidden="1" customWidth="1"/>
    <col min="13240" max="13240" width="6.58203125" hidden="1" customWidth="1"/>
    <col min="13241" max="13241" width="50.08203125" hidden="1" customWidth="1"/>
    <col min="13242" max="13242" width="8.203125E-2" hidden="1" customWidth="1"/>
    <col min="13243" max="13244" width="8.58203125" hidden="1" customWidth="1"/>
    <col min="13245" max="13245" width="10.58203125" hidden="1" customWidth="1"/>
    <col min="13246" max="13246" width="10" hidden="1" customWidth="1"/>
    <col min="13247" max="13247" width="11.58203125" hidden="1" customWidth="1"/>
    <col min="13248" max="13250" width="10.58203125" hidden="1" customWidth="1"/>
    <col min="13251" max="13251" width="9.08203125" hidden="1" customWidth="1"/>
    <col min="13252" max="13253" width="9.58203125" hidden="1" customWidth="1"/>
    <col min="13254" max="13254" width="9.5" hidden="1" customWidth="1"/>
    <col min="13255" max="13255" width="9.58203125" hidden="1" customWidth="1"/>
    <col min="13256" max="13256" width="9.5" hidden="1" customWidth="1"/>
    <col min="13257" max="13257" width="8.58203125" hidden="1" customWidth="1"/>
    <col min="13258" max="13258" width="10.58203125" hidden="1" customWidth="1"/>
    <col min="13259" max="13260" width="8.58203125" hidden="1" customWidth="1"/>
    <col min="13261" max="13264" width="10.08203125" hidden="1" customWidth="1"/>
    <col min="13265" max="13265" width="8.58203125" hidden="1" customWidth="1"/>
    <col min="13266" max="13266" width="10.08203125" hidden="1" customWidth="1"/>
    <col min="13267" max="13268" width="8.58203125" hidden="1" customWidth="1"/>
    <col min="13269" max="13270" width="9.58203125" hidden="1" customWidth="1"/>
    <col min="13271" max="13271" width="10" hidden="1" customWidth="1"/>
    <col min="13272" max="13272" width="9.58203125" hidden="1" customWidth="1"/>
    <col min="13273" max="13273" width="8.58203125" hidden="1" customWidth="1"/>
    <col min="13274" max="13274" width="9.58203125" hidden="1" customWidth="1"/>
    <col min="13275" max="13276" width="8.58203125" hidden="1" customWidth="1"/>
    <col min="13277" max="13277" width="9.08203125" hidden="1" customWidth="1"/>
    <col min="13278" max="13278" width="9.5" hidden="1" customWidth="1"/>
    <col min="13279" max="13279" width="10.5" hidden="1" customWidth="1"/>
    <col min="13280" max="13280" width="9.5" hidden="1" customWidth="1"/>
    <col min="13281" max="13281" width="8.58203125" hidden="1" customWidth="1"/>
    <col min="13282" max="13282" width="11.08203125" hidden="1" customWidth="1"/>
    <col min="13283" max="13284" width="8.58203125" hidden="1" customWidth="1"/>
    <col min="13285" max="13285" width="9.08203125" hidden="1" customWidth="1"/>
    <col min="13286" max="13288" width="9.58203125" hidden="1" customWidth="1"/>
    <col min="13289" max="13289" width="8.58203125" hidden="1" customWidth="1"/>
    <col min="13290" max="13290" width="10.08203125" hidden="1" customWidth="1"/>
    <col min="13291" max="13292" width="8.58203125" hidden="1" customWidth="1"/>
    <col min="13293" max="13293" width="30.08203125" hidden="1" customWidth="1"/>
    <col min="13294" max="13294" width="2.58203125" hidden="1" customWidth="1"/>
    <col min="13295" max="13295" width="18.58203125" hidden="1" customWidth="1"/>
    <col min="13296" max="13296" width="1.58203125" hidden="1" customWidth="1"/>
    <col min="13297" max="13345" width="8.58203125" hidden="1" customWidth="1"/>
    <col min="13346" max="13494" width="8.58203125" hidden="1"/>
    <col min="13495" max="13495" width="0.58203125" hidden="1" customWidth="1"/>
    <col min="13496" max="13496" width="6.58203125" hidden="1" customWidth="1"/>
    <col min="13497" max="13497" width="50.08203125" hidden="1" customWidth="1"/>
    <col min="13498" max="13498" width="8.203125E-2" hidden="1" customWidth="1"/>
    <col min="13499" max="13500" width="8.58203125" hidden="1" customWidth="1"/>
    <col min="13501" max="13501" width="10.58203125" hidden="1" customWidth="1"/>
    <col min="13502" max="13502" width="10" hidden="1" customWidth="1"/>
    <col min="13503" max="13503" width="11.58203125" hidden="1" customWidth="1"/>
    <col min="13504" max="13506" width="10.58203125" hidden="1" customWidth="1"/>
    <col min="13507" max="13507" width="9.08203125" hidden="1" customWidth="1"/>
    <col min="13508" max="13509" width="9.58203125" hidden="1" customWidth="1"/>
    <col min="13510" max="13510" width="9.5" hidden="1" customWidth="1"/>
    <col min="13511" max="13511" width="9.58203125" hidden="1" customWidth="1"/>
    <col min="13512" max="13512" width="9.5" hidden="1" customWidth="1"/>
    <col min="13513" max="13513" width="8.58203125" hidden="1" customWidth="1"/>
    <col min="13514" max="13514" width="10.58203125" hidden="1" customWidth="1"/>
    <col min="13515" max="13516" width="8.58203125" hidden="1" customWidth="1"/>
    <col min="13517" max="13520" width="10.08203125" hidden="1" customWidth="1"/>
    <col min="13521" max="13521" width="8.58203125" hidden="1" customWidth="1"/>
    <col min="13522" max="13522" width="10.08203125" hidden="1" customWidth="1"/>
    <col min="13523" max="13524" width="8.58203125" hidden="1" customWidth="1"/>
    <col min="13525" max="13526" width="9.58203125" hidden="1" customWidth="1"/>
    <col min="13527" max="13527" width="10" hidden="1" customWidth="1"/>
    <col min="13528" max="13528" width="9.58203125" hidden="1" customWidth="1"/>
    <col min="13529" max="13529" width="8.58203125" hidden="1" customWidth="1"/>
    <col min="13530" max="13530" width="9.58203125" hidden="1" customWidth="1"/>
    <col min="13531" max="13532" width="8.58203125" hidden="1" customWidth="1"/>
    <col min="13533" max="13533" width="9.08203125" hidden="1" customWidth="1"/>
    <col min="13534" max="13534" width="9.5" hidden="1" customWidth="1"/>
    <col min="13535" max="13535" width="10.5" hidden="1" customWidth="1"/>
    <col min="13536" max="13536" width="9.5" hidden="1" customWidth="1"/>
    <col min="13537" max="13537" width="8.58203125" hidden="1" customWidth="1"/>
    <col min="13538" max="13538" width="11.08203125" hidden="1" customWidth="1"/>
    <col min="13539" max="13540" width="8.58203125" hidden="1" customWidth="1"/>
    <col min="13541" max="13541" width="9.08203125" hidden="1" customWidth="1"/>
    <col min="13542" max="13544" width="9.58203125" hidden="1" customWidth="1"/>
    <col min="13545" max="13545" width="8.58203125" hidden="1" customWidth="1"/>
    <col min="13546" max="13546" width="10.08203125" hidden="1" customWidth="1"/>
    <col min="13547" max="13548" width="8.58203125" hidden="1" customWidth="1"/>
    <col min="13549" max="13549" width="30.08203125" hidden="1" customWidth="1"/>
    <col min="13550" max="13550" width="2.58203125" hidden="1" customWidth="1"/>
    <col min="13551" max="13551" width="18.58203125" hidden="1" customWidth="1"/>
    <col min="13552" max="13552" width="1.58203125" hidden="1" customWidth="1"/>
    <col min="13553" max="13601" width="8.58203125" hidden="1" customWidth="1"/>
    <col min="13602" max="13750" width="8.58203125" hidden="1"/>
    <col min="13751" max="13751" width="0.58203125" hidden="1" customWidth="1"/>
    <col min="13752" max="13752" width="6.58203125" hidden="1" customWidth="1"/>
    <col min="13753" max="13753" width="50.08203125" hidden="1" customWidth="1"/>
    <col min="13754" max="13754" width="8.203125E-2" hidden="1" customWidth="1"/>
    <col min="13755" max="13756" width="8.58203125" hidden="1" customWidth="1"/>
    <col min="13757" max="13757" width="10.58203125" hidden="1" customWidth="1"/>
    <col min="13758" max="13758" width="10" hidden="1" customWidth="1"/>
    <col min="13759" max="13759" width="11.58203125" hidden="1" customWidth="1"/>
    <col min="13760" max="13762" width="10.58203125" hidden="1" customWidth="1"/>
    <col min="13763" max="13763" width="9.08203125" hidden="1" customWidth="1"/>
    <col min="13764" max="13765" width="9.58203125" hidden="1" customWidth="1"/>
    <col min="13766" max="13766" width="9.5" hidden="1" customWidth="1"/>
    <col min="13767" max="13767" width="9.58203125" hidden="1" customWidth="1"/>
    <col min="13768" max="13768" width="9.5" hidden="1" customWidth="1"/>
    <col min="13769" max="13769" width="8.58203125" hidden="1" customWidth="1"/>
    <col min="13770" max="13770" width="10.58203125" hidden="1" customWidth="1"/>
    <col min="13771" max="13772" width="8.58203125" hidden="1" customWidth="1"/>
    <col min="13773" max="13776" width="10.08203125" hidden="1" customWidth="1"/>
    <col min="13777" max="13777" width="8.58203125" hidden="1" customWidth="1"/>
    <col min="13778" max="13778" width="10.08203125" hidden="1" customWidth="1"/>
    <col min="13779" max="13780" width="8.58203125" hidden="1" customWidth="1"/>
    <col min="13781" max="13782" width="9.58203125" hidden="1" customWidth="1"/>
    <col min="13783" max="13783" width="10" hidden="1" customWidth="1"/>
    <col min="13784" max="13784" width="9.58203125" hidden="1" customWidth="1"/>
    <col min="13785" max="13785" width="8.58203125" hidden="1" customWidth="1"/>
    <col min="13786" max="13786" width="9.58203125" hidden="1" customWidth="1"/>
    <col min="13787" max="13788" width="8.58203125" hidden="1" customWidth="1"/>
    <col min="13789" max="13789" width="9.08203125" hidden="1" customWidth="1"/>
    <col min="13790" max="13790" width="9.5" hidden="1" customWidth="1"/>
    <col min="13791" max="13791" width="10.5" hidden="1" customWidth="1"/>
    <col min="13792" max="13792" width="9.5" hidden="1" customWidth="1"/>
    <col min="13793" max="13793" width="8.58203125" hidden="1" customWidth="1"/>
    <col min="13794" max="13794" width="11.08203125" hidden="1" customWidth="1"/>
    <col min="13795" max="13796" width="8.58203125" hidden="1" customWidth="1"/>
    <col min="13797" max="13797" width="9.08203125" hidden="1" customWidth="1"/>
    <col min="13798" max="13800" width="9.58203125" hidden="1" customWidth="1"/>
    <col min="13801" max="13801" width="8.58203125" hidden="1" customWidth="1"/>
    <col min="13802" max="13802" width="10.08203125" hidden="1" customWidth="1"/>
    <col min="13803" max="13804" width="8.58203125" hidden="1" customWidth="1"/>
    <col min="13805" max="13805" width="30.08203125" hidden="1" customWidth="1"/>
    <col min="13806" max="13806" width="2.58203125" hidden="1" customWidth="1"/>
    <col min="13807" max="13807" width="18.58203125" hidden="1" customWidth="1"/>
    <col min="13808" max="13808" width="1.58203125" hidden="1" customWidth="1"/>
    <col min="13809" max="13857" width="8.58203125" hidden="1" customWidth="1"/>
    <col min="13858" max="14006" width="8.58203125" hidden="1"/>
    <col min="14007" max="14007" width="0.58203125" hidden="1" customWidth="1"/>
    <col min="14008" max="14008" width="6.58203125" hidden="1" customWidth="1"/>
    <col min="14009" max="14009" width="50.08203125" hidden="1" customWidth="1"/>
    <col min="14010" max="14010" width="8.203125E-2" hidden="1" customWidth="1"/>
    <col min="14011" max="14012" width="8.58203125" hidden="1" customWidth="1"/>
    <col min="14013" max="14013" width="10.58203125" hidden="1" customWidth="1"/>
    <col min="14014" max="14014" width="10" hidden="1" customWidth="1"/>
    <col min="14015" max="14015" width="11.58203125" hidden="1" customWidth="1"/>
    <col min="14016" max="14018" width="10.58203125" hidden="1" customWidth="1"/>
    <col min="14019" max="14019" width="9.08203125" hidden="1" customWidth="1"/>
    <col min="14020" max="14021" width="9.58203125" hidden="1" customWidth="1"/>
    <col min="14022" max="14022" width="9.5" hidden="1" customWidth="1"/>
    <col min="14023" max="14023" width="9.58203125" hidden="1" customWidth="1"/>
    <col min="14024" max="14024" width="9.5" hidden="1" customWidth="1"/>
    <col min="14025" max="14025" width="8.58203125" hidden="1" customWidth="1"/>
    <col min="14026" max="14026" width="10.58203125" hidden="1" customWidth="1"/>
    <col min="14027" max="14028" width="8.58203125" hidden="1" customWidth="1"/>
    <col min="14029" max="14032" width="10.08203125" hidden="1" customWidth="1"/>
    <col min="14033" max="14033" width="8.58203125" hidden="1" customWidth="1"/>
    <col min="14034" max="14034" width="10.08203125" hidden="1" customWidth="1"/>
    <col min="14035" max="14036" width="8.58203125" hidden="1" customWidth="1"/>
    <col min="14037" max="14038" width="9.58203125" hidden="1" customWidth="1"/>
    <col min="14039" max="14039" width="10" hidden="1" customWidth="1"/>
    <col min="14040" max="14040" width="9.58203125" hidden="1" customWidth="1"/>
    <col min="14041" max="14041" width="8.58203125" hidden="1" customWidth="1"/>
    <col min="14042" max="14042" width="9.58203125" hidden="1" customWidth="1"/>
    <col min="14043" max="14044" width="8.58203125" hidden="1" customWidth="1"/>
    <col min="14045" max="14045" width="9.08203125" hidden="1" customWidth="1"/>
    <col min="14046" max="14046" width="9.5" hidden="1" customWidth="1"/>
    <col min="14047" max="14047" width="10.5" hidden="1" customWidth="1"/>
    <col min="14048" max="14048" width="9.5" hidden="1" customWidth="1"/>
    <col min="14049" max="14049" width="8.58203125" hidden="1" customWidth="1"/>
    <col min="14050" max="14050" width="11.08203125" hidden="1" customWidth="1"/>
    <col min="14051" max="14052" width="8.58203125" hidden="1" customWidth="1"/>
    <col min="14053" max="14053" width="9.08203125" hidden="1" customWidth="1"/>
    <col min="14054" max="14056" width="9.58203125" hidden="1" customWidth="1"/>
    <col min="14057" max="14057" width="8.58203125" hidden="1" customWidth="1"/>
    <col min="14058" max="14058" width="10.08203125" hidden="1" customWidth="1"/>
    <col min="14059" max="14060" width="8.58203125" hidden="1" customWidth="1"/>
    <col min="14061" max="14061" width="30.08203125" hidden="1" customWidth="1"/>
    <col min="14062" max="14062" width="2.58203125" hidden="1" customWidth="1"/>
    <col min="14063" max="14063" width="18.58203125" hidden="1" customWidth="1"/>
    <col min="14064" max="14064" width="1.58203125" hidden="1" customWidth="1"/>
    <col min="14065" max="14113" width="8.58203125" hidden="1" customWidth="1"/>
    <col min="14114" max="14262" width="8.58203125" hidden="1"/>
    <col min="14263" max="14263" width="0.58203125" hidden="1" customWidth="1"/>
    <col min="14264" max="14264" width="6.58203125" hidden="1" customWidth="1"/>
    <col min="14265" max="14265" width="50.08203125" hidden="1" customWidth="1"/>
    <col min="14266" max="14266" width="8.203125E-2" hidden="1" customWidth="1"/>
    <col min="14267" max="14268" width="8.58203125" hidden="1" customWidth="1"/>
    <col min="14269" max="14269" width="10.58203125" hidden="1" customWidth="1"/>
    <col min="14270" max="14270" width="10" hidden="1" customWidth="1"/>
    <col min="14271" max="14271" width="11.58203125" hidden="1" customWidth="1"/>
    <col min="14272" max="14274" width="10.58203125" hidden="1" customWidth="1"/>
    <col min="14275" max="14275" width="9.08203125" hidden="1" customWidth="1"/>
    <col min="14276" max="14277" width="9.58203125" hidden="1" customWidth="1"/>
    <col min="14278" max="14278" width="9.5" hidden="1" customWidth="1"/>
    <col min="14279" max="14279" width="9.58203125" hidden="1" customWidth="1"/>
    <col min="14280" max="14280" width="9.5" hidden="1" customWidth="1"/>
    <col min="14281" max="14281" width="8.58203125" hidden="1" customWidth="1"/>
    <col min="14282" max="14282" width="10.58203125" hidden="1" customWidth="1"/>
    <col min="14283" max="14284" width="8.58203125" hidden="1" customWidth="1"/>
    <col min="14285" max="14288" width="10.08203125" hidden="1" customWidth="1"/>
    <col min="14289" max="14289" width="8.58203125" hidden="1" customWidth="1"/>
    <col min="14290" max="14290" width="10.08203125" hidden="1" customWidth="1"/>
    <col min="14291" max="14292" width="8.58203125" hidden="1" customWidth="1"/>
    <col min="14293" max="14294" width="9.58203125" hidden="1" customWidth="1"/>
    <col min="14295" max="14295" width="10" hidden="1" customWidth="1"/>
    <col min="14296" max="14296" width="9.58203125" hidden="1" customWidth="1"/>
    <col min="14297" max="14297" width="8.58203125" hidden="1" customWidth="1"/>
    <col min="14298" max="14298" width="9.58203125" hidden="1" customWidth="1"/>
    <col min="14299" max="14300" width="8.58203125" hidden="1" customWidth="1"/>
    <col min="14301" max="14301" width="9.08203125" hidden="1" customWidth="1"/>
    <col min="14302" max="14302" width="9.5" hidden="1" customWidth="1"/>
    <col min="14303" max="14303" width="10.5" hidden="1" customWidth="1"/>
    <col min="14304" max="14304" width="9.5" hidden="1" customWidth="1"/>
    <col min="14305" max="14305" width="8.58203125" hidden="1" customWidth="1"/>
    <col min="14306" max="14306" width="11.08203125" hidden="1" customWidth="1"/>
    <col min="14307" max="14308" width="8.58203125" hidden="1" customWidth="1"/>
    <col min="14309" max="14309" width="9.08203125" hidden="1" customWidth="1"/>
    <col min="14310" max="14312" width="9.58203125" hidden="1" customWidth="1"/>
    <col min="14313" max="14313" width="8.58203125" hidden="1" customWidth="1"/>
    <col min="14314" max="14314" width="10.08203125" hidden="1" customWidth="1"/>
    <col min="14315" max="14316" width="8.58203125" hidden="1" customWidth="1"/>
    <col min="14317" max="14317" width="30.08203125" hidden="1" customWidth="1"/>
    <col min="14318" max="14318" width="2.58203125" hidden="1" customWidth="1"/>
    <col min="14319" max="14319" width="18.58203125" hidden="1" customWidth="1"/>
    <col min="14320" max="14320" width="1.58203125" hidden="1" customWidth="1"/>
    <col min="14321" max="14369" width="8.58203125" hidden="1" customWidth="1"/>
    <col min="14370" max="14518" width="8.58203125" hidden="1"/>
    <col min="14519" max="14519" width="0.58203125" hidden="1" customWidth="1"/>
    <col min="14520" max="14520" width="6.58203125" hidden="1" customWidth="1"/>
    <col min="14521" max="14521" width="50.08203125" hidden="1" customWidth="1"/>
    <col min="14522" max="14522" width="8.203125E-2" hidden="1" customWidth="1"/>
    <col min="14523" max="14524" width="8.58203125" hidden="1" customWidth="1"/>
    <col min="14525" max="14525" width="10.58203125" hidden="1" customWidth="1"/>
    <col min="14526" max="14526" width="10" hidden="1" customWidth="1"/>
    <col min="14527" max="14527" width="11.58203125" hidden="1" customWidth="1"/>
    <col min="14528" max="14530" width="10.58203125" hidden="1" customWidth="1"/>
    <col min="14531" max="14531" width="9.08203125" hidden="1" customWidth="1"/>
    <col min="14532" max="14533" width="9.58203125" hidden="1" customWidth="1"/>
    <col min="14534" max="14534" width="9.5" hidden="1" customWidth="1"/>
    <col min="14535" max="14535" width="9.58203125" hidden="1" customWidth="1"/>
    <col min="14536" max="14536" width="9.5" hidden="1" customWidth="1"/>
    <col min="14537" max="14537" width="8.58203125" hidden="1" customWidth="1"/>
    <col min="14538" max="14538" width="10.58203125" hidden="1" customWidth="1"/>
    <col min="14539" max="14540" width="8.58203125" hidden="1" customWidth="1"/>
    <col min="14541" max="14544" width="10.08203125" hidden="1" customWidth="1"/>
    <col min="14545" max="14545" width="8.58203125" hidden="1" customWidth="1"/>
    <col min="14546" max="14546" width="10.08203125" hidden="1" customWidth="1"/>
    <col min="14547" max="14548" width="8.58203125" hidden="1" customWidth="1"/>
    <col min="14549" max="14550" width="9.58203125" hidden="1" customWidth="1"/>
    <col min="14551" max="14551" width="10" hidden="1" customWidth="1"/>
    <col min="14552" max="14552" width="9.58203125" hidden="1" customWidth="1"/>
    <col min="14553" max="14553" width="8.58203125" hidden="1" customWidth="1"/>
    <col min="14554" max="14554" width="9.58203125" hidden="1" customWidth="1"/>
    <col min="14555" max="14556" width="8.58203125" hidden="1" customWidth="1"/>
    <col min="14557" max="14557" width="9.08203125" hidden="1" customWidth="1"/>
    <col min="14558" max="14558" width="9.5" hidden="1" customWidth="1"/>
    <col min="14559" max="14559" width="10.5" hidden="1" customWidth="1"/>
    <col min="14560" max="14560" width="9.5" hidden="1" customWidth="1"/>
    <col min="14561" max="14561" width="8.58203125" hidden="1" customWidth="1"/>
    <col min="14562" max="14562" width="11.08203125" hidden="1" customWidth="1"/>
    <col min="14563" max="14564" width="8.58203125" hidden="1" customWidth="1"/>
    <col min="14565" max="14565" width="9.08203125" hidden="1" customWidth="1"/>
    <col min="14566" max="14568" width="9.58203125" hidden="1" customWidth="1"/>
    <col min="14569" max="14569" width="8.58203125" hidden="1" customWidth="1"/>
    <col min="14570" max="14570" width="10.08203125" hidden="1" customWidth="1"/>
    <col min="14571" max="14572" width="8.58203125" hidden="1" customWidth="1"/>
    <col min="14573" max="14573" width="30.08203125" hidden="1" customWidth="1"/>
    <col min="14574" max="14574" width="2.58203125" hidden="1" customWidth="1"/>
    <col min="14575" max="14575" width="18.58203125" hidden="1" customWidth="1"/>
    <col min="14576" max="14576" width="1.58203125" hidden="1" customWidth="1"/>
    <col min="14577" max="14625" width="8.58203125" hidden="1" customWidth="1"/>
    <col min="14626" max="14774" width="8.58203125" hidden="1"/>
    <col min="14775" max="14775" width="0.58203125" hidden="1" customWidth="1"/>
    <col min="14776" max="14776" width="6.58203125" hidden="1" customWidth="1"/>
    <col min="14777" max="14777" width="50.08203125" hidden="1" customWidth="1"/>
    <col min="14778" max="14778" width="8.203125E-2" hidden="1" customWidth="1"/>
    <col min="14779" max="14780" width="8.58203125" hidden="1" customWidth="1"/>
    <col min="14781" max="14781" width="10.58203125" hidden="1" customWidth="1"/>
    <col min="14782" max="14782" width="10" hidden="1" customWidth="1"/>
    <col min="14783" max="14783" width="11.58203125" hidden="1" customWidth="1"/>
    <col min="14784" max="14786" width="10.58203125" hidden="1" customWidth="1"/>
    <col min="14787" max="14787" width="9.08203125" hidden="1" customWidth="1"/>
    <col min="14788" max="14789" width="9.58203125" hidden="1" customWidth="1"/>
    <col min="14790" max="14790" width="9.5" hidden="1" customWidth="1"/>
    <col min="14791" max="14791" width="9.58203125" hidden="1" customWidth="1"/>
    <col min="14792" max="14792" width="9.5" hidden="1" customWidth="1"/>
    <col min="14793" max="14793" width="8.58203125" hidden="1" customWidth="1"/>
    <col min="14794" max="14794" width="10.58203125" hidden="1" customWidth="1"/>
    <col min="14795" max="14796" width="8.58203125" hidden="1" customWidth="1"/>
    <col min="14797" max="14800" width="10.08203125" hidden="1" customWidth="1"/>
    <col min="14801" max="14801" width="8.58203125" hidden="1" customWidth="1"/>
    <col min="14802" max="14802" width="10.08203125" hidden="1" customWidth="1"/>
    <col min="14803" max="14804" width="8.58203125" hidden="1" customWidth="1"/>
    <col min="14805" max="14806" width="9.58203125" hidden="1" customWidth="1"/>
    <col min="14807" max="14807" width="10" hidden="1" customWidth="1"/>
    <col min="14808" max="14808" width="9.58203125" hidden="1" customWidth="1"/>
    <col min="14809" max="14809" width="8.58203125" hidden="1" customWidth="1"/>
    <col min="14810" max="14810" width="9.58203125" hidden="1" customWidth="1"/>
    <col min="14811" max="14812" width="8.58203125" hidden="1" customWidth="1"/>
    <col min="14813" max="14813" width="9.08203125" hidden="1" customWidth="1"/>
    <col min="14814" max="14814" width="9.5" hidden="1" customWidth="1"/>
    <col min="14815" max="14815" width="10.5" hidden="1" customWidth="1"/>
    <col min="14816" max="14816" width="9.5" hidden="1" customWidth="1"/>
    <col min="14817" max="14817" width="8.58203125" hidden="1" customWidth="1"/>
    <col min="14818" max="14818" width="11.08203125" hidden="1" customWidth="1"/>
    <col min="14819" max="14820" width="8.58203125" hidden="1" customWidth="1"/>
    <col min="14821" max="14821" width="9.08203125" hidden="1" customWidth="1"/>
    <col min="14822" max="14824" width="9.58203125" hidden="1" customWidth="1"/>
    <col min="14825" max="14825" width="8.58203125" hidden="1" customWidth="1"/>
    <col min="14826" max="14826" width="10.08203125" hidden="1" customWidth="1"/>
    <col min="14827" max="14828" width="8.58203125" hidden="1" customWidth="1"/>
    <col min="14829" max="14829" width="30.08203125" hidden="1" customWidth="1"/>
    <col min="14830" max="14830" width="2.58203125" hidden="1" customWidth="1"/>
    <col min="14831" max="14831" width="18.58203125" hidden="1" customWidth="1"/>
    <col min="14832" max="14832" width="1.58203125" hidden="1" customWidth="1"/>
    <col min="14833" max="14881" width="8.58203125" hidden="1" customWidth="1"/>
    <col min="14882" max="15030" width="8.58203125" hidden="1"/>
    <col min="15031" max="15031" width="0.58203125" hidden="1" customWidth="1"/>
    <col min="15032" max="15032" width="6.58203125" hidden="1" customWidth="1"/>
    <col min="15033" max="15033" width="50.08203125" hidden="1" customWidth="1"/>
    <col min="15034" max="15034" width="8.203125E-2" hidden="1" customWidth="1"/>
    <col min="15035" max="15036" width="8.58203125" hidden="1" customWidth="1"/>
    <col min="15037" max="15037" width="10.58203125" hidden="1" customWidth="1"/>
    <col min="15038" max="15038" width="10" hidden="1" customWidth="1"/>
    <col min="15039" max="15039" width="11.58203125" hidden="1" customWidth="1"/>
    <col min="15040" max="15042" width="10.58203125" hidden="1" customWidth="1"/>
    <col min="15043" max="15043" width="9.08203125" hidden="1" customWidth="1"/>
    <col min="15044" max="15045" width="9.58203125" hidden="1" customWidth="1"/>
    <col min="15046" max="15046" width="9.5" hidden="1" customWidth="1"/>
    <col min="15047" max="15047" width="9.58203125" hidden="1" customWidth="1"/>
    <col min="15048" max="15048" width="9.5" hidden="1" customWidth="1"/>
    <col min="15049" max="15049" width="8.58203125" hidden="1" customWidth="1"/>
    <col min="15050" max="15050" width="10.58203125" hidden="1" customWidth="1"/>
    <col min="15051" max="15052" width="8.58203125" hidden="1" customWidth="1"/>
    <col min="15053" max="15056" width="10.08203125" hidden="1" customWidth="1"/>
    <col min="15057" max="15057" width="8.58203125" hidden="1" customWidth="1"/>
    <col min="15058" max="15058" width="10.08203125" hidden="1" customWidth="1"/>
    <col min="15059" max="15060" width="8.58203125" hidden="1" customWidth="1"/>
    <col min="15061" max="15062" width="9.58203125" hidden="1" customWidth="1"/>
    <col min="15063" max="15063" width="10" hidden="1" customWidth="1"/>
    <col min="15064" max="15064" width="9.58203125" hidden="1" customWidth="1"/>
    <col min="15065" max="15065" width="8.58203125" hidden="1" customWidth="1"/>
    <col min="15066" max="15066" width="9.58203125" hidden="1" customWidth="1"/>
    <col min="15067" max="15068" width="8.58203125" hidden="1" customWidth="1"/>
    <col min="15069" max="15069" width="9.08203125" hidden="1" customWidth="1"/>
    <col min="15070" max="15070" width="9.5" hidden="1" customWidth="1"/>
    <col min="15071" max="15071" width="10.5" hidden="1" customWidth="1"/>
    <col min="15072" max="15072" width="9.5" hidden="1" customWidth="1"/>
    <col min="15073" max="15073" width="8.58203125" hidden="1" customWidth="1"/>
    <col min="15074" max="15074" width="11.08203125" hidden="1" customWidth="1"/>
    <col min="15075" max="15076" width="8.58203125" hidden="1" customWidth="1"/>
    <col min="15077" max="15077" width="9.08203125" hidden="1" customWidth="1"/>
    <col min="15078" max="15080" width="9.58203125" hidden="1" customWidth="1"/>
    <col min="15081" max="15081" width="8.58203125" hidden="1" customWidth="1"/>
    <col min="15082" max="15082" width="10.08203125" hidden="1" customWidth="1"/>
    <col min="15083" max="15084" width="8.58203125" hidden="1" customWidth="1"/>
    <col min="15085" max="15085" width="30.08203125" hidden="1" customWidth="1"/>
    <col min="15086" max="15086" width="2.58203125" hidden="1" customWidth="1"/>
    <col min="15087" max="15087" width="18.58203125" hidden="1" customWidth="1"/>
    <col min="15088" max="15088" width="1.58203125" hidden="1" customWidth="1"/>
    <col min="15089" max="15137" width="8.58203125" hidden="1" customWidth="1"/>
    <col min="15138" max="15286" width="8.58203125" hidden="1"/>
    <col min="15287" max="15287" width="0.58203125" hidden="1" customWidth="1"/>
    <col min="15288" max="15288" width="6.58203125" hidden="1" customWidth="1"/>
    <col min="15289" max="15289" width="50.08203125" hidden="1" customWidth="1"/>
    <col min="15290" max="15290" width="8.203125E-2" hidden="1" customWidth="1"/>
    <col min="15291" max="15292" width="8.58203125" hidden="1" customWidth="1"/>
    <col min="15293" max="15293" width="10.58203125" hidden="1" customWidth="1"/>
    <col min="15294" max="15294" width="10" hidden="1" customWidth="1"/>
    <col min="15295" max="15295" width="11.58203125" hidden="1" customWidth="1"/>
    <col min="15296" max="15298" width="10.58203125" hidden="1" customWidth="1"/>
    <col min="15299" max="15299" width="9.08203125" hidden="1" customWidth="1"/>
    <col min="15300" max="15301" width="9.58203125" hidden="1" customWidth="1"/>
    <col min="15302" max="15302" width="9.5" hidden="1" customWidth="1"/>
    <col min="15303" max="15303" width="9.58203125" hidden="1" customWidth="1"/>
    <col min="15304" max="15304" width="9.5" hidden="1" customWidth="1"/>
    <col min="15305" max="15305" width="8.58203125" hidden="1" customWidth="1"/>
    <col min="15306" max="15306" width="10.58203125" hidden="1" customWidth="1"/>
    <col min="15307" max="15308" width="8.58203125" hidden="1" customWidth="1"/>
    <col min="15309" max="15312" width="10.08203125" hidden="1" customWidth="1"/>
    <col min="15313" max="15313" width="8.58203125" hidden="1" customWidth="1"/>
    <col min="15314" max="15314" width="10.08203125" hidden="1" customWidth="1"/>
    <col min="15315" max="15316" width="8.58203125" hidden="1" customWidth="1"/>
    <col min="15317" max="15318" width="9.58203125" hidden="1" customWidth="1"/>
    <col min="15319" max="15319" width="10" hidden="1" customWidth="1"/>
    <col min="15320" max="15320" width="9.58203125" hidden="1" customWidth="1"/>
    <col min="15321" max="15321" width="8.58203125" hidden="1" customWidth="1"/>
    <col min="15322" max="15322" width="9.58203125" hidden="1" customWidth="1"/>
    <col min="15323" max="15324" width="8.58203125" hidden="1" customWidth="1"/>
    <col min="15325" max="15325" width="9.08203125" hidden="1" customWidth="1"/>
    <col min="15326" max="15326" width="9.5" hidden="1" customWidth="1"/>
    <col min="15327" max="15327" width="10.5" hidden="1" customWidth="1"/>
    <col min="15328" max="15328" width="9.5" hidden="1" customWidth="1"/>
    <col min="15329" max="15329" width="8.58203125" hidden="1" customWidth="1"/>
    <col min="15330" max="15330" width="11.08203125" hidden="1" customWidth="1"/>
    <col min="15331" max="15332" width="8.58203125" hidden="1" customWidth="1"/>
    <col min="15333" max="15333" width="9.08203125" hidden="1" customWidth="1"/>
    <col min="15334" max="15336" width="9.58203125" hidden="1" customWidth="1"/>
    <col min="15337" max="15337" width="8.58203125" hidden="1" customWidth="1"/>
    <col min="15338" max="15338" width="10.08203125" hidden="1" customWidth="1"/>
    <col min="15339" max="15340" width="8.58203125" hidden="1" customWidth="1"/>
    <col min="15341" max="15341" width="30.08203125" hidden="1" customWidth="1"/>
    <col min="15342" max="15342" width="2.58203125" hidden="1" customWidth="1"/>
    <col min="15343" max="15343" width="18.58203125" hidden="1" customWidth="1"/>
    <col min="15344" max="15344" width="1.58203125" hidden="1" customWidth="1"/>
    <col min="15345" max="15393" width="8.58203125" hidden="1" customWidth="1"/>
    <col min="15394" max="15542" width="8.58203125" hidden="1"/>
    <col min="15543" max="15543" width="0.58203125" hidden="1" customWidth="1"/>
    <col min="15544" max="15544" width="6.58203125" hidden="1" customWidth="1"/>
    <col min="15545" max="15545" width="50.08203125" hidden="1" customWidth="1"/>
    <col min="15546" max="15546" width="8.203125E-2" hidden="1" customWidth="1"/>
    <col min="15547" max="15548" width="8.58203125" hidden="1" customWidth="1"/>
    <col min="15549" max="15549" width="10.58203125" hidden="1" customWidth="1"/>
    <col min="15550" max="15550" width="10" hidden="1" customWidth="1"/>
    <col min="15551" max="15551" width="11.58203125" hidden="1" customWidth="1"/>
    <col min="15552" max="15554" width="10.58203125" hidden="1" customWidth="1"/>
    <col min="15555" max="15555" width="9.08203125" hidden="1" customWidth="1"/>
    <col min="15556" max="15557" width="9.58203125" hidden="1" customWidth="1"/>
    <col min="15558" max="15558" width="9.5" hidden="1" customWidth="1"/>
    <col min="15559" max="15559" width="9.58203125" hidden="1" customWidth="1"/>
    <col min="15560" max="15560" width="9.5" hidden="1" customWidth="1"/>
    <col min="15561" max="15561" width="8.58203125" hidden="1" customWidth="1"/>
    <col min="15562" max="15562" width="10.58203125" hidden="1" customWidth="1"/>
    <col min="15563" max="15564" width="8.58203125" hidden="1" customWidth="1"/>
    <col min="15565" max="15568" width="10.08203125" hidden="1" customWidth="1"/>
    <col min="15569" max="15569" width="8.58203125" hidden="1" customWidth="1"/>
    <col min="15570" max="15570" width="10.08203125" hidden="1" customWidth="1"/>
    <col min="15571" max="15572" width="8.58203125" hidden="1" customWidth="1"/>
    <col min="15573" max="15574" width="9.58203125" hidden="1" customWidth="1"/>
    <col min="15575" max="15575" width="10" hidden="1" customWidth="1"/>
    <col min="15576" max="15576" width="9.58203125" hidden="1" customWidth="1"/>
    <col min="15577" max="15577" width="8.58203125" hidden="1" customWidth="1"/>
    <col min="15578" max="15578" width="9.58203125" hidden="1" customWidth="1"/>
    <col min="15579" max="15580" width="8.58203125" hidden="1" customWidth="1"/>
    <col min="15581" max="15581" width="9.08203125" hidden="1" customWidth="1"/>
    <col min="15582" max="15582" width="9.5" hidden="1" customWidth="1"/>
    <col min="15583" max="15583" width="10.5" hidden="1" customWidth="1"/>
    <col min="15584" max="15584" width="9.5" hidden="1" customWidth="1"/>
    <col min="15585" max="15585" width="8.58203125" hidden="1" customWidth="1"/>
    <col min="15586" max="15586" width="11.08203125" hidden="1" customWidth="1"/>
    <col min="15587" max="15588" width="8.58203125" hidden="1" customWidth="1"/>
    <col min="15589" max="15589" width="9.08203125" hidden="1" customWidth="1"/>
    <col min="15590" max="15592" width="9.58203125" hidden="1" customWidth="1"/>
    <col min="15593" max="15593" width="8.58203125" hidden="1" customWidth="1"/>
    <col min="15594" max="15594" width="10.08203125" hidden="1" customWidth="1"/>
    <col min="15595" max="15596" width="8.58203125" hidden="1" customWidth="1"/>
    <col min="15597" max="15597" width="30.08203125" hidden="1" customWidth="1"/>
    <col min="15598" max="15598" width="2.58203125" hidden="1" customWidth="1"/>
    <col min="15599" max="15599" width="18.58203125" hidden="1" customWidth="1"/>
    <col min="15600" max="15600" width="1.58203125" hidden="1" customWidth="1"/>
    <col min="15601" max="15649" width="8.58203125" hidden="1" customWidth="1"/>
    <col min="15650" max="15798" width="8.58203125" hidden="1"/>
    <col min="15799" max="15799" width="0.58203125" hidden="1" customWidth="1"/>
    <col min="15800" max="15800" width="6.58203125" hidden="1" customWidth="1"/>
    <col min="15801" max="15801" width="50.08203125" hidden="1" customWidth="1"/>
    <col min="15802" max="15802" width="8.203125E-2" hidden="1" customWidth="1"/>
    <col min="15803" max="15804" width="8.58203125" hidden="1" customWidth="1"/>
    <col min="15805" max="15805" width="10.58203125" hidden="1" customWidth="1"/>
    <col min="15806" max="15806" width="10" hidden="1" customWidth="1"/>
    <col min="15807" max="15807" width="11.58203125" hidden="1" customWidth="1"/>
    <col min="15808" max="15810" width="10.58203125" hidden="1" customWidth="1"/>
    <col min="15811" max="15811" width="9.08203125" hidden="1" customWidth="1"/>
    <col min="15812" max="15813" width="9.58203125" hidden="1" customWidth="1"/>
    <col min="15814" max="15814" width="9.5" hidden="1" customWidth="1"/>
    <col min="15815" max="15815" width="9.58203125" hidden="1" customWidth="1"/>
    <col min="15816" max="15816" width="9.5" hidden="1" customWidth="1"/>
    <col min="15817" max="15817" width="8.58203125" hidden="1" customWidth="1"/>
    <col min="15818" max="15818" width="10.58203125" hidden="1" customWidth="1"/>
    <col min="15819" max="15820" width="8.58203125" hidden="1" customWidth="1"/>
    <col min="15821" max="15824" width="10.08203125" hidden="1" customWidth="1"/>
    <col min="15825" max="15825" width="8.58203125" hidden="1" customWidth="1"/>
    <col min="15826" max="15826" width="10.08203125" hidden="1" customWidth="1"/>
    <col min="15827" max="15828" width="8.58203125" hidden="1" customWidth="1"/>
    <col min="15829" max="15830" width="9.58203125" hidden="1" customWidth="1"/>
    <col min="15831" max="15831" width="10" hidden="1" customWidth="1"/>
    <col min="15832" max="15832" width="9.58203125" hidden="1" customWidth="1"/>
    <col min="15833" max="15833" width="8.58203125" hidden="1" customWidth="1"/>
    <col min="15834" max="15834" width="9.58203125" hidden="1" customWidth="1"/>
    <col min="15835" max="15836" width="8.58203125" hidden="1" customWidth="1"/>
    <col min="15837" max="15837" width="9.08203125" hidden="1" customWidth="1"/>
    <col min="15838" max="15838" width="9.5" hidden="1" customWidth="1"/>
    <col min="15839" max="15839" width="10.5" hidden="1" customWidth="1"/>
    <col min="15840" max="15840" width="9.5" hidden="1" customWidth="1"/>
    <col min="15841" max="15841" width="8.58203125" hidden="1" customWidth="1"/>
    <col min="15842" max="15842" width="11.08203125" hidden="1" customWidth="1"/>
    <col min="15843" max="15844" width="8.58203125" hidden="1" customWidth="1"/>
    <col min="15845" max="15845" width="9.08203125" hidden="1" customWidth="1"/>
    <col min="15846" max="15848" width="9.58203125" hidden="1" customWidth="1"/>
    <col min="15849" max="15849" width="8.58203125" hidden="1" customWidth="1"/>
    <col min="15850" max="15850" width="10.08203125" hidden="1" customWidth="1"/>
    <col min="15851" max="15852" width="8.58203125" hidden="1" customWidth="1"/>
    <col min="15853" max="15853" width="30.08203125" hidden="1" customWidth="1"/>
    <col min="15854" max="15854" width="2.58203125" hidden="1" customWidth="1"/>
    <col min="15855" max="15855" width="18.58203125" hidden="1" customWidth="1"/>
    <col min="15856" max="15856" width="1.58203125" hidden="1" customWidth="1"/>
    <col min="15857" max="15905" width="8.58203125" hidden="1" customWidth="1"/>
    <col min="15906" max="16054" width="8.58203125" hidden="1"/>
    <col min="16055" max="16055" width="0.58203125" hidden="1" customWidth="1"/>
    <col min="16056" max="16056" width="6.58203125" hidden="1" customWidth="1"/>
    <col min="16057" max="16057" width="50.08203125" hidden="1" customWidth="1"/>
    <col min="16058" max="16058" width="8.203125E-2" hidden="1" customWidth="1"/>
    <col min="16059" max="16060" width="8.58203125" hidden="1" customWidth="1"/>
    <col min="16061" max="16061" width="10.58203125" hidden="1" customWidth="1"/>
    <col min="16062" max="16062" width="10" hidden="1" customWidth="1"/>
    <col min="16063" max="16063" width="11.58203125" hidden="1" customWidth="1"/>
    <col min="16064" max="16066" width="10.58203125" hidden="1" customWidth="1"/>
    <col min="16067" max="16067" width="9.08203125" hidden="1" customWidth="1"/>
    <col min="16068" max="16069" width="9.58203125" hidden="1" customWidth="1"/>
    <col min="16070" max="16070" width="9.5" hidden="1" customWidth="1"/>
    <col min="16071" max="16071" width="9.58203125" hidden="1" customWidth="1"/>
    <col min="16072" max="16072" width="9.5" hidden="1" customWidth="1"/>
    <col min="16073" max="16073" width="8.58203125" hidden="1" customWidth="1"/>
    <col min="16074" max="16074" width="10.58203125" hidden="1" customWidth="1"/>
    <col min="16075" max="16076" width="8.58203125" hidden="1" customWidth="1"/>
    <col min="16077" max="16080" width="10.08203125" hidden="1" customWidth="1"/>
    <col min="16081" max="16081" width="8.58203125" hidden="1" customWidth="1"/>
    <col min="16082" max="16082" width="10.08203125" hidden="1" customWidth="1"/>
    <col min="16083" max="16084" width="8.58203125" hidden="1" customWidth="1"/>
    <col min="16085" max="16086" width="9.58203125" hidden="1" customWidth="1"/>
    <col min="16087" max="16087" width="10" hidden="1" customWidth="1"/>
    <col min="16088" max="16088" width="9.58203125" hidden="1" customWidth="1"/>
    <col min="16089" max="16089" width="8.58203125" hidden="1" customWidth="1"/>
    <col min="16090" max="16090" width="9.58203125" hidden="1" customWidth="1"/>
    <col min="16091" max="16092" width="8.58203125" hidden="1" customWidth="1"/>
    <col min="16093" max="16093" width="9.08203125" hidden="1" customWidth="1"/>
    <col min="16094" max="16094" width="9.5" hidden="1" customWidth="1"/>
    <col min="16095" max="16095" width="10.5" hidden="1" customWidth="1"/>
    <col min="16096" max="16096" width="9.5" hidden="1" customWidth="1"/>
    <col min="16097" max="16097" width="8.58203125" hidden="1" customWidth="1"/>
    <col min="16098" max="16098" width="11.08203125" hidden="1" customWidth="1"/>
    <col min="16099" max="16100" width="8.58203125" hidden="1" customWidth="1"/>
    <col min="16101" max="16101" width="9.08203125" hidden="1" customWidth="1"/>
    <col min="16102" max="16104" width="9.58203125" hidden="1" customWidth="1"/>
    <col min="16105" max="16105" width="8.58203125" hidden="1" customWidth="1"/>
    <col min="16106" max="16106" width="10.08203125" hidden="1" customWidth="1"/>
    <col min="16107" max="16108" width="8.58203125" hidden="1" customWidth="1"/>
    <col min="16109" max="16109" width="30.08203125" hidden="1" customWidth="1"/>
    <col min="16110" max="16110" width="2.58203125" hidden="1" customWidth="1"/>
    <col min="16111" max="16111" width="18.58203125" hidden="1" customWidth="1"/>
    <col min="16112" max="16112" width="1.58203125" hidden="1" customWidth="1"/>
    <col min="16113" max="16161" width="0" hidden="1" customWidth="1"/>
    <col min="16190" max="16384" width="8.58203125" hidden="1"/>
  </cols>
  <sheetData>
    <row r="1" spans="1:48" ht="20">
      <c r="A1" s="1882"/>
      <c r="B1" s="67" t="s">
        <v>7873</v>
      </c>
      <c r="C1" s="66"/>
      <c r="D1" s="66"/>
      <c r="E1" s="66"/>
      <c r="F1" s="66"/>
      <c r="G1" s="66"/>
      <c r="H1" s="66"/>
      <c r="I1" s="66"/>
      <c r="J1" s="66"/>
      <c r="K1" s="66"/>
      <c r="L1" s="66"/>
      <c r="M1" s="66"/>
      <c r="N1" s="66"/>
      <c r="O1" s="66" t="str">
        <f>Validation!B3</f>
        <v>Bristol Water</v>
      </c>
      <c r="P1" s="66"/>
      <c r="Q1" s="67" t="s">
        <v>32</v>
      </c>
      <c r="R1" s="1882"/>
      <c r="T1" s="1882"/>
      <c r="U1" s="1882"/>
      <c r="V1" s="1882"/>
      <c r="W1" s="1882"/>
      <c r="X1" s="1882"/>
      <c r="Z1" s="1882"/>
      <c r="AB1" s="1882"/>
      <c r="AD1" s="1882"/>
      <c r="AE1" s="1882"/>
      <c r="AF1" s="1882"/>
      <c r="AH1" s="1882"/>
      <c r="AI1" s="67" t="s">
        <v>7873</v>
      </c>
      <c r="AJ1" s="66"/>
      <c r="AK1" s="66"/>
      <c r="AL1" s="66"/>
      <c r="AM1" s="66"/>
      <c r="AN1" s="66"/>
      <c r="AO1" s="66"/>
      <c r="AP1" s="66"/>
      <c r="AQ1" s="66"/>
      <c r="AR1" s="66"/>
      <c r="AS1" s="66"/>
      <c r="AT1" s="66"/>
      <c r="AU1" s="66"/>
      <c r="AV1" s="1882"/>
    </row>
    <row r="2" spans="1:48" ht="14.5" thickBot="1">
      <c r="A2" s="1882"/>
      <c r="B2" s="73" t="str">
        <f>'4U'!B2</f>
        <v>For the 12 months ended 31 March 2020</v>
      </c>
      <c r="C2" s="1882"/>
      <c r="D2" s="1882"/>
      <c r="E2" s="1882"/>
      <c r="F2" s="1882"/>
      <c r="G2" s="1882"/>
      <c r="H2" s="1882"/>
      <c r="I2" s="1882"/>
      <c r="J2" s="1882"/>
      <c r="K2" s="1882"/>
      <c r="L2" s="1882"/>
      <c r="N2" s="1882"/>
      <c r="O2" s="1882"/>
      <c r="P2" s="1882"/>
      <c r="Q2" s="1882"/>
      <c r="R2" s="1882"/>
      <c r="T2" s="1882"/>
      <c r="U2" s="1882"/>
      <c r="V2" s="1882"/>
      <c r="W2" s="1882"/>
      <c r="X2" s="1882"/>
      <c r="Z2" s="1882"/>
      <c r="AB2" s="1882"/>
      <c r="AD2" s="1882"/>
      <c r="AE2" s="1882"/>
      <c r="AF2" s="1882"/>
      <c r="AH2" s="1882"/>
      <c r="AI2" s="73" t="str">
        <f>+B2</f>
        <v>For the 12 months ended 31 March 2020</v>
      </c>
      <c r="AJ2" s="1882"/>
      <c r="AK2" s="1882"/>
      <c r="AL2" s="1882"/>
      <c r="AM2" s="1882"/>
      <c r="AN2" s="1882"/>
      <c r="AO2" s="1882"/>
      <c r="AP2" s="1882"/>
      <c r="AQ2" s="1882"/>
      <c r="AR2" s="1882"/>
      <c r="AS2" s="1882"/>
      <c r="AU2" s="1882"/>
      <c r="AV2" s="1882"/>
    </row>
    <row r="3" spans="1:48" ht="70.5" customHeight="1" thickBot="1">
      <c r="A3" s="1293"/>
      <c r="B3" s="1021" t="s">
        <v>191</v>
      </c>
      <c r="C3" s="968" t="s">
        <v>3980</v>
      </c>
      <c r="D3" s="969" t="s">
        <v>2462</v>
      </c>
      <c r="E3" s="969" t="s">
        <v>2308</v>
      </c>
      <c r="F3" s="1292" t="s">
        <v>37</v>
      </c>
      <c r="G3" s="186" t="s">
        <v>7874</v>
      </c>
      <c r="H3" s="361" t="s">
        <v>7875</v>
      </c>
      <c r="I3" s="1455" t="s">
        <v>7876</v>
      </c>
      <c r="J3" s="361" t="s">
        <v>7877</v>
      </c>
      <c r="K3" s="361" t="s">
        <v>7878</v>
      </c>
      <c r="L3" s="361" t="s">
        <v>7879</v>
      </c>
      <c r="M3" s="361" t="s">
        <v>29</v>
      </c>
      <c r="N3" s="187" t="s">
        <v>708</v>
      </c>
      <c r="O3" s="2824" t="s">
        <v>3638</v>
      </c>
      <c r="P3" s="70"/>
      <c r="Q3" s="2824" t="s">
        <v>41</v>
      </c>
      <c r="R3" s="1293"/>
      <c r="T3" s="76" t="s">
        <v>45</v>
      </c>
      <c r="U3" s="1680"/>
      <c r="V3" s="1680"/>
      <c r="W3" s="1680"/>
      <c r="X3" s="682"/>
      <c r="Y3" s="682"/>
      <c r="Z3" s="682"/>
      <c r="AB3" s="2822" t="s">
        <v>24</v>
      </c>
      <c r="AC3" s="71"/>
      <c r="AD3" s="76" t="s">
        <v>902</v>
      </c>
      <c r="AE3" s="2822"/>
      <c r="AF3" s="2822"/>
      <c r="AG3" s="71"/>
      <c r="AH3" s="1882"/>
      <c r="AI3" s="2863" t="s">
        <v>191</v>
      </c>
      <c r="AJ3" s="967" t="s">
        <v>3980</v>
      </c>
      <c r="AK3" s="969" t="s">
        <v>2462</v>
      </c>
      <c r="AL3" s="969" t="s">
        <v>2308</v>
      </c>
      <c r="AM3" s="1292" t="s">
        <v>37</v>
      </c>
      <c r="AN3" s="186" t="s">
        <v>7874</v>
      </c>
      <c r="AO3" s="361" t="s">
        <v>7875</v>
      </c>
      <c r="AP3" s="1455" t="s">
        <v>7876</v>
      </c>
      <c r="AQ3" s="361" t="s">
        <v>7877</v>
      </c>
      <c r="AR3" s="361" t="s">
        <v>7878</v>
      </c>
      <c r="AS3" s="361" t="s">
        <v>7879</v>
      </c>
      <c r="AT3" s="361" t="s">
        <v>29</v>
      </c>
      <c r="AU3" s="187" t="s">
        <v>708</v>
      </c>
      <c r="AV3" s="1882"/>
    </row>
    <row r="4" spans="1:48" ht="14.5" thickBot="1">
      <c r="A4" s="1293"/>
      <c r="B4" s="1294"/>
      <c r="C4" s="1293"/>
      <c r="D4" s="1293"/>
      <c r="E4" s="1293"/>
      <c r="F4" s="1293"/>
      <c r="G4" s="1293"/>
      <c r="H4" s="1293"/>
      <c r="I4" s="1293"/>
      <c r="J4" s="1293"/>
      <c r="K4" s="1293"/>
      <c r="L4" s="647"/>
      <c r="M4" s="647"/>
      <c r="N4" s="1293"/>
      <c r="O4" s="1295"/>
      <c r="P4" s="604"/>
      <c r="Q4" s="1882"/>
      <c r="R4" s="1293"/>
      <c r="S4" s="1636"/>
      <c r="T4" s="164" t="s">
        <v>46</v>
      </c>
      <c r="U4" s="1293"/>
      <c r="V4" s="1293"/>
      <c r="W4" s="1293"/>
      <c r="X4" s="1882"/>
      <c r="Z4" s="1882"/>
      <c r="AB4" s="1882"/>
      <c r="AD4" s="1882"/>
      <c r="AE4" s="1882"/>
      <c r="AF4" s="1882"/>
      <c r="AH4" s="1882"/>
      <c r="AI4" s="1294"/>
      <c r="AJ4" s="1293"/>
      <c r="AK4" s="1293"/>
      <c r="AL4" s="1293"/>
      <c r="AM4" s="1293"/>
      <c r="AN4" s="2306" t="s">
        <v>2441</v>
      </c>
      <c r="AO4" s="2306" t="s">
        <v>7880</v>
      </c>
      <c r="AP4" s="2306" t="s">
        <v>7881</v>
      </c>
      <c r="AQ4" s="2306" t="s">
        <v>2440</v>
      </c>
      <c r="AR4" s="2306" t="s">
        <v>2439</v>
      </c>
      <c r="AS4" s="2307" t="s">
        <v>7882</v>
      </c>
      <c r="AT4" s="2307" t="s">
        <v>7883</v>
      </c>
      <c r="AU4" s="2306" t="s">
        <v>7884</v>
      </c>
      <c r="AV4" s="1882"/>
    </row>
    <row r="5" spans="1:48" ht="14.5" thickBot="1">
      <c r="A5" s="1293"/>
      <c r="B5" s="3464" t="s">
        <v>905</v>
      </c>
      <c r="C5" s="3465"/>
      <c r="D5" s="1293"/>
      <c r="E5" s="1293"/>
      <c r="F5" s="1293"/>
      <c r="G5" s="1293"/>
      <c r="H5" s="1293"/>
      <c r="I5" s="1293"/>
      <c r="J5" s="1293"/>
      <c r="K5" s="1293"/>
      <c r="L5" s="647"/>
      <c r="M5" s="647"/>
      <c r="N5" s="1293"/>
      <c r="O5" s="1295"/>
      <c r="P5" s="604"/>
      <c r="Q5" s="1882"/>
      <c r="R5" s="1293"/>
      <c r="S5" s="1636"/>
      <c r="T5" s="1293"/>
      <c r="U5" s="1293"/>
      <c r="V5" s="1293"/>
      <c r="W5" s="1293"/>
      <c r="X5" s="1882"/>
      <c r="Z5" s="1882"/>
      <c r="AB5" s="1882"/>
      <c r="AD5" s="1882"/>
      <c r="AE5" s="1882"/>
      <c r="AF5" s="1882"/>
      <c r="AH5" s="1882"/>
      <c r="AI5" s="3243" t="s">
        <v>905</v>
      </c>
      <c r="AJ5" s="3463"/>
      <c r="AK5" s="1293"/>
      <c r="AL5" s="1293"/>
      <c r="AM5" s="1293"/>
      <c r="AN5" s="1293"/>
      <c r="AO5" s="1293"/>
      <c r="AP5" s="1293"/>
      <c r="AQ5" s="1293"/>
      <c r="AR5" s="1293"/>
      <c r="AS5" s="647"/>
      <c r="AT5" s="647"/>
      <c r="AU5" s="1293"/>
      <c r="AV5" s="1882"/>
    </row>
    <row r="6" spans="1:48" ht="15" thickBot="1">
      <c r="A6" s="1882"/>
      <c r="B6" s="1674" t="s">
        <v>153</v>
      </c>
      <c r="C6" s="1675" t="s">
        <v>7885</v>
      </c>
      <c r="D6" s="1882"/>
      <c r="E6" s="1882"/>
      <c r="F6" s="1882"/>
      <c r="G6" s="1882"/>
      <c r="H6" s="1882"/>
      <c r="I6" s="1882"/>
      <c r="J6" s="1882"/>
      <c r="K6" s="1882"/>
      <c r="L6" s="1882"/>
      <c r="N6" s="1882"/>
      <c r="O6" s="1882"/>
      <c r="P6" s="1882"/>
      <c r="Q6" s="1882"/>
      <c r="R6" s="1882"/>
      <c r="T6" s="1882"/>
      <c r="U6" s="1882"/>
      <c r="V6" s="1882"/>
      <c r="W6" s="1882"/>
      <c r="X6" s="1882"/>
      <c r="Z6" s="1882"/>
      <c r="AB6" s="1882"/>
      <c r="AD6" s="1882"/>
      <c r="AE6" s="1882"/>
      <c r="AF6" s="1882"/>
      <c r="AH6" s="1882"/>
      <c r="AI6" s="2863" t="s">
        <v>153</v>
      </c>
      <c r="AJ6" s="1031" t="s">
        <v>7885</v>
      </c>
      <c r="AK6" s="1882"/>
      <c r="AL6" s="1882"/>
      <c r="AM6" s="1882"/>
      <c r="AN6" s="1882"/>
      <c r="AO6" s="1882"/>
      <c r="AP6" s="1882"/>
      <c r="AQ6" s="1882"/>
      <c r="AR6" s="1882"/>
      <c r="AS6" s="1882"/>
      <c r="AU6" s="1882"/>
      <c r="AV6" s="1882"/>
    </row>
    <row r="7" spans="1:48" ht="16">
      <c r="A7" s="1882"/>
      <c r="B7" s="1681" t="s">
        <v>7886</v>
      </c>
      <c r="C7" s="1684" t="s">
        <v>1040</v>
      </c>
      <c r="D7" s="2196" t="s">
        <v>7887</v>
      </c>
      <c r="E7" s="1689" t="s">
        <v>49</v>
      </c>
      <c r="F7" s="1690">
        <v>3</v>
      </c>
      <c r="G7" s="1301">
        <v>0.94399999999999995</v>
      </c>
      <c r="H7" s="1302">
        <v>0.45700000000000002</v>
      </c>
      <c r="I7" s="1302">
        <v>0</v>
      </c>
      <c r="J7" s="1302">
        <v>0.28399999999999997</v>
      </c>
      <c r="K7" s="1303">
        <v>0</v>
      </c>
      <c r="L7" s="1303">
        <v>0</v>
      </c>
      <c r="M7" s="1303">
        <v>0</v>
      </c>
      <c r="N7" s="2140">
        <f>SUM(G7:M7)</f>
        <v>1.6850000000000001</v>
      </c>
      <c r="O7" s="1749"/>
      <c r="P7" s="1882"/>
      <c r="Q7" s="24">
        <f xml:space="preserve"> IF( SUM( S7:AA7 ) = 0, 0, $T$4 )</f>
        <v>0</v>
      </c>
      <c r="R7" s="1161"/>
      <c r="S7" s="71"/>
      <c r="T7" s="93">
        <f t="shared" ref="T7:X8" si="0" xml:space="preserve"> IF( ISNUMBER( G7 ), 0, 1 )</f>
        <v>0</v>
      </c>
      <c r="U7" s="93">
        <f t="shared" si="0"/>
        <v>0</v>
      </c>
      <c r="V7" s="93">
        <f t="shared" si="0"/>
        <v>0</v>
      </c>
      <c r="W7" s="93">
        <f t="shared" si="0"/>
        <v>0</v>
      </c>
      <c r="X7" s="93">
        <f t="shared" si="0"/>
        <v>0</v>
      </c>
      <c r="Y7" s="93">
        <f t="shared" ref="Y7:Y10" si="1" xml:space="preserve"> IF( ISNUMBER( L7 ), 0, 1 )</f>
        <v>0</v>
      </c>
      <c r="Z7" s="93">
        <f t="shared" ref="Z7:Z10" si="2" xml:space="preserve"> IF( ISNUMBER( M7 ), 0, 1 )</f>
        <v>0</v>
      </c>
      <c r="AA7" s="71"/>
      <c r="AB7" s="1882"/>
      <c r="AD7" s="1882"/>
      <c r="AE7" s="1882"/>
      <c r="AF7" s="1882"/>
      <c r="AH7" s="1882"/>
      <c r="AI7" s="1296" t="s">
        <v>7886</v>
      </c>
      <c r="AJ7" s="1297" t="s">
        <v>1040</v>
      </c>
      <c r="AK7" s="2202" t="s">
        <v>7887</v>
      </c>
      <c r="AL7" s="1299" t="s">
        <v>49</v>
      </c>
      <c r="AM7" s="1300">
        <v>3</v>
      </c>
      <c r="AN7" s="1301" t="str">
        <f>$D7&amp;AN$4</f>
        <v>BM102IR</v>
      </c>
      <c r="AO7" s="1302" t="str">
        <f t="shared" ref="AO7:AU20" si="3">$D7&amp;AO$4</f>
        <v>BM102PS</v>
      </c>
      <c r="AP7" s="1302" t="str">
        <f t="shared" si="3"/>
        <v>BM102RS</v>
      </c>
      <c r="AQ7" s="1302" t="str">
        <f t="shared" si="3"/>
        <v>BM102BO</v>
      </c>
      <c r="AR7" s="1303" t="str">
        <f t="shared" si="3"/>
        <v>BM102AR</v>
      </c>
      <c r="AS7" s="1303" t="str">
        <f t="shared" si="3"/>
        <v>BM102ASR</v>
      </c>
      <c r="AT7" s="1303" t="str">
        <f t="shared" si="3"/>
        <v>BM102WROT</v>
      </c>
      <c r="AU7" s="1304" t="str">
        <f t="shared" si="3"/>
        <v>BM102WRTOT</v>
      </c>
      <c r="AV7" s="1882"/>
    </row>
    <row r="8" spans="1:48" ht="16">
      <c r="A8" s="1882"/>
      <c r="B8" s="1682" t="s">
        <v>7888</v>
      </c>
      <c r="C8" s="1685" t="s">
        <v>7889</v>
      </c>
      <c r="D8" s="2197" t="s">
        <v>7890</v>
      </c>
      <c r="E8" s="1691" t="s">
        <v>49</v>
      </c>
      <c r="F8" s="1692">
        <v>3</v>
      </c>
      <c r="G8" s="1310">
        <v>0</v>
      </c>
      <c r="H8" s="1311">
        <v>0</v>
      </c>
      <c r="I8" s="1311">
        <v>0</v>
      </c>
      <c r="J8" s="1311">
        <v>0</v>
      </c>
      <c r="K8" s="1312">
        <v>0</v>
      </c>
      <c r="L8" s="1312">
        <v>0</v>
      </c>
      <c r="M8" s="1312">
        <v>0</v>
      </c>
      <c r="N8" s="2142">
        <f t="shared" ref="N8:N16" si="4">SUM(G8:M8)</f>
        <v>0</v>
      </c>
      <c r="O8" s="1750"/>
      <c r="P8" s="1882"/>
      <c r="Q8" s="24">
        <f xml:space="preserve"> IF( SUM( S8:AA8 ) = 0, 0, $T$4 )</f>
        <v>0</v>
      </c>
      <c r="R8" s="1161"/>
      <c r="S8" s="71"/>
      <c r="T8" s="93">
        <f t="shared" si="0"/>
        <v>0</v>
      </c>
      <c r="U8" s="93">
        <f t="shared" si="0"/>
        <v>0</v>
      </c>
      <c r="V8" s="93">
        <f t="shared" si="0"/>
        <v>0</v>
      </c>
      <c r="W8" s="93">
        <f t="shared" si="0"/>
        <v>0</v>
      </c>
      <c r="X8" s="93">
        <f t="shared" si="0"/>
        <v>0</v>
      </c>
      <c r="Y8" s="93">
        <f t="shared" si="1"/>
        <v>0</v>
      </c>
      <c r="Z8" s="93">
        <f t="shared" si="2"/>
        <v>0</v>
      </c>
      <c r="AA8" s="71"/>
      <c r="AB8" s="1882"/>
      <c r="AD8" s="1882"/>
      <c r="AE8" s="1882"/>
      <c r="AF8" s="1882"/>
      <c r="AH8" s="1882"/>
      <c r="AI8" s="1305" t="s">
        <v>7888</v>
      </c>
      <c r="AJ8" s="1306" t="s">
        <v>7889</v>
      </c>
      <c r="AK8" s="2203" t="s">
        <v>7890</v>
      </c>
      <c r="AL8" s="1308" t="s">
        <v>49</v>
      </c>
      <c r="AM8" s="1309">
        <v>3</v>
      </c>
      <c r="AN8" s="1310" t="str">
        <f t="shared" ref="AN8:AN20" si="5">$D8&amp;AN$4</f>
        <v>BM836IR</v>
      </c>
      <c r="AO8" s="1311" t="str">
        <f t="shared" si="3"/>
        <v>BM836PS</v>
      </c>
      <c r="AP8" s="1311" t="str">
        <f t="shared" si="3"/>
        <v>BM836RS</v>
      </c>
      <c r="AQ8" s="1311" t="str">
        <f t="shared" si="3"/>
        <v>BM836BO</v>
      </c>
      <c r="AR8" s="1312" t="str">
        <f t="shared" si="3"/>
        <v>BM836AR</v>
      </c>
      <c r="AS8" s="1312" t="str">
        <f t="shared" si="3"/>
        <v>BM836ASR</v>
      </c>
      <c r="AT8" s="1312" t="str">
        <f t="shared" si="3"/>
        <v>BM836WROT</v>
      </c>
      <c r="AU8" s="1313" t="str">
        <f t="shared" si="3"/>
        <v>BM836WRTOT</v>
      </c>
      <c r="AV8" s="1882"/>
    </row>
    <row r="9" spans="1:48" s="1882" customFormat="1" ht="16">
      <c r="B9" s="1682" t="s">
        <v>7891</v>
      </c>
      <c r="C9" s="1686" t="s">
        <v>1056</v>
      </c>
      <c r="D9" s="2295" t="s">
        <v>7892</v>
      </c>
      <c r="E9" s="1693" t="s">
        <v>49</v>
      </c>
      <c r="F9" s="1692">
        <v>3</v>
      </c>
      <c r="G9" s="1310">
        <v>0.52400000000000002</v>
      </c>
      <c r="H9" s="1311">
        <v>1.6259999999999999</v>
      </c>
      <c r="I9" s="1311">
        <v>8.9999999999999993E-3</v>
      </c>
      <c r="J9" s="1311">
        <v>0.56100000000000005</v>
      </c>
      <c r="K9" s="1312">
        <v>0</v>
      </c>
      <c r="L9" s="1312">
        <v>0</v>
      </c>
      <c r="M9" s="1312">
        <v>0</v>
      </c>
      <c r="N9" s="2141">
        <f t="shared" si="4"/>
        <v>2.7199999999999998</v>
      </c>
      <c r="O9" s="1750"/>
      <c r="Q9" s="24">
        <f t="shared" ref="Q9:Q10" si="6" xml:space="preserve"> IF( SUM( S9:AA9 ) = 0, 0, $T$4 )</f>
        <v>0</v>
      </c>
      <c r="R9" s="1161"/>
      <c r="S9" s="71"/>
      <c r="T9" s="93">
        <f t="shared" ref="T9:T10" si="7" xml:space="preserve"> IF( ISNUMBER( G9 ), 0, 1 )</f>
        <v>0</v>
      </c>
      <c r="U9" s="93">
        <f t="shared" ref="U9:U10" si="8" xml:space="preserve"> IF( ISNUMBER( H9 ), 0, 1 )</f>
        <v>0</v>
      </c>
      <c r="V9" s="93">
        <f t="shared" ref="V9:V10" si="9" xml:space="preserve"> IF( ISNUMBER( I9 ), 0, 1 )</f>
        <v>0</v>
      </c>
      <c r="W9" s="93">
        <f t="shared" ref="W9:W10" si="10" xml:space="preserve"> IF( ISNUMBER( J9 ), 0, 1 )</f>
        <v>0</v>
      </c>
      <c r="X9" s="93">
        <f t="shared" ref="X9:X10" si="11" xml:space="preserve"> IF( ISNUMBER( K9 ), 0, 1 )</f>
        <v>0</v>
      </c>
      <c r="Y9" s="93">
        <f t="shared" si="1"/>
        <v>0</v>
      </c>
      <c r="Z9" s="93">
        <f t="shared" si="2"/>
        <v>0</v>
      </c>
      <c r="AA9" s="71"/>
      <c r="AC9" s="1635"/>
      <c r="AG9" s="1635"/>
      <c r="AI9" s="1682" t="s">
        <v>7891</v>
      </c>
      <c r="AJ9" s="1686" t="s">
        <v>1056</v>
      </c>
      <c r="AK9" s="2295" t="s">
        <v>7892</v>
      </c>
      <c r="AL9" s="1693" t="s">
        <v>49</v>
      </c>
      <c r="AM9" s="1692">
        <v>3</v>
      </c>
      <c r="AN9" s="1310" t="str">
        <f t="shared" si="5"/>
        <v>WS1003IR</v>
      </c>
      <c r="AO9" s="1311" t="str">
        <f t="shared" si="3"/>
        <v>WS1003PS</v>
      </c>
      <c r="AP9" s="1311" t="str">
        <f t="shared" si="3"/>
        <v>WS1003RS</v>
      </c>
      <c r="AQ9" s="1311" t="str">
        <f t="shared" si="3"/>
        <v>WS1003BO</v>
      </c>
      <c r="AR9" s="1312" t="str">
        <f t="shared" si="3"/>
        <v>WS1003AR</v>
      </c>
      <c r="AS9" s="1312" t="str">
        <f t="shared" si="3"/>
        <v>WS1003ASR</v>
      </c>
      <c r="AT9" s="1312" t="str">
        <f t="shared" si="3"/>
        <v>WS1003WROT</v>
      </c>
      <c r="AU9" s="1313" t="str">
        <f t="shared" si="3"/>
        <v>WS1003WRTOT</v>
      </c>
      <c r="AV9" s="1629"/>
    </row>
    <row r="10" spans="1:48" s="1882" customFormat="1" ht="16">
      <c r="B10" s="1682" t="s">
        <v>7893</v>
      </c>
      <c r="C10" s="1686" t="s">
        <v>2646</v>
      </c>
      <c r="D10" s="2295" t="s">
        <v>7894</v>
      </c>
      <c r="E10" s="1693" t="s">
        <v>49</v>
      </c>
      <c r="F10" s="1692">
        <v>3</v>
      </c>
      <c r="G10" s="1310">
        <v>2E-3</v>
      </c>
      <c r="H10" s="1311">
        <v>1.2E-2</v>
      </c>
      <c r="I10" s="1311">
        <v>0</v>
      </c>
      <c r="J10" s="1311">
        <v>2E-3</v>
      </c>
      <c r="K10" s="1312">
        <v>0</v>
      </c>
      <c r="L10" s="1312">
        <v>0</v>
      </c>
      <c r="M10" s="1312">
        <v>0</v>
      </c>
      <c r="N10" s="2144">
        <f t="shared" si="4"/>
        <v>1.6E-2</v>
      </c>
      <c r="O10" s="1750"/>
      <c r="Q10" s="24">
        <f t="shared" si="6"/>
        <v>0</v>
      </c>
      <c r="R10" s="1161"/>
      <c r="S10" s="71"/>
      <c r="T10" s="93">
        <f t="shared" si="7"/>
        <v>0</v>
      </c>
      <c r="U10" s="93">
        <f t="shared" si="8"/>
        <v>0</v>
      </c>
      <c r="V10" s="93">
        <f t="shared" si="9"/>
        <v>0</v>
      </c>
      <c r="W10" s="93">
        <f t="shared" si="10"/>
        <v>0</v>
      </c>
      <c r="X10" s="93">
        <f t="shared" si="11"/>
        <v>0</v>
      </c>
      <c r="Y10" s="93">
        <f t="shared" si="1"/>
        <v>0</v>
      </c>
      <c r="Z10" s="93">
        <f t="shared" si="2"/>
        <v>0</v>
      </c>
      <c r="AA10" s="71"/>
      <c r="AC10" s="1635"/>
      <c r="AG10" s="1635"/>
      <c r="AI10" s="1682" t="s">
        <v>7893</v>
      </c>
      <c r="AJ10" s="1686" t="s">
        <v>2646</v>
      </c>
      <c r="AK10" s="2295" t="s">
        <v>7895</v>
      </c>
      <c r="AL10" s="1693" t="s">
        <v>49</v>
      </c>
      <c r="AM10" s="1692">
        <v>3</v>
      </c>
      <c r="AN10" s="1310" t="str">
        <f t="shared" si="5"/>
        <v>BM240IR</v>
      </c>
      <c r="AO10" s="1311" t="str">
        <f t="shared" si="3"/>
        <v>BM240PS</v>
      </c>
      <c r="AP10" s="1311" t="str">
        <f t="shared" si="3"/>
        <v>BM240RS</v>
      </c>
      <c r="AQ10" s="1311" t="str">
        <f t="shared" si="3"/>
        <v>BM240BO</v>
      </c>
      <c r="AR10" s="1312" t="str">
        <f t="shared" si="3"/>
        <v>BM240AR</v>
      </c>
      <c r="AS10" s="1312" t="str">
        <f t="shared" si="3"/>
        <v>BM240ASR</v>
      </c>
      <c r="AT10" s="1312" t="str">
        <f t="shared" si="3"/>
        <v>BM240WROT</v>
      </c>
      <c r="AU10" s="1313" t="str">
        <f t="shared" si="3"/>
        <v>BM240WRTOT</v>
      </c>
      <c r="AV10" s="1629"/>
    </row>
    <row r="11" spans="1:48" s="1882" customFormat="1" ht="16">
      <c r="B11" s="2355"/>
      <c r="C11" s="2296" t="s">
        <v>1280</v>
      </c>
      <c r="D11" s="2356"/>
      <c r="E11" s="2357"/>
      <c r="F11" s="2358"/>
      <c r="G11" s="2359"/>
      <c r="H11" s="2360"/>
      <c r="I11" s="2360"/>
      <c r="J11" s="2360"/>
      <c r="K11" s="2361"/>
      <c r="L11" s="2361"/>
      <c r="M11" s="2361"/>
      <c r="N11" s="2145"/>
      <c r="O11" s="2362"/>
      <c r="P11" s="82"/>
      <c r="Q11" s="24"/>
      <c r="R11" s="2363"/>
      <c r="S11" s="71"/>
      <c r="T11" s="93"/>
      <c r="U11" s="93"/>
      <c r="V11" s="93"/>
      <c r="W11" s="93"/>
      <c r="X11" s="93"/>
      <c r="Y11" s="93"/>
      <c r="Z11" s="93"/>
      <c r="AA11" s="71"/>
      <c r="AB11" s="483"/>
      <c r="AC11" s="2364"/>
      <c r="AD11" s="483"/>
      <c r="AE11" s="483"/>
      <c r="AF11" s="483"/>
      <c r="AG11" s="2364"/>
      <c r="AH11" s="483"/>
      <c r="AI11" s="2355"/>
      <c r="AJ11" s="2296" t="s">
        <v>1280</v>
      </c>
      <c r="AK11" s="2356"/>
      <c r="AL11" s="2357"/>
      <c r="AM11" s="2358"/>
      <c r="AN11" s="2365"/>
      <c r="AO11" s="2365"/>
      <c r="AP11" s="2365"/>
      <c r="AQ11" s="2365"/>
      <c r="AR11" s="2365"/>
      <c r="AS11" s="2365"/>
      <c r="AT11" s="2365"/>
      <c r="AU11" s="2365"/>
      <c r="AV11" s="1979"/>
    </row>
    <row r="12" spans="1:48" s="1882" customFormat="1" ht="16">
      <c r="B12" s="1682" t="s">
        <v>7896</v>
      </c>
      <c r="C12" s="884" t="s">
        <v>3673</v>
      </c>
      <c r="D12" s="2295" t="s">
        <v>7897</v>
      </c>
      <c r="E12" s="1693" t="s">
        <v>49</v>
      </c>
      <c r="F12" s="1692">
        <v>3</v>
      </c>
      <c r="G12" s="1310">
        <v>8.2000000000000003E-2</v>
      </c>
      <c r="H12" s="1311">
        <v>0.03</v>
      </c>
      <c r="I12" s="1311">
        <v>0</v>
      </c>
      <c r="J12" s="1311">
        <v>6.0000000000000001E-3</v>
      </c>
      <c r="K12" s="1312">
        <v>0</v>
      </c>
      <c r="L12" s="1312">
        <v>0</v>
      </c>
      <c r="M12" s="1312">
        <v>0</v>
      </c>
      <c r="N12" s="2144">
        <f t="shared" si="4"/>
        <v>0.11800000000000001</v>
      </c>
      <c r="O12" s="1750"/>
      <c r="Q12" s="24">
        <f t="shared" ref="Q12:Q15" si="12" xml:space="preserve"> IF( SUM( S12:AA12 ) = 0, 0, $T$4 )</f>
        <v>0</v>
      </c>
      <c r="R12" s="1161"/>
      <c r="S12" s="71"/>
      <c r="T12" s="93">
        <f t="shared" ref="T12:T15" si="13" xml:space="preserve"> IF( ISNUMBER( G12 ), 0, 1 )</f>
        <v>0</v>
      </c>
      <c r="U12" s="93">
        <f t="shared" ref="U12:U15" si="14" xml:space="preserve"> IF( ISNUMBER( H12 ), 0, 1 )</f>
        <v>0</v>
      </c>
      <c r="V12" s="93">
        <f t="shared" ref="V12:V15" si="15" xml:space="preserve"> IF( ISNUMBER( I12 ), 0, 1 )</f>
        <v>0</v>
      </c>
      <c r="W12" s="93">
        <f t="shared" ref="W12:W15" si="16" xml:space="preserve"> IF( ISNUMBER( J12 ), 0, 1 )</f>
        <v>0</v>
      </c>
      <c r="X12" s="93">
        <f t="shared" ref="X12:X15" si="17" xml:space="preserve"> IF( ISNUMBER( K12 ), 0, 1 )</f>
        <v>0</v>
      </c>
      <c r="Y12" s="93">
        <f t="shared" ref="Y12:Y15" si="18" xml:space="preserve"> IF( ISNUMBER( L12 ), 0, 1 )</f>
        <v>0</v>
      </c>
      <c r="Z12" s="93">
        <f t="shared" ref="Z12:Z15" si="19" xml:space="preserve"> IF( ISNUMBER( M12 ), 0, 1 )</f>
        <v>0</v>
      </c>
      <c r="AA12" s="71"/>
      <c r="AC12" s="1635"/>
      <c r="AG12" s="1635"/>
      <c r="AI12" s="1682" t="s">
        <v>7896</v>
      </c>
      <c r="AJ12" s="884" t="s">
        <v>3673</v>
      </c>
      <c r="AK12" s="2295" t="s">
        <v>7897</v>
      </c>
      <c r="AL12" s="1693" t="s">
        <v>49</v>
      </c>
      <c r="AM12" s="1692">
        <v>3</v>
      </c>
      <c r="AN12" s="1310" t="str">
        <f t="shared" si="5"/>
        <v>WS1005IR</v>
      </c>
      <c r="AO12" s="1311" t="str">
        <f t="shared" si="3"/>
        <v>WS1005PS</v>
      </c>
      <c r="AP12" s="1311" t="str">
        <f t="shared" si="3"/>
        <v>WS1005RS</v>
      </c>
      <c r="AQ12" s="1311" t="str">
        <f t="shared" si="3"/>
        <v>WS1005BO</v>
      </c>
      <c r="AR12" s="1312" t="str">
        <f t="shared" si="3"/>
        <v>WS1005AR</v>
      </c>
      <c r="AS12" s="1312" t="str">
        <f t="shared" si="3"/>
        <v>WS1005ASR</v>
      </c>
      <c r="AT12" s="1312" t="str">
        <f t="shared" si="3"/>
        <v>WS1005WROT</v>
      </c>
      <c r="AU12" s="1313" t="str">
        <f t="shared" si="3"/>
        <v>WS1005WRTOT</v>
      </c>
      <c r="AV12" s="1629"/>
    </row>
    <row r="13" spans="1:48" s="1882" customFormat="1" ht="16">
      <c r="B13" s="1682" t="s">
        <v>7898</v>
      </c>
      <c r="C13" s="884" t="s">
        <v>3682</v>
      </c>
      <c r="D13" s="2295" t="s">
        <v>7899</v>
      </c>
      <c r="E13" s="1693" t="s">
        <v>49</v>
      </c>
      <c r="F13" s="1692">
        <v>3</v>
      </c>
      <c r="G13" s="1310">
        <v>0</v>
      </c>
      <c r="H13" s="1311">
        <v>0</v>
      </c>
      <c r="I13" s="1311">
        <v>0</v>
      </c>
      <c r="J13" s="1311">
        <v>0</v>
      </c>
      <c r="K13" s="1312">
        <v>0</v>
      </c>
      <c r="L13" s="1312">
        <v>0</v>
      </c>
      <c r="M13" s="1312">
        <v>0</v>
      </c>
      <c r="N13" s="2141">
        <f t="shared" si="4"/>
        <v>0</v>
      </c>
      <c r="O13" s="1750"/>
      <c r="Q13" s="24">
        <f t="shared" si="12"/>
        <v>0</v>
      </c>
      <c r="R13" s="1161"/>
      <c r="S13" s="71"/>
      <c r="T13" s="93">
        <f t="shared" si="13"/>
        <v>0</v>
      </c>
      <c r="U13" s="93">
        <f t="shared" si="14"/>
        <v>0</v>
      </c>
      <c r="V13" s="93">
        <f t="shared" si="15"/>
        <v>0</v>
      </c>
      <c r="W13" s="93">
        <f t="shared" si="16"/>
        <v>0</v>
      </c>
      <c r="X13" s="93">
        <f t="shared" si="17"/>
        <v>0</v>
      </c>
      <c r="Y13" s="93">
        <f t="shared" si="18"/>
        <v>0</v>
      </c>
      <c r="Z13" s="93">
        <f t="shared" si="19"/>
        <v>0</v>
      </c>
      <c r="AA13" s="71"/>
      <c r="AC13" s="1635"/>
      <c r="AG13" s="1635"/>
      <c r="AI13" s="1682" t="s">
        <v>7898</v>
      </c>
      <c r="AJ13" s="884" t="s">
        <v>3682</v>
      </c>
      <c r="AK13" s="2295" t="s">
        <v>7899</v>
      </c>
      <c r="AL13" s="1693" t="s">
        <v>49</v>
      </c>
      <c r="AM13" s="1692">
        <v>3</v>
      </c>
      <c r="AN13" s="1310" t="str">
        <f t="shared" si="5"/>
        <v>WS1006IR</v>
      </c>
      <c r="AO13" s="1311" t="str">
        <f t="shared" si="3"/>
        <v>WS1006PS</v>
      </c>
      <c r="AP13" s="1311" t="str">
        <f t="shared" si="3"/>
        <v>WS1006RS</v>
      </c>
      <c r="AQ13" s="1311" t="str">
        <f t="shared" si="3"/>
        <v>WS1006BO</v>
      </c>
      <c r="AR13" s="1312" t="str">
        <f t="shared" si="3"/>
        <v>WS1006AR</v>
      </c>
      <c r="AS13" s="1312" t="str">
        <f t="shared" si="3"/>
        <v>WS1006ASR</v>
      </c>
      <c r="AT13" s="1312" t="str">
        <f t="shared" si="3"/>
        <v>WS1006WROT</v>
      </c>
      <c r="AU13" s="1313" t="str">
        <f t="shared" si="3"/>
        <v>WS1006WRTOT</v>
      </c>
      <c r="AV13" s="1629"/>
    </row>
    <row r="14" spans="1:48" s="1882" customFormat="1" ht="16">
      <c r="B14" s="1682" t="s">
        <v>7900</v>
      </c>
      <c r="C14" s="2297" t="s">
        <v>7901</v>
      </c>
      <c r="D14" s="2295" t="s">
        <v>7902</v>
      </c>
      <c r="E14" s="1693" t="s">
        <v>49</v>
      </c>
      <c r="F14" s="1692">
        <v>3</v>
      </c>
      <c r="G14" s="1310">
        <v>2.0350000000000001</v>
      </c>
      <c r="H14" s="1311">
        <v>3.0939999999999999</v>
      </c>
      <c r="I14" s="1311">
        <v>3.0000000000000001E-3</v>
      </c>
      <c r="J14" s="1311">
        <v>0.73399999999999999</v>
      </c>
      <c r="K14" s="1312">
        <v>0</v>
      </c>
      <c r="L14" s="1312">
        <v>0</v>
      </c>
      <c r="M14" s="1312">
        <v>0</v>
      </c>
      <c r="N14" s="2144">
        <f t="shared" si="4"/>
        <v>5.8659999999999997</v>
      </c>
      <c r="O14" s="1750"/>
      <c r="Q14" s="24">
        <f t="shared" si="12"/>
        <v>0</v>
      </c>
      <c r="R14" s="1161"/>
      <c r="S14" s="71"/>
      <c r="T14" s="93">
        <f t="shared" si="13"/>
        <v>0</v>
      </c>
      <c r="U14" s="93">
        <f t="shared" si="14"/>
        <v>0</v>
      </c>
      <c r="V14" s="93">
        <f t="shared" si="15"/>
        <v>0</v>
      </c>
      <c r="W14" s="93">
        <f t="shared" si="16"/>
        <v>0</v>
      </c>
      <c r="X14" s="93">
        <f t="shared" si="17"/>
        <v>0</v>
      </c>
      <c r="Y14" s="93">
        <f t="shared" si="18"/>
        <v>0</v>
      </c>
      <c r="Z14" s="93">
        <f t="shared" si="19"/>
        <v>0</v>
      </c>
      <c r="AA14" s="71"/>
      <c r="AC14" s="1635"/>
      <c r="AG14" s="1635"/>
      <c r="AI14" s="1682" t="s">
        <v>7900</v>
      </c>
      <c r="AJ14" s="2297" t="s">
        <v>7901</v>
      </c>
      <c r="AK14" s="2295" t="s">
        <v>7902</v>
      </c>
      <c r="AL14" s="1693" t="s">
        <v>49</v>
      </c>
      <c r="AM14" s="1692">
        <v>3</v>
      </c>
      <c r="AN14" s="1310" t="str">
        <f t="shared" si="5"/>
        <v>BM108IR</v>
      </c>
      <c r="AO14" s="1311" t="str">
        <f t="shared" si="3"/>
        <v>BM108PS</v>
      </c>
      <c r="AP14" s="1311" t="str">
        <f t="shared" si="3"/>
        <v>BM108RS</v>
      </c>
      <c r="AQ14" s="1311" t="str">
        <f t="shared" si="3"/>
        <v>BM108BO</v>
      </c>
      <c r="AR14" s="1312" t="str">
        <f t="shared" si="3"/>
        <v>BM108AR</v>
      </c>
      <c r="AS14" s="1312" t="str">
        <f t="shared" si="3"/>
        <v>BM108ASR</v>
      </c>
      <c r="AT14" s="1312" t="str">
        <f t="shared" si="3"/>
        <v>BM108WROT</v>
      </c>
      <c r="AU14" s="1313" t="str">
        <f t="shared" si="3"/>
        <v>BM108WRTOT</v>
      </c>
      <c r="AV14" s="1629"/>
    </row>
    <row r="15" spans="1:48" s="1882" customFormat="1" ht="16">
      <c r="B15" s="1682" t="s">
        <v>7903</v>
      </c>
      <c r="C15" s="2297" t="s">
        <v>7904</v>
      </c>
      <c r="D15" s="2295" t="s">
        <v>7905</v>
      </c>
      <c r="E15" s="1693" t="s">
        <v>49</v>
      </c>
      <c r="F15" s="1692">
        <v>3</v>
      </c>
      <c r="G15" s="1310">
        <v>1.589</v>
      </c>
      <c r="H15" s="1311">
        <v>1.9179999999999999</v>
      </c>
      <c r="I15" s="1311">
        <v>4.0000000000000001E-3</v>
      </c>
      <c r="J15" s="1311">
        <v>0.57499999999999996</v>
      </c>
      <c r="K15" s="1312">
        <v>0</v>
      </c>
      <c r="L15" s="1312">
        <v>0</v>
      </c>
      <c r="M15" s="1312">
        <v>0</v>
      </c>
      <c r="N15" s="2141">
        <f t="shared" si="4"/>
        <v>4.0859999999999994</v>
      </c>
      <c r="O15" s="1750"/>
      <c r="Q15" s="24">
        <f t="shared" si="12"/>
        <v>0</v>
      </c>
      <c r="R15" s="1161"/>
      <c r="S15" s="71"/>
      <c r="T15" s="93">
        <f t="shared" si="13"/>
        <v>0</v>
      </c>
      <c r="U15" s="93">
        <f t="shared" si="14"/>
        <v>0</v>
      </c>
      <c r="V15" s="93">
        <f t="shared" si="15"/>
        <v>0</v>
      </c>
      <c r="W15" s="93">
        <f t="shared" si="16"/>
        <v>0</v>
      </c>
      <c r="X15" s="93">
        <f t="shared" si="17"/>
        <v>0</v>
      </c>
      <c r="Y15" s="93">
        <f t="shared" si="18"/>
        <v>0</v>
      </c>
      <c r="Z15" s="93">
        <f t="shared" si="19"/>
        <v>0</v>
      </c>
      <c r="AA15" s="71"/>
      <c r="AC15" s="1635"/>
      <c r="AG15" s="1635"/>
      <c r="AI15" s="1682" t="s">
        <v>7903</v>
      </c>
      <c r="AJ15" s="2297" t="s">
        <v>7904</v>
      </c>
      <c r="AK15" s="2295" t="s">
        <v>7905</v>
      </c>
      <c r="AL15" s="1693" t="s">
        <v>49</v>
      </c>
      <c r="AM15" s="1692">
        <v>3</v>
      </c>
      <c r="AN15" s="1310" t="str">
        <f t="shared" si="5"/>
        <v>BM110IR</v>
      </c>
      <c r="AO15" s="1311" t="str">
        <f t="shared" si="3"/>
        <v>BM110PS</v>
      </c>
      <c r="AP15" s="1311" t="str">
        <f t="shared" si="3"/>
        <v>BM110RS</v>
      </c>
      <c r="AQ15" s="1311" t="str">
        <f t="shared" si="3"/>
        <v>BM110BO</v>
      </c>
      <c r="AR15" s="1312" t="str">
        <f t="shared" si="3"/>
        <v>BM110AR</v>
      </c>
      <c r="AS15" s="1312" t="str">
        <f t="shared" si="3"/>
        <v>BM110ASR</v>
      </c>
      <c r="AT15" s="1312" t="str">
        <f t="shared" si="3"/>
        <v>BM110WROT</v>
      </c>
      <c r="AU15" s="1313" t="str">
        <f t="shared" si="3"/>
        <v>BM110WRTOT</v>
      </c>
      <c r="AV15" s="1629"/>
    </row>
    <row r="16" spans="1:48" s="1882" customFormat="1" ht="16">
      <c r="B16" s="1682" t="s">
        <v>7906</v>
      </c>
      <c r="C16" s="2298" t="s">
        <v>7907</v>
      </c>
      <c r="D16" s="2295" t="s">
        <v>7908</v>
      </c>
      <c r="E16" s="1693" t="s">
        <v>49</v>
      </c>
      <c r="F16" s="1692">
        <v>3</v>
      </c>
      <c r="G16" s="1677">
        <f>SUM(G7:G15)</f>
        <v>5.1760000000000002</v>
      </c>
      <c r="H16" s="1677">
        <f t="shared" ref="H16:M16" si="20">SUM(H7:H15)</f>
        <v>7.1369999999999996</v>
      </c>
      <c r="I16" s="1677">
        <f t="shared" si="20"/>
        <v>1.6E-2</v>
      </c>
      <c r="J16" s="1677">
        <f t="shared" si="20"/>
        <v>2.1619999999999999</v>
      </c>
      <c r="K16" s="1677">
        <f t="shared" si="20"/>
        <v>0</v>
      </c>
      <c r="L16" s="1677">
        <f t="shared" si="20"/>
        <v>0</v>
      </c>
      <c r="M16" s="1677">
        <f t="shared" si="20"/>
        <v>0</v>
      </c>
      <c r="N16" s="2143">
        <f t="shared" si="4"/>
        <v>14.491</v>
      </c>
      <c r="O16" s="1750"/>
      <c r="Q16" s="24"/>
      <c r="R16" s="1161"/>
      <c r="S16" s="71"/>
      <c r="T16" s="1161"/>
      <c r="U16" s="1161"/>
      <c r="V16" s="1161"/>
      <c r="W16" s="1161"/>
      <c r="X16" s="1161"/>
      <c r="Y16" s="1161"/>
      <c r="Z16" s="1161"/>
      <c r="AA16" s="71"/>
      <c r="AC16" s="1635"/>
      <c r="AG16" s="1635"/>
      <c r="AI16" s="1682" t="s">
        <v>7906</v>
      </c>
      <c r="AJ16" s="2298" t="s">
        <v>7907</v>
      </c>
      <c r="AK16" s="2295" t="s">
        <v>7908</v>
      </c>
      <c r="AL16" s="1693" t="s">
        <v>49</v>
      </c>
      <c r="AM16" s="1692">
        <v>3</v>
      </c>
      <c r="AN16" s="1310" t="str">
        <f t="shared" si="5"/>
        <v>BM816IR</v>
      </c>
      <c r="AO16" s="1311" t="str">
        <f t="shared" si="3"/>
        <v>BM816PS</v>
      </c>
      <c r="AP16" s="1311" t="str">
        <f t="shared" si="3"/>
        <v>BM816RS</v>
      </c>
      <c r="AQ16" s="1311" t="str">
        <f t="shared" si="3"/>
        <v>BM816BO</v>
      </c>
      <c r="AR16" s="1312" t="str">
        <f t="shared" si="3"/>
        <v>BM816AR</v>
      </c>
      <c r="AS16" s="1312" t="str">
        <f t="shared" si="3"/>
        <v>BM816ASR</v>
      </c>
      <c r="AT16" s="1312" t="str">
        <f t="shared" si="3"/>
        <v>BM816WROT</v>
      </c>
      <c r="AU16" s="1313" t="str">
        <f t="shared" si="3"/>
        <v>BM816WRTOT</v>
      </c>
      <c r="AV16" s="1629"/>
    </row>
    <row r="17" spans="1:48" ht="16">
      <c r="A17" s="1882"/>
      <c r="B17" s="1682" t="s">
        <v>7909</v>
      </c>
      <c r="C17" s="1686" t="s">
        <v>1096</v>
      </c>
      <c r="D17" s="2295" t="s">
        <v>7910</v>
      </c>
      <c r="E17" s="1691" t="s">
        <v>49</v>
      </c>
      <c r="F17" s="1692">
        <v>3</v>
      </c>
      <c r="G17" s="1310">
        <v>0.96099999999999997</v>
      </c>
      <c r="H17" s="1311">
        <v>0.28000000000000003</v>
      </c>
      <c r="I17" s="1311">
        <v>0</v>
      </c>
      <c r="J17" s="1311">
        <v>5.0999999999999997E-2</v>
      </c>
      <c r="K17" s="1312">
        <v>0</v>
      </c>
      <c r="L17" s="1312">
        <v>0</v>
      </c>
      <c r="M17" s="1312">
        <v>0</v>
      </c>
      <c r="N17" s="1313">
        <f t="shared" ref="N17:N20" si="21">SUM(G17:M17)</f>
        <v>1.292</v>
      </c>
      <c r="O17" s="1750"/>
      <c r="P17" s="1882"/>
      <c r="Q17" s="24">
        <f xml:space="preserve"> IF( SUM( S17:AA17 ) = 0, 0, $T$4 )</f>
        <v>0</v>
      </c>
      <c r="R17" s="1161"/>
      <c r="S17" s="71"/>
      <c r="T17" s="93">
        <f t="shared" ref="T17" si="22" xml:space="preserve"> IF( ISNUMBER( G17 ), 0, 1 )</f>
        <v>0</v>
      </c>
      <c r="U17" s="93">
        <f t="shared" ref="U17" si="23" xml:space="preserve"> IF( ISNUMBER( H17 ), 0, 1 )</f>
        <v>0</v>
      </c>
      <c r="V17" s="93">
        <f t="shared" ref="V17" si="24" xml:space="preserve"> IF( ISNUMBER( I17 ), 0, 1 )</f>
        <v>0</v>
      </c>
      <c r="W17" s="93">
        <f t="shared" ref="W17" si="25" xml:space="preserve"> IF( ISNUMBER( J17 ), 0, 1 )</f>
        <v>0</v>
      </c>
      <c r="X17" s="93">
        <f t="shared" ref="X17" si="26" xml:space="preserve"> IF( ISNUMBER( K17 ), 0, 1 )</f>
        <v>0</v>
      </c>
      <c r="Y17" s="93">
        <f t="shared" ref="Y17" si="27" xml:space="preserve"> IF( ISNUMBER( L17 ), 0, 1 )</f>
        <v>0</v>
      </c>
      <c r="Z17" s="93">
        <f t="shared" ref="Z17" si="28" xml:space="preserve"> IF( ISNUMBER( M17 ), 0, 1 )</f>
        <v>0</v>
      </c>
      <c r="AA17" s="71"/>
      <c r="AB17" s="1882"/>
      <c r="AD17" s="1882"/>
      <c r="AE17" s="1882"/>
      <c r="AF17" s="1882"/>
      <c r="AH17" s="1882"/>
      <c r="AI17" s="1682" t="s">
        <v>7909</v>
      </c>
      <c r="AJ17" s="1685" t="s">
        <v>1096</v>
      </c>
      <c r="AK17" s="2197" t="s">
        <v>7910</v>
      </c>
      <c r="AL17" s="1691" t="s">
        <v>49</v>
      </c>
      <c r="AM17" s="1692">
        <v>3</v>
      </c>
      <c r="AN17" s="1310" t="str">
        <f t="shared" si="5"/>
        <v>BM817IR</v>
      </c>
      <c r="AO17" s="1311" t="str">
        <f t="shared" si="3"/>
        <v>BM817PS</v>
      </c>
      <c r="AP17" s="1311" t="str">
        <f t="shared" si="3"/>
        <v>BM817RS</v>
      </c>
      <c r="AQ17" s="1311" t="str">
        <f t="shared" si="3"/>
        <v>BM817BO</v>
      </c>
      <c r="AR17" s="1312" t="str">
        <f t="shared" si="3"/>
        <v>BM817AR</v>
      </c>
      <c r="AS17" s="1312" t="str">
        <f t="shared" si="3"/>
        <v>BM817ASR</v>
      </c>
      <c r="AT17" s="1312" t="str">
        <f t="shared" si="3"/>
        <v>BM817WROT</v>
      </c>
      <c r="AU17" s="1313" t="str">
        <f t="shared" si="3"/>
        <v>BM817WRTOT</v>
      </c>
      <c r="AV17" s="1629"/>
    </row>
    <row r="18" spans="1:48" ht="23.5">
      <c r="A18" s="1882"/>
      <c r="B18" s="1682" t="s">
        <v>7911</v>
      </c>
      <c r="C18" s="2299" t="s">
        <v>7912</v>
      </c>
      <c r="D18" s="2300" t="s">
        <v>7913</v>
      </c>
      <c r="E18" s="1694" t="s">
        <v>49</v>
      </c>
      <c r="F18" s="1695">
        <v>3</v>
      </c>
      <c r="G18" s="1677">
        <f>+G16+G17</f>
        <v>6.1370000000000005</v>
      </c>
      <c r="H18" s="1677">
        <f t="shared" ref="H18:M18" si="29">+H16+H17</f>
        <v>7.4169999999999998</v>
      </c>
      <c r="I18" s="1677">
        <f t="shared" si="29"/>
        <v>1.6E-2</v>
      </c>
      <c r="J18" s="1677">
        <f t="shared" si="29"/>
        <v>2.2130000000000001</v>
      </c>
      <c r="K18" s="1677">
        <f t="shared" si="29"/>
        <v>0</v>
      </c>
      <c r="L18" s="1677">
        <f t="shared" si="29"/>
        <v>0</v>
      </c>
      <c r="M18" s="1677">
        <f t="shared" si="29"/>
        <v>0</v>
      </c>
      <c r="N18" s="1313">
        <f t="shared" si="21"/>
        <v>15.783000000000001</v>
      </c>
      <c r="O18" s="1751"/>
      <c r="P18" s="1882"/>
      <c r="Q18" s="1339">
        <f>IF(SUM(AA18:AC18)=0,0,$AF$18)</f>
        <v>0</v>
      </c>
      <c r="R18" s="1161"/>
      <c r="S18" s="71"/>
      <c r="T18" s="1882"/>
      <c r="U18" s="1882"/>
      <c r="V18" s="1882"/>
      <c r="W18" s="1882"/>
      <c r="X18" s="1882"/>
      <c r="Z18" s="1882"/>
      <c r="AA18" s="71"/>
      <c r="AB18" s="93">
        <f xml:space="preserve"> IF( (AD18 - AE18) = 0, 0, 1 )</f>
        <v>0</v>
      </c>
      <c r="AD18" s="112">
        <f>ROUND(N18,3)</f>
        <v>15.782999999999999</v>
      </c>
      <c r="AE18" s="1329">
        <f>ROUND('4D'!G15+'4D'!H15,3)</f>
        <v>15.782999999999999</v>
      </c>
      <c r="AF18" s="1943" t="s">
        <v>7914</v>
      </c>
      <c r="AH18" s="1882"/>
      <c r="AI18" s="1682" t="s">
        <v>7911</v>
      </c>
      <c r="AJ18" s="1687" t="s">
        <v>7912</v>
      </c>
      <c r="AK18" s="2198" t="s">
        <v>7913</v>
      </c>
      <c r="AL18" s="1694" t="s">
        <v>49</v>
      </c>
      <c r="AM18" s="1695">
        <v>3</v>
      </c>
      <c r="AN18" s="1313" t="str">
        <f t="shared" si="5"/>
        <v>BM316IR</v>
      </c>
      <c r="AO18" s="1313" t="str">
        <f t="shared" si="3"/>
        <v>BM316PS</v>
      </c>
      <c r="AP18" s="1313" t="str">
        <f t="shared" si="3"/>
        <v>BM316RS</v>
      </c>
      <c r="AQ18" s="1313" t="str">
        <f t="shared" si="3"/>
        <v>BM316BO</v>
      </c>
      <c r="AR18" s="1313" t="str">
        <f t="shared" si="3"/>
        <v>BM316AR</v>
      </c>
      <c r="AS18" s="1313" t="str">
        <f t="shared" si="3"/>
        <v>BM316ASR</v>
      </c>
      <c r="AT18" s="1313" t="str">
        <f t="shared" si="3"/>
        <v>BM316WROT</v>
      </c>
      <c r="AU18" s="1313" t="str">
        <f t="shared" si="3"/>
        <v>BM316WRTOT</v>
      </c>
      <c r="AV18" s="1629"/>
    </row>
    <row r="19" spans="1:48" ht="16">
      <c r="A19" s="1882"/>
      <c r="B19" s="1682" t="s">
        <v>7915</v>
      </c>
      <c r="C19" s="1686" t="s">
        <v>531</v>
      </c>
      <c r="D19" s="2295" t="s">
        <v>7916</v>
      </c>
      <c r="E19" s="1694" t="s">
        <v>49</v>
      </c>
      <c r="F19" s="1695">
        <v>3</v>
      </c>
      <c r="G19" s="1316">
        <v>1.6161760000000001</v>
      </c>
      <c r="H19" s="1311">
        <v>0.29558699999999999</v>
      </c>
      <c r="I19" s="1317">
        <v>0</v>
      </c>
      <c r="J19" s="1311">
        <v>0.14566100000000001</v>
      </c>
      <c r="K19" s="1311">
        <v>0</v>
      </c>
      <c r="L19" s="1678">
        <v>0</v>
      </c>
      <c r="M19" s="1920">
        <v>0</v>
      </c>
      <c r="N19" s="1313">
        <f t="shared" si="21"/>
        <v>2.0574240000000001</v>
      </c>
      <c r="O19" s="1751"/>
      <c r="P19" s="1882"/>
      <c r="Q19" s="24">
        <f xml:space="preserve"> IF( SUM( S19:AA19 ) = 0, 0, $T$4 )</f>
        <v>0</v>
      </c>
      <c r="R19" s="1161"/>
      <c r="S19" s="71"/>
      <c r="T19" s="93">
        <f t="shared" ref="T19" si="30" xml:space="preserve"> IF( ISNUMBER( G19 ), 0, 1 )</f>
        <v>0</v>
      </c>
      <c r="U19" s="93">
        <f t="shared" ref="U19" si="31" xml:space="preserve"> IF( ISNUMBER( H19 ), 0, 1 )</f>
        <v>0</v>
      </c>
      <c r="V19" s="93">
        <f t="shared" ref="V19" si="32" xml:space="preserve"> IF( ISNUMBER( I19 ), 0, 1 )</f>
        <v>0</v>
      </c>
      <c r="W19" s="93">
        <f t="shared" ref="W19" si="33" xml:space="preserve"> IF( ISNUMBER( J19 ), 0, 1 )</f>
        <v>0</v>
      </c>
      <c r="X19" s="93">
        <f t="shared" ref="X19" si="34" xml:space="preserve"> IF( ISNUMBER( K19 ), 0, 1 )</f>
        <v>0</v>
      </c>
      <c r="Y19" s="93">
        <f t="shared" ref="Y19" si="35" xml:space="preserve"> IF( ISNUMBER( L19 ), 0, 1 )</f>
        <v>0</v>
      </c>
      <c r="Z19" s="93">
        <f t="shared" ref="Z19" si="36" xml:space="preserve"> IF( ISNUMBER( M19 ), 0, 1 )</f>
        <v>0</v>
      </c>
      <c r="AA19" s="71"/>
      <c r="AB19" s="1882"/>
      <c r="AD19" s="1882"/>
      <c r="AE19" s="1882"/>
      <c r="AF19" s="1882"/>
      <c r="AH19" s="1882"/>
      <c r="AI19" s="1682" t="s">
        <v>7915</v>
      </c>
      <c r="AJ19" s="1685" t="s">
        <v>531</v>
      </c>
      <c r="AK19" s="2197" t="s">
        <v>7916</v>
      </c>
      <c r="AL19" s="1694" t="s">
        <v>49</v>
      </c>
      <c r="AM19" s="1695">
        <v>3</v>
      </c>
      <c r="AN19" s="1316" t="str">
        <f t="shared" si="5"/>
        <v>FT00865IR</v>
      </c>
      <c r="AO19" s="1311" t="str">
        <f t="shared" si="3"/>
        <v>FT00865PS</v>
      </c>
      <c r="AP19" s="1317" t="str">
        <f t="shared" si="3"/>
        <v>FT00865RS</v>
      </c>
      <c r="AQ19" s="1311" t="str">
        <f t="shared" si="3"/>
        <v>FT00865BO</v>
      </c>
      <c r="AR19" s="1312" t="str">
        <f t="shared" si="3"/>
        <v>FT00865AR</v>
      </c>
      <c r="AS19" s="1312" t="str">
        <f t="shared" si="3"/>
        <v>FT00865ASR</v>
      </c>
      <c r="AT19" s="1312" t="str">
        <f t="shared" si="3"/>
        <v>FT00865WROT</v>
      </c>
      <c r="AU19" s="1313" t="str">
        <f t="shared" si="3"/>
        <v>FT00865WRTOT</v>
      </c>
      <c r="AV19" s="1882"/>
    </row>
    <row r="20" spans="1:48" ht="16.5" thickBot="1">
      <c r="A20" s="1882"/>
      <c r="B20" s="1683" t="s">
        <v>7917</v>
      </c>
      <c r="C20" s="1698" t="s">
        <v>7918</v>
      </c>
      <c r="D20" s="2301" t="s">
        <v>7919</v>
      </c>
      <c r="E20" s="1696" t="s">
        <v>49</v>
      </c>
      <c r="F20" s="1697">
        <v>3</v>
      </c>
      <c r="G20" s="1679">
        <f>+G18+G19</f>
        <v>7.7531760000000007</v>
      </c>
      <c r="H20" s="1679">
        <f t="shared" ref="H20:M20" si="37">+H18+H19</f>
        <v>7.7125870000000001</v>
      </c>
      <c r="I20" s="1679">
        <f t="shared" si="37"/>
        <v>1.6E-2</v>
      </c>
      <c r="J20" s="1679">
        <f t="shared" si="37"/>
        <v>2.3586610000000001</v>
      </c>
      <c r="K20" s="1679">
        <f t="shared" si="37"/>
        <v>0</v>
      </c>
      <c r="L20" s="1679">
        <f t="shared" si="37"/>
        <v>0</v>
      </c>
      <c r="M20" s="1679">
        <f t="shared" si="37"/>
        <v>0</v>
      </c>
      <c r="N20" s="1323">
        <f t="shared" si="21"/>
        <v>17.840424000000002</v>
      </c>
      <c r="O20" s="1752"/>
      <c r="P20" s="1882"/>
      <c r="Q20" s="1882"/>
      <c r="R20" s="1161"/>
      <c r="S20" s="71"/>
      <c r="T20" s="1882"/>
      <c r="U20" s="1882"/>
      <c r="V20" s="1882"/>
      <c r="W20" s="1882"/>
      <c r="X20" s="1882"/>
      <c r="Z20" s="1882"/>
      <c r="AA20" s="71"/>
      <c r="AB20" s="1882"/>
      <c r="AD20" s="1882"/>
      <c r="AE20" s="1882"/>
      <c r="AF20" s="1882"/>
      <c r="AG20" s="124"/>
      <c r="AH20" s="1882"/>
      <c r="AI20" s="1683" t="s">
        <v>7917</v>
      </c>
      <c r="AJ20" s="1688" t="s">
        <v>7918</v>
      </c>
      <c r="AK20" s="2199" t="s">
        <v>7919</v>
      </c>
      <c r="AL20" s="1696" t="s">
        <v>49</v>
      </c>
      <c r="AM20" s="1697">
        <v>3</v>
      </c>
      <c r="AN20" s="1323" t="str">
        <f t="shared" si="5"/>
        <v>BM319IR</v>
      </c>
      <c r="AO20" s="1323" t="str">
        <f t="shared" si="3"/>
        <v>BM319PS</v>
      </c>
      <c r="AP20" s="1323" t="str">
        <f t="shared" si="3"/>
        <v>BM319RS</v>
      </c>
      <c r="AQ20" s="1323" t="str">
        <f t="shared" si="3"/>
        <v>BM319BO</v>
      </c>
      <c r="AR20" s="1323" t="str">
        <f t="shared" si="3"/>
        <v>BM319AR</v>
      </c>
      <c r="AS20" s="1323" t="str">
        <f t="shared" si="3"/>
        <v>BM319ASR</v>
      </c>
      <c r="AT20" s="1323" t="str">
        <f t="shared" si="3"/>
        <v>BM319WROT</v>
      </c>
      <c r="AU20" s="1323" t="str">
        <f t="shared" si="3"/>
        <v>BM319WRTOT</v>
      </c>
      <c r="AV20" s="1882"/>
    </row>
    <row r="21" spans="1:48" ht="16.5" thickBot="1">
      <c r="A21" s="1882"/>
      <c r="B21" s="568"/>
      <c r="C21" s="1629"/>
      <c r="D21" s="2302"/>
      <c r="E21" s="1882"/>
      <c r="F21" s="1882"/>
      <c r="G21" s="1882"/>
      <c r="H21" s="1882"/>
      <c r="I21" s="1882"/>
      <c r="J21" s="1882"/>
      <c r="K21" s="1882"/>
      <c r="L21" s="1882"/>
      <c r="N21" s="1882"/>
      <c r="O21" s="1882"/>
      <c r="P21" s="1882"/>
      <c r="Q21" s="1882"/>
      <c r="R21" s="1161"/>
      <c r="T21" s="1882"/>
      <c r="U21" s="1882"/>
      <c r="V21" s="1882"/>
      <c r="W21" s="1882"/>
      <c r="X21" s="1882"/>
      <c r="Z21" s="1882"/>
      <c r="AB21" s="1882"/>
      <c r="AD21" s="1882"/>
      <c r="AE21" s="1882"/>
      <c r="AF21" s="1882"/>
      <c r="AH21" s="1882"/>
      <c r="AI21" s="568"/>
      <c r="AJ21" s="1882"/>
      <c r="AK21" s="2200"/>
      <c r="AL21" s="1882"/>
      <c r="AM21" s="1882"/>
      <c r="AN21" s="1882"/>
      <c r="AO21" s="1882"/>
      <c r="AP21" s="1882"/>
      <c r="AQ21" s="1882"/>
      <c r="AR21" s="1882"/>
      <c r="AS21" s="1882"/>
      <c r="AU21" s="1882"/>
      <c r="AV21" s="1882"/>
    </row>
    <row r="22" spans="1:48" ht="27.5" thickBot="1">
      <c r="A22" s="1293"/>
      <c r="B22" s="1021" t="s">
        <v>191</v>
      </c>
      <c r="C22" s="968" t="s">
        <v>3980</v>
      </c>
      <c r="D22" s="969" t="s">
        <v>7920</v>
      </c>
      <c r="E22" s="969" t="s">
        <v>2308</v>
      </c>
      <c r="F22" s="969" t="s">
        <v>37</v>
      </c>
      <c r="G22" s="186" t="s">
        <v>905</v>
      </c>
      <c r="H22" s="361" t="s">
        <v>7921</v>
      </c>
      <c r="I22" s="361" t="s">
        <v>2619</v>
      </c>
      <c r="J22" s="1455" t="s">
        <v>2620</v>
      </c>
      <c r="K22" s="2824" t="s">
        <v>708</v>
      </c>
      <c r="L22" s="1882"/>
      <c r="N22" s="1882"/>
      <c r="O22" s="1882"/>
      <c r="P22" s="1882"/>
      <c r="Q22" s="1882"/>
      <c r="R22" s="1882"/>
      <c r="T22" s="1882"/>
      <c r="U22" s="1882"/>
      <c r="V22" s="1882"/>
      <c r="W22" s="1882"/>
      <c r="X22" s="1882"/>
      <c r="Z22" s="1882"/>
      <c r="AB22" s="1882"/>
      <c r="AD22" s="1882"/>
      <c r="AE22" s="1882"/>
      <c r="AF22" s="1882"/>
      <c r="AH22" s="1882"/>
      <c r="AI22" s="1021" t="s">
        <v>191</v>
      </c>
      <c r="AJ22" s="968" t="s">
        <v>3980</v>
      </c>
      <c r="AK22" s="969" t="s">
        <v>7920</v>
      </c>
      <c r="AL22" s="969" t="s">
        <v>2308</v>
      </c>
      <c r="AM22" s="969" t="s">
        <v>37</v>
      </c>
      <c r="AN22" s="186" t="s">
        <v>905</v>
      </c>
      <c r="AO22" s="361" t="s">
        <v>7921</v>
      </c>
      <c r="AP22" s="361" t="s">
        <v>2619</v>
      </c>
      <c r="AQ22" s="1455" t="s">
        <v>2620</v>
      </c>
      <c r="AR22" s="2824" t="s">
        <v>708</v>
      </c>
      <c r="AS22" s="1882"/>
      <c r="AU22" s="1882"/>
      <c r="AV22" s="1882"/>
    </row>
    <row r="23" spans="1:48" ht="14.5" thickBot="1">
      <c r="A23" s="1293"/>
      <c r="B23" s="1294"/>
      <c r="C23" s="2028"/>
      <c r="D23" s="2303"/>
      <c r="E23" s="1293"/>
      <c r="F23" s="1293"/>
      <c r="G23" s="1293"/>
      <c r="H23" s="1293"/>
      <c r="I23" s="1293"/>
      <c r="J23" s="1293"/>
      <c r="K23" s="1293"/>
      <c r="L23" s="1882"/>
      <c r="N23" s="1882"/>
      <c r="O23" s="1882"/>
      <c r="P23" s="1882"/>
      <c r="Q23" s="1882"/>
      <c r="R23" s="1882"/>
      <c r="T23" s="1882"/>
      <c r="U23" s="1882"/>
      <c r="V23" s="1882"/>
      <c r="W23" s="1882"/>
      <c r="X23" s="1882"/>
      <c r="Z23" s="1882"/>
      <c r="AB23" s="1882"/>
      <c r="AD23" s="1882"/>
      <c r="AE23" s="1882"/>
      <c r="AF23" s="1882"/>
      <c r="AH23" s="1882"/>
      <c r="AI23" s="1294"/>
      <c r="AJ23" s="1293"/>
      <c r="AK23" s="2201"/>
      <c r="AL23" s="1293"/>
      <c r="AM23" s="1293"/>
      <c r="AN23" s="2306" t="s">
        <v>7922</v>
      </c>
      <c r="AO23" s="2306" t="s">
        <v>7923</v>
      </c>
      <c r="AP23" s="2306" t="s">
        <v>7924</v>
      </c>
      <c r="AQ23" s="2306" t="s">
        <v>7925</v>
      </c>
      <c r="AR23" s="2306" t="s">
        <v>7926</v>
      </c>
      <c r="AS23" s="1882"/>
      <c r="AU23" s="1882"/>
      <c r="AV23" s="1882"/>
    </row>
    <row r="24" spans="1:48" ht="15" thickBot="1">
      <c r="A24" s="1882"/>
      <c r="B24" s="2863" t="s">
        <v>175</v>
      </c>
      <c r="C24" s="1031" t="s">
        <v>7927</v>
      </c>
      <c r="D24" s="2302"/>
      <c r="E24" s="1882"/>
      <c r="F24" s="1882"/>
      <c r="G24" s="1882"/>
      <c r="H24" s="1882"/>
      <c r="I24" s="1882"/>
      <c r="J24" s="1882"/>
      <c r="K24" s="1882"/>
      <c r="L24" s="1882"/>
      <c r="N24" s="1882"/>
      <c r="O24" s="1882"/>
      <c r="P24" s="1882"/>
      <c r="Q24" s="1882"/>
      <c r="R24" s="1882"/>
      <c r="T24" s="1882"/>
      <c r="U24" s="1882"/>
      <c r="V24" s="1882"/>
      <c r="W24" s="1882"/>
      <c r="X24" s="1882"/>
      <c r="Z24" s="1882"/>
      <c r="AB24" s="1882"/>
      <c r="AD24" s="1882"/>
      <c r="AE24" s="1882"/>
      <c r="AF24" s="1882"/>
      <c r="AH24" s="1882"/>
      <c r="AI24" s="2863" t="s">
        <v>175</v>
      </c>
      <c r="AJ24" s="1031" t="s">
        <v>7927</v>
      </c>
      <c r="AK24" s="2200"/>
      <c r="AL24" s="1882"/>
      <c r="AM24" s="1882"/>
      <c r="AN24" s="1882"/>
      <c r="AO24" s="1882"/>
      <c r="AP24" s="1882"/>
      <c r="AQ24" s="1882"/>
      <c r="AR24" s="1882"/>
      <c r="AS24" s="1882"/>
      <c r="AU24" s="1882"/>
      <c r="AV24" s="1882"/>
    </row>
    <row r="25" spans="1:48" ht="16">
      <c r="A25" s="1882"/>
      <c r="B25" s="1681" t="s">
        <v>7928</v>
      </c>
      <c r="C25" s="2304" t="s">
        <v>7929</v>
      </c>
      <c r="D25" s="2305" t="s">
        <v>7930</v>
      </c>
      <c r="E25" s="1689" t="s">
        <v>49</v>
      </c>
      <c r="F25" s="1690">
        <v>3</v>
      </c>
      <c r="G25" s="1301">
        <v>1.0489999999999999</v>
      </c>
      <c r="H25" s="1302">
        <v>0.36</v>
      </c>
      <c r="I25" s="1302">
        <v>3.27</v>
      </c>
      <c r="J25" s="1302">
        <v>9.9550000000000001</v>
      </c>
      <c r="K25" s="1468">
        <f>SUM(G25:J25)</f>
        <v>14.634</v>
      </c>
      <c r="L25" s="1882"/>
      <c r="N25" s="1882"/>
      <c r="O25" s="1882"/>
      <c r="P25" s="1882"/>
      <c r="Q25" s="24">
        <f xml:space="preserve"> IF( SUM( S25:AA25 ) = 0, 0, $T$4 )</f>
        <v>0</v>
      </c>
      <c r="R25" s="1161"/>
      <c r="S25" s="71"/>
      <c r="T25" s="93">
        <f t="shared" ref="T25:W29" si="38" xml:space="preserve"> IF( ISNUMBER( G25 ), 0, 1 )</f>
        <v>0</v>
      </c>
      <c r="U25" s="93">
        <f t="shared" si="38"/>
        <v>0</v>
      </c>
      <c r="V25" s="93">
        <f t="shared" si="38"/>
        <v>0</v>
      </c>
      <c r="W25" s="93">
        <f t="shared" si="38"/>
        <v>0</v>
      </c>
      <c r="X25" s="1882"/>
      <c r="Z25" s="1882"/>
      <c r="AA25" s="71"/>
      <c r="AB25" s="1882"/>
      <c r="AD25" s="1882"/>
      <c r="AE25" s="1882"/>
      <c r="AF25" s="1882"/>
      <c r="AH25" s="1882"/>
      <c r="AI25" s="1296" t="s">
        <v>7906</v>
      </c>
      <c r="AJ25" s="1297" t="s">
        <v>7929</v>
      </c>
      <c r="AK25" s="2202" t="s">
        <v>7930</v>
      </c>
      <c r="AL25" s="1299" t="s">
        <v>49</v>
      </c>
      <c r="AM25" s="1300">
        <v>3</v>
      </c>
      <c r="AN25" s="1301" t="str">
        <f>$D25&amp;AN$23</f>
        <v>BM3010WR</v>
      </c>
      <c r="AO25" s="1302" t="str">
        <f t="shared" ref="AO25:AR29" si="39">$D25&amp;AO$23</f>
        <v>BM3010RWD</v>
      </c>
      <c r="AP25" s="1302" t="str">
        <f t="shared" si="39"/>
        <v>BM3010WT</v>
      </c>
      <c r="AQ25" s="1302" t="str">
        <f t="shared" si="39"/>
        <v>BM3010TWD</v>
      </c>
      <c r="AR25" s="1468" t="str">
        <f t="shared" si="39"/>
        <v>BM3010CAW</v>
      </c>
      <c r="AS25" s="1882"/>
      <c r="AU25" s="1882"/>
      <c r="AV25" s="1882"/>
    </row>
    <row r="26" spans="1:48" ht="16">
      <c r="A26" s="1882"/>
      <c r="B26" s="1682" t="s">
        <v>7931</v>
      </c>
      <c r="C26" s="1686" t="s">
        <v>7932</v>
      </c>
      <c r="D26" s="2295" t="s">
        <v>7933</v>
      </c>
      <c r="E26" s="1691" t="s">
        <v>49</v>
      </c>
      <c r="F26" s="1692">
        <v>3</v>
      </c>
      <c r="G26" s="1310">
        <v>1.1399999999999999</v>
      </c>
      <c r="H26" s="1311">
        <v>0.157</v>
      </c>
      <c r="I26" s="1311">
        <v>2.472</v>
      </c>
      <c r="J26" s="1311">
        <v>4.6950000000000003</v>
      </c>
      <c r="K26" s="1469">
        <f>SUM(G26:J26)</f>
        <v>8.4640000000000004</v>
      </c>
      <c r="L26" s="1882"/>
      <c r="N26" s="1882"/>
      <c r="O26" s="1882"/>
      <c r="P26" s="1882"/>
      <c r="Q26" s="24">
        <f xml:space="preserve"> IF( SUM( S26:AA26 ) = 0, 0, $T$4 )</f>
        <v>0</v>
      </c>
      <c r="R26" s="1161"/>
      <c r="S26" s="71"/>
      <c r="T26" s="93">
        <f t="shared" si="38"/>
        <v>0</v>
      </c>
      <c r="U26" s="93">
        <f t="shared" si="38"/>
        <v>0</v>
      </c>
      <c r="V26" s="93">
        <f t="shared" si="38"/>
        <v>0</v>
      </c>
      <c r="W26" s="93">
        <f t="shared" si="38"/>
        <v>0</v>
      </c>
      <c r="X26" s="1882"/>
      <c r="Z26" s="1882"/>
      <c r="AA26" s="71"/>
      <c r="AB26" s="1882"/>
      <c r="AD26" s="1882"/>
      <c r="AE26" s="1882"/>
      <c r="AF26" s="1882"/>
      <c r="AH26" s="1882"/>
      <c r="AI26" s="1305" t="s">
        <v>7909</v>
      </c>
      <c r="AJ26" s="1306" t="s">
        <v>7932</v>
      </c>
      <c r="AK26" s="2203" t="s">
        <v>7933</v>
      </c>
      <c r="AL26" s="1308" t="s">
        <v>49</v>
      </c>
      <c r="AM26" s="1309">
        <v>3</v>
      </c>
      <c r="AN26" s="1310" t="str">
        <f t="shared" ref="AN26:AN29" si="40">$D26&amp;AN$23</f>
        <v>BM3011WR</v>
      </c>
      <c r="AO26" s="1311" t="str">
        <f t="shared" si="39"/>
        <v>BM3011RWD</v>
      </c>
      <c r="AP26" s="1311" t="str">
        <f t="shared" si="39"/>
        <v>BM3011WT</v>
      </c>
      <c r="AQ26" s="1311" t="str">
        <f t="shared" si="39"/>
        <v>BM3011TWD</v>
      </c>
      <c r="AR26" s="1469" t="str">
        <f t="shared" si="39"/>
        <v>BM3011CAW</v>
      </c>
      <c r="AS26" s="1882"/>
      <c r="AU26" s="1882"/>
      <c r="AV26" s="1882"/>
    </row>
    <row r="27" spans="1:48" ht="16">
      <c r="A27" s="1882"/>
      <c r="B27" s="1682" t="s">
        <v>7934</v>
      </c>
      <c r="C27" s="1686" t="s">
        <v>7935</v>
      </c>
      <c r="D27" s="2295" t="s">
        <v>7936</v>
      </c>
      <c r="E27" s="1691" t="s">
        <v>6448</v>
      </c>
      <c r="F27" s="1692">
        <v>0</v>
      </c>
      <c r="G27" s="1324">
        <v>18</v>
      </c>
      <c r="H27" s="1325">
        <v>7</v>
      </c>
      <c r="I27" s="1325">
        <v>66</v>
      </c>
      <c r="J27" s="1325">
        <v>253</v>
      </c>
      <c r="K27" s="1469">
        <f>SUM(G27:J27)</f>
        <v>344</v>
      </c>
      <c r="L27" s="1882"/>
      <c r="N27" s="1882"/>
      <c r="O27" s="1882"/>
      <c r="P27" s="1882"/>
      <c r="Q27" s="24">
        <f xml:space="preserve"> IF( SUM( S27:AA27 ) = 0, 0, $T$4 )</f>
        <v>0</v>
      </c>
      <c r="R27" s="1161"/>
      <c r="S27" s="71"/>
      <c r="T27" s="93">
        <f t="shared" si="38"/>
        <v>0</v>
      </c>
      <c r="U27" s="93">
        <f t="shared" si="38"/>
        <v>0</v>
      </c>
      <c r="V27" s="93">
        <f t="shared" si="38"/>
        <v>0</v>
      </c>
      <c r="W27" s="93">
        <f t="shared" si="38"/>
        <v>0</v>
      </c>
      <c r="X27" s="1882"/>
      <c r="Z27" s="1882"/>
      <c r="AA27" s="71"/>
      <c r="AB27" s="1882"/>
      <c r="AD27" s="1882"/>
      <c r="AE27" s="1882"/>
      <c r="AF27" s="1882"/>
      <c r="AH27" s="1882"/>
      <c r="AI27" s="1305" t="s">
        <v>7911</v>
      </c>
      <c r="AJ27" s="1306" t="s">
        <v>7937</v>
      </c>
      <c r="AK27" s="2203" t="s">
        <v>7936</v>
      </c>
      <c r="AL27" s="1691" t="s">
        <v>6448</v>
      </c>
      <c r="AM27" s="1309">
        <v>0</v>
      </c>
      <c r="AN27" s="1324" t="str">
        <f t="shared" si="40"/>
        <v>W3030WR</v>
      </c>
      <c r="AO27" s="1325" t="str">
        <f t="shared" si="39"/>
        <v>W3030RWD</v>
      </c>
      <c r="AP27" s="1325" t="str">
        <f t="shared" si="39"/>
        <v>W3030WT</v>
      </c>
      <c r="AQ27" s="1325" t="str">
        <f t="shared" si="39"/>
        <v>W3030TWD</v>
      </c>
      <c r="AR27" s="1469" t="str">
        <f t="shared" si="39"/>
        <v>W3030CAW</v>
      </c>
      <c r="AS27" s="1882"/>
      <c r="AU27" s="1882"/>
      <c r="AV27" s="1882"/>
    </row>
    <row r="28" spans="1:48" ht="16">
      <c r="A28" s="1882"/>
      <c r="B28" s="1682" t="s">
        <v>7938</v>
      </c>
      <c r="C28" s="1686" t="s">
        <v>7939</v>
      </c>
      <c r="D28" s="2295" t="s">
        <v>7940</v>
      </c>
      <c r="E28" s="1691" t="s">
        <v>6448</v>
      </c>
      <c r="F28" s="1692">
        <v>0</v>
      </c>
      <c r="G28" s="1324">
        <v>22</v>
      </c>
      <c r="H28" s="1325">
        <v>3</v>
      </c>
      <c r="I28" s="1325">
        <v>44</v>
      </c>
      <c r="J28" s="1325">
        <v>76</v>
      </c>
      <c r="K28" s="1469">
        <f>SUM(G28:J28)</f>
        <v>145</v>
      </c>
      <c r="L28" s="1882"/>
      <c r="N28" s="1882"/>
      <c r="O28" s="1882"/>
      <c r="P28" s="1882"/>
      <c r="Q28" s="24">
        <f xml:space="preserve"> IF( SUM( S28:AA28 ) = 0, 0, $T$4 )</f>
        <v>0</v>
      </c>
      <c r="R28" s="1161"/>
      <c r="S28" s="71"/>
      <c r="T28" s="93">
        <f t="shared" si="38"/>
        <v>0</v>
      </c>
      <c r="U28" s="93">
        <f t="shared" si="38"/>
        <v>0</v>
      </c>
      <c r="V28" s="93">
        <f t="shared" si="38"/>
        <v>0</v>
      </c>
      <c r="W28" s="93">
        <f t="shared" si="38"/>
        <v>0</v>
      </c>
      <c r="X28" s="1882"/>
      <c r="Z28" s="1882"/>
      <c r="AA28" s="71"/>
      <c r="AB28" s="1882"/>
      <c r="AD28" s="1882"/>
      <c r="AE28" s="1882"/>
      <c r="AF28" s="1882"/>
      <c r="AH28" s="1882"/>
      <c r="AI28" s="1305" t="s">
        <v>7915</v>
      </c>
      <c r="AJ28" s="1306" t="s">
        <v>7941</v>
      </c>
      <c r="AK28" s="2203" t="s">
        <v>7940</v>
      </c>
      <c r="AL28" s="1691" t="s">
        <v>6448</v>
      </c>
      <c r="AM28" s="1309">
        <v>0</v>
      </c>
      <c r="AN28" s="1324" t="str">
        <f t="shared" si="40"/>
        <v>W3031WR</v>
      </c>
      <c r="AO28" s="1325" t="str">
        <f t="shared" si="39"/>
        <v>W3031RWD</v>
      </c>
      <c r="AP28" s="1325" t="str">
        <f t="shared" si="39"/>
        <v>W3031WT</v>
      </c>
      <c r="AQ28" s="1325" t="str">
        <f t="shared" si="39"/>
        <v>W3031TWD</v>
      </c>
      <c r="AR28" s="1469" t="str">
        <f t="shared" si="39"/>
        <v>W3031CAW</v>
      </c>
      <c r="AS28" s="1882"/>
      <c r="AU28" s="1882"/>
      <c r="AV28" s="1882"/>
    </row>
    <row r="29" spans="1:48" ht="16.5" thickBot="1">
      <c r="A29" s="1882"/>
      <c r="B29" s="1683" t="s">
        <v>7942</v>
      </c>
      <c r="C29" s="1698" t="s">
        <v>7943</v>
      </c>
      <c r="D29" s="2199" t="s">
        <v>7944</v>
      </c>
      <c r="E29" s="1696" t="s">
        <v>49</v>
      </c>
      <c r="F29" s="1697">
        <v>3</v>
      </c>
      <c r="G29" s="1326">
        <v>0</v>
      </c>
      <c r="H29" s="1327">
        <v>0</v>
      </c>
      <c r="I29" s="1327">
        <v>0</v>
      </c>
      <c r="J29" s="1327">
        <v>0.14299999999999999</v>
      </c>
      <c r="K29" s="1470">
        <f>SUM(G29:J29)</f>
        <v>0.14299999999999999</v>
      </c>
      <c r="L29" s="1882"/>
      <c r="N29" s="1882"/>
      <c r="O29" s="1882"/>
      <c r="P29" s="1882"/>
      <c r="Q29" s="24">
        <f xml:space="preserve"> IF( SUM( S29:AA29 ) = 0, 0, $T$4 )</f>
        <v>0</v>
      </c>
      <c r="R29" s="1161"/>
      <c r="S29" s="71"/>
      <c r="T29" s="93">
        <f t="shared" si="38"/>
        <v>0</v>
      </c>
      <c r="U29" s="93">
        <f t="shared" si="38"/>
        <v>0</v>
      </c>
      <c r="V29" s="93">
        <f t="shared" si="38"/>
        <v>0</v>
      </c>
      <c r="W29" s="93">
        <f t="shared" si="38"/>
        <v>0</v>
      </c>
      <c r="X29" s="1882"/>
      <c r="Z29" s="1882"/>
      <c r="AA29" s="71"/>
      <c r="AB29" s="1882"/>
      <c r="AD29" s="1882"/>
      <c r="AE29" s="1882"/>
      <c r="AF29" s="1882"/>
      <c r="AH29" s="1882"/>
      <c r="AI29" s="1318" t="s">
        <v>7917</v>
      </c>
      <c r="AJ29" s="1457" t="s">
        <v>7943</v>
      </c>
      <c r="AK29" s="2204" t="s">
        <v>7944</v>
      </c>
      <c r="AL29" s="1321" t="s">
        <v>49</v>
      </c>
      <c r="AM29" s="1456">
        <v>3</v>
      </c>
      <c r="AN29" s="1326" t="str">
        <f t="shared" si="40"/>
        <v>W3032WR</v>
      </c>
      <c r="AO29" s="1327" t="str">
        <f t="shared" si="39"/>
        <v>W3032RWD</v>
      </c>
      <c r="AP29" s="1327" t="str">
        <f t="shared" si="39"/>
        <v>W3032WT</v>
      </c>
      <c r="AQ29" s="1327" t="str">
        <f t="shared" si="39"/>
        <v>W3032TWD</v>
      </c>
      <c r="AR29" s="1470" t="str">
        <f t="shared" si="39"/>
        <v>W3032CAW</v>
      </c>
      <c r="AS29" s="1882"/>
      <c r="AU29" s="1882"/>
      <c r="AV29" s="1882"/>
    </row>
    <row r="30" spans="1:48" ht="14.5" thickBot="1">
      <c r="A30" s="1293"/>
      <c r="B30" s="1294"/>
      <c r="C30" s="1293"/>
      <c r="D30" s="2201"/>
      <c r="E30" s="1293"/>
      <c r="F30" s="1143"/>
      <c r="G30" s="1328"/>
      <c r="H30" s="1328"/>
      <c r="I30" s="1328"/>
      <c r="J30" s="1328"/>
      <c r="K30" s="1293"/>
      <c r="L30" s="1882"/>
      <c r="N30" s="1882"/>
      <c r="O30" s="1882"/>
      <c r="P30" s="1882"/>
      <c r="Q30" s="1882"/>
      <c r="R30" s="1882"/>
      <c r="T30" s="1882"/>
      <c r="U30" s="1882"/>
      <c r="V30" s="1882"/>
      <c r="W30" s="1882"/>
      <c r="X30" s="1882"/>
      <c r="Z30" s="1882"/>
      <c r="AB30" s="1882"/>
      <c r="AD30" s="1882"/>
      <c r="AE30" s="1882"/>
      <c r="AF30" s="1882"/>
      <c r="AH30" s="1882"/>
      <c r="AI30" s="1294"/>
      <c r="AJ30" s="1293"/>
      <c r="AK30" s="2201"/>
      <c r="AL30" s="1293"/>
      <c r="AM30" s="1293"/>
      <c r="AN30" s="1328"/>
      <c r="AO30" s="1328"/>
      <c r="AP30" s="1328"/>
      <c r="AQ30" s="1328"/>
      <c r="AR30" s="1293"/>
      <c r="AS30" s="1882"/>
      <c r="AU30" s="1882"/>
      <c r="AV30" s="1882"/>
    </row>
    <row r="31" spans="1:48" ht="15" thickBot="1">
      <c r="A31" s="1882"/>
      <c r="B31" s="2863" t="s">
        <v>333</v>
      </c>
      <c r="C31" s="1031" t="s">
        <v>6112</v>
      </c>
      <c r="D31" s="2200"/>
      <c r="E31" s="1882"/>
      <c r="F31" s="26"/>
      <c r="G31" s="1329"/>
      <c r="H31" s="1329"/>
      <c r="I31" s="1329"/>
      <c r="J31" s="1329"/>
      <c r="K31" s="1882"/>
      <c r="L31" s="1882"/>
      <c r="N31" s="1882"/>
      <c r="O31" s="1882"/>
      <c r="P31" s="1882"/>
      <c r="Q31" s="1882"/>
      <c r="R31" s="1882"/>
      <c r="T31" s="1882"/>
      <c r="U31" s="1882"/>
      <c r="V31" s="1882"/>
      <c r="W31" s="1882"/>
      <c r="X31" s="1882"/>
      <c r="Z31" s="1882"/>
      <c r="AB31" s="1882"/>
      <c r="AD31" s="1882"/>
      <c r="AE31" s="1882"/>
      <c r="AF31" s="1882"/>
      <c r="AH31" s="1882"/>
      <c r="AI31" s="2863" t="s">
        <v>333</v>
      </c>
      <c r="AJ31" s="1031" t="s">
        <v>6112</v>
      </c>
      <c r="AK31" s="2200"/>
      <c r="AL31" s="1882"/>
      <c r="AM31" s="1882"/>
      <c r="AN31" s="1329"/>
      <c r="AO31" s="1329"/>
      <c r="AP31" s="1329"/>
      <c r="AQ31" s="1329"/>
      <c r="AR31" s="1882"/>
      <c r="AS31" s="1882"/>
      <c r="AU31" s="1882"/>
      <c r="AV31" s="1882"/>
    </row>
    <row r="32" spans="1:48" ht="16">
      <c r="A32" s="1882"/>
      <c r="B32" s="1682" t="s">
        <v>7945</v>
      </c>
      <c r="C32" s="1685" t="s">
        <v>7946</v>
      </c>
      <c r="D32" s="2196" t="s">
        <v>7947</v>
      </c>
      <c r="E32" s="1699" t="s">
        <v>49</v>
      </c>
      <c r="F32" s="1690">
        <v>3</v>
      </c>
      <c r="G32" s="1458">
        <v>1.6259999999999999</v>
      </c>
      <c r="H32" s="1303">
        <v>0</v>
      </c>
      <c r="I32" s="1302">
        <v>0</v>
      </c>
      <c r="J32" s="1302">
        <v>0</v>
      </c>
      <c r="K32" s="1640">
        <f>SUM(G32:J32)</f>
        <v>1.6259999999999999</v>
      </c>
      <c r="L32" s="1882"/>
      <c r="N32" s="1882"/>
      <c r="O32" s="1882"/>
      <c r="P32" s="1882"/>
      <c r="Q32" s="24">
        <f xml:space="preserve"> IF( SUM( S32:AA32 ) = 0, 0, $T$4 )</f>
        <v>0</v>
      </c>
      <c r="R32" s="1161"/>
      <c r="S32" s="71"/>
      <c r="T32" s="93">
        <f t="shared" ref="T32:T34" si="41" xml:space="preserve"> IF( ISNUMBER( G32 ), 0, 1 )</f>
        <v>0</v>
      </c>
      <c r="U32" s="93">
        <f t="shared" ref="U32:U34" si="42" xml:space="preserve"> IF( ISNUMBER( H32 ), 0, 1 )</f>
        <v>0</v>
      </c>
      <c r="V32" s="93">
        <f t="shared" ref="V32:W34" si="43" xml:space="preserve"> IF( ISNUMBER( I32 ), 0, 1 )</f>
        <v>0</v>
      </c>
      <c r="W32" s="93">
        <f t="shared" si="43"/>
        <v>0</v>
      </c>
      <c r="X32" s="1882"/>
      <c r="Z32" s="1882"/>
      <c r="AA32" s="71"/>
      <c r="AB32" s="1882"/>
      <c r="AD32" s="1882"/>
      <c r="AE32" s="1882"/>
      <c r="AF32" s="1882"/>
      <c r="AH32" s="1882"/>
      <c r="AI32" s="1305" t="s">
        <v>7928</v>
      </c>
      <c r="AJ32" s="1306" t="s">
        <v>7946</v>
      </c>
      <c r="AK32" s="2205" t="s">
        <v>7947</v>
      </c>
      <c r="AL32" s="1462" t="s">
        <v>49</v>
      </c>
      <c r="AM32" s="1300">
        <v>3</v>
      </c>
      <c r="AN32" s="1458" t="str">
        <f t="shared" ref="AN32:AR34" si="44">$D32&amp;AN$23</f>
        <v>W3033WR</v>
      </c>
      <c r="AO32" s="1458" t="str">
        <f t="shared" si="44"/>
        <v>W3033RWD</v>
      </c>
      <c r="AP32" s="1458" t="str">
        <f t="shared" si="44"/>
        <v>W3033WT</v>
      </c>
      <c r="AQ32" s="1458" t="str">
        <f t="shared" si="44"/>
        <v>W3033TWD</v>
      </c>
      <c r="AR32" s="1640" t="str">
        <f t="shared" si="44"/>
        <v>W3033CAW</v>
      </c>
      <c r="AS32" s="1882"/>
      <c r="AU32" s="1882"/>
      <c r="AV32" s="1882"/>
    </row>
    <row r="33" spans="1:44" ht="16">
      <c r="A33" s="1882"/>
      <c r="B33" s="1682" t="s">
        <v>7948</v>
      </c>
      <c r="C33" s="1685" t="s">
        <v>7949</v>
      </c>
      <c r="D33" s="2197" t="s">
        <v>7950</v>
      </c>
      <c r="E33" s="1693" t="s">
        <v>49</v>
      </c>
      <c r="F33" s="1692">
        <v>3</v>
      </c>
      <c r="G33" s="1316">
        <v>1.0940000000000001</v>
      </c>
      <c r="H33" s="1312">
        <v>6.0000000000000001E-3</v>
      </c>
      <c r="I33" s="1311">
        <v>9.4E-2</v>
      </c>
      <c r="J33" s="1311">
        <v>1E-3</v>
      </c>
      <c r="K33" s="1469">
        <f>SUM(G33:J33)</f>
        <v>1.1950000000000001</v>
      </c>
      <c r="L33" s="1882"/>
      <c r="N33" s="1882"/>
      <c r="O33" s="1882"/>
      <c r="P33" s="1882"/>
      <c r="Q33" s="24">
        <f xml:space="preserve"> IF( SUM( S33:AA33 ) = 0, 0, $T$4 )</f>
        <v>0</v>
      </c>
      <c r="R33" s="1161"/>
      <c r="S33" s="71"/>
      <c r="T33" s="93">
        <f t="shared" si="41"/>
        <v>0</v>
      </c>
      <c r="U33" s="93">
        <f t="shared" si="42"/>
        <v>0</v>
      </c>
      <c r="V33" s="93">
        <f t="shared" si="43"/>
        <v>0</v>
      </c>
      <c r="W33" s="93">
        <f t="shared" si="43"/>
        <v>0</v>
      </c>
      <c r="X33" s="1882"/>
      <c r="Z33" s="1882"/>
      <c r="AA33" s="71"/>
      <c r="AB33" s="1882"/>
      <c r="AD33" s="1882"/>
      <c r="AE33" s="1882"/>
      <c r="AF33" s="1882"/>
      <c r="AH33" s="1882"/>
      <c r="AI33" s="1305" t="s">
        <v>7931</v>
      </c>
      <c r="AJ33" s="1306" t="s">
        <v>7949</v>
      </c>
      <c r="AK33" s="2206" t="s">
        <v>7950</v>
      </c>
      <c r="AL33" s="1315" t="s">
        <v>49</v>
      </c>
      <c r="AM33" s="1309">
        <v>3</v>
      </c>
      <c r="AN33" s="1316" t="str">
        <f t="shared" si="44"/>
        <v>W3034WR</v>
      </c>
      <c r="AO33" s="1316" t="str">
        <f t="shared" si="44"/>
        <v>W3034RWD</v>
      </c>
      <c r="AP33" s="1316" t="str">
        <f t="shared" si="44"/>
        <v>W3034WT</v>
      </c>
      <c r="AQ33" s="1316" t="str">
        <f t="shared" si="44"/>
        <v>W3034TWD</v>
      </c>
      <c r="AR33" s="1469" t="str">
        <f t="shared" si="44"/>
        <v>W3034CAW</v>
      </c>
    </row>
    <row r="34" spans="1:44" ht="18" customHeight="1" thickBot="1">
      <c r="A34" s="1882"/>
      <c r="B34" s="1683" t="s">
        <v>7951</v>
      </c>
      <c r="C34" s="1688" t="s">
        <v>7952</v>
      </c>
      <c r="D34" s="2199" t="s">
        <v>7953</v>
      </c>
      <c r="E34" s="1696" t="s">
        <v>49</v>
      </c>
      <c r="F34" s="1697">
        <v>3</v>
      </c>
      <c r="G34" s="1326">
        <v>0</v>
      </c>
      <c r="H34" s="1327">
        <v>0</v>
      </c>
      <c r="I34" s="1327">
        <v>0</v>
      </c>
      <c r="J34" s="2799">
        <v>0</v>
      </c>
      <c r="K34" s="1470">
        <f>SUM(G34:J34)</f>
        <v>0</v>
      </c>
      <c r="L34" s="1882"/>
      <c r="N34" s="1882"/>
      <c r="O34" s="1882"/>
      <c r="P34" s="1882"/>
      <c r="Q34" s="1339">
        <f>IF(SUM(S34:AA34)&lt;&gt;0,T4,IF(SUM(AA34:AC34)=0,0,$AF$34))</f>
        <v>0</v>
      </c>
      <c r="R34" s="1161"/>
      <c r="S34" s="71"/>
      <c r="T34" s="93">
        <f t="shared" si="41"/>
        <v>0</v>
      </c>
      <c r="U34" s="93">
        <f t="shared" si="42"/>
        <v>0</v>
      </c>
      <c r="V34" s="93">
        <f t="shared" si="43"/>
        <v>0</v>
      </c>
      <c r="W34" s="93">
        <f t="shared" si="43"/>
        <v>0</v>
      </c>
      <c r="X34" s="1882"/>
      <c r="Z34" s="1882"/>
      <c r="AA34" s="71"/>
      <c r="AB34" s="93">
        <f xml:space="preserve"> IF( (AD34 - AE34) = 0, 0, 1 )</f>
        <v>0</v>
      </c>
      <c r="AC34" s="124"/>
      <c r="AD34" s="112">
        <f>ROUND(+K34+K33+K32,3)</f>
        <v>2.8210000000000002</v>
      </c>
      <c r="AE34" s="112">
        <f>ROUND(+'4D'!M9,3)</f>
        <v>2.8210000000000002</v>
      </c>
      <c r="AF34" s="1943" t="s">
        <v>7954</v>
      </c>
      <c r="AG34" s="124"/>
      <c r="AH34" s="1882"/>
      <c r="AI34" s="1318" t="s">
        <v>7934</v>
      </c>
      <c r="AJ34" s="1319" t="s">
        <v>7955</v>
      </c>
      <c r="AK34" s="2204" t="s">
        <v>7953</v>
      </c>
      <c r="AL34" s="1321" t="s">
        <v>49</v>
      </c>
      <c r="AM34" s="1456">
        <v>3</v>
      </c>
      <c r="AN34" s="1326" t="str">
        <f t="shared" si="44"/>
        <v>W3035WR</v>
      </c>
      <c r="AO34" s="1326" t="str">
        <f t="shared" si="44"/>
        <v>W3035RWD</v>
      </c>
      <c r="AP34" s="1326" t="str">
        <f t="shared" si="44"/>
        <v>W3035WT</v>
      </c>
      <c r="AQ34" s="1326" t="str">
        <f t="shared" si="44"/>
        <v>W3035TWD</v>
      </c>
      <c r="AR34" s="1470" t="str">
        <f t="shared" si="44"/>
        <v>W3035CAW</v>
      </c>
    </row>
    <row r="35" spans="1:44" ht="14.5" thickBot="1">
      <c r="A35" s="1293"/>
      <c r="B35" s="1294"/>
      <c r="C35" s="1293"/>
      <c r="D35" s="2201"/>
      <c r="E35" s="1143"/>
      <c r="F35" s="1143"/>
      <c r="G35" s="1328"/>
      <c r="H35" s="1328"/>
      <c r="I35" s="1328"/>
      <c r="J35" s="1328"/>
      <c r="K35" s="1293"/>
      <c r="L35" s="1882"/>
      <c r="N35" s="1882"/>
      <c r="O35" s="1882"/>
      <c r="P35" s="1882"/>
      <c r="Q35" s="1882"/>
      <c r="R35" s="1882"/>
      <c r="T35" s="1882"/>
      <c r="U35" s="1882"/>
      <c r="V35" s="1882"/>
      <c r="W35" s="1882"/>
      <c r="X35" s="1882"/>
      <c r="Z35" s="1882"/>
      <c r="AB35" s="1882"/>
      <c r="AD35" s="1882"/>
      <c r="AE35" s="1882"/>
      <c r="AF35" s="1882"/>
      <c r="AH35" s="1882"/>
      <c r="AI35" s="1294"/>
      <c r="AJ35" s="1293"/>
      <c r="AK35" s="2201"/>
      <c r="AL35" s="1293"/>
      <c r="AM35" s="1293"/>
      <c r="AN35" s="1328"/>
      <c r="AO35" s="1328"/>
      <c r="AP35" s="1328"/>
      <c r="AQ35" s="1328"/>
      <c r="AR35" s="1293"/>
    </row>
    <row r="36" spans="1:44" ht="16.5" thickBot="1">
      <c r="A36" s="1882"/>
      <c r="B36" s="1683" t="s">
        <v>7956</v>
      </c>
      <c r="C36" s="1688" t="s">
        <v>7957</v>
      </c>
      <c r="D36" s="1676" t="s">
        <v>7958</v>
      </c>
      <c r="E36" s="1700" t="s">
        <v>49</v>
      </c>
      <c r="F36" s="1701">
        <v>3</v>
      </c>
      <c r="G36" s="1460">
        <v>0</v>
      </c>
      <c r="H36" s="1461">
        <v>0</v>
      </c>
      <c r="I36" s="1461">
        <v>0</v>
      </c>
      <c r="J36" s="1461">
        <v>0</v>
      </c>
      <c r="K36" s="1641">
        <f>SUM(G36:J36)</f>
        <v>0</v>
      </c>
      <c r="L36" s="1882"/>
      <c r="N36" s="1882"/>
      <c r="O36" s="1882"/>
      <c r="P36" s="1882"/>
      <c r="Q36" s="24">
        <f xml:space="preserve"> IF( SUM( S36:AA36 ) = 0, 0, $T$4 )</f>
        <v>0</v>
      </c>
      <c r="R36" s="1161"/>
      <c r="S36" s="71"/>
      <c r="T36" s="93">
        <f xml:space="preserve"> IF( ISNUMBER( G36 ), 0, 1 )</f>
        <v>0</v>
      </c>
      <c r="U36" s="93">
        <f xml:space="preserve"> IF( ISNUMBER( H36 ), 0, 1 )</f>
        <v>0</v>
      </c>
      <c r="V36" s="93">
        <f xml:space="preserve"> IF( ISNUMBER( I36 ), 0, 1 )</f>
        <v>0</v>
      </c>
      <c r="W36" s="93">
        <f xml:space="preserve"> IF( ISNUMBER( J36 ), 0, 1 )</f>
        <v>0</v>
      </c>
      <c r="X36" s="1882"/>
      <c r="Z36" s="1882"/>
      <c r="AA36" s="71"/>
      <c r="AB36" s="1882"/>
      <c r="AD36" s="1882"/>
      <c r="AE36" s="1882"/>
      <c r="AF36" s="1882"/>
      <c r="AH36" s="1882"/>
      <c r="AI36" s="1318" t="s">
        <v>7938</v>
      </c>
      <c r="AJ36" s="1319" t="s">
        <v>7957</v>
      </c>
      <c r="AK36" s="2207" t="s">
        <v>7958</v>
      </c>
      <c r="AL36" s="1463" t="s">
        <v>49</v>
      </c>
      <c r="AM36" s="1464">
        <v>3</v>
      </c>
      <c r="AN36" s="1460" t="str">
        <f t="shared" ref="AN36:AR36" si="45">$D36&amp;AN$23</f>
        <v>W3036WR</v>
      </c>
      <c r="AO36" s="1461" t="str">
        <f t="shared" si="45"/>
        <v>W3036RWD</v>
      </c>
      <c r="AP36" s="1461" t="str">
        <f t="shared" si="45"/>
        <v>W3036WT</v>
      </c>
      <c r="AQ36" s="1461" t="str">
        <f t="shared" si="45"/>
        <v>W3036TWD</v>
      </c>
      <c r="AR36" s="1641" t="str">
        <f t="shared" si="45"/>
        <v>W3036CAW</v>
      </c>
    </row>
    <row r="37" spans="1:44" ht="14">
      <c r="A37" s="1293"/>
      <c r="B37" s="1294"/>
      <c r="C37" s="1293"/>
      <c r="D37" s="1293"/>
      <c r="E37" s="1293"/>
      <c r="F37" s="1293"/>
      <c r="G37" s="1328"/>
      <c r="H37" s="1328"/>
      <c r="I37" s="1328"/>
      <c r="J37" s="1328"/>
      <c r="K37" s="1293"/>
      <c r="L37" s="1882"/>
      <c r="N37" s="1882"/>
      <c r="O37" s="1882"/>
      <c r="P37" s="1882"/>
      <c r="Q37" s="1882"/>
      <c r="R37" s="1882"/>
      <c r="T37" s="1882"/>
      <c r="U37" s="1882"/>
      <c r="V37" s="1882"/>
      <c r="W37" s="1882"/>
      <c r="X37" s="1882"/>
      <c r="Z37" s="1882"/>
      <c r="AB37" s="1882"/>
      <c r="AD37" s="1882"/>
      <c r="AE37" s="1882"/>
      <c r="AF37" s="1882"/>
      <c r="AH37" s="1882"/>
      <c r="AI37" s="1882"/>
      <c r="AJ37" s="1882"/>
      <c r="AK37" s="49"/>
      <c r="AL37" s="1882"/>
      <c r="AM37" s="1882"/>
      <c r="AN37" s="1882"/>
      <c r="AO37" s="1882"/>
      <c r="AP37" s="1882"/>
      <c r="AQ37" s="1882"/>
      <c r="AR37" s="1882"/>
    </row>
    <row r="38" spans="1:44" ht="16">
      <c r="A38" s="1001"/>
      <c r="B38" s="3381" t="s">
        <v>241</v>
      </c>
      <c r="C38" s="3381"/>
      <c r="D38" s="996"/>
      <c r="E38" s="997"/>
      <c r="F38" s="998"/>
      <c r="G38" s="1882"/>
      <c r="H38" s="1882"/>
      <c r="I38" s="1882"/>
      <c r="J38" s="1882"/>
      <c r="K38" s="1882"/>
      <c r="L38" s="1882"/>
      <c r="N38" s="1882"/>
      <c r="O38" s="1004"/>
      <c r="P38" s="1004"/>
      <c r="Q38" s="1004"/>
      <c r="R38" s="1161"/>
      <c r="T38" s="1882"/>
      <c r="U38" s="1882"/>
      <c r="V38" s="1004"/>
      <c r="W38" s="1004"/>
      <c r="X38" s="1882"/>
      <c r="Z38" s="1882"/>
      <c r="AB38" s="1882"/>
      <c r="AD38" s="1882"/>
      <c r="AE38" s="1882"/>
      <c r="AF38" s="1882"/>
      <c r="AH38" s="1882"/>
      <c r="AI38" s="1882"/>
      <c r="AJ38" s="1882"/>
      <c r="AK38" s="49"/>
      <c r="AL38" s="1882"/>
      <c r="AM38" s="1882"/>
      <c r="AN38" s="1882"/>
      <c r="AO38" s="1882"/>
      <c r="AP38" s="1882"/>
      <c r="AQ38" s="1882"/>
      <c r="AR38" s="1882"/>
    </row>
    <row r="39" spans="1:44" ht="16">
      <c r="A39" s="1001"/>
      <c r="B39" s="995"/>
      <c r="C39" s="1002"/>
      <c r="D39" s="996"/>
      <c r="E39" s="997"/>
      <c r="F39" s="998"/>
      <c r="G39" s="1880"/>
      <c r="H39" s="1880"/>
      <c r="I39" s="1880"/>
      <c r="J39" s="1880"/>
      <c r="K39" s="1880"/>
      <c r="L39" s="1880"/>
      <c r="M39" s="1880"/>
      <c r="N39" s="1880"/>
      <c r="O39" s="1004"/>
      <c r="P39" s="1004"/>
      <c r="Q39" s="1004"/>
      <c r="R39" s="1161"/>
      <c r="T39" s="1882"/>
      <c r="U39" s="1882"/>
      <c r="V39" s="1004"/>
      <c r="W39" s="1004"/>
      <c r="X39" s="1882"/>
      <c r="Z39" s="1882"/>
      <c r="AB39" s="1882"/>
      <c r="AD39" s="1882"/>
      <c r="AE39" s="1882"/>
      <c r="AF39" s="1882"/>
      <c r="AH39" s="1882"/>
      <c r="AI39" s="1882"/>
      <c r="AJ39" s="1882"/>
      <c r="AK39" s="49"/>
      <c r="AL39" s="1882"/>
      <c r="AM39" s="1882"/>
      <c r="AN39" s="1882"/>
      <c r="AO39" s="1882"/>
      <c r="AP39" s="1882"/>
      <c r="AQ39" s="1882"/>
      <c r="AR39" s="1882"/>
    </row>
    <row r="40" spans="1:44" ht="16">
      <c r="A40" s="1187"/>
      <c r="B40" s="1218"/>
      <c r="C40" s="1096" t="s">
        <v>188</v>
      </c>
      <c r="D40" s="930"/>
      <c r="E40" s="1187"/>
      <c r="F40" s="1187"/>
      <c r="G40" s="1187"/>
      <c r="H40" s="1187"/>
      <c r="I40" s="1187"/>
      <c r="J40" s="1187"/>
      <c r="K40" s="1187"/>
      <c r="L40" s="1187"/>
      <c r="M40" s="1187"/>
      <c r="N40" s="1187"/>
      <c r="O40" s="1187"/>
      <c r="P40" s="1187"/>
      <c r="Q40" s="1187"/>
      <c r="R40" s="1187"/>
      <c r="S40" s="1642"/>
      <c r="T40" s="1279"/>
      <c r="U40" s="1279"/>
      <c r="V40" s="1279"/>
      <c r="W40" s="1279"/>
      <c r="X40" s="1330"/>
      <c r="Y40" s="1330"/>
      <c r="Z40" s="1882"/>
      <c r="AB40" s="1882"/>
      <c r="AD40" s="1882"/>
      <c r="AE40" s="1882"/>
      <c r="AF40" s="1882"/>
      <c r="AH40" s="1882"/>
      <c r="AI40" s="1882"/>
      <c r="AJ40" s="1882"/>
      <c r="AK40" s="49"/>
      <c r="AL40" s="1882"/>
      <c r="AM40" s="1882"/>
      <c r="AN40" s="1882"/>
      <c r="AO40" s="1882"/>
      <c r="AP40" s="1882"/>
      <c r="AQ40" s="1882"/>
      <c r="AR40" s="1882"/>
    </row>
    <row r="41" spans="1:44" ht="16">
      <c r="A41" s="1161"/>
      <c r="B41" s="1161"/>
      <c r="C41" s="1161"/>
      <c r="D41" s="1161"/>
      <c r="E41" s="1161"/>
      <c r="F41" s="1161"/>
      <c r="G41" s="1161"/>
      <c r="H41" s="1161"/>
      <c r="I41" s="1161"/>
      <c r="J41" s="1161"/>
      <c r="K41" s="1161"/>
      <c r="L41" s="1161"/>
      <c r="M41" s="1161"/>
      <c r="N41" s="1161"/>
      <c r="O41" s="1161"/>
      <c r="P41" s="1161"/>
      <c r="Q41" s="1161"/>
      <c r="R41" s="1161"/>
      <c r="S41" s="1638"/>
      <c r="T41" s="1161"/>
      <c r="U41" s="1161"/>
      <c r="V41" s="1161"/>
      <c r="W41" s="1161"/>
      <c r="X41" s="1161"/>
      <c r="Y41" s="1161"/>
      <c r="Z41" s="1882"/>
      <c r="AB41" s="1882"/>
      <c r="AD41" s="1882"/>
      <c r="AE41" s="1882"/>
      <c r="AF41" s="1882"/>
      <c r="AH41" s="1882"/>
      <c r="AI41" s="1882"/>
      <c r="AJ41" s="1882"/>
      <c r="AK41" s="49"/>
      <c r="AL41" s="1882"/>
      <c r="AM41" s="1882"/>
      <c r="AN41" s="1882"/>
      <c r="AO41" s="1882"/>
      <c r="AP41" s="1882"/>
      <c r="AQ41" s="1882"/>
      <c r="AR41" s="1882"/>
    </row>
    <row r="42" spans="1:44" ht="14.25" customHeight="1">
      <c r="A42" s="1189"/>
      <c r="B42" s="931"/>
      <c r="C42" s="1220" t="s">
        <v>4346</v>
      </c>
      <c r="D42" s="1189"/>
      <c r="E42" s="1189"/>
      <c r="F42" s="1189"/>
      <c r="G42" s="1189"/>
      <c r="H42" s="1189"/>
      <c r="I42" s="1189"/>
      <c r="J42" s="1189"/>
      <c r="K42" s="1189"/>
      <c r="L42" s="1189"/>
      <c r="M42" s="1189"/>
      <c r="N42" s="1189"/>
      <c r="O42" s="1189"/>
      <c r="P42" s="1189"/>
      <c r="Q42" s="1189"/>
      <c r="R42" s="1189"/>
      <c r="S42" s="1639"/>
      <c r="T42" s="1189"/>
      <c r="U42" s="1189"/>
      <c r="V42" s="1189"/>
      <c r="W42" s="1189"/>
      <c r="X42" s="1189"/>
      <c r="Y42" s="1189"/>
      <c r="Z42" s="1882"/>
      <c r="AB42" s="1882"/>
      <c r="AD42" s="1882"/>
      <c r="AE42" s="1882"/>
      <c r="AF42" s="1882"/>
      <c r="AH42" s="1882"/>
      <c r="AI42" s="1882"/>
      <c r="AJ42" s="1882"/>
      <c r="AK42" s="1882"/>
      <c r="AL42" s="1882"/>
      <c r="AM42" s="1882"/>
      <c r="AN42" s="1882"/>
      <c r="AO42" s="1882"/>
      <c r="AP42" s="1882"/>
      <c r="AQ42" s="1882"/>
      <c r="AR42" s="1882"/>
    </row>
    <row r="43" spans="1:44" ht="14.25" customHeight="1">
      <c r="A43" s="1882"/>
      <c r="B43" s="568"/>
      <c r="C43" s="1882"/>
      <c r="D43" s="1882"/>
      <c r="E43" s="1882"/>
      <c r="F43" s="1882"/>
      <c r="G43" s="1882"/>
      <c r="H43" s="1882"/>
      <c r="I43" s="1882"/>
      <c r="J43" s="1882"/>
      <c r="K43" s="1882"/>
      <c r="L43" s="1882"/>
      <c r="N43" s="1882"/>
      <c r="O43" s="1882"/>
      <c r="P43" s="1882"/>
      <c r="Q43" s="1882"/>
      <c r="R43" s="1882"/>
      <c r="T43" s="1882"/>
      <c r="U43" s="1882"/>
      <c r="V43" s="1882"/>
      <c r="W43" s="1882"/>
      <c r="X43" s="1882"/>
      <c r="Z43" s="1882"/>
      <c r="AB43" s="1882"/>
      <c r="AD43" s="1882"/>
      <c r="AE43" s="1882"/>
      <c r="AF43" s="1882"/>
      <c r="AH43" s="1882"/>
      <c r="AI43" s="1882"/>
      <c r="AJ43" s="1882"/>
      <c r="AK43" s="1882"/>
      <c r="AL43" s="1882"/>
      <c r="AM43" s="1882"/>
      <c r="AN43" s="1882"/>
      <c r="AO43" s="1882"/>
      <c r="AP43" s="1882"/>
      <c r="AQ43" s="1882"/>
      <c r="AR43" s="1882"/>
    </row>
    <row r="44" spans="1:44" ht="14.25" customHeight="1" thickBot="1">
      <c r="A44" s="1882"/>
      <c r="B44" s="568"/>
      <c r="C44" s="1882"/>
      <c r="D44" s="1882"/>
      <c r="E44" s="1882"/>
      <c r="F44" s="1882"/>
      <c r="G44" s="1882"/>
      <c r="H44" s="1882"/>
      <c r="I44" s="1882"/>
      <c r="J44" s="1882"/>
      <c r="K44" s="1882"/>
      <c r="L44" s="1882"/>
      <c r="N44" s="1882"/>
      <c r="O44" s="1882"/>
      <c r="P44" s="1882"/>
      <c r="Q44" s="1882"/>
      <c r="R44" s="1882"/>
      <c r="T44" s="1882"/>
      <c r="U44" s="1882"/>
      <c r="V44" s="1882"/>
      <c r="W44" s="1882"/>
      <c r="X44" s="1882"/>
      <c r="Z44" s="1882"/>
      <c r="AB44" s="1882"/>
      <c r="AD44" s="1882"/>
      <c r="AE44" s="1882"/>
      <c r="AF44" s="1882"/>
      <c r="AH44" s="1882"/>
      <c r="AI44" s="1882"/>
      <c r="AJ44" s="1882"/>
      <c r="AK44" s="1882"/>
      <c r="AL44" s="1882"/>
      <c r="AM44" s="1882"/>
      <c r="AN44" s="1882"/>
      <c r="AO44" s="1882"/>
      <c r="AP44" s="1882"/>
      <c r="AQ44" s="1882"/>
      <c r="AR44" s="1882"/>
    </row>
    <row r="45" spans="1:44" ht="14.25" customHeight="1" thickBot="1">
      <c r="A45" s="1882"/>
      <c r="B45" s="3475" t="s">
        <v>190</v>
      </c>
      <c r="C45" s="3254"/>
      <c r="D45" s="3254"/>
      <c r="E45" s="3254"/>
      <c r="F45" s="3254"/>
      <c r="G45" s="3254"/>
      <c r="H45" s="3254"/>
      <c r="I45" s="3254"/>
      <c r="J45" s="3254"/>
      <c r="K45" s="3255"/>
      <c r="L45" s="1882"/>
      <c r="N45" s="1882"/>
      <c r="O45" s="1882"/>
      <c r="P45" s="1882"/>
      <c r="Q45" s="1882"/>
      <c r="R45" s="1882"/>
      <c r="T45" s="1882"/>
      <c r="U45" s="1882"/>
      <c r="V45" s="1882"/>
      <c r="W45" s="1882"/>
      <c r="X45" s="1882"/>
      <c r="Z45" s="1882"/>
      <c r="AB45" s="1882"/>
      <c r="AD45" s="1882"/>
      <c r="AE45" s="1882"/>
      <c r="AF45" s="1882"/>
      <c r="AH45" s="1882"/>
      <c r="AI45" s="1882"/>
      <c r="AJ45" s="1882"/>
      <c r="AK45" s="1882"/>
      <c r="AL45" s="1882"/>
      <c r="AM45" s="1882"/>
      <c r="AN45" s="1882"/>
      <c r="AO45" s="1882"/>
      <c r="AP45" s="1882"/>
      <c r="AQ45" s="1882"/>
      <c r="AR45" s="1882"/>
    </row>
    <row r="46" spans="1:44" s="1882" customFormat="1" ht="14.25" customHeight="1" thickBot="1">
      <c r="S46" s="1635"/>
      <c r="AA46" s="1635"/>
      <c r="AC46" s="1635"/>
      <c r="AG46" s="1635"/>
    </row>
    <row r="47" spans="1:44" s="1882" customFormat="1" ht="99" customHeight="1" thickBot="1">
      <c r="B47" s="3476" t="s">
        <v>7959</v>
      </c>
      <c r="C47" s="3477"/>
      <c r="D47" s="3477"/>
      <c r="E47" s="3477"/>
      <c r="F47" s="3477"/>
      <c r="G47" s="3477"/>
      <c r="H47" s="3477"/>
      <c r="I47" s="3477"/>
      <c r="J47" s="3477"/>
      <c r="K47" s="3478"/>
      <c r="S47" s="1635"/>
      <c r="AA47" s="1635"/>
      <c r="AC47" s="1635"/>
      <c r="AG47" s="1635"/>
    </row>
    <row r="48" spans="1:44" ht="14.25" customHeight="1">
      <c r="A48" s="1882"/>
      <c r="B48" s="568"/>
      <c r="C48" s="1882"/>
      <c r="D48" s="1882"/>
      <c r="E48" s="1882"/>
      <c r="F48" s="1882"/>
      <c r="G48" s="1882"/>
      <c r="H48" s="1882"/>
      <c r="I48" s="1882"/>
      <c r="J48" s="1882"/>
      <c r="K48" s="1882"/>
      <c r="L48" s="1882"/>
      <c r="N48" s="1882"/>
      <c r="O48" s="1882"/>
      <c r="P48" s="1882"/>
      <c r="Q48" s="1882"/>
      <c r="R48" s="1882"/>
      <c r="T48" s="1882"/>
      <c r="U48" s="1882"/>
      <c r="V48" s="1882"/>
      <c r="W48" s="1882"/>
      <c r="X48" s="1882"/>
      <c r="Z48" s="1882"/>
      <c r="AB48" s="1882"/>
      <c r="AD48" s="1882"/>
      <c r="AE48" s="1882"/>
      <c r="AF48" s="1882"/>
      <c r="AH48" s="1882"/>
      <c r="AI48" s="1882"/>
      <c r="AJ48" s="1882"/>
      <c r="AK48" s="1882"/>
      <c r="AL48" s="1882"/>
      <c r="AM48" s="1882"/>
      <c r="AN48" s="1882"/>
      <c r="AO48" s="1882"/>
      <c r="AP48" s="1882"/>
      <c r="AQ48" s="1882"/>
      <c r="AR48" s="1882"/>
    </row>
    <row r="49" spans="1:33" ht="14.25" hidden="1" customHeight="1" thickBot="1">
      <c r="A49" s="1571"/>
      <c r="B49" s="3175" t="str">
        <f ca="1" xml:space="preserve"> RIGHT(CELL("filename", $A$1), LEN(CELL("filename", $A$1)) - SEARCH("]", CELL("filename", $A$1)))&amp;" - Line definitions"</f>
        <v>4V - Line definitions</v>
      </c>
      <c r="C49" s="3313"/>
      <c r="D49" s="3313"/>
      <c r="E49" s="3313"/>
      <c r="F49" s="3313"/>
      <c r="G49" s="3313"/>
      <c r="H49" s="3313"/>
      <c r="I49" s="3313"/>
      <c r="J49" s="3313"/>
      <c r="K49" s="3314"/>
      <c r="L49" s="1882"/>
      <c r="N49" s="1882"/>
      <c r="O49" s="1882"/>
      <c r="P49" s="1882"/>
      <c r="Q49" s="1882"/>
      <c r="R49" s="1882"/>
      <c r="T49" s="1882"/>
      <c r="U49" s="1882"/>
      <c r="V49" s="1882"/>
      <c r="W49" s="1882"/>
      <c r="X49" s="1882"/>
      <c r="Z49" s="1882"/>
      <c r="AB49" s="1882"/>
      <c r="AD49" s="1882"/>
      <c r="AE49" s="1882"/>
      <c r="AF49" s="1882"/>
    </row>
    <row r="50" spans="1:33" ht="14.25" hidden="1" customHeight="1" thickBot="1">
      <c r="A50" s="1571"/>
      <c r="B50" s="568"/>
      <c r="C50" s="1882"/>
      <c r="D50" s="1882"/>
      <c r="E50" s="1882"/>
      <c r="F50" s="1882"/>
      <c r="G50" s="1882"/>
      <c r="H50" s="1882"/>
      <c r="I50" s="1882"/>
      <c r="J50" s="1882"/>
      <c r="K50" s="1882"/>
      <c r="L50" s="1882"/>
      <c r="N50" s="1882"/>
      <c r="O50" s="1882"/>
      <c r="P50" s="1882"/>
      <c r="Q50" s="1882"/>
      <c r="R50" s="1882"/>
      <c r="T50" s="1882"/>
      <c r="U50" s="1882"/>
      <c r="V50" s="1882"/>
      <c r="W50" s="1882"/>
      <c r="X50" s="1882"/>
      <c r="Z50" s="1882"/>
      <c r="AB50" s="1882"/>
      <c r="AD50" s="1882"/>
      <c r="AE50" s="1882"/>
      <c r="AF50" s="1882"/>
    </row>
    <row r="51" spans="1:33" ht="14.25" hidden="1" customHeight="1" thickBot="1">
      <c r="A51" s="1571"/>
      <c r="B51" s="1957" t="s">
        <v>191</v>
      </c>
      <c r="C51" s="3469" t="s">
        <v>192</v>
      </c>
      <c r="D51" s="3470"/>
      <c r="E51" s="3470"/>
      <c r="F51" s="3470"/>
      <c r="G51" s="3470"/>
      <c r="H51" s="3470"/>
      <c r="I51" s="3470"/>
      <c r="J51" s="3470"/>
      <c r="K51" s="3471"/>
      <c r="L51" s="1882"/>
      <c r="N51" s="1882"/>
      <c r="O51" s="1882"/>
      <c r="P51" s="1882"/>
      <c r="Q51" s="1882"/>
      <c r="R51" s="1882"/>
      <c r="T51" s="1882"/>
      <c r="U51" s="1882"/>
      <c r="V51" s="1882"/>
      <c r="W51" s="1882"/>
      <c r="X51" s="1882"/>
      <c r="Z51" s="1882"/>
      <c r="AB51" s="1882"/>
      <c r="AD51" s="1882"/>
      <c r="AE51" s="1882"/>
      <c r="AF51" s="1882"/>
    </row>
    <row r="52" spans="1:33" ht="14.25" hidden="1" customHeight="1">
      <c r="A52" s="1571"/>
      <c r="B52" s="1958">
        <v>1</v>
      </c>
      <c r="C52" s="3457" t="s">
        <v>1233</v>
      </c>
      <c r="D52" s="3458"/>
      <c r="E52" s="3458"/>
      <c r="F52" s="3458"/>
      <c r="G52" s="3458"/>
      <c r="H52" s="3458"/>
      <c r="I52" s="3458"/>
      <c r="J52" s="3458"/>
      <c r="K52" s="3459"/>
      <c r="L52" s="1882"/>
      <c r="N52" s="1882"/>
      <c r="O52" s="1882"/>
      <c r="P52" s="1882"/>
      <c r="Q52" s="1882"/>
      <c r="R52" s="1882"/>
      <c r="T52" s="1882"/>
      <c r="U52" s="1882"/>
      <c r="V52" s="1882"/>
      <c r="W52" s="1882"/>
      <c r="X52" s="1882"/>
      <c r="Z52" s="1882"/>
      <c r="AB52" s="1882"/>
      <c r="AD52" s="1882"/>
      <c r="AE52" s="1882"/>
      <c r="AF52" s="1882"/>
    </row>
    <row r="53" spans="1:33" ht="57" hidden="1" customHeight="1">
      <c r="A53" s="1571"/>
      <c r="B53" s="1958">
        <f t="shared" ref="B53:B58" si="46">+B52+1</f>
        <v>2</v>
      </c>
      <c r="C53" s="3457" t="s">
        <v>2856</v>
      </c>
      <c r="D53" s="3458"/>
      <c r="E53" s="3458"/>
      <c r="F53" s="3458"/>
      <c r="G53" s="3458"/>
      <c r="H53" s="3458"/>
      <c r="I53" s="3458"/>
      <c r="J53" s="3458"/>
      <c r="K53" s="3459"/>
      <c r="L53" s="1882"/>
      <c r="N53" s="1882"/>
      <c r="O53" s="1882"/>
      <c r="P53" s="1882"/>
      <c r="Q53" s="1882"/>
      <c r="R53" s="1882"/>
      <c r="T53" s="1882"/>
      <c r="U53" s="1882"/>
      <c r="V53" s="1882"/>
      <c r="W53" s="1882"/>
      <c r="X53" s="1882"/>
      <c r="Z53" s="1882"/>
      <c r="AB53" s="1882"/>
      <c r="AD53" s="1882"/>
      <c r="AE53" s="1882"/>
      <c r="AF53" s="1882"/>
    </row>
    <row r="54" spans="1:33" s="1882" customFormat="1" ht="14" hidden="1">
      <c r="A54" s="1571"/>
      <c r="B54" s="1958">
        <f t="shared" si="46"/>
        <v>3</v>
      </c>
      <c r="C54" s="3457" t="s">
        <v>2857</v>
      </c>
      <c r="D54" s="3458"/>
      <c r="E54" s="3458"/>
      <c r="F54" s="3458"/>
      <c r="G54" s="3458"/>
      <c r="H54" s="3458"/>
      <c r="I54" s="3458"/>
      <c r="J54" s="3458"/>
      <c r="K54" s="3459"/>
      <c r="S54" s="1635"/>
      <c r="AA54" s="1635"/>
      <c r="AC54" s="1635"/>
      <c r="AG54" s="1635"/>
    </row>
    <row r="55" spans="1:33" s="1882" customFormat="1" ht="14" hidden="1">
      <c r="A55" s="1571"/>
      <c r="B55" s="1958">
        <f t="shared" si="46"/>
        <v>4</v>
      </c>
      <c r="C55" s="3457" t="s">
        <v>2858</v>
      </c>
      <c r="D55" s="3458"/>
      <c r="E55" s="3458"/>
      <c r="F55" s="3458"/>
      <c r="G55" s="3458"/>
      <c r="H55" s="3458"/>
      <c r="I55" s="3458"/>
      <c r="J55" s="3458"/>
      <c r="K55" s="3459"/>
      <c r="S55" s="1635"/>
      <c r="AA55" s="1635"/>
      <c r="AC55" s="1635"/>
      <c r="AG55" s="1635"/>
    </row>
    <row r="56" spans="1:33" s="1882" customFormat="1" ht="33" hidden="1" customHeight="1">
      <c r="A56" s="1571"/>
      <c r="B56" s="1958">
        <f t="shared" si="46"/>
        <v>5</v>
      </c>
      <c r="C56" s="3457" t="s">
        <v>1237</v>
      </c>
      <c r="D56" s="3458"/>
      <c r="E56" s="3458"/>
      <c r="F56" s="3458"/>
      <c r="G56" s="3458"/>
      <c r="H56" s="3458"/>
      <c r="I56" s="3458"/>
      <c r="J56" s="3458"/>
      <c r="K56" s="3459"/>
      <c r="S56" s="1635"/>
      <c r="AA56" s="1635"/>
      <c r="AC56" s="1635"/>
      <c r="AG56" s="1635"/>
    </row>
    <row r="57" spans="1:33" s="1882" customFormat="1" ht="14" hidden="1">
      <c r="A57" s="1571"/>
      <c r="B57" s="1958">
        <f t="shared" si="46"/>
        <v>6</v>
      </c>
      <c r="C57" s="3457" t="s">
        <v>1238</v>
      </c>
      <c r="D57" s="3458"/>
      <c r="E57" s="3458"/>
      <c r="F57" s="3458"/>
      <c r="G57" s="3458"/>
      <c r="H57" s="3458"/>
      <c r="I57" s="3458"/>
      <c r="J57" s="3458"/>
      <c r="K57" s="3459"/>
      <c r="S57" s="1635"/>
      <c r="AA57" s="1635"/>
      <c r="AC57" s="1635"/>
      <c r="AG57" s="1635"/>
    </row>
    <row r="58" spans="1:33" ht="14.25" hidden="1" customHeight="1">
      <c r="A58" s="1571"/>
      <c r="B58" s="1958">
        <f t="shared" si="46"/>
        <v>7</v>
      </c>
      <c r="C58" s="3457" t="s">
        <v>7960</v>
      </c>
      <c r="D58" s="3458"/>
      <c r="E58" s="3458"/>
      <c r="F58" s="3458"/>
      <c r="G58" s="3458"/>
      <c r="H58" s="3458"/>
      <c r="I58" s="3458"/>
      <c r="J58" s="3458"/>
      <c r="K58" s="3459"/>
      <c r="L58" s="1882"/>
      <c r="N58" s="1882"/>
      <c r="O58" s="1882"/>
      <c r="P58" s="1882"/>
      <c r="Q58" s="1882"/>
      <c r="R58" s="1882"/>
      <c r="T58" s="1882"/>
      <c r="U58" s="1882"/>
      <c r="V58" s="1882"/>
      <c r="W58" s="1882"/>
      <c r="X58" s="1882"/>
      <c r="Z58" s="1882"/>
      <c r="AB58" s="1882"/>
      <c r="AD58" s="1882"/>
      <c r="AE58" s="1882"/>
      <c r="AF58" s="1882"/>
    </row>
    <row r="59" spans="1:33" ht="14.25" hidden="1" customHeight="1">
      <c r="A59" s="1571"/>
      <c r="B59" s="1958">
        <f t="shared" ref="B59:B64" si="47">+B58+1</f>
        <v>8</v>
      </c>
      <c r="C59" s="3457" t="s">
        <v>7961</v>
      </c>
      <c r="D59" s="3458"/>
      <c r="E59" s="3458"/>
      <c r="F59" s="3458"/>
      <c r="G59" s="3458"/>
      <c r="H59" s="3458"/>
      <c r="I59" s="3458"/>
      <c r="J59" s="3458"/>
      <c r="K59" s="3459"/>
      <c r="L59" s="1882"/>
      <c r="N59" s="1882"/>
      <c r="O59" s="1882"/>
      <c r="P59" s="1882"/>
      <c r="Q59" s="1882"/>
      <c r="R59" s="1882"/>
      <c r="T59" s="1882"/>
      <c r="U59" s="1882"/>
      <c r="V59" s="1882"/>
      <c r="W59" s="1882"/>
      <c r="X59" s="1882"/>
      <c r="Z59" s="1882"/>
      <c r="AB59" s="1882"/>
      <c r="AD59" s="1882"/>
      <c r="AE59" s="1882"/>
      <c r="AF59" s="1882"/>
    </row>
    <row r="60" spans="1:33" ht="14.25" hidden="1" customHeight="1">
      <c r="A60" s="1571"/>
      <c r="B60" s="1958">
        <f t="shared" si="47"/>
        <v>9</v>
      </c>
      <c r="C60" s="3457" t="s">
        <v>7962</v>
      </c>
      <c r="D60" s="3458"/>
      <c r="E60" s="3458"/>
      <c r="F60" s="3458"/>
      <c r="G60" s="3458"/>
      <c r="H60" s="3458"/>
      <c r="I60" s="3458"/>
      <c r="J60" s="3458"/>
      <c r="K60" s="3459"/>
      <c r="L60" s="1882"/>
      <c r="N60" s="1882"/>
      <c r="O60" s="1882"/>
      <c r="P60" s="1882"/>
      <c r="Q60" s="1882"/>
      <c r="R60" s="1882"/>
      <c r="T60" s="1882"/>
      <c r="U60" s="1882"/>
      <c r="V60" s="1882"/>
      <c r="W60" s="1882"/>
      <c r="X60" s="1882"/>
      <c r="Z60" s="1882"/>
      <c r="AB60" s="1882"/>
      <c r="AD60" s="1882"/>
      <c r="AE60" s="1882"/>
      <c r="AF60" s="1882"/>
    </row>
    <row r="61" spans="1:33" ht="14.25" hidden="1" customHeight="1">
      <c r="A61" s="1571"/>
      <c r="B61" s="1958">
        <f t="shared" si="47"/>
        <v>10</v>
      </c>
      <c r="C61" s="3457" t="s">
        <v>2861</v>
      </c>
      <c r="D61" s="3458"/>
      <c r="E61" s="3458"/>
      <c r="F61" s="3458"/>
      <c r="G61" s="3458"/>
      <c r="H61" s="3458"/>
      <c r="I61" s="3458"/>
      <c r="J61" s="3458"/>
      <c r="K61" s="3459"/>
      <c r="L61" s="1882"/>
      <c r="N61" s="1882"/>
      <c r="O61" s="1882"/>
      <c r="P61" s="1882"/>
      <c r="Q61" s="1882"/>
      <c r="R61" s="1882"/>
      <c r="T61" s="1882"/>
      <c r="U61" s="1882"/>
      <c r="V61" s="1882"/>
      <c r="W61" s="1882"/>
      <c r="X61" s="1882"/>
      <c r="Z61" s="1882"/>
      <c r="AB61" s="1882"/>
      <c r="AD61" s="1882"/>
      <c r="AE61" s="1882"/>
      <c r="AF61" s="1882"/>
    </row>
    <row r="62" spans="1:33" s="1882" customFormat="1" ht="14.25" hidden="1" customHeight="1">
      <c r="A62" s="1571"/>
      <c r="B62" s="1958">
        <f t="shared" si="47"/>
        <v>11</v>
      </c>
      <c r="C62" s="3457" t="s">
        <v>7963</v>
      </c>
      <c r="D62" s="3458"/>
      <c r="E62" s="3458"/>
      <c r="F62" s="3458"/>
      <c r="G62" s="3458"/>
      <c r="H62" s="3458"/>
      <c r="I62" s="3458"/>
      <c r="J62" s="3458"/>
      <c r="K62" s="3459"/>
      <c r="S62" s="1635"/>
      <c r="AA62" s="1635"/>
      <c r="AC62" s="1635"/>
      <c r="AG62" s="1635"/>
    </row>
    <row r="63" spans="1:33" ht="14.25" hidden="1" customHeight="1">
      <c r="A63" s="1571"/>
      <c r="B63" s="1958">
        <f t="shared" si="47"/>
        <v>12</v>
      </c>
      <c r="C63" s="3457" t="s">
        <v>7964</v>
      </c>
      <c r="D63" s="3458"/>
      <c r="E63" s="3458"/>
      <c r="F63" s="3458"/>
      <c r="G63" s="3458"/>
      <c r="H63" s="3458"/>
      <c r="I63" s="3458"/>
      <c r="J63" s="3458"/>
      <c r="K63" s="3459"/>
      <c r="L63" s="1882"/>
      <c r="N63" s="1882"/>
      <c r="O63" s="1882"/>
      <c r="P63" s="1882"/>
      <c r="Q63" s="1882"/>
      <c r="R63" s="1882"/>
      <c r="T63" s="1882"/>
      <c r="U63" s="1882"/>
      <c r="V63" s="1882"/>
      <c r="W63" s="1882"/>
      <c r="X63" s="1882"/>
      <c r="Z63" s="1882"/>
      <c r="AB63" s="1882"/>
      <c r="AD63" s="1882"/>
      <c r="AE63" s="1882"/>
      <c r="AF63" s="1882"/>
    </row>
    <row r="64" spans="1:33" ht="14.25" hidden="1" customHeight="1" thickBot="1">
      <c r="A64" s="1571"/>
      <c r="B64" s="1331">
        <f t="shared" si="47"/>
        <v>13</v>
      </c>
      <c r="C64" s="3460" t="s">
        <v>7965</v>
      </c>
      <c r="D64" s="3461"/>
      <c r="E64" s="3461"/>
      <c r="F64" s="3461"/>
      <c r="G64" s="3461"/>
      <c r="H64" s="3461"/>
      <c r="I64" s="3461"/>
      <c r="J64" s="3461"/>
      <c r="K64" s="3462"/>
      <c r="L64" s="1882"/>
      <c r="N64" s="1882"/>
      <c r="O64" s="1882"/>
      <c r="P64" s="1882"/>
      <c r="Q64" s="1882"/>
      <c r="R64" s="1882"/>
      <c r="T64" s="1882"/>
      <c r="U64" s="1882"/>
      <c r="V64" s="1882"/>
      <c r="W64" s="1882"/>
      <c r="X64" s="1882"/>
      <c r="Z64" s="1882"/>
      <c r="AB64" s="1882"/>
      <c r="AD64" s="1882"/>
      <c r="AE64" s="1882"/>
      <c r="AF64" s="1882"/>
    </row>
    <row r="65" spans="1:11" ht="14.25" hidden="1" customHeight="1" thickBot="1">
      <c r="A65" s="1571"/>
      <c r="B65" s="568"/>
      <c r="C65" s="1882"/>
      <c r="D65" s="1882"/>
      <c r="E65" s="1882"/>
      <c r="F65" s="1882"/>
      <c r="G65" s="1882"/>
      <c r="H65" s="1882"/>
      <c r="I65" s="1882"/>
      <c r="J65" s="1882"/>
      <c r="K65" s="1882"/>
    </row>
    <row r="66" spans="1:11" ht="14.25" hidden="1" customHeight="1" thickBot="1">
      <c r="A66" s="1571"/>
      <c r="B66" s="1259" t="s">
        <v>191</v>
      </c>
      <c r="C66" s="3472" t="s">
        <v>192</v>
      </c>
      <c r="D66" s="3473"/>
      <c r="E66" s="3473"/>
      <c r="F66" s="3473"/>
      <c r="G66" s="3473"/>
      <c r="H66" s="3473"/>
      <c r="I66" s="3473"/>
      <c r="J66" s="3473"/>
      <c r="K66" s="3474"/>
    </row>
    <row r="67" spans="1:11" ht="54.75" hidden="1" customHeight="1">
      <c r="A67" s="1571"/>
      <c r="B67" s="1332">
        <f>+B64+1</f>
        <v>14</v>
      </c>
      <c r="C67" s="3466" t="s">
        <v>7966</v>
      </c>
      <c r="D67" s="3467"/>
      <c r="E67" s="3467"/>
      <c r="F67" s="3467"/>
      <c r="G67" s="3467"/>
      <c r="H67" s="3467"/>
      <c r="I67" s="3467"/>
      <c r="J67" s="3467"/>
      <c r="K67" s="3468"/>
    </row>
    <row r="68" spans="1:11" ht="67.5" hidden="1" customHeight="1">
      <c r="A68" s="1571"/>
      <c r="B68" s="1958">
        <f t="shared" ref="B68:B75" si="48">+B67+1</f>
        <v>15</v>
      </c>
      <c r="C68" s="3457" t="s">
        <v>7967</v>
      </c>
      <c r="D68" s="3458"/>
      <c r="E68" s="3458"/>
      <c r="F68" s="3458"/>
      <c r="G68" s="3458"/>
      <c r="H68" s="3458"/>
      <c r="I68" s="3458"/>
      <c r="J68" s="3458"/>
      <c r="K68" s="3459"/>
    </row>
    <row r="69" spans="1:11" ht="14.25" hidden="1" customHeight="1">
      <c r="A69" s="1571"/>
      <c r="B69" s="1958">
        <f t="shared" si="48"/>
        <v>16</v>
      </c>
      <c r="C69" s="3457" t="s">
        <v>7968</v>
      </c>
      <c r="D69" s="3458"/>
      <c r="E69" s="3458"/>
      <c r="F69" s="3458"/>
      <c r="G69" s="3458"/>
      <c r="H69" s="3458"/>
      <c r="I69" s="3458"/>
      <c r="J69" s="3458"/>
      <c r="K69" s="3459"/>
    </row>
    <row r="70" spans="1:11" ht="14.25" hidden="1" customHeight="1">
      <c r="A70" s="1571"/>
      <c r="B70" s="1958">
        <f t="shared" si="48"/>
        <v>17</v>
      </c>
      <c r="C70" s="3457" t="s">
        <v>7969</v>
      </c>
      <c r="D70" s="3458"/>
      <c r="E70" s="3458"/>
      <c r="F70" s="3458"/>
      <c r="G70" s="3458"/>
      <c r="H70" s="3458"/>
      <c r="I70" s="3458"/>
      <c r="J70" s="3458"/>
      <c r="K70" s="3459"/>
    </row>
    <row r="71" spans="1:11" ht="27" hidden="1" customHeight="1">
      <c r="A71" s="1571"/>
      <c r="B71" s="1958">
        <f t="shared" si="48"/>
        <v>18</v>
      </c>
      <c r="C71" s="3457" t="s">
        <v>7970</v>
      </c>
      <c r="D71" s="3458"/>
      <c r="E71" s="3458"/>
      <c r="F71" s="3458"/>
      <c r="G71" s="3458"/>
      <c r="H71" s="3458"/>
      <c r="I71" s="3458"/>
      <c r="J71" s="3458"/>
      <c r="K71" s="3459"/>
    </row>
    <row r="72" spans="1:11" ht="14.25" hidden="1" customHeight="1">
      <c r="A72" s="1571"/>
      <c r="B72" s="1958">
        <f t="shared" si="48"/>
        <v>19</v>
      </c>
      <c r="C72" s="3457" t="s">
        <v>7971</v>
      </c>
      <c r="D72" s="3458"/>
      <c r="E72" s="3458"/>
      <c r="F72" s="3458"/>
      <c r="G72" s="3458"/>
      <c r="H72" s="3458"/>
      <c r="I72" s="3458"/>
      <c r="J72" s="3458"/>
      <c r="K72" s="3459"/>
    </row>
    <row r="73" spans="1:11" ht="14.25" hidden="1" customHeight="1">
      <c r="A73" s="1571"/>
      <c r="B73" s="1958">
        <f t="shared" si="48"/>
        <v>20</v>
      </c>
      <c r="C73" s="3457" t="s">
        <v>7972</v>
      </c>
      <c r="D73" s="3458"/>
      <c r="E73" s="3458"/>
      <c r="F73" s="3458"/>
      <c r="G73" s="3458"/>
      <c r="H73" s="3458"/>
      <c r="I73" s="3458"/>
      <c r="J73" s="3458"/>
      <c r="K73" s="3459"/>
    </row>
    <row r="74" spans="1:11" ht="14" hidden="1">
      <c r="A74" s="1571"/>
      <c r="B74" s="1958">
        <f t="shared" si="48"/>
        <v>21</v>
      </c>
      <c r="C74" s="3457" t="s">
        <v>7973</v>
      </c>
      <c r="D74" s="3458"/>
      <c r="E74" s="3458"/>
      <c r="F74" s="3458"/>
      <c r="G74" s="3458"/>
      <c r="H74" s="3458"/>
      <c r="I74" s="3458"/>
      <c r="J74" s="3458"/>
      <c r="K74" s="3459"/>
    </row>
    <row r="75" spans="1:11" ht="15" hidden="1" customHeight="1" thickBot="1">
      <c r="A75" s="1571"/>
      <c r="B75" s="1331">
        <f t="shared" si="48"/>
        <v>22</v>
      </c>
      <c r="C75" s="3460" t="s">
        <v>7974</v>
      </c>
      <c r="D75" s="3461"/>
      <c r="E75" s="3461"/>
      <c r="F75" s="3461"/>
      <c r="G75" s="3461"/>
      <c r="H75" s="3461"/>
      <c r="I75" s="3461"/>
      <c r="J75" s="3461"/>
      <c r="K75" s="3462"/>
    </row>
    <row r="76" spans="1:11" ht="14" hidden="1">
      <c r="A76" s="1882"/>
      <c r="B76" s="1882"/>
      <c r="C76" s="1882"/>
      <c r="D76" s="1882"/>
      <c r="E76" s="1882"/>
      <c r="F76" s="1882"/>
      <c r="G76" s="1882"/>
      <c r="H76" s="1882"/>
      <c r="I76" s="1882"/>
      <c r="J76" s="1882"/>
      <c r="K76" s="1882"/>
    </row>
    <row r="77" spans="1:11" ht="14" hidden="1">
      <c r="A77" s="1882"/>
      <c r="B77" s="1882"/>
      <c r="C77" s="1882"/>
      <c r="D77" s="1882"/>
      <c r="E77" s="1882"/>
      <c r="F77" s="1882"/>
      <c r="G77" s="1882"/>
      <c r="H77" s="1882"/>
      <c r="I77" s="1882"/>
      <c r="J77" s="1882"/>
      <c r="K77" s="1882"/>
    </row>
    <row r="78" spans="1:11" ht="14" hidden="1">
      <c r="A78" s="1882"/>
      <c r="B78" s="1882"/>
      <c r="C78" s="1882"/>
      <c r="D78" s="1882"/>
      <c r="E78" s="1882"/>
      <c r="F78" s="1882"/>
      <c r="G78" s="1882"/>
      <c r="H78" s="1882"/>
      <c r="I78" s="1882"/>
      <c r="J78" s="1882"/>
      <c r="K78" s="1882"/>
    </row>
    <row r="79" spans="1:11" ht="14" hidden="1">
      <c r="A79" s="1882"/>
      <c r="B79" s="1882"/>
      <c r="C79" s="1882"/>
      <c r="D79" s="1882"/>
      <c r="E79" s="1882"/>
      <c r="F79" s="1882"/>
      <c r="G79" s="1882"/>
      <c r="H79" s="1882"/>
      <c r="I79" s="1882"/>
      <c r="J79" s="1882"/>
      <c r="K79" s="1882"/>
    </row>
    <row r="80" spans="1:11" ht="14" hidden="1">
      <c r="A80" s="1882"/>
      <c r="B80" s="1882"/>
      <c r="C80" s="1882"/>
      <c r="D80" s="1882"/>
      <c r="E80" s="1882"/>
      <c r="F80" s="1882"/>
      <c r="G80" s="1882"/>
      <c r="H80" s="1882"/>
      <c r="I80" s="1882"/>
      <c r="J80" s="1882"/>
      <c r="K80" s="1882"/>
    </row>
    <row r="81" ht="14" hidden="1"/>
    <row r="82" ht="14" hidden="1"/>
    <row r="83" ht="14" hidden="1"/>
    <row r="84" ht="14" hidden="1"/>
    <row r="85" ht="14" hidden="1"/>
    <row r="86" ht="14" hidden="1"/>
    <row r="87" ht="14" hidden="1"/>
    <row r="88" ht="14" hidden="1"/>
    <row r="89" ht="14" hidden="1"/>
    <row r="90" ht="14" hidden="1"/>
    <row r="91" ht="14" hidden="1"/>
    <row r="92" ht="14" hidden="1"/>
    <row r="93" ht="14" hidden="1"/>
    <row r="94" ht="14" hidden="1"/>
    <row r="95" ht="14" hidden="1"/>
    <row r="96" ht="14" hidden="1"/>
    <row r="97" ht="14" hidden="1"/>
    <row r="98" ht="14" hidden="1"/>
    <row r="99" ht="14" hidden="1"/>
    <row r="100" ht="14" hidden="1"/>
    <row r="101" ht="14" hidden="1"/>
    <row r="102" ht="14" hidden="1"/>
    <row r="103" ht="14" hidden="1"/>
    <row r="104" ht="14" hidden="1"/>
    <row r="105" ht="14" hidden="1"/>
    <row r="106" ht="14" hidden="1"/>
    <row r="107" ht="14" hidden="1"/>
    <row r="108" ht="14" hidden="1"/>
    <row r="109" ht="14" hidden="1"/>
    <row r="110" ht="14" hidden="1"/>
    <row r="111" ht="14" hidden="1"/>
    <row r="112" ht="14" hidden="1"/>
    <row r="113" ht="14" hidden="1"/>
    <row r="114" ht="14" hidden="1"/>
    <row r="115" ht="14" hidden="1"/>
    <row r="116" ht="14" hidden="1"/>
  </sheetData>
  <sheetProtection algorithmName="SHA-512" hashValue="aC+Ue1wEIzeGldbGVsNrFD+5N6lhRTcJ56SIlRN63p0egvpJB6l0O/aHzpgqriZl5pM9vsS3hpbncrBSaQ8sHg==" saltValue="1GBjx7QKCAunTonEyXnrUA==" spinCount="100000" sheet="1" objects="1" scenarios="1"/>
  <mergeCells count="30">
    <mergeCell ref="B45:K45"/>
    <mergeCell ref="C55:K55"/>
    <mergeCell ref="C56:K56"/>
    <mergeCell ref="C57:K57"/>
    <mergeCell ref="C62:K62"/>
    <mergeCell ref="B47:K47"/>
    <mergeCell ref="AI5:AJ5"/>
    <mergeCell ref="B38:C38"/>
    <mergeCell ref="B5:C5"/>
    <mergeCell ref="C67:K67"/>
    <mergeCell ref="B49:K49"/>
    <mergeCell ref="C51:K51"/>
    <mergeCell ref="C52:K52"/>
    <mergeCell ref="C53:K53"/>
    <mergeCell ref="C58:K58"/>
    <mergeCell ref="C59:K59"/>
    <mergeCell ref="C60:K60"/>
    <mergeCell ref="C61:K61"/>
    <mergeCell ref="C63:K63"/>
    <mergeCell ref="C64:K64"/>
    <mergeCell ref="C66:K66"/>
    <mergeCell ref="C54:K54"/>
    <mergeCell ref="C74:K74"/>
    <mergeCell ref="C75:K75"/>
    <mergeCell ref="C68:K68"/>
    <mergeCell ref="C69:K69"/>
    <mergeCell ref="C70:K70"/>
    <mergeCell ref="C71:K71"/>
    <mergeCell ref="C72:K72"/>
    <mergeCell ref="C73:K73"/>
  </mergeCells>
  <conditionalFormatting sqref="Q7:Q8 Q11 Q16">
    <cfRule type="cellIs" dxfId="76" priority="9" operator="equal">
      <formula>0</formula>
    </cfRule>
  </conditionalFormatting>
  <conditionalFormatting sqref="Q25:Q29">
    <cfRule type="cellIs" dxfId="75" priority="8" operator="equal">
      <formula>0</formula>
    </cfRule>
  </conditionalFormatting>
  <conditionalFormatting sqref="Q32:Q34 Q36">
    <cfRule type="cellIs" dxfId="74" priority="7" operator="equal">
      <formula>0</formula>
    </cfRule>
  </conditionalFormatting>
  <conditionalFormatting sqref="Q9:Q10">
    <cfRule type="cellIs" dxfId="73" priority="5" operator="equal">
      <formula>0</formula>
    </cfRule>
  </conditionalFormatting>
  <conditionalFormatting sqref="Q12:Q15">
    <cfRule type="cellIs" dxfId="72" priority="4" operator="equal">
      <formula>0</formula>
    </cfRule>
  </conditionalFormatting>
  <conditionalFormatting sqref="Q17">
    <cfRule type="cellIs" dxfId="71" priority="3" operator="equal">
      <formula>0</formula>
    </cfRule>
  </conditionalFormatting>
  <conditionalFormatting sqref="Q19">
    <cfRule type="cellIs" dxfId="70" priority="2" operator="equal">
      <formula>0</formula>
    </cfRule>
  </conditionalFormatting>
  <conditionalFormatting sqref="Q18">
    <cfRule type="cellIs" dxfId="6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pageSetUpPr fitToPage="1"/>
  </sheetPr>
  <dimension ref="A1:AK28"/>
  <sheetViews>
    <sheetView workbookViewId="0">
      <selection activeCell="B1" sqref="B1:K9"/>
    </sheetView>
  </sheetViews>
  <sheetFormatPr defaultColWidth="0" defaultRowHeight="14" zeroHeight="1"/>
  <cols>
    <col min="1" max="1" width="0.58203125" style="70" customWidth="1"/>
    <col min="2" max="2" width="4.08203125" style="70" customWidth="1"/>
    <col min="3" max="3" width="38.58203125" style="70" customWidth="1"/>
    <col min="4" max="4" width="2.58203125" style="70" hidden="1" customWidth="1"/>
    <col min="5" max="6" width="5.08203125" style="70" customWidth="1"/>
    <col min="7" max="8" width="12.5" style="70" customWidth="1"/>
    <col min="9" max="10" width="12.58203125" style="70" customWidth="1"/>
    <col min="11" max="11" width="15.08203125" style="70" customWidth="1"/>
    <col min="12" max="12" width="2.58203125" style="70" customWidth="1"/>
    <col min="13" max="13" width="18.58203125" style="70" bestFit="1" customWidth="1"/>
    <col min="14" max="14" width="2.58203125" style="70" customWidth="1"/>
    <col min="15" max="15" width="1.58203125" style="71" hidden="1" customWidth="1"/>
    <col min="16" max="18" width="5.58203125" style="70" hidden="1" customWidth="1"/>
    <col min="19" max="19" width="1.58203125" style="71" hidden="1" customWidth="1"/>
    <col min="20" max="20" width="8.08203125" style="70" hidden="1" customWidth="1"/>
    <col min="21" max="23" width="8.58203125" style="70" hidden="1" customWidth="1"/>
    <col min="24" max="26" width="0" style="70" hidden="1" customWidth="1"/>
    <col min="27" max="27" width="4.08203125" style="70" customWidth="1"/>
    <col min="28" max="28" width="38.58203125" style="70" customWidth="1"/>
    <col min="29" max="29" width="2.58203125" style="70" hidden="1" customWidth="1"/>
    <col min="30" max="31" width="5.08203125" style="70" customWidth="1"/>
    <col min="32" max="33" width="12.5" style="70" customWidth="1"/>
    <col min="34" max="35" width="12.58203125" style="70" customWidth="1"/>
    <col min="36" max="36" width="15.08203125" style="70" customWidth="1"/>
    <col min="37" max="37" width="1.58203125" style="70" customWidth="1"/>
    <col min="38" max="16384" width="8.08203125" style="70" hidden="1"/>
  </cols>
  <sheetData>
    <row r="1" spans="2:36" ht="20">
      <c r="B1" s="66" t="s">
        <v>218</v>
      </c>
      <c r="C1" s="66"/>
      <c r="D1" s="66"/>
      <c r="E1" s="66"/>
      <c r="F1" s="66"/>
      <c r="G1" s="66"/>
      <c r="H1" s="66"/>
      <c r="I1" s="66"/>
      <c r="J1" s="66"/>
      <c r="K1" s="68" t="str">
        <f>Validation!B3</f>
        <v>Bristol Water</v>
      </c>
      <c r="L1" s="66"/>
      <c r="M1" s="69" t="s">
        <v>32</v>
      </c>
      <c r="AA1" s="66" t="s">
        <v>33</v>
      </c>
      <c r="AB1" s="66"/>
      <c r="AC1" s="66"/>
      <c r="AD1" s="66"/>
      <c r="AE1" s="66"/>
      <c r="AF1" s="66"/>
      <c r="AG1" s="66"/>
      <c r="AH1" s="66"/>
      <c r="AI1" s="66"/>
      <c r="AJ1" s="68"/>
    </row>
    <row r="2" spans="2:36" ht="14.5" thickBot="1">
      <c r="B2" s="73" t="str">
        <f>'1A'!B2</f>
        <v>For the 12 months ended 31 March 2020</v>
      </c>
      <c r="P2" s="192"/>
      <c r="AA2" s="73" t="str">
        <f>B2</f>
        <v>For the 12 months ended 31 March 2020</v>
      </c>
    </row>
    <row r="3" spans="2:36" ht="15" customHeight="1">
      <c r="B3" s="2894" t="s">
        <v>34</v>
      </c>
      <c r="C3" s="2895"/>
      <c r="D3" s="2820" t="s">
        <v>35</v>
      </c>
      <c r="E3" s="2898" t="s">
        <v>36</v>
      </c>
      <c r="F3" s="2900" t="s">
        <v>37</v>
      </c>
      <c r="G3" s="2902" t="s">
        <v>38</v>
      </c>
      <c r="H3" s="2904" t="s">
        <v>39</v>
      </c>
      <c r="I3" s="2905"/>
      <c r="J3" s="2906"/>
      <c r="K3" s="2907" t="s">
        <v>40</v>
      </c>
      <c r="M3" s="2907" t="s">
        <v>41</v>
      </c>
      <c r="AA3" s="2894" t="s">
        <v>34</v>
      </c>
      <c r="AB3" s="2895"/>
      <c r="AC3" s="2820" t="s">
        <v>35</v>
      </c>
      <c r="AD3" s="2898" t="s">
        <v>36</v>
      </c>
      <c r="AE3" s="2900" t="s">
        <v>37</v>
      </c>
      <c r="AF3" s="2902" t="s">
        <v>38</v>
      </c>
      <c r="AG3" s="2904" t="s">
        <v>39</v>
      </c>
      <c r="AH3" s="2905"/>
      <c r="AI3" s="2906"/>
      <c r="AJ3" s="2907" t="s">
        <v>40</v>
      </c>
    </row>
    <row r="4" spans="2:36" ht="54.5" thickBot="1">
      <c r="B4" s="2896"/>
      <c r="C4" s="2897"/>
      <c r="D4" s="2821"/>
      <c r="E4" s="2899"/>
      <c r="F4" s="2901"/>
      <c r="G4" s="2903"/>
      <c r="H4" s="2832" t="s">
        <v>42</v>
      </c>
      <c r="I4" s="78" t="s">
        <v>43</v>
      </c>
      <c r="J4" s="2833" t="s">
        <v>44</v>
      </c>
      <c r="K4" s="2908"/>
      <c r="M4" s="2908"/>
      <c r="N4" s="79"/>
      <c r="P4" s="2909" t="s">
        <v>45</v>
      </c>
      <c r="Q4" s="2909"/>
      <c r="R4" s="2909"/>
      <c r="AA4" s="2896"/>
      <c r="AB4" s="2897"/>
      <c r="AC4" s="2821"/>
      <c r="AD4" s="2899"/>
      <c r="AE4" s="2901"/>
      <c r="AF4" s="2903"/>
      <c r="AG4" s="2832" t="s">
        <v>42</v>
      </c>
      <c r="AH4" s="78" t="s">
        <v>43</v>
      </c>
      <c r="AI4" s="2833" t="s">
        <v>44</v>
      </c>
      <c r="AJ4" s="2908"/>
    </row>
    <row r="5" spans="2:36" ht="14.5" thickBot="1"/>
    <row r="6" spans="2:36">
      <c r="B6" s="86" t="s">
        <v>219</v>
      </c>
      <c r="C6" s="117" t="s">
        <v>140</v>
      </c>
      <c r="D6" s="117"/>
      <c r="E6" s="88" t="s">
        <v>49</v>
      </c>
      <c r="F6" s="215">
        <v>3</v>
      </c>
      <c r="G6" s="2189">
        <f>'1A'!G22</f>
        <v>0.39699999999999847</v>
      </c>
      <c r="H6" s="2190">
        <f>'1A'!H22</f>
        <v>-0.3909999999999999</v>
      </c>
      <c r="I6" s="2191">
        <f>'1A'!I22</f>
        <v>0.17499999999999996</v>
      </c>
      <c r="J6" s="190">
        <f xml:space="preserve"> H6 - I6</f>
        <v>-0.56599999999999984</v>
      </c>
      <c r="K6" s="196">
        <f xml:space="preserve"> G6 + J6</f>
        <v>-0.16900000000000137</v>
      </c>
      <c r="M6" s="126"/>
      <c r="P6" s="85" t="s">
        <v>46</v>
      </c>
      <c r="AA6" s="86" t="s">
        <v>219</v>
      </c>
      <c r="AB6" s="117" t="s">
        <v>140</v>
      </c>
      <c r="AC6" s="117"/>
      <c r="AD6" s="88" t="s">
        <v>49</v>
      </c>
      <c r="AE6" s="215">
        <v>3</v>
      </c>
      <c r="AF6" s="379" t="str">
        <f>'1A'!AF22</f>
        <v>BO2530STAT</v>
      </c>
      <c r="AG6" s="746" t="str">
        <f>'1A'!AG22</f>
        <v>BO2530DSR</v>
      </c>
      <c r="AH6" s="679" t="str">
        <f>'1A'!AH22</f>
        <v>BO2530NA</v>
      </c>
      <c r="AI6" s="190" t="s">
        <v>144</v>
      </c>
      <c r="AJ6" s="196" t="s">
        <v>145</v>
      </c>
    </row>
    <row r="7" spans="2:36">
      <c r="B7" s="94" t="s">
        <v>220</v>
      </c>
      <c r="C7" s="87" t="s">
        <v>221</v>
      </c>
      <c r="D7" s="87"/>
      <c r="E7" s="95" t="s">
        <v>49</v>
      </c>
      <c r="F7" s="217">
        <v>3</v>
      </c>
      <c r="G7" s="411">
        <v>0.47699999999999998</v>
      </c>
      <c r="H7" s="426">
        <v>0</v>
      </c>
      <c r="I7" s="413">
        <v>0</v>
      </c>
      <c r="J7" s="191">
        <f xml:space="preserve"> H7 - I7</f>
        <v>0</v>
      </c>
      <c r="K7" s="197">
        <f xml:space="preserve"> G7 + J7</f>
        <v>0.47699999999999998</v>
      </c>
      <c r="M7" s="24">
        <f xml:space="preserve"> IF( SUM( O7:S7 ) = 0, 0, $P$6 )</f>
        <v>0</v>
      </c>
      <c r="P7" s="93">
        <f t="shared" ref="P7:R8" si="0" xml:space="preserve"> IF( ISNUMBER( G7 ), 0, 1 )</f>
        <v>0</v>
      </c>
      <c r="Q7" s="93">
        <f t="shared" si="0"/>
        <v>0</v>
      </c>
      <c r="R7" s="93">
        <f t="shared" si="0"/>
        <v>0</v>
      </c>
      <c r="AA7" s="94" t="s">
        <v>220</v>
      </c>
      <c r="AB7" s="87" t="s">
        <v>221</v>
      </c>
      <c r="AC7" s="87"/>
      <c r="AD7" s="95" t="s">
        <v>49</v>
      </c>
      <c r="AE7" s="217">
        <v>3</v>
      </c>
      <c r="AF7" s="2395" t="s">
        <v>222</v>
      </c>
      <c r="AG7" s="2396" t="s">
        <v>223</v>
      </c>
      <c r="AH7" s="2384" t="s">
        <v>224</v>
      </c>
      <c r="AI7" s="191" t="s">
        <v>225</v>
      </c>
      <c r="AJ7" s="197" t="s">
        <v>226</v>
      </c>
    </row>
    <row r="8" spans="2:36">
      <c r="B8" s="94" t="s">
        <v>227</v>
      </c>
      <c r="C8" s="87" t="s">
        <v>228</v>
      </c>
      <c r="D8" s="87"/>
      <c r="E8" s="95" t="s">
        <v>49</v>
      </c>
      <c r="F8" s="217">
        <v>3</v>
      </c>
      <c r="G8" s="411">
        <v>-8.4000000000000005E-2</v>
      </c>
      <c r="H8" s="426">
        <v>0</v>
      </c>
      <c r="I8" s="413">
        <v>0</v>
      </c>
      <c r="J8" s="191">
        <f xml:space="preserve"> H8 - I8</f>
        <v>0</v>
      </c>
      <c r="K8" s="197">
        <f xml:space="preserve"> G8 + J8</f>
        <v>-8.4000000000000005E-2</v>
      </c>
      <c r="M8" s="24">
        <f xml:space="preserve"> IF( SUM( O8:S8 ) = 0, 0, $P$6 )</f>
        <v>0</v>
      </c>
      <c r="P8" s="93">
        <f t="shared" si="0"/>
        <v>0</v>
      </c>
      <c r="Q8" s="93">
        <f t="shared" si="0"/>
        <v>0</v>
      </c>
      <c r="R8" s="93">
        <f t="shared" si="0"/>
        <v>0</v>
      </c>
      <c r="AA8" s="94" t="s">
        <v>227</v>
      </c>
      <c r="AB8" s="87" t="s">
        <v>228</v>
      </c>
      <c r="AC8" s="87"/>
      <c r="AD8" s="95" t="s">
        <v>49</v>
      </c>
      <c r="AE8" s="217">
        <v>3</v>
      </c>
      <c r="AF8" s="2395" t="s">
        <v>229</v>
      </c>
      <c r="AG8" s="2396" t="s">
        <v>230</v>
      </c>
      <c r="AH8" s="2384" t="s">
        <v>231</v>
      </c>
      <c r="AI8" s="191" t="s">
        <v>232</v>
      </c>
      <c r="AJ8" s="197" t="s">
        <v>233</v>
      </c>
    </row>
    <row r="9" spans="2:36" ht="14.5" thickBot="1">
      <c r="B9" s="101" t="s">
        <v>234</v>
      </c>
      <c r="C9" s="102" t="s">
        <v>235</v>
      </c>
      <c r="D9" s="102"/>
      <c r="E9" s="103" t="s">
        <v>49</v>
      </c>
      <c r="F9" s="225">
        <v>3</v>
      </c>
      <c r="G9" s="200">
        <f>SUM( G6:G8 )</f>
        <v>0.78999999999999848</v>
      </c>
      <c r="H9" s="242">
        <f>SUM( H6:H8 )</f>
        <v>-0.3909999999999999</v>
      </c>
      <c r="I9" s="194">
        <f>SUM( I6:I8 )</f>
        <v>0.17499999999999996</v>
      </c>
      <c r="J9" s="195">
        <f xml:space="preserve"> H9 - I9</f>
        <v>-0.56599999999999984</v>
      </c>
      <c r="K9" s="198">
        <f xml:space="preserve"> G9 + J9</f>
        <v>0.22399999999999864</v>
      </c>
      <c r="M9" s="126"/>
      <c r="AA9" s="101" t="s">
        <v>234</v>
      </c>
      <c r="AB9" s="102" t="s">
        <v>235</v>
      </c>
      <c r="AC9" s="102"/>
      <c r="AD9" s="103" t="s">
        <v>49</v>
      </c>
      <c r="AE9" s="225">
        <v>3</v>
      </c>
      <c r="AF9" s="200" t="s">
        <v>236</v>
      </c>
      <c r="AG9" s="242" t="s">
        <v>237</v>
      </c>
      <c r="AH9" s="194" t="s">
        <v>238</v>
      </c>
      <c r="AI9" s="195" t="s">
        <v>239</v>
      </c>
      <c r="AJ9" s="198" t="s">
        <v>240</v>
      </c>
    </row>
    <row r="10" spans="2:36">
      <c r="M10" s="126"/>
    </row>
    <row r="11" spans="2:36" s="163" customFormat="1">
      <c r="B11" s="2914" t="s">
        <v>241</v>
      </c>
      <c r="C11" s="2914"/>
      <c r="D11" s="2823"/>
      <c r="J11" s="126"/>
      <c r="K11" s="126"/>
      <c r="L11" s="126"/>
      <c r="M11" s="126"/>
      <c r="N11" s="126"/>
      <c r="O11" s="71"/>
      <c r="P11" s="126"/>
      <c r="Q11" s="126"/>
      <c r="R11" s="203"/>
      <c r="S11" s="71"/>
    </row>
    <row r="12" spans="2:36" s="163" customFormat="1">
      <c r="B12" s="141"/>
      <c r="C12" s="142"/>
      <c r="D12" s="142"/>
      <c r="J12" s="126"/>
      <c r="K12" s="126"/>
      <c r="L12" s="126"/>
      <c r="M12" s="126"/>
      <c r="N12" s="126"/>
      <c r="O12" s="71"/>
      <c r="P12" s="126"/>
      <c r="Q12" s="126"/>
      <c r="R12" s="203"/>
      <c r="S12" s="71"/>
    </row>
    <row r="13" spans="2:36" s="163" customFormat="1">
      <c r="B13" s="25"/>
      <c r="C13" s="143" t="s">
        <v>188</v>
      </c>
      <c r="D13" s="143"/>
      <c r="J13" s="126"/>
      <c r="K13" s="126"/>
      <c r="L13" s="126"/>
      <c r="M13" s="126"/>
      <c r="N13" s="126"/>
      <c r="O13" s="71"/>
      <c r="P13" s="126"/>
      <c r="Q13" s="126"/>
      <c r="R13" s="203"/>
      <c r="S13" s="71"/>
    </row>
    <row r="14" spans="2:36" s="163" customFormat="1">
      <c r="B14" s="141"/>
      <c r="C14" s="142"/>
      <c r="D14" s="142"/>
      <c r="J14" s="126"/>
      <c r="K14" s="126"/>
      <c r="L14" s="126"/>
      <c r="M14" s="126"/>
      <c r="N14" s="126"/>
      <c r="O14" s="71"/>
      <c r="P14" s="126"/>
      <c r="Q14" s="126"/>
      <c r="R14" s="203"/>
      <c r="S14" s="71"/>
    </row>
    <row r="15" spans="2:36" s="163" customFormat="1">
      <c r="B15" s="144"/>
      <c r="C15" s="143" t="s">
        <v>189</v>
      </c>
      <c r="D15" s="143"/>
      <c r="J15" s="126"/>
      <c r="K15" s="126"/>
      <c r="L15" s="126"/>
      <c r="M15" s="126"/>
      <c r="N15" s="126"/>
      <c r="O15" s="71"/>
      <c r="P15" s="126"/>
      <c r="Q15" s="126"/>
      <c r="R15" s="203"/>
      <c r="S15" s="71"/>
    </row>
    <row r="16" spans="2:36" s="163" customFormat="1">
      <c r="B16" s="145"/>
      <c r="C16" s="143"/>
      <c r="D16" s="143"/>
      <c r="J16" s="126"/>
      <c r="K16" s="126"/>
      <c r="L16" s="126"/>
      <c r="M16" s="126"/>
      <c r="N16" s="126"/>
      <c r="O16" s="71"/>
      <c r="P16" s="126"/>
      <c r="Q16" s="126"/>
      <c r="R16" s="203"/>
      <c r="S16" s="71"/>
    </row>
    <row r="17" spans="1:19" s="178" customFormat="1">
      <c r="B17" s="2188"/>
      <c r="C17" s="179" t="s">
        <v>242</v>
      </c>
      <c r="D17" s="179"/>
      <c r="J17" s="130"/>
      <c r="K17" s="130"/>
      <c r="L17" s="130"/>
      <c r="M17" s="126"/>
      <c r="N17" s="126"/>
      <c r="O17" s="71"/>
      <c r="P17" s="126"/>
      <c r="Q17" s="126"/>
      <c r="R17" s="302"/>
      <c r="S17" s="71"/>
    </row>
    <row r="18" spans="1:19" s="178" customFormat="1" ht="14.5" thickBot="1">
      <c r="B18" s="179"/>
      <c r="C18" s="179"/>
      <c r="D18" s="179"/>
      <c r="J18" s="130"/>
      <c r="K18" s="130"/>
      <c r="L18" s="130"/>
      <c r="M18" s="126"/>
      <c r="N18" s="126"/>
      <c r="O18" s="71"/>
      <c r="P18" s="126"/>
      <c r="Q18" s="126"/>
      <c r="R18" s="302"/>
      <c r="S18" s="71"/>
    </row>
    <row r="19" spans="1:19" s="178" customFormat="1" ht="20.5" thickBot="1">
      <c r="B19" s="2886" t="str">
        <f>'1A'!B43</f>
        <v>Please refer to RAG 4.08 - Guideline for the table definitions in the annual performance report for the reporting year 2019-20</v>
      </c>
      <c r="C19" s="147"/>
      <c r="D19" s="147"/>
      <c r="E19" s="148"/>
      <c r="F19" s="148"/>
      <c r="G19" s="148"/>
      <c r="H19" s="148"/>
      <c r="I19" s="148"/>
      <c r="J19" s="148"/>
      <c r="K19" s="154"/>
      <c r="L19" s="130"/>
      <c r="M19" s="126"/>
      <c r="N19" s="126"/>
      <c r="O19" s="71"/>
      <c r="P19" s="126"/>
      <c r="Q19" s="126"/>
      <c r="R19" s="302"/>
      <c r="S19" s="71"/>
    </row>
    <row r="20" spans="1:19" s="178" customFormat="1">
      <c r="C20" s="179"/>
      <c r="D20" s="179"/>
      <c r="J20" s="130"/>
      <c r="K20" s="130"/>
      <c r="L20" s="130"/>
      <c r="M20" s="126"/>
      <c r="N20" s="126"/>
      <c r="O20" s="71"/>
      <c r="P20" s="126"/>
      <c r="Q20" s="126"/>
      <c r="R20" s="302"/>
      <c r="S20" s="71"/>
    </row>
    <row r="21" spans="1:19" s="110" customFormat="1" ht="20.5" hidden="1" thickBot="1">
      <c r="A21" s="1528"/>
      <c r="B21" s="146" t="str">
        <f ca="1" xml:space="preserve"> RIGHT(CELL("filename", $A$1), LEN(CELL("filename", $A$1)) - SEARCH("]", CELL("filename", $A$1)))&amp;" - Line definitions"</f>
        <v>1B - Line definitions</v>
      </c>
      <c r="C21" s="147"/>
      <c r="D21" s="147"/>
      <c r="E21" s="148"/>
      <c r="F21" s="148"/>
      <c r="G21" s="148"/>
      <c r="H21" s="148"/>
      <c r="I21" s="148"/>
      <c r="J21" s="148"/>
      <c r="K21" s="154"/>
      <c r="L21" s="118"/>
      <c r="M21" s="120"/>
      <c r="N21" s="118"/>
      <c r="O21" s="71"/>
      <c r="P21" s="120"/>
      <c r="Q21" s="118"/>
      <c r="R21" s="280"/>
      <c r="S21" s="71"/>
    </row>
    <row r="22" spans="1:19" s="110" customFormat="1" ht="14.5" hidden="1" thickBot="1">
      <c r="A22" s="1528"/>
      <c r="B22" s="74"/>
      <c r="C22" s="155"/>
      <c r="D22" s="155"/>
      <c r="E22" s="74"/>
      <c r="F22" s="74"/>
      <c r="G22" s="74"/>
      <c r="J22" s="118"/>
      <c r="K22" s="118"/>
      <c r="L22" s="118"/>
      <c r="M22" s="120"/>
      <c r="N22" s="118"/>
      <c r="O22" s="71"/>
      <c r="P22" s="120"/>
      <c r="Q22" s="118"/>
      <c r="R22" s="280"/>
      <c r="S22" s="71"/>
    </row>
    <row r="23" spans="1:19" s="178" customFormat="1" ht="14.5" hidden="1" thickBot="1">
      <c r="A23" s="1529"/>
      <c r="B23" s="287" t="s">
        <v>191</v>
      </c>
      <c r="C23" s="2847" t="s">
        <v>192</v>
      </c>
      <c r="D23" s="2848"/>
      <c r="E23" s="2848"/>
      <c r="F23" s="2848"/>
      <c r="G23" s="2848"/>
      <c r="H23" s="2848"/>
      <c r="I23" s="2848"/>
      <c r="J23" s="2848"/>
      <c r="K23" s="157"/>
      <c r="L23" s="346"/>
      <c r="M23" s="130"/>
      <c r="N23" s="118"/>
      <c r="O23" s="71"/>
      <c r="P23" s="85" t="s">
        <v>193</v>
      </c>
      <c r="Q23" s="118"/>
      <c r="S23" s="71"/>
    </row>
    <row r="24" spans="1:19" s="110" customFormat="1" ht="13.5" hidden="1" customHeight="1">
      <c r="A24" s="1528"/>
      <c r="B24" s="181" t="str">
        <f>B6</f>
        <v>1B.1</v>
      </c>
      <c r="C24" s="2910" t="s">
        <v>243</v>
      </c>
      <c r="D24" s="2910"/>
      <c r="E24" s="2910"/>
      <c r="F24" s="2910"/>
      <c r="G24" s="2910"/>
      <c r="H24" s="2910"/>
      <c r="I24" s="2910"/>
      <c r="J24" s="2910"/>
      <c r="K24" s="2911"/>
      <c r="L24" s="348"/>
      <c r="M24" s="120"/>
      <c r="N24" s="118"/>
      <c r="O24" s="124"/>
      <c r="P24" s="161">
        <v>1</v>
      </c>
      <c r="Q24" s="118"/>
      <c r="R24" s="280"/>
      <c r="S24" s="124"/>
    </row>
    <row r="25" spans="1:19" s="110" customFormat="1" hidden="1">
      <c r="A25" s="1528"/>
      <c r="B25" s="159" t="str">
        <f>B7</f>
        <v>1B.2</v>
      </c>
      <c r="C25" s="2892" t="s">
        <v>244</v>
      </c>
      <c r="D25" s="2892"/>
      <c r="E25" s="2892"/>
      <c r="F25" s="2892"/>
      <c r="G25" s="2892"/>
      <c r="H25" s="2892"/>
      <c r="I25" s="2892"/>
      <c r="J25" s="2892"/>
      <c r="K25" s="2893"/>
      <c r="L25" s="349"/>
      <c r="M25" s="120"/>
      <c r="N25" s="118"/>
      <c r="O25" s="119"/>
      <c r="P25" s="253">
        <v>1</v>
      </c>
      <c r="Q25" s="118"/>
      <c r="R25" s="280"/>
      <c r="S25" s="119"/>
    </row>
    <row r="26" spans="1:19" s="110" customFormat="1" hidden="1">
      <c r="A26" s="1528"/>
      <c r="B26" s="159" t="str">
        <f>B8</f>
        <v>1B.3</v>
      </c>
      <c r="C26" s="2892" t="s">
        <v>245</v>
      </c>
      <c r="D26" s="2892"/>
      <c r="E26" s="2892"/>
      <c r="F26" s="2892"/>
      <c r="G26" s="2892"/>
      <c r="H26" s="2892"/>
      <c r="I26" s="2892"/>
      <c r="J26" s="2892"/>
      <c r="K26" s="2893"/>
      <c r="L26" s="348"/>
      <c r="M26" s="120"/>
      <c r="N26" s="118"/>
      <c r="O26" s="119"/>
      <c r="P26" s="253">
        <v>1</v>
      </c>
      <c r="Q26" s="118"/>
      <c r="R26" s="280"/>
      <c r="S26" s="119"/>
    </row>
    <row r="27" spans="1:19" s="120" customFormat="1" ht="14.25" hidden="1" customHeight="1" thickBot="1">
      <c r="A27" s="1530"/>
      <c r="B27" s="183" t="str">
        <f>B9</f>
        <v>1B.4</v>
      </c>
      <c r="C27" s="2912" t="s">
        <v>246</v>
      </c>
      <c r="D27" s="2912"/>
      <c r="E27" s="2912"/>
      <c r="F27" s="2912"/>
      <c r="G27" s="2912"/>
      <c r="H27" s="2912"/>
      <c r="I27" s="2912"/>
      <c r="J27" s="2912"/>
      <c r="K27" s="2913"/>
      <c r="L27" s="349"/>
      <c r="N27" s="118"/>
      <c r="O27" s="119"/>
      <c r="P27" s="253">
        <v>1</v>
      </c>
      <c r="Q27" s="118"/>
      <c r="R27" s="280"/>
      <c r="S27" s="119"/>
    </row>
    <row r="28" spans="1:19" hidden="1">
      <c r="A28" s="1531"/>
      <c r="O28" s="119"/>
      <c r="P28" s="375"/>
      <c r="S28" s="119"/>
    </row>
  </sheetData>
  <sheetProtection algorithmName="SHA-512" hashValue="qDVKehB3Qf96850XKQehUDkzDuIBsFp3NV5ddVDVY2U+nCeadbtP9Y0/25qnibSduviyluxmacLBTI27hzwlWQ==" saltValue="9qbEwvZ/or7y/YZnIvVXAQ==" spinCount="100000" sheet="1" objects="1" scenarios="1"/>
  <mergeCells count="19">
    <mergeCell ref="AJ3:AJ4"/>
    <mergeCell ref="AA3:AB4"/>
    <mergeCell ref="AD3:AD4"/>
    <mergeCell ref="AE3:AE4"/>
    <mergeCell ref="AF3:AF4"/>
    <mergeCell ref="AG3:AI3"/>
    <mergeCell ref="C27:K27"/>
    <mergeCell ref="M3:M4"/>
    <mergeCell ref="P4:R4"/>
    <mergeCell ref="B11:C11"/>
    <mergeCell ref="C24:K24"/>
    <mergeCell ref="C25:K25"/>
    <mergeCell ref="C26:K26"/>
    <mergeCell ref="B3:C4"/>
    <mergeCell ref="E3:E4"/>
    <mergeCell ref="F3:F4"/>
    <mergeCell ref="G3:G4"/>
    <mergeCell ref="H3:J3"/>
    <mergeCell ref="K3:K4"/>
  </mergeCells>
  <conditionalFormatting sqref="M7:M8">
    <cfRule type="cellIs" dxfId="52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91" orientation="landscape"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7">
    <tabColor theme="0" tint="-0.499984740745262"/>
    <pageSetUpPr fitToPage="1"/>
  </sheetPr>
  <dimension ref="A1:AY107"/>
  <sheetViews>
    <sheetView workbookViewId="0"/>
  </sheetViews>
  <sheetFormatPr defaultColWidth="0" defaultRowHeight="14" zeroHeight="1"/>
  <cols>
    <col min="1" max="1" width="0.58203125" customWidth="1"/>
    <col min="2" max="2" width="8.58203125" customWidth="1"/>
    <col min="3" max="3" width="49.08203125" customWidth="1"/>
    <col min="4" max="4" width="0.58203125" hidden="1" customWidth="1"/>
    <col min="5" max="6" width="8.58203125" customWidth="1"/>
    <col min="7" max="9" width="10.58203125" customWidth="1"/>
    <col min="10" max="10" width="10" customWidth="1"/>
    <col min="11" max="15" width="10.58203125" customWidth="1"/>
    <col min="16" max="16" width="26.08203125" bestFit="1" customWidth="1"/>
    <col min="17" max="17" width="2.08203125" customWidth="1"/>
    <col min="18" max="18" width="41.58203125" customWidth="1"/>
    <col min="19" max="19" width="4.08203125" customWidth="1"/>
    <col min="20" max="20" width="1.58203125" style="1635" hidden="1" customWidth="1"/>
    <col min="21" max="28" width="4.08203125" hidden="1" customWidth="1"/>
    <col min="29" max="29" width="1.58203125" style="1635" hidden="1" customWidth="1"/>
    <col min="30" max="30" width="8.08203125" hidden="1" customWidth="1"/>
    <col min="31" max="31" width="1.58203125" style="1635" hidden="1" customWidth="1"/>
    <col min="32" max="32" width="12.83203125" hidden="1" customWidth="1"/>
    <col min="33" max="33" width="0" hidden="1" customWidth="1"/>
    <col min="34" max="34" width="68.58203125" hidden="1" customWidth="1"/>
    <col min="35" max="35" width="1.5" style="1635" hidden="1" customWidth="1"/>
    <col min="36" max="37" width="8.58203125" customWidth="1"/>
    <col min="38" max="38" width="51.08203125" bestFit="1" customWidth="1"/>
    <col min="39" max="39" width="0.58203125" customWidth="1"/>
    <col min="40" max="41" width="8.58203125" customWidth="1"/>
    <col min="42" max="42" width="15.75" bestFit="1" customWidth="1"/>
    <col min="43" max="43" width="15.58203125" bestFit="1" customWidth="1"/>
    <col min="44" max="44" width="15.75" bestFit="1" customWidth="1"/>
    <col min="45" max="45" width="17" bestFit="1" customWidth="1"/>
    <col min="46" max="47" width="13.58203125" bestFit="1" customWidth="1"/>
    <col min="48" max="48" width="14.25" bestFit="1" customWidth="1"/>
    <col min="49" max="49" width="15.08203125" bestFit="1" customWidth="1"/>
    <col min="50" max="50" width="14.08203125" bestFit="1" customWidth="1"/>
    <col min="51" max="51" width="1.58203125" customWidth="1"/>
    <col min="52" max="16384" width="8.58203125" hidden="1"/>
  </cols>
  <sheetData>
    <row r="1" spans="2:50" ht="20">
      <c r="B1" s="67" t="s">
        <v>7975</v>
      </c>
      <c r="C1" s="66"/>
      <c r="D1" s="66"/>
      <c r="E1" s="66"/>
      <c r="F1" s="66"/>
      <c r="G1" s="66"/>
      <c r="H1" s="66"/>
      <c r="I1" s="66"/>
      <c r="J1" s="66"/>
      <c r="K1" s="66"/>
      <c r="L1" s="66"/>
      <c r="M1" s="66"/>
      <c r="N1" s="66"/>
      <c r="O1" s="66"/>
      <c r="P1" s="66" t="str">
        <f>Validation!B3</f>
        <v>Bristol Water</v>
      </c>
      <c r="Q1" s="66"/>
      <c r="R1" s="67" t="s">
        <v>32</v>
      </c>
      <c r="S1" s="1882"/>
      <c r="U1" s="1882"/>
      <c r="V1" s="1882"/>
      <c r="W1" s="1882"/>
      <c r="X1" s="1882"/>
      <c r="Y1" s="1882"/>
      <c r="Z1" s="1882"/>
      <c r="AA1" s="1882"/>
      <c r="AB1" s="1882"/>
      <c r="AD1" s="1882"/>
      <c r="AF1" s="1882"/>
      <c r="AG1" s="1882"/>
      <c r="AH1" s="1882"/>
      <c r="AJ1" s="1882"/>
      <c r="AK1" s="67" t="s">
        <v>7976</v>
      </c>
      <c r="AL1" s="66"/>
      <c r="AM1" s="66"/>
      <c r="AN1" s="66"/>
      <c r="AO1" s="66"/>
      <c r="AP1" s="66"/>
      <c r="AQ1" s="66"/>
      <c r="AR1" s="66"/>
      <c r="AS1" s="66"/>
      <c r="AT1" s="66"/>
      <c r="AU1" s="66"/>
      <c r="AV1" s="66"/>
      <c r="AW1" s="66"/>
      <c r="AX1" s="66"/>
    </row>
    <row r="2" spans="2:50" ht="14.5" thickBot="1">
      <c r="B2" s="73" t="s">
        <v>18</v>
      </c>
      <c r="C2" s="1882"/>
      <c r="D2" s="1882"/>
      <c r="E2" s="1882"/>
      <c r="F2" s="1882"/>
      <c r="G2" s="1882"/>
      <c r="H2" s="1882"/>
      <c r="I2" s="1882"/>
      <c r="J2" s="1882"/>
      <c r="K2" s="1882"/>
      <c r="L2" s="1882"/>
      <c r="M2" s="1882"/>
      <c r="N2" s="1882"/>
      <c r="O2" s="1882"/>
      <c r="P2" s="1882"/>
      <c r="Q2" s="1882"/>
      <c r="R2" s="26"/>
      <c r="S2" s="1882"/>
      <c r="U2" s="1882"/>
      <c r="V2" s="1882"/>
      <c r="W2" s="1882"/>
      <c r="X2" s="1882"/>
      <c r="Y2" s="1882"/>
      <c r="Z2" s="1882"/>
      <c r="AA2" s="1882"/>
      <c r="AB2" s="1882"/>
      <c r="AD2" s="1882"/>
      <c r="AF2" s="1882"/>
      <c r="AG2" s="1882"/>
      <c r="AH2" s="1882"/>
      <c r="AJ2" s="1882"/>
      <c r="AK2" s="73" t="str">
        <f>'4V'!B2</f>
        <v>For the 12 months ended 31 March 2020</v>
      </c>
      <c r="AL2" s="1882"/>
      <c r="AM2" s="1882"/>
      <c r="AN2" s="1882"/>
      <c r="AO2" s="1882"/>
      <c r="AP2" s="1882"/>
      <c r="AQ2" s="1882"/>
      <c r="AR2" s="1882"/>
      <c r="AS2" s="1882"/>
      <c r="AT2" s="1882"/>
      <c r="AU2" s="1882"/>
      <c r="AV2" s="1882"/>
      <c r="AW2" s="1882"/>
      <c r="AX2" s="1882"/>
    </row>
    <row r="3" spans="2:50" ht="27.5" thickBot="1">
      <c r="B3" s="1021" t="s">
        <v>191</v>
      </c>
      <c r="C3" s="968" t="s">
        <v>3980</v>
      </c>
      <c r="D3" s="969" t="s">
        <v>2462</v>
      </c>
      <c r="E3" s="969" t="s">
        <v>2308</v>
      </c>
      <c r="F3" s="969" t="s">
        <v>37</v>
      </c>
      <c r="G3" s="186" t="s">
        <v>7977</v>
      </c>
      <c r="H3" s="361" t="s">
        <v>7978</v>
      </c>
      <c r="I3" s="361" t="s">
        <v>7979</v>
      </c>
      <c r="J3" s="187" t="s">
        <v>708</v>
      </c>
      <c r="K3" s="1882"/>
      <c r="L3" s="1882"/>
      <c r="M3" s="1882"/>
      <c r="N3" s="1882"/>
      <c r="O3" s="1882"/>
      <c r="P3" s="1376" t="s">
        <v>3638</v>
      </c>
      <c r="Q3" s="70"/>
      <c r="R3" s="2824" t="s">
        <v>41</v>
      </c>
      <c r="S3" s="1293"/>
      <c r="U3" s="76" t="s">
        <v>45</v>
      </c>
      <c r="V3" s="682"/>
      <c r="W3" s="682"/>
      <c r="X3" s="682"/>
      <c r="Y3" s="682"/>
      <c r="Z3" s="682"/>
      <c r="AA3" s="682"/>
      <c r="AB3" s="682"/>
      <c r="AD3" s="2822" t="s">
        <v>24</v>
      </c>
      <c r="AE3" s="71"/>
      <c r="AF3" s="76" t="s">
        <v>902</v>
      </c>
      <c r="AG3" s="2822"/>
      <c r="AH3" s="2822"/>
      <c r="AI3" s="71"/>
      <c r="AJ3" s="1882"/>
      <c r="AK3" s="1021" t="s">
        <v>191</v>
      </c>
      <c r="AL3" s="968" t="s">
        <v>3980</v>
      </c>
      <c r="AM3" s="969" t="s">
        <v>2462</v>
      </c>
      <c r="AN3" s="969" t="s">
        <v>2308</v>
      </c>
      <c r="AO3" s="969" t="s">
        <v>37</v>
      </c>
      <c r="AP3" s="186" t="s">
        <v>7977</v>
      </c>
      <c r="AQ3" s="361" t="s">
        <v>7978</v>
      </c>
      <c r="AR3" s="361" t="s">
        <v>7979</v>
      </c>
      <c r="AS3" s="187" t="s">
        <v>708</v>
      </c>
      <c r="AT3" s="1882"/>
      <c r="AU3" s="1882"/>
      <c r="AV3" s="1882"/>
      <c r="AW3" s="1882"/>
      <c r="AX3" s="1882"/>
    </row>
    <row r="4" spans="2:50" ht="14.5" thickBot="1">
      <c r="B4" s="568"/>
      <c r="C4" s="1882"/>
      <c r="D4" s="1882"/>
      <c r="E4" s="1882"/>
      <c r="F4" s="1882"/>
      <c r="G4" s="1882"/>
      <c r="H4" s="1882"/>
      <c r="I4" s="1882"/>
      <c r="J4" s="1882"/>
      <c r="K4" s="1882"/>
      <c r="L4" s="1882"/>
      <c r="M4" s="1882"/>
      <c r="N4" s="1882"/>
      <c r="O4" s="1882"/>
      <c r="P4" s="1295"/>
      <c r="Q4" s="604"/>
      <c r="R4" s="1882"/>
      <c r="S4" s="1293"/>
      <c r="T4" s="1636"/>
      <c r="U4" s="164" t="s">
        <v>46</v>
      </c>
      <c r="V4" s="1293"/>
      <c r="W4" s="1293"/>
      <c r="X4" s="1293"/>
      <c r="Y4" s="1293"/>
      <c r="Z4" s="1882"/>
      <c r="AA4" s="1882"/>
      <c r="AB4" s="1882"/>
      <c r="AD4" s="1882"/>
      <c r="AF4" s="1882"/>
      <c r="AG4" s="1882"/>
      <c r="AH4" s="1882"/>
      <c r="AJ4" s="1882"/>
      <c r="AK4" s="568"/>
      <c r="AL4" s="1882"/>
      <c r="AM4" s="1882"/>
      <c r="AN4" s="1882"/>
      <c r="AO4" s="1882"/>
      <c r="AP4" s="2341" t="s">
        <v>7980</v>
      </c>
      <c r="AQ4" s="2341" t="s">
        <v>7981</v>
      </c>
      <c r="AR4" s="2341" t="s">
        <v>7982</v>
      </c>
      <c r="AS4" s="2341" t="s">
        <v>7983</v>
      </c>
      <c r="AT4" s="1882"/>
      <c r="AU4" s="647"/>
      <c r="AV4" s="647"/>
      <c r="AW4" s="1882"/>
      <c r="AX4" s="1882"/>
    </row>
    <row r="5" spans="2:50" s="1882" customFormat="1" ht="15" thickBot="1">
      <c r="B5" s="1921" t="s">
        <v>153</v>
      </c>
      <c r="C5" s="1922" t="s">
        <v>7984</v>
      </c>
      <c r="Q5" s="604"/>
      <c r="S5" s="1293"/>
      <c r="T5" s="1636"/>
      <c r="U5" s="164"/>
      <c r="V5" s="1293"/>
      <c r="W5" s="1293"/>
      <c r="X5" s="1293"/>
      <c r="Y5" s="1293"/>
      <c r="AC5" s="1635"/>
      <c r="AE5" s="1635"/>
      <c r="AI5" s="1635"/>
      <c r="AK5" s="1921" t="s">
        <v>153</v>
      </c>
      <c r="AL5" s="1922" t="s">
        <v>7984</v>
      </c>
      <c r="AU5" s="647"/>
      <c r="AV5" s="647"/>
    </row>
    <row r="6" spans="2:50" s="1882" customFormat="1" ht="16">
      <c r="B6" s="2309" t="s">
        <v>7985</v>
      </c>
      <c r="C6" s="2304" t="s">
        <v>1040</v>
      </c>
      <c r="D6" s="2024" t="s">
        <v>7887</v>
      </c>
      <c r="E6" s="2310" t="s">
        <v>49</v>
      </c>
      <c r="F6" s="2311">
        <v>3</v>
      </c>
      <c r="G6" s="1301"/>
      <c r="H6" s="1302"/>
      <c r="I6" s="1302"/>
      <c r="J6" s="1814">
        <f>SUM(G6:I6)</f>
        <v>0</v>
      </c>
      <c r="P6" s="1753"/>
      <c r="Q6" s="604"/>
      <c r="R6" s="24">
        <f xml:space="preserve"> IF( SUM( T6:AB6 ) = 0, 0, $U$4 )</f>
        <v>0</v>
      </c>
      <c r="S6" s="1161"/>
      <c r="T6" s="71"/>
      <c r="U6" s="93">
        <f>IF(Validation!$H$3=1,0,IF(ISNUMBER(G6),0,1))</f>
        <v>0</v>
      </c>
      <c r="V6" s="93">
        <f>IF(Validation!$H$3=1,0,IF(ISNUMBER(H6),0,1))</f>
        <v>0</v>
      </c>
      <c r="W6" s="93">
        <f>IF(Validation!$H$3=1,0,IF(ISNUMBER(I6),0,1))</f>
        <v>0</v>
      </c>
      <c r="X6" s="1293"/>
      <c r="Y6" s="1293"/>
      <c r="AC6" s="1635"/>
      <c r="AE6" s="1635"/>
      <c r="AI6" s="1635"/>
      <c r="AK6" s="1681" t="s">
        <v>7985</v>
      </c>
      <c r="AL6" s="2304" t="s">
        <v>1040</v>
      </c>
      <c r="AM6" s="2342" t="s">
        <v>7986</v>
      </c>
      <c r="AN6" s="2310" t="s">
        <v>49</v>
      </c>
      <c r="AO6" s="2311">
        <v>3</v>
      </c>
      <c r="AP6" s="1301" t="str">
        <f t="shared" ref="AP6:AS7" si="0">+$AM6&amp;AP$4</f>
        <v>WWS1001STPPP</v>
      </c>
      <c r="AQ6" s="1302" t="str">
        <f t="shared" si="0"/>
        <v>WWS1001STPTK</v>
      </c>
      <c r="AR6" s="1302" t="str">
        <f t="shared" si="0"/>
        <v>WWS1001STPTR</v>
      </c>
      <c r="AS6" s="1814" t="str">
        <f t="shared" si="0"/>
        <v>WWS1001STPTOT</v>
      </c>
      <c r="AT6" s="1629"/>
      <c r="AU6" s="2045"/>
      <c r="AV6" s="2045"/>
      <c r="AW6" s="1629"/>
      <c r="AX6" s="1629"/>
    </row>
    <row r="7" spans="2:50" s="1882" customFormat="1" ht="16">
      <c r="B7" s="2312" t="s">
        <v>7987</v>
      </c>
      <c r="C7" s="1686" t="s">
        <v>7889</v>
      </c>
      <c r="D7" s="2025" t="s">
        <v>7890</v>
      </c>
      <c r="E7" s="2313" t="s">
        <v>49</v>
      </c>
      <c r="F7" s="2308">
        <v>3</v>
      </c>
      <c r="G7" s="1310"/>
      <c r="H7" s="1311"/>
      <c r="I7" s="1311"/>
      <c r="J7" s="1815">
        <f t="shared" ref="J7:J9" si="1">SUM(G7:I7)</f>
        <v>0</v>
      </c>
      <c r="P7" s="1754"/>
      <c r="Q7" s="604"/>
      <c r="R7" s="24">
        <f t="shared" ref="R7:R18" si="2" xml:space="preserve"> IF( SUM( T7:AB7 ) = 0, 0, $U$4 )</f>
        <v>0</v>
      </c>
      <c r="S7" s="1161"/>
      <c r="T7" s="71"/>
      <c r="U7" s="93">
        <f>IF(Validation!$H$3=1,0,IF(ISNUMBER(G7),0,1))</f>
        <v>0</v>
      </c>
      <c r="V7" s="93">
        <f>IF(Validation!$H$3=1,0,IF(ISNUMBER(H7),0,1))</f>
        <v>0</v>
      </c>
      <c r="W7" s="93">
        <f>IF(Validation!$H$3=1,0,IF(ISNUMBER(I7),0,1))</f>
        <v>0</v>
      </c>
      <c r="X7" s="1293"/>
      <c r="Y7" s="1293"/>
      <c r="AC7" s="1635"/>
      <c r="AE7" s="1635"/>
      <c r="AI7" s="1635"/>
      <c r="AK7" s="1682" t="s">
        <v>7987</v>
      </c>
      <c r="AL7" s="1686" t="s">
        <v>7889</v>
      </c>
      <c r="AM7" s="2343" t="s">
        <v>7988</v>
      </c>
      <c r="AN7" s="2313" t="s">
        <v>49</v>
      </c>
      <c r="AO7" s="2308">
        <v>3</v>
      </c>
      <c r="AP7" s="1310" t="str">
        <f t="shared" si="0"/>
        <v>WWS1002STPPP</v>
      </c>
      <c r="AQ7" s="1311" t="str">
        <f t="shared" si="0"/>
        <v>WWS1002STPTK</v>
      </c>
      <c r="AR7" s="1311" t="str">
        <f t="shared" si="0"/>
        <v>WWS1002STPTR</v>
      </c>
      <c r="AS7" s="1815" t="str">
        <f t="shared" si="0"/>
        <v>WWS1002STPTOT</v>
      </c>
      <c r="AT7" s="1629"/>
      <c r="AU7" s="2045"/>
      <c r="AV7" s="2045"/>
      <c r="AW7" s="1629"/>
      <c r="AX7" s="1629"/>
    </row>
    <row r="8" spans="2:50" s="1882" customFormat="1" ht="16">
      <c r="B8" s="2312" t="s">
        <v>7989</v>
      </c>
      <c r="C8" s="1686" t="s">
        <v>2914</v>
      </c>
      <c r="D8" s="2025"/>
      <c r="E8" s="2314" t="s">
        <v>49</v>
      </c>
      <c r="F8" s="2308">
        <v>3</v>
      </c>
      <c r="G8" s="1310"/>
      <c r="H8" s="1311"/>
      <c r="I8" s="1311"/>
      <c r="J8" s="1815">
        <f t="shared" si="1"/>
        <v>0</v>
      </c>
      <c r="P8" s="1754"/>
      <c r="Q8" s="604"/>
      <c r="R8" s="24">
        <f t="shared" si="2"/>
        <v>0</v>
      </c>
      <c r="S8" s="1161"/>
      <c r="T8" s="71"/>
      <c r="U8" s="93">
        <f>IF(Validation!$H$3=1,0,IF(ISNUMBER(G8),0,1))</f>
        <v>0</v>
      </c>
      <c r="V8" s="93">
        <f>IF(Validation!$H$3=1,0,IF(ISNUMBER(H8),0,1))</f>
        <v>0</v>
      </c>
      <c r="W8" s="93">
        <f>IF(Validation!$H$3=1,0,IF(ISNUMBER(I8),0,1))</f>
        <v>0</v>
      </c>
      <c r="X8" s="1293"/>
      <c r="Y8" s="1293"/>
      <c r="AC8" s="1635"/>
      <c r="AE8" s="1635"/>
      <c r="AI8" s="1635"/>
      <c r="AK8" s="1682" t="s">
        <v>7989</v>
      </c>
      <c r="AL8" s="1686" t="s">
        <v>2914</v>
      </c>
      <c r="AM8" s="2343" t="s">
        <v>7990</v>
      </c>
      <c r="AN8" s="2314" t="s">
        <v>49</v>
      </c>
      <c r="AO8" s="2308">
        <v>3</v>
      </c>
      <c r="AP8" s="1310" t="str">
        <f>+$AM8&amp;AP$4</f>
        <v>WWS1003STPPP</v>
      </c>
      <c r="AQ8" s="1311" t="str">
        <f t="shared" ref="AQ8:AR9" si="3">+$AM8&amp;AQ$4</f>
        <v>WWS1003STPTK</v>
      </c>
      <c r="AR8" s="1311" t="str">
        <f t="shared" si="3"/>
        <v>WWS1003STPTR</v>
      </c>
      <c r="AS8" s="1815" t="str">
        <f>+$AM8&amp;AS$4</f>
        <v>WWS1003STPTOT</v>
      </c>
      <c r="AT8" s="1629"/>
      <c r="AU8" s="2045"/>
      <c r="AV8" s="2045"/>
      <c r="AW8" s="1629"/>
      <c r="AX8" s="1629"/>
    </row>
    <row r="9" spans="2:50" s="1882" customFormat="1" ht="16">
      <c r="B9" s="2312" t="s">
        <v>7991</v>
      </c>
      <c r="C9" s="1686" t="s">
        <v>2646</v>
      </c>
      <c r="D9" s="2025"/>
      <c r="E9" s="2314" t="s">
        <v>49</v>
      </c>
      <c r="F9" s="2308">
        <v>3</v>
      </c>
      <c r="G9" s="1310"/>
      <c r="H9" s="1311"/>
      <c r="I9" s="1311"/>
      <c r="J9" s="1815">
        <f t="shared" si="1"/>
        <v>0</v>
      </c>
      <c r="P9" s="1754"/>
      <c r="Q9" s="604"/>
      <c r="R9" s="24">
        <f t="shared" si="2"/>
        <v>0</v>
      </c>
      <c r="S9" s="1161"/>
      <c r="T9" s="71"/>
      <c r="U9" s="93">
        <f>IF(Validation!$H$3=1,0,IF(ISNUMBER(G9),0,1))</f>
        <v>0</v>
      </c>
      <c r="V9" s="93">
        <f>IF(Validation!$H$3=1,0,IF(ISNUMBER(H9),0,1))</f>
        <v>0</v>
      </c>
      <c r="W9" s="93">
        <f>IF(Validation!$H$3=1,0,IF(ISNUMBER(I9),0,1))</f>
        <v>0</v>
      </c>
      <c r="X9" s="1293"/>
      <c r="Y9" s="1293"/>
      <c r="AC9" s="1635"/>
      <c r="AE9" s="1635"/>
      <c r="AI9" s="1635"/>
      <c r="AK9" s="1682" t="s">
        <v>7991</v>
      </c>
      <c r="AL9" s="1686" t="s">
        <v>2646</v>
      </c>
      <c r="AM9" s="2343" t="s">
        <v>7992</v>
      </c>
      <c r="AN9" s="2314" t="s">
        <v>49</v>
      </c>
      <c r="AO9" s="2308">
        <v>3</v>
      </c>
      <c r="AP9" s="1310" t="str">
        <f t="shared" ref="AP9" si="4">+$AM9&amp;AP$4</f>
        <v>WWS1004STPPP</v>
      </c>
      <c r="AQ9" s="1311" t="str">
        <f t="shared" si="3"/>
        <v>WWS1004STPTK</v>
      </c>
      <c r="AR9" s="1311" t="str">
        <f t="shared" si="3"/>
        <v>WWS1004STPTR</v>
      </c>
      <c r="AS9" s="1815" t="str">
        <f>+$AM9&amp;AS$4</f>
        <v>WWS1004STPTOT</v>
      </c>
      <c r="AT9" s="1629"/>
      <c r="AU9" s="2045"/>
      <c r="AV9" s="2045"/>
      <c r="AW9" s="1629"/>
      <c r="AX9" s="1629"/>
    </row>
    <row r="10" spans="2:50" s="483" customFormat="1" ht="16">
      <c r="B10" s="2366"/>
      <c r="C10" s="2296" t="s">
        <v>1280</v>
      </c>
      <c r="D10" s="2367"/>
      <c r="E10" s="2368"/>
      <c r="F10" s="2365"/>
      <c r="G10" s="2359"/>
      <c r="H10" s="2360"/>
      <c r="I10" s="2360"/>
      <c r="J10" s="2360"/>
      <c r="P10" s="2369"/>
      <c r="Q10" s="604"/>
      <c r="R10" s="719"/>
      <c r="S10" s="2363"/>
      <c r="T10" s="71"/>
      <c r="U10" s="719"/>
      <c r="V10" s="719"/>
      <c r="W10" s="719"/>
      <c r="X10" s="719"/>
      <c r="Y10" s="719"/>
      <c r="AC10" s="2364"/>
      <c r="AE10" s="2364"/>
      <c r="AI10" s="2364"/>
      <c r="AK10" s="2355"/>
      <c r="AL10" s="2296" t="s">
        <v>1280</v>
      </c>
      <c r="AM10" s="2370"/>
      <c r="AN10" s="2368"/>
      <c r="AO10" s="2365"/>
      <c r="AP10" s="2359"/>
      <c r="AQ10" s="2360"/>
      <c r="AR10" s="2360"/>
      <c r="AS10" s="2360"/>
      <c r="AT10" s="1979"/>
      <c r="AU10" s="2371"/>
      <c r="AV10" s="2371"/>
      <c r="AW10" s="1979"/>
      <c r="AX10" s="1979"/>
    </row>
    <row r="11" spans="2:50" s="1882" customFormat="1" ht="16">
      <c r="B11" s="2312" t="s">
        <v>7993</v>
      </c>
      <c r="C11" s="884" t="s">
        <v>3673</v>
      </c>
      <c r="D11" s="2025"/>
      <c r="E11" s="2314" t="s">
        <v>49</v>
      </c>
      <c r="F11" s="2308">
        <v>3</v>
      </c>
      <c r="G11" s="1310"/>
      <c r="H11" s="1311"/>
      <c r="I11" s="1311"/>
      <c r="J11" s="1815">
        <f t="shared" ref="J11:J19" si="5">SUM(G11:I11)</f>
        <v>0</v>
      </c>
      <c r="P11" s="1754"/>
      <c r="Q11" s="604"/>
      <c r="R11" s="24">
        <f t="shared" si="2"/>
        <v>0</v>
      </c>
      <c r="S11" s="1161"/>
      <c r="T11" s="71"/>
      <c r="U11" s="93">
        <f>IF(Validation!$H$3=1,0,IF(ISNUMBER(G11),0,1))</f>
        <v>0</v>
      </c>
      <c r="V11" s="93">
        <f>IF(Validation!$H$3=1,0,IF(ISNUMBER(H11),0,1))</f>
        <v>0</v>
      </c>
      <c r="W11" s="93">
        <f>IF(Validation!$H$3=1,0,IF(ISNUMBER(I11),0,1))</f>
        <v>0</v>
      </c>
      <c r="X11" s="1293"/>
      <c r="Y11" s="1293"/>
      <c r="AC11" s="1635"/>
      <c r="AE11" s="1635"/>
      <c r="AI11" s="1635"/>
      <c r="AK11" s="1682" t="s">
        <v>7993</v>
      </c>
      <c r="AL11" s="884" t="s">
        <v>3673</v>
      </c>
      <c r="AM11" s="2343" t="s">
        <v>7994</v>
      </c>
      <c r="AN11" s="2314" t="s">
        <v>49</v>
      </c>
      <c r="AO11" s="2308">
        <v>3</v>
      </c>
      <c r="AP11" s="1310" t="str">
        <f t="shared" ref="AP11:AS19" si="6">+$AM11&amp;AP$4</f>
        <v>WWS1005STPPP</v>
      </c>
      <c r="AQ11" s="1311" t="str">
        <f t="shared" si="6"/>
        <v>WWS1005STPTK</v>
      </c>
      <c r="AR11" s="1311" t="str">
        <f t="shared" si="6"/>
        <v>WWS1005STPTR</v>
      </c>
      <c r="AS11" s="1815" t="str">
        <f t="shared" si="6"/>
        <v>WWS1005STPTOT</v>
      </c>
      <c r="AT11" s="1629"/>
      <c r="AU11" s="2045"/>
      <c r="AV11" s="2045"/>
      <c r="AW11" s="1629"/>
      <c r="AX11" s="1629"/>
    </row>
    <row r="12" spans="2:50" s="1882" customFormat="1" ht="16">
      <c r="B12" s="2312" t="s">
        <v>7995</v>
      </c>
      <c r="C12" s="884" t="s">
        <v>3682</v>
      </c>
      <c r="D12" s="2025"/>
      <c r="E12" s="2314" t="s">
        <v>49</v>
      </c>
      <c r="F12" s="2308">
        <v>3</v>
      </c>
      <c r="G12" s="1310"/>
      <c r="H12" s="1311"/>
      <c r="I12" s="1311"/>
      <c r="J12" s="1815">
        <f t="shared" si="5"/>
        <v>0</v>
      </c>
      <c r="P12" s="1755"/>
      <c r="Q12" s="604"/>
      <c r="R12" s="24">
        <f t="shared" si="2"/>
        <v>0</v>
      </c>
      <c r="S12" s="1161"/>
      <c r="T12" s="71"/>
      <c r="U12" s="93">
        <f>IF(Validation!$H$3=1,0,IF(ISNUMBER(G12),0,1))</f>
        <v>0</v>
      </c>
      <c r="V12" s="93">
        <f>IF(Validation!$H$3=1,0,IF(ISNUMBER(H12),0,1))</f>
        <v>0</v>
      </c>
      <c r="W12" s="93">
        <f>IF(Validation!$H$3=1,0,IF(ISNUMBER(I12),0,1))</f>
        <v>0</v>
      </c>
      <c r="X12" s="1293"/>
      <c r="Y12" s="1293"/>
      <c r="AC12" s="1635"/>
      <c r="AE12" s="1635"/>
      <c r="AI12" s="1635"/>
      <c r="AK12" s="1682" t="s">
        <v>7995</v>
      </c>
      <c r="AL12" s="884" t="s">
        <v>3682</v>
      </c>
      <c r="AM12" s="2343" t="s">
        <v>7996</v>
      </c>
      <c r="AN12" s="2314" t="s">
        <v>49</v>
      </c>
      <c r="AO12" s="2308">
        <v>3</v>
      </c>
      <c r="AP12" s="1310" t="str">
        <f t="shared" si="6"/>
        <v>WWS1006STPPP</v>
      </c>
      <c r="AQ12" s="1311" t="str">
        <f t="shared" si="6"/>
        <v>WWS1006STPTK</v>
      </c>
      <c r="AR12" s="1311" t="str">
        <f t="shared" si="6"/>
        <v>WWS1006STPTR</v>
      </c>
      <c r="AS12" s="1815" t="str">
        <f t="shared" si="6"/>
        <v>WWS1006STPTOT</v>
      </c>
      <c r="AT12" s="1629"/>
      <c r="AU12" s="2045"/>
      <c r="AV12" s="2045"/>
      <c r="AW12" s="1629"/>
      <c r="AX12" s="1629"/>
    </row>
    <row r="13" spans="2:50" s="1882" customFormat="1" ht="16">
      <c r="B13" s="2312" t="s">
        <v>7997</v>
      </c>
      <c r="C13" s="884" t="s">
        <v>7998</v>
      </c>
      <c r="D13" s="2025"/>
      <c r="E13" s="2314" t="s">
        <v>49</v>
      </c>
      <c r="F13" s="2308">
        <v>3</v>
      </c>
      <c r="G13" s="1310"/>
      <c r="H13" s="1311"/>
      <c r="I13" s="1311"/>
      <c r="J13" s="1815">
        <f t="shared" si="5"/>
        <v>0</v>
      </c>
      <c r="P13" s="1754"/>
      <c r="Q13" s="604"/>
      <c r="R13" s="24">
        <f t="shared" si="2"/>
        <v>0</v>
      </c>
      <c r="S13" s="1161"/>
      <c r="T13" s="71"/>
      <c r="U13" s="93">
        <f>IF(Validation!$H$3=1,0,IF(ISNUMBER(G13),0,1))</f>
        <v>0</v>
      </c>
      <c r="V13" s="93">
        <f>IF(Validation!$H$3=1,0,IF(ISNUMBER(H13),0,1))</f>
        <v>0</v>
      </c>
      <c r="W13" s="93">
        <f>IF(Validation!$H$3=1,0,IF(ISNUMBER(I13),0,1))</f>
        <v>0</v>
      </c>
      <c r="X13" s="1293"/>
      <c r="Y13" s="1293"/>
      <c r="AC13" s="1635"/>
      <c r="AE13" s="1635"/>
      <c r="AI13" s="1635"/>
      <c r="AK13" s="1682" t="s">
        <v>7997</v>
      </c>
      <c r="AL13" s="884" t="s">
        <v>7998</v>
      </c>
      <c r="AM13" s="2343" t="s">
        <v>7999</v>
      </c>
      <c r="AN13" s="2314" t="s">
        <v>49</v>
      </c>
      <c r="AO13" s="2308">
        <v>3</v>
      </c>
      <c r="AP13" s="1310" t="str">
        <f t="shared" si="6"/>
        <v>WWS1007DISTPPP</v>
      </c>
      <c r="AQ13" s="1311" t="str">
        <f t="shared" si="6"/>
        <v>WWS1007DISTPTK</v>
      </c>
      <c r="AR13" s="1311" t="str">
        <f t="shared" si="6"/>
        <v>WWS1007DISTPTR</v>
      </c>
      <c r="AS13" s="1815" t="str">
        <f t="shared" si="6"/>
        <v>WWS1007DISTPTOT</v>
      </c>
      <c r="AT13" s="1629"/>
      <c r="AU13" s="2045"/>
      <c r="AV13" s="2045"/>
      <c r="AW13" s="1629"/>
      <c r="AX13" s="1629"/>
    </row>
    <row r="14" spans="2:50" s="1882" customFormat="1" ht="16">
      <c r="B14" s="2312" t="s">
        <v>8000</v>
      </c>
      <c r="C14" s="884" t="s">
        <v>8001</v>
      </c>
      <c r="D14" s="2025"/>
      <c r="E14" s="2314" t="s">
        <v>49</v>
      </c>
      <c r="F14" s="2308">
        <v>3</v>
      </c>
      <c r="G14" s="1310"/>
      <c r="H14" s="1311"/>
      <c r="I14" s="1311"/>
      <c r="J14" s="1815">
        <f t="shared" si="5"/>
        <v>0</v>
      </c>
      <c r="P14" s="1754"/>
      <c r="Q14" s="604"/>
      <c r="R14" s="24">
        <f t="shared" si="2"/>
        <v>0</v>
      </c>
      <c r="S14" s="1161"/>
      <c r="T14" s="71"/>
      <c r="U14" s="93">
        <f>IF(Validation!$H$3=1,0,IF(ISNUMBER(G14),0,1))</f>
        <v>0</v>
      </c>
      <c r="V14" s="93">
        <f>IF(Validation!$H$3=1,0,IF(ISNUMBER(H14),0,1))</f>
        <v>0</v>
      </c>
      <c r="W14" s="93">
        <f>IF(Validation!$H$3=1,0,IF(ISNUMBER(I14),0,1))</f>
        <v>0</v>
      </c>
      <c r="X14" s="1293"/>
      <c r="Y14" s="1293"/>
      <c r="AC14" s="1635"/>
      <c r="AE14" s="1635"/>
      <c r="AI14" s="1635"/>
      <c r="AK14" s="1682" t="s">
        <v>8000</v>
      </c>
      <c r="AL14" s="884" t="s">
        <v>8001</v>
      </c>
      <c r="AM14" s="2343" t="s">
        <v>8002</v>
      </c>
      <c r="AN14" s="2314" t="s">
        <v>49</v>
      </c>
      <c r="AO14" s="2308">
        <v>3</v>
      </c>
      <c r="AP14" s="1310" t="str">
        <f t="shared" si="6"/>
        <v>WWS1007INSTPPP</v>
      </c>
      <c r="AQ14" s="1311" t="str">
        <f t="shared" si="6"/>
        <v>WWS1007INSTPTK</v>
      </c>
      <c r="AR14" s="1311" t="str">
        <f t="shared" si="6"/>
        <v>WWS1007INSTPTR</v>
      </c>
      <c r="AS14" s="1815" t="str">
        <f t="shared" si="6"/>
        <v>WWS1007INSTPTOT</v>
      </c>
      <c r="AT14" s="1629"/>
      <c r="AU14" s="2045"/>
      <c r="AV14" s="2045"/>
      <c r="AW14" s="1629"/>
      <c r="AX14" s="1629"/>
    </row>
    <row r="15" spans="2:50" s="1882" customFormat="1" ht="16">
      <c r="B15" s="2312" t="s">
        <v>8003</v>
      </c>
      <c r="C15" s="2298" t="s">
        <v>7907</v>
      </c>
      <c r="D15" s="2025"/>
      <c r="E15" s="2314" t="s">
        <v>49</v>
      </c>
      <c r="F15" s="2308">
        <v>3</v>
      </c>
      <c r="G15" s="1677">
        <f>SUM(G6:G14)</f>
        <v>0</v>
      </c>
      <c r="H15" s="1677">
        <f t="shared" ref="H15:I15" si="7">SUM(H6:H14)</f>
        <v>0</v>
      </c>
      <c r="I15" s="1677">
        <f t="shared" si="7"/>
        <v>0</v>
      </c>
      <c r="J15" s="1815">
        <f t="shared" si="5"/>
        <v>0</v>
      </c>
      <c r="L15" s="647"/>
      <c r="M15" s="647"/>
      <c r="P15" s="1754"/>
      <c r="Q15" s="604"/>
      <c r="R15" s="1293"/>
      <c r="S15" s="1161"/>
      <c r="T15" s="71"/>
      <c r="U15" s="1293"/>
      <c r="V15" s="1293"/>
      <c r="W15" s="1293"/>
      <c r="X15" s="1293"/>
      <c r="Y15" s="1293"/>
      <c r="AC15" s="1635"/>
      <c r="AE15" s="1635"/>
      <c r="AI15" s="1635"/>
      <c r="AK15" s="1682" t="s">
        <v>8003</v>
      </c>
      <c r="AL15" s="2298" t="s">
        <v>7907</v>
      </c>
      <c r="AM15" s="2343" t="s">
        <v>7908</v>
      </c>
      <c r="AN15" s="2314" t="s">
        <v>49</v>
      </c>
      <c r="AO15" s="2308">
        <v>3</v>
      </c>
      <c r="AP15" s="1677" t="str">
        <f t="shared" si="6"/>
        <v>BM816STPPP</v>
      </c>
      <c r="AQ15" s="1677" t="str">
        <f t="shared" si="6"/>
        <v>BM816STPTK</v>
      </c>
      <c r="AR15" s="1677" t="str">
        <f t="shared" si="6"/>
        <v>BM816STPTR</v>
      </c>
      <c r="AS15" s="1815" t="str">
        <f t="shared" si="6"/>
        <v>BM816STPTOT</v>
      </c>
      <c r="AT15" s="1629"/>
      <c r="AU15" s="2045"/>
      <c r="AV15" s="2045"/>
      <c r="AW15" s="1629"/>
      <c r="AX15" s="1629"/>
    </row>
    <row r="16" spans="2:50" s="1882" customFormat="1" ht="16">
      <c r="B16" s="2312" t="s">
        <v>8004</v>
      </c>
      <c r="C16" s="1686" t="s">
        <v>1096</v>
      </c>
      <c r="D16" s="2025" t="s">
        <v>7910</v>
      </c>
      <c r="E16" s="2313" t="s">
        <v>49</v>
      </c>
      <c r="F16" s="2308">
        <v>3</v>
      </c>
      <c r="G16" s="1310"/>
      <c r="H16" s="1311"/>
      <c r="I16" s="1311"/>
      <c r="J16" s="1815">
        <f t="shared" si="5"/>
        <v>0</v>
      </c>
      <c r="L16" s="647"/>
      <c r="M16" s="647"/>
      <c r="P16" s="1754"/>
      <c r="Q16" s="604"/>
      <c r="R16" s="24">
        <f t="shared" si="2"/>
        <v>0</v>
      </c>
      <c r="S16" s="1161"/>
      <c r="T16" s="71"/>
      <c r="U16" s="93">
        <f>IF(Validation!$H$3=1,0,IF(ISNUMBER(G16),0,1))</f>
        <v>0</v>
      </c>
      <c r="V16" s="93">
        <f>IF(Validation!$H$3=1,0,IF(ISNUMBER(H16),0,1))</f>
        <v>0</v>
      </c>
      <c r="W16" s="93">
        <f>IF(Validation!$H$3=1,0,IF(ISNUMBER(I16),0,1))</f>
        <v>0</v>
      </c>
      <c r="X16" s="1293"/>
      <c r="Y16" s="1293"/>
      <c r="AC16" s="1635"/>
      <c r="AE16" s="1635"/>
      <c r="AI16" s="1635"/>
      <c r="AK16" s="1682" t="s">
        <v>8004</v>
      </c>
      <c r="AL16" s="1686" t="s">
        <v>1096</v>
      </c>
      <c r="AM16" s="2343" t="s">
        <v>8005</v>
      </c>
      <c r="AN16" s="2313" t="s">
        <v>49</v>
      </c>
      <c r="AO16" s="2308">
        <v>3</v>
      </c>
      <c r="AP16" s="1310" t="str">
        <f t="shared" si="6"/>
        <v>WWS1008STPPP</v>
      </c>
      <c r="AQ16" s="1311" t="str">
        <f t="shared" si="6"/>
        <v>WWS1008STPTK</v>
      </c>
      <c r="AR16" s="1311" t="str">
        <f t="shared" si="6"/>
        <v>WWS1008STPTR</v>
      </c>
      <c r="AS16" s="1815" t="str">
        <f t="shared" si="6"/>
        <v>WWS1008STPTOT</v>
      </c>
      <c r="AT16" s="1629"/>
      <c r="AU16" s="2045"/>
      <c r="AV16" s="2045"/>
      <c r="AW16" s="1629"/>
      <c r="AX16" s="1629"/>
    </row>
    <row r="17" spans="2:50" s="1882" customFormat="1" ht="23.5">
      <c r="B17" s="2312" t="s">
        <v>8006</v>
      </c>
      <c r="C17" s="2299" t="s">
        <v>7912</v>
      </c>
      <c r="D17" s="2026" t="s">
        <v>7913</v>
      </c>
      <c r="E17" s="2315" t="s">
        <v>49</v>
      </c>
      <c r="F17" s="2316">
        <v>3</v>
      </c>
      <c r="G17" s="1677">
        <f>+G15+G16</f>
        <v>0</v>
      </c>
      <c r="H17" s="1677">
        <f t="shared" ref="H17:I17" si="8">+H15+H16</f>
        <v>0</v>
      </c>
      <c r="I17" s="1677">
        <f t="shared" si="8"/>
        <v>0</v>
      </c>
      <c r="J17" s="1815">
        <f t="shared" si="5"/>
        <v>0</v>
      </c>
      <c r="L17" s="647"/>
      <c r="M17" s="647"/>
      <c r="P17" s="1754"/>
      <c r="Q17" s="604"/>
      <c r="R17" s="1339">
        <f xml:space="preserve"> IF( SUM( AC17:AE17 ) = 0, 0, AH17 )</f>
        <v>0</v>
      </c>
      <c r="S17" s="1161"/>
      <c r="T17" s="71"/>
      <c r="U17" s="1293"/>
      <c r="V17" s="1293"/>
      <c r="W17" s="1293"/>
      <c r="X17" s="1293"/>
      <c r="Y17" s="1293"/>
      <c r="AC17" s="1635"/>
      <c r="AD17" s="1944">
        <f xml:space="preserve"> IF( (AF17 - AG17) = 0, 0, 1 )</f>
        <v>0</v>
      </c>
      <c r="AE17" s="1945"/>
      <c r="AF17" s="1946">
        <f>ROUND(J17,3)</f>
        <v>0</v>
      </c>
      <c r="AG17" s="2109">
        <f>ROUND('4E'!L15,3)</f>
        <v>0</v>
      </c>
      <c r="AH17" s="2108" t="s">
        <v>8007</v>
      </c>
      <c r="AI17" s="1635"/>
      <c r="AK17" s="1682" t="s">
        <v>8006</v>
      </c>
      <c r="AL17" s="2299" t="s">
        <v>7912</v>
      </c>
      <c r="AM17" s="2344" t="s">
        <v>8008</v>
      </c>
      <c r="AN17" s="2315" t="s">
        <v>49</v>
      </c>
      <c r="AO17" s="2316">
        <v>3</v>
      </c>
      <c r="AP17" s="1677" t="str">
        <f t="shared" si="6"/>
        <v>WWS1009STPPP</v>
      </c>
      <c r="AQ17" s="1677" t="str">
        <f t="shared" si="6"/>
        <v>WWS1009STPTK</v>
      </c>
      <c r="AR17" s="1677" t="str">
        <f t="shared" si="6"/>
        <v>WWS1009STPTR</v>
      </c>
      <c r="AS17" s="1815" t="str">
        <f t="shared" si="6"/>
        <v>WWS1009STPTOT</v>
      </c>
      <c r="AT17" s="1629"/>
      <c r="AU17" s="2045"/>
      <c r="AV17" s="2045"/>
      <c r="AW17" s="1629"/>
      <c r="AX17" s="1629"/>
    </row>
    <row r="18" spans="2:50" s="1882" customFormat="1" ht="16">
      <c r="B18" s="2312" t="s">
        <v>8009</v>
      </c>
      <c r="C18" s="1686" t="s">
        <v>531</v>
      </c>
      <c r="D18" s="2025" t="s">
        <v>7916</v>
      </c>
      <c r="E18" s="2315" t="s">
        <v>49</v>
      </c>
      <c r="F18" s="2316">
        <v>3</v>
      </c>
      <c r="G18" s="1316"/>
      <c r="H18" s="1311"/>
      <c r="I18" s="1317"/>
      <c r="J18" s="1815">
        <f t="shared" si="5"/>
        <v>0</v>
      </c>
      <c r="L18" s="647"/>
      <c r="M18" s="647"/>
      <c r="P18" s="1755"/>
      <c r="Q18" s="604"/>
      <c r="R18" s="24">
        <f t="shared" si="2"/>
        <v>0</v>
      </c>
      <c r="S18" s="1161"/>
      <c r="T18" s="71"/>
      <c r="U18" s="93">
        <f>IF(Validation!$H$3=1,0,IF(ISNUMBER(G18),0,1))</f>
        <v>0</v>
      </c>
      <c r="V18" s="93">
        <f>IF(Validation!$H$3=1,0,IF(ISNUMBER(H18),0,1))</f>
        <v>0</v>
      </c>
      <c r="W18" s="93">
        <f>IF(Validation!$H$3=1,0,IF(ISNUMBER(I18),0,1))</f>
        <v>0</v>
      </c>
      <c r="X18" s="1293"/>
      <c r="Y18" s="1293"/>
      <c r="AC18" s="1635"/>
      <c r="AE18" s="1635"/>
      <c r="AI18" s="1635"/>
      <c r="AK18" s="1682" t="s">
        <v>8009</v>
      </c>
      <c r="AL18" s="1686" t="s">
        <v>531</v>
      </c>
      <c r="AM18" s="2343" t="s">
        <v>7916</v>
      </c>
      <c r="AN18" s="2315" t="s">
        <v>49</v>
      </c>
      <c r="AO18" s="2316">
        <v>3</v>
      </c>
      <c r="AP18" s="1316" t="str">
        <f t="shared" si="6"/>
        <v>FT00865STPPP</v>
      </c>
      <c r="AQ18" s="1311" t="str">
        <f t="shared" si="6"/>
        <v>FT00865STPTK</v>
      </c>
      <c r="AR18" s="1317" t="str">
        <f t="shared" si="6"/>
        <v>FT00865STPTR</v>
      </c>
      <c r="AS18" s="1815" t="str">
        <f t="shared" si="6"/>
        <v>FT00865STPTOT</v>
      </c>
      <c r="AT18" s="1629"/>
      <c r="AU18" s="2045"/>
      <c r="AV18" s="2045"/>
      <c r="AW18" s="1629"/>
      <c r="AX18" s="1629"/>
    </row>
    <row r="19" spans="2:50" s="1882" customFormat="1" ht="16.5" thickBot="1">
      <c r="B19" s="2317" t="s">
        <v>8010</v>
      </c>
      <c r="C19" s="1698" t="s">
        <v>7918</v>
      </c>
      <c r="D19" s="2027" t="s">
        <v>7919</v>
      </c>
      <c r="E19" s="2318" t="s">
        <v>49</v>
      </c>
      <c r="F19" s="2319">
        <v>3</v>
      </c>
      <c r="G19" s="1679">
        <f>+G17+G18</f>
        <v>0</v>
      </c>
      <c r="H19" s="1679">
        <f t="shared" ref="H19:I19" si="9">+H17+H18</f>
        <v>0</v>
      </c>
      <c r="I19" s="1679">
        <f t="shared" si="9"/>
        <v>0</v>
      </c>
      <c r="J19" s="1816">
        <f t="shared" si="5"/>
        <v>0</v>
      </c>
      <c r="L19" s="647"/>
      <c r="M19" s="647"/>
      <c r="P19" s="1756"/>
      <c r="Q19" s="604"/>
      <c r="R19" s="1293"/>
      <c r="S19" s="1161"/>
      <c r="T19" s="71"/>
      <c r="U19" s="1293"/>
      <c r="V19" s="1293"/>
      <c r="W19" s="1293"/>
      <c r="X19" s="1293"/>
      <c r="Y19" s="1293"/>
      <c r="AC19" s="1635"/>
      <c r="AE19" s="1635"/>
      <c r="AI19" s="1635"/>
      <c r="AK19" s="1683" t="s">
        <v>8010</v>
      </c>
      <c r="AL19" s="1698" t="s">
        <v>7918</v>
      </c>
      <c r="AM19" s="2345" t="s">
        <v>7919</v>
      </c>
      <c r="AN19" s="2318" t="s">
        <v>49</v>
      </c>
      <c r="AO19" s="2319">
        <v>3</v>
      </c>
      <c r="AP19" s="1679" t="str">
        <f t="shared" si="6"/>
        <v>BM319STPPP</v>
      </c>
      <c r="AQ19" s="1679" t="str">
        <f t="shared" si="6"/>
        <v>BM319STPTK</v>
      </c>
      <c r="AR19" s="1679" t="str">
        <f t="shared" si="6"/>
        <v>BM319STPTR</v>
      </c>
      <c r="AS19" s="1816" t="str">
        <f t="shared" si="6"/>
        <v>BM319STPTOT</v>
      </c>
      <c r="AT19" s="1629"/>
      <c r="AU19" s="2045"/>
      <c r="AV19" s="2045"/>
      <c r="AW19" s="1629"/>
      <c r="AX19" s="1629"/>
    </row>
    <row r="20" spans="2:50" s="1882" customFormat="1" ht="14.5" thickBot="1">
      <c r="B20" s="2320"/>
      <c r="C20" s="1629"/>
      <c r="D20" s="1629"/>
      <c r="E20" s="1629"/>
      <c r="F20" s="1629"/>
      <c r="L20" s="647"/>
      <c r="M20" s="647"/>
      <c r="P20" s="1295"/>
      <c r="Q20" s="604"/>
      <c r="S20" s="1293"/>
      <c r="T20" s="1636"/>
      <c r="U20" s="164"/>
      <c r="V20" s="1293"/>
      <c r="W20" s="1293"/>
      <c r="X20" s="1293"/>
      <c r="Y20" s="1293"/>
      <c r="AC20" s="1635"/>
      <c r="AE20" s="1635"/>
      <c r="AI20" s="1635"/>
      <c r="AK20" s="568"/>
      <c r="AL20" s="1629"/>
      <c r="AM20" s="2341"/>
      <c r="AN20" s="1629"/>
      <c r="AO20" s="1629"/>
      <c r="AP20" s="2341" t="s">
        <v>8011</v>
      </c>
      <c r="AQ20" s="2341" t="s">
        <v>8012</v>
      </c>
      <c r="AR20" s="2341" t="s">
        <v>8013</v>
      </c>
      <c r="AS20" s="2341" t="s">
        <v>8014</v>
      </c>
      <c r="AT20" s="2341" t="s">
        <v>8015</v>
      </c>
      <c r="AU20" s="2307" t="s">
        <v>8016</v>
      </c>
      <c r="AV20" s="2307" t="s">
        <v>8017</v>
      </c>
      <c r="AW20" s="2341" t="s">
        <v>8018</v>
      </c>
      <c r="AX20" s="2341" t="s">
        <v>8019</v>
      </c>
    </row>
    <row r="21" spans="2:50" ht="41" thickBot="1">
      <c r="B21" s="1921" t="s">
        <v>175</v>
      </c>
      <c r="C21" s="2349" t="s">
        <v>8020</v>
      </c>
      <c r="D21" s="1629"/>
      <c r="E21" s="1629"/>
      <c r="F21" s="1629"/>
      <c r="G21" s="186" t="s">
        <v>8021</v>
      </c>
      <c r="H21" s="361" t="s">
        <v>8022</v>
      </c>
      <c r="I21" s="361" t="s">
        <v>8023</v>
      </c>
      <c r="J21" s="361" t="s">
        <v>8024</v>
      </c>
      <c r="K21" s="361" t="s">
        <v>8025</v>
      </c>
      <c r="L21" s="1455" t="s">
        <v>8026</v>
      </c>
      <c r="M21" s="1455" t="s">
        <v>8027</v>
      </c>
      <c r="N21" s="361" t="s">
        <v>29</v>
      </c>
      <c r="O21" s="187" t="s">
        <v>708</v>
      </c>
      <c r="P21" s="1376" t="s">
        <v>3638</v>
      </c>
      <c r="Q21" s="1882"/>
      <c r="R21" s="1882"/>
      <c r="S21" s="1882"/>
      <c r="U21" s="1882"/>
      <c r="V21" s="1882"/>
      <c r="W21" s="1882"/>
      <c r="X21" s="1882"/>
      <c r="Y21" s="1882"/>
      <c r="Z21" s="1882"/>
      <c r="AA21" s="1882"/>
      <c r="AB21" s="1882"/>
      <c r="AD21" s="1882"/>
      <c r="AF21" s="1882"/>
      <c r="AG21" s="1882"/>
      <c r="AH21" s="1882"/>
      <c r="AJ21" s="1882"/>
      <c r="AK21" s="2863" t="s">
        <v>153</v>
      </c>
      <c r="AL21" s="2350" t="s">
        <v>8020</v>
      </c>
      <c r="AM21" s="2352"/>
      <c r="AN21" s="2352"/>
      <c r="AO21" s="2352"/>
      <c r="AP21" s="186" t="s">
        <v>8021</v>
      </c>
      <c r="AQ21" s="361" t="s">
        <v>8022</v>
      </c>
      <c r="AR21" s="361" t="s">
        <v>8023</v>
      </c>
      <c r="AS21" s="361" t="s">
        <v>8024</v>
      </c>
      <c r="AT21" s="361" t="s">
        <v>8025</v>
      </c>
      <c r="AU21" s="1455" t="s">
        <v>8026</v>
      </c>
      <c r="AV21" s="1455" t="s">
        <v>8027</v>
      </c>
      <c r="AW21" s="361" t="s">
        <v>29</v>
      </c>
      <c r="AX21" s="187" t="s">
        <v>708</v>
      </c>
    </row>
    <row r="22" spans="2:50" ht="16">
      <c r="B22" s="2309" t="s">
        <v>8028</v>
      </c>
      <c r="C22" s="2304" t="s">
        <v>1040</v>
      </c>
      <c r="D22" s="2321"/>
      <c r="E22" s="2310" t="s">
        <v>49</v>
      </c>
      <c r="F22" s="2311">
        <v>3</v>
      </c>
      <c r="G22" s="1301"/>
      <c r="H22" s="1302"/>
      <c r="I22" s="1302"/>
      <c r="J22" s="1302"/>
      <c r="K22" s="1302"/>
      <c r="L22" s="1302"/>
      <c r="M22" s="1302"/>
      <c r="N22" s="1302"/>
      <c r="O22" s="1814">
        <f t="shared" ref="O22:O35" si="10">SUM(G22:N22)</f>
        <v>0</v>
      </c>
      <c r="P22" s="1753"/>
      <c r="Q22" s="1882"/>
      <c r="R22" s="24">
        <f xml:space="preserve"> IF( SUM( T22:AB22 ) = 0, 0, $U$4 )</f>
        <v>0</v>
      </c>
      <c r="S22" s="1161"/>
      <c r="T22" s="71"/>
      <c r="U22" s="93">
        <f>IF(Validation!$H$3=1,0,IF(ISNUMBER(G22),0,1))</f>
        <v>0</v>
      </c>
      <c r="V22" s="93">
        <f>IF(Validation!$H$3=1,0,IF(ISNUMBER(H22),0,1))</f>
        <v>0</v>
      </c>
      <c r="W22" s="93">
        <f>IF(Validation!$H$3=1,0,IF(ISNUMBER(I22),0,1))</f>
        <v>0</v>
      </c>
      <c r="X22" s="93">
        <f>IF(Validation!$H$3=1,0,IF(ISNUMBER(J22),0,1))</f>
        <v>0</v>
      </c>
      <c r="Y22" s="93">
        <f>IF(Validation!$H$3=1,0,IF(ISNUMBER(K22),0,1))</f>
        <v>0</v>
      </c>
      <c r="Z22" s="93">
        <f>IF(Validation!$H$3=1,0,IF(ISNUMBER(L22),0,1))</f>
        <v>0</v>
      </c>
      <c r="AA22" s="93">
        <f>IF(Validation!$H$3=1,0,IF(ISNUMBER(M22),0,1))</f>
        <v>0</v>
      </c>
      <c r="AB22" s="93">
        <f>IF(Validation!$H$3=1,0,IF(ISNUMBER(N22),0,1))</f>
        <v>0</v>
      </c>
      <c r="AC22" s="71"/>
      <c r="AD22" s="1882"/>
      <c r="AF22" s="1882"/>
      <c r="AG22" s="1882"/>
      <c r="AH22" s="1882"/>
      <c r="AJ22" s="1882"/>
      <c r="AK22" s="1681" t="s">
        <v>8028</v>
      </c>
      <c r="AL22" s="2304" t="s">
        <v>1040</v>
      </c>
      <c r="AM22" s="2342" t="s">
        <v>8029</v>
      </c>
      <c r="AN22" s="2310" t="s">
        <v>49</v>
      </c>
      <c r="AO22" s="2311">
        <v>3</v>
      </c>
      <c r="AP22" s="1301" t="s">
        <v>8030</v>
      </c>
      <c r="AQ22" s="1302" t="s">
        <v>8031</v>
      </c>
      <c r="AR22" s="1302" t="s">
        <v>8032</v>
      </c>
      <c r="AS22" s="1333" t="s">
        <v>8033</v>
      </c>
      <c r="AT22" s="1333" t="s">
        <v>8034</v>
      </c>
      <c r="AU22" s="1302" t="s">
        <v>8035</v>
      </c>
      <c r="AV22" s="1302" t="s">
        <v>8036</v>
      </c>
      <c r="AW22" s="1302" t="s">
        <v>8037</v>
      </c>
      <c r="AX22" s="1609" t="s">
        <v>8038</v>
      </c>
    </row>
    <row r="23" spans="2:50" ht="16">
      <c r="B23" s="2312" t="s">
        <v>8039</v>
      </c>
      <c r="C23" s="1686" t="s">
        <v>1048</v>
      </c>
      <c r="D23" s="2322"/>
      <c r="E23" s="2313" t="s">
        <v>49</v>
      </c>
      <c r="F23" s="2308">
        <v>3</v>
      </c>
      <c r="G23" s="1310"/>
      <c r="H23" s="1311"/>
      <c r="I23" s="1311"/>
      <c r="J23" s="1311"/>
      <c r="K23" s="1311"/>
      <c r="L23" s="1311"/>
      <c r="M23" s="1311"/>
      <c r="N23" s="1311"/>
      <c r="O23" s="1815">
        <f t="shared" si="10"/>
        <v>0</v>
      </c>
      <c r="P23" s="1754"/>
      <c r="Q23" s="1882"/>
      <c r="R23" s="24">
        <f xml:space="preserve"> IF( SUM( T23:AB23 ) = 0, 0, $U$4 )</f>
        <v>0</v>
      </c>
      <c r="S23" s="1161"/>
      <c r="T23" s="71"/>
      <c r="U23" s="93">
        <f>IF(Validation!$H$3=1,0,IF(ISNUMBER(G23),0,1))</f>
        <v>0</v>
      </c>
      <c r="V23" s="93">
        <f>IF(Validation!$H$3=1,0,IF(ISNUMBER(H23),0,1))</f>
        <v>0</v>
      </c>
      <c r="W23" s="93">
        <f>IF(Validation!$H$3=1,0,IF(ISNUMBER(I23),0,1))</f>
        <v>0</v>
      </c>
      <c r="X23" s="93">
        <f>IF(Validation!$H$3=1,0,IF(ISNUMBER(J23),0,1))</f>
        <v>0</v>
      </c>
      <c r="Y23" s="93">
        <f>IF(Validation!$H$3=1,0,IF(ISNUMBER(K23),0,1))</f>
        <v>0</v>
      </c>
      <c r="Z23" s="93">
        <f>IF(Validation!$H$3=1,0,IF(ISNUMBER(L23),0,1))</f>
        <v>0</v>
      </c>
      <c r="AA23" s="93">
        <f>IF(Validation!$H$3=1,0,IF(ISNUMBER(M23),0,1))</f>
        <v>0</v>
      </c>
      <c r="AB23" s="93">
        <f>IF(Validation!$H$3=1,0,IF(ISNUMBER(N23),0,1))</f>
        <v>0</v>
      </c>
      <c r="AC23" s="71"/>
      <c r="AD23" s="1882"/>
      <c r="AF23" s="1882"/>
      <c r="AG23" s="1882"/>
      <c r="AH23" s="1882"/>
      <c r="AJ23" s="1882"/>
      <c r="AK23" s="1682" t="s">
        <v>8039</v>
      </c>
      <c r="AL23" s="1686" t="s">
        <v>1048</v>
      </c>
      <c r="AM23" s="2343" t="s">
        <v>7890</v>
      </c>
      <c r="AN23" s="2313" t="s">
        <v>49</v>
      </c>
      <c r="AO23" s="2308">
        <v>3</v>
      </c>
      <c r="AP23" s="1310" t="s">
        <v>8040</v>
      </c>
      <c r="AQ23" s="1311" t="s">
        <v>8041</v>
      </c>
      <c r="AR23" s="1311" t="s">
        <v>8042</v>
      </c>
      <c r="AS23" s="1334" t="s">
        <v>8043</v>
      </c>
      <c r="AT23" s="1334" t="s">
        <v>8044</v>
      </c>
      <c r="AU23" s="1311" t="s">
        <v>8045</v>
      </c>
      <c r="AV23" s="1311" t="s">
        <v>8046</v>
      </c>
      <c r="AW23" s="1311" t="s">
        <v>8047</v>
      </c>
      <c r="AX23" s="1610" t="s">
        <v>8048</v>
      </c>
    </row>
    <row r="24" spans="2:50" s="1882" customFormat="1" ht="16">
      <c r="B24" s="2312" t="s">
        <v>8049</v>
      </c>
      <c r="C24" s="1686" t="s">
        <v>2914</v>
      </c>
      <c r="D24" s="2025"/>
      <c r="E24" s="2314" t="s">
        <v>49</v>
      </c>
      <c r="F24" s="2308">
        <v>3</v>
      </c>
      <c r="G24" s="1310"/>
      <c r="H24" s="1311"/>
      <c r="I24" s="1311"/>
      <c r="J24" s="1311"/>
      <c r="K24" s="1311"/>
      <c r="L24" s="1311"/>
      <c r="M24" s="1311"/>
      <c r="N24" s="1311"/>
      <c r="O24" s="1815">
        <f t="shared" si="10"/>
        <v>0</v>
      </c>
      <c r="P24" s="1754"/>
      <c r="R24" s="24">
        <f t="shared" ref="R24:R25" si="11" xml:space="preserve"> IF( SUM( T24:AB24 ) = 0, 0, $U$4 )</f>
        <v>0</v>
      </c>
      <c r="S24" s="1161"/>
      <c r="T24" s="71"/>
      <c r="U24" s="93">
        <f>IF(Validation!$H$3=1,0,IF(ISNUMBER(G24),0,1))</f>
        <v>0</v>
      </c>
      <c r="V24" s="93">
        <f>IF(Validation!$H$3=1,0,IF(ISNUMBER(H24),0,1))</f>
        <v>0</v>
      </c>
      <c r="W24" s="93">
        <f>IF(Validation!$H$3=1,0,IF(ISNUMBER(I24),0,1))</f>
        <v>0</v>
      </c>
      <c r="X24" s="93">
        <f>IF(Validation!$H$3=1,0,IF(ISNUMBER(J24),0,1))</f>
        <v>0</v>
      </c>
      <c r="Y24" s="93">
        <f>IF(Validation!$H$3=1,0,IF(ISNUMBER(K24),0,1))</f>
        <v>0</v>
      </c>
      <c r="Z24" s="93">
        <f>IF(Validation!$H$3=1,0,IF(ISNUMBER(L24),0,1))</f>
        <v>0</v>
      </c>
      <c r="AA24" s="93">
        <f>IF(Validation!$H$3=1,0,IF(ISNUMBER(M24),0,1))</f>
        <v>0</v>
      </c>
      <c r="AB24" s="93">
        <f>IF(Validation!$H$3=1,0,IF(ISNUMBER(N24),0,1))</f>
        <v>0</v>
      </c>
      <c r="AC24" s="71"/>
      <c r="AE24" s="1635"/>
      <c r="AI24" s="1635"/>
      <c r="AK24" s="1682" t="s">
        <v>8049</v>
      </c>
      <c r="AL24" s="1686" t="s">
        <v>2914</v>
      </c>
      <c r="AM24" s="2343" t="s">
        <v>7990</v>
      </c>
      <c r="AN24" s="2314" t="s">
        <v>49</v>
      </c>
      <c r="AO24" s="2308">
        <v>3</v>
      </c>
      <c r="AP24" s="1310" t="str">
        <f>+$AM24&amp;AP$20</f>
        <v>WWS1003STUTS</v>
      </c>
      <c r="AQ24" s="1311" t="str">
        <f t="shared" ref="AQ24:AX25" si="12">+$AM24&amp;AQ$20</f>
        <v>WWS1003STRSL</v>
      </c>
      <c r="AR24" s="1311" t="str">
        <f t="shared" si="12"/>
        <v>WWS1003STCAD</v>
      </c>
      <c r="AS24" s="1334" t="str">
        <f t="shared" si="12"/>
        <v>WWS1003STAD</v>
      </c>
      <c r="AT24" s="1334" t="str">
        <f t="shared" si="12"/>
        <v>WWS1003STIRS</v>
      </c>
      <c r="AU24" s="1311" t="str">
        <f t="shared" si="12"/>
        <v>WWS1003STIDS</v>
      </c>
      <c r="AV24" s="1311" t="str">
        <f t="shared" si="12"/>
        <v>WWS1003STPCC</v>
      </c>
      <c r="AW24" s="1311" t="str">
        <f t="shared" si="12"/>
        <v>WWS1003STSLOT</v>
      </c>
      <c r="AX24" s="1610" t="str">
        <f t="shared" si="12"/>
        <v>WWS1003STTOT</v>
      </c>
    </row>
    <row r="25" spans="2:50" s="1882" customFormat="1" ht="16">
      <c r="B25" s="2312" t="s">
        <v>8050</v>
      </c>
      <c r="C25" s="1686" t="s">
        <v>2646</v>
      </c>
      <c r="D25" s="2025"/>
      <c r="E25" s="2314" t="s">
        <v>49</v>
      </c>
      <c r="F25" s="2308">
        <v>3</v>
      </c>
      <c r="G25" s="1310"/>
      <c r="H25" s="1311"/>
      <c r="I25" s="1311"/>
      <c r="J25" s="1311"/>
      <c r="K25" s="1311"/>
      <c r="L25" s="1311"/>
      <c r="M25" s="1311"/>
      <c r="N25" s="1311"/>
      <c r="O25" s="1815">
        <f t="shared" si="10"/>
        <v>0</v>
      </c>
      <c r="P25" s="1754"/>
      <c r="R25" s="24">
        <f t="shared" si="11"/>
        <v>0</v>
      </c>
      <c r="S25" s="1161"/>
      <c r="T25" s="71"/>
      <c r="U25" s="93">
        <f>IF(Validation!$H$3=1,0,IF(ISNUMBER(G25),0,1))</f>
        <v>0</v>
      </c>
      <c r="V25" s="93">
        <f>IF(Validation!$H$3=1,0,IF(ISNUMBER(H25),0,1))</f>
        <v>0</v>
      </c>
      <c r="W25" s="93">
        <f>IF(Validation!$H$3=1,0,IF(ISNUMBER(I25),0,1))</f>
        <v>0</v>
      </c>
      <c r="X25" s="93">
        <f>IF(Validation!$H$3=1,0,IF(ISNUMBER(J25),0,1))</f>
        <v>0</v>
      </c>
      <c r="Y25" s="93">
        <f>IF(Validation!$H$3=1,0,IF(ISNUMBER(K25),0,1))</f>
        <v>0</v>
      </c>
      <c r="Z25" s="93">
        <f>IF(Validation!$H$3=1,0,IF(ISNUMBER(L25),0,1))</f>
        <v>0</v>
      </c>
      <c r="AA25" s="93">
        <f>IF(Validation!$H$3=1,0,IF(ISNUMBER(M25),0,1))</f>
        <v>0</v>
      </c>
      <c r="AB25" s="93">
        <f>IF(Validation!$H$3=1,0,IF(ISNUMBER(N25),0,1))</f>
        <v>0</v>
      </c>
      <c r="AC25" s="71"/>
      <c r="AE25" s="1635"/>
      <c r="AI25" s="1635"/>
      <c r="AK25" s="1682" t="s">
        <v>8050</v>
      </c>
      <c r="AL25" s="1686" t="s">
        <v>2646</v>
      </c>
      <c r="AM25" s="2343" t="s">
        <v>7894</v>
      </c>
      <c r="AN25" s="2314" t="s">
        <v>49</v>
      </c>
      <c r="AO25" s="2308">
        <v>3</v>
      </c>
      <c r="AP25" s="1310" t="str">
        <f t="shared" ref="AP25" si="13">+$AM25&amp;AP$20</f>
        <v>BM240STUTS</v>
      </c>
      <c r="AQ25" s="1311" t="str">
        <f t="shared" si="12"/>
        <v>BM240STRSL</v>
      </c>
      <c r="AR25" s="1311" t="str">
        <f t="shared" si="12"/>
        <v>BM240STCAD</v>
      </c>
      <c r="AS25" s="1334" t="str">
        <f t="shared" si="12"/>
        <v>BM240STAD</v>
      </c>
      <c r="AT25" s="1334" t="str">
        <f t="shared" si="12"/>
        <v>BM240STIRS</v>
      </c>
      <c r="AU25" s="1311" t="str">
        <f t="shared" si="12"/>
        <v>BM240STIDS</v>
      </c>
      <c r="AV25" s="1311" t="str">
        <f t="shared" si="12"/>
        <v>BM240STPCC</v>
      </c>
      <c r="AW25" s="1311" t="str">
        <f t="shared" si="12"/>
        <v>BM240STSLOT</v>
      </c>
      <c r="AX25" s="1610" t="str">
        <f t="shared" si="12"/>
        <v>BM240STTOT</v>
      </c>
    </row>
    <row r="26" spans="2:50" s="483" customFormat="1" ht="16">
      <c r="B26" s="2366"/>
      <c r="C26" s="2296" t="s">
        <v>1280</v>
      </c>
      <c r="D26" s="2367"/>
      <c r="E26" s="2368"/>
      <c r="F26" s="2365"/>
      <c r="G26" s="2359"/>
      <c r="H26" s="2360"/>
      <c r="I26" s="2360"/>
      <c r="J26" s="2360"/>
      <c r="K26" s="2360"/>
      <c r="L26" s="2360"/>
      <c r="M26" s="2360"/>
      <c r="N26" s="2360"/>
      <c r="O26" s="2146"/>
      <c r="P26" s="2369"/>
      <c r="R26" s="24"/>
      <c r="S26" s="2363"/>
      <c r="T26" s="71"/>
      <c r="U26" s="93"/>
      <c r="V26" s="93"/>
      <c r="W26" s="93"/>
      <c r="X26" s="93"/>
      <c r="Y26" s="93"/>
      <c r="Z26" s="93"/>
      <c r="AA26" s="93"/>
      <c r="AB26" s="93"/>
      <c r="AC26" s="71"/>
      <c r="AE26" s="2364"/>
      <c r="AI26" s="2364"/>
      <c r="AK26" s="2355"/>
      <c r="AL26" s="2296" t="s">
        <v>1280</v>
      </c>
      <c r="AM26" s="2370"/>
      <c r="AN26" s="2368"/>
      <c r="AO26" s="2365"/>
      <c r="AP26" s="2359"/>
      <c r="AQ26" s="2359"/>
      <c r="AR26" s="2359"/>
      <c r="AS26" s="2359"/>
      <c r="AT26" s="2359"/>
      <c r="AU26" s="2359"/>
      <c r="AV26" s="2359"/>
      <c r="AW26" s="2359"/>
      <c r="AX26" s="2359"/>
    </row>
    <row r="27" spans="2:50" s="1882" customFormat="1" ht="16">
      <c r="B27" s="2312" t="s">
        <v>8051</v>
      </c>
      <c r="C27" s="884" t="s">
        <v>3673</v>
      </c>
      <c r="D27" s="2025"/>
      <c r="E27" s="2314" t="s">
        <v>49</v>
      </c>
      <c r="F27" s="2308">
        <v>3</v>
      </c>
      <c r="G27" s="1310"/>
      <c r="H27" s="1311"/>
      <c r="I27" s="1311"/>
      <c r="J27" s="1311"/>
      <c r="K27" s="1311"/>
      <c r="L27" s="1311"/>
      <c r="M27" s="1311"/>
      <c r="N27" s="1311"/>
      <c r="O27" s="1815">
        <f t="shared" si="10"/>
        <v>0</v>
      </c>
      <c r="P27" s="1754"/>
      <c r="R27" s="24">
        <f t="shared" ref="R27:R28" si="14" xml:space="preserve"> IF( SUM( T27:AB27 ) = 0, 0, $U$4 )</f>
        <v>0</v>
      </c>
      <c r="S27" s="1161"/>
      <c r="T27" s="71"/>
      <c r="U27" s="93">
        <f>IF(Validation!$H$3=1,0,IF(ISNUMBER(G27),0,1))</f>
        <v>0</v>
      </c>
      <c r="V27" s="93">
        <f>IF(Validation!$H$3=1,0,IF(ISNUMBER(H27),0,1))</f>
        <v>0</v>
      </c>
      <c r="W27" s="93">
        <f>IF(Validation!$H$3=1,0,IF(ISNUMBER(I27),0,1))</f>
        <v>0</v>
      </c>
      <c r="X27" s="93">
        <f>IF(Validation!$H$3=1,0,IF(ISNUMBER(J27),0,1))</f>
        <v>0</v>
      </c>
      <c r="Y27" s="93">
        <f>IF(Validation!$H$3=1,0,IF(ISNUMBER(K27),0,1))</f>
        <v>0</v>
      </c>
      <c r="Z27" s="93">
        <f>IF(Validation!$H$3=1,0,IF(ISNUMBER(L27),0,1))</f>
        <v>0</v>
      </c>
      <c r="AA27" s="93">
        <f>IF(Validation!$H$3=1,0,IF(ISNUMBER(M27),0,1))</f>
        <v>0</v>
      </c>
      <c r="AB27" s="93">
        <f>IF(Validation!$H$3=1,0,IF(ISNUMBER(N27),0,1))</f>
        <v>0</v>
      </c>
      <c r="AC27" s="71"/>
      <c r="AE27" s="1635"/>
      <c r="AI27" s="1635"/>
      <c r="AK27" s="1682" t="s">
        <v>8051</v>
      </c>
      <c r="AL27" s="884" t="s">
        <v>3673</v>
      </c>
      <c r="AM27" s="2343" t="s">
        <v>7994</v>
      </c>
      <c r="AN27" s="2314" t="s">
        <v>49</v>
      </c>
      <c r="AO27" s="2308">
        <v>3</v>
      </c>
      <c r="AP27" s="1310" t="str">
        <f t="shared" ref="AP27:AX28" si="15">+$AM27&amp;AP$20</f>
        <v>WWS1005STUTS</v>
      </c>
      <c r="AQ27" s="1311" t="str">
        <f t="shared" si="15"/>
        <v>WWS1005STRSL</v>
      </c>
      <c r="AR27" s="1311" t="str">
        <f t="shared" si="15"/>
        <v>WWS1005STCAD</v>
      </c>
      <c r="AS27" s="1334" t="str">
        <f t="shared" si="15"/>
        <v>WWS1005STAD</v>
      </c>
      <c r="AT27" s="1334" t="str">
        <f t="shared" si="15"/>
        <v>WWS1005STIRS</v>
      </c>
      <c r="AU27" s="1311" t="str">
        <f t="shared" si="15"/>
        <v>WWS1005STIDS</v>
      </c>
      <c r="AV27" s="1311" t="str">
        <f t="shared" si="15"/>
        <v>WWS1005STPCC</v>
      </c>
      <c r="AW27" s="1311" t="str">
        <f t="shared" si="15"/>
        <v>WWS1005STSLOT</v>
      </c>
      <c r="AX27" s="1610" t="str">
        <f t="shared" si="15"/>
        <v>WWS1005STTOT</v>
      </c>
    </row>
    <row r="28" spans="2:50" s="1882" customFormat="1" ht="16">
      <c r="B28" s="2312" t="s">
        <v>8052</v>
      </c>
      <c r="C28" s="884" t="s">
        <v>3682</v>
      </c>
      <c r="D28" s="2025"/>
      <c r="E28" s="2314" t="s">
        <v>49</v>
      </c>
      <c r="F28" s="2308">
        <v>3</v>
      </c>
      <c r="G28" s="1310"/>
      <c r="H28" s="1311"/>
      <c r="I28" s="1311"/>
      <c r="J28" s="1311"/>
      <c r="K28" s="1311"/>
      <c r="L28" s="1311"/>
      <c r="M28" s="1311"/>
      <c r="N28" s="1311"/>
      <c r="O28" s="1815">
        <f t="shared" si="10"/>
        <v>0</v>
      </c>
      <c r="P28" s="1754"/>
      <c r="R28" s="24">
        <f t="shared" si="14"/>
        <v>0</v>
      </c>
      <c r="S28" s="1161"/>
      <c r="T28" s="71"/>
      <c r="U28" s="93">
        <f>IF(Validation!$H$3=1,0,IF(ISNUMBER(G28),0,1))</f>
        <v>0</v>
      </c>
      <c r="V28" s="93">
        <f>IF(Validation!$H$3=1,0,IF(ISNUMBER(H28),0,1))</f>
        <v>0</v>
      </c>
      <c r="W28" s="93">
        <f>IF(Validation!$H$3=1,0,IF(ISNUMBER(I28),0,1))</f>
        <v>0</v>
      </c>
      <c r="X28" s="93">
        <f>IF(Validation!$H$3=1,0,IF(ISNUMBER(J28),0,1))</f>
        <v>0</v>
      </c>
      <c r="Y28" s="93">
        <f>IF(Validation!$H$3=1,0,IF(ISNUMBER(K28),0,1))</f>
        <v>0</v>
      </c>
      <c r="Z28" s="93">
        <f>IF(Validation!$H$3=1,0,IF(ISNUMBER(L28),0,1))</f>
        <v>0</v>
      </c>
      <c r="AA28" s="93">
        <f>IF(Validation!$H$3=1,0,IF(ISNUMBER(M28),0,1))</f>
        <v>0</v>
      </c>
      <c r="AB28" s="93">
        <f>IF(Validation!$H$3=1,0,IF(ISNUMBER(N28),0,1))</f>
        <v>0</v>
      </c>
      <c r="AC28" s="71"/>
      <c r="AE28" s="1635"/>
      <c r="AI28" s="1635"/>
      <c r="AK28" s="1682" t="s">
        <v>8052</v>
      </c>
      <c r="AL28" s="884" t="s">
        <v>3682</v>
      </c>
      <c r="AM28" s="2343" t="s">
        <v>7996</v>
      </c>
      <c r="AN28" s="2314" t="s">
        <v>49</v>
      </c>
      <c r="AO28" s="2308">
        <v>3</v>
      </c>
      <c r="AP28" s="1310" t="str">
        <f t="shared" si="15"/>
        <v>WWS1006STUTS</v>
      </c>
      <c r="AQ28" s="1311" t="str">
        <f t="shared" si="15"/>
        <v>WWS1006STRSL</v>
      </c>
      <c r="AR28" s="1311" t="str">
        <f t="shared" si="15"/>
        <v>WWS1006STCAD</v>
      </c>
      <c r="AS28" s="1334" t="str">
        <f t="shared" si="15"/>
        <v>WWS1006STAD</v>
      </c>
      <c r="AT28" s="1334" t="str">
        <f t="shared" si="15"/>
        <v>WWS1006STIRS</v>
      </c>
      <c r="AU28" s="1311" t="str">
        <f t="shared" si="15"/>
        <v>WWS1006STIDS</v>
      </c>
      <c r="AV28" s="1311" t="str">
        <f t="shared" si="15"/>
        <v>WWS1006STPCC</v>
      </c>
      <c r="AW28" s="1311" t="str">
        <f t="shared" si="15"/>
        <v>WWS1006STSLOT</v>
      </c>
      <c r="AX28" s="1610" t="str">
        <f t="shared" si="15"/>
        <v>WWS1006STTOT</v>
      </c>
    </row>
    <row r="29" spans="2:50" ht="16">
      <c r="B29" s="2312" t="s">
        <v>8053</v>
      </c>
      <c r="C29" s="1686" t="s">
        <v>8054</v>
      </c>
      <c r="D29" s="2322"/>
      <c r="E29" s="2313" t="s">
        <v>49</v>
      </c>
      <c r="F29" s="2308">
        <v>3</v>
      </c>
      <c r="G29" s="1310"/>
      <c r="H29" s="1311"/>
      <c r="I29" s="1311"/>
      <c r="J29" s="1311"/>
      <c r="K29" s="1311"/>
      <c r="L29" s="1311"/>
      <c r="M29" s="1311"/>
      <c r="N29" s="1311"/>
      <c r="O29" s="1815">
        <f t="shared" si="10"/>
        <v>0</v>
      </c>
      <c r="P29" s="1754"/>
      <c r="Q29" s="1882"/>
      <c r="R29" s="24">
        <f xml:space="preserve"> IF( SUM( T29:AB29 ) = 0, 0, $U$4 )</f>
        <v>0</v>
      </c>
      <c r="S29" s="1161"/>
      <c r="T29" s="71"/>
      <c r="U29" s="93">
        <f>IF(Validation!$H$3=1,0,IF(ISNUMBER(G29),0,1))</f>
        <v>0</v>
      </c>
      <c r="V29" s="93">
        <f>IF(Validation!$H$3=1,0,IF(ISNUMBER(H29),0,1))</f>
        <v>0</v>
      </c>
      <c r="W29" s="93">
        <f>IF(Validation!$H$3=1,0,IF(ISNUMBER(I29),0,1))</f>
        <v>0</v>
      </c>
      <c r="X29" s="93">
        <f>IF(Validation!$H$3=1,0,IF(ISNUMBER(J29),0,1))</f>
        <v>0</v>
      </c>
      <c r="Y29" s="93">
        <f>IF(Validation!$H$3=1,0,IF(ISNUMBER(K29),0,1))</f>
        <v>0</v>
      </c>
      <c r="Z29" s="93">
        <f>IF(Validation!$H$3=1,0,IF(ISNUMBER(L29),0,1))</f>
        <v>0</v>
      </c>
      <c r="AA29" s="93">
        <f>IF(Validation!$H$3=1,0,IF(ISNUMBER(M29),0,1))</f>
        <v>0</v>
      </c>
      <c r="AB29" s="93">
        <f>IF(Validation!$H$3=1,0,IF(ISNUMBER(N29),0,1))</f>
        <v>0</v>
      </c>
      <c r="AC29" s="71"/>
      <c r="AD29" s="1882"/>
      <c r="AF29" s="1882"/>
      <c r="AG29" s="1882"/>
      <c r="AH29" s="1882"/>
      <c r="AJ29" s="1882"/>
      <c r="AK29" s="1682" t="s">
        <v>8053</v>
      </c>
      <c r="AL29" s="1686" t="s">
        <v>8054</v>
      </c>
      <c r="AM29" s="2343" t="s">
        <v>8055</v>
      </c>
      <c r="AN29" s="2313" t="s">
        <v>49</v>
      </c>
      <c r="AO29" s="2308">
        <v>3</v>
      </c>
      <c r="AP29" s="1310" t="s">
        <v>8056</v>
      </c>
      <c r="AQ29" s="1311" t="s">
        <v>8057</v>
      </c>
      <c r="AR29" s="1311" t="s">
        <v>8058</v>
      </c>
      <c r="AS29" s="1334" t="s">
        <v>8059</v>
      </c>
      <c r="AT29" s="1334" t="s">
        <v>8060</v>
      </c>
      <c r="AU29" s="1311" t="s">
        <v>8061</v>
      </c>
      <c r="AV29" s="1311" t="s">
        <v>8062</v>
      </c>
      <c r="AW29" s="1311" t="s">
        <v>8063</v>
      </c>
      <c r="AX29" s="1610" t="s">
        <v>8064</v>
      </c>
    </row>
    <row r="30" spans="2:50" ht="16">
      <c r="B30" s="2312" t="s">
        <v>8065</v>
      </c>
      <c r="C30" s="1686" t="s">
        <v>8066</v>
      </c>
      <c r="D30" s="2322"/>
      <c r="E30" s="2314" t="s">
        <v>49</v>
      </c>
      <c r="F30" s="2308">
        <v>3</v>
      </c>
      <c r="G30" s="1310"/>
      <c r="H30" s="1311"/>
      <c r="I30" s="1311"/>
      <c r="J30" s="1311"/>
      <c r="K30" s="1311"/>
      <c r="L30" s="1311"/>
      <c r="M30" s="1311"/>
      <c r="N30" s="1311"/>
      <c r="O30" s="1815">
        <f t="shared" si="10"/>
        <v>0</v>
      </c>
      <c r="P30" s="1754"/>
      <c r="Q30" s="1882"/>
      <c r="R30" s="24">
        <f xml:space="preserve"> IF( SUM( T30:AB30 ) = 0, 0, $U$4 )</f>
        <v>0</v>
      </c>
      <c r="S30" s="1161"/>
      <c r="T30" s="71"/>
      <c r="U30" s="93">
        <f>IF(Validation!$H$3=1,0,IF(ISNUMBER(G30),0,1))</f>
        <v>0</v>
      </c>
      <c r="V30" s="93">
        <f>IF(Validation!$H$3=1,0,IF(ISNUMBER(H30),0,1))</f>
        <v>0</v>
      </c>
      <c r="W30" s="93">
        <f>IF(Validation!$H$3=1,0,IF(ISNUMBER(I30),0,1))</f>
        <v>0</v>
      </c>
      <c r="X30" s="93">
        <f>IF(Validation!$H$3=1,0,IF(ISNUMBER(J30),0,1))</f>
        <v>0</v>
      </c>
      <c r="Y30" s="93">
        <f>IF(Validation!$H$3=1,0,IF(ISNUMBER(K30),0,1))</f>
        <v>0</v>
      </c>
      <c r="Z30" s="93">
        <f>IF(Validation!$H$3=1,0,IF(ISNUMBER(L30),0,1))</f>
        <v>0</v>
      </c>
      <c r="AA30" s="93">
        <f>IF(Validation!$H$3=1,0,IF(ISNUMBER(M30),0,1))</f>
        <v>0</v>
      </c>
      <c r="AB30" s="93">
        <f>IF(Validation!$H$3=1,0,IF(ISNUMBER(N30),0,1))</f>
        <v>0</v>
      </c>
      <c r="AC30" s="71"/>
      <c r="AD30" s="1882"/>
      <c r="AF30" s="1882"/>
      <c r="AG30" s="1882"/>
      <c r="AH30" s="1882"/>
      <c r="AJ30" s="1882"/>
      <c r="AK30" s="1682" t="s">
        <v>8065</v>
      </c>
      <c r="AL30" s="1686" t="s">
        <v>8066</v>
      </c>
      <c r="AM30" s="2343" t="s">
        <v>8067</v>
      </c>
      <c r="AN30" s="2314" t="s">
        <v>49</v>
      </c>
      <c r="AO30" s="2308">
        <v>3</v>
      </c>
      <c r="AP30" s="1310" t="s">
        <v>8068</v>
      </c>
      <c r="AQ30" s="1311" t="s">
        <v>8069</v>
      </c>
      <c r="AR30" s="1311" t="s">
        <v>8070</v>
      </c>
      <c r="AS30" s="1334" t="s">
        <v>8071</v>
      </c>
      <c r="AT30" s="1334" t="s">
        <v>8072</v>
      </c>
      <c r="AU30" s="1311" t="s">
        <v>8073</v>
      </c>
      <c r="AV30" s="1311" t="s">
        <v>8074</v>
      </c>
      <c r="AW30" s="1311" t="s">
        <v>8075</v>
      </c>
      <c r="AX30" s="1610" t="s">
        <v>8076</v>
      </c>
    </row>
    <row r="31" spans="2:50" s="1882" customFormat="1">
      <c r="B31" s="2312" t="s">
        <v>8077</v>
      </c>
      <c r="C31" s="2298" t="s">
        <v>7907</v>
      </c>
      <c r="D31" s="2025"/>
      <c r="E31" s="2314" t="s">
        <v>49</v>
      </c>
      <c r="F31" s="2308">
        <v>3</v>
      </c>
      <c r="G31" s="1677">
        <f>SUM(G22:G30)</f>
        <v>0</v>
      </c>
      <c r="H31" s="1677">
        <f t="shared" ref="H31:N31" si="16">SUM(H22:H30)</f>
        <v>0</v>
      </c>
      <c r="I31" s="1677">
        <f t="shared" si="16"/>
        <v>0</v>
      </c>
      <c r="J31" s="1677">
        <f t="shared" si="16"/>
        <v>0</v>
      </c>
      <c r="K31" s="1677">
        <f t="shared" si="16"/>
        <v>0</v>
      </c>
      <c r="L31" s="1677">
        <f t="shared" si="16"/>
        <v>0</v>
      </c>
      <c r="M31" s="1677">
        <f t="shared" si="16"/>
        <v>0</v>
      </c>
      <c r="N31" s="1677">
        <f t="shared" si="16"/>
        <v>0</v>
      </c>
      <c r="O31" s="1815">
        <f t="shared" si="10"/>
        <v>0</v>
      </c>
      <c r="P31" s="1754"/>
      <c r="Q31" s="604"/>
      <c r="S31" s="1293"/>
      <c r="T31" s="1636"/>
      <c r="U31" s="164"/>
      <c r="V31" s="1293"/>
      <c r="W31" s="1293"/>
      <c r="X31" s="1293"/>
      <c r="Y31" s="1293"/>
      <c r="AC31" s="1635"/>
      <c r="AE31" s="1635"/>
      <c r="AI31" s="1635"/>
      <c r="AK31" s="1682" t="s">
        <v>8077</v>
      </c>
      <c r="AL31" s="2298" t="s">
        <v>7907</v>
      </c>
      <c r="AM31" s="2343" t="s">
        <v>7908</v>
      </c>
      <c r="AN31" s="2314" t="s">
        <v>49</v>
      </c>
      <c r="AO31" s="2308">
        <v>3</v>
      </c>
      <c r="AP31" s="1313" t="str">
        <f t="shared" ref="AP31:AX31" si="17">+$AM31&amp;AP$20</f>
        <v>BM816STUTS</v>
      </c>
      <c r="AQ31" s="1313" t="str">
        <f t="shared" si="17"/>
        <v>BM816STRSL</v>
      </c>
      <c r="AR31" s="1313" t="str">
        <f t="shared" si="17"/>
        <v>BM816STCAD</v>
      </c>
      <c r="AS31" s="1313" t="str">
        <f t="shared" si="17"/>
        <v>BM816STAD</v>
      </c>
      <c r="AT31" s="1313" t="str">
        <f t="shared" si="17"/>
        <v>BM816STIRS</v>
      </c>
      <c r="AU31" s="1313" t="str">
        <f t="shared" si="17"/>
        <v>BM816STIDS</v>
      </c>
      <c r="AV31" s="1313" t="str">
        <f t="shared" si="17"/>
        <v>BM816STPCC</v>
      </c>
      <c r="AW31" s="1313" t="str">
        <f t="shared" si="17"/>
        <v>BM816STSLOT</v>
      </c>
      <c r="AX31" s="1610" t="str">
        <f t="shared" si="17"/>
        <v>BM816STTOT</v>
      </c>
    </row>
    <row r="32" spans="2:50" ht="16">
      <c r="B32" s="2312" t="s">
        <v>8078</v>
      </c>
      <c r="C32" s="1686" t="s">
        <v>1096</v>
      </c>
      <c r="D32" s="2322"/>
      <c r="E32" s="2313" t="s">
        <v>49</v>
      </c>
      <c r="F32" s="2308">
        <v>3</v>
      </c>
      <c r="G32" s="1310"/>
      <c r="H32" s="1311"/>
      <c r="I32" s="1311"/>
      <c r="J32" s="1311"/>
      <c r="K32" s="1311"/>
      <c r="L32" s="1311"/>
      <c r="M32" s="1311"/>
      <c r="N32" s="1311"/>
      <c r="O32" s="1815">
        <f t="shared" si="10"/>
        <v>0</v>
      </c>
      <c r="P32" s="1754"/>
      <c r="Q32" s="1882"/>
      <c r="R32" s="24">
        <f xml:space="preserve"> IF( SUM( T32:AB32 ) = 0, 0, $U$4 )</f>
        <v>0</v>
      </c>
      <c r="S32" s="1161"/>
      <c r="T32" s="71"/>
      <c r="U32" s="93">
        <f>IF(Validation!$H$3=1,0,IF(ISNUMBER(G32),0,1))</f>
        <v>0</v>
      </c>
      <c r="V32" s="93">
        <f>IF(Validation!$H$3=1,0,IF(ISNUMBER(H32),0,1))</f>
        <v>0</v>
      </c>
      <c r="W32" s="93">
        <f>IF(Validation!$H$3=1,0,IF(ISNUMBER(I32),0,1))</f>
        <v>0</v>
      </c>
      <c r="X32" s="93">
        <f>IF(Validation!$H$3=1,0,IF(ISNUMBER(J32),0,1))</f>
        <v>0</v>
      </c>
      <c r="Y32" s="93">
        <f>IF(Validation!$H$3=1,0,IF(ISNUMBER(K32),0,1))</f>
        <v>0</v>
      </c>
      <c r="Z32" s="93">
        <f>IF(Validation!$H$3=1,0,IF(ISNUMBER(L32),0,1))</f>
        <v>0</v>
      </c>
      <c r="AA32" s="93">
        <f>IF(Validation!$H$3=1,0,IF(ISNUMBER(M32),0,1))</f>
        <v>0</v>
      </c>
      <c r="AB32" s="93">
        <f>IF(Validation!$H$3=1,0,IF(ISNUMBER(N32),0,1))</f>
        <v>0</v>
      </c>
      <c r="AC32" s="71"/>
      <c r="AD32" s="1882"/>
      <c r="AF32" s="1882"/>
      <c r="AG32" s="1882"/>
      <c r="AH32" s="1882"/>
      <c r="AJ32" s="1882"/>
      <c r="AK32" s="1682" t="s">
        <v>8078</v>
      </c>
      <c r="AL32" s="1686" t="s">
        <v>1096</v>
      </c>
      <c r="AM32" s="2343" t="s">
        <v>7910</v>
      </c>
      <c r="AN32" s="2313" t="s">
        <v>49</v>
      </c>
      <c r="AO32" s="2308">
        <v>3</v>
      </c>
      <c r="AP32" s="1310" t="s">
        <v>8079</v>
      </c>
      <c r="AQ32" s="1311" t="s">
        <v>8080</v>
      </c>
      <c r="AR32" s="1311" t="s">
        <v>8081</v>
      </c>
      <c r="AS32" s="1334" t="s">
        <v>8082</v>
      </c>
      <c r="AT32" s="1334" t="s">
        <v>8083</v>
      </c>
      <c r="AU32" s="1311" t="s">
        <v>8084</v>
      </c>
      <c r="AV32" s="1311" t="s">
        <v>8085</v>
      </c>
      <c r="AW32" s="1311" t="s">
        <v>8086</v>
      </c>
      <c r="AX32" s="1610" t="s">
        <v>8087</v>
      </c>
    </row>
    <row r="33" spans="2:50" ht="23.5">
      <c r="B33" s="2312" t="s">
        <v>8088</v>
      </c>
      <c r="C33" s="2299" t="s">
        <v>7912</v>
      </c>
      <c r="D33" s="2323"/>
      <c r="E33" s="2315" t="s">
        <v>49</v>
      </c>
      <c r="F33" s="2316">
        <v>3</v>
      </c>
      <c r="G33" s="1677">
        <f>SUM(G31:G32)</f>
        <v>0</v>
      </c>
      <c r="H33" s="1677">
        <f t="shared" ref="H33:N33" si="18">SUM(H31:H32)</f>
        <v>0</v>
      </c>
      <c r="I33" s="1677">
        <f t="shared" si="18"/>
        <v>0</v>
      </c>
      <c r="J33" s="1677">
        <f t="shared" si="18"/>
        <v>0</v>
      </c>
      <c r="K33" s="1677">
        <f t="shared" si="18"/>
        <v>0</v>
      </c>
      <c r="L33" s="1677">
        <f t="shared" si="18"/>
        <v>0</v>
      </c>
      <c r="M33" s="1677">
        <f t="shared" si="18"/>
        <v>0</v>
      </c>
      <c r="N33" s="1677">
        <f t="shared" si="18"/>
        <v>0</v>
      </c>
      <c r="O33" s="1815">
        <f t="shared" si="10"/>
        <v>0</v>
      </c>
      <c r="P33" s="1754"/>
      <c r="Q33" s="1882"/>
      <c r="R33" s="1339">
        <f xml:space="preserve"> IF( SUM( AC33:AE33 ) = 0, 0, AH33 )</f>
        <v>0</v>
      </c>
      <c r="S33" s="1161"/>
      <c r="T33" s="71"/>
      <c r="U33" s="127"/>
      <c r="V33" s="127"/>
      <c r="W33" s="127"/>
      <c r="X33" s="127"/>
      <c r="Y33" s="127"/>
      <c r="Z33" s="127"/>
      <c r="AA33" s="127"/>
      <c r="AB33" s="127"/>
      <c r="AC33" s="71"/>
      <c r="AD33" s="1944">
        <f xml:space="preserve"> IF( (AF33 - AG33) = 0, 0, 1 )</f>
        <v>0</v>
      </c>
      <c r="AE33" s="1945"/>
      <c r="AF33" s="1946">
        <f>ROUND(O33,3)</f>
        <v>0</v>
      </c>
      <c r="AG33" s="2109">
        <f>ROUND('4E'!M15,3)</f>
        <v>0</v>
      </c>
      <c r="AH33" s="2108" t="s">
        <v>8089</v>
      </c>
      <c r="AJ33" s="1882"/>
      <c r="AK33" s="1682" t="s">
        <v>8088</v>
      </c>
      <c r="AL33" s="2299" t="s">
        <v>7912</v>
      </c>
      <c r="AM33" s="2344" t="s">
        <v>8090</v>
      </c>
      <c r="AN33" s="2315" t="s">
        <v>49</v>
      </c>
      <c r="AO33" s="2316">
        <v>3</v>
      </c>
      <c r="AP33" s="1313" t="s">
        <v>8091</v>
      </c>
      <c r="AQ33" s="1313" t="s">
        <v>8092</v>
      </c>
      <c r="AR33" s="1313" t="s">
        <v>8093</v>
      </c>
      <c r="AS33" s="1313" t="s">
        <v>8094</v>
      </c>
      <c r="AT33" s="1313" t="s">
        <v>8095</v>
      </c>
      <c r="AU33" s="1313" t="s">
        <v>8096</v>
      </c>
      <c r="AV33" s="1313" t="s">
        <v>8097</v>
      </c>
      <c r="AW33" s="1313" t="s">
        <v>8098</v>
      </c>
      <c r="AX33" s="1610" t="s">
        <v>8099</v>
      </c>
    </row>
    <row r="34" spans="2:50" ht="16">
      <c r="B34" s="2312" t="s">
        <v>8100</v>
      </c>
      <c r="C34" s="1686" t="s">
        <v>531</v>
      </c>
      <c r="D34" s="2322"/>
      <c r="E34" s="2315" t="s">
        <v>49</v>
      </c>
      <c r="F34" s="2316">
        <v>3</v>
      </c>
      <c r="G34" s="1310"/>
      <c r="H34" s="1311"/>
      <c r="I34" s="1311"/>
      <c r="J34" s="1311"/>
      <c r="K34" s="1311"/>
      <c r="L34" s="1311"/>
      <c r="M34" s="1311"/>
      <c r="N34" s="1311"/>
      <c r="O34" s="1815">
        <f t="shared" si="10"/>
        <v>0</v>
      </c>
      <c r="P34" s="1755"/>
      <c r="Q34" s="1882"/>
      <c r="R34" s="24">
        <f xml:space="preserve"> IF( SUM( T34:AB34 ) = 0, 0, $U$4 )</f>
        <v>0</v>
      </c>
      <c r="S34" s="1161"/>
      <c r="T34" s="71"/>
      <c r="U34" s="93">
        <f>IF(Validation!$H$3=1,0,IF(ISNUMBER(G34),0,1))</f>
        <v>0</v>
      </c>
      <c r="V34" s="93">
        <f>IF(Validation!$H$3=1,0,IF(ISNUMBER(H34),0,1))</f>
        <v>0</v>
      </c>
      <c r="W34" s="93">
        <f>IF(Validation!$H$3=1,0,IF(ISNUMBER(I34),0,1))</f>
        <v>0</v>
      </c>
      <c r="X34" s="93">
        <f>IF(Validation!$H$3=1,0,IF(ISNUMBER(J34),0,1))</f>
        <v>0</v>
      </c>
      <c r="Y34" s="93">
        <f>IF(Validation!$H$3=1,0,IF(ISNUMBER(K34),0,1))</f>
        <v>0</v>
      </c>
      <c r="Z34" s="93">
        <f>IF(Validation!$H$3=1,0,IF(ISNUMBER(L34),0,1))</f>
        <v>0</v>
      </c>
      <c r="AA34" s="93">
        <f>IF(Validation!$H$3=1,0,IF(ISNUMBER(M34),0,1))</f>
        <v>0</v>
      </c>
      <c r="AB34" s="93">
        <f>IF(Validation!$H$3=1,0,IF(ISNUMBER(N34),0,1))</f>
        <v>0</v>
      </c>
      <c r="AC34" s="71"/>
      <c r="AD34" s="1882"/>
      <c r="AF34" s="1882"/>
      <c r="AG34" s="1882"/>
      <c r="AH34" s="1882"/>
      <c r="AJ34" s="1882"/>
      <c r="AK34" s="1682" t="s">
        <v>8100</v>
      </c>
      <c r="AL34" s="1686" t="s">
        <v>531</v>
      </c>
      <c r="AM34" s="2343" t="s">
        <v>7916</v>
      </c>
      <c r="AN34" s="2315" t="s">
        <v>49</v>
      </c>
      <c r="AO34" s="2316">
        <v>3</v>
      </c>
      <c r="AP34" s="1310" t="s">
        <v>8101</v>
      </c>
      <c r="AQ34" s="1311" t="s">
        <v>8102</v>
      </c>
      <c r="AR34" s="1311" t="s">
        <v>8103</v>
      </c>
      <c r="AS34" s="1311" t="s">
        <v>8104</v>
      </c>
      <c r="AT34" s="1334" t="s">
        <v>8105</v>
      </c>
      <c r="AU34" s="1311" t="s">
        <v>8106</v>
      </c>
      <c r="AV34" s="1311" t="s">
        <v>8107</v>
      </c>
      <c r="AW34" s="1311" t="s">
        <v>8108</v>
      </c>
      <c r="AX34" s="1610" t="s">
        <v>8109</v>
      </c>
    </row>
    <row r="35" spans="2:50" ht="16.5" thickBot="1">
      <c r="B35" s="2317" t="s">
        <v>8110</v>
      </c>
      <c r="C35" s="1698" t="s">
        <v>7918</v>
      </c>
      <c r="D35" s="2324"/>
      <c r="E35" s="2318" t="s">
        <v>49</v>
      </c>
      <c r="F35" s="2319">
        <v>3</v>
      </c>
      <c r="G35" s="1679">
        <f>SUM(G33:G34)</f>
        <v>0</v>
      </c>
      <c r="H35" s="1679">
        <f t="shared" ref="H35:N35" si="19">SUM(H33:H34)</f>
        <v>0</v>
      </c>
      <c r="I35" s="1679">
        <f t="shared" si="19"/>
        <v>0</v>
      </c>
      <c r="J35" s="1679">
        <f t="shared" si="19"/>
        <v>0</v>
      </c>
      <c r="K35" s="1679">
        <f t="shared" si="19"/>
        <v>0</v>
      </c>
      <c r="L35" s="1679">
        <f t="shared" si="19"/>
        <v>0</v>
      </c>
      <c r="M35" s="1679">
        <f t="shared" si="19"/>
        <v>0</v>
      </c>
      <c r="N35" s="1679">
        <f t="shared" si="19"/>
        <v>0</v>
      </c>
      <c r="O35" s="1816">
        <f t="shared" si="10"/>
        <v>0</v>
      </c>
      <c r="P35" s="1756"/>
      <c r="Q35" s="1882"/>
      <c r="R35" s="1882"/>
      <c r="S35" s="1161"/>
      <c r="T35" s="71"/>
      <c r="U35" s="127"/>
      <c r="V35" s="127"/>
      <c r="W35" s="127"/>
      <c r="X35" s="127"/>
      <c r="Y35" s="127"/>
      <c r="Z35" s="127"/>
      <c r="AA35" s="127"/>
      <c r="AB35" s="127"/>
      <c r="AC35" s="71"/>
      <c r="AD35" s="1882"/>
      <c r="AF35" s="1882"/>
      <c r="AG35" s="1946"/>
      <c r="AH35" s="1947"/>
      <c r="AI35" s="1945"/>
      <c r="AJ35" s="1882"/>
      <c r="AK35" s="1683" t="s">
        <v>8110</v>
      </c>
      <c r="AL35" s="1698" t="s">
        <v>7918</v>
      </c>
      <c r="AM35" s="2345" t="s">
        <v>7919</v>
      </c>
      <c r="AN35" s="2318" t="s">
        <v>49</v>
      </c>
      <c r="AO35" s="2319">
        <v>3</v>
      </c>
      <c r="AP35" s="1323" t="s">
        <v>8111</v>
      </c>
      <c r="AQ35" s="1323" t="s">
        <v>8112</v>
      </c>
      <c r="AR35" s="1323" t="s">
        <v>8113</v>
      </c>
      <c r="AS35" s="1323" t="s">
        <v>8114</v>
      </c>
      <c r="AT35" s="1323" t="s">
        <v>8115</v>
      </c>
      <c r="AU35" s="1323" t="s">
        <v>8116</v>
      </c>
      <c r="AV35" s="1323" t="s">
        <v>8117</v>
      </c>
      <c r="AW35" s="1323" t="s">
        <v>8118</v>
      </c>
      <c r="AX35" s="1611" t="s">
        <v>8119</v>
      </c>
    </row>
    <row r="36" spans="2:50" ht="22.5" customHeight="1" thickBot="1">
      <c r="B36" s="2320"/>
      <c r="C36" s="1629"/>
      <c r="D36" s="1629"/>
      <c r="E36" s="1629"/>
      <c r="F36" s="1629"/>
      <c r="G36" s="1882"/>
      <c r="H36" s="1882"/>
      <c r="I36" s="1882"/>
      <c r="J36" s="1882"/>
      <c r="K36" s="1882"/>
      <c r="L36" s="1882"/>
      <c r="M36" s="1882"/>
      <c r="N36" s="1882"/>
      <c r="O36" s="112"/>
      <c r="P36" s="1882"/>
      <c r="Q36" s="1882"/>
      <c r="R36" s="1882"/>
      <c r="S36" s="1882"/>
      <c r="U36" s="1882"/>
      <c r="V36" s="1882"/>
      <c r="W36" s="1882"/>
      <c r="X36" s="1882"/>
      <c r="Y36" s="1882"/>
      <c r="Z36" s="1882"/>
      <c r="AA36" s="1882"/>
      <c r="AB36" s="1882"/>
      <c r="AD36" s="1882"/>
      <c r="AF36" s="1882"/>
      <c r="AG36" s="1882"/>
      <c r="AH36" s="1882"/>
      <c r="AJ36" s="1882"/>
      <c r="AK36" s="568"/>
      <c r="AL36" s="1629"/>
      <c r="AM36" s="2341"/>
      <c r="AN36" s="1629"/>
      <c r="AO36" s="1629"/>
      <c r="AP36" s="2341" t="s">
        <v>8120</v>
      </c>
      <c r="AQ36" s="2341" t="s">
        <v>8121</v>
      </c>
      <c r="AR36" s="2341" t="s">
        <v>8122</v>
      </c>
      <c r="AS36" s="2341" t="s">
        <v>8123</v>
      </c>
      <c r="AT36" s="2341" t="s">
        <v>8124</v>
      </c>
      <c r="AU36" s="2341" t="s">
        <v>8125</v>
      </c>
      <c r="AV36" s="1629"/>
      <c r="AW36" s="1629"/>
      <c r="AX36" s="2331"/>
    </row>
    <row r="37" spans="2:50" ht="41" thickBot="1">
      <c r="B37" s="2863" t="s">
        <v>333</v>
      </c>
      <c r="C37" s="2350" t="s">
        <v>8126</v>
      </c>
      <c r="D37" s="1629"/>
      <c r="E37" s="1629"/>
      <c r="F37" s="1629"/>
      <c r="G37" s="186" t="s">
        <v>8127</v>
      </c>
      <c r="H37" s="361" t="s">
        <v>8128</v>
      </c>
      <c r="I37" s="361" t="s">
        <v>8129</v>
      </c>
      <c r="J37" s="361" t="s">
        <v>8130</v>
      </c>
      <c r="K37" s="361" t="s">
        <v>29</v>
      </c>
      <c r="L37" s="2134" t="s">
        <v>708</v>
      </c>
      <c r="M37" s="1882"/>
      <c r="N37" s="1882"/>
      <c r="O37" s="112"/>
      <c r="P37" s="1882"/>
      <c r="Q37" s="1882"/>
      <c r="R37" s="1882"/>
      <c r="S37" s="1882"/>
      <c r="U37" s="1882"/>
      <c r="V37" s="1882"/>
      <c r="W37" s="1882"/>
      <c r="X37" s="1882"/>
      <c r="Y37" s="1882"/>
      <c r="Z37" s="1882"/>
      <c r="AA37" s="1882"/>
      <c r="AB37" s="1882"/>
      <c r="AD37" s="1882"/>
      <c r="AF37" s="1882"/>
      <c r="AG37" s="1882"/>
      <c r="AH37" s="1882"/>
      <c r="AJ37" s="1882"/>
      <c r="AK37" s="2863" t="s">
        <v>175</v>
      </c>
      <c r="AL37" s="2350" t="s">
        <v>8126</v>
      </c>
      <c r="AM37" s="2341"/>
      <c r="AN37" s="1629"/>
      <c r="AO37" s="1629"/>
      <c r="AP37" s="186" t="s">
        <v>8127</v>
      </c>
      <c r="AQ37" s="361" t="s">
        <v>8128</v>
      </c>
      <c r="AR37" s="361" t="s">
        <v>8129</v>
      </c>
      <c r="AS37" s="361" t="s">
        <v>8130</v>
      </c>
      <c r="AT37" s="361" t="s">
        <v>29</v>
      </c>
      <c r="AU37" s="2354" t="s">
        <v>708</v>
      </c>
      <c r="AV37" s="1629"/>
      <c r="AW37" s="1629"/>
      <c r="AX37" s="2331"/>
    </row>
    <row r="38" spans="2:50" ht="16">
      <c r="B38" s="2309" t="s">
        <v>8131</v>
      </c>
      <c r="C38" s="2304" t="s">
        <v>1040</v>
      </c>
      <c r="D38" s="2321"/>
      <c r="E38" s="2310" t="s">
        <v>49</v>
      </c>
      <c r="F38" s="2311">
        <v>3</v>
      </c>
      <c r="G38" s="1301"/>
      <c r="H38" s="1302"/>
      <c r="I38" s="1302"/>
      <c r="J38" s="1302"/>
      <c r="K38" s="1302"/>
      <c r="L38" s="1814">
        <f>SUM(G38:K38)</f>
        <v>0</v>
      </c>
      <c r="M38" s="1882"/>
      <c r="N38" s="1882"/>
      <c r="O38" s="112"/>
      <c r="P38" s="1753"/>
      <c r="Q38" s="1882"/>
      <c r="R38" s="24">
        <f xml:space="preserve"> IF( SUM( T38:AB38 ) = 0, 0, $U$4 )</f>
        <v>0</v>
      </c>
      <c r="S38" s="1161"/>
      <c r="T38" s="71"/>
      <c r="U38" s="93">
        <f>IF(Validation!$H$3=1,0,IF(ISNUMBER(G38),0,1))</f>
        <v>0</v>
      </c>
      <c r="V38" s="93">
        <f>IF(Validation!$H$3=1,0,IF(ISNUMBER(H38),0,1))</f>
        <v>0</v>
      </c>
      <c r="W38" s="93">
        <f>IF(Validation!$H$3=1,0,IF(ISNUMBER(I38),0,1))</f>
        <v>0</v>
      </c>
      <c r="X38" s="93">
        <f>IF(Validation!$H$3=1,0,IF(ISNUMBER(J38),0,1))</f>
        <v>0</v>
      </c>
      <c r="Y38" s="93">
        <f>IF(Validation!$H$3=1,0,IF(ISNUMBER(K38),0,1))</f>
        <v>0</v>
      </c>
      <c r="Z38" s="93"/>
      <c r="AA38" s="93"/>
      <c r="AB38" s="93"/>
      <c r="AC38" s="71"/>
      <c r="AD38" s="1882"/>
      <c r="AF38" s="1882"/>
      <c r="AG38" s="1882"/>
      <c r="AH38" s="1882"/>
      <c r="AJ38" s="1882"/>
      <c r="AK38" s="1681" t="s">
        <v>8131</v>
      </c>
      <c r="AL38" s="2304" t="s">
        <v>1040</v>
      </c>
      <c r="AM38" s="2342" t="s">
        <v>8029</v>
      </c>
      <c r="AN38" s="2310" t="s">
        <v>49</v>
      </c>
      <c r="AO38" s="2311">
        <v>3</v>
      </c>
      <c r="AP38" s="1301" t="str">
        <f>+$AM38&amp;AP$36</f>
        <v>BM402SDLFR</v>
      </c>
      <c r="AQ38" s="1302" t="str">
        <f t="shared" ref="AQ38:AU41" si="20">+$AM38&amp;AQ$36</f>
        <v>BM402SDLFP</v>
      </c>
      <c r="AR38" s="1302" t="str">
        <f t="shared" si="20"/>
        <v>BM402SDLRR</v>
      </c>
      <c r="AS38" s="1302" t="str">
        <f t="shared" si="20"/>
        <v>BM402SDRTF</v>
      </c>
      <c r="AT38" s="1333" t="str">
        <f t="shared" si="20"/>
        <v>BM402SDSOT</v>
      </c>
      <c r="AU38" s="2353" t="str">
        <f t="shared" si="20"/>
        <v>BM402SDTOT</v>
      </c>
      <c r="AV38" s="1629"/>
      <c r="AW38" s="1629"/>
      <c r="AX38" s="2331"/>
    </row>
    <row r="39" spans="2:50" ht="16">
      <c r="B39" s="2312" t="s">
        <v>8132</v>
      </c>
      <c r="C39" s="1686" t="s">
        <v>1048</v>
      </c>
      <c r="D39" s="2322"/>
      <c r="E39" s="2313" t="s">
        <v>49</v>
      </c>
      <c r="F39" s="2308">
        <v>3</v>
      </c>
      <c r="G39" s="1310"/>
      <c r="H39" s="1311"/>
      <c r="I39" s="1311"/>
      <c r="J39" s="1311"/>
      <c r="K39" s="1311"/>
      <c r="L39" s="1815">
        <f t="shared" ref="L39:L51" si="21">SUM(G39:K39)</f>
        <v>0</v>
      </c>
      <c r="M39" s="1882"/>
      <c r="N39" s="1882"/>
      <c r="O39" s="112"/>
      <c r="P39" s="1754"/>
      <c r="Q39" s="1882"/>
      <c r="R39" s="24">
        <f xml:space="preserve"> IF( SUM( T39:AB39 ) = 0, 0, $U$4 )</f>
        <v>0</v>
      </c>
      <c r="S39" s="1161"/>
      <c r="T39" s="71"/>
      <c r="U39" s="93">
        <f>IF(Validation!$H$3=1,0,IF(ISNUMBER(G39),0,1))</f>
        <v>0</v>
      </c>
      <c r="V39" s="93">
        <f>IF(Validation!$H$3=1,0,IF(ISNUMBER(H39),0,1))</f>
        <v>0</v>
      </c>
      <c r="W39" s="93">
        <f>IF(Validation!$H$3=1,0,IF(ISNUMBER(I39),0,1))</f>
        <v>0</v>
      </c>
      <c r="X39" s="93">
        <f>IF(Validation!$H$3=1,0,IF(ISNUMBER(J39),0,1))</f>
        <v>0</v>
      </c>
      <c r="Y39" s="93">
        <f>IF(Validation!$H$3=1,0,IF(ISNUMBER(K39),0,1))</f>
        <v>0</v>
      </c>
      <c r="Z39" s="93"/>
      <c r="AA39" s="93"/>
      <c r="AB39" s="93"/>
      <c r="AC39" s="71"/>
      <c r="AD39" s="1882"/>
      <c r="AF39" s="1882"/>
      <c r="AG39" s="1882"/>
      <c r="AH39" s="1882"/>
      <c r="AJ39" s="1882"/>
      <c r="AK39" s="1682" t="s">
        <v>8132</v>
      </c>
      <c r="AL39" s="1686" t="s">
        <v>1048</v>
      </c>
      <c r="AM39" s="2343" t="s">
        <v>7890</v>
      </c>
      <c r="AN39" s="2313" t="s">
        <v>49</v>
      </c>
      <c r="AO39" s="2308">
        <v>3</v>
      </c>
      <c r="AP39" s="1310" t="str">
        <f t="shared" ref="AP39:AP41" si="22">+$AM39&amp;AP$36</f>
        <v>BM836SDLFR</v>
      </c>
      <c r="AQ39" s="1311" t="str">
        <f t="shared" si="20"/>
        <v>BM836SDLFP</v>
      </c>
      <c r="AR39" s="1311" t="str">
        <f t="shared" si="20"/>
        <v>BM836SDLRR</v>
      </c>
      <c r="AS39" s="1311" t="str">
        <f t="shared" si="20"/>
        <v>BM836SDRTF</v>
      </c>
      <c r="AT39" s="1334" t="str">
        <f t="shared" si="20"/>
        <v>BM836SDSOT</v>
      </c>
      <c r="AU39" s="1610" t="str">
        <f t="shared" si="20"/>
        <v>BM836SDTOT</v>
      </c>
      <c r="AV39" s="1629"/>
      <c r="AW39" s="1629"/>
      <c r="AX39" s="2331"/>
    </row>
    <row r="40" spans="2:50" s="1882" customFormat="1" ht="16">
      <c r="B40" s="2312" t="s">
        <v>8133</v>
      </c>
      <c r="C40" s="1686" t="s">
        <v>2914</v>
      </c>
      <c r="D40" s="2025"/>
      <c r="E40" s="2314" t="s">
        <v>49</v>
      </c>
      <c r="F40" s="2308">
        <v>3</v>
      </c>
      <c r="G40" s="1310"/>
      <c r="H40" s="1311"/>
      <c r="I40" s="1311"/>
      <c r="J40" s="1311"/>
      <c r="K40" s="1311"/>
      <c r="L40" s="1815">
        <f t="shared" ref="L40:L49" si="23">SUM(G40:K40)</f>
        <v>0</v>
      </c>
      <c r="O40" s="112"/>
      <c r="P40" s="1754"/>
      <c r="R40" s="24">
        <f t="shared" ref="R40:R41" si="24" xml:space="preserve"> IF( SUM( T40:AB40 ) = 0, 0, $U$4 )</f>
        <v>0</v>
      </c>
      <c r="S40" s="1161"/>
      <c r="T40" s="71"/>
      <c r="U40" s="93">
        <f>IF(Validation!$H$3=1,0,IF(ISNUMBER(G40),0,1))</f>
        <v>0</v>
      </c>
      <c r="V40" s="93">
        <f>IF(Validation!$H$3=1,0,IF(ISNUMBER(H40),0,1))</f>
        <v>0</v>
      </c>
      <c r="W40" s="93">
        <f>IF(Validation!$H$3=1,0,IF(ISNUMBER(I40),0,1))</f>
        <v>0</v>
      </c>
      <c r="X40" s="93">
        <f>IF(Validation!$H$3=1,0,IF(ISNUMBER(J40),0,1))</f>
        <v>0</v>
      </c>
      <c r="Y40" s="93">
        <f>IF(Validation!$H$3=1,0,IF(ISNUMBER(K40),0,1))</f>
        <v>0</v>
      </c>
      <c r="Z40" s="93"/>
      <c r="AA40" s="93"/>
      <c r="AB40" s="93"/>
      <c r="AC40" s="71"/>
      <c r="AE40" s="1635"/>
      <c r="AI40" s="1635"/>
      <c r="AK40" s="1682" t="s">
        <v>8133</v>
      </c>
      <c r="AL40" s="1686" t="s">
        <v>2914</v>
      </c>
      <c r="AM40" s="2343" t="s">
        <v>7990</v>
      </c>
      <c r="AN40" s="2314" t="s">
        <v>49</v>
      </c>
      <c r="AO40" s="2308">
        <v>3</v>
      </c>
      <c r="AP40" s="1310" t="str">
        <f t="shared" si="22"/>
        <v>WWS1003SDLFR</v>
      </c>
      <c r="AQ40" s="1311" t="str">
        <f t="shared" si="20"/>
        <v>WWS1003SDLFP</v>
      </c>
      <c r="AR40" s="1311" t="str">
        <f t="shared" si="20"/>
        <v>WWS1003SDLRR</v>
      </c>
      <c r="AS40" s="1334" t="str">
        <f t="shared" si="20"/>
        <v>WWS1003SDRTF</v>
      </c>
      <c r="AT40" s="1334" t="str">
        <f t="shared" si="20"/>
        <v>WWS1003SDSOT</v>
      </c>
      <c r="AU40" s="1610" t="str">
        <f t="shared" si="20"/>
        <v>WWS1003SDTOT</v>
      </c>
      <c r="AV40" s="1629"/>
      <c r="AW40" s="1629"/>
      <c r="AX40" s="2331"/>
    </row>
    <row r="41" spans="2:50" s="1882" customFormat="1" ht="16">
      <c r="B41" s="2312" t="s">
        <v>8134</v>
      </c>
      <c r="C41" s="1686" t="s">
        <v>2646</v>
      </c>
      <c r="D41" s="2025"/>
      <c r="E41" s="2314" t="s">
        <v>49</v>
      </c>
      <c r="F41" s="2308">
        <v>3</v>
      </c>
      <c r="G41" s="1310"/>
      <c r="H41" s="1311"/>
      <c r="I41" s="1311"/>
      <c r="J41" s="1311"/>
      <c r="K41" s="1311"/>
      <c r="L41" s="1815">
        <f t="shared" si="23"/>
        <v>0</v>
      </c>
      <c r="O41" s="112"/>
      <c r="P41" s="1754"/>
      <c r="R41" s="24">
        <f t="shared" si="24"/>
        <v>0</v>
      </c>
      <c r="S41" s="1161"/>
      <c r="T41" s="71"/>
      <c r="U41" s="93">
        <f>IF(Validation!$H$3=1,0,IF(ISNUMBER(G41),0,1))</f>
        <v>0</v>
      </c>
      <c r="V41" s="93">
        <f>IF(Validation!$H$3=1,0,IF(ISNUMBER(H41),0,1))</f>
        <v>0</v>
      </c>
      <c r="W41" s="93">
        <f>IF(Validation!$H$3=1,0,IF(ISNUMBER(I41),0,1))</f>
        <v>0</v>
      </c>
      <c r="X41" s="93">
        <f>IF(Validation!$H$3=1,0,IF(ISNUMBER(J41),0,1))</f>
        <v>0</v>
      </c>
      <c r="Y41" s="93">
        <f>IF(Validation!$H$3=1,0,IF(ISNUMBER(K41),0,1))</f>
        <v>0</v>
      </c>
      <c r="Z41" s="93"/>
      <c r="AA41" s="93"/>
      <c r="AB41" s="93"/>
      <c r="AC41" s="71"/>
      <c r="AE41" s="1635"/>
      <c r="AI41" s="1635"/>
      <c r="AK41" s="1682" t="s">
        <v>8134</v>
      </c>
      <c r="AL41" s="1686" t="s">
        <v>2646</v>
      </c>
      <c r="AM41" s="2343" t="s">
        <v>7894</v>
      </c>
      <c r="AN41" s="2314" t="s">
        <v>49</v>
      </c>
      <c r="AO41" s="2308">
        <v>3</v>
      </c>
      <c r="AP41" s="1310" t="str">
        <f t="shared" si="22"/>
        <v>BM240SDLFR</v>
      </c>
      <c r="AQ41" s="1311" t="str">
        <f t="shared" si="20"/>
        <v>BM240SDLFP</v>
      </c>
      <c r="AR41" s="1311" t="str">
        <f t="shared" si="20"/>
        <v>BM240SDLRR</v>
      </c>
      <c r="AS41" s="1334" t="str">
        <f t="shared" si="20"/>
        <v>BM240SDRTF</v>
      </c>
      <c r="AT41" s="1334" t="str">
        <f t="shared" si="20"/>
        <v>BM240SDSOT</v>
      </c>
      <c r="AU41" s="1610" t="str">
        <f t="shared" si="20"/>
        <v>BM240SDTOT</v>
      </c>
      <c r="AV41" s="1629"/>
      <c r="AW41" s="1629"/>
      <c r="AX41" s="2331"/>
    </row>
    <row r="42" spans="2:50" s="483" customFormat="1" ht="16">
      <c r="B42" s="2366"/>
      <c r="C42" s="2296" t="s">
        <v>1280</v>
      </c>
      <c r="D42" s="2367"/>
      <c r="E42" s="2368"/>
      <c r="F42" s="2365"/>
      <c r="G42" s="2359"/>
      <c r="H42" s="2360"/>
      <c r="I42" s="2360"/>
      <c r="J42" s="2360"/>
      <c r="K42" s="2360"/>
      <c r="L42" s="2146"/>
      <c r="M42" s="82"/>
      <c r="N42" s="82"/>
      <c r="O42" s="2147"/>
      <c r="P42" s="2369"/>
      <c r="Q42" s="82"/>
      <c r="R42" s="24"/>
      <c r="S42" s="2363"/>
      <c r="T42" s="71"/>
      <c r="U42" s="93"/>
      <c r="V42" s="93"/>
      <c r="W42" s="93"/>
      <c r="X42" s="93"/>
      <c r="Y42" s="93"/>
      <c r="Z42" s="93"/>
      <c r="AA42" s="93"/>
      <c r="AB42" s="93"/>
      <c r="AC42" s="71"/>
      <c r="AE42" s="2364"/>
      <c r="AI42" s="2364"/>
      <c r="AK42" s="2355"/>
      <c r="AL42" s="2296" t="s">
        <v>1280</v>
      </c>
      <c r="AM42" s="2370"/>
      <c r="AN42" s="2368"/>
      <c r="AO42" s="2365"/>
      <c r="AP42" s="2359"/>
      <c r="AQ42" s="2359"/>
      <c r="AR42" s="2359"/>
      <c r="AS42" s="2359"/>
      <c r="AT42" s="2359"/>
      <c r="AU42" s="2359"/>
      <c r="AV42" s="1979"/>
      <c r="AW42" s="1979"/>
      <c r="AX42" s="2284"/>
    </row>
    <row r="43" spans="2:50" s="1882" customFormat="1" ht="16">
      <c r="B43" s="2312" t="s">
        <v>8135</v>
      </c>
      <c r="C43" s="884" t="s">
        <v>3673</v>
      </c>
      <c r="D43" s="2025"/>
      <c r="E43" s="2314" t="s">
        <v>49</v>
      </c>
      <c r="F43" s="2308">
        <v>3</v>
      </c>
      <c r="G43" s="1310"/>
      <c r="H43" s="1311"/>
      <c r="I43" s="1311"/>
      <c r="J43" s="1311"/>
      <c r="K43" s="1311"/>
      <c r="L43" s="1815">
        <f t="shared" si="23"/>
        <v>0</v>
      </c>
      <c r="O43" s="112"/>
      <c r="P43" s="1754"/>
      <c r="R43" s="24">
        <f t="shared" ref="R43:R44" si="25" xml:space="preserve"> IF( SUM( T43:AB43 ) = 0, 0, $U$4 )</f>
        <v>0</v>
      </c>
      <c r="S43" s="1161"/>
      <c r="T43" s="71"/>
      <c r="U43" s="93">
        <f>IF(Validation!$H$3=1,0,IF(ISNUMBER(G43),0,1))</f>
        <v>0</v>
      </c>
      <c r="V43" s="93">
        <f>IF(Validation!$H$3=1,0,IF(ISNUMBER(H43),0,1))</f>
        <v>0</v>
      </c>
      <c r="W43" s="93">
        <f>IF(Validation!$H$3=1,0,IF(ISNUMBER(I43),0,1))</f>
        <v>0</v>
      </c>
      <c r="X43" s="93">
        <f>IF(Validation!$H$3=1,0,IF(ISNUMBER(J43),0,1))</f>
        <v>0</v>
      </c>
      <c r="Y43" s="93">
        <f>IF(Validation!$H$3=1,0,IF(ISNUMBER(K43),0,1))</f>
        <v>0</v>
      </c>
      <c r="Z43" s="93"/>
      <c r="AA43" s="93"/>
      <c r="AB43" s="93"/>
      <c r="AC43" s="71"/>
      <c r="AE43" s="1635"/>
      <c r="AI43" s="1635"/>
      <c r="AK43" s="1682" t="s">
        <v>8135</v>
      </c>
      <c r="AL43" s="884" t="s">
        <v>3673</v>
      </c>
      <c r="AM43" s="2343" t="s">
        <v>7994</v>
      </c>
      <c r="AN43" s="2314" t="s">
        <v>49</v>
      </c>
      <c r="AO43" s="2308">
        <v>3</v>
      </c>
      <c r="AP43" s="1310" t="str">
        <f t="shared" ref="AP43:AU51" si="26">+$AM43&amp;AP$36</f>
        <v>WWS1005SDLFR</v>
      </c>
      <c r="AQ43" s="1311" t="str">
        <f t="shared" si="26"/>
        <v>WWS1005SDLFP</v>
      </c>
      <c r="AR43" s="1311" t="str">
        <f t="shared" si="26"/>
        <v>WWS1005SDLRR</v>
      </c>
      <c r="AS43" s="1334" t="str">
        <f t="shared" si="26"/>
        <v>WWS1005SDRTF</v>
      </c>
      <c r="AT43" s="1334" t="str">
        <f t="shared" si="26"/>
        <v>WWS1005SDSOT</v>
      </c>
      <c r="AU43" s="1610" t="str">
        <f t="shared" si="26"/>
        <v>WWS1005SDTOT</v>
      </c>
      <c r="AV43" s="1629"/>
      <c r="AW43" s="1629"/>
      <c r="AX43" s="2331"/>
    </row>
    <row r="44" spans="2:50" s="1882" customFormat="1" ht="16">
      <c r="B44" s="2312" t="s">
        <v>8136</v>
      </c>
      <c r="C44" s="884" t="s">
        <v>3682</v>
      </c>
      <c r="D44" s="2025"/>
      <c r="E44" s="2314" t="s">
        <v>49</v>
      </c>
      <c r="F44" s="2308">
        <v>3</v>
      </c>
      <c r="G44" s="1310"/>
      <c r="H44" s="1311"/>
      <c r="I44" s="1311"/>
      <c r="J44" s="1311"/>
      <c r="K44" s="1311"/>
      <c r="L44" s="1815">
        <f t="shared" si="23"/>
        <v>0</v>
      </c>
      <c r="O44" s="112"/>
      <c r="P44" s="1754"/>
      <c r="R44" s="24">
        <f t="shared" si="25"/>
        <v>0</v>
      </c>
      <c r="S44" s="1161"/>
      <c r="T44" s="71"/>
      <c r="U44" s="93">
        <f>IF(Validation!$H$3=1,0,IF(ISNUMBER(G44),0,1))</f>
        <v>0</v>
      </c>
      <c r="V44" s="93">
        <f>IF(Validation!$H$3=1,0,IF(ISNUMBER(H44),0,1))</f>
        <v>0</v>
      </c>
      <c r="W44" s="93">
        <f>IF(Validation!$H$3=1,0,IF(ISNUMBER(I44),0,1))</f>
        <v>0</v>
      </c>
      <c r="X44" s="93">
        <f>IF(Validation!$H$3=1,0,IF(ISNUMBER(J44),0,1))</f>
        <v>0</v>
      </c>
      <c r="Y44" s="93">
        <f>IF(Validation!$H$3=1,0,IF(ISNUMBER(K44),0,1))</f>
        <v>0</v>
      </c>
      <c r="Z44" s="93"/>
      <c r="AA44" s="93"/>
      <c r="AB44" s="93"/>
      <c r="AC44" s="71"/>
      <c r="AE44" s="1635"/>
      <c r="AI44" s="1635"/>
      <c r="AK44" s="1682" t="s">
        <v>8136</v>
      </c>
      <c r="AL44" s="884" t="s">
        <v>3682</v>
      </c>
      <c r="AM44" s="2343" t="s">
        <v>7996</v>
      </c>
      <c r="AN44" s="2314" t="s">
        <v>49</v>
      </c>
      <c r="AO44" s="2308">
        <v>3</v>
      </c>
      <c r="AP44" s="1310" t="str">
        <f t="shared" si="26"/>
        <v>WWS1006SDLFR</v>
      </c>
      <c r="AQ44" s="1311" t="str">
        <f t="shared" si="26"/>
        <v>WWS1006SDLFP</v>
      </c>
      <c r="AR44" s="1311" t="str">
        <f t="shared" si="26"/>
        <v>WWS1006SDLRR</v>
      </c>
      <c r="AS44" s="1334" t="str">
        <f t="shared" si="26"/>
        <v>WWS1006SDRTF</v>
      </c>
      <c r="AT44" s="1334" t="str">
        <f t="shared" si="26"/>
        <v>WWS1006SDSOT</v>
      </c>
      <c r="AU44" s="1610" t="str">
        <f t="shared" si="26"/>
        <v>WWS1006SDTOT</v>
      </c>
      <c r="AV44" s="1629"/>
      <c r="AW44" s="1629"/>
      <c r="AX44" s="2331"/>
    </row>
    <row r="45" spans="2:50" ht="16">
      <c r="B45" s="2312" t="s">
        <v>8137</v>
      </c>
      <c r="C45" s="1686" t="s">
        <v>8054</v>
      </c>
      <c r="D45" s="2322"/>
      <c r="E45" s="2313" t="s">
        <v>49</v>
      </c>
      <c r="F45" s="2308">
        <v>3</v>
      </c>
      <c r="G45" s="1310"/>
      <c r="H45" s="1311"/>
      <c r="I45" s="1311"/>
      <c r="J45" s="1311"/>
      <c r="K45" s="1311"/>
      <c r="L45" s="1815">
        <f t="shared" si="23"/>
        <v>0</v>
      </c>
      <c r="M45" s="1882"/>
      <c r="N45" s="1882"/>
      <c r="O45" s="112"/>
      <c r="P45" s="1754"/>
      <c r="Q45" s="1882"/>
      <c r="R45" s="24">
        <f xml:space="preserve"> IF( SUM( T45:AB45 ) = 0, 0, $U$4 )</f>
        <v>0</v>
      </c>
      <c r="S45" s="1161"/>
      <c r="T45" s="71"/>
      <c r="U45" s="93">
        <f>IF(Validation!$H$3=1,0,IF(ISNUMBER(G45),0,1))</f>
        <v>0</v>
      </c>
      <c r="V45" s="93">
        <f>IF(Validation!$H$3=1,0,IF(ISNUMBER(H45),0,1))</f>
        <v>0</v>
      </c>
      <c r="W45" s="93">
        <f>IF(Validation!$H$3=1,0,IF(ISNUMBER(I45),0,1))</f>
        <v>0</v>
      </c>
      <c r="X45" s="93">
        <f>IF(Validation!$H$3=1,0,IF(ISNUMBER(J45),0,1))</f>
        <v>0</v>
      </c>
      <c r="Y45" s="93">
        <f>IF(Validation!$H$3=1,0,IF(ISNUMBER(K45),0,1))</f>
        <v>0</v>
      </c>
      <c r="Z45" s="93"/>
      <c r="AA45" s="93"/>
      <c r="AB45" s="93"/>
      <c r="AC45" s="71"/>
      <c r="AD45" s="1882"/>
      <c r="AF45" s="1882"/>
      <c r="AG45" s="1882"/>
      <c r="AH45" s="1882"/>
      <c r="AJ45" s="1882"/>
      <c r="AK45" s="1682" t="s">
        <v>8137</v>
      </c>
      <c r="AL45" s="1686" t="s">
        <v>8054</v>
      </c>
      <c r="AM45" s="2343" t="s">
        <v>8055</v>
      </c>
      <c r="AN45" s="2313" t="s">
        <v>49</v>
      </c>
      <c r="AO45" s="2308">
        <v>3</v>
      </c>
      <c r="AP45" s="1310" t="str">
        <f t="shared" si="26"/>
        <v>BM408SDLFR</v>
      </c>
      <c r="AQ45" s="1311" t="str">
        <f t="shared" si="26"/>
        <v>BM408SDLFP</v>
      </c>
      <c r="AR45" s="1311" t="str">
        <f t="shared" si="26"/>
        <v>BM408SDLRR</v>
      </c>
      <c r="AS45" s="1311" t="str">
        <f t="shared" si="26"/>
        <v>BM408SDRTF</v>
      </c>
      <c r="AT45" s="1334" t="str">
        <f t="shared" si="26"/>
        <v>BM408SDSOT</v>
      </c>
      <c r="AU45" s="1610" t="str">
        <f t="shared" si="26"/>
        <v>BM408SDTOT</v>
      </c>
      <c r="AV45" s="1629"/>
      <c r="AW45" s="1629"/>
      <c r="AX45" s="2331"/>
    </row>
    <row r="46" spans="2:50" ht="16">
      <c r="B46" s="2312" t="s">
        <v>8138</v>
      </c>
      <c r="C46" s="1686" t="s">
        <v>8066</v>
      </c>
      <c r="D46" s="2322"/>
      <c r="E46" s="2314" t="s">
        <v>49</v>
      </c>
      <c r="F46" s="2308">
        <v>3</v>
      </c>
      <c r="G46" s="1310"/>
      <c r="H46" s="1311"/>
      <c r="I46" s="1311"/>
      <c r="J46" s="1311"/>
      <c r="K46" s="1311"/>
      <c r="L46" s="1815">
        <f t="shared" si="23"/>
        <v>0</v>
      </c>
      <c r="M46" s="1882"/>
      <c r="N46" s="1882"/>
      <c r="O46" s="112"/>
      <c r="P46" s="1754"/>
      <c r="Q46" s="1882"/>
      <c r="R46" s="24">
        <f xml:space="preserve"> IF( SUM( T46:AB46 ) = 0, 0, $U$4 )</f>
        <v>0</v>
      </c>
      <c r="S46" s="1161"/>
      <c r="T46" s="71"/>
      <c r="U46" s="93">
        <f>IF(Validation!$H$3=1,0,IF(ISNUMBER(G46),0,1))</f>
        <v>0</v>
      </c>
      <c r="V46" s="93">
        <f>IF(Validation!$H$3=1,0,IF(ISNUMBER(H46),0,1))</f>
        <v>0</v>
      </c>
      <c r="W46" s="93">
        <f>IF(Validation!$H$3=1,0,IF(ISNUMBER(I46),0,1))</f>
        <v>0</v>
      </c>
      <c r="X46" s="93">
        <f>IF(Validation!$H$3=1,0,IF(ISNUMBER(J46),0,1))</f>
        <v>0</v>
      </c>
      <c r="Y46" s="93">
        <f>IF(Validation!$H$3=1,0,IF(ISNUMBER(K46),0,1))</f>
        <v>0</v>
      </c>
      <c r="Z46" s="93"/>
      <c r="AA46" s="93"/>
      <c r="AB46" s="93"/>
      <c r="AC46" s="71"/>
      <c r="AD46" s="1882"/>
      <c r="AF46" s="1882"/>
      <c r="AG46" s="1882"/>
      <c r="AH46" s="1882"/>
      <c r="AJ46" s="1882"/>
      <c r="AK46" s="1682" t="s">
        <v>8138</v>
      </c>
      <c r="AL46" s="1686" t="s">
        <v>8066</v>
      </c>
      <c r="AM46" s="2343" t="s">
        <v>8067</v>
      </c>
      <c r="AN46" s="2314" t="s">
        <v>49</v>
      </c>
      <c r="AO46" s="2308">
        <v>3</v>
      </c>
      <c r="AP46" s="1310" t="str">
        <f t="shared" si="26"/>
        <v>BM410SDLFR</v>
      </c>
      <c r="AQ46" s="1311" t="str">
        <f t="shared" si="26"/>
        <v>BM410SDLFP</v>
      </c>
      <c r="AR46" s="1311" t="str">
        <f t="shared" si="26"/>
        <v>BM410SDLRR</v>
      </c>
      <c r="AS46" s="1311" t="str">
        <f t="shared" si="26"/>
        <v>BM410SDRTF</v>
      </c>
      <c r="AT46" s="1334" t="str">
        <f t="shared" si="26"/>
        <v>BM410SDSOT</v>
      </c>
      <c r="AU46" s="1610" t="str">
        <f t="shared" si="26"/>
        <v>BM410SDTOT</v>
      </c>
      <c r="AV46" s="1629"/>
      <c r="AW46" s="1629"/>
      <c r="AX46" s="2331"/>
    </row>
    <row r="47" spans="2:50" s="1882" customFormat="1" ht="16">
      <c r="B47" s="2312" t="s">
        <v>8139</v>
      </c>
      <c r="C47" s="2298" t="s">
        <v>7907</v>
      </c>
      <c r="D47" s="2322"/>
      <c r="E47" s="2314" t="s">
        <v>49</v>
      </c>
      <c r="F47" s="2308">
        <v>3</v>
      </c>
      <c r="G47" s="1677">
        <f>SUM(G38:G46)</f>
        <v>0</v>
      </c>
      <c r="H47" s="1677">
        <f t="shared" ref="H47:K47" si="27">SUM(H38:H46)</f>
        <v>0</v>
      </c>
      <c r="I47" s="1677">
        <f t="shared" si="27"/>
        <v>0</v>
      </c>
      <c r="J47" s="1677">
        <f t="shared" si="27"/>
        <v>0</v>
      </c>
      <c r="K47" s="1677">
        <f t="shared" si="27"/>
        <v>0</v>
      </c>
      <c r="L47" s="1815">
        <f t="shared" si="23"/>
        <v>0</v>
      </c>
      <c r="O47" s="112"/>
      <c r="P47" s="1754"/>
      <c r="R47" s="24"/>
      <c r="S47" s="1161"/>
      <c r="T47" s="71"/>
      <c r="U47" s="93"/>
      <c r="V47" s="93"/>
      <c r="W47" s="93"/>
      <c r="X47" s="93"/>
      <c r="Y47" s="93"/>
      <c r="Z47" s="93"/>
      <c r="AA47" s="93"/>
      <c r="AB47" s="93"/>
      <c r="AC47" s="71"/>
      <c r="AE47" s="1635"/>
      <c r="AI47" s="1635"/>
      <c r="AK47" s="1682" t="s">
        <v>8139</v>
      </c>
      <c r="AL47" s="2298" t="s">
        <v>7907</v>
      </c>
      <c r="AM47" s="2343" t="s">
        <v>7908</v>
      </c>
      <c r="AN47" s="2314" t="s">
        <v>49</v>
      </c>
      <c r="AO47" s="2308">
        <v>3</v>
      </c>
      <c r="AP47" s="1310" t="str">
        <f t="shared" si="26"/>
        <v>BM816SDLFR</v>
      </c>
      <c r="AQ47" s="1311" t="str">
        <f t="shared" si="26"/>
        <v>BM816SDLFP</v>
      </c>
      <c r="AR47" s="1311" t="str">
        <f t="shared" si="26"/>
        <v>BM816SDLRR</v>
      </c>
      <c r="AS47" s="1311" t="str">
        <f t="shared" si="26"/>
        <v>BM816SDRTF</v>
      </c>
      <c r="AT47" s="1334" t="str">
        <f t="shared" si="26"/>
        <v>BM816SDSOT</v>
      </c>
      <c r="AU47" s="1610" t="str">
        <f t="shared" si="26"/>
        <v>BM816SDTOT</v>
      </c>
      <c r="AV47" s="1629"/>
      <c r="AW47" s="1629"/>
      <c r="AX47" s="2331"/>
    </row>
    <row r="48" spans="2:50" ht="16">
      <c r="B48" s="2312" t="s">
        <v>8140</v>
      </c>
      <c r="C48" s="1686" t="s">
        <v>1096</v>
      </c>
      <c r="D48" s="2322"/>
      <c r="E48" s="2313" t="s">
        <v>49</v>
      </c>
      <c r="F48" s="2308">
        <v>3</v>
      </c>
      <c r="G48" s="1310"/>
      <c r="H48" s="1311"/>
      <c r="I48" s="1311"/>
      <c r="J48" s="1311"/>
      <c r="K48" s="1311"/>
      <c r="L48" s="1815">
        <f t="shared" si="23"/>
        <v>0</v>
      </c>
      <c r="M48" s="1882"/>
      <c r="N48" s="1882"/>
      <c r="O48" s="112"/>
      <c r="P48" s="1754"/>
      <c r="Q48" s="1882"/>
      <c r="R48" s="24">
        <f xml:space="preserve"> IF( SUM( T48:AB48 ) = 0, 0, $U$4 )</f>
        <v>0</v>
      </c>
      <c r="S48" s="1161"/>
      <c r="T48" s="71"/>
      <c r="U48" s="93">
        <f>IF(Validation!$H$3=1,0,IF(ISNUMBER(G48),0,1))</f>
        <v>0</v>
      </c>
      <c r="V48" s="93">
        <f>IF(Validation!$H$3=1,0,IF(ISNUMBER(H48),0,1))</f>
        <v>0</v>
      </c>
      <c r="W48" s="93">
        <f>IF(Validation!$H$3=1,0,IF(ISNUMBER(I48),0,1))</f>
        <v>0</v>
      </c>
      <c r="X48" s="93">
        <f>IF(Validation!$H$3=1,0,IF(ISNUMBER(J48),0,1))</f>
        <v>0</v>
      </c>
      <c r="Y48" s="93">
        <f>IF(Validation!$H$3=1,0,IF(ISNUMBER(K48),0,1))</f>
        <v>0</v>
      </c>
      <c r="Z48" s="93"/>
      <c r="AA48" s="93"/>
      <c r="AB48" s="93"/>
      <c r="AC48" s="71"/>
      <c r="AD48" s="1882"/>
      <c r="AF48" s="1882"/>
      <c r="AG48" s="1882"/>
      <c r="AH48" s="1882"/>
      <c r="AJ48" s="1882"/>
      <c r="AK48" s="1682" t="s">
        <v>8140</v>
      </c>
      <c r="AL48" s="1686" t="s">
        <v>1096</v>
      </c>
      <c r="AM48" s="2343" t="s">
        <v>7910</v>
      </c>
      <c r="AN48" s="2313" t="s">
        <v>49</v>
      </c>
      <c r="AO48" s="2308">
        <v>3</v>
      </c>
      <c r="AP48" s="1310" t="str">
        <f t="shared" si="26"/>
        <v>BM817SDLFR</v>
      </c>
      <c r="AQ48" s="1311" t="str">
        <f t="shared" si="26"/>
        <v>BM817SDLFP</v>
      </c>
      <c r="AR48" s="1311" t="str">
        <f t="shared" si="26"/>
        <v>BM817SDLRR</v>
      </c>
      <c r="AS48" s="1311" t="str">
        <f t="shared" si="26"/>
        <v>BM817SDRTF</v>
      </c>
      <c r="AT48" s="1334" t="str">
        <f t="shared" si="26"/>
        <v>BM817SDSOT</v>
      </c>
      <c r="AU48" s="1610" t="str">
        <f t="shared" si="26"/>
        <v>BM817SDTOT</v>
      </c>
      <c r="AV48" s="1629"/>
      <c r="AW48" s="1629"/>
      <c r="AX48" s="2331"/>
    </row>
    <row r="49" spans="1:50" ht="23.5">
      <c r="A49" s="1882"/>
      <c r="B49" s="2312" t="s">
        <v>8141</v>
      </c>
      <c r="C49" s="2299" t="s">
        <v>7912</v>
      </c>
      <c r="D49" s="2323"/>
      <c r="E49" s="2315" t="s">
        <v>49</v>
      </c>
      <c r="F49" s="2316">
        <v>3</v>
      </c>
      <c r="G49" s="1677">
        <f>SUM(G47:G48)</f>
        <v>0</v>
      </c>
      <c r="H49" s="1677">
        <f t="shared" ref="H49" si="28">SUM(H47:H48)</f>
        <v>0</v>
      </c>
      <c r="I49" s="1677">
        <f t="shared" ref="I49" si="29">SUM(I47:I48)</f>
        <v>0</v>
      </c>
      <c r="J49" s="1677">
        <f t="shared" ref="J49" si="30">SUM(J47:J48)</f>
        <v>0</v>
      </c>
      <c r="K49" s="1677">
        <f t="shared" ref="K49" si="31">SUM(K47:K48)</f>
        <v>0</v>
      </c>
      <c r="L49" s="1815">
        <f t="shared" si="23"/>
        <v>0</v>
      </c>
      <c r="M49" s="1882"/>
      <c r="N49" s="1882"/>
      <c r="O49" s="112"/>
      <c r="P49" s="1754"/>
      <c r="Q49" s="1882"/>
      <c r="R49" s="1339">
        <f xml:space="preserve"> IF( SUM( AC49:AE49 ) = 0, 0, AH49 )</f>
        <v>0</v>
      </c>
      <c r="S49" s="1161"/>
      <c r="T49" s="71"/>
      <c r="U49" s="127"/>
      <c r="V49" s="127"/>
      <c r="W49" s="127"/>
      <c r="X49" s="127"/>
      <c r="Y49" s="127"/>
      <c r="Z49" s="127"/>
      <c r="AA49" s="127"/>
      <c r="AB49" s="127"/>
      <c r="AC49" s="71"/>
      <c r="AD49" s="1944">
        <f xml:space="preserve"> IF( (AF49 - AG49) = 0, 0, 1 )</f>
        <v>0</v>
      </c>
      <c r="AE49" s="1945"/>
      <c r="AF49" s="1946">
        <f>ROUND(L49,3)</f>
        <v>0</v>
      </c>
      <c r="AG49" s="2109">
        <f>ROUND('4E'!N15,3)</f>
        <v>0</v>
      </c>
      <c r="AH49" s="2108" t="s">
        <v>8142</v>
      </c>
      <c r="AJ49" s="1882"/>
      <c r="AK49" s="1682" t="s">
        <v>8141</v>
      </c>
      <c r="AL49" s="2299" t="s">
        <v>7912</v>
      </c>
      <c r="AM49" s="2344" t="s">
        <v>8090</v>
      </c>
      <c r="AN49" s="2315" t="s">
        <v>49</v>
      </c>
      <c r="AO49" s="2316">
        <v>3</v>
      </c>
      <c r="AP49" s="1313" t="str">
        <f t="shared" si="26"/>
        <v>BM8390SDLFR</v>
      </c>
      <c r="AQ49" s="1313" t="str">
        <f t="shared" si="26"/>
        <v>BM8390SDLFP</v>
      </c>
      <c r="AR49" s="1313" t="str">
        <f t="shared" si="26"/>
        <v>BM8390SDLRR</v>
      </c>
      <c r="AS49" s="1313" t="str">
        <f t="shared" si="26"/>
        <v>BM8390SDRTF</v>
      </c>
      <c r="AT49" s="1313" t="str">
        <f t="shared" si="26"/>
        <v>BM8390SDSOT</v>
      </c>
      <c r="AU49" s="1610" t="str">
        <f t="shared" si="26"/>
        <v>BM8390SDTOT</v>
      </c>
      <c r="AV49" s="1629"/>
      <c r="AW49" s="1629"/>
      <c r="AX49" s="2331"/>
    </row>
    <row r="50" spans="1:50" ht="16">
      <c r="A50" s="1882"/>
      <c r="B50" s="2312" t="s">
        <v>8143</v>
      </c>
      <c r="C50" s="1686" t="s">
        <v>531</v>
      </c>
      <c r="D50" s="2322"/>
      <c r="E50" s="2315" t="s">
        <v>49</v>
      </c>
      <c r="F50" s="2316">
        <v>3</v>
      </c>
      <c r="G50" s="1310"/>
      <c r="H50" s="1311"/>
      <c r="I50" s="1311"/>
      <c r="J50" s="1311"/>
      <c r="K50" s="1311"/>
      <c r="L50" s="1815">
        <f t="shared" si="21"/>
        <v>0</v>
      </c>
      <c r="M50" s="1882"/>
      <c r="N50" s="1882"/>
      <c r="O50" s="112"/>
      <c r="P50" s="1755"/>
      <c r="Q50" s="1882"/>
      <c r="R50" s="24">
        <f xml:space="preserve"> IF( SUM( T50:AB50 ) = 0, 0, $U$4 )</f>
        <v>0</v>
      </c>
      <c r="S50" s="1161"/>
      <c r="T50" s="71"/>
      <c r="U50" s="93">
        <f>IF(Validation!$H$3=1,0,IF(ISNUMBER(G50),0,1))</f>
        <v>0</v>
      </c>
      <c r="V50" s="93">
        <f>IF(Validation!$H$3=1,0,IF(ISNUMBER(H50),0,1))</f>
        <v>0</v>
      </c>
      <c r="W50" s="93">
        <f>IF(Validation!$H$3=1,0,IF(ISNUMBER(I50),0,1))</f>
        <v>0</v>
      </c>
      <c r="X50" s="93">
        <f>IF(Validation!$H$3=1,0,IF(ISNUMBER(J50),0,1))</f>
        <v>0</v>
      </c>
      <c r="Y50" s="93">
        <f>IF(Validation!$H$3=1,0,IF(ISNUMBER(K50),0,1))</f>
        <v>0</v>
      </c>
      <c r="Z50" s="93"/>
      <c r="AA50" s="93"/>
      <c r="AB50" s="93"/>
      <c r="AC50" s="71"/>
      <c r="AD50" s="1882"/>
      <c r="AF50" s="1882"/>
      <c r="AG50" s="1882"/>
      <c r="AH50" s="1882"/>
      <c r="AJ50" s="1882"/>
      <c r="AK50" s="1682" t="s">
        <v>8143</v>
      </c>
      <c r="AL50" s="1686" t="s">
        <v>531</v>
      </c>
      <c r="AM50" s="2343" t="s">
        <v>7916</v>
      </c>
      <c r="AN50" s="2315" t="s">
        <v>49</v>
      </c>
      <c r="AO50" s="2316">
        <v>3</v>
      </c>
      <c r="AP50" s="1310" t="str">
        <f t="shared" si="26"/>
        <v>FT00865SDLFR</v>
      </c>
      <c r="AQ50" s="1311" t="str">
        <f t="shared" si="26"/>
        <v>FT00865SDLFP</v>
      </c>
      <c r="AR50" s="1311" t="str">
        <f t="shared" si="26"/>
        <v>FT00865SDLRR</v>
      </c>
      <c r="AS50" s="1311" t="str">
        <f t="shared" si="26"/>
        <v>FT00865SDRTF</v>
      </c>
      <c r="AT50" s="1334" t="str">
        <f t="shared" si="26"/>
        <v>FT00865SDSOT</v>
      </c>
      <c r="AU50" s="1610" t="str">
        <f t="shared" si="26"/>
        <v>FT00865SDTOT</v>
      </c>
      <c r="AV50" s="1629"/>
      <c r="AW50" s="1629"/>
      <c r="AX50" s="2331"/>
    </row>
    <row r="51" spans="1:50" ht="16.5" thickBot="1">
      <c r="A51" s="1882"/>
      <c r="B51" s="2317" t="s">
        <v>8144</v>
      </c>
      <c r="C51" s="1698" t="s">
        <v>7918</v>
      </c>
      <c r="D51" s="2324"/>
      <c r="E51" s="2318" t="s">
        <v>49</v>
      </c>
      <c r="F51" s="2319">
        <v>3</v>
      </c>
      <c r="G51" s="1679">
        <f>SUM(G49:G50)</f>
        <v>0</v>
      </c>
      <c r="H51" s="1679">
        <f t="shared" ref="H51" si="32">SUM(H49:H50)</f>
        <v>0</v>
      </c>
      <c r="I51" s="1679">
        <f t="shared" ref="I51" si="33">SUM(I49:I50)</f>
        <v>0</v>
      </c>
      <c r="J51" s="1679">
        <f t="shared" ref="J51" si="34">SUM(J49:J50)</f>
        <v>0</v>
      </c>
      <c r="K51" s="1679">
        <f t="shared" ref="K51" si="35">SUM(K49:K50)</f>
        <v>0</v>
      </c>
      <c r="L51" s="1816">
        <f t="shared" si="21"/>
        <v>0</v>
      </c>
      <c r="M51" s="1882"/>
      <c r="N51" s="1882"/>
      <c r="O51" s="112"/>
      <c r="P51" s="1756"/>
      <c r="Q51" s="1882"/>
      <c r="R51" s="1882"/>
      <c r="S51" s="1161"/>
      <c r="T51" s="71"/>
      <c r="U51" s="127"/>
      <c r="V51" s="127"/>
      <c r="W51" s="127"/>
      <c r="X51" s="127"/>
      <c r="Y51" s="127"/>
      <c r="Z51" s="127"/>
      <c r="AA51" s="127"/>
      <c r="AB51" s="127"/>
      <c r="AC51" s="71"/>
      <c r="AD51" s="1882"/>
      <c r="AF51" s="1882"/>
      <c r="AG51" s="1882"/>
      <c r="AH51" s="1882"/>
      <c r="AI51" s="124"/>
      <c r="AJ51" s="1882"/>
      <c r="AK51" s="1683" t="s">
        <v>8144</v>
      </c>
      <c r="AL51" s="1698" t="s">
        <v>7918</v>
      </c>
      <c r="AM51" s="2345" t="s">
        <v>7919</v>
      </c>
      <c r="AN51" s="2318" t="s">
        <v>49</v>
      </c>
      <c r="AO51" s="2319">
        <v>3</v>
      </c>
      <c r="AP51" s="1323" t="str">
        <f t="shared" si="26"/>
        <v>BM319SDLFR</v>
      </c>
      <c r="AQ51" s="1323" t="str">
        <f t="shared" si="26"/>
        <v>BM319SDLFP</v>
      </c>
      <c r="AR51" s="1323" t="str">
        <f t="shared" si="26"/>
        <v>BM319SDLRR</v>
      </c>
      <c r="AS51" s="1323" t="str">
        <f t="shared" si="26"/>
        <v>BM319SDRTF</v>
      </c>
      <c r="AT51" s="1323" t="str">
        <f t="shared" si="26"/>
        <v>BM319SDSOT</v>
      </c>
      <c r="AU51" s="1611" t="str">
        <f t="shared" si="26"/>
        <v>BM319SDTOT</v>
      </c>
      <c r="AV51" s="1629"/>
      <c r="AW51" s="1629"/>
      <c r="AX51" s="2331"/>
    </row>
    <row r="52" spans="1:50">
      <c r="A52" s="1882"/>
      <c r="B52" s="1629"/>
      <c r="C52" s="1629"/>
      <c r="D52" s="1629"/>
      <c r="E52" s="1629"/>
      <c r="F52" s="1629"/>
      <c r="G52" s="1882"/>
      <c r="H52" s="1882"/>
      <c r="I52" s="1882"/>
      <c r="J52" s="1882"/>
      <c r="K52" s="1882"/>
      <c r="L52" s="1882"/>
      <c r="M52" s="1882"/>
      <c r="N52" s="1882"/>
      <c r="O52" s="112"/>
      <c r="P52" s="1882"/>
      <c r="Q52" s="1882"/>
      <c r="R52" s="1882"/>
      <c r="S52" s="1882"/>
      <c r="U52" s="1882"/>
      <c r="V52" s="1882"/>
      <c r="W52" s="1882"/>
      <c r="X52" s="1882"/>
      <c r="Y52" s="1882"/>
      <c r="Z52" s="1882"/>
      <c r="AA52" s="1882"/>
      <c r="AB52" s="1882"/>
      <c r="AD52" s="1882"/>
      <c r="AF52" s="1882"/>
      <c r="AG52" s="1882"/>
      <c r="AH52" s="1882"/>
      <c r="AJ52" s="1882"/>
      <c r="AK52" s="1882"/>
      <c r="AL52" s="1629"/>
      <c r="AM52" s="1629"/>
      <c r="AN52" s="1629"/>
      <c r="AO52" s="1629"/>
      <c r="AP52" s="1629"/>
      <c r="AQ52" s="1629"/>
      <c r="AR52" s="1629"/>
      <c r="AS52" s="1629"/>
      <c r="AT52" s="1629"/>
      <c r="AU52" s="1629"/>
      <c r="AV52" s="1629"/>
      <c r="AW52" s="1629"/>
      <c r="AX52" s="1629"/>
    </row>
    <row r="53" spans="1:50" ht="20">
      <c r="A53" s="1882"/>
      <c r="B53" s="67" t="s">
        <v>8145</v>
      </c>
      <c r="C53" s="2325"/>
      <c r="D53" s="2325"/>
      <c r="E53" s="2325"/>
      <c r="F53" s="2325"/>
      <c r="G53" s="66"/>
      <c r="H53" s="66"/>
      <c r="I53" s="66"/>
      <c r="J53" s="66"/>
      <c r="K53" s="1882"/>
      <c r="L53" s="1882"/>
      <c r="M53" s="1882"/>
      <c r="N53" s="1882"/>
      <c r="O53" s="483"/>
      <c r="P53" s="1882"/>
      <c r="Q53" s="1882"/>
      <c r="R53" s="1882"/>
      <c r="S53" s="1882"/>
      <c r="U53" s="1882"/>
      <c r="V53" s="1882"/>
      <c r="W53" s="1882"/>
      <c r="X53" s="1882"/>
      <c r="Y53" s="1882"/>
      <c r="Z53" s="1882"/>
      <c r="AA53" s="1882"/>
      <c r="AB53" s="1882"/>
      <c r="AD53" s="1882"/>
      <c r="AF53" s="1882"/>
      <c r="AG53" s="1882"/>
      <c r="AH53" s="1882"/>
      <c r="AJ53" s="1882"/>
      <c r="AK53" s="67" t="s">
        <v>8145</v>
      </c>
      <c r="AL53" s="2325"/>
      <c r="AM53" s="2325"/>
      <c r="AN53" s="2325"/>
      <c r="AO53" s="2325"/>
      <c r="AP53" s="2325"/>
      <c r="AQ53" s="2325"/>
      <c r="AR53" s="2325"/>
      <c r="AS53" s="2325"/>
      <c r="AT53" s="1629"/>
      <c r="AU53" s="1629"/>
      <c r="AV53" s="1629"/>
      <c r="AW53" s="1629"/>
      <c r="AX53" s="1629"/>
    </row>
    <row r="54" spans="1:50" ht="14.5" thickBot="1">
      <c r="A54" s="1882"/>
      <c r="B54" s="2326"/>
      <c r="C54" s="1629"/>
      <c r="D54" s="1629"/>
      <c r="E54" s="1629"/>
      <c r="F54" s="1629"/>
      <c r="G54" s="1882"/>
      <c r="H54" s="1882"/>
      <c r="I54" s="1882"/>
      <c r="J54" s="1882"/>
      <c r="K54" s="1882"/>
      <c r="L54" s="1882"/>
      <c r="M54" s="1882"/>
      <c r="N54" s="1882"/>
      <c r="O54" s="483"/>
      <c r="P54" s="1882"/>
      <c r="Q54" s="1882"/>
      <c r="R54" s="1882"/>
      <c r="S54" s="1882"/>
      <c r="U54" s="1882"/>
      <c r="V54" s="1882"/>
      <c r="W54" s="1882"/>
      <c r="X54" s="1882"/>
      <c r="Y54" s="1882"/>
      <c r="Z54" s="1882"/>
      <c r="AA54" s="1882"/>
      <c r="AB54" s="1882"/>
      <c r="AD54" s="1882"/>
      <c r="AF54" s="1882"/>
      <c r="AG54" s="1882"/>
      <c r="AH54" s="1882"/>
      <c r="AJ54" s="1882"/>
      <c r="AK54" s="73"/>
      <c r="AL54" s="1629"/>
      <c r="AM54" s="1629"/>
      <c r="AN54" s="1629"/>
      <c r="AO54" s="1629"/>
      <c r="AP54" s="1629"/>
      <c r="AQ54" s="1629"/>
      <c r="AR54" s="1629"/>
      <c r="AS54" s="1629"/>
      <c r="AT54" s="1629"/>
      <c r="AU54" s="1629"/>
      <c r="AV54" s="1629"/>
      <c r="AW54" s="1629"/>
      <c r="AX54" s="1629"/>
    </row>
    <row r="55" spans="1:50" ht="41" thickBot="1">
      <c r="A55" s="1882"/>
      <c r="B55" s="1021" t="s">
        <v>191</v>
      </c>
      <c r="C55" s="969" t="s">
        <v>3980</v>
      </c>
      <c r="D55" s="969" t="s">
        <v>7920</v>
      </c>
      <c r="E55" s="969" t="s">
        <v>2308</v>
      </c>
      <c r="F55" s="969" t="s">
        <v>37</v>
      </c>
      <c r="G55" s="1449" t="s">
        <v>8146</v>
      </c>
      <c r="H55" s="1451" t="s">
        <v>8147</v>
      </c>
      <c r="I55" s="1452" t="s">
        <v>909</v>
      </c>
      <c r="J55" s="187" t="s">
        <v>708</v>
      </c>
      <c r="K55" s="1882"/>
      <c r="L55" s="1882"/>
      <c r="M55" s="1882"/>
      <c r="N55" s="1882"/>
      <c r="O55" s="483"/>
      <c r="P55" s="1882"/>
      <c r="Q55" s="1882"/>
      <c r="R55" s="1882"/>
      <c r="S55" s="1882"/>
      <c r="U55" s="1882"/>
      <c r="V55" s="1882"/>
      <c r="W55" s="1882"/>
      <c r="X55" s="1882"/>
      <c r="Y55" s="1882"/>
      <c r="Z55" s="1882"/>
      <c r="AA55" s="1882"/>
      <c r="AB55" s="1882"/>
      <c r="AD55" s="1882"/>
      <c r="AF55" s="1882"/>
      <c r="AG55" s="1882"/>
      <c r="AH55" s="1882"/>
      <c r="AJ55" s="1882"/>
      <c r="AK55" s="1021" t="s">
        <v>191</v>
      </c>
      <c r="AL55" s="968" t="s">
        <v>3980</v>
      </c>
      <c r="AM55" s="969" t="s">
        <v>7920</v>
      </c>
      <c r="AN55" s="969" t="s">
        <v>2308</v>
      </c>
      <c r="AO55" s="969" t="s">
        <v>37</v>
      </c>
      <c r="AP55" s="1449" t="s">
        <v>8146</v>
      </c>
      <c r="AQ55" s="1451" t="s">
        <v>8147</v>
      </c>
      <c r="AR55" s="1455" t="s">
        <v>909</v>
      </c>
      <c r="AS55" s="187" t="s">
        <v>708</v>
      </c>
      <c r="AT55" s="1629"/>
      <c r="AU55" s="1629"/>
      <c r="AV55" s="1629"/>
      <c r="AW55" s="1629"/>
      <c r="AX55" s="1629"/>
    </row>
    <row r="56" spans="1:50" ht="14.5" thickBot="1">
      <c r="A56" s="1882"/>
      <c r="B56" s="2320"/>
      <c r="C56" s="1629"/>
      <c r="D56" s="1629"/>
      <c r="E56" s="1629"/>
      <c r="F56" s="1629"/>
      <c r="G56" s="1882"/>
      <c r="H56" s="1882"/>
      <c r="I56" s="1882"/>
      <c r="J56" s="1882"/>
      <c r="K56" s="1882"/>
      <c r="L56" s="1882"/>
      <c r="M56" s="1882"/>
      <c r="N56" s="1882"/>
      <c r="O56" s="483"/>
      <c r="P56" s="1882"/>
      <c r="Q56" s="1882"/>
      <c r="R56" s="1882"/>
      <c r="S56" s="1882"/>
      <c r="U56" s="1882"/>
      <c r="V56" s="1882"/>
      <c r="W56" s="1882"/>
      <c r="X56" s="648"/>
      <c r="Y56" s="648"/>
      <c r="Z56" s="648"/>
      <c r="AA56" s="648"/>
      <c r="AB56" s="648"/>
      <c r="AD56" s="1882"/>
      <c r="AF56" s="1882"/>
      <c r="AG56" s="1882"/>
      <c r="AH56" s="1882"/>
      <c r="AJ56" s="1882"/>
      <c r="AK56" s="568"/>
      <c r="AL56" s="1629"/>
      <c r="AM56" s="1629"/>
      <c r="AN56" s="1629"/>
      <c r="AO56" s="1629"/>
      <c r="AP56" s="1629"/>
      <c r="AQ56" s="1629"/>
      <c r="AR56" s="1629"/>
      <c r="AS56" s="1629"/>
      <c r="AT56" s="1629"/>
      <c r="AU56" s="1629"/>
      <c r="AV56" s="1629"/>
      <c r="AW56" s="1629"/>
      <c r="AX56" s="1629"/>
    </row>
    <row r="57" spans="1:50" ht="15" thickBot="1">
      <c r="A57" s="1882"/>
      <c r="B57" s="2863" t="s">
        <v>390</v>
      </c>
      <c r="C57" s="2350" t="s">
        <v>7885</v>
      </c>
      <c r="D57" s="1629"/>
      <c r="E57" s="1629"/>
      <c r="F57" s="1629"/>
      <c r="G57" s="1882"/>
      <c r="H57" s="1882"/>
      <c r="I57" s="1882"/>
      <c r="J57" s="1882"/>
      <c r="K57" s="1882"/>
      <c r="L57" s="1882"/>
      <c r="M57" s="1882"/>
      <c r="N57" s="1882"/>
      <c r="O57" s="483"/>
      <c r="P57" s="1882"/>
      <c r="Q57" s="1882"/>
      <c r="R57" s="1882"/>
      <c r="S57" s="1882"/>
      <c r="U57" s="1882"/>
      <c r="V57" s="1882"/>
      <c r="W57" s="1882"/>
      <c r="X57" s="648"/>
      <c r="Y57" s="648"/>
      <c r="Z57" s="648"/>
      <c r="AA57" s="648"/>
      <c r="AB57" s="648"/>
      <c r="AD57" s="1882"/>
      <c r="AF57" s="1882"/>
      <c r="AG57" s="1882"/>
      <c r="AH57" s="1882"/>
      <c r="AJ57" s="1882"/>
      <c r="AK57" s="2863" t="s">
        <v>175</v>
      </c>
      <c r="AL57" s="1031" t="s">
        <v>7885</v>
      </c>
      <c r="AM57" s="1629"/>
      <c r="AN57" s="1629"/>
      <c r="AO57" s="1629"/>
      <c r="AP57" s="1629"/>
      <c r="AQ57" s="1629"/>
      <c r="AR57" s="1629"/>
      <c r="AS57" s="1629"/>
      <c r="AT57" s="1629"/>
      <c r="AU57" s="1629"/>
      <c r="AV57" s="1629"/>
      <c r="AW57" s="1629"/>
      <c r="AX57" s="1629"/>
    </row>
    <row r="58" spans="1:50" ht="16">
      <c r="A58" s="1882"/>
      <c r="B58" s="2312" t="s">
        <v>8148</v>
      </c>
      <c r="C58" s="1686" t="s">
        <v>7929</v>
      </c>
      <c r="D58" s="2322"/>
      <c r="E58" s="2310" t="s">
        <v>49</v>
      </c>
      <c r="F58" s="2311">
        <v>3</v>
      </c>
      <c r="G58" s="1301"/>
      <c r="H58" s="1302"/>
      <c r="I58" s="1302"/>
      <c r="J58" s="1468">
        <f t="shared" ref="J58:J63" si="36">+SUM(G58:I58)</f>
        <v>0</v>
      </c>
      <c r="K58" s="1882"/>
      <c r="L58" s="1882"/>
      <c r="M58" s="1882"/>
      <c r="N58" s="1882"/>
      <c r="O58" s="483"/>
      <c r="P58" s="1753"/>
      <c r="Q58" s="1882"/>
      <c r="R58" s="24">
        <f xml:space="preserve"> IF( SUM( T58:AB58 ) = 0, 0, $U$4 )</f>
        <v>0</v>
      </c>
      <c r="S58" s="1161"/>
      <c r="T58" s="71"/>
      <c r="U58" s="93">
        <f>IF(Validation!$H$3=1,0,IF(ISNUMBER(G58),0,1))</f>
        <v>0</v>
      </c>
      <c r="V58" s="93">
        <f>IF(Validation!$H$3=1,0,IF(ISNUMBER(H58),0,1))</f>
        <v>0</v>
      </c>
      <c r="W58" s="93">
        <f>IF(Validation!$H$3=1,0,IF(ISNUMBER(I58),0,1))</f>
        <v>0</v>
      </c>
      <c r="X58" s="127"/>
      <c r="Y58" s="127"/>
      <c r="Z58" s="127"/>
      <c r="AA58" s="127"/>
      <c r="AB58" s="127"/>
      <c r="AC58" s="71"/>
      <c r="AD58" s="1882"/>
      <c r="AF58" s="1882"/>
      <c r="AG58" s="1882"/>
      <c r="AH58" s="1882"/>
      <c r="AJ58" s="1882"/>
      <c r="AK58" s="1305" t="s">
        <v>8050</v>
      </c>
      <c r="AL58" s="1314" t="s">
        <v>7929</v>
      </c>
      <c r="AM58" s="2332"/>
      <c r="AN58" s="2333" t="s">
        <v>49</v>
      </c>
      <c r="AO58" s="2333">
        <v>3</v>
      </c>
      <c r="AP58" s="1301" t="s">
        <v>8149</v>
      </c>
      <c r="AQ58" s="1302" t="s">
        <v>8150</v>
      </c>
      <c r="AR58" s="1302" t="s">
        <v>8151</v>
      </c>
      <c r="AS58" s="1468" t="s">
        <v>8152</v>
      </c>
      <c r="AT58" s="1629"/>
      <c r="AU58" s="1629"/>
      <c r="AV58" s="1629"/>
      <c r="AW58" s="1629"/>
      <c r="AX58" s="1629"/>
    </row>
    <row r="59" spans="1:50" ht="16">
      <c r="A59" s="1882"/>
      <c r="B59" s="2312" t="s">
        <v>8153</v>
      </c>
      <c r="C59" s="1686" t="s">
        <v>7932</v>
      </c>
      <c r="D59" s="2322"/>
      <c r="E59" s="2313" t="s">
        <v>49</v>
      </c>
      <c r="F59" s="2308">
        <v>3</v>
      </c>
      <c r="G59" s="1310"/>
      <c r="H59" s="1311"/>
      <c r="I59" s="1311"/>
      <c r="J59" s="1469">
        <f t="shared" si="36"/>
        <v>0</v>
      </c>
      <c r="K59" s="1882"/>
      <c r="L59" s="1882"/>
      <c r="M59" s="1882"/>
      <c r="N59" s="1882"/>
      <c r="O59" s="1882"/>
      <c r="P59" s="1754"/>
      <c r="Q59" s="1882"/>
      <c r="R59" s="24">
        <f xml:space="preserve"> IF( SUM( T59:AB59 ) = 0, 0, $U$4 )</f>
        <v>0</v>
      </c>
      <c r="S59" s="1161"/>
      <c r="T59" s="71"/>
      <c r="U59" s="93">
        <f>IF(Validation!$H$3=1,0,IF(ISNUMBER(G59),0,1))</f>
        <v>0</v>
      </c>
      <c r="V59" s="93">
        <f>IF(Validation!$H$3=1,0,IF(ISNUMBER(H59),0,1))</f>
        <v>0</v>
      </c>
      <c r="W59" s="93">
        <f>IF(Validation!$H$3=1,0,IF(ISNUMBER(I59),0,1))</f>
        <v>0</v>
      </c>
      <c r="X59" s="127"/>
      <c r="Y59" s="127"/>
      <c r="Z59" s="127"/>
      <c r="AA59" s="127"/>
      <c r="AB59" s="127"/>
      <c r="AC59" s="71"/>
      <c r="AD59" s="1882"/>
      <c r="AF59" s="1882"/>
      <c r="AG59" s="1882"/>
      <c r="AH59" s="1882"/>
      <c r="AJ59" s="1882"/>
      <c r="AK59" s="1305" t="s">
        <v>8051</v>
      </c>
      <c r="AL59" s="1314" t="s">
        <v>7932</v>
      </c>
      <c r="AM59" s="2334"/>
      <c r="AN59" s="2335" t="s">
        <v>49</v>
      </c>
      <c r="AO59" s="2336">
        <v>3</v>
      </c>
      <c r="AP59" s="1310" t="s">
        <v>8154</v>
      </c>
      <c r="AQ59" s="1311" t="s">
        <v>8155</v>
      </c>
      <c r="AR59" s="1311" t="s">
        <v>8156</v>
      </c>
      <c r="AS59" s="1469" t="s">
        <v>8157</v>
      </c>
      <c r="AT59" s="1629"/>
      <c r="AU59" s="1629"/>
      <c r="AV59" s="1629"/>
      <c r="AW59" s="1629"/>
      <c r="AX59" s="1629"/>
    </row>
    <row r="60" spans="1:50" ht="16">
      <c r="A60" s="1882"/>
      <c r="B60" s="2312" t="s">
        <v>8158</v>
      </c>
      <c r="C60" s="1686" t="s">
        <v>8159</v>
      </c>
      <c r="D60" s="2322"/>
      <c r="E60" s="2313" t="s">
        <v>6448</v>
      </c>
      <c r="F60" s="2308">
        <v>0</v>
      </c>
      <c r="G60" s="1324"/>
      <c r="H60" s="1325"/>
      <c r="I60" s="1325"/>
      <c r="J60" s="1867">
        <f t="shared" si="36"/>
        <v>0</v>
      </c>
      <c r="K60" s="1882"/>
      <c r="L60" s="1882"/>
      <c r="M60" s="1882"/>
      <c r="N60" s="1882"/>
      <c r="O60" s="1882"/>
      <c r="P60" s="1754"/>
      <c r="Q60" s="1882"/>
      <c r="R60" s="24">
        <f xml:space="preserve"> IF( SUM( T60:AB60 ) = 0, 0, $U$4 )</f>
        <v>0</v>
      </c>
      <c r="S60" s="1161"/>
      <c r="T60" s="71"/>
      <c r="U60" s="93">
        <f>IF(Validation!$H$3=1,0,IF(ISNUMBER(G60),0,1))</f>
        <v>0</v>
      </c>
      <c r="V60" s="93">
        <f>IF(Validation!$H$3=1,0,IF(ISNUMBER(H60),0,1))</f>
        <v>0</v>
      </c>
      <c r="W60" s="93">
        <f>IF(Validation!$H$3=1,0,IF(ISNUMBER(I60),0,1))</f>
        <v>0</v>
      </c>
      <c r="X60" s="127"/>
      <c r="Y60" s="127"/>
      <c r="Z60" s="127"/>
      <c r="AA60" s="127"/>
      <c r="AB60" s="127"/>
      <c r="AC60" s="71"/>
      <c r="AD60" s="1882"/>
      <c r="AF60" s="1882"/>
      <c r="AG60" s="1882"/>
      <c r="AH60" s="1882"/>
      <c r="AJ60" s="1882"/>
      <c r="AK60" s="1305" t="s">
        <v>8052</v>
      </c>
      <c r="AL60" s="1686" t="s">
        <v>8159</v>
      </c>
      <c r="AM60" s="2334"/>
      <c r="AN60" s="2335" t="s">
        <v>764</v>
      </c>
      <c r="AO60" s="2336">
        <v>0</v>
      </c>
      <c r="AP60" s="1324" t="s">
        <v>8160</v>
      </c>
      <c r="AQ60" s="1325" t="s">
        <v>8161</v>
      </c>
      <c r="AR60" s="1325" t="s">
        <v>8162</v>
      </c>
      <c r="AS60" s="1469" t="s">
        <v>8163</v>
      </c>
      <c r="AT60" s="1629"/>
      <c r="AU60" s="1629"/>
      <c r="AV60" s="1629"/>
      <c r="AW60" s="1629"/>
      <c r="AX60" s="1629"/>
    </row>
    <row r="61" spans="1:50" ht="16">
      <c r="A61" s="1882"/>
      <c r="B61" s="2312" t="s">
        <v>8164</v>
      </c>
      <c r="C61" s="1686" t="s">
        <v>8165</v>
      </c>
      <c r="D61" s="2322"/>
      <c r="E61" s="2313" t="s">
        <v>6448</v>
      </c>
      <c r="F61" s="2308">
        <v>0</v>
      </c>
      <c r="G61" s="1324"/>
      <c r="H61" s="1325"/>
      <c r="I61" s="1325"/>
      <c r="J61" s="1867">
        <f t="shared" si="36"/>
        <v>0</v>
      </c>
      <c r="K61" s="1882"/>
      <c r="L61" s="1882"/>
      <c r="M61" s="1882"/>
      <c r="N61" s="1882"/>
      <c r="O61" s="1882"/>
      <c r="P61" s="1754"/>
      <c r="Q61" s="1882"/>
      <c r="R61" s="24">
        <f xml:space="preserve"> IF( SUM( T61:AB61 ) = 0, 0, $U$4 )</f>
        <v>0</v>
      </c>
      <c r="S61" s="1161"/>
      <c r="T61" s="71"/>
      <c r="U61" s="93">
        <f>IF(Validation!$H$3=1,0,IF(ISNUMBER(G61),0,1))</f>
        <v>0</v>
      </c>
      <c r="V61" s="93">
        <f>IF(Validation!$H$3=1,0,IF(ISNUMBER(H61),0,1))</f>
        <v>0</v>
      </c>
      <c r="W61" s="93">
        <f>IF(Validation!$H$3=1,0,IF(ISNUMBER(I61),0,1))</f>
        <v>0</v>
      </c>
      <c r="X61" s="127"/>
      <c r="Y61" s="127"/>
      <c r="Z61" s="127"/>
      <c r="AA61" s="127"/>
      <c r="AB61" s="127"/>
      <c r="AC61" s="71"/>
      <c r="AD61" s="1882"/>
      <c r="AF61" s="1882"/>
      <c r="AG61" s="1882"/>
      <c r="AH61" s="1882"/>
      <c r="AJ61" s="1882"/>
      <c r="AK61" s="1305" t="s">
        <v>8053</v>
      </c>
      <c r="AL61" s="1686" t="s">
        <v>8165</v>
      </c>
      <c r="AM61" s="2334"/>
      <c r="AN61" s="2335" t="s">
        <v>764</v>
      </c>
      <c r="AO61" s="2336">
        <v>0</v>
      </c>
      <c r="AP61" s="1324" t="s">
        <v>8166</v>
      </c>
      <c r="AQ61" s="1325" t="s">
        <v>8167</v>
      </c>
      <c r="AR61" s="1325" t="s">
        <v>8168</v>
      </c>
      <c r="AS61" s="1469" t="s">
        <v>8169</v>
      </c>
      <c r="AT61" s="1629"/>
      <c r="AU61" s="1629"/>
      <c r="AV61" s="1629"/>
      <c r="AW61" s="1629"/>
      <c r="AX61" s="1629"/>
    </row>
    <row r="62" spans="1:50" ht="16.5" thickBot="1">
      <c r="A62" s="1882"/>
      <c r="B62" s="2312" t="s">
        <v>8170</v>
      </c>
      <c r="C62" s="1686" t="s">
        <v>8171</v>
      </c>
      <c r="D62" s="2322"/>
      <c r="E62" s="2314" t="s">
        <v>49</v>
      </c>
      <c r="F62" s="2308">
        <v>3</v>
      </c>
      <c r="G62" s="1316"/>
      <c r="H62" s="1311"/>
      <c r="I62" s="1317"/>
      <c r="J62" s="1469">
        <f t="shared" si="36"/>
        <v>0</v>
      </c>
      <c r="K62" s="1882"/>
      <c r="L62" s="1882"/>
      <c r="M62" s="1882"/>
      <c r="N62" s="1882"/>
      <c r="O62" s="1882"/>
      <c r="P62" s="1756"/>
      <c r="Q62" s="1882"/>
      <c r="R62" s="24">
        <f xml:space="preserve"> IF( SUM( T62:AB62 ) = 0, 0, $U$4 )</f>
        <v>0</v>
      </c>
      <c r="S62" s="1161"/>
      <c r="T62" s="71"/>
      <c r="U62" s="93">
        <f>IF(Validation!$H$3=1,0,IF(ISNUMBER(G62),0,1))</f>
        <v>0</v>
      </c>
      <c r="V62" s="93">
        <f>IF(Validation!$H$3=1,0,IF(ISNUMBER(H62),0,1))</f>
        <v>0</v>
      </c>
      <c r="W62" s="93">
        <f>IF(Validation!$H$3=1,0,IF(ISNUMBER(I62),0,1))</f>
        <v>0</v>
      </c>
      <c r="X62" s="127"/>
      <c r="Y62" s="127"/>
      <c r="Z62" s="127"/>
      <c r="AA62" s="127"/>
      <c r="AB62" s="127"/>
      <c r="AC62" s="71"/>
      <c r="AD62" s="1882"/>
      <c r="AF62" s="1882"/>
      <c r="AG62" s="1882"/>
      <c r="AH62" s="1882"/>
      <c r="AJ62" s="1882"/>
      <c r="AK62" s="1305" t="s">
        <v>8065</v>
      </c>
      <c r="AL62" s="1314" t="s">
        <v>8171</v>
      </c>
      <c r="AM62" s="2334"/>
      <c r="AN62" s="2337" t="s">
        <v>1653</v>
      </c>
      <c r="AO62" s="2336">
        <v>0</v>
      </c>
      <c r="AP62" s="1335" t="s">
        <v>8172</v>
      </c>
      <c r="AQ62" s="1325" t="s">
        <v>8173</v>
      </c>
      <c r="AR62" s="1336" t="s">
        <v>8174</v>
      </c>
      <c r="AS62" s="1469" t="s">
        <v>8175</v>
      </c>
      <c r="AT62" s="1629"/>
      <c r="AU62" s="1629"/>
      <c r="AV62" s="1629"/>
      <c r="AW62" s="1629"/>
      <c r="AX62" s="1629"/>
    </row>
    <row r="63" spans="1:50" ht="14.5" thickBot="1">
      <c r="A63" s="1882"/>
      <c r="B63" s="2317" t="s">
        <v>8176</v>
      </c>
      <c r="C63" s="1698" t="s">
        <v>8177</v>
      </c>
      <c r="D63" s="2324"/>
      <c r="E63" s="2318" t="s">
        <v>49</v>
      </c>
      <c r="F63" s="2319">
        <v>3</v>
      </c>
      <c r="G63" s="1326"/>
      <c r="H63" s="1327"/>
      <c r="I63" s="1327"/>
      <c r="J63" s="1470">
        <f t="shared" si="36"/>
        <v>0</v>
      </c>
      <c r="K63" s="1882"/>
      <c r="L63" s="1882"/>
      <c r="M63" s="1882"/>
      <c r="N63" s="1882"/>
      <c r="O63" s="1882"/>
      <c r="P63" s="1882"/>
      <c r="Q63" s="1882"/>
      <c r="R63" s="1882"/>
      <c r="S63" s="1882"/>
      <c r="U63" s="1882"/>
      <c r="V63" s="1882"/>
      <c r="W63" s="1882"/>
      <c r="X63" s="648"/>
      <c r="Y63" s="648"/>
      <c r="Z63" s="648"/>
      <c r="AA63" s="648"/>
      <c r="AB63" s="648"/>
      <c r="AD63" s="1882"/>
      <c r="AF63" s="1882"/>
      <c r="AG63" s="1882"/>
      <c r="AH63" s="1882"/>
      <c r="AJ63" s="1882"/>
      <c r="AK63" s="1318" t="s">
        <v>8077</v>
      </c>
      <c r="AL63" s="1457" t="s">
        <v>8177</v>
      </c>
      <c r="AM63" s="2338"/>
      <c r="AN63" s="2339" t="s">
        <v>1653</v>
      </c>
      <c r="AO63" s="2340">
        <v>0</v>
      </c>
      <c r="AP63" s="1337" t="s">
        <v>8178</v>
      </c>
      <c r="AQ63" s="1338" t="s">
        <v>8179</v>
      </c>
      <c r="AR63" s="1338" t="s">
        <v>8180</v>
      </c>
      <c r="AS63" s="1470" t="s">
        <v>8181</v>
      </c>
      <c r="AT63" s="1629"/>
      <c r="AU63" s="1629"/>
      <c r="AV63" s="1629"/>
      <c r="AW63" s="1629"/>
      <c r="AX63" s="1629"/>
    </row>
    <row r="64" spans="1:50" ht="14.5" thickBot="1">
      <c r="A64" s="1293"/>
      <c r="B64" s="2327"/>
      <c r="C64" s="2028"/>
      <c r="D64" s="2028"/>
      <c r="E64" s="2028"/>
      <c r="F64" s="2028"/>
      <c r="G64" s="1328"/>
      <c r="H64" s="1328"/>
      <c r="I64" s="1328"/>
      <c r="J64" s="1293"/>
      <c r="K64" s="1882"/>
      <c r="L64" s="1882"/>
      <c r="M64" s="1882"/>
      <c r="N64" s="1882"/>
      <c r="O64" s="1882"/>
      <c r="P64" s="1882"/>
      <c r="Q64" s="1882"/>
      <c r="R64" s="1882"/>
      <c r="S64" s="1882"/>
      <c r="U64" s="1882"/>
      <c r="V64" s="1882"/>
      <c r="W64" s="1882"/>
      <c r="X64" s="648"/>
      <c r="Y64" s="648"/>
      <c r="Z64" s="648"/>
      <c r="AA64" s="648"/>
      <c r="AB64" s="648"/>
      <c r="AD64" s="1882"/>
      <c r="AF64" s="1882"/>
      <c r="AG64" s="1882"/>
      <c r="AH64" s="1882"/>
      <c r="AJ64" s="1882"/>
      <c r="AK64" s="1294"/>
      <c r="AL64" s="2028"/>
      <c r="AM64" s="2028"/>
      <c r="AN64" s="2028"/>
      <c r="AO64" s="2028"/>
      <c r="AP64" s="2028"/>
      <c r="AQ64" s="2028"/>
      <c r="AR64" s="2028"/>
      <c r="AS64" s="2028"/>
      <c r="AT64" s="1629"/>
      <c r="AU64" s="1629"/>
      <c r="AV64" s="1629"/>
      <c r="AW64" s="1629"/>
      <c r="AX64" s="1629"/>
    </row>
    <row r="65" spans="1:50" ht="15" thickBot="1">
      <c r="A65" s="1882"/>
      <c r="B65" s="2863" t="s">
        <v>464</v>
      </c>
      <c r="C65" s="2351" t="s">
        <v>6112</v>
      </c>
      <c r="D65" s="1629"/>
      <c r="E65" s="1629"/>
      <c r="F65" s="1629"/>
      <c r="G65" s="1329"/>
      <c r="H65" s="1329"/>
      <c r="I65" s="1329"/>
      <c r="J65" s="1882"/>
      <c r="K65" s="1882"/>
      <c r="L65" s="1882"/>
      <c r="M65" s="1882"/>
      <c r="N65" s="1882"/>
      <c r="O65" s="1882"/>
      <c r="P65" s="1882"/>
      <c r="Q65" s="1882"/>
      <c r="R65" s="1882"/>
      <c r="S65" s="1882"/>
      <c r="U65" s="1882"/>
      <c r="V65" s="1882"/>
      <c r="W65" s="1882"/>
      <c r="X65" s="648"/>
      <c r="Y65" s="648"/>
      <c r="Z65" s="648"/>
      <c r="AA65" s="648"/>
      <c r="AB65" s="648"/>
      <c r="AD65" s="1882"/>
      <c r="AF65" s="1882"/>
      <c r="AG65" s="1882"/>
      <c r="AH65" s="1882"/>
      <c r="AJ65" s="1882"/>
      <c r="AK65" s="2863" t="s">
        <v>390</v>
      </c>
      <c r="AL65" s="1153" t="s">
        <v>6112</v>
      </c>
      <c r="AM65" s="1629"/>
      <c r="AN65" s="1629"/>
      <c r="AO65" s="1629"/>
      <c r="AP65" s="1629"/>
      <c r="AQ65" s="1629"/>
      <c r="AR65" s="1629"/>
      <c r="AS65" s="1629"/>
      <c r="AT65" s="1629"/>
      <c r="AU65" s="1629"/>
      <c r="AV65" s="1629"/>
      <c r="AW65" s="1629"/>
      <c r="AX65" s="1629"/>
    </row>
    <row r="66" spans="1:50" ht="16">
      <c r="A66" s="1882"/>
      <c r="B66" s="2312" t="s">
        <v>8182</v>
      </c>
      <c r="C66" s="2304" t="s">
        <v>7946</v>
      </c>
      <c r="D66" s="2321"/>
      <c r="E66" s="2328" t="s">
        <v>49</v>
      </c>
      <c r="F66" s="2311">
        <v>3</v>
      </c>
      <c r="G66" s="1458"/>
      <c r="H66" s="1302"/>
      <c r="I66" s="1459"/>
      <c r="J66" s="1468">
        <f>+SUM(G66:I66)</f>
        <v>0</v>
      </c>
      <c r="K66" s="1882"/>
      <c r="L66" s="1882"/>
      <c r="M66" s="1882"/>
      <c r="N66" s="1882"/>
      <c r="O66" s="1882"/>
      <c r="P66" s="1757"/>
      <c r="Q66" s="1882"/>
      <c r="R66" s="24">
        <f xml:space="preserve"> IF( SUM( T66:AB66 ) = 0, 0, $U$4 )</f>
        <v>0</v>
      </c>
      <c r="S66" s="1161"/>
      <c r="T66" s="71"/>
      <c r="U66" s="93">
        <f>IF(Validation!$H$3=1,0,IF(ISNUMBER(G66),0,1))</f>
        <v>0</v>
      </c>
      <c r="V66" s="93">
        <f>IF(Validation!$H$3=1,0,IF(ISNUMBER(H66),0,1))</f>
        <v>0</v>
      </c>
      <c r="W66" s="93">
        <f>IF(Validation!$H$3=1,0,IF(ISNUMBER(I66),0,1))</f>
        <v>0</v>
      </c>
      <c r="X66" s="127"/>
      <c r="Y66" s="127"/>
      <c r="Z66" s="127"/>
      <c r="AA66" s="127"/>
      <c r="AB66" s="127"/>
      <c r="AC66" s="71"/>
      <c r="AD66" s="1882"/>
      <c r="AF66" s="1882"/>
      <c r="AG66" s="1882"/>
      <c r="AH66" s="1882"/>
      <c r="AJ66" s="1882"/>
      <c r="AK66" s="1305" t="s">
        <v>8078</v>
      </c>
      <c r="AL66" s="1297" t="s">
        <v>7946</v>
      </c>
      <c r="AM66" s="1298"/>
      <c r="AN66" s="1462" t="s">
        <v>1653</v>
      </c>
      <c r="AO66" s="1300">
        <v>0</v>
      </c>
      <c r="AP66" s="1465" t="s">
        <v>8183</v>
      </c>
      <c r="AQ66" s="1466" t="s">
        <v>8184</v>
      </c>
      <c r="AR66" s="1467" t="s">
        <v>8185</v>
      </c>
      <c r="AS66" s="1468" t="s">
        <v>8186</v>
      </c>
      <c r="AT66" s="1882"/>
      <c r="AU66" s="1882"/>
      <c r="AV66" s="1882"/>
      <c r="AW66" s="1882"/>
      <c r="AX66" s="1882"/>
    </row>
    <row r="67" spans="1:50" ht="16">
      <c r="A67" s="1882"/>
      <c r="B67" s="2312" t="s">
        <v>8187</v>
      </c>
      <c r="C67" s="1686" t="s">
        <v>8188</v>
      </c>
      <c r="D67" s="2322"/>
      <c r="E67" s="2314" t="s">
        <v>49</v>
      </c>
      <c r="F67" s="2308">
        <v>3</v>
      </c>
      <c r="G67" s="1316"/>
      <c r="H67" s="1311"/>
      <c r="I67" s="1317"/>
      <c r="J67" s="1469">
        <f>+SUM(G67:I67)</f>
        <v>0</v>
      </c>
      <c r="K67" s="1882"/>
      <c r="L67" s="1882"/>
      <c r="M67" s="1882"/>
      <c r="N67" s="1882"/>
      <c r="O67" s="1882"/>
      <c r="P67" s="1754"/>
      <c r="Q67" s="1882"/>
      <c r="R67" s="24">
        <f xml:space="preserve"> IF( SUM( T67:AB67 ) = 0, 0, $U$4 )</f>
        <v>0</v>
      </c>
      <c r="S67" s="1161"/>
      <c r="T67" s="71"/>
      <c r="U67" s="93">
        <f>IF(Validation!$H$3=1,0,IF(ISNUMBER(G67),0,1))</f>
        <v>0</v>
      </c>
      <c r="V67" s="93">
        <f>IF(Validation!$H$3=1,0,IF(ISNUMBER(H67),0,1))</f>
        <v>0</v>
      </c>
      <c r="W67" s="93">
        <f>IF(Validation!$H$3=1,0,IF(ISNUMBER(I67),0,1))</f>
        <v>0</v>
      </c>
      <c r="X67" s="127"/>
      <c r="Y67" s="127"/>
      <c r="Z67" s="127"/>
      <c r="AA67" s="127"/>
      <c r="AB67" s="127"/>
      <c r="AC67" s="71"/>
      <c r="AD67" s="1882"/>
      <c r="AF67" s="1882"/>
      <c r="AG67" s="1882"/>
      <c r="AH67" s="1882"/>
      <c r="AJ67" s="1882"/>
      <c r="AK67" s="1305" t="s">
        <v>8088</v>
      </c>
      <c r="AL67" s="1306" t="s">
        <v>8188</v>
      </c>
      <c r="AM67" s="1307"/>
      <c r="AN67" s="1315" t="s">
        <v>1653</v>
      </c>
      <c r="AO67" s="1309">
        <v>0</v>
      </c>
      <c r="AP67" s="1335" t="s">
        <v>8189</v>
      </c>
      <c r="AQ67" s="1325" t="s">
        <v>8190</v>
      </c>
      <c r="AR67" s="1336" t="s">
        <v>8191</v>
      </c>
      <c r="AS67" s="1469" t="s">
        <v>8192</v>
      </c>
      <c r="AT67" s="1882"/>
      <c r="AU67" s="1882"/>
      <c r="AV67" s="1882"/>
      <c r="AW67" s="1882"/>
      <c r="AX67" s="1882"/>
    </row>
    <row r="68" spans="1:50" ht="16.5" thickBot="1">
      <c r="A68" s="1882"/>
      <c r="B68" s="2317" t="s">
        <v>8193</v>
      </c>
      <c r="C68" s="1698" t="s">
        <v>7955</v>
      </c>
      <c r="D68" s="2324"/>
      <c r="E68" s="2318" t="s">
        <v>49</v>
      </c>
      <c r="F68" s="2319">
        <v>3</v>
      </c>
      <c r="G68" s="1326"/>
      <c r="H68" s="1327"/>
      <c r="I68" s="1327"/>
      <c r="J68" s="1471">
        <f>+SUM(G68:I68)</f>
        <v>0</v>
      </c>
      <c r="K68" s="1882"/>
      <c r="L68" s="1882"/>
      <c r="M68" s="1882"/>
      <c r="N68" s="1882"/>
      <c r="O68" s="1882"/>
      <c r="P68" s="1756"/>
      <c r="Q68" s="1882"/>
      <c r="R68" s="1339">
        <f>IF(SUM(T68:AB68)&lt;&gt;0,$U$4,IF(SUM(AC68:AE68)=0,0,$AH$68))</f>
        <v>0</v>
      </c>
      <c r="S68" s="1161"/>
      <c r="T68" s="71"/>
      <c r="U68" s="93">
        <f>IF(Validation!$H$3=1,0,IF(ISNUMBER(G68),0,1))</f>
        <v>0</v>
      </c>
      <c r="V68" s="93">
        <f>IF(Validation!$H$3=1,0,IF(ISNUMBER(H68),0,1))</f>
        <v>0</v>
      </c>
      <c r="W68" s="93">
        <f>IF(Validation!$H$3=1,0,IF(ISNUMBER(I68),0,1))</f>
        <v>0</v>
      </c>
      <c r="X68" s="127"/>
      <c r="Y68" s="127"/>
      <c r="Z68" s="127"/>
      <c r="AA68" s="127"/>
      <c r="AB68" s="127"/>
      <c r="AC68" s="71"/>
      <c r="AD68" s="93">
        <f xml:space="preserve"> IF( (AF68 - AG68) = 0, 0, 1 )</f>
        <v>0</v>
      </c>
      <c r="AE68" s="124"/>
      <c r="AF68" s="112">
        <f>+J68+J67+J66</f>
        <v>0</v>
      </c>
      <c r="AG68" s="112">
        <f>+'4E'!O9</f>
        <v>0</v>
      </c>
      <c r="AH68" s="139" t="s">
        <v>8194</v>
      </c>
      <c r="AI68" s="124"/>
      <c r="AJ68" s="1882"/>
      <c r="AK68" s="1318" t="s">
        <v>8100</v>
      </c>
      <c r="AL68" s="1319" t="s">
        <v>7955</v>
      </c>
      <c r="AM68" s="1320"/>
      <c r="AN68" s="1321" t="s">
        <v>1653</v>
      </c>
      <c r="AO68" s="1322">
        <v>0</v>
      </c>
      <c r="AP68" s="1337" t="s">
        <v>8195</v>
      </c>
      <c r="AQ68" s="1338" t="s">
        <v>8196</v>
      </c>
      <c r="AR68" s="1338" t="s">
        <v>8197</v>
      </c>
      <c r="AS68" s="1471" t="s">
        <v>8198</v>
      </c>
      <c r="AT68" s="1882"/>
      <c r="AU68" s="1882"/>
      <c r="AV68" s="1882"/>
      <c r="AW68" s="1882"/>
      <c r="AX68" s="1882"/>
    </row>
    <row r="69" spans="1:50">
      <c r="A69" s="1882"/>
      <c r="B69" s="1629"/>
      <c r="C69" s="1629"/>
      <c r="D69" s="1629"/>
      <c r="E69" s="1629"/>
      <c r="F69" s="1629"/>
      <c r="G69" s="1882"/>
      <c r="H69" s="1882"/>
      <c r="I69" s="1882"/>
      <c r="J69" s="1882"/>
      <c r="K69" s="1882"/>
      <c r="L69" s="1882"/>
      <c r="M69" s="1882"/>
      <c r="N69" s="1882"/>
      <c r="O69" s="1882"/>
      <c r="P69" s="1882"/>
      <c r="Q69" s="1882"/>
      <c r="R69" s="1882"/>
      <c r="S69" s="1882"/>
      <c r="U69" s="1882"/>
      <c r="V69" s="1882"/>
      <c r="W69" s="1882"/>
      <c r="X69" s="648"/>
      <c r="Y69" s="648"/>
      <c r="Z69" s="648"/>
      <c r="AA69" s="648"/>
      <c r="AB69" s="648"/>
      <c r="AD69" s="1882"/>
      <c r="AF69" s="1882"/>
      <c r="AG69" s="1882"/>
      <c r="AH69" s="1882"/>
      <c r="AJ69" s="1882"/>
      <c r="AK69" s="1882"/>
      <c r="AL69" s="1882"/>
      <c r="AM69" s="1882"/>
      <c r="AN69" s="1882"/>
      <c r="AO69" s="1882"/>
      <c r="AP69" s="1882"/>
      <c r="AQ69" s="1882"/>
      <c r="AR69" s="1882"/>
      <c r="AS69" s="1882"/>
      <c r="AT69" s="1882"/>
      <c r="AU69" s="1882"/>
      <c r="AV69" s="1882"/>
      <c r="AW69" s="1882"/>
      <c r="AX69" s="1882"/>
    </row>
    <row r="70" spans="1:50" ht="16">
      <c r="A70" s="1882"/>
      <c r="B70" s="3381" t="s">
        <v>241</v>
      </c>
      <c r="C70" s="3381"/>
      <c r="D70" s="2329"/>
      <c r="E70" s="997"/>
      <c r="F70" s="998"/>
      <c r="G70" s="1882"/>
      <c r="H70" s="1882"/>
      <c r="I70" s="1882"/>
      <c r="J70" s="1882"/>
      <c r="K70" s="1882"/>
      <c r="L70" s="1882"/>
      <c r="M70" s="1882"/>
      <c r="N70" s="1882"/>
      <c r="O70" s="1882"/>
      <c r="P70" s="1882"/>
      <c r="Q70" s="1882"/>
      <c r="R70" s="1882"/>
      <c r="S70" s="1882"/>
      <c r="U70" s="1882"/>
      <c r="V70" s="1882"/>
      <c r="W70" s="1882"/>
      <c r="X70" s="1882"/>
      <c r="Y70" s="1882"/>
      <c r="Z70" s="1882"/>
      <c r="AA70" s="1882"/>
      <c r="AB70" s="1882"/>
      <c r="AD70" s="1882"/>
      <c r="AF70" s="1882"/>
      <c r="AG70" s="1882"/>
      <c r="AH70" s="1882"/>
      <c r="AJ70" s="1882"/>
      <c r="AK70" s="1882"/>
      <c r="AL70" s="1882"/>
      <c r="AM70" s="1882"/>
      <c r="AN70" s="1882"/>
      <c r="AO70" s="1882"/>
      <c r="AP70" s="1882"/>
      <c r="AQ70" s="1882"/>
      <c r="AR70" s="1882"/>
      <c r="AS70" s="1882"/>
      <c r="AT70" s="1882"/>
      <c r="AU70" s="1882"/>
      <c r="AV70" s="1882"/>
      <c r="AW70" s="1882"/>
      <c r="AX70" s="1882"/>
    </row>
    <row r="71" spans="1:50">
      <c r="A71" s="1882"/>
      <c r="B71" s="995"/>
      <c r="C71" s="2330"/>
      <c r="D71" s="2329"/>
      <c r="E71" s="997"/>
      <c r="F71" s="998"/>
      <c r="G71" s="1880"/>
      <c r="H71" s="1880"/>
      <c r="I71" s="1880"/>
      <c r="J71" s="1880"/>
      <c r="K71" s="1880"/>
      <c r="L71" s="1880"/>
      <c r="M71" s="1880"/>
      <c r="N71" s="1880"/>
      <c r="O71" s="1880"/>
      <c r="P71" s="1788"/>
      <c r="Q71" s="1788"/>
      <c r="R71" s="1279"/>
      <c r="S71" s="1279"/>
      <c r="T71" s="1637"/>
      <c r="U71" s="1279"/>
      <c r="V71" s="1279"/>
      <c r="W71" s="192"/>
      <c r="X71" s="192"/>
      <c r="Y71" s="1882"/>
      <c r="Z71" s="1882"/>
      <c r="AA71" s="1882"/>
      <c r="AB71" s="1882"/>
      <c r="AD71" s="1882"/>
      <c r="AF71" s="1882"/>
      <c r="AG71" s="1882"/>
      <c r="AH71" s="1882"/>
      <c r="AJ71" s="1882"/>
      <c r="AK71" s="1882"/>
      <c r="AL71" s="1882"/>
      <c r="AM71" s="1882"/>
      <c r="AN71" s="1882"/>
      <c r="AO71" s="1882"/>
      <c r="AP71" s="1882"/>
      <c r="AQ71" s="1882"/>
      <c r="AR71" s="1882"/>
      <c r="AS71" s="1882"/>
      <c r="AT71" s="1882"/>
      <c r="AU71" s="1882"/>
      <c r="AV71" s="1882"/>
      <c r="AW71" s="1882"/>
      <c r="AX71" s="1882"/>
    </row>
    <row r="72" spans="1:50" ht="16">
      <c r="A72" s="1882"/>
      <c r="B72" s="1218"/>
      <c r="C72" s="1096" t="s">
        <v>188</v>
      </c>
      <c r="D72" s="930"/>
      <c r="E72" s="1187"/>
      <c r="F72" s="1187"/>
      <c r="G72" s="1187"/>
      <c r="H72" s="1187"/>
      <c r="I72" s="1187"/>
      <c r="J72" s="1187"/>
      <c r="K72" s="1187"/>
      <c r="L72" s="1187"/>
      <c r="M72" s="1187"/>
      <c r="N72" s="1187"/>
      <c r="O72" s="1187"/>
      <c r="P72" s="1187"/>
      <c r="Q72" s="1187"/>
      <c r="R72" s="1279"/>
      <c r="S72" s="1279"/>
      <c r="T72" s="1637"/>
      <c r="U72" s="1279"/>
      <c r="V72" s="1279"/>
      <c r="W72" s="1330"/>
      <c r="X72" s="1330"/>
      <c r="Y72" s="1882"/>
      <c r="Z72" s="1882"/>
      <c r="AA72" s="1882"/>
      <c r="AB72" s="1882"/>
      <c r="AD72" s="1882"/>
      <c r="AF72" s="1882"/>
      <c r="AG72" s="1882"/>
      <c r="AH72" s="1882"/>
      <c r="AJ72" s="1882"/>
      <c r="AK72" s="1882"/>
      <c r="AL72" s="1882"/>
      <c r="AM72" s="1882"/>
      <c r="AN72" s="1882"/>
      <c r="AO72" s="1882"/>
      <c r="AP72" s="1882"/>
      <c r="AQ72" s="1882"/>
      <c r="AR72" s="1882"/>
      <c r="AS72" s="1882"/>
      <c r="AT72" s="1882"/>
      <c r="AU72" s="1882"/>
      <c r="AV72" s="1882"/>
      <c r="AW72" s="1882"/>
      <c r="AX72" s="1882"/>
    </row>
    <row r="73" spans="1:50" ht="16">
      <c r="A73" s="1882"/>
      <c r="B73" s="1161"/>
      <c r="C73" s="1161"/>
      <c r="D73" s="1161"/>
      <c r="E73" s="1161"/>
      <c r="F73" s="1161"/>
      <c r="G73" s="1161"/>
      <c r="H73" s="1161"/>
      <c r="I73" s="1161"/>
      <c r="J73" s="1161"/>
      <c r="K73" s="1161"/>
      <c r="L73" s="1161"/>
      <c r="M73" s="1161"/>
      <c r="N73" s="1161"/>
      <c r="O73" s="1161"/>
      <c r="P73" s="1161"/>
      <c r="Q73" s="1161"/>
      <c r="R73" s="1161"/>
      <c r="S73" s="1161"/>
      <c r="T73" s="1638"/>
      <c r="U73" s="1161"/>
      <c r="V73" s="1161"/>
      <c r="W73" s="1161"/>
      <c r="X73" s="1161"/>
      <c r="Y73" s="1882"/>
      <c r="Z73" s="1882"/>
      <c r="AA73" s="1882"/>
      <c r="AB73" s="1882"/>
      <c r="AD73" s="1882"/>
      <c r="AF73" s="1882"/>
      <c r="AG73" s="1882"/>
      <c r="AH73" s="1882"/>
      <c r="AJ73" s="1882"/>
      <c r="AK73" s="1882"/>
      <c r="AL73" s="1882"/>
      <c r="AM73" s="1882"/>
      <c r="AN73" s="1882"/>
      <c r="AO73" s="1882"/>
      <c r="AP73" s="1882"/>
      <c r="AQ73" s="1882"/>
      <c r="AR73" s="1882"/>
      <c r="AS73" s="1882"/>
      <c r="AT73" s="1882"/>
      <c r="AU73" s="1882"/>
      <c r="AV73" s="1882"/>
      <c r="AW73" s="1882"/>
      <c r="AX73" s="1882"/>
    </row>
    <row r="74" spans="1:50" ht="16">
      <c r="A74" s="1882"/>
      <c r="B74" s="931"/>
      <c r="C74" s="1220" t="s">
        <v>4346</v>
      </c>
      <c r="D74" s="1189"/>
      <c r="E74" s="1189"/>
      <c r="F74" s="1189"/>
      <c r="G74" s="1189"/>
      <c r="H74" s="1189"/>
      <c r="I74" s="1189"/>
      <c r="J74" s="1189"/>
      <c r="K74" s="1189"/>
      <c r="L74" s="1189"/>
      <c r="M74" s="1189"/>
      <c r="N74" s="1189"/>
      <c r="O74" s="1189"/>
      <c r="P74" s="1189"/>
      <c r="Q74" s="1189"/>
      <c r="R74" s="1189"/>
      <c r="S74" s="1189"/>
      <c r="T74" s="1639"/>
      <c r="U74" s="1189"/>
      <c r="V74" s="1189"/>
      <c r="W74" s="1189"/>
      <c r="X74" s="1189"/>
      <c r="Y74" s="1882"/>
      <c r="Z74" s="1882"/>
      <c r="AA74" s="1882"/>
      <c r="AB74" s="1882"/>
      <c r="AD74" s="1882"/>
      <c r="AF74" s="1882"/>
      <c r="AG74" s="1882"/>
      <c r="AH74" s="1882"/>
      <c r="AJ74" s="1882"/>
      <c r="AK74" s="1882"/>
      <c r="AL74" s="1882"/>
      <c r="AM74" s="1882"/>
      <c r="AN74" s="1882"/>
      <c r="AO74" s="1882"/>
      <c r="AP74" s="1882"/>
      <c r="AQ74" s="1882"/>
      <c r="AR74" s="1882"/>
      <c r="AS74" s="1882"/>
      <c r="AT74" s="1882"/>
      <c r="AU74" s="1882"/>
      <c r="AV74" s="1882"/>
      <c r="AW74" s="1882"/>
      <c r="AX74" s="1882"/>
    </row>
    <row r="75" spans="1:50">
      <c r="A75" s="1882"/>
      <c r="B75" s="568"/>
      <c r="C75" s="1882"/>
      <c r="D75" s="1882"/>
      <c r="E75" s="1882"/>
      <c r="F75" s="1882"/>
      <c r="G75" s="1882"/>
      <c r="H75" s="1882"/>
      <c r="I75" s="1882"/>
      <c r="J75" s="1882"/>
      <c r="K75" s="1882"/>
      <c r="L75" s="1882"/>
      <c r="M75" s="1882"/>
      <c r="N75" s="1882"/>
      <c r="O75" s="1882"/>
      <c r="P75" s="1882"/>
      <c r="Q75" s="1882"/>
      <c r="R75" s="1882"/>
      <c r="S75" s="1882"/>
      <c r="U75" s="1882"/>
      <c r="V75" s="1882"/>
      <c r="W75" s="1882"/>
      <c r="X75" s="1882"/>
      <c r="Y75" s="1882"/>
      <c r="Z75" s="1882"/>
      <c r="AA75" s="1882"/>
      <c r="AB75" s="1882"/>
      <c r="AD75" s="1882"/>
      <c r="AF75" s="1882"/>
      <c r="AG75" s="1882"/>
      <c r="AH75" s="1882"/>
      <c r="AJ75" s="1882"/>
      <c r="AK75" s="1882"/>
      <c r="AL75" s="1882"/>
      <c r="AM75" s="1882"/>
      <c r="AN75" s="1882"/>
      <c r="AO75" s="1882"/>
      <c r="AP75" s="1882"/>
      <c r="AQ75" s="1882"/>
      <c r="AR75" s="1882"/>
      <c r="AS75" s="1882"/>
      <c r="AT75" s="1882"/>
      <c r="AU75" s="1882"/>
      <c r="AV75" s="1882"/>
      <c r="AW75" s="1882"/>
      <c r="AX75" s="1882"/>
    </row>
    <row r="76" spans="1:50" ht="14.5" thickBot="1">
      <c r="A76" s="1882"/>
      <c r="B76" s="568"/>
      <c r="C76" s="1882"/>
      <c r="D76" s="1882"/>
      <c r="E76" s="1882"/>
      <c r="F76" s="1882"/>
      <c r="G76" s="1882"/>
      <c r="H76" s="1882"/>
      <c r="I76" s="1882"/>
      <c r="J76" s="1882"/>
      <c r="K76" s="1882"/>
      <c r="L76" s="1882"/>
      <c r="M76" s="1882"/>
      <c r="N76" s="1882"/>
      <c r="O76" s="1882"/>
      <c r="P76" s="1882"/>
      <c r="Q76" s="1882"/>
      <c r="R76" s="1882"/>
      <c r="S76" s="1882"/>
      <c r="U76" s="1882"/>
      <c r="V76" s="1882"/>
      <c r="W76" s="1882"/>
      <c r="X76" s="1882"/>
      <c r="Y76" s="1882"/>
      <c r="Z76" s="1882"/>
      <c r="AA76" s="1882"/>
      <c r="AB76" s="1882"/>
      <c r="AD76" s="1882"/>
      <c r="AF76" s="1882"/>
      <c r="AG76" s="1882"/>
      <c r="AH76" s="1882"/>
      <c r="AJ76" s="1882"/>
      <c r="AK76" s="1882"/>
      <c r="AL76" s="1882"/>
      <c r="AM76" s="1882"/>
      <c r="AN76" s="1882"/>
      <c r="AO76" s="1882"/>
      <c r="AP76" s="1882"/>
      <c r="AQ76" s="1882"/>
      <c r="AR76" s="1882"/>
      <c r="AS76" s="1882"/>
      <c r="AT76" s="1882"/>
      <c r="AU76" s="1882"/>
      <c r="AV76" s="1882"/>
      <c r="AW76" s="1882"/>
      <c r="AX76" s="1882"/>
    </row>
    <row r="77" spans="1:50" ht="20.5" thickBot="1">
      <c r="A77" s="1882"/>
      <c r="B77" s="2886" t="s">
        <v>190</v>
      </c>
      <c r="C77" s="147"/>
      <c r="D77" s="148"/>
      <c r="E77" s="148"/>
      <c r="F77" s="148"/>
      <c r="G77" s="148"/>
      <c r="H77" s="148"/>
      <c r="I77" s="148"/>
      <c r="J77" s="148"/>
      <c r="K77" s="154"/>
      <c r="L77" s="1882"/>
      <c r="M77" s="1882"/>
      <c r="N77" s="1882"/>
      <c r="O77" s="1882"/>
      <c r="P77" s="1882"/>
      <c r="Q77" s="1882"/>
      <c r="R77" s="1882"/>
      <c r="S77" s="1882"/>
      <c r="U77" s="1882"/>
      <c r="V77" s="1882"/>
      <c r="W77" s="1882"/>
      <c r="X77" s="1882"/>
      <c r="Y77" s="1882"/>
      <c r="Z77" s="1882"/>
      <c r="AA77" s="1882"/>
      <c r="AB77" s="1882"/>
      <c r="AD77" s="1882"/>
      <c r="AF77" s="1882"/>
      <c r="AG77" s="1882"/>
      <c r="AH77" s="1882"/>
      <c r="AJ77" s="1882"/>
      <c r="AK77" s="1882"/>
      <c r="AL77" s="1882"/>
      <c r="AM77" s="1882"/>
      <c r="AN77" s="1882"/>
      <c r="AO77" s="1882"/>
      <c r="AP77" s="1882"/>
      <c r="AQ77" s="1882"/>
      <c r="AR77" s="1882"/>
      <c r="AS77" s="1882"/>
      <c r="AT77" s="1882"/>
      <c r="AU77" s="1882"/>
      <c r="AV77" s="1882"/>
      <c r="AW77" s="1882"/>
      <c r="AX77" s="1882"/>
    </row>
    <row r="78" spans="1:50">
      <c r="A78" s="1882"/>
      <c r="B78" s="568"/>
      <c r="C78" s="1882"/>
      <c r="D78" s="1882"/>
      <c r="E78" s="1882"/>
      <c r="F78" s="1882"/>
      <c r="G78" s="1882"/>
      <c r="H78" s="1882"/>
      <c r="I78" s="1882"/>
      <c r="J78" s="1882"/>
      <c r="K78" s="1882"/>
      <c r="L78" s="1882"/>
      <c r="M78" s="1882"/>
      <c r="N78" s="1882"/>
      <c r="O78" s="1882"/>
      <c r="P78" s="1882"/>
      <c r="Q78" s="1882"/>
      <c r="R78" s="1882"/>
      <c r="S78" s="1882"/>
      <c r="U78" s="1882"/>
      <c r="V78" s="1882"/>
      <c r="W78" s="1882"/>
      <c r="X78" s="1882"/>
      <c r="Y78" s="1882"/>
      <c r="Z78" s="1882"/>
      <c r="AA78" s="1882"/>
      <c r="AB78" s="1882"/>
      <c r="AD78" s="1882"/>
      <c r="AF78" s="1882"/>
      <c r="AG78" s="1882"/>
      <c r="AH78" s="1882"/>
      <c r="AJ78" s="1882"/>
      <c r="AK78" s="1882"/>
      <c r="AL78" s="1882"/>
      <c r="AM78" s="1882"/>
      <c r="AN78" s="1882"/>
      <c r="AO78" s="1882"/>
      <c r="AP78" s="1882"/>
      <c r="AQ78" s="1882"/>
      <c r="AR78" s="1882"/>
      <c r="AS78" s="1882"/>
      <c r="AT78" s="1882"/>
      <c r="AU78" s="1882"/>
      <c r="AV78" s="1882"/>
      <c r="AW78" s="1882"/>
      <c r="AX78" s="1882"/>
    </row>
    <row r="79" spans="1:50" ht="15.5" hidden="1" thickBot="1">
      <c r="A79" s="1571"/>
      <c r="B79" s="2866" t="str">
        <f ca="1" xml:space="preserve"> RIGHT(CELL("filename", $A$1), LEN(CELL("filename", $A$1)) - SEARCH("]", CELL("filename", $A$1)))&amp;" - Line definitions"</f>
        <v>4W - Line definitions</v>
      </c>
      <c r="C79" s="2878"/>
      <c r="D79" s="2878"/>
      <c r="E79" s="2878"/>
      <c r="F79" s="2878"/>
      <c r="G79" s="2878"/>
      <c r="H79" s="2878"/>
      <c r="I79" s="2878"/>
      <c r="J79" s="2878"/>
      <c r="K79" s="2878"/>
      <c r="L79" s="2878"/>
      <c r="M79" s="2878"/>
      <c r="N79" s="2878"/>
      <c r="O79" s="2878"/>
      <c r="P79" s="2879"/>
      <c r="Q79" s="1882"/>
      <c r="R79" s="1882"/>
      <c r="S79" s="1882"/>
      <c r="U79" s="1882"/>
      <c r="V79" s="1882"/>
      <c r="W79" s="1882"/>
      <c r="X79" s="1882"/>
      <c r="Y79" s="1882"/>
      <c r="Z79" s="1882"/>
      <c r="AA79" s="1882"/>
      <c r="AB79" s="1882"/>
      <c r="AD79" s="1882"/>
      <c r="AF79" s="1882"/>
      <c r="AG79" s="1882"/>
      <c r="AH79" s="1882"/>
      <c r="AJ79" s="1882"/>
      <c r="AK79" s="1882"/>
      <c r="AL79" s="1882"/>
      <c r="AM79" s="1882"/>
      <c r="AN79" s="1882"/>
      <c r="AO79" s="1882"/>
      <c r="AP79" s="1882"/>
      <c r="AQ79" s="1882"/>
      <c r="AR79" s="1882"/>
      <c r="AS79" s="1882"/>
      <c r="AT79" s="1882"/>
      <c r="AU79" s="1882"/>
      <c r="AV79" s="1882"/>
      <c r="AW79" s="1882"/>
      <c r="AX79" s="1882"/>
    </row>
    <row r="80" spans="1:50" ht="14.5" hidden="1" thickBot="1">
      <c r="A80" s="1571"/>
      <c r="B80" s="568"/>
      <c r="C80" s="1882"/>
      <c r="D80" s="1882"/>
      <c r="E80" s="1882"/>
      <c r="F80" s="1882"/>
      <c r="G80" s="1882"/>
      <c r="H80" s="1882"/>
      <c r="I80" s="1882"/>
      <c r="J80" s="1882"/>
      <c r="K80" s="1882"/>
      <c r="L80" s="1882"/>
      <c r="M80" s="1882"/>
      <c r="N80" s="1882"/>
      <c r="O80" s="1882"/>
      <c r="P80" s="1882"/>
      <c r="Q80" s="1882"/>
      <c r="R80" s="1882"/>
      <c r="S80" s="1882"/>
      <c r="U80" s="1882"/>
      <c r="V80" s="1882"/>
      <c r="W80" s="1882"/>
      <c r="X80" s="1882"/>
      <c r="Y80" s="1882"/>
      <c r="Z80" s="1882"/>
      <c r="AA80" s="1882"/>
      <c r="AB80" s="1882"/>
      <c r="AD80" s="1882"/>
      <c r="AF80" s="1882"/>
      <c r="AG80" s="1882"/>
      <c r="AH80" s="1882"/>
      <c r="AJ80" s="1882"/>
      <c r="AK80" s="1882"/>
      <c r="AL80" s="1882"/>
      <c r="AM80" s="1882"/>
      <c r="AN80" s="1882"/>
      <c r="AO80" s="1882"/>
      <c r="AP80" s="1882"/>
      <c r="AQ80" s="1882"/>
      <c r="AR80" s="1882"/>
      <c r="AS80" s="1882"/>
      <c r="AT80" s="1882"/>
      <c r="AU80" s="1882"/>
      <c r="AV80" s="1882"/>
      <c r="AW80" s="1882"/>
      <c r="AX80" s="1882"/>
    </row>
    <row r="81" spans="1:35" hidden="1">
      <c r="A81" s="1571"/>
      <c r="B81" s="1259" t="s">
        <v>191</v>
      </c>
      <c r="C81" s="3479" t="s">
        <v>192</v>
      </c>
      <c r="D81" s="3480"/>
      <c r="E81" s="3480"/>
      <c r="F81" s="3480"/>
      <c r="G81" s="3480"/>
      <c r="H81" s="3480"/>
      <c r="I81" s="3480"/>
      <c r="J81" s="3480"/>
      <c r="K81" s="3480"/>
      <c r="L81" s="3480"/>
      <c r="M81" s="3480"/>
      <c r="N81" s="3480"/>
      <c r="O81" s="3480"/>
      <c r="P81" s="3481"/>
      <c r="Q81" s="1882"/>
      <c r="R81" s="1882"/>
      <c r="S81" s="1882"/>
      <c r="U81" s="1882"/>
      <c r="V81" s="1882"/>
      <c r="W81" s="1882"/>
      <c r="X81" s="1882"/>
      <c r="Y81" s="1882"/>
      <c r="Z81" s="1882"/>
      <c r="AA81" s="1882"/>
      <c r="AB81" s="1882"/>
      <c r="AD81" s="1882"/>
      <c r="AF81" s="1882"/>
      <c r="AG81" s="1882"/>
      <c r="AH81" s="1882"/>
    </row>
    <row r="82" spans="1:35" ht="14.25" hidden="1" customHeight="1">
      <c r="A82" s="1571"/>
      <c r="B82" s="1959" t="s">
        <v>8199</v>
      </c>
      <c r="C82" s="3466" t="s">
        <v>1233</v>
      </c>
      <c r="D82" s="3467"/>
      <c r="E82" s="3467"/>
      <c r="F82" s="3467"/>
      <c r="G82" s="3467"/>
      <c r="H82" s="3467"/>
      <c r="I82" s="3467"/>
      <c r="J82" s="3467"/>
      <c r="K82" s="3467"/>
      <c r="L82" s="3467"/>
      <c r="M82" s="3467"/>
      <c r="N82" s="3467"/>
      <c r="O82" s="3467"/>
      <c r="P82" s="3468"/>
      <c r="Q82" s="1882"/>
      <c r="R82" s="1882"/>
      <c r="S82" s="1882"/>
      <c r="U82" s="1882"/>
      <c r="V82" s="1882"/>
      <c r="W82" s="1882"/>
      <c r="X82" s="1882"/>
      <c r="Y82" s="1882"/>
      <c r="Z82" s="1882"/>
      <c r="AA82" s="1882"/>
      <c r="AB82" s="1882"/>
      <c r="AD82" s="1882"/>
      <c r="AF82" s="1882"/>
      <c r="AG82" s="1882"/>
      <c r="AH82" s="1882"/>
    </row>
    <row r="83" spans="1:35" ht="69.75" hidden="1" customHeight="1">
      <c r="A83" s="1571"/>
      <c r="B83" s="1958" t="s">
        <v>8200</v>
      </c>
      <c r="C83" s="3457" t="s">
        <v>3180</v>
      </c>
      <c r="D83" s="3458"/>
      <c r="E83" s="3458"/>
      <c r="F83" s="3458"/>
      <c r="G83" s="3458"/>
      <c r="H83" s="3458"/>
      <c r="I83" s="3458"/>
      <c r="J83" s="3458"/>
      <c r="K83" s="3458"/>
      <c r="L83" s="3458"/>
      <c r="M83" s="3458"/>
      <c r="N83" s="3458"/>
      <c r="O83" s="3458"/>
      <c r="P83" s="3459"/>
      <c r="Q83" s="1882"/>
      <c r="R83" s="1882"/>
      <c r="S83" s="1882"/>
      <c r="U83" s="1882"/>
      <c r="V83" s="1882"/>
      <c r="W83" s="1882"/>
      <c r="X83" s="1882"/>
      <c r="Y83" s="1882"/>
      <c r="Z83" s="1882"/>
      <c r="AA83" s="1882"/>
      <c r="AB83" s="1882"/>
      <c r="AD83" s="1882"/>
      <c r="AF83" s="1882"/>
      <c r="AG83" s="1882"/>
      <c r="AH83" s="1882"/>
    </row>
    <row r="84" spans="1:35" s="1882" customFormat="1" hidden="1">
      <c r="A84" s="1571"/>
      <c r="B84" s="1960" t="s">
        <v>8201</v>
      </c>
      <c r="C84" s="3457" t="s">
        <v>3181</v>
      </c>
      <c r="D84" s="3458"/>
      <c r="E84" s="3458"/>
      <c r="F84" s="3458"/>
      <c r="G84" s="3458"/>
      <c r="H84" s="3458"/>
      <c r="I84" s="3458"/>
      <c r="J84" s="3458"/>
      <c r="K84" s="3458"/>
      <c r="L84" s="3458"/>
      <c r="M84" s="3458"/>
      <c r="N84" s="3458"/>
      <c r="O84" s="3458"/>
      <c r="P84" s="3459"/>
      <c r="T84" s="1635"/>
      <c r="AC84" s="1635"/>
      <c r="AE84" s="1635"/>
      <c r="AI84" s="1635"/>
    </row>
    <row r="85" spans="1:35" s="1882" customFormat="1" hidden="1">
      <c r="A85" s="1571"/>
      <c r="B85" s="1958" t="s">
        <v>8202</v>
      </c>
      <c r="C85" s="3457" t="s">
        <v>3182</v>
      </c>
      <c r="D85" s="3458"/>
      <c r="E85" s="3458"/>
      <c r="F85" s="3458"/>
      <c r="G85" s="3458"/>
      <c r="H85" s="3458"/>
      <c r="I85" s="3458"/>
      <c r="J85" s="3458"/>
      <c r="K85" s="3458"/>
      <c r="L85" s="3458"/>
      <c r="M85" s="3458"/>
      <c r="N85" s="3458"/>
      <c r="O85" s="3458"/>
      <c r="P85" s="3459"/>
      <c r="T85" s="1635"/>
      <c r="AC85" s="1635"/>
      <c r="AE85" s="1635"/>
      <c r="AI85" s="1635"/>
    </row>
    <row r="86" spans="1:35" s="1882" customFormat="1" hidden="1">
      <c r="A86" s="1571"/>
      <c r="B86" s="1958" t="s">
        <v>8203</v>
      </c>
      <c r="C86" s="3457" t="s">
        <v>1237</v>
      </c>
      <c r="D86" s="3458"/>
      <c r="E86" s="3458"/>
      <c r="F86" s="3458"/>
      <c r="G86" s="3458"/>
      <c r="H86" s="3458"/>
      <c r="I86" s="3458"/>
      <c r="J86" s="3458"/>
      <c r="K86" s="3458"/>
      <c r="L86" s="3458"/>
      <c r="M86" s="3458"/>
      <c r="N86" s="3458"/>
      <c r="O86" s="3458"/>
      <c r="P86" s="3459"/>
      <c r="T86" s="1635"/>
      <c r="AC86" s="1635"/>
      <c r="AE86" s="1635"/>
      <c r="AI86" s="1635"/>
    </row>
    <row r="87" spans="1:35" s="1882" customFormat="1" hidden="1">
      <c r="A87" s="1571"/>
      <c r="B87" s="1958" t="s">
        <v>8204</v>
      </c>
      <c r="C87" s="3457" t="s">
        <v>1238</v>
      </c>
      <c r="D87" s="3458"/>
      <c r="E87" s="3458"/>
      <c r="F87" s="3458"/>
      <c r="G87" s="3458"/>
      <c r="H87" s="3458"/>
      <c r="I87" s="3458"/>
      <c r="J87" s="3458"/>
      <c r="K87" s="3458"/>
      <c r="L87" s="3458"/>
      <c r="M87" s="3458"/>
      <c r="N87" s="3458"/>
      <c r="O87" s="3458"/>
      <c r="P87" s="3459"/>
      <c r="T87" s="1635"/>
      <c r="AC87" s="1635"/>
      <c r="AE87" s="1635"/>
      <c r="AI87" s="1635"/>
    </row>
    <row r="88" spans="1:35" s="1882" customFormat="1" ht="59.25" hidden="1" customHeight="1">
      <c r="A88" s="1571"/>
      <c r="B88" s="1958" t="s">
        <v>8205</v>
      </c>
      <c r="C88" s="3457" t="s">
        <v>8206</v>
      </c>
      <c r="D88" s="3458"/>
      <c r="E88" s="3458"/>
      <c r="F88" s="3458"/>
      <c r="G88" s="3458"/>
      <c r="H88" s="3458"/>
      <c r="I88" s="3458"/>
      <c r="J88" s="3458"/>
      <c r="K88" s="3458"/>
      <c r="L88" s="3458"/>
      <c r="M88" s="3458"/>
      <c r="N88" s="3458"/>
      <c r="O88" s="3458"/>
      <c r="P88" s="3459"/>
      <c r="T88" s="1635"/>
      <c r="AC88" s="1635"/>
      <c r="AE88" s="1635"/>
      <c r="AI88" s="1635"/>
    </row>
    <row r="89" spans="1:35" s="1882" customFormat="1" ht="55.5" hidden="1" customHeight="1">
      <c r="A89" s="1571"/>
      <c r="B89" s="1958" t="s">
        <v>8207</v>
      </c>
      <c r="C89" s="3457" t="s">
        <v>8208</v>
      </c>
      <c r="D89" s="3458"/>
      <c r="E89" s="3458"/>
      <c r="F89" s="3458"/>
      <c r="G89" s="3458"/>
      <c r="H89" s="3458"/>
      <c r="I89" s="3458"/>
      <c r="J89" s="3458"/>
      <c r="K89" s="3458"/>
      <c r="L89" s="3458"/>
      <c r="M89" s="3458"/>
      <c r="N89" s="3458"/>
      <c r="O89" s="3458"/>
      <c r="P89" s="3459"/>
      <c r="T89" s="1635"/>
      <c r="AC89" s="1635"/>
      <c r="AE89" s="1635"/>
      <c r="AI89" s="1635"/>
    </row>
    <row r="90" spans="1:35" s="1882" customFormat="1" ht="58.5" hidden="1" customHeight="1">
      <c r="A90" s="1571"/>
      <c r="B90" s="1958" t="s">
        <v>8209</v>
      </c>
      <c r="C90" s="3457" t="s">
        <v>8210</v>
      </c>
      <c r="D90" s="3458"/>
      <c r="E90" s="3458"/>
      <c r="F90" s="3458"/>
      <c r="G90" s="3458"/>
      <c r="H90" s="3458"/>
      <c r="I90" s="3458"/>
      <c r="J90" s="3458"/>
      <c r="K90" s="3458"/>
      <c r="L90" s="3458"/>
      <c r="M90" s="3458"/>
      <c r="N90" s="3458"/>
      <c r="O90" s="3458"/>
      <c r="P90" s="3459"/>
      <c r="T90" s="1635"/>
      <c r="AC90" s="1635"/>
      <c r="AE90" s="1635"/>
      <c r="AI90" s="1635"/>
    </row>
    <row r="91" spans="1:35" ht="14.25" hidden="1" customHeight="1">
      <c r="A91" s="1571"/>
      <c r="B91" s="1958" t="s">
        <v>8211</v>
      </c>
      <c r="C91" s="3457" t="s">
        <v>2861</v>
      </c>
      <c r="D91" s="3458"/>
      <c r="E91" s="3458"/>
      <c r="F91" s="3458"/>
      <c r="G91" s="3458"/>
      <c r="H91" s="3458"/>
      <c r="I91" s="3458"/>
      <c r="J91" s="3458"/>
      <c r="K91" s="3458"/>
      <c r="L91" s="3458"/>
      <c r="M91" s="3458"/>
      <c r="N91" s="3458"/>
      <c r="O91" s="3458"/>
      <c r="P91" s="3459"/>
      <c r="Q91" s="1882"/>
      <c r="R91" s="1882"/>
      <c r="S91" s="1882"/>
      <c r="U91" s="1882"/>
      <c r="V91" s="1882"/>
      <c r="W91" s="1882"/>
      <c r="X91" s="1882"/>
      <c r="Y91" s="1882"/>
      <c r="Z91" s="1882"/>
      <c r="AA91" s="1882"/>
      <c r="AB91" s="1882"/>
      <c r="AD91" s="1882"/>
      <c r="AF91" s="1882"/>
      <c r="AG91" s="1882"/>
      <c r="AH91" s="1882"/>
    </row>
    <row r="92" spans="1:35" ht="62.65" hidden="1" customHeight="1">
      <c r="A92" s="1571"/>
      <c r="B92" s="1958" t="s">
        <v>8212</v>
      </c>
      <c r="C92" s="3457" t="s">
        <v>8213</v>
      </c>
      <c r="D92" s="3458"/>
      <c r="E92" s="3458"/>
      <c r="F92" s="3458"/>
      <c r="G92" s="3458"/>
      <c r="H92" s="3458"/>
      <c r="I92" s="3458"/>
      <c r="J92" s="3458"/>
      <c r="K92" s="3458"/>
      <c r="L92" s="3458"/>
      <c r="M92" s="3458"/>
      <c r="N92" s="3458"/>
      <c r="O92" s="3458"/>
      <c r="P92" s="3459"/>
      <c r="Q92" s="1882"/>
      <c r="R92" s="1882"/>
      <c r="S92" s="1882"/>
      <c r="U92" s="1882"/>
      <c r="V92" s="1882"/>
      <c r="W92" s="1882"/>
      <c r="X92" s="1882"/>
      <c r="Y92" s="1882"/>
      <c r="Z92" s="1882"/>
      <c r="AA92" s="1882"/>
      <c r="AB92" s="1882"/>
      <c r="AD92" s="1882"/>
      <c r="AF92" s="1882"/>
      <c r="AG92" s="1882"/>
      <c r="AH92" s="1882"/>
    </row>
    <row r="93" spans="1:35" hidden="1">
      <c r="A93" s="1571"/>
      <c r="B93" s="1958" t="s">
        <v>8214</v>
      </c>
      <c r="C93" s="3457" t="s">
        <v>8215</v>
      </c>
      <c r="D93" s="3458"/>
      <c r="E93" s="3458"/>
      <c r="F93" s="3458"/>
      <c r="G93" s="3458"/>
      <c r="H93" s="3458"/>
      <c r="I93" s="3458"/>
      <c r="J93" s="3458"/>
      <c r="K93" s="3458"/>
      <c r="L93" s="3458"/>
      <c r="M93" s="3458"/>
      <c r="N93" s="3458"/>
      <c r="O93" s="3458"/>
      <c r="P93" s="3459"/>
      <c r="Q93" s="1882"/>
      <c r="R93" s="1882"/>
      <c r="S93" s="1882"/>
      <c r="U93" s="1882"/>
      <c r="V93" s="1882"/>
      <c r="W93" s="1882"/>
      <c r="X93" s="1882"/>
      <c r="Y93" s="1882"/>
      <c r="Z93" s="1882"/>
      <c r="AA93" s="1882"/>
      <c r="AB93" s="1882"/>
      <c r="AD93" s="1882"/>
      <c r="AF93" s="1882"/>
      <c r="AG93" s="1882"/>
      <c r="AH93" s="1882"/>
    </row>
    <row r="94" spans="1:35" ht="62.65" hidden="1" customHeight="1" thickBot="1">
      <c r="A94" s="1571"/>
      <c r="B94" s="1331" t="s">
        <v>8216</v>
      </c>
      <c r="C94" s="3460" t="s">
        <v>8217</v>
      </c>
      <c r="D94" s="3461"/>
      <c r="E94" s="3461"/>
      <c r="F94" s="3461"/>
      <c r="G94" s="3461"/>
      <c r="H94" s="3461"/>
      <c r="I94" s="3461"/>
      <c r="J94" s="3461"/>
      <c r="K94" s="3461"/>
      <c r="L94" s="3461"/>
      <c r="M94" s="3461"/>
      <c r="N94" s="3461"/>
      <c r="O94" s="3461"/>
      <c r="P94" s="3462"/>
      <c r="Q94" s="1882"/>
      <c r="R94" s="1882"/>
      <c r="S94" s="1882"/>
      <c r="U94" s="1882"/>
      <c r="V94" s="1882"/>
      <c r="W94" s="1882"/>
      <c r="X94" s="1882"/>
      <c r="Y94" s="1882"/>
      <c r="Z94" s="1882"/>
      <c r="AA94" s="1882"/>
      <c r="AB94" s="1882"/>
      <c r="AD94" s="1882"/>
      <c r="AF94" s="1882"/>
      <c r="AG94" s="1882"/>
      <c r="AH94" s="1882"/>
    </row>
    <row r="95" spans="1:35" ht="14.5" hidden="1" thickBot="1">
      <c r="A95" s="1571"/>
      <c r="B95" s="1882"/>
      <c r="C95" s="1882"/>
      <c r="D95" s="1882"/>
      <c r="E95" s="1882"/>
      <c r="F95" s="1882"/>
      <c r="G95" s="1882"/>
      <c r="H95" s="1882"/>
      <c r="I95" s="1882"/>
      <c r="J95" s="1882"/>
      <c r="K95" s="1882"/>
      <c r="L95" s="1882"/>
      <c r="M95" s="1882"/>
      <c r="N95" s="1882"/>
      <c r="O95" s="1882"/>
      <c r="P95" s="1882"/>
      <c r="Q95" s="1882"/>
      <c r="R95" s="1882"/>
      <c r="S95" s="1882"/>
      <c r="U95" s="1882"/>
      <c r="V95" s="1882"/>
      <c r="W95" s="1882"/>
      <c r="X95" s="1882"/>
      <c r="Y95" s="1882"/>
      <c r="Z95" s="1882"/>
      <c r="AA95" s="1882"/>
      <c r="AB95" s="1882"/>
      <c r="AD95" s="1882"/>
      <c r="AF95" s="1882"/>
      <c r="AG95" s="1882"/>
      <c r="AH95" s="1882"/>
    </row>
    <row r="96" spans="1:35" ht="15.5" hidden="1" thickBot="1">
      <c r="A96" s="1571"/>
      <c r="B96" s="3175" t="str">
        <f>+B53</f>
        <v>Other expenditure - Wholesale wastewater</v>
      </c>
      <c r="C96" s="3313"/>
      <c r="D96" s="3313"/>
      <c r="E96" s="3313"/>
      <c r="F96" s="3313"/>
      <c r="G96" s="3313"/>
      <c r="H96" s="3313"/>
      <c r="I96" s="3313"/>
      <c r="J96" s="3313"/>
      <c r="K96" s="3313"/>
      <c r="L96" s="3313"/>
      <c r="M96" s="3313"/>
      <c r="N96" s="3313"/>
      <c r="O96" s="3313"/>
      <c r="P96" s="3314"/>
      <c r="Q96" s="1882"/>
      <c r="R96" s="1882"/>
      <c r="S96" s="1882"/>
      <c r="U96" s="1882"/>
      <c r="V96" s="1882"/>
      <c r="W96" s="1882"/>
      <c r="X96" s="1882"/>
      <c r="Y96" s="1882"/>
      <c r="Z96" s="1882"/>
      <c r="AA96" s="1882"/>
      <c r="AB96" s="1882"/>
      <c r="AD96" s="1882"/>
      <c r="AF96" s="1882"/>
      <c r="AG96" s="1882"/>
      <c r="AH96" s="1882"/>
    </row>
    <row r="97" spans="1:19" ht="14.5" hidden="1" thickBot="1">
      <c r="A97" s="1571"/>
      <c r="B97" s="568"/>
      <c r="C97" s="1882"/>
      <c r="D97" s="1882"/>
      <c r="E97" s="1882"/>
      <c r="F97" s="1882"/>
      <c r="G97" s="1882"/>
      <c r="H97" s="1882"/>
      <c r="I97" s="1882"/>
      <c r="J97" s="1882"/>
      <c r="K97" s="1882"/>
      <c r="L97" s="1882"/>
      <c r="M97" s="1882"/>
      <c r="N97" s="1882"/>
      <c r="O97" s="1882"/>
      <c r="P97" s="1882"/>
      <c r="Q97" s="1882"/>
      <c r="R97" s="1882"/>
      <c r="S97" s="1882"/>
    </row>
    <row r="98" spans="1:19" ht="14.5" hidden="1" thickBot="1">
      <c r="A98" s="1571"/>
      <c r="B98" s="1259" t="s">
        <v>191</v>
      </c>
      <c r="C98" s="3482" t="s">
        <v>192</v>
      </c>
      <c r="D98" s="3470"/>
      <c r="E98" s="3470"/>
      <c r="F98" s="3470"/>
      <c r="G98" s="3470"/>
      <c r="H98" s="3470"/>
      <c r="I98" s="3470"/>
      <c r="J98" s="3470"/>
      <c r="K98" s="3470"/>
      <c r="L98" s="3470"/>
      <c r="M98" s="3470"/>
      <c r="N98" s="3470"/>
      <c r="O98" s="3470"/>
      <c r="P98" s="3471"/>
      <c r="Q98" s="1882"/>
      <c r="R98" s="1882"/>
      <c r="S98" s="1882"/>
    </row>
    <row r="99" spans="1:19" ht="42" hidden="1" customHeight="1">
      <c r="A99" s="1571"/>
      <c r="B99" s="1332">
        <v>40</v>
      </c>
      <c r="C99" s="3483" t="s">
        <v>8218</v>
      </c>
      <c r="D99" s="3484"/>
      <c r="E99" s="3484"/>
      <c r="F99" s="3484"/>
      <c r="G99" s="3484"/>
      <c r="H99" s="3484"/>
      <c r="I99" s="3484"/>
      <c r="J99" s="3484"/>
      <c r="K99" s="3484"/>
      <c r="L99" s="3484"/>
      <c r="M99" s="3484"/>
      <c r="N99" s="3484"/>
      <c r="O99" s="3484"/>
      <c r="P99" s="3485"/>
      <c r="Q99" s="1882"/>
      <c r="R99" s="1882"/>
      <c r="S99" s="1882"/>
    </row>
    <row r="100" spans="1:19" ht="58.5" hidden="1" customHeight="1">
      <c r="A100" s="1571"/>
      <c r="B100" s="1958">
        <f t="shared" ref="B100:B107" si="37">+B99+1</f>
        <v>41</v>
      </c>
      <c r="C100" s="3457" t="s">
        <v>8219</v>
      </c>
      <c r="D100" s="3458"/>
      <c r="E100" s="3458"/>
      <c r="F100" s="3458"/>
      <c r="G100" s="3458"/>
      <c r="H100" s="3458"/>
      <c r="I100" s="3458"/>
      <c r="J100" s="3458"/>
      <c r="K100" s="3458"/>
      <c r="L100" s="3458"/>
      <c r="M100" s="3458"/>
      <c r="N100" s="3458"/>
      <c r="O100" s="3458"/>
      <c r="P100" s="3459"/>
      <c r="Q100" s="1882"/>
      <c r="R100" s="1882"/>
      <c r="S100" s="1882"/>
    </row>
    <row r="101" spans="1:19" ht="14.25" hidden="1" customHeight="1">
      <c r="A101" s="1571"/>
      <c r="B101" s="1958">
        <f t="shared" si="37"/>
        <v>42</v>
      </c>
      <c r="C101" s="3457" t="s">
        <v>8220</v>
      </c>
      <c r="D101" s="3458"/>
      <c r="E101" s="3458"/>
      <c r="F101" s="3458"/>
      <c r="G101" s="3458"/>
      <c r="H101" s="3458"/>
      <c r="I101" s="3458"/>
      <c r="J101" s="3458"/>
      <c r="K101" s="3458"/>
      <c r="L101" s="3458"/>
      <c r="M101" s="3458"/>
      <c r="N101" s="3458"/>
      <c r="O101" s="3458"/>
      <c r="P101" s="3459"/>
      <c r="Q101" s="1882"/>
      <c r="R101" s="1882"/>
      <c r="S101" s="1882"/>
    </row>
    <row r="102" spans="1:19" ht="14.25" hidden="1" customHeight="1">
      <c r="A102" s="1571"/>
      <c r="B102" s="1958">
        <f t="shared" si="37"/>
        <v>43</v>
      </c>
      <c r="C102" s="3457" t="s">
        <v>8221</v>
      </c>
      <c r="D102" s="3458"/>
      <c r="E102" s="3458"/>
      <c r="F102" s="3458"/>
      <c r="G102" s="3458"/>
      <c r="H102" s="3458"/>
      <c r="I102" s="3458"/>
      <c r="J102" s="3458"/>
      <c r="K102" s="3458"/>
      <c r="L102" s="3458"/>
      <c r="M102" s="3458"/>
      <c r="N102" s="3458"/>
      <c r="O102" s="3458"/>
      <c r="P102" s="3459"/>
      <c r="Q102" s="1882"/>
      <c r="R102" s="1882"/>
      <c r="S102" s="1882"/>
    </row>
    <row r="103" spans="1:19" ht="14.25" hidden="1" customHeight="1">
      <c r="A103" s="1571"/>
      <c r="B103" s="1958">
        <f t="shared" si="37"/>
        <v>44</v>
      </c>
      <c r="C103" s="3457" t="s">
        <v>8222</v>
      </c>
      <c r="D103" s="3458"/>
      <c r="E103" s="3458"/>
      <c r="F103" s="3458"/>
      <c r="G103" s="3458"/>
      <c r="H103" s="3458"/>
      <c r="I103" s="3458"/>
      <c r="J103" s="3458"/>
      <c r="K103" s="3458"/>
      <c r="L103" s="3458"/>
      <c r="M103" s="3458"/>
      <c r="N103" s="3458"/>
      <c r="O103" s="3458"/>
      <c r="P103" s="3459"/>
      <c r="Q103" s="1882"/>
      <c r="R103" s="1882"/>
      <c r="S103" s="1882"/>
    </row>
    <row r="104" spans="1:19" hidden="1">
      <c r="A104" s="1571"/>
      <c r="B104" s="1958">
        <f t="shared" si="37"/>
        <v>45</v>
      </c>
      <c r="C104" s="3486" t="s">
        <v>8223</v>
      </c>
      <c r="D104" s="3487"/>
      <c r="E104" s="3487"/>
      <c r="F104" s="3487"/>
      <c r="G104" s="3487"/>
      <c r="H104" s="3487"/>
      <c r="I104" s="3487"/>
      <c r="J104" s="3487"/>
      <c r="K104" s="3487"/>
      <c r="L104" s="3487"/>
      <c r="M104" s="3487"/>
      <c r="N104" s="3487"/>
      <c r="O104" s="3487"/>
      <c r="P104" s="3488"/>
      <c r="Q104" s="1882"/>
      <c r="R104" s="1882"/>
      <c r="S104" s="1882"/>
    </row>
    <row r="105" spans="1:19" ht="14.25" hidden="1" customHeight="1">
      <c r="A105" s="1571"/>
      <c r="B105" s="1958">
        <f t="shared" si="37"/>
        <v>46</v>
      </c>
      <c r="C105" s="3457" t="s">
        <v>8224</v>
      </c>
      <c r="D105" s="3458"/>
      <c r="E105" s="3458"/>
      <c r="F105" s="3458"/>
      <c r="G105" s="3458"/>
      <c r="H105" s="3458"/>
      <c r="I105" s="3458"/>
      <c r="J105" s="3458"/>
      <c r="K105" s="3458"/>
      <c r="L105" s="3458"/>
      <c r="M105" s="3458"/>
      <c r="N105" s="3458"/>
      <c r="O105" s="3458"/>
      <c r="P105" s="3459"/>
      <c r="Q105" s="1882"/>
      <c r="R105" s="1882"/>
      <c r="S105" s="1882"/>
    </row>
    <row r="106" spans="1:19" ht="14.25" hidden="1" customHeight="1">
      <c r="A106" s="1571"/>
      <c r="B106" s="1958">
        <f t="shared" si="37"/>
        <v>47</v>
      </c>
      <c r="C106" s="3457" t="s">
        <v>8225</v>
      </c>
      <c r="D106" s="3458"/>
      <c r="E106" s="3458"/>
      <c r="F106" s="3458"/>
      <c r="G106" s="3458"/>
      <c r="H106" s="3458"/>
      <c r="I106" s="3458"/>
      <c r="J106" s="3458"/>
      <c r="K106" s="3458"/>
      <c r="L106" s="3458"/>
      <c r="M106" s="3458"/>
      <c r="N106" s="3458"/>
      <c r="O106" s="3458"/>
      <c r="P106" s="3459"/>
      <c r="Q106" s="1882"/>
      <c r="R106" s="1882"/>
      <c r="S106" s="1882"/>
    </row>
    <row r="107" spans="1:19" ht="14.65" hidden="1" customHeight="1" thickBot="1">
      <c r="A107" s="1571"/>
      <c r="B107" s="1331">
        <f t="shared" si="37"/>
        <v>48</v>
      </c>
      <c r="C107" s="3460" t="s">
        <v>8226</v>
      </c>
      <c r="D107" s="3461"/>
      <c r="E107" s="3461"/>
      <c r="F107" s="3461"/>
      <c r="G107" s="3461"/>
      <c r="H107" s="3461"/>
      <c r="I107" s="3461"/>
      <c r="J107" s="3461"/>
      <c r="K107" s="3461"/>
      <c r="L107" s="3461"/>
      <c r="M107" s="3461"/>
      <c r="N107" s="3461"/>
      <c r="O107" s="3461"/>
      <c r="P107" s="3462"/>
      <c r="Q107" s="1882"/>
      <c r="R107" s="1882"/>
      <c r="S107" s="1882"/>
    </row>
  </sheetData>
  <sheetProtection algorithmName="SHA-512" hashValue="tWuVMPPZU+/QH7vE7fJ2x3N9LkCnTt042O9eDlnA3B2FIF9y1aqaIwoauAp6BDmZitZKq1prAt2quJLlY7NaNg==" saltValue="vNiDR78DmC0ZYYtXxXvATg==" spinCount="100000" sheet="1" objects="1" scenarios="1"/>
  <mergeCells count="26">
    <mergeCell ref="C92:P92"/>
    <mergeCell ref="C93:P93"/>
    <mergeCell ref="C94:P94"/>
    <mergeCell ref="C104:P104"/>
    <mergeCell ref="C105:P105"/>
    <mergeCell ref="C106:P106"/>
    <mergeCell ref="C107:P107"/>
    <mergeCell ref="B96:P96"/>
    <mergeCell ref="C98:P98"/>
    <mergeCell ref="C99:P99"/>
    <mergeCell ref="C100:P100"/>
    <mergeCell ref="C101:P101"/>
    <mergeCell ref="C102:P102"/>
    <mergeCell ref="C103:P103"/>
    <mergeCell ref="B70:C70"/>
    <mergeCell ref="C81:P81"/>
    <mergeCell ref="C82:P82"/>
    <mergeCell ref="C83:P83"/>
    <mergeCell ref="C91:P91"/>
    <mergeCell ref="C84:P84"/>
    <mergeCell ref="C85:P85"/>
    <mergeCell ref="C86:P86"/>
    <mergeCell ref="C87:P87"/>
    <mergeCell ref="C88:P88"/>
    <mergeCell ref="C89:P89"/>
    <mergeCell ref="C90:P90"/>
  </mergeCells>
  <conditionalFormatting sqref="R34 R32 R45:R48 R22:R30">
    <cfRule type="cellIs" dxfId="68" priority="43" operator="equal">
      <formula>0</formula>
    </cfRule>
  </conditionalFormatting>
  <conditionalFormatting sqref="R50 R38:R41">
    <cfRule type="cellIs" dxfId="67" priority="42" operator="equal">
      <formula>0</formula>
    </cfRule>
  </conditionalFormatting>
  <conditionalFormatting sqref="R58:R59">
    <cfRule type="cellIs" dxfId="66" priority="41" operator="equal">
      <formula>0</formula>
    </cfRule>
  </conditionalFormatting>
  <conditionalFormatting sqref="R60:R62">
    <cfRule type="cellIs" dxfId="65" priority="40" operator="equal">
      <formula>0</formula>
    </cfRule>
  </conditionalFormatting>
  <conditionalFormatting sqref="R66:R67">
    <cfRule type="cellIs" dxfId="64" priority="39" operator="equal">
      <formula>0</formula>
    </cfRule>
  </conditionalFormatting>
  <conditionalFormatting sqref="R68">
    <cfRule type="cellIs" dxfId="63" priority="35" operator="equal">
      <formula>0</formula>
    </cfRule>
  </conditionalFormatting>
  <conditionalFormatting sqref="R40:R42">
    <cfRule type="cellIs" dxfId="62" priority="24" operator="equal">
      <formula>0</formula>
    </cfRule>
  </conditionalFormatting>
  <conditionalFormatting sqref="R6:R9 R11:R14 R16 R18">
    <cfRule type="cellIs" dxfId="61" priority="18" operator="equal">
      <formula>0</formula>
    </cfRule>
  </conditionalFormatting>
  <conditionalFormatting sqref="R17">
    <cfRule type="cellIs" dxfId="60" priority="5" operator="equal">
      <formula>0</formula>
    </cfRule>
  </conditionalFormatting>
  <conditionalFormatting sqref="R33">
    <cfRule type="cellIs" dxfId="59" priority="4" operator="equal">
      <formula>0</formula>
    </cfRule>
  </conditionalFormatting>
  <conditionalFormatting sqref="R49">
    <cfRule type="cellIs" dxfId="58" priority="3" operator="equal">
      <formula>0</formula>
    </cfRule>
  </conditionalFormatting>
  <conditionalFormatting sqref="R43:R44">
    <cfRule type="cellIs" dxfId="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8" id="{7396F4E3-32FD-4AFA-9F82-673E3B6D2D46}">
            <xm:f>Validation!$H$3=1</xm:f>
            <x14:dxf>
              <fill>
                <patternFill>
                  <bgColor theme="2"/>
                </patternFill>
              </fill>
            </x14:dxf>
          </x14:cfRule>
          <xm:sqref>G38:I39 P58:P62 P66:P68 G33:I35 K33:P35 G66:J68 G58:J63 G22:P30 AP29:AX30 AP32:AX32 G32:P32 G33:N33 G35:N35 G45:L46 AP45:AT51 K38:L39 L39:L51 P45:P51 P38:P39 AV45:AX51</xm:sqref>
        </x14:conditionalFormatting>
        <x14:conditionalFormatting xmlns:xm="http://schemas.microsoft.com/office/excel/2006/main">
          <x14:cfRule type="expression" priority="37" id="{0D120FE9-2124-4E89-945D-83E4E2F80054}">
            <xm:f>Validation!$H$3=1</xm:f>
            <x14:dxf>
              <fill>
                <patternFill>
                  <bgColor theme="2"/>
                </patternFill>
              </fill>
            </x14:dxf>
          </x14:cfRule>
          <xm:sqref>J38:J39 J33:J35</xm:sqref>
        </x14:conditionalFormatting>
        <x14:conditionalFormatting xmlns:xm="http://schemas.microsoft.com/office/excel/2006/main">
          <x14:cfRule type="expression" priority="32" id="{E56CA0BD-A814-403B-9EA6-D67249440F94}">
            <xm:f>Validation!$H$3=1</xm:f>
            <x14:dxf>
              <fill>
                <patternFill>
                  <bgColor theme="2"/>
                </patternFill>
              </fill>
            </x14:dxf>
          </x14:cfRule>
          <xm:sqref>AP22:AX23 AP38:AR39 AT38:AT39 AP33:AR35 AT33:AX35 AP66:AS68 AP58:AS63 AV38:AX39 AP27:AX28 AP25:AX25 AQ24:AX24</xm:sqref>
        </x14:conditionalFormatting>
        <x14:conditionalFormatting xmlns:xm="http://schemas.microsoft.com/office/excel/2006/main">
          <x14:cfRule type="expression" priority="31" id="{3A4D07F7-DE81-474A-9BBD-DC705D3898DD}">
            <xm:f>Validation!$H$3=1</xm:f>
            <x14:dxf>
              <fill>
                <patternFill>
                  <bgColor theme="2"/>
                </patternFill>
              </fill>
            </x14:dxf>
          </x14:cfRule>
          <xm:sqref>AS38:AS39 AS33:AS35</xm:sqref>
        </x14:conditionalFormatting>
        <x14:conditionalFormatting xmlns:xm="http://schemas.microsoft.com/office/excel/2006/main">
          <x14:cfRule type="expression" priority="30" id="{554607A7-E006-455B-BC51-E85D7AFE9338}">
            <xm:f>Validation!$H$3=1</xm:f>
            <x14:dxf>
              <fill>
                <patternFill>
                  <bgColor theme="2"/>
                </patternFill>
              </fill>
            </x14:dxf>
          </x14:cfRule>
          <xm:sqref>J6:J9 P6:P13</xm:sqref>
        </x14:conditionalFormatting>
        <x14:conditionalFormatting xmlns:xm="http://schemas.microsoft.com/office/excel/2006/main">
          <x14:cfRule type="expression" priority="28" id="{70CD88AF-C1AB-490C-A5A2-F1CEEBC14149}">
            <xm:f>Validation!$H$3=1</xm:f>
            <x14:dxf>
              <fill>
                <patternFill>
                  <bgColor theme="2"/>
                </patternFill>
              </fill>
            </x14:dxf>
          </x14:cfRule>
          <xm:sqref>J11:J19</xm:sqref>
        </x14:conditionalFormatting>
        <x14:conditionalFormatting xmlns:xm="http://schemas.microsoft.com/office/excel/2006/main">
          <x14:cfRule type="expression" priority="27" id="{C5D0B9E3-A882-4FDC-BA88-1A53C1D84E02}">
            <xm:f>Validation!$H$3=1</xm:f>
            <x14:dxf>
              <fill>
                <patternFill>
                  <bgColor theme="2"/>
                </patternFill>
              </fill>
            </x14:dxf>
          </x14:cfRule>
          <xm:sqref>P14:P19</xm:sqref>
        </x14:conditionalFormatting>
        <x14:conditionalFormatting xmlns:xm="http://schemas.microsoft.com/office/excel/2006/main">
          <x14:cfRule type="expression" priority="26" id="{076FEC0C-0137-4608-9DE0-D0A4253DE807}">
            <xm:f>Validation!$H$3=1</xm:f>
            <x14:dxf>
              <fill>
                <patternFill>
                  <bgColor theme="2"/>
                </patternFill>
              </fill>
            </x14:dxf>
          </x14:cfRule>
          <xm:sqref>K31:O31</xm:sqref>
        </x14:conditionalFormatting>
        <x14:conditionalFormatting xmlns:xm="http://schemas.microsoft.com/office/excel/2006/main">
          <x14:cfRule type="expression" priority="25" id="{5D8F7742-D224-4F80-BBFD-99F73360F677}">
            <xm:f>Validation!$H$3=1</xm:f>
            <x14:dxf>
              <fill>
                <patternFill>
                  <bgColor theme="2"/>
                </patternFill>
              </fill>
            </x14:dxf>
          </x14:cfRule>
          <xm:sqref>P31</xm:sqref>
        </x14:conditionalFormatting>
        <x14:conditionalFormatting xmlns:xm="http://schemas.microsoft.com/office/excel/2006/main">
          <x14:cfRule type="expression" priority="23" id="{6A2816D9-8CB3-42BA-B174-81FC07C76E75}">
            <xm:f>Validation!$H$3=1</xm:f>
            <x14:dxf>
              <fill>
                <patternFill>
                  <bgColor theme="2"/>
                </patternFill>
              </fill>
            </x14:dxf>
          </x14:cfRule>
          <xm:sqref>G40:L44 P40:P44</xm:sqref>
        </x14:conditionalFormatting>
        <x14:conditionalFormatting xmlns:xm="http://schemas.microsoft.com/office/excel/2006/main">
          <x14:cfRule type="expression" priority="22" id="{2CF18F80-A295-49FB-BC78-D0A2BE195F47}">
            <xm:f>Validation!$H$3=1</xm:f>
            <x14:dxf>
              <fill>
                <patternFill>
                  <bgColor theme="2"/>
                </patternFill>
              </fill>
            </x14:dxf>
          </x14:cfRule>
          <xm:sqref>AP40:AT41 AV40:AX44 AP43:AT44</xm:sqref>
        </x14:conditionalFormatting>
        <x14:conditionalFormatting xmlns:xm="http://schemas.microsoft.com/office/excel/2006/main">
          <x14:cfRule type="expression" priority="21" id="{3311F497-F2B9-4750-B835-C479ADA681BF}">
            <xm:f>Validation!$H$3=1</xm:f>
            <x14:dxf>
              <fill>
                <patternFill>
                  <bgColor theme="2"/>
                </patternFill>
              </fill>
            </x14:dxf>
          </x14:cfRule>
          <xm:sqref>G49:I51 K49:K51 G48:K48 J49 J51</xm:sqref>
        </x14:conditionalFormatting>
        <x14:conditionalFormatting xmlns:xm="http://schemas.microsoft.com/office/excel/2006/main">
          <x14:cfRule type="expression" priority="20" id="{453E74EB-64C3-4CD1-895A-78DC4310C11B}">
            <xm:f>Validation!$H$3=1</xm:f>
            <x14:dxf>
              <fill>
                <patternFill>
                  <bgColor theme="2"/>
                </patternFill>
              </fill>
            </x14:dxf>
          </x14:cfRule>
          <xm:sqref>J49:J51</xm:sqref>
        </x14:conditionalFormatting>
        <x14:conditionalFormatting xmlns:xm="http://schemas.microsoft.com/office/excel/2006/main">
          <x14:cfRule type="expression" priority="19" id="{589D60FD-91C3-4ECE-984D-32D78260F468}">
            <xm:f>Validation!$H$3=1</xm:f>
            <x14:dxf>
              <fill>
                <patternFill>
                  <bgColor theme="2"/>
                </patternFill>
              </fill>
            </x14:dxf>
          </x14:cfRule>
          <xm:sqref>J47:K47</xm:sqref>
        </x14:conditionalFormatting>
        <x14:conditionalFormatting xmlns:xm="http://schemas.microsoft.com/office/excel/2006/main">
          <x14:cfRule type="expression" priority="17" id="{CB42BF7F-191D-4006-B37F-974CCBF3A37A}">
            <xm:f>Validation!$H$3=1</xm:f>
            <x14:dxf>
              <fill>
                <patternFill>
                  <bgColor rgb="FFE6E6E6"/>
                </patternFill>
              </fill>
            </x14:dxf>
          </x14:cfRule>
          <xm:sqref>G6:I9 G11:I19 G47:K47</xm:sqref>
        </x14:conditionalFormatting>
        <x14:conditionalFormatting xmlns:xm="http://schemas.microsoft.com/office/excel/2006/main">
          <x14:cfRule type="expression" priority="16" id="{82E06F3D-ED91-4EB6-A9A4-73E9CDF0E75D}">
            <xm:f>Validation!$H$3=1</xm:f>
            <x14:dxf>
              <fill>
                <patternFill>
                  <bgColor rgb="FFE6E6E6"/>
                </patternFill>
              </fill>
            </x14:dxf>
          </x14:cfRule>
          <xm:sqref>G31:N31</xm:sqref>
        </x14:conditionalFormatting>
        <x14:conditionalFormatting xmlns:xm="http://schemas.microsoft.com/office/excel/2006/main">
          <x14:cfRule type="expression" priority="15" id="{3C99E4F1-0231-45E5-A944-A560FC031AB5}">
            <xm:f>Validation!$H$3=1</xm:f>
            <x14:dxf>
              <fill>
                <patternFill>
                  <bgColor theme="2"/>
                </patternFill>
              </fill>
            </x14:dxf>
          </x14:cfRule>
          <xm:sqref>AS6:AS9</xm:sqref>
        </x14:conditionalFormatting>
        <x14:conditionalFormatting xmlns:xm="http://schemas.microsoft.com/office/excel/2006/main">
          <x14:cfRule type="expression" priority="14" id="{C8583765-C612-4A2F-99F7-AC714DE18C06}">
            <xm:f>Validation!$H$3=1</xm:f>
            <x14:dxf>
              <fill>
                <patternFill>
                  <bgColor theme="2"/>
                </patternFill>
              </fill>
            </x14:dxf>
          </x14:cfRule>
          <xm:sqref>AS11:AS19</xm:sqref>
        </x14:conditionalFormatting>
        <x14:conditionalFormatting xmlns:xm="http://schemas.microsoft.com/office/excel/2006/main">
          <x14:cfRule type="expression" priority="13" id="{AE65EDC3-8DEB-4B2A-A8F6-7E0BA7293EF9}">
            <xm:f>Validation!$H$3=1</xm:f>
            <x14:dxf>
              <fill>
                <patternFill>
                  <bgColor rgb="FFE6E6E6"/>
                </patternFill>
              </fill>
            </x14:dxf>
          </x14:cfRule>
          <xm:sqref>AP6:AR9 AP11:AR19</xm:sqref>
        </x14:conditionalFormatting>
        <x14:conditionalFormatting xmlns:xm="http://schemas.microsoft.com/office/excel/2006/main">
          <x14:cfRule type="expression" priority="12" id="{A0BE1A1E-7BE4-4E60-AAB1-D032DC09F5D6}">
            <xm:f>Validation!$H$3=1</xm:f>
            <x14:dxf>
              <fill>
                <patternFill>
                  <bgColor theme="2"/>
                </patternFill>
              </fill>
            </x14:dxf>
          </x14:cfRule>
          <xm:sqref>AU45:AU51</xm:sqref>
        </x14:conditionalFormatting>
        <x14:conditionalFormatting xmlns:xm="http://schemas.microsoft.com/office/excel/2006/main">
          <x14:cfRule type="expression" priority="11" id="{7C0DB2B1-AAF4-44EA-A290-1CF8C13FD233}">
            <xm:f>Validation!$H$3=1</xm:f>
            <x14:dxf>
              <fill>
                <patternFill>
                  <bgColor theme="2"/>
                </patternFill>
              </fill>
            </x14:dxf>
          </x14:cfRule>
          <xm:sqref>AU38:AU39</xm:sqref>
        </x14:conditionalFormatting>
        <x14:conditionalFormatting xmlns:xm="http://schemas.microsoft.com/office/excel/2006/main">
          <x14:cfRule type="expression" priority="10" id="{02C75C35-6099-451C-AA18-45C6AE7D76FD}">
            <xm:f>Validation!$H$3=1</xm:f>
            <x14:dxf>
              <fill>
                <patternFill>
                  <bgColor theme="2"/>
                </patternFill>
              </fill>
            </x14:dxf>
          </x14:cfRule>
          <xm:sqref>AU40:AU41 AU43:AU44</xm:sqref>
        </x14:conditionalFormatting>
        <x14:conditionalFormatting xmlns:xm="http://schemas.microsoft.com/office/excel/2006/main">
          <x14:cfRule type="expression" priority="9" id="{9A7EAFB6-3DB1-467F-99E5-F5D2C99C328F}">
            <xm:f>Validation!$H$3=1</xm:f>
            <x14:dxf>
              <fill>
                <patternFill>
                  <bgColor theme="2"/>
                </patternFill>
              </fill>
            </x14:dxf>
          </x14:cfRule>
          <xm:sqref>AX31</xm:sqref>
        </x14:conditionalFormatting>
        <x14:conditionalFormatting xmlns:xm="http://schemas.microsoft.com/office/excel/2006/main">
          <x14:cfRule type="expression" priority="8" id="{B1710506-6579-46C8-9A69-18E7BE8177D6}">
            <xm:f>Validation!$H$3=1</xm:f>
            <x14:dxf>
              <fill>
                <patternFill>
                  <bgColor theme="2"/>
                </patternFill>
              </fill>
            </x14:dxf>
          </x14:cfRule>
          <xm:sqref>AP31:AR31 AT31:AW31</xm:sqref>
        </x14:conditionalFormatting>
        <x14:conditionalFormatting xmlns:xm="http://schemas.microsoft.com/office/excel/2006/main">
          <x14:cfRule type="expression" priority="7" id="{CB240360-CC3D-413D-BC37-64715836153B}">
            <xm:f>Validation!$H$3=1</xm:f>
            <x14:dxf>
              <fill>
                <patternFill>
                  <bgColor theme="2"/>
                </patternFill>
              </fill>
            </x14:dxf>
          </x14:cfRule>
          <xm:sqref>AS31</xm:sqref>
        </x14:conditionalFormatting>
        <x14:conditionalFormatting xmlns:xm="http://schemas.microsoft.com/office/excel/2006/main">
          <x14:cfRule type="expression" priority="6" id="{88FBF2EE-8C93-4B49-851B-909F860ACDE1}">
            <xm:f>Validation!$H$3=1</xm:f>
            <x14:dxf>
              <fill>
                <patternFill>
                  <bgColor rgb="FFE6E6E6"/>
                </patternFill>
              </fill>
            </x14:dxf>
          </x14:cfRule>
          <xm:sqref>AP24</xm:sqref>
        </x14:conditionalFormatting>
        <x14:conditionalFormatting xmlns:xm="http://schemas.microsoft.com/office/excel/2006/main">
          <x14:cfRule type="expression" priority="2" id="{043B6F9B-F6BE-450E-80EE-3CDB16AAAB5C}">
            <xm:f>Validation!$H$3=1</xm:f>
            <x14:dxf>
              <fill>
                <patternFill>
                  <bgColor rgb="FFE6E6E6"/>
                </patternFill>
              </fill>
            </x14:dxf>
          </x14:cfRule>
          <xm:sqref>J31</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8">
    <tabColor rgb="FF003479"/>
    <pageSetUpPr fitToPage="1"/>
  </sheetPr>
  <dimension ref="A1:L35"/>
  <sheetViews>
    <sheetView topLeftCell="A1048576" workbookViewId="0"/>
  </sheetViews>
  <sheetFormatPr defaultColWidth="0" defaultRowHeight="14.25" customHeight="1" zeroHeight="1"/>
  <cols>
    <col min="1" max="1" width="0.58203125" style="483" customWidth="1"/>
    <col min="2" max="8" width="8.58203125" style="483" hidden="1" customWidth="1"/>
    <col min="9" max="16384" width="8.58203125" style="483" hidden="1"/>
  </cols>
  <sheetData>
    <row r="1" spans="12:12" ht="14" hidden="1"/>
    <row r="2" spans="12:12" ht="51.75" hidden="1" customHeight="1"/>
    <row r="3" spans="12:12" ht="14.25" hidden="1" customHeight="1"/>
    <row r="4" spans="12:12" ht="14.25" hidden="1" customHeight="1"/>
    <row r="5" spans="12:12" ht="14.25" hidden="1" customHeight="1"/>
    <row r="6" spans="12:12" ht="14.25" hidden="1" customHeight="1">
      <c r="L6" s="483">
        <f>IF(Validation!$H$3=1,0,IF(ISNUMBER(#REF!),0,1))</f>
        <v>0</v>
      </c>
    </row>
    <row r="7" spans="12:12" ht="14.25" hidden="1" customHeight="1"/>
    <row r="8" spans="12:12" ht="14.25" hidden="1" customHeight="1"/>
    <row r="9" spans="12:12" ht="14.25" hidden="1" customHeight="1"/>
    <row r="10" spans="12:12" ht="14.25" hidden="1" customHeight="1"/>
    <row r="11" spans="12:12" ht="14.25" hidden="1" customHeight="1"/>
    <row r="12" spans="12:12" ht="14.25" hidden="1" customHeight="1"/>
    <row r="13" spans="12:12" ht="14.25" hidden="1" customHeight="1"/>
    <row r="14" spans="12:12" ht="14.25" hidden="1" customHeight="1"/>
    <row r="15" spans="12:12" ht="14.25" hidden="1" customHeight="1"/>
    <row r="16" spans="12:12"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row r="34" spans="8:8" ht="14.25" hidden="1" customHeight="1"/>
    <row r="35" spans="8:8" ht="14.25" hidden="1" customHeight="1">
      <c r="H35" s="483" t="s">
        <v>30</v>
      </c>
    </row>
  </sheetData>
  <sheetProtection algorithmName="SHA-512" hashValue="CcYTz85iIBMSDG36SI1qP2TwDnVIfA+c8SVRY6TrdRtouo4UCG6GH/dk7CBXqB43aaNgkoQbcx+OWtB+zoySiQ==" saltValue="mi905sBsMOuwVT/tk6xnUQ=="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4">
    <tabColor rgb="FFFFC000"/>
    <pageSetUpPr fitToPage="1"/>
  </sheetPr>
  <dimension ref="A1:M76"/>
  <sheetViews>
    <sheetView workbookViewId="0"/>
  </sheetViews>
  <sheetFormatPr defaultColWidth="0" defaultRowHeight="14" zeroHeight="1"/>
  <cols>
    <col min="1" max="1" width="0.5" customWidth="1"/>
    <col min="2" max="2" width="4.08203125" customWidth="1"/>
    <col min="3" max="3" width="79.08203125" customWidth="1"/>
    <col min="4" max="4" width="9.08203125" customWidth="1"/>
    <col min="5" max="5" width="6.08203125" customWidth="1"/>
    <col min="6" max="6" width="11.08203125" customWidth="1"/>
    <col min="7" max="7" width="10.58203125" customWidth="1"/>
    <col min="8" max="8" width="3.75" customWidth="1"/>
    <col min="9" max="9" width="22.58203125" customWidth="1"/>
    <col min="10" max="10" width="1" customWidth="1"/>
    <col min="11" max="11" width="1.08203125" hidden="1" customWidth="1"/>
    <col min="12" max="12" width="18.58203125" hidden="1" customWidth="1"/>
    <col min="13" max="13" width="0.58203125" hidden="1" customWidth="1"/>
    <col min="14" max="16384" width="8.58203125" hidden="1"/>
  </cols>
  <sheetData>
    <row r="1" spans="1:13" ht="20">
      <c r="A1" s="74" t="s">
        <v>175</v>
      </c>
      <c r="B1" s="1355" t="s">
        <v>8227</v>
      </c>
      <c r="C1" s="1925"/>
      <c r="D1" s="1355"/>
      <c r="E1" s="1355"/>
      <c r="F1" s="1355" t="str">
        <f>Validation!B3</f>
        <v>Bristol Water</v>
      </c>
      <c r="G1" s="1355"/>
      <c r="H1" s="1355"/>
      <c r="I1" s="69" t="s">
        <v>32</v>
      </c>
      <c r="J1" s="70"/>
      <c r="K1" s="71"/>
      <c r="L1" s="70"/>
      <c r="M1" s="71"/>
    </row>
    <row r="2" spans="1:13" ht="14.5" thickBot="1">
      <c r="A2" s="74"/>
      <c r="B2" s="73" t="s">
        <v>18</v>
      </c>
      <c r="C2" s="74"/>
      <c r="D2" s="74"/>
      <c r="E2" s="74"/>
      <c r="F2" s="74"/>
      <c r="G2" s="74"/>
      <c r="H2" s="70"/>
      <c r="I2" s="70"/>
      <c r="J2" s="70"/>
      <c r="K2" s="71"/>
      <c r="L2" s="70"/>
      <c r="M2" s="71"/>
    </row>
    <row r="3" spans="1:13" ht="14.5" thickBot="1">
      <c r="A3" s="74"/>
      <c r="B3" s="1356" t="s">
        <v>191</v>
      </c>
      <c r="C3" s="968" t="s">
        <v>3980</v>
      </c>
      <c r="D3" s="969" t="s">
        <v>2462</v>
      </c>
      <c r="E3" s="1357" t="s">
        <v>36</v>
      </c>
      <c r="F3" s="1521" t="s">
        <v>37</v>
      </c>
      <c r="G3" s="2864" t="s">
        <v>156</v>
      </c>
      <c r="H3" s="70"/>
      <c r="I3" s="1376" t="s">
        <v>41</v>
      </c>
      <c r="J3" s="70"/>
      <c r="K3" s="71"/>
      <c r="L3" s="1527" t="s">
        <v>45</v>
      </c>
      <c r="M3" s="71"/>
    </row>
    <row r="4" spans="1:13" ht="14.5" thickBot="1">
      <c r="A4" s="74"/>
      <c r="B4" s="542"/>
      <c r="C4" s="1882"/>
      <c r="D4" s="1358"/>
      <c r="E4" s="1358"/>
      <c r="F4" s="1358"/>
      <c r="G4" s="1882"/>
      <c r="H4" s="70"/>
      <c r="I4" s="70"/>
      <c r="J4" s="70"/>
      <c r="K4" s="71"/>
      <c r="L4" s="85" t="s">
        <v>46</v>
      </c>
      <c r="M4" s="71"/>
    </row>
    <row r="5" spans="1:13" ht="14.5" thickBot="1">
      <c r="A5" s="74"/>
      <c r="B5" s="1359" t="s">
        <v>153</v>
      </c>
      <c r="C5" s="1360" t="s">
        <v>8228</v>
      </c>
      <c r="D5" s="542"/>
      <c r="E5" s="542"/>
      <c r="F5" s="542"/>
      <c r="G5" s="1882"/>
      <c r="H5" s="70"/>
      <c r="I5" s="70"/>
      <c r="J5" s="70"/>
      <c r="K5" s="71"/>
      <c r="L5" s="70"/>
      <c r="M5" s="71"/>
    </row>
    <row r="6" spans="1:13" ht="16">
      <c r="A6" s="74"/>
      <c r="B6" s="1361" t="s">
        <v>7234</v>
      </c>
      <c r="C6" s="1362" t="s">
        <v>8229</v>
      </c>
      <c r="D6" s="2135" t="s">
        <v>8230</v>
      </c>
      <c r="E6" s="1363" t="s">
        <v>764</v>
      </c>
      <c r="F6" s="1364">
        <v>0</v>
      </c>
      <c r="G6" s="1512"/>
      <c r="H6" s="70"/>
      <c r="I6" s="24">
        <f xml:space="preserve"> IF( SUM( K6:M6 ) = 0, 0, $L$4 )</f>
        <v>0</v>
      </c>
      <c r="J6" s="1161"/>
      <c r="K6" s="71"/>
      <c r="L6" s="93">
        <f>IF(Validation!$H$3=1,0,IF(ISNUMBER(G6),0,1))</f>
        <v>0</v>
      </c>
      <c r="M6" s="71"/>
    </row>
    <row r="7" spans="1:13" ht="16">
      <c r="A7" s="74"/>
      <c r="B7" s="1365" t="s">
        <v>7235</v>
      </c>
      <c r="C7" s="1366" t="s">
        <v>8231</v>
      </c>
      <c r="D7" s="2136" t="s">
        <v>8232</v>
      </c>
      <c r="E7" s="1497" t="s">
        <v>1653</v>
      </c>
      <c r="F7" s="1368">
        <v>3</v>
      </c>
      <c r="G7" s="619"/>
      <c r="H7" s="70"/>
      <c r="I7" s="24">
        <f t="shared" ref="I7:I11" si="0" xml:space="preserve"> IF( SUM( K7:M7 ) = 0, 0, $L$4 )</f>
        <v>0</v>
      </c>
      <c r="J7" s="1161"/>
      <c r="K7" s="71"/>
      <c r="L7" s="93">
        <f>IF(Validation!$H$3=1,0,IF(ISNUMBER(G7),0,1))</f>
        <v>0</v>
      </c>
      <c r="M7" s="71"/>
    </row>
    <row r="8" spans="1:13" ht="16">
      <c r="A8" s="74"/>
      <c r="B8" s="1365" t="s">
        <v>8233</v>
      </c>
      <c r="C8" s="1366" t="s">
        <v>8234</v>
      </c>
      <c r="D8" s="2136" t="s">
        <v>8235</v>
      </c>
      <c r="E8" s="1367" t="s">
        <v>764</v>
      </c>
      <c r="F8" s="1368">
        <v>0</v>
      </c>
      <c r="G8" s="1513"/>
      <c r="H8" s="70"/>
      <c r="I8" s="24">
        <f t="shared" si="0"/>
        <v>0</v>
      </c>
      <c r="J8" s="1161"/>
      <c r="K8" s="71"/>
      <c r="L8" s="93">
        <f>IF(Validation!$H$3=1,0,IF(ISNUMBER(G8),0,1))</f>
        <v>0</v>
      </c>
      <c r="M8" s="71"/>
    </row>
    <row r="9" spans="1:13" ht="16">
      <c r="A9" s="74"/>
      <c r="B9" s="1365" t="s">
        <v>8236</v>
      </c>
      <c r="C9" s="1366" t="s">
        <v>8237</v>
      </c>
      <c r="D9" s="2136" t="s">
        <v>8238</v>
      </c>
      <c r="E9" s="1367" t="s">
        <v>764</v>
      </c>
      <c r="F9" s="1368">
        <v>0</v>
      </c>
      <c r="G9" s="1513"/>
      <c r="H9" s="70"/>
      <c r="I9" s="24">
        <f t="shared" si="0"/>
        <v>0</v>
      </c>
      <c r="J9" s="1161"/>
      <c r="K9" s="71"/>
      <c r="L9" s="93">
        <f>IF(Validation!$H$3=1,0,IF(ISNUMBER(G9),0,1))</f>
        <v>0</v>
      </c>
      <c r="M9" s="71"/>
    </row>
    <row r="10" spans="1:13" ht="16">
      <c r="A10" s="74"/>
      <c r="B10" s="1365" t="s">
        <v>8239</v>
      </c>
      <c r="C10" s="1366" t="s">
        <v>8240</v>
      </c>
      <c r="D10" s="2136" t="s">
        <v>8241</v>
      </c>
      <c r="E10" s="1367" t="s">
        <v>764</v>
      </c>
      <c r="F10" s="1368">
        <v>0</v>
      </c>
      <c r="G10" s="1514"/>
      <c r="H10" s="70"/>
      <c r="I10" s="24">
        <f t="shared" si="0"/>
        <v>0</v>
      </c>
      <c r="J10" s="1161"/>
      <c r="K10" s="71"/>
      <c r="L10" s="93">
        <f>IF(Validation!$H$3=1,0,IF(ISNUMBER(G10),0,1))</f>
        <v>0</v>
      </c>
      <c r="M10" s="71"/>
    </row>
    <row r="11" spans="1:13" ht="16.5" thickBot="1">
      <c r="A11" s="74"/>
      <c r="B11" s="1369" t="s">
        <v>8242</v>
      </c>
      <c r="C11" s="1370" t="s">
        <v>8243</v>
      </c>
      <c r="D11" s="2137" t="s">
        <v>8244</v>
      </c>
      <c r="E11" s="1371" t="s">
        <v>764</v>
      </c>
      <c r="F11" s="1372">
        <v>0</v>
      </c>
      <c r="G11" s="1515"/>
      <c r="H11" s="70"/>
      <c r="I11" s="24">
        <f t="shared" si="0"/>
        <v>0</v>
      </c>
      <c r="J11" s="1161"/>
      <c r="K11" s="71"/>
      <c r="L11" s="93">
        <f>IF(Validation!$H$3=1,0,IF(ISNUMBER(G11),0,1))</f>
        <v>0</v>
      </c>
      <c r="M11" s="71"/>
    </row>
    <row r="12" spans="1:13" ht="14.5" thickBot="1">
      <c r="A12" s="74"/>
      <c r="B12" s="542"/>
      <c r="C12" s="1882"/>
      <c r="D12" s="2138"/>
      <c r="E12" s="542"/>
      <c r="F12" s="542"/>
      <c r="G12" s="1882"/>
      <c r="H12" s="70"/>
      <c r="I12" s="70"/>
      <c r="J12" s="70"/>
      <c r="K12" s="71"/>
      <c r="L12" s="70"/>
      <c r="M12" s="71"/>
    </row>
    <row r="13" spans="1:13" ht="14.5" thickBot="1">
      <c r="A13" s="74"/>
      <c r="B13" s="1359" t="s">
        <v>175</v>
      </c>
      <c r="C13" s="1360" t="s">
        <v>8245</v>
      </c>
      <c r="D13" s="2138"/>
      <c r="E13" s="542"/>
      <c r="F13" s="542"/>
      <c r="G13" s="1882"/>
      <c r="H13" s="70"/>
      <c r="I13" s="70"/>
      <c r="J13" s="70"/>
      <c r="K13" s="71"/>
      <c r="L13" s="70"/>
      <c r="M13" s="71"/>
    </row>
    <row r="14" spans="1:13" ht="16">
      <c r="A14" s="74"/>
      <c r="B14" s="1361" t="s">
        <v>7236</v>
      </c>
      <c r="C14" s="1362" t="s">
        <v>8246</v>
      </c>
      <c r="D14" s="2135" t="s">
        <v>8247</v>
      </c>
      <c r="E14" s="1363" t="s">
        <v>764</v>
      </c>
      <c r="F14" s="1364">
        <v>0</v>
      </c>
      <c r="G14" s="1512"/>
      <c r="H14" s="70"/>
      <c r="I14" s="24">
        <f t="shared" ref="I14:I16" si="1" xml:space="preserve"> IF( SUM( K14:M14 ) = 0, 0, $L$4 )</f>
        <v>0</v>
      </c>
      <c r="J14" s="1161"/>
      <c r="K14" s="71"/>
      <c r="L14" s="93">
        <f>IF(Validation!$H$3=1,0,IF(ISNUMBER(G14),0,1))</f>
        <v>0</v>
      </c>
      <c r="M14" s="71"/>
    </row>
    <row r="15" spans="1:13" ht="16">
      <c r="A15" s="74"/>
      <c r="B15" s="1365" t="s">
        <v>7237</v>
      </c>
      <c r="C15" s="1366" t="s">
        <v>8248</v>
      </c>
      <c r="D15" s="2136" t="s">
        <v>8249</v>
      </c>
      <c r="E15" s="1367" t="s">
        <v>764</v>
      </c>
      <c r="F15" s="1368">
        <v>0</v>
      </c>
      <c r="G15" s="1513"/>
      <c r="H15" s="70"/>
      <c r="I15" s="24">
        <f t="shared" si="1"/>
        <v>0</v>
      </c>
      <c r="J15" s="1161"/>
      <c r="K15" s="71"/>
      <c r="L15" s="93">
        <f>IF(Validation!$H$3=1,0,IF(ISNUMBER(G15),0,1))</f>
        <v>0</v>
      </c>
      <c r="M15" s="71"/>
    </row>
    <row r="16" spans="1:13" ht="16.5" thickBot="1">
      <c r="A16" s="74"/>
      <c r="B16" s="1369" t="s">
        <v>8250</v>
      </c>
      <c r="C16" s="1370" t="s">
        <v>8251</v>
      </c>
      <c r="D16" s="2137" t="s">
        <v>8252</v>
      </c>
      <c r="E16" s="1371" t="s">
        <v>764</v>
      </c>
      <c r="F16" s="1372">
        <v>0</v>
      </c>
      <c r="G16" s="1515"/>
      <c r="H16" s="70"/>
      <c r="I16" s="24">
        <f t="shared" si="1"/>
        <v>0</v>
      </c>
      <c r="J16" s="1161"/>
      <c r="K16" s="71"/>
      <c r="L16" s="93">
        <f>IF(Validation!$H$3=1,0,IF(ISNUMBER(G16),0,1))</f>
        <v>0</v>
      </c>
      <c r="M16" s="71"/>
    </row>
    <row r="17" spans="1:13" ht="14.5" thickBot="1">
      <c r="A17" s="74"/>
      <c r="B17" s="542"/>
      <c r="C17" s="1882"/>
      <c r="D17" s="2138"/>
      <c r="E17" s="542"/>
      <c r="F17" s="542"/>
      <c r="G17" s="1882"/>
      <c r="H17" s="70"/>
      <c r="I17" s="70"/>
      <c r="J17" s="70"/>
      <c r="K17" s="71"/>
      <c r="L17" s="70"/>
      <c r="M17" s="71"/>
    </row>
    <row r="18" spans="1:13" ht="14.5" thickBot="1">
      <c r="A18" s="74"/>
      <c r="B18" s="1359" t="s">
        <v>333</v>
      </c>
      <c r="C18" s="1360" t="s">
        <v>8253</v>
      </c>
      <c r="D18" s="2138"/>
      <c r="E18" s="542"/>
      <c r="F18" s="542"/>
      <c r="G18" s="1882"/>
      <c r="H18" s="70"/>
      <c r="I18" s="70"/>
      <c r="J18" s="70"/>
      <c r="K18" s="71"/>
      <c r="L18" s="70"/>
      <c r="M18" s="71"/>
    </row>
    <row r="19" spans="1:13" ht="16">
      <c r="A19" s="74"/>
      <c r="B19" s="1361" t="s">
        <v>8254</v>
      </c>
      <c r="C19" s="1373" t="s">
        <v>8255</v>
      </c>
      <c r="D19" s="2135" t="s">
        <v>8256</v>
      </c>
      <c r="E19" s="1363" t="s">
        <v>764</v>
      </c>
      <c r="F19" s="1364">
        <v>0</v>
      </c>
      <c r="G19" s="1512"/>
      <c r="H19" s="70"/>
      <c r="I19" s="24">
        <f t="shared" ref="I19:I20" si="2" xml:space="preserve"> IF( SUM( K19:M19 ) = 0, 0, $L$4 )</f>
        <v>0</v>
      </c>
      <c r="J19" s="1161"/>
      <c r="K19" s="71"/>
      <c r="L19" s="93">
        <f>IF(Validation!$H$3=1,0,IF(ISNUMBER(G19),0,1))</f>
        <v>0</v>
      </c>
      <c r="M19" s="71"/>
    </row>
    <row r="20" spans="1:13" ht="16.5" thickBot="1">
      <c r="A20" s="74"/>
      <c r="B20" s="1369" t="s">
        <v>8257</v>
      </c>
      <c r="C20" s="1370" t="s">
        <v>8258</v>
      </c>
      <c r="D20" s="2137" t="s">
        <v>8259</v>
      </c>
      <c r="E20" s="1371" t="s">
        <v>764</v>
      </c>
      <c r="F20" s="1372">
        <v>0</v>
      </c>
      <c r="G20" s="1515"/>
      <c r="H20" s="70"/>
      <c r="I20" s="24">
        <f t="shared" si="2"/>
        <v>0</v>
      </c>
      <c r="J20" s="1161"/>
      <c r="K20" s="71"/>
      <c r="L20" s="93">
        <f>IF(Validation!$H$3=1,0,IF(ISNUMBER(G20),0,1))</f>
        <v>0</v>
      </c>
      <c r="M20" s="71"/>
    </row>
    <row r="21" spans="1:13" ht="14.5" thickBot="1">
      <c r="A21" s="74"/>
      <c r="B21" s="542"/>
      <c r="C21" s="1882"/>
      <c r="D21" s="2138"/>
      <c r="E21" s="542"/>
      <c r="F21" s="542"/>
      <c r="G21" s="1882"/>
      <c r="H21" s="70"/>
      <c r="I21" s="70"/>
      <c r="J21" s="70"/>
      <c r="K21" s="71"/>
      <c r="L21" s="70"/>
      <c r="M21" s="71"/>
    </row>
    <row r="22" spans="1:13" ht="14.5" thickBot="1">
      <c r="A22" s="74"/>
      <c r="B22" s="1359" t="s">
        <v>390</v>
      </c>
      <c r="C22" s="1360" t="s">
        <v>8260</v>
      </c>
      <c r="D22" s="2138"/>
      <c r="E22" s="542"/>
      <c r="F22" s="542"/>
      <c r="G22" s="1882"/>
      <c r="H22" s="70"/>
      <c r="I22" s="70"/>
      <c r="J22" s="70"/>
      <c r="K22" s="71"/>
      <c r="L22" s="70"/>
      <c r="M22" s="71"/>
    </row>
    <row r="23" spans="1:13" ht="16">
      <c r="A23" s="74"/>
      <c r="B23" s="1361" t="s">
        <v>8261</v>
      </c>
      <c r="C23" s="1362" t="s">
        <v>8262</v>
      </c>
      <c r="D23" s="2135" t="s">
        <v>8263</v>
      </c>
      <c r="E23" s="1363" t="s">
        <v>7122</v>
      </c>
      <c r="F23" s="1364">
        <v>2</v>
      </c>
      <c r="G23" s="1516"/>
      <c r="H23" s="70"/>
      <c r="I23" s="24">
        <f t="shared" ref="I23:I27" si="3" xml:space="preserve"> IF( SUM( K23:M23 ) = 0, 0, $L$4 )</f>
        <v>0</v>
      </c>
      <c r="J23" s="1161"/>
      <c r="K23" s="71"/>
      <c r="L23" s="93">
        <f>IF(Validation!$H$3=1,0,IF(ISNUMBER(G23),0,1))</f>
        <v>0</v>
      </c>
      <c r="M23" s="71"/>
    </row>
    <row r="24" spans="1:13" ht="16">
      <c r="A24" s="74"/>
      <c r="B24" s="1365" t="s">
        <v>8264</v>
      </c>
      <c r="C24" s="1366" t="s">
        <v>8265</v>
      </c>
      <c r="D24" s="2136" t="s">
        <v>8266</v>
      </c>
      <c r="E24" s="1367" t="s">
        <v>7122</v>
      </c>
      <c r="F24" s="1368">
        <v>2</v>
      </c>
      <c r="G24" s="1517"/>
      <c r="H24" s="70"/>
      <c r="I24" s="24">
        <f t="shared" si="3"/>
        <v>0</v>
      </c>
      <c r="J24" s="1161"/>
      <c r="K24" s="71"/>
      <c r="L24" s="93">
        <f>IF(Validation!$H$3=1,0,IF(ISNUMBER(G24),0,1))</f>
        <v>0</v>
      </c>
      <c r="M24" s="71"/>
    </row>
    <row r="25" spans="1:13" ht="16">
      <c r="A25" s="74"/>
      <c r="B25" s="1365" t="s">
        <v>8267</v>
      </c>
      <c r="C25" s="1366" t="s">
        <v>8268</v>
      </c>
      <c r="D25" s="2136" t="s">
        <v>8269</v>
      </c>
      <c r="E25" s="1367" t="s">
        <v>7122</v>
      </c>
      <c r="F25" s="1368">
        <v>2</v>
      </c>
      <c r="G25" s="1517"/>
      <c r="H25" s="70"/>
      <c r="I25" s="24">
        <f t="shared" si="3"/>
        <v>0</v>
      </c>
      <c r="J25" s="1161"/>
      <c r="K25" s="71"/>
      <c r="L25" s="93">
        <f>IF(Validation!$H$3=1,0,IF(ISNUMBER(G25),0,1))</f>
        <v>0</v>
      </c>
      <c r="M25" s="71"/>
    </row>
    <row r="26" spans="1:13" ht="16">
      <c r="A26" s="74"/>
      <c r="B26" s="1365" t="s">
        <v>8270</v>
      </c>
      <c r="C26" s="1374" t="s">
        <v>8271</v>
      </c>
      <c r="D26" s="2136" t="s">
        <v>8272</v>
      </c>
      <c r="E26" s="1367" t="s">
        <v>764</v>
      </c>
      <c r="F26" s="1375">
        <v>0</v>
      </c>
      <c r="G26" s="1514"/>
      <c r="H26" s="70"/>
      <c r="I26" s="24">
        <f t="shared" si="3"/>
        <v>0</v>
      </c>
      <c r="J26" s="1161"/>
      <c r="K26" s="71"/>
      <c r="L26" s="93">
        <f>IF(Validation!$H$3=1,0,IF(ISNUMBER(G26),0,1))</f>
        <v>0</v>
      </c>
      <c r="M26" s="71"/>
    </row>
    <row r="27" spans="1:13" ht="16.5" thickBot="1">
      <c r="A27" s="74"/>
      <c r="B27" s="1369" t="s">
        <v>8273</v>
      </c>
      <c r="C27" s="1370" t="s">
        <v>8274</v>
      </c>
      <c r="D27" s="2139" t="s">
        <v>8275</v>
      </c>
      <c r="E27" s="1371" t="s">
        <v>764</v>
      </c>
      <c r="F27" s="1372">
        <v>0</v>
      </c>
      <c r="G27" s="1515"/>
      <c r="H27" s="70"/>
      <c r="I27" s="24">
        <f t="shared" si="3"/>
        <v>0</v>
      </c>
      <c r="J27" s="1161"/>
      <c r="K27" s="71"/>
      <c r="L27" s="93">
        <f>IF(Validation!$H$3=1,0,IF(ISNUMBER(G27),0,1))</f>
        <v>0</v>
      </c>
      <c r="M27" s="71"/>
    </row>
    <row r="28" spans="1:13" ht="14.5" thickBot="1">
      <c r="A28" s="74"/>
      <c r="B28" s="542"/>
      <c r="C28" s="1882"/>
      <c r="D28" s="2138"/>
      <c r="E28" s="542"/>
      <c r="F28" s="542"/>
      <c r="G28" s="1882"/>
      <c r="H28" s="70"/>
      <c r="I28" s="70"/>
      <c r="J28" s="70"/>
      <c r="K28" s="71"/>
      <c r="L28" s="70"/>
      <c r="M28" s="71"/>
    </row>
    <row r="29" spans="1:13" ht="14.5" thickBot="1">
      <c r="A29" s="74"/>
      <c r="B29" s="1359" t="s">
        <v>464</v>
      </c>
      <c r="C29" s="1360" t="s">
        <v>8276</v>
      </c>
      <c r="D29" s="2138"/>
      <c r="E29" s="542"/>
      <c r="F29" s="542"/>
      <c r="G29" s="1882"/>
      <c r="H29" s="70"/>
      <c r="I29" s="70"/>
      <c r="J29" s="70"/>
      <c r="K29" s="71"/>
      <c r="L29" s="70"/>
      <c r="M29" s="71"/>
    </row>
    <row r="30" spans="1:13" ht="16">
      <c r="A30" s="74"/>
      <c r="B30" s="1361" t="s">
        <v>8277</v>
      </c>
      <c r="C30" s="1362" t="s">
        <v>8278</v>
      </c>
      <c r="D30" s="2135" t="s">
        <v>8279</v>
      </c>
      <c r="E30" s="1363" t="s">
        <v>7122</v>
      </c>
      <c r="F30" s="1364">
        <v>2</v>
      </c>
      <c r="G30" s="1516"/>
      <c r="H30" s="70"/>
      <c r="I30" s="24">
        <f t="shared" ref="I30:I34" si="4" xml:space="preserve"> IF( SUM( K30:M30 ) = 0, 0, $L$4 )</f>
        <v>0</v>
      </c>
      <c r="J30" s="1161"/>
      <c r="K30" s="71"/>
      <c r="L30" s="93">
        <f>IF(Validation!$H$3=1,0,IF(ISNUMBER(G30),0,1))</f>
        <v>0</v>
      </c>
      <c r="M30" s="71"/>
    </row>
    <row r="31" spans="1:13" ht="16">
      <c r="A31" s="74"/>
      <c r="B31" s="1365" t="s">
        <v>8280</v>
      </c>
      <c r="C31" s="1366" t="s">
        <v>8281</v>
      </c>
      <c r="D31" s="2136" t="s">
        <v>8282</v>
      </c>
      <c r="E31" s="1367" t="s">
        <v>7122</v>
      </c>
      <c r="F31" s="1368">
        <v>2</v>
      </c>
      <c r="G31" s="1517"/>
      <c r="H31" s="70"/>
      <c r="I31" s="24">
        <f t="shared" si="4"/>
        <v>0</v>
      </c>
      <c r="J31" s="1161"/>
      <c r="K31" s="71"/>
      <c r="L31" s="93">
        <f>IF(Validation!$H$3=1,0,IF(ISNUMBER(G31),0,1))</f>
        <v>0</v>
      </c>
      <c r="M31" s="71"/>
    </row>
    <row r="32" spans="1:13" ht="16">
      <c r="A32" s="74"/>
      <c r="B32" s="1365" t="s">
        <v>8283</v>
      </c>
      <c r="C32" s="1366" t="s">
        <v>8284</v>
      </c>
      <c r="D32" s="2136" t="s">
        <v>8285</v>
      </c>
      <c r="E32" s="1367" t="s">
        <v>7122</v>
      </c>
      <c r="F32" s="1368">
        <v>2</v>
      </c>
      <c r="G32" s="1517"/>
      <c r="H32" s="70"/>
      <c r="I32" s="24">
        <f t="shared" si="4"/>
        <v>0</v>
      </c>
      <c r="J32" s="1161"/>
      <c r="K32" s="71"/>
      <c r="L32" s="93">
        <f>IF(Validation!$H$3=1,0,IF(ISNUMBER(G32),0,1))</f>
        <v>0</v>
      </c>
      <c r="M32" s="71"/>
    </row>
    <row r="33" spans="1:13" ht="16">
      <c r="A33" s="74"/>
      <c r="B33" s="1365" t="s">
        <v>8286</v>
      </c>
      <c r="C33" s="1374" t="s">
        <v>8287</v>
      </c>
      <c r="D33" s="2136" t="s">
        <v>8288</v>
      </c>
      <c r="E33" s="1472" t="s">
        <v>764</v>
      </c>
      <c r="F33" s="1375">
        <v>0</v>
      </c>
      <c r="G33" s="1514"/>
      <c r="H33" s="70"/>
      <c r="I33" s="24">
        <f t="shared" si="4"/>
        <v>0</v>
      </c>
      <c r="J33" s="1161"/>
      <c r="K33" s="71"/>
      <c r="L33" s="93">
        <f>IF(Validation!$H$3=1,0,IF(ISNUMBER(G33),0,1))</f>
        <v>0</v>
      </c>
      <c r="M33" s="71"/>
    </row>
    <row r="34" spans="1:13" ht="16.5" thickBot="1">
      <c r="A34" s="74"/>
      <c r="B34" s="1369" t="s">
        <v>8289</v>
      </c>
      <c r="C34" s="1370" t="s">
        <v>8290</v>
      </c>
      <c r="D34" s="2137" t="s">
        <v>8291</v>
      </c>
      <c r="E34" s="1371" t="s">
        <v>764</v>
      </c>
      <c r="F34" s="1372">
        <v>0</v>
      </c>
      <c r="G34" s="1515"/>
      <c r="H34" s="70"/>
      <c r="I34" s="24">
        <f t="shared" si="4"/>
        <v>0</v>
      </c>
      <c r="J34" s="1161"/>
      <c r="K34" s="71"/>
      <c r="L34" s="93">
        <f>IF(Validation!$H$3=1,0,IF(ISNUMBER(G34),0,1))</f>
        <v>0</v>
      </c>
      <c r="M34" s="71"/>
    </row>
    <row r="35" spans="1:13" ht="14.5" thickBot="1">
      <c r="A35" s="74"/>
      <c r="B35" s="542"/>
      <c r="C35" s="1882"/>
      <c r="D35" s="2138"/>
      <c r="E35" s="542"/>
      <c r="F35" s="542"/>
      <c r="G35" s="1882"/>
      <c r="H35" s="70"/>
      <c r="I35" s="70"/>
      <c r="J35" s="70"/>
      <c r="K35" s="71"/>
      <c r="L35" s="70"/>
      <c r="M35" s="71"/>
    </row>
    <row r="36" spans="1:13" ht="14.5" thickBot="1">
      <c r="A36" s="74"/>
      <c r="B36" s="1359" t="s">
        <v>2323</v>
      </c>
      <c r="C36" s="1360" t="s">
        <v>8292</v>
      </c>
      <c r="D36" s="2138"/>
      <c r="E36" s="542"/>
      <c r="F36" s="542"/>
      <c r="G36" s="1882"/>
      <c r="H36" s="70"/>
      <c r="I36" s="70"/>
      <c r="J36" s="70"/>
      <c r="K36" s="71"/>
      <c r="L36" s="70"/>
      <c r="M36" s="71"/>
    </row>
    <row r="37" spans="1:13" ht="16">
      <c r="A37" s="74"/>
      <c r="B37" s="1361" t="s">
        <v>8293</v>
      </c>
      <c r="C37" s="1362" t="s">
        <v>8294</v>
      </c>
      <c r="D37" s="2135" t="s">
        <v>8295</v>
      </c>
      <c r="E37" s="1363" t="s">
        <v>7122</v>
      </c>
      <c r="F37" s="1364">
        <v>2</v>
      </c>
      <c r="G37" s="1516"/>
      <c r="H37" s="70"/>
      <c r="I37" s="24">
        <f t="shared" ref="I37:I41" si="5" xml:space="preserve"> IF( SUM( K37:M37 ) = 0, 0, $L$4 )</f>
        <v>0</v>
      </c>
      <c r="J37" s="1161"/>
      <c r="K37" s="71"/>
      <c r="L37" s="93">
        <f>IF(Validation!$H$3=1,0,IF(ISNUMBER(G37),0,1))</f>
        <v>0</v>
      </c>
      <c r="M37" s="71"/>
    </row>
    <row r="38" spans="1:13" ht="16">
      <c r="A38" s="74"/>
      <c r="B38" s="1365" t="s">
        <v>8296</v>
      </c>
      <c r="C38" s="1366" t="s">
        <v>8297</v>
      </c>
      <c r="D38" s="2136" t="s">
        <v>8298</v>
      </c>
      <c r="E38" s="1367" t="s">
        <v>7122</v>
      </c>
      <c r="F38" s="1368">
        <v>2</v>
      </c>
      <c r="G38" s="1517"/>
      <c r="H38" s="70"/>
      <c r="I38" s="24">
        <f t="shared" si="5"/>
        <v>0</v>
      </c>
      <c r="J38" s="1161"/>
      <c r="K38" s="71"/>
      <c r="L38" s="93">
        <f>IF(Validation!$H$3=1,0,IF(ISNUMBER(G38),0,1))</f>
        <v>0</v>
      </c>
      <c r="M38" s="71"/>
    </row>
    <row r="39" spans="1:13" ht="16">
      <c r="A39" s="74"/>
      <c r="B39" s="1365" t="s">
        <v>8299</v>
      </c>
      <c r="C39" s="1366" t="s">
        <v>8300</v>
      </c>
      <c r="D39" s="2136" t="s">
        <v>8301</v>
      </c>
      <c r="E39" s="1367" t="s">
        <v>7122</v>
      </c>
      <c r="F39" s="1368">
        <v>2</v>
      </c>
      <c r="G39" s="1517"/>
      <c r="H39" s="70"/>
      <c r="I39" s="24">
        <f t="shared" si="5"/>
        <v>0</v>
      </c>
      <c r="J39" s="1161"/>
      <c r="K39" s="71"/>
      <c r="L39" s="93">
        <f>IF(Validation!$H$3=1,0,IF(ISNUMBER(G39),0,1))</f>
        <v>0</v>
      </c>
      <c r="M39" s="71"/>
    </row>
    <row r="40" spans="1:13" ht="16">
      <c r="A40" s="74"/>
      <c r="B40" s="1365" t="s">
        <v>8302</v>
      </c>
      <c r="C40" s="1374" t="s">
        <v>8303</v>
      </c>
      <c r="D40" s="2136" t="s">
        <v>8304</v>
      </c>
      <c r="E40" s="1472" t="s">
        <v>764</v>
      </c>
      <c r="F40" s="1375">
        <v>0</v>
      </c>
      <c r="G40" s="1514"/>
      <c r="H40" s="70"/>
      <c r="I40" s="24">
        <f t="shared" si="5"/>
        <v>0</v>
      </c>
      <c r="J40" s="1161"/>
      <c r="K40" s="71"/>
      <c r="L40" s="93">
        <f>IF(Validation!$H$3=1,0,IF(ISNUMBER(G40),0,1))</f>
        <v>0</v>
      </c>
      <c r="M40" s="71"/>
    </row>
    <row r="41" spans="1:13" ht="16.5" thickBot="1">
      <c r="A41" s="74"/>
      <c r="B41" s="1369" t="s">
        <v>8305</v>
      </c>
      <c r="C41" s="1370" t="s">
        <v>8306</v>
      </c>
      <c r="D41" s="2137" t="s">
        <v>8307</v>
      </c>
      <c r="E41" s="1371" t="s">
        <v>764</v>
      </c>
      <c r="F41" s="1372">
        <v>0</v>
      </c>
      <c r="G41" s="1515"/>
      <c r="H41" s="70"/>
      <c r="I41" s="24">
        <f t="shared" si="5"/>
        <v>0</v>
      </c>
      <c r="J41" s="1161"/>
      <c r="K41" s="71"/>
      <c r="L41" s="93">
        <f>IF(Validation!$H$3=1,0,IF(ISNUMBER(G41),0,1))</f>
        <v>0</v>
      </c>
      <c r="M41" s="71"/>
    </row>
    <row r="42" spans="1:13">
      <c r="A42" s="74"/>
      <c r="B42" s="74"/>
      <c r="C42" s="74"/>
      <c r="D42" s="74"/>
      <c r="E42" s="74"/>
      <c r="F42" s="74"/>
      <c r="G42" s="74"/>
      <c r="H42" s="70"/>
      <c r="I42" s="70"/>
      <c r="J42" s="70"/>
      <c r="K42" s="71"/>
      <c r="L42" s="70"/>
      <c r="M42" s="71"/>
    </row>
    <row r="43" spans="1:13" ht="16">
      <c r="A43" s="74"/>
      <c r="B43" s="3381" t="s">
        <v>241</v>
      </c>
      <c r="C43" s="3381"/>
      <c r="D43" s="74"/>
      <c r="E43" s="74"/>
      <c r="F43" s="74"/>
      <c r="G43" s="74"/>
      <c r="H43" s="70"/>
      <c r="I43" s="70"/>
      <c r="J43" s="70"/>
      <c r="K43" s="71"/>
      <c r="L43" s="70"/>
      <c r="M43" s="71"/>
    </row>
    <row r="44" spans="1:13">
      <c r="A44" s="74"/>
      <c r="B44" s="995"/>
      <c r="C44" s="1002"/>
      <c r="D44" s="74"/>
      <c r="E44" s="74"/>
      <c r="F44" s="74"/>
      <c r="G44" s="74"/>
      <c r="H44" s="70"/>
      <c r="I44" s="70"/>
      <c r="J44" s="70"/>
      <c r="K44" s="71"/>
      <c r="L44" s="70"/>
      <c r="M44" s="71"/>
    </row>
    <row r="45" spans="1:13" ht="16">
      <c r="A45" s="74"/>
      <c r="B45" s="1218"/>
      <c r="C45" s="1096" t="s">
        <v>188</v>
      </c>
      <c r="D45" s="74"/>
      <c r="E45" s="74"/>
      <c r="F45" s="74"/>
      <c r="G45" s="74"/>
      <c r="H45" s="70"/>
      <c r="I45" s="70"/>
      <c r="J45" s="70"/>
      <c r="K45" s="71"/>
      <c r="L45" s="70"/>
      <c r="M45" s="71"/>
    </row>
    <row r="46" spans="1:13" ht="16">
      <c r="A46" s="74"/>
      <c r="B46" s="1161"/>
      <c r="C46" s="1161"/>
      <c r="D46" s="74"/>
      <c r="E46" s="74"/>
      <c r="F46" s="74"/>
      <c r="G46" s="74"/>
      <c r="H46" s="70"/>
      <c r="I46" s="70"/>
      <c r="J46" s="70"/>
      <c r="K46" s="71"/>
      <c r="L46" s="70"/>
      <c r="M46" s="71"/>
    </row>
    <row r="47" spans="1:13" ht="16">
      <c r="A47" s="74"/>
      <c r="B47" s="931"/>
      <c r="C47" s="1220" t="s">
        <v>4346</v>
      </c>
      <c r="D47" s="74"/>
      <c r="E47" s="74"/>
      <c r="F47" s="74"/>
      <c r="G47" s="74"/>
      <c r="H47" s="70"/>
      <c r="I47" s="70"/>
      <c r="J47" s="70"/>
      <c r="K47" s="71"/>
      <c r="L47" s="70"/>
      <c r="M47" s="71"/>
    </row>
    <row r="48" spans="1:13" ht="14.5" thickBot="1">
      <c r="A48" s="74"/>
      <c r="B48" s="74"/>
      <c r="C48" s="74"/>
      <c r="D48" s="74"/>
      <c r="E48" s="74"/>
      <c r="F48" s="74"/>
      <c r="G48" s="74"/>
      <c r="H48" s="70"/>
      <c r="I48" s="70"/>
      <c r="J48" s="70"/>
      <c r="K48" s="71"/>
      <c r="L48" s="70"/>
      <c r="M48" s="71"/>
    </row>
    <row r="49" spans="1:13" ht="15.5" thickBot="1">
      <c r="A49" s="74"/>
      <c r="B49" s="3175" t="str">
        <f ca="1" xml:space="preserve"> RIGHT(CELL("filename", $A$1), LEN(CELL("filename", $A$1)) - SEARCH("]", CELL("filename", $A$1)))&amp;" - Line definitions"</f>
        <v>Bioresources - Line definitions</v>
      </c>
      <c r="C49" s="3313"/>
      <c r="D49" s="3313"/>
      <c r="E49" s="3313"/>
      <c r="F49" s="3313"/>
      <c r="G49" s="3314"/>
      <c r="H49" s="70"/>
      <c r="I49" s="70"/>
      <c r="J49" s="70"/>
      <c r="K49" s="71"/>
      <c r="L49" s="70"/>
      <c r="M49" s="71"/>
    </row>
    <row r="50" spans="1:13">
      <c r="A50" s="74"/>
      <c r="B50" s="1518" t="s">
        <v>7234</v>
      </c>
      <c r="C50" s="3492" t="s">
        <v>8308</v>
      </c>
      <c r="D50" s="3493"/>
      <c r="E50" s="3493"/>
      <c r="F50" s="3493"/>
      <c r="G50" s="3494"/>
      <c r="H50" s="70"/>
      <c r="I50" s="70"/>
      <c r="J50" s="70"/>
      <c r="K50" s="71"/>
      <c r="L50" s="70"/>
      <c r="M50" s="71"/>
    </row>
    <row r="51" spans="1:13">
      <c r="A51" s="74"/>
      <c r="B51" s="1519" t="s">
        <v>7235</v>
      </c>
      <c r="C51" s="3489" t="s">
        <v>8309</v>
      </c>
      <c r="D51" s="3490"/>
      <c r="E51" s="3490"/>
      <c r="F51" s="3490"/>
      <c r="G51" s="3491"/>
      <c r="H51" s="70"/>
      <c r="I51" s="70"/>
      <c r="J51" s="70"/>
      <c r="K51" s="71"/>
      <c r="L51" s="70"/>
      <c r="M51" s="71"/>
    </row>
    <row r="52" spans="1:13">
      <c r="A52" s="74"/>
      <c r="B52" s="1519" t="s">
        <v>8233</v>
      </c>
      <c r="C52" s="3489" t="s">
        <v>8310</v>
      </c>
      <c r="D52" s="3490"/>
      <c r="E52" s="3490"/>
      <c r="F52" s="3490"/>
      <c r="G52" s="3491"/>
      <c r="H52" s="70"/>
      <c r="I52" s="70"/>
      <c r="J52" s="70"/>
      <c r="K52" s="71"/>
      <c r="L52" s="70"/>
      <c r="M52" s="71"/>
    </row>
    <row r="53" spans="1:13">
      <c r="A53" s="74"/>
      <c r="B53" s="1519" t="s">
        <v>8236</v>
      </c>
      <c r="C53" s="3489" t="s">
        <v>8311</v>
      </c>
      <c r="D53" s="3490"/>
      <c r="E53" s="3490"/>
      <c r="F53" s="3490"/>
      <c r="G53" s="3491"/>
      <c r="H53" s="70"/>
      <c r="I53" s="70"/>
      <c r="J53" s="70"/>
      <c r="K53" s="71"/>
      <c r="L53" s="70"/>
      <c r="M53" s="71"/>
    </row>
    <row r="54" spans="1:13">
      <c r="A54" s="74"/>
      <c r="B54" s="1519" t="s">
        <v>8239</v>
      </c>
      <c r="C54" s="3495" t="s">
        <v>8312</v>
      </c>
      <c r="D54" s="3496"/>
      <c r="E54" s="3496"/>
      <c r="F54" s="3496"/>
      <c r="G54" s="3497"/>
      <c r="H54" s="70"/>
      <c r="I54" s="70"/>
      <c r="J54" s="70"/>
      <c r="K54" s="71"/>
      <c r="L54" s="70"/>
      <c r="M54" s="71"/>
    </row>
    <row r="55" spans="1:13">
      <c r="A55" s="74"/>
      <c r="B55" s="1519" t="s">
        <v>8242</v>
      </c>
      <c r="C55" s="3495" t="s">
        <v>8313</v>
      </c>
      <c r="D55" s="3496"/>
      <c r="E55" s="3496"/>
      <c r="F55" s="3496"/>
      <c r="G55" s="3497"/>
      <c r="H55" s="70"/>
      <c r="I55" s="70"/>
      <c r="J55" s="70"/>
      <c r="K55" s="71"/>
      <c r="L55" s="70"/>
      <c r="M55" s="71"/>
    </row>
    <row r="56" spans="1:13">
      <c r="A56" s="74"/>
      <c r="B56" s="1519" t="s">
        <v>7236</v>
      </c>
      <c r="C56" s="3495" t="s">
        <v>8314</v>
      </c>
      <c r="D56" s="3496"/>
      <c r="E56" s="3496"/>
      <c r="F56" s="3496"/>
      <c r="G56" s="3497"/>
      <c r="H56" s="70"/>
      <c r="I56" s="70"/>
      <c r="J56" s="70"/>
      <c r="K56" s="71"/>
      <c r="L56" s="70"/>
      <c r="M56" s="71"/>
    </row>
    <row r="57" spans="1:13">
      <c r="A57" s="74"/>
      <c r="B57" s="1519" t="s">
        <v>7237</v>
      </c>
      <c r="C57" s="3489" t="s">
        <v>8315</v>
      </c>
      <c r="D57" s="3490"/>
      <c r="E57" s="3490"/>
      <c r="F57" s="3490"/>
      <c r="G57" s="3491"/>
      <c r="H57" s="70"/>
      <c r="I57" s="70"/>
      <c r="J57" s="70"/>
      <c r="K57" s="71"/>
      <c r="L57" s="70"/>
      <c r="M57" s="71"/>
    </row>
    <row r="58" spans="1:13">
      <c r="A58" s="74"/>
      <c r="B58" s="1519" t="s">
        <v>8250</v>
      </c>
      <c r="C58" s="3489" t="s">
        <v>8316</v>
      </c>
      <c r="D58" s="3490"/>
      <c r="E58" s="3490"/>
      <c r="F58" s="3490"/>
      <c r="G58" s="3491"/>
      <c r="H58" s="70"/>
      <c r="I58" s="70"/>
      <c r="J58" s="70"/>
      <c r="K58" s="71"/>
      <c r="L58" s="70"/>
      <c r="M58" s="71"/>
    </row>
    <row r="59" spans="1:13">
      <c r="A59" s="74"/>
      <c r="B59" s="1519" t="s">
        <v>8254</v>
      </c>
      <c r="C59" s="3489" t="s">
        <v>8317</v>
      </c>
      <c r="D59" s="3490"/>
      <c r="E59" s="3490"/>
      <c r="F59" s="3490"/>
      <c r="G59" s="3491"/>
      <c r="H59" s="70"/>
      <c r="I59" s="70"/>
      <c r="J59" s="70"/>
      <c r="K59" s="71"/>
      <c r="L59" s="70"/>
      <c r="M59" s="71"/>
    </row>
    <row r="60" spans="1:13">
      <c r="A60" s="74"/>
      <c r="B60" s="1519" t="s">
        <v>8257</v>
      </c>
      <c r="C60" s="3495" t="s">
        <v>8318</v>
      </c>
      <c r="D60" s="3496"/>
      <c r="E60" s="3496"/>
      <c r="F60" s="3496"/>
      <c r="G60" s="3497"/>
      <c r="H60" s="70"/>
      <c r="I60" s="70"/>
      <c r="J60" s="70"/>
      <c r="K60" s="71"/>
      <c r="L60" s="70"/>
      <c r="M60" s="71"/>
    </row>
    <row r="61" spans="1:13">
      <c r="A61" s="74"/>
      <c r="B61" s="1519" t="s">
        <v>8261</v>
      </c>
      <c r="C61" s="3495" t="s">
        <v>8319</v>
      </c>
      <c r="D61" s="3496"/>
      <c r="E61" s="3496"/>
      <c r="F61" s="3496"/>
      <c r="G61" s="3497"/>
      <c r="H61" s="70"/>
      <c r="I61" s="70"/>
      <c r="J61" s="70"/>
      <c r="K61" s="71"/>
      <c r="L61" s="70"/>
      <c r="M61" s="71"/>
    </row>
    <row r="62" spans="1:13">
      <c r="A62" s="74"/>
      <c r="B62" s="1519" t="s">
        <v>8264</v>
      </c>
      <c r="C62" s="3489" t="s">
        <v>8320</v>
      </c>
      <c r="D62" s="3490"/>
      <c r="E62" s="3490"/>
      <c r="F62" s="3490"/>
      <c r="G62" s="3491"/>
      <c r="H62" s="70"/>
      <c r="I62" s="70"/>
      <c r="J62" s="70"/>
      <c r="K62" s="71"/>
      <c r="L62" s="70"/>
      <c r="M62" s="71"/>
    </row>
    <row r="63" spans="1:13">
      <c r="A63" s="74"/>
      <c r="B63" s="1519" t="s">
        <v>8267</v>
      </c>
      <c r="C63" s="3489" t="s">
        <v>8321</v>
      </c>
      <c r="D63" s="3490"/>
      <c r="E63" s="3490"/>
      <c r="F63" s="3490"/>
      <c r="G63" s="3491"/>
      <c r="H63" s="70"/>
      <c r="I63" s="70"/>
      <c r="J63" s="70"/>
      <c r="K63" s="71"/>
      <c r="L63" s="70"/>
      <c r="M63" s="71"/>
    </row>
    <row r="64" spans="1:13">
      <c r="A64" s="74"/>
      <c r="B64" s="1519" t="s">
        <v>8270</v>
      </c>
      <c r="C64" s="3489" t="s">
        <v>8322</v>
      </c>
      <c r="D64" s="3490"/>
      <c r="E64" s="3490"/>
      <c r="F64" s="3490"/>
      <c r="G64" s="3491"/>
      <c r="H64" s="70"/>
      <c r="I64" s="70"/>
      <c r="J64" s="70"/>
      <c r="K64" s="71"/>
      <c r="L64" s="70"/>
      <c r="M64" s="71"/>
    </row>
    <row r="65" spans="1:13">
      <c r="A65" s="74"/>
      <c r="B65" s="1519" t="s">
        <v>8273</v>
      </c>
      <c r="C65" s="3495" t="s">
        <v>8323</v>
      </c>
      <c r="D65" s="3496"/>
      <c r="E65" s="3496"/>
      <c r="F65" s="3496"/>
      <c r="G65" s="3497"/>
      <c r="H65" s="70"/>
      <c r="I65" s="70"/>
      <c r="J65" s="70"/>
      <c r="K65" s="71"/>
      <c r="L65" s="70"/>
      <c r="M65" s="71"/>
    </row>
    <row r="66" spans="1:13">
      <c r="A66" s="74"/>
      <c r="B66" s="1519" t="s">
        <v>8277</v>
      </c>
      <c r="C66" s="3489" t="s">
        <v>8324</v>
      </c>
      <c r="D66" s="3490"/>
      <c r="E66" s="3490"/>
      <c r="F66" s="3490"/>
      <c r="G66" s="3491"/>
      <c r="H66" s="70"/>
      <c r="I66" s="70"/>
      <c r="J66" s="70"/>
      <c r="K66" s="71"/>
      <c r="L66" s="70"/>
      <c r="M66" s="71"/>
    </row>
    <row r="67" spans="1:13">
      <c r="A67" s="74"/>
      <c r="B67" s="1519" t="s">
        <v>8280</v>
      </c>
      <c r="C67" s="3489" t="s">
        <v>8325</v>
      </c>
      <c r="D67" s="3490"/>
      <c r="E67" s="3490"/>
      <c r="F67" s="3490"/>
      <c r="G67" s="3491"/>
      <c r="H67" s="70"/>
      <c r="I67" s="70"/>
      <c r="J67" s="70"/>
      <c r="K67" s="71"/>
      <c r="L67" s="70"/>
      <c r="M67" s="71"/>
    </row>
    <row r="68" spans="1:13">
      <c r="A68" s="74"/>
      <c r="B68" s="1519" t="s">
        <v>8283</v>
      </c>
      <c r="C68" s="3489" t="s">
        <v>8326</v>
      </c>
      <c r="D68" s="3490"/>
      <c r="E68" s="3490"/>
      <c r="F68" s="3490"/>
      <c r="G68" s="3491"/>
      <c r="H68" s="70"/>
      <c r="I68" s="70"/>
      <c r="J68" s="70"/>
      <c r="K68" s="71"/>
      <c r="L68" s="70"/>
      <c r="M68" s="71"/>
    </row>
    <row r="69" spans="1:13">
      <c r="A69" s="74"/>
      <c r="B69" s="1519" t="s">
        <v>8286</v>
      </c>
      <c r="C69" s="3489" t="s">
        <v>8327</v>
      </c>
      <c r="D69" s="3490"/>
      <c r="E69" s="3490"/>
      <c r="F69" s="3490"/>
      <c r="G69" s="3491"/>
      <c r="H69" s="70"/>
      <c r="I69" s="70"/>
      <c r="J69" s="70"/>
      <c r="K69" s="71"/>
      <c r="L69" s="70"/>
      <c r="M69" s="71"/>
    </row>
    <row r="70" spans="1:13">
      <c r="A70" s="74"/>
      <c r="B70" s="1519" t="s">
        <v>8289</v>
      </c>
      <c r="C70" s="3489" t="s">
        <v>8328</v>
      </c>
      <c r="D70" s="3490"/>
      <c r="E70" s="3490"/>
      <c r="F70" s="3490"/>
      <c r="G70" s="3491"/>
      <c r="H70" s="70"/>
      <c r="I70" s="70"/>
      <c r="J70" s="70"/>
      <c r="K70" s="71"/>
      <c r="L70" s="70"/>
      <c r="M70" s="71"/>
    </row>
    <row r="71" spans="1:13">
      <c r="A71" s="74"/>
      <c r="B71" s="1519" t="s">
        <v>8293</v>
      </c>
      <c r="C71" s="3489" t="s">
        <v>8329</v>
      </c>
      <c r="D71" s="3490"/>
      <c r="E71" s="3490"/>
      <c r="F71" s="3490"/>
      <c r="G71" s="3491"/>
      <c r="H71" s="70"/>
      <c r="I71" s="70"/>
      <c r="J71" s="70"/>
      <c r="K71" s="71"/>
      <c r="L71" s="70"/>
      <c r="M71" s="71"/>
    </row>
    <row r="72" spans="1:13">
      <c r="A72" s="74"/>
      <c r="B72" s="1519" t="s">
        <v>8296</v>
      </c>
      <c r="C72" s="3489" t="s">
        <v>8330</v>
      </c>
      <c r="D72" s="3490"/>
      <c r="E72" s="3490"/>
      <c r="F72" s="3490"/>
      <c r="G72" s="3491"/>
      <c r="H72" s="70"/>
      <c r="I72" s="70"/>
      <c r="J72" s="70"/>
      <c r="K72" s="71"/>
      <c r="L72" s="70"/>
      <c r="M72" s="71"/>
    </row>
    <row r="73" spans="1:13">
      <c r="A73" s="74"/>
      <c r="B73" s="1519" t="s">
        <v>8299</v>
      </c>
      <c r="C73" s="3489" t="s">
        <v>8331</v>
      </c>
      <c r="D73" s="3490"/>
      <c r="E73" s="3490"/>
      <c r="F73" s="3490"/>
      <c r="G73" s="3491"/>
      <c r="H73" s="70"/>
      <c r="I73" s="70"/>
      <c r="J73" s="70"/>
      <c r="K73" s="71"/>
      <c r="L73" s="70"/>
      <c r="M73" s="71"/>
    </row>
    <row r="74" spans="1:13">
      <c r="A74" s="74"/>
      <c r="B74" s="1519" t="s">
        <v>8302</v>
      </c>
      <c r="C74" s="3489" t="s">
        <v>8332</v>
      </c>
      <c r="D74" s="3490"/>
      <c r="E74" s="3490"/>
      <c r="F74" s="3490"/>
      <c r="G74" s="3491"/>
      <c r="H74" s="70"/>
      <c r="I74" s="70"/>
      <c r="J74" s="70"/>
      <c r="K74" s="71"/>
      <c r="L74" s="70"/>
      <c r="M74" s="71"/>
    </row>
    <row r="75" spans="1:13" ht="14.5" thickBot="1">
      <c r="A75" s="74"/>
      <c r="B75" s="1520" t="s">
        <v>8305</v>
      </c>
      <c r="C75" s="3498" t="s">
        <v>8333</v>
      </c>
      <c r="D75" s="3499"/>
      <c r="E75" s="3499"/>
      <c r="F75" s="3499"/>
      <c r="G75" s="3500"/>
      <c r="H75" s="70"/>
      <c r="I75" s="70"/>
      <c r="J75" s="70"/>
      <c r="K75" s="71"/>
      <c r="L75" s="70"/>
      <c r="M75" s="71"/>
    </row>
    <row r="76" spans="1:13">
      <c r="A76" s="1882"/>
      <c r="B76" s="1882"/>
      <c r="C76" s="1882"/>
      <c r="D76" s="1882"/>
      <c r="E76" s="1882"/>
      <c r="F76" s="1882"/>
      <c r="G76" s="1882"/>
      <c r="H76" s="1882"/>
      <c r="I76" s="1882"/>
      <c r="J76" s="1882"/>
      <c r="K76" s="1882"/>
      <c r="L76" s="1882"/>
      <c r="M76" s="1882"/>
    </row>
  </sheetData>
  <sheetProtection algorithmName="SHA-512" hashValue="QYs4xhCGT4TaIHFso2w/07JiDfiDBLmQsLYG/Yb6uZWeaKLP9hyOnxTUNUb9tuvWzbhB08JW/Y8yxkL96ptTBw==" saltValue="3OxArNZAzAIt9zM8Tfn/Jg==" spinCount="100000" sheet="1" objects="1" scenarios="1"/>
  <mergeCells count="28">
    <mergeCell ref="C72:G72"/>
    <mergeCell ref="C73:G73"/>
    <mergeCell ref="C74:G74"/>
    <mergeCell ref="C75:G75"/>
    <mergeCell ref="C66:G66"/>
    <mergeCell ref="C67:G67"/>
    <mergeCell ref="C68:G68"/>
    <mergeCell ref="C69:G69"/>
    <mergeCell ref="C70:G70"/>
    <mergeCell ref="C71:G71"/>
    <mergeCell ref="C65:G65"/>
    <mergeCell ref="C54:G54"/>
    <mergeCell ref="C55:G55"/>
    <mergeCell ref="C56:G56"/>
    <mergeCell ref="C57:G57"/>
    <mergeCell ref="C58:G58"/>
    <mergeCell ref="C59:G59"/>
    <mergeCell ref="C60:G60"/>
    <mergeCell ref="C61:G61"/>
    <mergeCell ref="C62:G62"/>
    <mergeCell ref="C63:G63"/>
    <mergeCell ref="C64:G64"/>
    <mergeCell ref="C53:G53"/>
    <mergeCell ref="B43:C43"/>
    <mergeCell ref="B49:G49"/>
    <mergeCell ref="C50:G50"/>
    <mergeCell ref="C51:G51"/>
    <mergeCell ref="C52:G52"/>
  </mergeCells>
  <conditionalFormatting sqref="I6:I11">
    <cfRule type="cellIs" dxfId="29" priority="5" operator="equal">
      <formula>0</formula>
    </cfRule>
  </conditionalFormatting>
  <conditionalFormatting sqref="I37:I41 I30:I34 I24:I27 I19:I20 I14:I16">
    <cfRule type="cellIs" dxfId="28" priority="4" operator="equal">
      <formula>0</formula>
    </cfRule>
  </conditionalFormatting>
  <conditionalFormatting sqref="I23">
    <cfRule type="cellIs" dxfId="27"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A7AF9A3F-A9CF-4638-8971-12BD73750391}">
            <xm:f>Validation!$H$3=1</xm:f>
            <x14:dxf>
              <fill>
                <patternFill>
                  <bgColor theme="2"/>
                </patternFill>
              </fill>
            </x14:dxf>
          </x14:cfRule>
          <xm:sqref>E14:G16 E19:G20 E30:G34 E37:G41 E6:G11 E24:G27</xm:sqref>
        </x14:conditionalFormatting>
        <x14:conditionalFormatting xmlns:xm="http://schemas.microsoft.com/office/excel/2006/main">
          <x14:cfRule type="expression" priority="1" id="{5012766E-0F75-4480-AC3C-8375F927D099}">
            <xm:f>Validation!$H$3=1</xm:f>
            <x14:dxf>
              <fill>
                <patternFill>
                  <bgColor theme="2"/>
                </patternFill>
              </fill>
            </x14:dxf>
          </x14:cfRule>
          <xm:sqref>E23:G23</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6">
    <pageSetUpPr fitToPage="1"/>
  </sheetPr>
  <dimension ref="A1:M5461"/>
  <sheetViews>
    <sheetView workbookViewId="0"/>
  </sheetViews>
  <sheetFormatPr defaultRowHeight="14"/>
  <cols>
    <col min="1" max="1" width="7.75" bestFit="1" customWidth="1"/>
    <col min="2" max="2" width="19.25" style="821" bestFit="1" customWidth="1"/>
    <col min="3" max="3" width="13.5" style="1293" customWidth="1"/>
    <col min="4" max="4" width="4.08203125" customWidth="1"/>
    <col min="5" max="5" width="16.75" customWidth="1"/>
    <col min="6" max="6" width="14.83203125" bestFit="1" customWidth="1"/>
    <col min="7" max="7" width="15.25" style="821" customWidth="1"/>
    <col min="8" max="8" width="8.83203125" bestFit="1" customWidth="1"/>
  </cols>
  <sheetData>
    <row r="1" spans="1:7" s="1629" customFormat="1">
      <c r="B1" s="1628"/>
      <c r="C1" s="2045" t="s">
        <v>8334</v>
      </c>
      <c r="G1" s="1628"/>
    </row>
    <row r="2" spans="1:7" s="1629" customFormat="1" ht="28">
      <c r="A2" s="1629" t="s">
        <v>8335</v>
      </c>
      <c r="B2" s="1628" t="s">
        <v>8336</v>
      </c>
      <c r="C2" s="2028" t="s">
        <v>3980</v>
      </c>
      <c r="D2" s="1629" t="s">
        <v>2308</v>
      </c>
      <c r="E2" s="1629" t="s">
        <v>8337</v>
      </c>
      <c r="F2" s="1629" t="s">
        <v>8338</v>
      </c>
      <c r="G2" s="1628" t="s">
        <v>2448</v>
      </c>
    </row>
    <row r="3" spans="1:7" s="1629" customFormat="1" ht="14.5" thickBot="1">
      <c r="B3" s="1628"/>
      <c r="C3" s="2028"/>
      <c r="G3" s="1628"/>
    </row>
    <row r="4" spans="1:7">
      <c r="A4" s="1882"/>
      <c r="B4" s="1630" t="str">
        <f>'1A'!AF6</f>
        <v>BO1180STAT</v>
      </c>
      <c r="D4" s="1882"/>
      <c r="E4" s="1631" t="s">
        <v>8339</v>
      </c>
      <c r="F4" s="1882"/>
      <c r="G4" s="1882">
        <f>IF('1A'!G6="","##BLANK",'1A'!G6)</f>
        <v>125.47499999999999</v>
      </c>
    </row>
    <row r="5" spans="1:7">
      <c r="A5" s="1882"/>
      <c r="B5" s="1627" t="str">
        <f>'1A'!AF7</f>
        <v>BO2560STAT</v>
      </c>
      <c r="D5" s="1882"/>
      <c r="E5" s="1628" t="s">
        <v>8339</v>
      </c>
      <c r="F5" s="1882"/>
      <c r="G5" s="1882">
        <f>IF('1A'!G7="","##BLANK",'1A'!G7)</f>
        <v>-103.544</v>
      </c>
    </row>
    <row r="6" spans="1:7">
      <c r="A6" s="1882"/>
      <c r="B6" s="1627" t="str">
        <f>'1A'!AF8</f>
        <v>BO1980STAT</v>
      </c>
      <c r="D6" s="1882"/>
      <c r="E6" s="1628" t="s">
        <v>8339</v>
      </c>
      <c r="F6" s="1882"/>
      <c r="G6" s="1882">
        <f>IF('1A'!G8="","##BLANK",'1A'!G8)</f>
        <v>0.68700000000000006</v>
      </c>
    </row>
    <row r="7" spans="1:7">
      <c r="A7" s="1882"/>
      <c r="B7" s="1627" t="str">
        <f>'1A'!AF9</f>
        <v>BO2060STAT</v>
      </c>
      <c r="D7" s="1882"/>
      <c r="E7" s="1628" t="s">
        <v>8339</v>
      </c>
      <c r="F7" s="1882"/>
      <c r="G7" s="1882">
        <f>IF('1A'!G9="","##BLANK",'1A'!G9)</f>
        <v>22.617999999999999</v>
      </c>
    </row>
    <row r="8" spans="1:7">
      <c r="A8" s="1882"/>
      <c r="B8" s="1627" t="str">
        <f>'1A'!AF11</f>
        <v>BO3301STAT</v>
      </c>
      <c r="D8" s="1882"/>
      <c r="E8" s="1628" t="s">
        <v>8339</v>
      </c>
      <c r="F8" s="1882"/>
      <c r="G8" s="1882">
        <f>IF('1A'!G11="","##BLANK",'1A'!G11)</f>
        <v>0</v>
      </c>
    </row>
    <row r="9" spans="1:7">
      <c r="A9" s="1882"/>
      <c r="B9" s="1627" t="str">
        <f>'1A'!AF12</f>
        <v>A10008STAT</v>
      </c>
      <c r="D9" s="1882"/>
      <c r="E9" s="1628" t="s">
        <v>8339</v>
      </c>
      <c r="F9" s="1882"/>
      <c r="G9" s="1882">
        <f>IF('1A'!G12="","##BLANK",'1A'!G12)</f>
        <v>4.1130000000000004</v>
      </c>
    </row>
    <row r="10" spans="1:7">
      <c r="A10" s="1882"/>
      <c r="B10" s="1627" t="str">
        <f>'1A'!AF13</f>
        <v>A10009STAT</v>
      </c>
      <c r="D10" s="1882"/>
      <c r="E10" s="1628" t="s">
        <v>8339</v>
      </c>
      <c r="F10" s="1882"/>
      <c r="G10" s="1882">
        <f>IF('1A'!G13="","##BLANK",'1A'!G13)</f>
        <v>-17.988</v>
      </c>
    </row>
    <row r="11" spans="1:7">
      <c r="A11" s="1882"/>
      <c r="B11" s="1627" t="str">
        <f>'1A'!AF14</f>
        <v>FT01641STAT</v>
      </c>
      <c r="D11" s="1882"/>
      <c r="E11" s="1628" t="s">
        <v>8339</v>
      </c>
      <c r="F11" s="1882"/>
      <c r="G11" s="1882">
        <f>IF('1A'!G14="","##BLANK",'1A'!G14)</f>
        <v>0.36</v>
      </c>
    </row>
    <row r="12" spans="1:7">
      <c r="A12" s="1882"/>
      <c r="B12" s="1627" t="str">
        <f>'1A'!AF15</f>
        <v>A10011STAT</v>
      </c>
      <c r="D12" s="1882"/>
      <c r="E12" s="1628" t="s">
        <v>8339</v>
      </c>
      <c r="F12" s="1882"/>
      <c r="G12" s="1882">
        <f>IF('1A'!G15="","##BLANK",'1A'!G15)</f>
        <v>9.102999999999998</v>
      </c>
    </row>
    <row r="13" spans="1:7">
      <c r="A13" s="1882"/>
      <c r="B13" s="1627" t="str">
        <f>'1A'!AF17</f>
        <v>A10012STAT</v>
      </c>
      <c r="D13" s="1882"/>
      <c r="E13" s="1628" t="s">
        <v>8339</v>
      </c>
      <c r="F13" s="1882"/>
      <c r="G13" s="1882">
        <f>IF('1A'!G17="","##BLANK",'1A'!G17)</f>
        <v>0</v>
      </c>
    </row>
    <row r="14" spans="1:7">
      <c r="A14" s="1882"/>
      <c r="B14" s="1627" t="str">
        <f>'1A'!AF18</f>
        <v>BO3305STAT</v>
      </c>
      <c r="D14" s="1882"/>
      <c r="E14" s="1628" t="s">
        <v>8339</v>
      </c>
      <c r="F14" s="1882"/>
      <c r="G14" s="1882">
        <f>IF('1A'!G18="","##BLANK",'1A'!G18)</f>
        <v>9.102999999999998</v>
      </c>
    </row>
    <row r="15" spans="1:7">
      <c r="A15" s="1882"/>
      <c r="B15" s="1627" t="str">
        <f>'1A'!AF20</f>
        <v>BO3351STAT</v>
      </c>
      <c r="D15" s="1882"/>
      <c r="E15" s="1628" t="s">
        <v>8339</v>
      </c>
      <c r="F15" s="1882"/>
      <c r="G15" s="1882">
        <f>IF('1A'!G20="","##BLANK",'1A'!G20)</f>
        <v>-0.97900000000000009</v>
      </c>
    </row>
    <row r="16" spans="1:7">
      <c r="A16" s="1882"/>
      <c r="B16" s="1627" t="str">
        <f>'1A'!AF21</f>
        <v>BO3352STAT</v>
      </c>
      <c r="D16" s="1882"/>
      <c r="E16" s="1628" t="s">
        <v>8339</v>
      </c>
      <c r="F16" s="1882"/>
      <c r="G16" s="1882">
        <f>IF('1A'!G21="","##BLANK",'1A'!G21)</f>
        <v>-7.7270000000000003</v>
      </c>
    </row>
    <row r="17" spans="2:7">
      <c r="B17" s="1627" t="str">
        <f>'1A'!AF22</f>
        <v>BO2530STAT</v>
      </c>
      <c r="D17" s="1882"/>
      <c r="E17" s="1628" t="s">
        <v>8339</v>
      </c>
      <c r="F17" s="1882"/>
      <c r="G17" s="1882">
        <f>IF('1A'!G22="","##BLANK",'1A'!G22)</f>
        <v>0.39699999999999847</v>
      </c>
    </row>
    <row r="18" spans="2:7">
      <c r="B18" s="1627" t="str">
        <f>'1A'!AF24</f>
        <v>BO3402STAT</v>
      </c>
      <c r="D18" s="1882"/>
      <c r="E18" s="1628" t="s">
        <v>8339</v>
      </c>
      <c r="F18" s="1882"/>
      <c r="G18" s="1882">
        <f>IF('1A'!G24="","##BLANK",'1A'!G24)</f>
        <v>-6.2670000000000003</v>
      </c>
    </row>
    <row r="19" spans="2:7">
      <c r="B19" s="1627" t="str">
        <f>'1A'!AF27</f>
        <v>BO3354STAT</v>
      </c>
      <c r="D19" s="1882"/>
      <c r="E19" s="1628" t="s">
        <v>8339</v>
      </c>
      <c r="F19" s="1882"/>
      <c r="G19" s="1882">
        <f>IF('1A'!G27="","##BLANK",'1A'!G27)</f>
        <v>1.1890000000000001</v>
      </c>
    </row>
    <row r="20" spans="2:7">
      <c r="B20" s="1627" t="str">
        <f>'1A'!AF28</f>
        <v>BO3355STAT</v>
      </c>
      <c r="D20" s="1882"/>
      <c r="E20" s="1628" t="s">
        <v>8339</v>
      </c>
      <c r="F20" s="1882"/>
      <c r="G20" s="1882">
        <f>IF('1A'!G28="","##BLANK",'1A'!G28)</f>
        <v>-0.21</v>
      </c>
    </row>
    <row r="21" spans="2:7">
      <c r="B21" s="1627" t="str">
        <f>'1A'!AF29</f>
        <v>BO3353STAT</v>
      </c>
      <c r="D21" s="1882"/>
      <c r="E21" s="1628" t="s">
        <v>8339</v>
      </c>
      <c r="F21" s="1882"/>
      <c r="G21" s="1882">
        <f>IF('1A'!G29="","##BLANK",'1A'!G29)</f>
        <v>0.97900000000000009</v>
      </c>
    </row>
    <row r="22" spans="2:7">
      <c r="B22" s="1627" t="str">
        <f>'1A'!AF33</f>
        <v>BO1180NAIS</v>
      </c>
      <c r="D22" s="1882"/>
      <c r="E22" s="1628" t="s">
        <v>8339</v>
      </c>
      <c r="F22" s="1882"/>
      <c r="G22" s="1882">
        <f>IF('1A'!G33="","##BLANK",'1A'!G33)</f>
        <v>0</v>
      </c>
    </row>
    <row r="23" spans="2:7">
      <c r="B23" s="1627" t="str">
        <f>'1A'!AF34</f>
        <v>BO1180NATW</v>
      </c>
      <c r="D23" s="1882"/>
      <c r="E23" s="1628" t="s">
        <v>8339</v>
      </c>
      <c r="F23" s="1882"/>
      <c r="G23" s="1882">
        <f>IF('1A'!G34="","##BLANK",'1A'!G34)</f>
        <v>0</v>
      </c>
    </row>
    <row r="24" spans="2:7">
      <c r="B24" s="1627" t="str">
        <f>'1A'!AF35</f>
        <v>BO1180NAO</v>
      </c>
      <c r="D24" s="1882"/>
      <c r="E24" s="1628" t="s">
        <v>8339</v>
      </c>
      <c r="F24" s="1882"/>
      <c r="G24" s="1882">
        <f>IF('1A'!G35="","##BLANK",'1A'!G35)</f>
        <v>1.091</v>
      </c>
    </row>
    <row r="25" spans="2:7" ht="14.5" thickBot="1">
      <c r="B25" s="1627" t="str">
        <f>'1A'!AF36</f>
        <v>BO1180NAT</v>
      </c>
      <c r="D25" s="1882"/>
      <c r="E25" s="1628" t="s">
        <v>8339</v>
      </c>
      <c r="F25" s="1882"/>
      <c r="G25" s="1882">
        <f>IF('1A'!G36="","##BLANK",'1A'!G36)</f>
        <v>1.091</v>
      </c>
    </row>
    <row r="26" spans="2:7">
      <c r="B26" s="1630" t="str">
        <f>'1A'!AG6</f>
        <v>BO1180DSR</v>
      </c>
      <c r="D26" s="1882"/>
      <c r="E26" s="1628" t="s">
        <v>8339</v>
      </c>
      <c r="F26" s="1882"/>
      <c r="G26" s="1882">
        <f>IF('1A'!H6="","##BLANK",'1A'!H6)</f>
        <v>-2.13</v>
      </c>
    </row>
    <row r="27" spans="2:7">
      <c r="B27" s="1627" t="str">
        <f>'1A'!AG7</f>
        <v>BO2560DSR</v>
      </c>
      <c r="D27" s="1882"/>
      <c r="E27" s="1628" t="s">
        <v>8339</v>
      </c>
      <c r="F27" s="1882"/>
      <c r="G27" s="1882">
        <f>IF('1A'!H7="","##BLANK",'1A'!H7)</f>
        <v>-0.04</v>
      </c>
    </row>
    <row r="28" spans="2:7">
      <c r="B28" s="1627" t="str">
        <f>'1A'!AG8</f>
        <v>BO1980DSR</v>
      </c>
      <c r="C28" s="1627"/>
      <c r="D28" s="1882"/>
      <c r="E28" s="1628" t="s">
        <v>8339</v>
      </c>
      <c r="F28" s="1882"/>
      <c r="G28" s="1882">
        <f>IF('1A'!H8="","##BLANK",'1A'!H8)</f>
        <v>0</v>
      </c>
    </row>
    <row r="29" spans="2:7">
      <c r="B29" s="1627" t="str">
        <f>'1A'!AG9</f>
        <v>BO2060DSR</v>
      </c>
      <c r="C29" s="1627"/>
      <c r="D29" s="1882"/>
      <c r="E29" s="1628" t="s">
        <v>8339</v>
      </c>
      <c r="F29" s="1882"/>
      <c r="G29" s="1882">
        <f>IF('1A'!H9="","##BLANK",'1A'!H9)</f>
        <v>-2.17</v>
      </c>
    </row>
    <row r="30" spans="2:7">
      <c r="B30" s="1627" t="str">
        <f>'1A'!AG11</f>
        <v>BO3301DSR</v>
      </c>
      <c r="C30" s="1627"/>
      <c r="D30" s="1882"/>
      <c r="E30" s="1628" t="s">
        <v>8339</v>
      </c>
      <c r="F30" s="1882"/>
      <c r="G30" s="1882">
        <f>IF('1A'!H11="","##BLANK",'1A'!H11)</f>
        <v>2.0150000000000001</v>
      </c>
    </row>
    <row r="31" spans="2:7">
      <c r="B31" s="1627" t="str">
        <f>'1A'!AG12</f>
        <v>A10008DSR</v>
      </c>
      <c r="C31" s="1627"/>
      <c r="D31" s="1882"/>
      <c r="E31" s="1628" t="s">
        <v>8339</v>
      </c>
      <c r="F31" s="1882"/>
      <c r="G31" s="1882">
        <f>IF('1A'!H12="","##BLANK",'1A'!H12)</f>
        <v>0</v>
      </c>
    </row>
    <row r="32" spans="2:7">
      <c r="B32" s="1627" t="str">
        <f>'1A'!AG13</f>
        <v>A10009DSR</v>
      </c>
      <c r="C32" s="1627"/>
      <c r="D32" s="1882"/>
      <c r="E32" s="1628" t="s">
        <v>8339</v>
      </c>
      <c r="F32" s="1882"/>
      <c r="G32" s="1882">
        <f>IF('1A'!H13="","##BLANK",'1A'!H13)</f>
        <v>-0.32800000000000001</v>
      </c>
    </row>
    <row r="33" spans="2:7">
      <c r="B33" s="1627" t="str">
        <f>'1A'!AG14</f>
        <v>FT01641DSR</v>
      </c>
      <c r="C33" s="1627"/>
      <c r="D33" s="1882"/>
      <c r="E33" s="1628" t="s">
        <v>8339</v>
      </c>
      <c r="F33" s="1882"/>
      <c r="G33" s="1882">
        <f>IF('1A'!H14="","##BLANK",'1A'!H14)</f>
        <v>0</v>
      </c>
    </row>
    <row r="34" spans="2:7">
      <c r="B34" s="1627" t="str">
        <f>'1A'!AG15</f>
        <v>A10011DSR</v>
      </c>
      <c r="C34" s="1627"/>
      <c r="D34" s="1882"/>
      <c r="E34" s="1628" t="s">
        <v>8339</v>
      </c>
      <c r="F34" s="1882"/>
      <c r="G34" s="1882">
        <f>IF('1A'!H15="","##BLANK",'1A'!H15)</f>
        <v>-0.48299999999999987</v>
      </c>
    </row>
    <row r="35" spans="2:7">
      <c r="B35" s="1627" t="str">
        <f>'1A'!AG17</f>
        <v>A10012DSR</v>
      </c>
      <c r="C35" s="1627"/>
      <c r="D35" s="1882"/>
      <c r="E35" s="1628" t="s">
        <v>8339</v>
      </c>
      <c r="F35" s="1882"/>
      <c r="G35" s="1882">
        <f>IF('1A'!H17="","##BLANK",'1A'!H17)</f>
        <v>0</v>
      </c>
    </row>
    <row r="36" spans="2:7">
      <c r="B36" s="1627" t="str">
        <f>'1A'!AG18</f>
        <v>BO3305DSR</v>
      </c>
      <c r="C36" s="1627"/>
      <c r="D36" s="1882"/>
      <c r="E36" s="1628" t="s">
        <v>8339</v>
      </c>
      <c r="F36" s="1882"/>
      <c r="G36" s="1882">
        <f>IF('1A'!H18="","##BLANK",'1A'!H18)</f>
        <v>-0.48299999999999987</v>
      </c>
    </row>
    <row r="37" spans="2:7">
      <c r="B37" s="1627" t="str">
        <f>'1A'!AG20</f>
        <v>BO3351DSR</v>
      </c>
      <c r="C37" s="1627"/>
      <c r="D37" s="1882"/>
      <c r="E37" s="1628" t="s">
        <v>8339</v>
      </c>
      <c r="F37" s="1882"/>
      <c r="G37" s="1882">
        <f>IF('1A'!H20="","##BLANK",'1A'!H20)</f>
        <v>0</v>
      </c>
    </row>
    <row r="38" spans="2:7">
      <c r="B38" s="1627" t="str">
        <f>'1A'!AG21</f>
        <v>BO3352DSR</v>
      </c>
      <c r="C38" s="1627"/>
      <c r="D38" s="1882"/>
      <c r="E38" s="1628" t="s">
        <v>8339</v>
      </c>
      <c r="F38" s="1882"/>
      <c r="G38" s="1882">
        <f>IF('1A'!H21="","##BLANK",'1A'!H21)</f>
        <v>9.1999999999999998E-2</v>
      </c>
    </row>
    <row r="39" spans="2:7">
      <c r="B39" s="1627" t="str">
        <f>'1A'!AG22</f>
        <v>BO2530DSR</v>
      </c>
      <c r="C39" s="1627"/>
      <c r="D39" s="1882"/>
      <c r="E39" s="1628" t="s">
        <v>8339</v>
      </c>
      <c r="F39" s="1882"/>
      <c r="G39" s="1882">
        <f>IF('1A'!H22="","##BLANK",'1A'!H22)</f>
        <v>-0.3909999999999999</v>
      </c>
    </row>
    <row r="40" spans="2:7">
      <c r="B40" s="1627" t="str">
        <f>'1A'!AG24</f>
        <v>BO3402DSR</v>
      </c>
      <c r="C40" s="1627"/>
      <c r="D40" s="1882"/>
      <c r="E40" s="1628" t="s">
        <v>8339</v>
      </c>
      <c r="F40" s="1882"/>
      <c r="G40" s="1882">
        <f>IF('1A'!H24="","##BLANK",'1A'!H24)</f>
        <v>0</v>
      </c>
    </row>
    <row r="41" spans="2:7">
      <c r="B41" s="1627" t="str">
        <f>'1A'!AG27</f>
        <v>BO3354DSR</v>
      </c>
      <c r="C41" s="1627"/>
      <c r="D41" s="1882"/>
      <c r="E41" s="1628" t="s">
        <v>8339</v>
      </c>
      <c r="F41" s="1882"/>
      <c r="G41" s="1882">
        <f>IF('1A'!H27="","##BLANK",'1A'!H27)</f>
        <v>0</v>
      </c>
    </row>
    <row r="42" spans="2:7">
      <c r="B42" s="1627" t="str">
        <f>'1A'!AG28</f>
        <v>BO3355DSR</v>
      </c>
      <c r="C42" s="1627"/>
      <c r="D42" s="1882"/>
      <c r="E42" s="1628" t="s">
        <v>8339</v>
      </c>
      <c r="F42" s="1882"/>
      <c r="G42" s="1882">
        <f>IF('1A'!H28="","##BLANK",'1A'!H28)</f>
        <v>0</v>
      </c>
    </row>
    <row r="43" spans="2:7" ht="14.5" thickBot="1">
      <c r="B43" s="1627" t="str">
        <f>'1A'!AG29</f>
        <v>BO3353DSR</v>
      </c>
      <c r="C43" s="1627"/>
      <c r="D43" s="1882"/>
      <c r="E43" s="1628" t="s">
        <v>8339</v>
      </c>
      <c r="F43" s="1882"/>
      <c r="G43" s="1882">
        <f>IF('1A'!H29="","##BLANK",'1A'!H29)</f>
        <v>0</v>
      </c>
    </row>
    <row r="44" spans="2:7">
      <c r="B44" s="1630" t="str">
        <f>'1A'!AH6</f>
        <v>BO1180NA</v>
      </c>
      <c r="C44" s="1630"/>
      <c r="D44" s="1882"/>
      <c r="E44" s="1628" t="s">
        <v>8339</v>
      </c>
      <c r="F44" s="1882"/>
      <c r="G44" s="1882">
        <f>IF('1A'!I6="","##BLANK",'1A'!I6)</f>
        <v>1.091</v>
      </c>
    </row>
    <row r="45" spans="2:7">
      <c r="B45" s="1627" t="str">
        <f>'1A'!AH7</f>
        <v>BO2560NA</v>
      </c>
      <c r="C45" s="1627"/>
      <c r="D45" s="1882"/>
      <c r="E45" s="1628" t="s">
        <v>8339</v>
      </c>
      <c r="F45" s="1882"/>
      <c r="G45" s="1882">
        <f>IF('1A'!I7="","##BLANK",'1A'!I7)</f>
        <v>-0.875</v>
      </c>
    </row>
    <row r="46" spans="2:7">
      <c r="B46" s="1627" t="str">
        <f>'1A'!AH8</f>
        <v>BO1980NA</v>
      </c>
      <c r="C46" s="1627"/>
      <c r="D46" s="1882"/>
      <c r="E46" s="1628" t="s">
        <v>8339</v>
      </c>
      <c r="F46" s="1882"/>
      <c r="G46" s="1882">
        <f>IF('1A'!I8="","##BLANK",'1A'!I8)</f>
        <v>0</v>
      </c>
    </row>
    <row r="47" spans="2:7">
      <c r="B47" s="1627" t="str">
        <f>'1A'!AH9</f>
        <v>BO2060NA</v>
      </c>
      <c r="C47" s="1627"/>
      <c r="D47" s="1882"/>
      <c r="E47" s="1628" t="s">
        <v>8339</v>
      </c>
      <c r="F47" s="1882"/>
      <c r="G47" s="1882">
        <f>IF('1A'!I9="","##BLANK",'1A'!I9)</f>
        <v>0.21599999999999997</v>
      </c>
    </row>
    <row r="48" spans="2:7">
      <c r="B48" s="1627" t="str">
        <f>'1A'!AH11</f>
        <v>BO3301NA</v>
      </c>
      <c r="C48" s="1627"/>
      <c r="D48" s="1882"/>
      <c r="E48" s="1628" t="s">
        <v>8339</v>
      </c>
      <c r="F48" s="1882"/>
      <c r="G48" s="1882">
        <f>IF('1A'!I11="","##BLANK",'1A'!I11)</f>
        <v>0</v>
      </c>
    </row>
    <row r="49" spans="2:7">
      <c r="B49" s="1627" t="str">
        <f>'1A'!AH12</f>
        <v>A10008NA</v>
      </c>
      <c r="C49" s="1627"/>
      <c r="D49" s="1882"/>
      <c r="E49" s="1628" t="s">
        <v>8339</v>
      </c>
      <c r="F49" s="1882"/>
      <c r="G49" s="1882">
        <f>IF('1A'!I12="","##BLANK",'1A'!I12)</f>
        <v>0</v>
      </c>
    </row>
    <row r="50" spans="2:7">
      <c r="B50" s="1627" t="str">
        <f>'1A'!AH13</f>
        <v>A10009NA</v>
      </c>
      <c r="C50" s="1627"/>
      <c r="D50" s="1882"/>
      <c r="E50" s="1628" t="s">
        <v>8339</v>
      </c>
      <c r="F50" s="1882"/>
      <c r="G50" s="1882">
        <f>IF('1A'!I13="","##BLANK",'1A'!I13)</f>
        <v>0</v>
      </c>
    </row>
    <row r="51" spans="2:7">
      <c r="B51" s="1627" t="str">
        <f>'1A'!AH14</f>
        <v>FT01641NA</v>
      </c>
      <c r="C51" s="1627"/>
      <c r="D51" s="1882"/>
      <c r="E51" s="1628" t="s">
        <v>8339</v>
      </c>
      <c r="F51" s="1882"/>
      <c r="G51" s="1882">
        <f>IF('1A'!I14="","##BLANK",'1A'!I14)</f>
        <v>0</v>
      </c>
    </row>
    <row r="52" spans="2:7">
      <c r="B52" s="1627" t="str">
        <f>'1A'!AH15</f>
        <v>A10011NA</v>
      </c>
      <c r="C52" s="1627"/>
      <c r="D52" s="1882"/>
      <c r="E52" s="1628" t="s">
        <v>8339</v>
      </c>
      <c r="F52" s="1882"/>
      <c r="G52" s="1882">
        <f>IF('1A'!I15="","##BLANK",'1A'!I15)</f>
        <v>0.21599999999999997</v>
      </c>
    </row>
    <row r="53" spans="2:7">
      <c r="B53" s="1627" t="str">
        <f>'1A'!AH17</f>
        <v>A10012NA</v>
      </c>
      <c r="C53" s="1627"/>
      <c r="D53" s="1882"/>
      <c r="E53" s="1628" t="s">
        <v>8339</v>
      </c>
      <c r="F53" s="1882"/>
      <c r="G53" s="1882">
        <f>IF('1A'!I17="","##BLANK",'1A'!I17)</f>
        <v>0</v>
      </c>
    </row>
    <row r="54" spans="2:7">
      <c r="B54" s="1627" t="str">
        <f>'1A'!AH18</f>
        <v>BO3305NA</v>
      </c>
      <c r="C54" s="1627"/>
      <c r="D54" s="1882"/>
      <c r="E54" s="1628" t="s">
        <v>8339</v>
      </c>
      <c r="F54" s="1882"/>
      <c r="G54" s="1882">
        <f>IF('1A'!I18="","##BLANK",'1A'!I18)</f>
        <v>0.21599999999999997</v>
      </c>
    </row>
    <row r="55" spans="2:7">
      <c r="B55" s="1627" t="str">
        <f>'1A'!AH20</f>
        <v>BO3351NA</v>
      </c>
      <c r="C55" s="1627"/>
      <c r="D55" s="1882"/>
      <c r="E55" s="1628" t="s">
        <v>8339</v>
      </c>
      <c r="F55" s="1882"/>
      <c r="G55" s="1882">
        <f>IF('1A'!I20="","##BLANK",'1A'!I20)</f>
        <v>-4.1000000000000002E-2</v>
      </c>
    </row>
    <row r="56" spans="2:7">
      <c r="B56" s="1627" t="str">
        <f>'1A'!AH21</f>
        <v>BO3352NA</v>
      </c>
      <c r="C56" s="1627"/>
      <c r="D56" s="1882"/>
      <c r="E56" s="1628" t="s">
        <v>8339</v>
      </c>
      <c r="F56" s="1882"/>
      <c r="G56" s="1882">
        <f>IF('1A'!I21="","##BLANK",'1A'!I21)</f>
        <v>0</v>
      </c>
    </row>
    <row r="57" spans="2:7">
      <c r="B57" s="1627" t="str">
        <f>'1A'!AH22</f>
        <v>BO2530NA</v>
      </c>
      <c r="C57" s="1627"/>
      <c r="D57" s="1882"/>
      <c r="E57" s="1628" t="s">
        <v>8339</v>
      </c>
      <c r="F57" s="1882"/>
      <c r="G57" s="1882">
        <f>IF('1A'!I22="","##BLANK",'1A'!I22)</f>
        <v>0.17499999999999996</v>
      </c>
    </row>
    <row r="58" spans="2:7">
      <c r="B58" s="1627" t="str">
        <f>'1A'!AH24</f>
        <v>BO3402NA</v>
      </c>
      <c r="C58" s="1627"/>
      <c r="D58" s="1882"/>
      <c r="E58" s="1628" t="s">
        <v>8339</v>
      </c>
      <c r="F58" s="1882"/>
      <c r="G58" s="1882">
        <f>IF('1A'!I24="","##BLANK",'1A'!I24)</f>
        <v>-0.17499999999999999</v>
      </c>
    </row>
    <row r="59" spans="2:7">
      <c r="B59" s="1627" t="str">
        <f>'1A'!AH27</f>
        <v>BO3354NA</v>
      </c>
      <c r="C59" s="1627"/>
      <c r="D59" s="1882"/>
      <c r="E59" s="1628" t="s">
        <v>8339</v>
      </c>
      <c r="F59" s="1882"/>
      <c r="G59" s="1882">
        <f>IF('1A'!I27="","##BLANK",'1A'!I27)</f>
        <v>4.1000000000000002E-2</v>
      </c>
    </row>
    <row r="60" spans="2:7">
      <c r="B60" s="1627" t="str">
        <f>'1A'!AH28</f>
        <v>BO3355NA</v>
      </c>
      <c r="C60" s="1627"/>
      <c r="D60" s="1882"/>
      <c r="E60" s="1628" t="s">
        <v>8339</v>
      </c>
      <c r="F60" s="1882"/>
      <c r="G60" s="1882">
        <f>IF('1A'!I28="","##BLANK",'1A'!I28)</f>
        <v>0</v>
      </c>
    </row>
    <row r="61" spans="2:7" ht="14.5" thickBot="1">
      <c r="B61" s="1627" t="str">
        <f>'1A'!AH29</f>
        <v>BO3353NA</v>
      </c>
      <c r="C61" s="1627"/>
      <c r="D61" s="1882"/>
      <c r="E61" s="1628" t="s">
        <v>8339</v>
      </c>
      <c r="F61" s="1882"/>
      <c r="G61" s="1882">
        <f>IF('1A'!I29="","##BLANK",'1A'!I29)</f>
        <v>4.1000000000000002E-2</v>
      </c>
    </row>
    <row r="62" spans="2:7">
      <c r="B62" s="1630" t="str">
        <f>'1A'!AI6</f>
        <v>BO1180ADJ</v>
      </c>
      <c r="C62" s="1630"/>
      <c r="D62" s="1882"/>
      <c r="E62" s="1628" t="s">
        <v>8339</v>
      </c>
      <c r="F62" s="1882"/>
      <c r="G62" s="1882">
        <f>IF('1A'!J6="","##BLANK",'1A'!J6)</f>
        <v>-3.2210000000000001</v>
      </c>
    </row>
    <row r="63" spans="2:7">
      <c r="B63" s="1627" t="str">
        <f>'1A'!AI7</f>
        <v>BO2560ADJ</v>
      </c>
      <c r="C63" s="1627"/>
      <c r="D63" s="1882"/>
      <c r="E63" s="1628" t="s">
        <v>8339</v>
      </c>
      <c r="F63" s="1882"/>
      <c r="G63" s="1882">
        <f>IF('1A'!J7="","##BLANK",'1A'!J7)</f>
        <v>0.83499999999999996</v>
      </c>
    </row>
    <row r="64" spans="2:7">
      <c r="B64" s="1627" t="str">
        <f>'1A'!AI8</f>
        <v>BO1980ADJ</v>
      </c>
      <c r="C64" s="1627"/>
      <c r="D64" s="1882"/>
      <c r="E64" s="1628" t="s">
        <v>8339</v>
      </c>
      <c r="F64" s="1882"/>
      <c r="G64" s="1882">
        <f>IF('1A'!J8="","##BLANK",'1A'!J8)</f>
        <v>0</v>
      </c>
    </row>
    <row r="65" spans="2:7">
      <c r="B65" s="1627" t="str">
        <f>'1A'!AI9</f>
        <v>BO2060ADJ</v>
      </c>
      <c r="C65" s="1627"/>
      <c r="D65" s="1882"/>
      <c r="E65" s="1628" t="s">
        <v>8339</v>
      </c>
      <c r="F65" s="1882"/>
      <c r="G65" s="1882">
        <f>IF('1A'!J9="","##BLANK",'1A'!J9)</f>
        <v>-2.3860000000000001</v>
      </c>
    </row>
    <row r="66" spans="2:7">
      <c r="B66" s="1627" t="str">
        <f>'1A'!AI11</f>
        <v>BO3301ADJ</v>
      </c>
      <c r="C66" s="1627"/>
      <c r="D66" s="1882"/>
      <c r="E66" s="1628" t="s">
        <v>8339</v>
      </c>
      <c r="F66" s="1882"/>
      <c r="G66" s="1882">
        <f>IF('1A'!J11="","##BLANK",'1A'!J11)</f>
        <v>2.0150000000000001</v>
      </c>
    </row>
    <row r="67" spans="2:7">
      <c r="B67" s="1627" t="str">
        <f>'1A'!AI12</f>
        <v>A10008ADJ</v>
      </c>
      <c r="C67" s="1627"/>
      <c r="D67" s="1882"/>
      <c r="E67" s="1628" t="s">
        <v>8339</v>
      </c>
      <c r="F67" s="1882"/>
      <c r="G67" s="1882">
        <f>IF('1A'!J12="","##BLANK",'1A'!J12)</f>
        <v>0</v>
      </c>
    </row>
    <row r="68" spans="2:7">
      <c r="B68" s="1627" t="str">
        <f>'1A'!AI13</f>
        <v>A10009ADJ</v>
      </c>
      <c r="C68" s="1627"/>
      <c r="D68" s="1882"/>
      <c r="E68" s="1628" t="s">
        <v>8339</v>
      </c>
      <c r="F68" s="1882"/>
      <c r="G68" s="1882">
        <f>IF('1A'!J13="","##BLANK",'1A'!J13)</f>
        <v>-0.32800000000000001</v>
      </c>
    </row>
    <row r="69" spans="2:7">
      <c r="B69" s="1627" t="str">
        <f>'1A'!AI14</f>
        <v>FT01641ADJ</v>
      </c>
      <c r="C69" s="1627"/>
      <c r="D69" s="1882"/>
      <c r="E69" s="1628" t="s">
        <v>8339</v>
      </c>
      <c r="F69" s="1882"/>
      <c r="G69" s="1882">
        <f>IF('1A'!J14="","##BLANK",'1A'!J14)</f>
        <v>0</v>
      </c>
    </row>
    <row r="70" spans="2:7">
      <c r="B70" s="1627" t="str">
        <f>'1A'!AI15</f>
        <v>A10011ADJ</v>
      </c>
      <c r="C70" s="1627"/>
      <c r="D70" s="1882"/>
      <c r="E70" s="1628" t="s">
        <v>8339</v>
      </c>
      <c r="F70" s="1882"/>
      <c r="G70" s="1882">
        <f>IF('1A'!J15="","##BLANK",'1A'!J15)</f>
        <v>-0.69899999999999984</v>
      </c>
    </row>
    <row r="71" spans="2:7">
      <c r="B71" s="1627" t="str">
        <f>'1A'!AI17</f>
        <v>A10012ADJ</v>
      </c>
      <c r="C71" s="1627"/>
      <c r="D71" s="1882"/>
      <c r="E71" s="1628" t="s">
        <v>8339</v>
      </c>
      <c r="F71" s="1882"/>
      <c r="G71" s="1882">
        <f>IF('1A'!J17="","##BLANK",'1A'!J17)</f>
        <v>0</v>
      </c>
    </row>
    <row r="72" spans="2:7">
      <c r="B72" s="1627" t="str">
        <f>'1A'!AI18</f>
        <v>BO3305ADJ</v>
      </c>
      <c r="C72" s="1627"/>
      <c r="D72" s="1882"/>
      <c r="E72" s="1628" t="s">
        <v>8339</v>
      </c>
      <c r="F72" s="1882"/>
      <c r="G72" s="1882">
        <f>IF('1A'!J18="","##BLANK",'1A'!J18)</f>
        <v>-0.69899999999999984</v>
      </c>
    </row>
    <row r="73" spans="2:7">
      <c r="B73" s="1627" t="str">
        <f>'1A'!AI20</f>
        <v>BO3351ADJ</v>
      </c>
      <c r="C73" s="1627"/>
      <c r="D73" s="1882"/>
      <c r="E73" s="1628" t="s">
        <v>8339</v>
      </c>
      <c r="F73" s="1882"/>
      <c r="G73" s="1882">
        <f>IF('1A'!J20="","##BLANK",'1A'!J20)</f>
        <v>4.1000000000000002E-2</v>
      </c>
    </row>
    <row r="74" spans="2:7">
      <c r="B74" s="1627" t="str">
        <f>'1A'!AI21</f>
        <v>BO3352ADJ</v>
      </c>
      <c r="C74" s="1627"/>
      <c r="D74" s="1882"/>
      <c r="E74" s="1628" t="s">
        <v>8339</v>
      </c>
      <c r="F74" s="1882"/>
      <c r="G74" s="1882">
        <f>IF('1A'!J21="","##BLANK",'1A'!J21)</f>
        <v>9.1999999999999998E-2</v>
      </c>
    </row>
    <row r="75" spans="2:7">
      <c r="B75" s="1627" t="str">
        <f>'1A'!AI22</f>
        <v>BO2530ADJ</v>
      </c>
      <c r="C75" s="1627"/>
      <c r="D75" s="1882"/>
      <c r="E75" s="1628" t="s">
        <v>8339</v>
      </c>
      <c r="F75" s="1882"/>
      <c r="G75" s="1882">
        <f>IF('1A'!J22="","##BLANK",'1A'!J22)</f>
        <v>-0.56599999999999984</v>
      </c>
    </row>
    <row r="76" spans="2:7">
      <c r="B76" s="1627" t="str">
        <f>'1A'!AI24</f>
        <v>BO3402ADJ</v>
      </c>
      <c r="C76" s="1627"/>
      <c r="D76" s="1882"/>
      <c r="E76" s="1628" t="s">
        <v>8339</v>
      </c>
      <c r="F76" s="1882"/>
      <c r="G76" s="1882">
        <f>IF('1A'!J24="","##BLANK",'1A'!J24)</f>
        <v>0.17499999999999999</v>
      </c>
    </row>
    <row r="77" spans="2:7">
      <c r="B77" s="1627" t="str">
        <f>'1A'!AI27</f>
        <v>BO3354ADJ</v>
      </c>
      <c r="C77" s="1627"/>
      <c r="D77" s="1882"/>
      <c r="E77" s="1628" t="s">
        <v>8339</v>
      </c>
      <c r="F77" s="1882"/>
      <c r="G77" s="1882">
        <f>IF('1A'!J27="","##BLANK",'1A'!J27)</f>
        <v>-4.1000000000000002E-2</v>
      </c>
    </row>
    <row r="78" spans="2:7">
      <c r="B78" s="1627" t="str">
        <f>'1A'!AI28</f>
        <v>BO3355ADJ</v>
      </c>
      <c r="C78" s="1627"/>
      <c r="D78" s="1882"/>
      <c r="E78" s="1628" t="s">
        <v>8339</v>
      </c>
      <c r="F78" s="1882"/>
      <c r="G78" s="1882">
        <f>IF('1A'!J28="","##BLANK",'1A'!J28)</f>
        <v>0</v>
      </c>
    </row>
    <row r="79" spans="2:7" ht="14.5" thickBot="1">
      <c r="B79" s="1627" t="str">
        <f>'1A'!AI29</f>
        <v>BO3353ADJ</v>
      </c>
      <c r="C79" s="1627"/>
      <c r="D79" s="1882"/>
      <c r="E79" s="1628" t="s">
        <v>8339</v>
      </c>
      <c r="F79" s="1882"/>
      <c r="G79" s="1882">
        <f>IF('1A'!J29="","##BLANK",'1A'!J29)</f>
        <v>-4.1000000000000002E-2</v>
      </c>
    </row>
    <row r="80" spans="2:7">
      <c r="B80" s="1630" t="str">
        <f>'1A'!AJ6</f>
        <v>BO1180</v>
      </c>
      <c r="C80" s="1630"/>
      <c r="D80" s="1882"/>
      <c r="E80" s="1628" t="s">
        <v>8339</v>
      </c>
      <c r="F80" s="1882"/>
      <c r="G80" s="1882">
        <f>IF('1A'!K6="","##BLANK",'1A'!K6)</f>
        <v>122.25399999999999</v>
      </c>
    </row>
    <row r="81" spans="2:7">
      <c r="B81" s="1627" t="str">
        <f>'1A'!AJ7</f>
        <v>BO2560</v>
      </c>
      <c r="C81" s="1627"/>
      <c r="D81" s="1882"/>
      <c r="E81" s="1628" t="s">
        <v>8339</v>
      </c>
      <c r="F81" s="1882"/>
      <c r="G81" s="1882">
        <f>IF('1A'!K7="","##BLANK",'1A'!K7)</f>
        <v>-102.709</v>
      </c>
    </row>
    <row r="82" spans="2:7">
      <c r="B82" s="1627" t="str">
        <f>'1A'!AJ8</f>
        <v>BO1980</v>
      </c>
      <c r="C82" s="1627"/>
      <c r="D82" s="1882"/>
      <c r="E82" s="1628" t="s">
        <v>8339</v>
      </c>
      <c r="F82" s="1882"/>
      <c r="G82" s="1882">
        <f>IF('1A'!K8="","##BLANK",'1A'!K8)</f>
        <v>0.68700000000000006</v>
      </c>
    </row>
    <row r="83" spans="2:7">
      <c r="B83" s="1627" t="str">
        <f>'1A'!AJ9</f>
        <v>BO2060</v>
      </c>
      <c r="C83" s="1627"/>
      <c r="D83" s="1882"/>
      <c r="E83" s="1628" t="s">
        <v>8339</v>
      </c>
      <c r="F83" s="1882"/>
      <c r="G83" s="1882">
        <f>IF('1A'!K9="","##BLANK",'1A'!K9)</f>
        <v>20.231999999999999</v>
      </c>
    </row>
    <row r="84" spans="2:7">
      <c r="B84" s="1627" t="str">
        <f>'1A'!AJ11</f>
        <v>BO3301</v>
      </c>
      <c r="C84" s="1627"/>
      <c r="D84" s="1882"/>
      <c r="E84" s="1628" t="s">
        <v>8339</v>
      </c>
      <c r="F84" s="1882"/>
      <c r="G84" s="1882">
        <f>IF('1A'!K11="","##BLANK",'1A'!K11)</f>
        <v>2.0150000000000001</v>
      </c>
    </row>
    <row r="85" spans="2:7">
      <c r="B85" s="1627" t="str">
        <f>'1A'!AJ12</f>
        <v>A10008APP</v>
      </c>
      <c r="C85" s="1627"/>
      <c r="D85" s="1882"/>
      <c r="E85" s="1628" t="s">
        <v>8339</v>
      </c>
      <c r="F85" s="1882"/>
      <c r="G85" s="1882">
        <f>IF('1A'!K12="","##BLANK",'1A'!K12)</f>
        <v>4.1130000000000004</v>
      </c>
    </row>
    <row r="86" spans="2:7">
      <c r="B86" s="1627" t="str">
        <f>'1A'!AJ13</f>
        <v>A10009APP</v>
      </c>
      <c r="C86" s="1627"/>
      <c r="D86" s="1882"/>
      <c r="E86" s="1628" t="s">
        <v>8339</v>
      </c>
      <c r="F86" s="1882"/>
      <c r="G86" s="1882">
        <f>IF('1A'!K13="","##BLANK",'1A'!K13)</f>
        <v>-18.315999999999999</v>
      </c>
    </row>
    <row r="87" spans="2:7">
      <c r="B87" s="1627" t="str">
        <f>'1A'!AJ14</f>
        <v>FT01641</v>
      </c>
      <c r="C87" s="1627"/>
      <c r="D87" s="1882"/>
      <c r="E87" s="1628" t="s">
        <v>8339</v>
      </c>
      <c r="F87" s="1882"/>
      <c r="G87" s="1882">
        <f>IF('1A'!K14="","##BLANK",'1A'!K14)</f>
        <v>0.36</v>
      </c>
    </row>
    <row r="88" spans="2:7">
      <c r="B88" s="1627" t="str">
        <f>'1A'!AJ15</f>
        <v>A10011APP</v>
      </c>
      <c r="C88" s="1627"/>
      <c r="D88" s="1882"/>
      <c r="E88" s="1628" t="s">
        <v>8339</v>
      </c>
      <c r="F88" s="1882"/>
      <c r="G88" s="1882">
        <f>IF('1A'!K15="","##BLANK",'1A'!K15)</f>
        <v>8.4039999999999981</v>
      </c>
    </row>
    <row r="89" spans="2:7">
      <c r="B89" s="1627" t="str">
        <f>'1A'!AJ17</f>
        <v>A10012APP</v>
      </c>
      <c r="C89" s="1627"/>
      <c r="D89" s="1882"/>
      <c r="E89" s="1628" t="s">
        <v>8339</v>
      </c>
      <c r="F89" s="1882"/>
      <c r="G89" s="1882">
        <f>IF('1A'!K17="","##BLANK",'1A'!K17)</f>
        <v>0</v>
      </c>
    </row>
    <row r="90" spans="2:7">
      <c r="B90" s="1627" t="str">
        <f>'1A'!AJ18</f>
        <v>BO3305</v>
      </c>
      <c r="C90" s="1627"/>
      <c r="D90" s="1882"/>
      <c r="E90" s="1628" t="s">
        <v>8339</v>
      </c>
      <c r="F90" s="1882"/>
      <c r="G90" s="1882">
        <f>IF('1A'!K18="","##BLANK",'1A'!K18)</f>
        <v>8.4039999999999981</v>
      </c>
    </row>
    <row r="91" spans="2:7">
      <c r="B91" s="1627" t="str">
        <f>'1A'!AJ20</f>
        <v>BO3351</v>
      </c>
      <c r="C91" s="1627"/>
      <c r="D91" s="1882"/>
      <c r="E91" s="1628" t="s">
        <v>8339</v>
      </c>
      <c r="F91" s="1882"/>
      <c r="G91" s="1882">
        <f>IF('1A'!K20="","##BLANK",'1A'!K20)</f>
        <v>-0.93800000000000006</v>
      </c>
    </row>
    <row r="92" spans="2:7">
      <c r="B92" s="1627" t="str">
        <f>'1A'!AJ21</f>
        <v>BO3352</v>
      </c>
      <c r="C92" s="1627"/>
      <c r="D92" s="1882"/>
      <c r="E92" s="1628" t="s">
        <v>8339</v>
      </c>
      <c r="F92" s="1882"/>
      <c r="G92" s="1882">
        <f>IF('1A'!K21="","##BLANK",'1A'!K21)</f>
        <v>-7.6350000000000007</v>
      </c>
    </row>
    <row r="93" spans="2:7">
      <c r="B93" s="1627" t="str">
        <f>'1A'!AJ22</f>
        <v>BO2530</v>
      </c>
      <c r="C93" s="1627"/>
      <c r="D93" s="1882"/>
      <c r="E93" s="1628" t="s">
        <v>8339</v>
      </c>
      <c r="F93" s="1882"/>
      <c r="G93" s="1882">
        <f>IF('1A'!K22="","##BLANK",'1A'!K22)</f>
        <v>-0.16900000000000137</v>
      </c>
    </row>
    <row r="94" spans="2:7">
      <c r="B94" s="1627" t="str">
        <f>'1A'!AJ24</f>
        <v>BO3402</v>
      </c>
      <c r="C94" s="1627"/>
      <c r="D94" s="1882"/>
      <c r="E94" s="1628" t="s">
        <v>8339</v>
      </c>
      <c r="F94" s="1882"/>
      <c r="G94" s="1882">
        <f>IF('1A'!K24="","##BLANK",'1A'!K24)</f>
        <v>-6.0920000000000005</v>
      </c>
    </row>
    <row r="95" spans="2:7">
      <c r="B95" s="1627" t="str">
        <f>'1A'!AJ27</f>
        <v>BO3354</v>
      </c>
      <c r="C95" s="1627"/>
      <c r="D95" s="1882"/>
      <c r="E95" s="1628" t="s">
        <v>8339</v>
      </c>
      <c r="F95" s="1882"/>
      <c r="G95" s="1882">
        <f>IF('1A'!K27="","##BLANK",'1A'!K27)</f>
        <v>1.1480000000000001</v>
      </c>
    </row>
    <row r="96" spans="2:7">
      <c r="B96" s="1627" t="str">
        <f>'1A'!AJ28</f>
        <v>BO3355</v>
      </c>
      <c r="C96" s="1627"/>
      <c r="D96" s="1882"/>
      <c r="E96" s="1628" t="s">
        <v>8339</v>
      </c>
      <c r="F96" s="1882"/>
      <c r="G96" s="1882">
        <f>IF('1A'!K28="","##BLANK",'1A'!K28)</f>
        <v>-0.21</v>
      </c>
    </row>
    <row r="97" spans="2:7">
      <c r="B97" s="1627" t="str">
        <f>'1A'!AJ29</f>
        <v>BO3353</v>
      </c>
      <c r="C97" s="1627"/>
      <c r="D97" s="1882"/>
      <c r="E97" s="1628" t="s">
        <v>8339</v>
      </c>
      <c r="F97" s="1882"/>
      <c r="G97" s="1882">
        <f>IF('1A'!K29="","##BLANK",'1A'!K29)</f>
        <v>0.93800000000000006</v>
      </c>
    </row>
    <row r="98" spans="2:7">
      <c r="B98" s="821" t="str">
        <f>'1B'!AF7</f>
        <v>BO2550STAT</v>
      </c>
      <c r="D98" s="1882"/>
      <c r="E98" s="1628" t="s">
        <v>8339</v>
      </c>
      <c r="F98" s="1882"/>
      <c r="G98" s="1882">
        <f>IF('1B'!G7="","##BLANK",'1B'!G7)</f>
        <v>0.47699999999999998</v>
      </c>
    </row>
    <row r="99" spans="2:7">
      <c r="B99" s="821" t="str">
        <f>'1B'!AF8</f>
        <v>BO2553STAT</v>
      </c>
      <c r="D99" s="1882"/>
      <c r="E99" s="1628" t="s">
        <v>8339</v>
      </c>
      <c r="F99" s="1882"/>
      <c r="G99" s="1882">
        <f>IF('1B'!G8="","##BLANK",'1B'!G8)</f>
        <v>-8.4000000000000005E-2</v>
      </c>
    </row>
    <row r="100" spans="2:7">
      <c r="B100" s="821" t="str">
        <f>'1B'!AF9</f>
        <v>BO2554STAT</v>
      </c>
      <c r="D100" s="1882"/>
      <c r="E100" s="1628" t="s">
        <v>8339</v>
      </c>
      <c r="F100" s="1882"/>
      <c r="G100" s="1882">
        <f>IF('1B'!G9="","##BLANK",'1B'!G9)</f>
        <v>0.78999999999999848</v>
      </c>
    </row>
    <row r="101" spans="2:7">
      <c r="B101" s="821" t="str">
        <f>'1B'!AG7</f>
        <v>BO2550DSR</v>
      </c>
      <c r="D101" s="1882"/>
      <c r="E101" s="1628" t="s">
        <v>8339</v>
      </c>
      <c r="F101" s="1882"/>
      <c r="G101" s="1882">
        <f>IF('1B'!H7="","##BLANK",'1B'!H7)</f>
        <v>0</v>
      </c>
    </row>
    <row r="102" spans="2:7">
      <c r="B102" s="821" t="str">
        <f>'1B'!AG8</f>
        <v>BO2553DSR</v>
      </c>
      <c r="D102" s="1882"/>
      <c r="E102" s="1628" t="s">
        <v>8339</v>
      </c>
      <c r="F102" s="1882"/>
      <c r="G102" s="1882">
        <f>IF('1B'!H8="","##BLANK",'1B'!H8)</f>
        <v>0</v>
      </c>
    </row>
    <row r="103" spans="2:7">
      <c r="B103" s="821" t="str">
        <f>'1B'!AG9</f>
        <v>BO2554DSR</v>
      </c>
      <c r="D103" s="1882"/>
      <c r="E103" s="1628" t="s">
        <v>8339</v>
      </c>
      <c r="F103" s="1882"/>
      <c r="G103" s="1882">
        <f>IF('1B'!H9="","##BLANK",'1B'!H9)</f>
        <v>-0.3909999999999999</v>
      </c>
    </row>
    <row r="104" spans="2:7">
      <c r="B104" s="821" t="str">
        <f>'1B'!AH7</f>
        <v>BO2550NA</v>
      </c>
      <c r="D104" s="1882"/>
      <c r="E104" s="1628" t="s">
        <v>8339</v>
      </c>
      <c r="F104" s="1882"/>
      <c r="G104" s="1882">
        <f>IF('1B'!I7="","##BLANK",'1B'!I7)</f>
        <v>0</v>
      </c>
    </row>
    <row r="105" spans="2:7">
      <c r="B105" s="821" t="str">
        <f>'1B'!AH8</f>
        <v>BO2553NA</v>
      </c>
      <c r="D105" s="1882"/>
      <c r="E105" s="1628" t="s">
        <v>8339</v>
      </c>
      <c r="F105" s="1882"/>
      <c r="G105" s="1882">
        <f>IF('1B'!I8="","##BLANK",'1B'!I8)</f>
        <v>0</v>
      </c>
    </row>
    <row r="106" spans="2:7">
      <c r="B106" s="821" t="str">
        <f>'1B'!AH9</f>
        <v>BO2554NA</v>
      </c>
      <c r="D106" s="1882"/>
      <c r="E106" s="1628" t="s">
        <v>8339</v>
      </c>
      <c r="F106" s="1882"/>
      <c r="G106" s="1882">
        <f>IF('1B'!I9="","##BLANK",'1B'!I9)</f>
        <v>0.17499999999999996</v>
      </c>
    </row>
    <row r="107" spans="2:7">
      <c r="B107" s="821" t="str">
        <f>'1B'!AI7</f>
        <v>BO2550ADJ</v>
      </c>
      <c r="D107" s="1882"/>
      <c r="E107" s="1628" t="s">
        <v>8339</v>
      </c>
      <c r="F107" s="1882"/>
      <c r="G107" s="1882">
        <f>IF('1B'!J7="","##BLANK",'1B'!J7)</f>
        <v>0</v>
      </c>
    </row>
    <row r="108" spans="2:7">
      <c r="B108" s="821" t="str">
        <f>'1B'!AI8</f>
        <v>BO2553ADJ</v>
      </c>
      <c r="D108" s="1882"/>
      <c r="E108" s="1628" t="s">
        <v>8339</v>
      </c>
      <c r="F108" s="1882"/>
      <c r="G108" s="1882">
        <f>IF('1B'!J8="","##BLANK",'1B'!J8)</f>
        <v>0</v>
      </c>
    </row>
    <row r="109" spans="2:7">
      <c r="B109" s="821" t="str">
        <f>'1B'!AI9</f>
        <v>BO2554ADJ</v>
      </c>
      <c r="D109" s="1882"/>
      <c r="E109" s="1628" t="s">
        <v>8339</v>
      </c>
      <c r="F109" s="1882"/>
      <c r="G109" s="1882">
        <f>IF('1B'!J9="","##BLANK",'1B'!J9)</f>
        <v>-0.56599999999999984</v>
      </c>
    </row>
    <row r="110" spans="2:7">
      <c r="B110" s="821" t="str">
        <f>'1B'!AJ7</f>
        <v>BO2550</v>
      </c>
      <c r="D110" s="1882"/>
      <c r="E110" s="1628" t="s">
        <v>8339</v>
      </c>
      <c r="F110" s="1882"/>
      <c r="G110" s="1882">
        <f>IF('1B'!K7="","##BLANK",'1B'!K7)</f>
        <v>0.47699999999999998</v>
      </c>
    </row>
    <row r="111" spans="2:7">
      <c r="B111" s="821" t="str">
        <f>'1B'!AJ8</f>
        <v>BO2553</v>
      </c>
      <c r="D111" s="1882"/>
      <c r="E111" s="1628" t="s">
        <v>8339</v>
      </c>
      <c r="F111" s="1882"/>
      <c r="G111" s="1882">
        <f>IF('1B'!K8="","##BLANK",'1B'!K8)</f>
        <v>-8.4000000000000005E-2</v>
      </c>
    </row>
    <row r="112" spans="2:7">
      <c r="B112" s="821" t="str">
        <f>'1B'!AJ9</f>
        <v>BO2554</v>
      </c>
      <c r="D112" s="1882"/>
      <c r="E112" s="1628" t="s">
        <v>8339</v>
      </c>
      <c r="F112" s="1882"/>
      <c r="G112" s="1882">
        <f>IF('1B'!K9="","##BLANK",'1B'!K9)</f>
        <v>0.22399999999999864</v>
      </c>
    </row>
    <row r="113" spans="2:7">
      <c r="B113" s="821" t="str">
        <f>'1C'!AF7</f>
        <v>BO4008STAT</v>
      </c>
      <c r="D113" s="1882"/>
      <c r="E113" s="1628" t="s">
        <v>8339</v>
      </c>
      <c r="F113" s="1882"/>
      <c r="G113" s="1882">
        <f>IF('1C'!G7="","##BLANK",'1C'!G7)</f>
        <v>671.86800000000005</v>
      </c>
    </row>
    <row r="114" spans="2:7">
      <c r="B114" s="821" t="str">
        <f>'1C'!AF8</f>
        <v>A11002STAT</v>
      </c>
      <c r="D114" s="1882"/>
      <c r="E114" s="1628" t="s">
        <v>8339</v>
      </c>
      <c r="F114" s="1882"/>
      <c r="G114" s="1882">
        <f>IF('1C'!G8="","##BLANK",'1C'!G8)</f>
        <v>13.97</v>
      </c>
    </row>
    <row r="115" spans="2:7">
      <c r="B115" s="821" t="str">
        <f>'1C'!AF9</f>
        <v>FT01670STAT</v>
      </c>
      <c r="D115" s="1882"/>
      <c r="E115" s="1628" t="s">
        <v>8339</v>
      </c>
      <c r="F115" s="1882"/>
      <c r="G115" s="1882">
        <f>IF('1C'!G9="","##BLANK",'1C'!G9)</f>
        <v>65.5</v>
      </c>
    </row>
    <row r="116" spans="2:7">
      <c r="B116" s="821" t="str">
        <f>'1C'!AF10</f>
        <v>FT01680STAT</v>
      </c>
      <c r="D116" s="1882"/>
      <c r="E116" s="1628" t="s">
        <v>8339</v>
      </c>
      <c r="F116" s="1882"/>
      <c r="G116" s="1882">
        <f>IF('1C'!G10="","##BLANK",'1C'!G10)</f>
        <v>0</v>
      </c>
    </row>
    <row r="117" spans="2:7">
      <c r="B117" s="821" t="str">
        <f>'1C'!AF11</f>
        <v>A11005STAT</v>
      </c>
      <c r="D117" s="1882"/>
      <c r="E117" s="1628" t="s">
        <v>8339</v>
      </c>
      <c r="F117" s="1882"/>
      <c r="G117" s="1882">
        <f>IF('1C'!G11="","##BLANK",'1C'!G11)</f>
        <v>0</v>
      </c>
    </row>
    <row r="118" spans="2:7">
      <c r="B118" s="821" t="str">
        <f>'1C'!AF12</f>
        <v>FT01751STAT</v>
      </c>
      <c r="D118" s="1882"/>
      <c r="E118" s="1628" t="s">
        <v>8339</v>
      </c>
      <c r="F118" s="1882"/>
      <c r="G118" s="1882">
        <f>IF('1C'!G12="","##BLANK",'1C'!G12)</f>
        <v>9.6690000000000005</v>
      </c>
    </row>
    <row r="119" spans="2:7">
      <c r="B119" s="821" t="str">
        <f>'1C'!AF13</f>
        <v>A11006STAT</v>
      </c>
      <c r="D119" s="1882"/>
      <c r="E119" s="1628" t="s">
        <v>8339</v>
      </c>
      <c r="F119" s="1882"/>
      <c r="G119" s="1882">
        <f>IF('1C'!G13="","##BLANK",'1C'!G13)</f>
        <v>761.00700000000006</v>
      </c>
    </row>
    <row r="120" spans="2:7">
      <c r="B120" s="821" t="str">
        <f>'1C'!AF16</f>
        <v>BO4084STAT</v>
      </c>
      <c r="D120" s="1882"/>
      <c r="E120" s="1628" t="s">
        <v>8339</v>
      </c>
      <c r="F120" s="1882"/>
      <c r="G120" s="1882">
        <f>IF('1C'!G16="","##BLANK",'1C'!G16)</f>
        <v>1.6779999999999999</v>
      </c>
    </row>
    <row r="121" spans="2:7">
      <c r="B121" s="821" t="str">
        <f>'1C'!AF17</f>
        <v>A11008STAT</v>
      </c>
      <c r="D121" s="1882"/>
      <c r="E121" s="1628" t="s">
        <v>8339</v>
      </c>
      <c r="F121" s="1882"/>
      <c r="G121" s="1882">
        <f>IF('1C'!G17="","##BLANK",'1C'!G17)</f>
        <v>30.648</v>
      </c>
    </row>
    <row r="122" spans="2:7">
      <c r="B122" s="821" t="str">
        <f>'1C'!AF18</f>
        <v>A11009STAT</v>
      </c>
      <c r="D122" s="1882"/>
      <c r="E122" s="1628" t="s">
        <v>8339</v>
      </c>
      <c r="F122" s="1882"/>
      <c r="G122" s="1882">
        <f>IF('1C'!G18="","##BLANK",'1C'!G18)</f>
        <v>0</v>
      </c>
    </row>
    <row r="123" spans="2:7">
      <c r="B123" s="821" t="str">
        <f>'1C'!AF19</f>
        <v>A11010STAT</v>
      </c>
      <c r="D123" s="1882"/>
      <c r="E123" s="1628" t="s">
        <v>8339</v>
      </c>
      <c r="F123" s="1882"/>
      <c r="G123" s="1882">
        <f>IF('1C'!G19="","##BLANK",'1C'!G19)</f>
        <v>10.102</v>
      </c>
    </row>
    <row r="124" spans="2:7">
      <c r="B124" s="821" t="str">
        <f>'1C'!AF20</f>
        <v>BO4092STAT</v>
      </c>
      <c r="D124" s="1882"/>
      <c r="E124" s="1628" t="s">
        <v>8339</v>
      </c>
      <c r="F124" s="1882"/>
      <c r="G124" s="1882">
        <f>IF('1C'!G20="","##BLANK",'1C'!G20)</f>
        <v>42.427999999999997</v>
      </c>
    </row>
    <row r="125" spans="2:7">
      <c r="B125" s="821" t="str">
        <f>'1C'!AF23</f>
        <v>A11012STAT</v>
      </c>
      <c r="D125" s="1882"/>
      <c r="E125" s="1628" t="s">
        <v>8339</v>
      </c>
      <c r="F125" s="1882"/>
      <c r="G125" s="1882">
        <f>IF('1C'!G23="","##BLANK",'1C'!G23)</f>
        <v>-26.396999999999998</v>
      </c>
    </row>
    <row r="126" spans="2:7">
      <c r="B126" s="821" t="str">
        <f>'1C'!AF24</f>
        <v>A11013STAT</v>
      </c>
      <c r="D126" s="1882"/>
      <c r="E126" s="1628" t="s">
        <v>8339</v>
      </c>
      <c r="F126" s="1882"/>
      <c r="G126" s="1882">
        <f>IF('1C'!G24="","##BLANK",'1C'!G24)</f>
        <v>-10.067</v>
      </c>
    </row>
    <row r="127" spans="2:7">
      <c r="B127" s="821" t="str">
        <f>'1C'!AF25</f>
        <v>BO4093STAT</v>
      </c>
      <c r="D127" s="1882"/>
      <c r="E127" s="1628" t="s">
        <v>8339</v>
      </c>
      <c r="F127" s="1882"/>
      <c r="G127" s="1882">
        <f>IF('1C'!G25="","##BLANK",'1C'!G25)</f>
        <v>-0.873</v>
      </c>
    </row>
    <row r="128" spans="2:7">
      <c r="B128" s="821" t="str">
        <f>'1C'!AF26</f>
        <v>A11015STAT</v>
      </c>
      <c r="D128" s="1882"/>
      <c r="E128" s="1628" t="s">
        <v>8339</v>
      </c>
      <c r="F128" s="1882"/>
      <c r="G128" s="1882">
        <f>IF('1C'!G26="","##BLANK",'1C'!G26)</f>
        <v>0</v>
      </c>
    </row>
    <row r="129" spans="2:7">
      <c r="B129" s="821" t="str">
        <f>'1C'!AF27</f>
        <v>A11016STAT</v>
      </c>
      <c r="D129" s="1882"/>
      <c r="E129" s="1628" t="s">
        <v>8339</v>
      </c>
      <c r="F129" s="1882"/>
      <c r="G129" s="1882">
        <f>IF('1C'!G27="","##BLANK",'1C'!G27)</f>
        <v>1.3759999999999999</v>
      </c>
    </row>
    <row r="130" spans="2:7">
      <c r="B130" s="821" t="str">
        <f>'1C'!AF28</f>
        <v>A11017STAT</v>
      </c>
      <c r="D130" s="1882"/>
      <c r="E130" s="1628" t="s">
        <v>8339</v>
      </c>
      <c r="F130" s="1882"/>
      <c r="G130" s="1882">
        <f>IF('1C'!G28="","##BLANK",'1C'!G28)</f>
        <v>-8.2390000000000008</v>
      </c>
    </row>
    <row r="131" spans="2:7">
      <c r="B131" s="821" t="str">
        <f>'1C'!AF29</f>
        <v>A11018STAT</v>
      </c>
      <c r="D131" s="1882"/>
      <c r="E131" s="1628" t="s">
        <v>8339</v>
      </c>
      <c r="F131" s="1882"/>
      <c r="G131" s="1882">
        <f>IF('1C'!G29="","##BLANK",'1C'!G29)</f>
        <v>-44.2</v>
      </c>
    </row>
    <row r="132" spans="2:7">
      <c r="B132" s="821" t="str">
        <f>'1C'!AF31</f>
        <v>BO4096STAT</v>
      </c>
      <c r="D132" s="1882"/>
      <c r="E132" s="1628" t="s">
        <v>8339</v>
      </c>
      <c r="F132" s="1882"/>
      <c r="G132" s="1882">
        <f>IF('1C'!G31="","##BLANK",'1C'!G31)</f>
        <v>-1.7720000000000056</v>
      </c>
    </row>
    <row r="133" spans="2:7">
      <c r="B133" s="821" t="str">
        <f>'1C'!AF34</f>
        <v>A11020STAT</v>
      </c>
      <c r="D133" s="1882"/>
      <c r="E133" s="1628" t="s">
        <v>8339</v>
      </c>
      <c r="F133" s="1882"/>
      <c r="G133" s="1882">
        <f>IF('1C'!G34="","##BLANK",'1C'!G34)</f>
        <v>0</v>
      </c>
    </row>
    <row r="134" spans="2:7">
      <c r="B134" s="821" t="str">
        <f>'1C'!AF35</f>
        <v>BO4051STAT</v>
      </c>
      <c r="D134" s="1882"/>
      <c r="E134" s="1628" t="s">
        <v>8339</v>
      </c>
      <c r="F134" s="1882"/>
      <c r="G134" s="1882">
        <f>IF('1C'!G35="","##BLANK",'1C'!G35)</f>
        <v>-380.85899999999998</v>
      </c>
    </row>
    <row r="135" spans="2:7">
      <c r="B135" s="821" t="str">
        <f>'1C'!AF36</f>
        <v>A11022STAT</v>
      </c>
      <c r="D135" s="1882"/>
      <c r="E135" s="1628" t="s">
        <v>8339</v>
      </c>
      <c r="F135" s="1882"/>
      <c r="G135" s="1882">
        <f>IF('1C'!G36="","##BLANK",'1C'!G36)</f>
        <v>0</v>
      </c>
    </row>
    <row r="136" spans="2:7">
      <c r="B136" s="821" t="str">
        <f>'1C'!AF37</f>
        <v>A11023STAT</v>
      </c>
      <c r="D136" s="1882"/>
      <c r="E136" s="1628" t="s">
        <v>8339</v>
      </c>
      <c r="F136" s="1882"/>
      <c r="G136" s="1882">
        <f>IF('1C'!G37="","##BLANK",'1C'!G37)</f>
        <v>0</v>
      </c>
    </row>
    <row r="137" spans="2:7">
      <c r="B137" s="821" t="str">
        <f>'1C'!AF38</f>
        <v>A11024STAT</v>
      </c>
      <c r="D137" s="1882"/>
      <c r="E137" s="1628" t="s">
        <v>8339</v>
      </c>
      <c r="F137" s="1882"/>
      <c r="G137" s="1882">
        <f>IF('1C'!G38="","##BLANK",'1C'!G38)</f>
        <v>0</v>
      </c>
    </row>
    <row r="138" spans="2:7">
      <c r="B138" s="821" t="str">
        <f>'1C'!AF39</f>
        <v>BO4065STATGC</v>
      </c>
      <c r="D138" s="1882"/>
      <c r="E138" s="1628" t="s">
        <v>8339</v>
      </c>
      <c r="F138" s="1882"/>
      <c r="G138" s="1882">
        <f>IF('1C'!G39="","##BLANK",'1C'!G39)</f>
        <v>-82.132000000000005</v>
      </c>
    </row>
    <row r="139" spans="2:7">
      <c r="B139" s="821" t="str">
        <f>'1C'!AF40</f>
        <v>BO4065STATAA</v>
      </c>
      <c r="D139" s="1882"/>
      <c r="E139" s="1628" t="s">
        <v>8339</v>
      </c>
      <c r="F139" s="1882"/>
      <c r="G139" s="1882">
        <f>IF('1C'!G40="","##BLANK",'1C'!G40)</f>
        <v>0</v>
      </c>
    </row>
    <row r="140" spans="2:7">
      <c r="B140" s="821" t="str">
        <f>'1C'!AF41</f>
        <v>BB1300APSTAT</v>
      </c>
      <c r="D140" s="1882"/>
      <c r="E140" s="1628" t="s">
        <v>8339</v>
      </c>
      <c r="F140" s="1882"/>
      <c r="G140" s="1882">
        <f>IF('1C'!G41="","##BLANK",'1C'!G41)</f>
        <v>-12.5</v>
      </c>
    </row>
    <row r="141" spans="2:7">
      <c r="B141" s="821" t="str">
        <f>'1C'!AF42</f>
        <v>BO4063STAT</v>
      </c>
      <c r="D141" s="1882"/>
      <c r="E141" s="1628" t="s">
        <v>8339</v>
      </c>
      <c r="F141" s="1882"/>
      <c r="G141" s="1882">
        <f>IF('1C'!G42="","##BLANK",'1C'!G42)</f>
        <v>-65.759</v>
      </c>
    </row>
    <row r="142" spans="2:7">
      <c r="B142" s="821" t="str">
        <f>'1C'!AF43</f>
        <v>A11025STAT</v>
      </c>
      <c r="D142" s="1882"/>
      <c r="E142" s="1628" t="s">
        <v>8339</v>
      </c>
      <c r="F142" s="1882"/>
      <c r="G142" s="1882">
        <f>IF('1C'!G43="","##BLANK",'1C'!G43)</f>
        <v>-541.25</v>
      </c>
    </row>
    <row r="143" spans="2:7">
      <c r="B143" s="821" t="str">
        <f>'1C'!AF45</f>
        <v>BO4070STAT</v>
      </c>
      <c r="D143" s="1882"/>
      <c r="E143" s="1628" t="s">
        <v>8339</v>
      </c>
      <c r="F143" s="1882"/>
      <c r="G143" s="1882">
        <f>IF('1C'!G45="","##BLANK",'1C'!G45)</f>
        <v>217.98500000000001</v>
      </c>
    </row>
    <row r="144" spans="2:7">
      <c r="B144" s="821" t="str">
        <f>'1C'!AF48</f>
        <v>BO4100STAT</v>
      </c>
      <c r="D144" s="1882"/>
      <c r="E144" s="1628" t="s">
        <v>8339</v>
      </c>
      <c r="F144" s="1882"/>
      <c r="G144" s="1882">
        <f>IF('1C'!G48="","##BLANK",'1C'!G48)</f>
        <v>5.9980000000000002</v>
      </c>
    </row>
    <row r="145" spans="2:7">
      <c r="B145" s="821" t="str">
        <f>'1C'!AF49</f>
        <v>A11030STAT</v>
      </c>
      <c r="D145" s="1882"/>
      <c r="E145" s="1628" t="s">
        <v>8339</v>
      </c>
      <c r="F145" s="1882"/>
      <c r="G145" s="1882">
        <f>IF('1C'!G49="","##BLANK",'1C'!G49)</f>
        <v>211.98699999999999</v>
      </c>
    </row>
    <row r="146" spans="2:7">
      <c r="B146" s="821" t="str">
        <f>'1C'!AF50</f>
        <v>BO4130STAT</v>
      </c>
      <c r="D146" s="1882"/>
      <c r="E146" s="1628" t="s">
        <v>8339</v>
      </c>
      <c r="F146" s="1882"/>
      <c r="G146" s="1882">
        <f>IF('1C'!G50="","##BLANK",'1C'!G50)</f>
        <v>217.98499999999999</v>
      </c>
    </row>
    <row r="147" spans="2:7">
      <c r="B147" s="821" t="str">
        <f>'1C'!AG7</f>
        <v>BO4008DSR</v>
      </c>
      <c r="D147" s="1882"/>
      <c r="E147" s="1628" t="s">
        <v>8339</v>
      </c>
      <c r="F147" s="1882"/>
      <c r="G147" s="1882">
        <f>IF('1C'!H7="","##BLANK",'1C'!H7)</f>
        <v>-7.4370000000000003</v>
      </c>
    </row>
    <row r="148" spans="2:7">
      <c r="B148" s="821" t="str">
        <f>'1C'!AG8</f>
        <v>A11002DSR</v>
      </c>
      <c r="D148" s="1882"/>
      <c r="E148" s="1628" t="s">
        <v>8339</v>
      </c>
      <c r="F148" s="1882"/>
      <c r="G148" s="1882">
        <f>IF('1C'!H8="","##BLANK",'1C'!H8)</f>
        <v>0</v>
      </c>
    </row>
    <row r="149" spans="2:7">
      <c r="B149" s="821" t="str">
        <f>'1C'!AG9</f>
        <v>FT01670DSR</v>
      </c>
      <c r="D149" s="1882"/>
      <c r="E149" s="1628" t="s">
        <v>8339</v>
      </c>
      <c r="F149" s="1882"/>
      <c r="G149" s="1882">
        <f>IF('1C'!H9="","##BLANK",'1C'!H9)</f>
        <v>0</v>
      </c>
    </row>
    <row r="150" spans="2:7">
      <c r="B150" s="821" t="str">
        <f>'1C'!AG10</f>
        <v>FT01680DSR</v>
      </c>
      <c r="D150" s="1882"/>
      <c r="E150" s="1628" t="s">
        <v>8339</v>
      </c>
      <c r="F150" s="1882"/>
      <c r="G150" s="1882">
        <f>IF('1C'!H10="","##BLANK",'1C'!H10)</f>
        <v>0</v>
      </c>
    </row>
    <row r="151" spans="2:7">
      <c r="B151" s="821" t="str">
        <f>'1C'!AG11</f>
        <v>A11005DSR</v>
      </c>
      <c r="D151" s="1882"/>
      <c r="E151" s="1628" t="s">
        <v>8339</v>
      </c>
      <c r="F151" s="1882"/>
      <c r="G151" s="1882">
        <f>IF('1C'!H11="","##BLANK",'1C'!H11)</f>
        <v>0</v>
      </c>
    </row>
    <row r="152" spans="2:7">
      <c r="B152" s="821" t="str">
        <f>'1C'!AG12</f>
        <v>FT01751DSR</v>
      </c>
      <c r="D152" s="1882"/>
      <c r="E152" s="1628" t="s">
        <v>8339</v>
      </c>
      <c r="F152" s="1882"/>
      <c r="G152" s="1882">
        <f>IF('1C'!H12="","##BLANK",'1C'!H12)</f>
        <v>0</v>
      </c>
    </row>
    <row r="153" spans="2:7">
      <c r="B153" s="821" t="str">
        <f>'1C'!AG13</f>
        <v>A11006DSR</v>
      </c>
      <c r="D153" s="1882"/>
      <c r="E153" s="1628" t="s">
        <v>8339</v>
      </c>
      <c r="F153" s="1882"/>
      <c r="G153" s="1882">
        <f>IF('1C'!H13="","##BLANK",'1C'!H13)</f>
        <v>-7.4370000000000003</v>
      </c>
    </row>
    <row r="154" spans="2:7">
      <c r="B154" s="821" t="str">
        <f>'1C'!AG16</f>
        <v>BO4084DSR</v>
      </c>
      <c r="D154" s="1882"/>
      <c r="E154" s="1628" t="s">
        <v>8339</v>
      </c>
      <c r="F154" s="1882"/>
      <c r="G154" s="1882">
        <f>IF('1C'!H16="","##BLANK",'1C'!H16)</f>
        <v>0</v>
      </c>
    </row>
    <row r="155" spans="2:7">
      <c r="B155" s="821" t="str">
        <f>'1C'!AG17</f>
        <v>A11008DSR</v>
      </c>
      <c r="D155" s="1882"/>
      <c r="E155" s="1628" t="s">
        <v>8339</v>
      </c>
      <c r="F155" s="1882"/>
      <c r="G155" s="1882">
        <f>IF('1C'!H17="","##BLANK",'1C'!H17)</f>
        <v>0.19600000000000001</v>
      </c>
    </row>
    <row r="156" spans="2:7">
      <c r="B156" s="821" t="str">
        <f>'1C'!AG18</f>
        <v>A11009DSR</v>
      </c>
      <c r="D156" s="1882"/>
      <c r="E156" s="1628" t="s">
        <v>8339</v>
      </c>
      <c r="F156" s="1882"/>
      <c r="G156" s="1882">
        <f>IF('1C'!H18="","##BLANK",'1C'!H18)</f>
        <v>0</v>
      </c>
    </row>
    <row r="157" spans="2:7">
      <c r="B157" s="821" t="str">
        <f>'1C'!AG19</f>
        <v>A11010DSR</v>
      </c>
      <c r="D157" s="1882"/>
      <c r="E157" s="1628" t="s">
        <v>8339</v>
      </c>
      <c r="F157" s="1882"/>
      <c r="G157" s="1882">
        <f>IF('1C'!H19="","##BLANK",'1C'!H19)</f>
        <v>0</v>
      </c>
    </row>
    <row r="158" spans="2:7">
      <c r="B158" s="821" t="str">
        <f>'1C'!AG20</f>
        <v>BO4092DSR</v>
      </c>
      <c r="D158" s="1882"/>
      <c r="E158" s="1628" t="s">
        <v>8339</v>
      </c>
      <c r="F158" s="1882"/>
      <c r="G158" s="1882">
        <f>IF('1C'!H20="","##BLANK",'1C'!H20)</f>
        <v>0.19600000000000001</v>
      </c>
    </row>
    <row r="159" spans="2:7">
      <c r="B159" s="821" t="str">
        <f>'1C'!AG23</f>
        <v>A11012DSR</v>
      </c>
      <c r="D159" s="1882"/>
      <c r="E159" s="1628" t="s">
        <v>8339</v>
      </c>
      <c r="F159" s="1882"/>
      <c r="G159" s="1882">
        <f>IF('1C'!H23="","##BLANK",'1C'!H23)</f>
        <v>0</v>
      </c>
    </row>
    <row r="160" spans="2:7">
      <c r="B160" s="821" t="str">
        <f>'1C'!AG24</f>
        <v>A11013DSR</v>
      </c>
      <c r="D160" s="1882"/>
      <c r="E160" s="1628" t="s">
        <v>8339</v>
      </c>
      <c r="F160" s="1882"/>
      <c r="G160" s="1882">
        <f>IF('1C'!H24="","##BLANK",'1C'!H24)</f>
        <v>0</v>
      </c>
    </row>
    <row r="161" spans="2:7">
      <c r="B161" s="821" t="str">
        <f>'1C'!AG25</f>
        <v>BO4093DSR</v>
      </c>
      <c r="D161" s="1882"/>
      <c r="E161" s="1628" t="s">
        <v>8339</v>
      </c>
      <c r="F161" s="1882"/>
      <c r="G161" s="1882">
        <f>IF('1C'!H25="","##BLANK",'1C'!H25)</f>
        <v>0</v>
      </c>
    </row>
    <row r="162" spans="2:7">
      <c r="B162" s="821" t="str">
        <f>'1C'!AG26</f>
        <v>A11015DSR</v>
      </c>
      <c r="D162" s="1882"/>
      <c r="E162" s="1628" t="s">
        <v>8339</v>
      </c>
      <c r="F162" s="1882"/>
      <c r="G162" s="1882">
        <f>IF('1C'!H26="","##BLANK",'1C'!H26)</f>
        <v>0</v>
      </c>
    </row>
    <row r="163" spans="2:7">
      <c r="B163" s="821" t="str">
        <f>'1C'!AG27</f>
        <v>A11016DSR</v>
      </c>
      <c r="D163" s="1882"/>
      <c r="E163" s="1628" t="s">
        <v>8339</v>
      </c>
      <c r="F163" s="1882"/>
      <c r="G163" s="1882">
        <f>IF('1C'!H27="","##BLANK",'1C'!H27)</f>
        <v>0</v>
      </c>
    </row>
    <row r="164" spans="2:7">
      <c r="B164" s="821" t="str">
        <f>'1C'!AG28</f>
        <v>A11017DSR</v>
      </c>
      <c r="D164" s="1882"/>
      <c r="E164" s="1628" t="s">
        <v>8339</v>
      </c>
      <c r="F164" s="1882"/>
      <c r="G164" s="1882">
        <f>IF('1C'!H28="","##BLANK",'1C'!H28)</f>
        <v>0</v>
      </c>
    </row>
    <row r="165" spans="2:7">
      <c r="B165" s="821" t="str">
        <f>'1C'!AG29</f>
        <v>A11018DSR</v>
      </c>
      <c r="D165" s="1882"/>
      <c r="E165" s="1628" t="s">
        <v>8339</v>
      </c>
      <c r="F165" s="1882"/>
      <c r="G165" s="1882">
        <f>IF('1C'!H29="","##BLANK",'1C'!H29)</f>
        <v>0</v>
      </c>
    </row>
    <row r="166" spans="2:7">
      <c r="B166" s="821" t="str">
        <f>'1C'!AG31</f>
        <v>BO4096DSR</v>
      </c>
      <c r="D166" s="1882"/>
      <c r="E166" s="1628" t="s">
        <v>8339</v>
      </c>
      <c r="F166" s="1882"/>
      <c r="G166" s="1882">
        <f>IF('1C'!H31="","##BLANK",'1C'!H31)</f>
        <v>0.19600000000000001</v>
      </c>
    </row>
    <row r="167" spans="2:7">
      <c r="B167" s="821" t="str">
        <f>'1C'!AG34</f>
        <v>A11020DSR</v>
      </c>
      <c r="D167" s="1882"/>
      <c r="E167" s="1628" t="s">
        <v>8339</v>
      </c>
      <c r="F167" s="1882"/>
      <c r="G167" s="1882">
        <f>IF('1C'!H34="","##BLANK",'1C'!H34)</f>
        <v>0</v>
      </c>
    </row>
    <row r="168" spans="2:7">
      <c r="B168" s="821" t="str">
        <f>'1C'!AG35</f>
        <v>BO4051DSR</v>
      </c>
      <c r="D168" s="1882"/>
      <c r="E168" s="1628" t="s">
        <v>8339</v>
      </c>
      <c r="F168" s="1882"/>
      <c r="G168" s="1882">
        <f>IF('1C'!H35="","##BLANK",'1C'!H35)</f>
        <v>0</v>
      </c>
    </row>
    <row r="169" spans="2:7">
      <c r="B169" s="821" t="str">
        <f>'1C'!AG36</f>
        <v>A11022DSR</v>
      </c>
      <c r="D169" s="1882"/>
      <c r="E169" s="1628" t="s">
        <v>8339</v>
      </c>
      <c r="F169" s="1882"/>
      <c r="G169" s="1882">
        <f>IF('1C'!H36="","##BLANK",'1C'!H36)</f>
        <v>0</v>
      </c>
    </row>
    <row r="170" spans="2:7">
      <c r="B170" s="821" t="str">
        <f>'1C'!AG37</f>
        <v>A11023DSR</v>
      </c>
      <c r="D170" s="1882"/>
      <c r="E170" s="1628" t="s">
        <v>8339</v>
      </c>
      <c r="F170" s="1882"/>
      <c r="G170" s="1882">
        <f>IF('1C'!H37="","##BLANK",'1C'!H37)</f>
        <v>0</v>
      </c>
    </row>
    <row r="171" spans="2:7">
      <c r="B171" s="821" t="str">
        <f>'1C'!AG38</f>
        <v>A11024DSR</v>
      </c>
      <c r="D171" s="1882"/>
      <c r="E171" s="1628" t="s">
        <v>8339</v>
      </c>
      <c r="F171" s="1882"/>
      <c r="G171" s="1882">
        <f>IF('1C'!H38="","##BLANK",'1C'!H38)</f>
        <v>0</v>
      </c>
    </row>
    <row r="172" spans="2:7">
      <c r="B172" s="821" t="str">
        <f>'1C'!AG39</f>
        <v>BO4065DSRGC</v>
      </c>
      <c r="D172" s="1882"/>
      <c r="E172" s="1628" t="s">
        <v>8339</v>
      </c>
      <c r="F172" s="1882"/>
      <c r="G172" s="1882">
        <f>IF('1C'!H39="","##BLANK",'1C'!H39)</f>
        <v>0</v>
      </c>
    </row>
    <row r="173" spans="2:7">
      <c r="B173" s="821" t="str">
        <f>'1C'!AG40</f>
        <v>BO4065DSRAA</v>
      </c>
      <c r="D173" s="1882"/>
      <c r="E173" s="1628" t="s">
        <v>8339</v>
      </c>
      <c r="F173" s="1882"/>
      <c r="G173" s="1882">
        <f>IF('1C'!H40="","##BLANK",'1C'!H40)</f>
        <v>0</v>
      </c>
    </row>
    <row r="174" spans="2:7">
      <c r="B174" s="821" t="str">
        <f>'1C'!AG41</f>
        <v>BB1300APDSR</v>
      </c>
      <c r="D174" s="1882"/>
      <c r="E174" s="1628" t="s">
        <v>8339</v>
      </c>
      <c r="F174" s="1882"/>
      <c r="G174" s="1882">
        <f>IF('1C'!H41="","##BLANK",'1C'!H41)</f>
        <v>0</v>
      </c>
    </row>
    <row r="175" spans="2:7">
      <c r="B175" s="821" t="str">
        <f>'1C'!AG42</f>
        <v>BO4063DSR</v>
      </c>
      <c r="D175" s="1882"/>
      <c r="E175" s="1628" t="s">
        <v>8339</v>
      </c>
      <c r="F175" s="1882"/>
      <c r="G175" s="1882">
        <f>IF('1C'!H42="","##BLANK",'1C'!H42)</f>
        <v>1.1160000000000001</v>
      </c>
    </row>
    <row r="176" spans="2:7">
      <c r="B176" s="821" t="str">
        <f>'1C'!AG43</f>
        <v>A11025DSR</v>
      </c>
      <c r="D176" s="1882"/>
      <c r="E176" s="1628" t="s">
        <v>8339</v>
      </c>
      <c r="F176" s="1882"/>
      <c r="G176" s="1882">
        <f>IF('1C'!H43="","##BLANK",'1C'!H43)</f>
        <v>1.1160000000000001</v>
      </c>
    </row>
    <row r="177" spans="2:7">
      <c r="B177" s="821" t="str">
        <f>'1C'!AG45</f>
        <v>BO4070DSR</v>
      </c>
      <c r="D177" s="1882"/>
      <c r="E177" s="1628" t="s">
        <v>8339</v>
      </c>
      <c r="F177" s="1882"/>
      <c r="G177" s="1882">
        <f>IF('1C'!H45="","##BLANK",'1C'!H45)</f>
        <v>-6.125</v>
      </c>
    </row>
    <row r="178" spans="2:7">
      <c r="B178" s="821" t="str">
        <f>'1C'!AG48</f>
        <v>BO4100DSR</v>
      </c>
      <c r="D178" s="1882"/>
      <c r="E178" s="1628" t="s">
        <v>8339</v>
      </c>
      <c r="F178" s="1882"/>
      <c r="G178" s="1882">
        <f>IF('1C'!H48="","##BLANK",'1C'!H48)</f>
        <v>0</v>
      </c>
    </row>
    <row r="179" spans="2:7">
      <c r="B179" s="821" t="str">
        <f>'1C'!AG49</f>
        <v>A11030DSR</v>
      </c>
      <c r="D179" s="1882"/>
      <c r="E179" s="1628" t="s">
        <v>8339</v>
      </c>
      <c r="F179" s="1882"/>
      <c r="G179" s="1882">
        <f>IF('1C'!H49="","##BLANK",'1C'!H49)</f>
        <v>-6.125</v>
      </c>
    </row>
    <row r="180" spans="2:7">
      <c r="B180" s="821" t="str">
        <f>'1C'!AG50</f>
        <v>BO4130DSR</v>
      </c>
      <c r="D180" s="1882"/>
      <c r="E180" s="1628" t="s">
        <v>8339</v>
      </c>
      <c r="F180" s="1882"/>
      <c r="G180" s="1882">
        <f>IF('1C'!H50="","##BLANK",'1C'!H50)</f>
        <v>-6.125</v>
      </c>
    </row>
    <row r="181" spans="2:7">
      <c r="B181" s="821" t="str">
        <f>'1C'!AH7</f>
        <v>BO4008NA</v>
      </c>
      <c r="D181" s="1882"/>
      <c r="E181" s="1628" t="s">
        <v>8339</v>
      </c>
      <c r="F181" s="1882"/>
      <c r="G181" s="1882">
        <f>IF('1C'!I7="","##BLANK",'1C'!I7)</f>
        <v>1.458</v>
      </c>
    </row>
    <row r="182" spans="2:7">
      <c r="B182" s="821" t="str">
        <f>'1C'!AH8</f>
        <v>A11002NA</v>
      </c>
      <c r="D182" s="1882"/>
      <c r="E182" s="1628" t="s">
        <v>8339</v>
      </c>
      <c r="F182" s="1882"/>
      <c r="G182" s="1882">
        <f>IF('1C'!I8="","##BLANK",'1C'!I8)</f>
        <v>0</v>
      </c>
    </row>
    <row r="183" spans="2:7">
      <c r="B183" s="821" t="str">
        <f>'1C'!AH9</f>
        <v>FT01670NA</v>
      </c>
      <c r="D183" s="1882"/>
      <c r="E183" s="1628" t="s">
        <v>8339</v>
      </c>
      <c r="F183" s="1882"/>
      <c r="G183" s="1882">
        <f>IF('1C'!I9="","##BLANK",'1C'!I9)</f>
        <v>0</v>
      </c>
    </row>
    <row r="184" spans="2:7">
      <c r="B184" s="821" t="str">
        <f>'1C'!AH10</f>
        <v>FT01680NA</v>
      </c>
      <c r="D184" s="1882"/>
      <c r="E184" s="1628" t="s">
        <v>8339</v>
      </c>
      <c r="F184" s="1882"/>
      <c r="G184" s="1882">
        <f>IF('1C'!I10="","##BLANK",'1C'!I10)</f>
        <v>0</v>
      </c>
    </row>
    <row r="185" spans="2:7">
      <c r="B185" s="821" t="str">
        <f>'1C'!AH11</f>
        <v>A11005NA</v>
      </c>
      <c r="D185" s="1882"/>
      <c r="E185" s="1628" t="s">
        <v>8339</v>
      </c>
      <c r="F185" s="1882"/>
      <c r="G185" s="1882">
        <f>IF('1C'!I11="","##BLANK",'1C'!I11)</f>
        <v>0</v>
      </c>
    </row>
    <row r="186" spans="2:7">
      <c r="B186" s="821" t="str">
        <f>'1C'!AH12</f>
        <v>FT01751NA</v>
      </c>
      <c r="D186" s="1882"/>
      <c r="E186" s="1628" t="s">
        <v>8339</v>
      </c>
      <c r="F186" s="1882"/>
      <c r="G186" s="1882">
        <f>IF('1C'!I12="","##BLANK",'1C'!I12)</f>
        <v>0</v>
      </c>
    </row>
    <row r="187" spans="2:7">
      <c r="B187" s="821" t="str">
        <f>'1C'!AH13</f>
        <v>A11006NA</v>
      </c>
      <c r="D187" s="1882"/>
      <c r="E187" s="1628" t="s">
        <v>8339</v>
      </c>
      <c r="F187" s="1882"/>
      <c r="G187" s="1882">
        <f>IF('1C'!I13="","##BLANK",'1C'!I13)</f>
        <v>1.458</v>
      </c>
    </row>
    <row r="188" spans="2:7">
      <c r="B188" s="821" t="str">
        <f>'1C'!AH16</f>
        <v>BO4084NA</v>
      </c>
      <c r="D188" s="1882"/>
      <c r="E188" s="1628" t="s">
        <v>8339</v>
      </c>
      <c r="F188" s="1882"/>
      <c r="G188" s="1882">
        <f>IF('1C'!I16="","##BLANK",'1C'!I16)</f>
        <v>2.5999999999999999E-2</v>
      </c>
    </row>
    <row r="189" spans="2:7">
      <c r="B189" s="821" t="str">
        <f>'1C'!AH17</f>
        <v>A11008NA</v>
      </c>
      <c r="D189" s="1882"/>
      <c r="E189" s="1628" t="s">
        <v>8339</v>
      </c>
      <c r="F189" s="1882"/>
      <c r="G189" s="1882">
        <f>IF('1C'!I17="","##BLANK",'1C'!I17)</f>
        <v>0</v>
      </c>
    </row>
    <row r="190" spans="2:7">
      <c r="B190" s="821" t="str">
        <f>'1C'!AH18</f>
        <v>A11009NA</v>
      </c>
      <c r="D190" s="1882"/>
      <c r="E190" s="1628" t="s">
        <v>8339</v>
      </c>
      <c r="F190" s="1882"/>
      <c r="G190" s="1882">
        <f>IF('1C'!I18="","##BLANK",'1C'!I18)</f>
        <v>0</v>
      </c>
    </row>
    <row r="191" spans="2:7">
      <c r="B191" s="821" t="str">
        <f>'1C'!AH19</f>
        <v>A11010NA</v>
      </c>
      <c r="D191" s="1882"/>
      <c r="E191" s="1628" t="s">
        <v>8339</v>
      </c>
      <c r="F191" s="1882"/>
      <c r="G191" s="1882">
        <f>IF('1C'!I19="","##BLANK",'1C'!I19)</f>
        <v>0</v>
      </c>
    </row>
    <row r="192" spans="2:7">
      <c r="B192" s="821" t="str">
        <f>'1C'!AH20</f>
        <v>BO4092NA</v>
      </c>
      <c r="D192" s="1882"/>
      <c r="E192" s="1628" t="s">
        <v>8339</v>
      </c>
      <c r="F192" s="1882"/>
      <c r="G192" s="1882">
        <f>IF('1C'!I20="","##BLANK",'1C'!I20)</f>
        <v>2.5999999999999999E-2</v>
      </c>
    </row>
    <row r="193" spans="2:7">
      <c r="B193" s="821" t="str">
        <f>'1C'!AH23</f>
        <v>A11012NA</v>
      </c>
      <c r="D193" s="1882"/>
      <c r="E193" s="1628" t="s">
        <v>8339</v>
      </c>
      <c r="F193" s="1882"/>
      <c r="G193" s="1882">
        <f>IF('1C'!I23="","##BLANK",'1C'!I23)</f>
        <v>-1.484</v>
      </c>
    </row>
    <row r="194" spans="2:7">
      <c r="B194" s="821" t="str">
        <f>'1C'!AH24</f>
        <v>A11013NA</v>
      </c>
      <c r="D194" s="1882"/>
      <c r="E194" s="1628" t="s">
        <v>8339</v>
      </c>
      <c r="F194" s="1882"/>
      <c r="G194" s="1882">
        <f>IF('1C'!I24="","##BLANK",'1C'!I24)</f>
        <v>0</v>
      </c>
    </row>
    <row r="195" spans="2:7">
      <c r="B195" s="821" t="str">
        <f>'1C'!AH25</f>
        <v>BO4093NA</v>
      </c>
      <c r="D195" s="1882"/>
      <c r="E195" s="1628" t="s">
        <v>8339</v>
      </c>
      <c r="F195" s="1882"/>
      <c r="G195" s="1882">
        <f>IF('1C'!I25="","##BLANK",'1C'!I25)</f>
        <v>0</v>
      </c>
    </row>
    <row r="196" spans="2:7">
      <c r="B196" s="821" t="str">
        <f>'1C'!AH26</f>
        <v>A11015NA</v>
      </c>
      <c r="D196" s="1882"/>
      <c r="E196" s="1628" t="s">
        <v>8339</v>
      </c>
      <c r="F196" s="1882"/>
      <c r="G196" s="1882">
        <f>IF('1C'!I26="","##BLANK",'1C'!I26)</f>
        <v>0</v>
      </c>
    </row>
    <row r="197" spans="2:7">
      <c r="B197" s="821" t="str">
        <f>'1C'!AH27</f>
        <v>A11016NA</v>
      </c>
      <c r="D197" s="1882"/>
      <c r="E197" s="1628" t="s">
        <v>8339</v>
      </c>
      <c r="F197" s="1882"/>
      <c r="G197" s="1882">
        <f>IF('1C'!I27="","##BLANK",'1C'!I27)</f>
        <v>0</v>
      </c>
    </row>
    <row r="198" spans="2:7">
      <c r="B198" s="821" t="str">
        <f>'1C'!AH28</f>
        <v>A11017NA</v>
      </c>
      <c r="D198" s="1882"/>
      <c r="E198" s="1628" t="s">
        <v>8339</v>
      </c>
      <c r="F198" s="1882"/>
      <c r="G198" s="1882">
        <f>IF('1C'!I28="","##BLANK",'1C'!I28)</f>
        <v>0</v>
      </c>
    </row>
    <row r="199" spans="2:7">
      <c r="B199" s="821" t="str">
        <f>'1C'!AH29</f>
        <v>A11018NA</v>
      </c>
      <c r="D199" s="1882"/>
      <c r="E199" s="1628" t="s">
        <v>8339</v>
      </c>
      <c r="F199" s="1882"/>
      <c r="G199" s="1882">
        <f>IF('1C'!I29="","##BLANK",'1C'!I29)</f>
        <v>-1.484</v>
      </c>
    </row>
    <row r="200" spans="2:7">
      <c r="B200" s="821" t="str">
        <f>'1C'!AH31</f>
        <v>BO4096NA</v>
      </c>
      <c r="D200" s="1882"/>
      <c r="E200" s="1628" t="s">
        <v>8339</v>
      </c>
      <c r="F200" s="1882"/>
      <c r="G200" s="1882">
        <f>IF('1C'!I31="","##BLANK",'1C'!I31)</f>
        <v>-1.458</v>
      </c>
    </row>
    <row r="201" spans="2:7">
      <c r="B201" s="821" t="str">
        <f>'1C'!AH34</f>
        <v>A11020NA</v>
      </c>
      <c r="D201" s="1882"/>
      <c r="E201" s="1628" t="s">
        <v>8339</v>
      </c>
      <c r="F201" s="1882"/>
      <c r="G201" s="1882">
        <f>IF('1C'!I34="","##BLANK",'1C'!I34)</f>
        <v>0</v>
      </c>
    </row>
    <row r="202" spans="2:7">
      <c r="B202" s="821" t="str">
        <f>'1C'!AH35</f>
        <v>BO4051NA</v>
      </c>
      <c r="D202" s="1882"/>
      <c r="E202" s="1628" t="s">
        <v>8339</v>
      </c>
      <c r="F202" s="1882"/>
      <c r="G202" s="1882">
        <f>IF('1C'!I35="","##BLANK",'1C'!I35)</f>
        <v>0</v>
      </c>
    </row>
    <row r="203" spans="2:7">
      <c r="B203" s="821" t="str">
        <f>'1C'!AH36</f>
        <v>A11022NA</v>
      </c>
      <c r="D203" s="1882"/>
      <c r="E203" s="1628" t="s">
        <v>8339</v>
      </c>
      <c r="F203" s="1882"/>
      <c r="G203" s="1882">
        <f>IF('1C'!I36="","##BLANK",'1C'!I36)</f>
        <v>0</v>
      </c>
    </row>
    <row r="204" spans="2:7">
      <c r="B204" s="821" t="str">
        <f>'1C'!AH37</f>
        <v>A11023NA</v>
      </c>
      <c r="D204" s="1882"/>
      <c r="E204" s="1628" t="s">
        <v>8339</v>
      </c>
      <c r="F204" s="1882"/>
      <c r="G204" s="1882">
        <f>IF('1C'!I37="","##BLANK",'1C'!I37)</f>
        <v>0</v>
      </c>
    </row>
    <row r="205" spans="2:7">
      <c r="B205" s="821" t="str">
        <f>'1C'!AH38</f>
        <v>A11024NA</v>
      </c>
      <c r="D205" s="1882"/>
      <c r="E205" s="1628" t="s">
        <v>8339</v>
      </c>
      <c r="F205" s="1882"/>
      <c r="G205" s="1882">
        <f>IF('1C'!I38="","##BLANK",'1C'!I38)</f>
        <v>0</v>
      </c>
    </row>
    <row r="206" spans="2:7">
      <c r="B206" s="821" t="str">
        <f>'1C'!AH39</f>
        <v>BO4065NAGC</v>
      </c>
      <c r="D206" s="1882"/>
      <c r="E206" s="1628" t="s">
        <v>8339</v>
      </c>
      <c r="F206" s="1882"/>
      <c r="G206" s="1882">
        <f>IF('1C'!I39="","##BLANK",'1C'!I39)</f>
        <v>0</v>
      </c>
    </row>
    <row r="207" spans="2:7">
      <c r="B207" s="821" t="str">
        <f>'1C'!AH40</f>
        <v>BO4065NAAA</v>
      </c>
      <c r="D207" s="1882"/>
      <c r="E207" s="1628" t="s">
        <v>8339</v>
      </c>
      <c r="F207" s="1882"/>
      <c r="G207" s="1882">
        <f>IF('1C'!I40="","##BLANK",'1C'!I40)</f>
        <v>0</v>
      </c>
    </row>
    <row r="208" spans="2:7">
      <c r="B208" s="821" t="str">
        <f>'1C'!AH41</f>
        <v>BB1300APNA</v>
      </c>
      <c r="D208" s="1882"/>
      <c r="E208" s="1628" t="s">
        <v>8339</v>
      </c>
      <c r="F208" s="1882"/>
      <c r="G208" s="1882">
        <f>IF('1C'!I41="","##BLANK",'1C'!I41)</f>
        <v>0</v>
      </c>
    </row>
    <row r="209" spans="2:7">
      <c r="B209" s="821" t="str">
        <f>'1C'!AH42</f>
        <v>BO4063NA</v>
      </c>
      <c r="D209" s="1882"/>
      <c r="E209" s="1628" t="s">
        <v>8339</v>
      </c>
      <c r="F209" s="1882"/>
      <c r="G209" s="1882">
        <f>IF('1C'!I42="","##BLANK",'1C'!I42)</f>
        <v>0</v>
      </c>
    </row>
    <row r="210" spans="2:7">
      <c r="B210" s="821" t="str">
        <f>'1C'!AH43</f>
        <v>A11025NA</v>
      </c>
      <c r="D210" s="1882"/>
      <c r="E210" s="1628" t="s">
        <v>8339</v>
      </c>
      <c r="F210" s="1882"/>
      <c r="G210" s="1882">
        <f>IF('1C'!I43="","##BLANK",'1C'!I43)</f>
        <v>0</v>
      </c>
    </row>
    <row r="211" spans="2:7">
      <c r="B211" s="821" t="str">
        <f>'1C'!AH45</f>
        <v>BO4070NA</v>
      </c>
      <c r="D211" s="1882"/>
      <c r="E211" s="1628" t="s">
        <v>8339</v>
      </c>
      <c r="F211" s="1882"/>
      <c r="G211" s="1882">
        <f>IF('1C'!I45="","##BLANK",'1C'!I45)</f>
        <v>0</v>
      </c>
    </row>
    <row r="212" spans="2:7">
      <c r="B212" s="821" t="str">
        <f>'1C'!AH48</f>
        <v>BO4100NA</v>
      </c>
      <c r="D212" s="1882"/>
      <c r="E212" s="1628" t="s">
        <v>8339</v>
      </c>
      <c r="F212" s="1882"/>
      <c r="G212" s="1882">
        <f>IF('1C'!I48="","##BLANK",'1C'!I48)</f>
        <v>0</v>
      </c>
    </row>
    <row r="213" spans="2:7">
      <c r="B213" s="821" t="str">
        <f>'1C'!AH49</f>
        <v>A11030NA</v>
      </c>
      <c r="D213" s="1882"/>
      <c r="E213" s="1628" t="s">
        <v>8339</v>
      </c>
      <c r="F213" s="1882"/>
      <c r="G213" s="1882">
        <f>IF('1C'!I49="","##BLANK",'1C'!I49)</f>
        <v>0</v>
      </c>
    </row>
    <row r="214" spans="2:7">
      <c r="B214" s="821" t="str">
        <f>'1C'!AH50</f>
        <v>BO4130NA</v>
      </c>
      <c r="D214" s="1882"/>
      <c r="E214" s="1628" t="s">
        <v>8339</v>
      </c>
      <c r="F214" s="1882"/>
      <c r="G214" s="1882">
        <f>IF('1C'!I50="","##BLANK",'1C'!I50)</f>
        <v>0</v>
      </c>
    </row>
    <row r="215" spans="2:7">
      <c r="B215" s="821" t="str">
        <f>'1C'!AI7</f>
        <v>BO4008ADJ</v>
      </c>
      <c r="D215" s="1882"/>
      <c r="E215" s="1628" t="s">
        <v>8339</v>
      </c>
      <c r="F215" s="1882"/>
      <c r="G215" s="1882">
        <f>IF('1C'!J7="","##BLANK",'1C'!J7)</f>
        <v>-8.8949999999999996</v>
      </c>
    </row>
    <row r="216" spans="2:7">
      <c r="B216" s="821" t="str">
        <f>'1C'!AI8</f>
        <v>A11002ADJ</v>
      </c>
      <c r="D216" s="1882"/>
      <c r="E216" s="1628" t="s">
        <v>8339</v>
      </c>
      <c r="F216" s="1882"/>
      <c r="G216" s="1882">
        <f>IF('1C'!J8="","##BLANK",'1C'!J8)</f>
        <v>0</v>
      </c>
    </row>
    <row r="217" spans="2:7">
      <c r="B217" s="821" t="str">
        <f>'1C'!AI9</f>
        <v>FT01670ADJ</v>
      </c>
      <c r="D217" s="1882"/>
      <c r="E217" s="1628" t="s">
        <v>8339</v>
      </c>
      <c r="F217" s="1882"/>
      <c r="G217" s="1882">
        <f>IF('1C'!J9="","##BLANK",'1C'!J9)</f>
        <v>0</v>
      </c>
    </row>
    <row r="218" spans="2:7">
      <c r="B218" s="821" t="str">
        <f>'1C'!AI10</f>
        <v>FT01680ADJ</v>
      </c>
      <c r="D218" s="1882"/>
      <c r="E218" s="1628" t="s">
        <v>8339</v>
      </c>
      <c r="F218" s="1882"/>
      <c r="G218" s="1882">
        <f>IF('1C'!J10="","##BLANK",'1C'!J10)</f>
        <v>0</v>
      </c>
    </row>
    <row r="219" spans="2:7">
      <c r="B219" s="821" t="str">
        <f>'1C'!AI11</f>
        <v>A11005ADJ</v>
      </c>
      <c r="D219" s="1882"/>
      <c r="E219" s="1628" t="s">
        <v>8339</v>
      </c>
      <c r="F219" s="1882"/>
      <c r="G219" s="1882">
        <f>IF('1C'!J11="","##BLANK",'1C'!J11)</f>
        <v>0</v>
      </c>
    </row>
    <row r="220" spans="2:7">
      <c r="B220" s="821" t="str">
        <f>'1C'!AI12</f>
        <v>FT01751ADJ</v>
      </c>
      <c r="D220" s="1882"/>
      <c r="E220" s="1628" t="s">
        <v>8339</v>
      </c>
      <c r="F220" s="1882"/>
      <c r="G220" s="1882">
        <f>IF('1C'!J12="","##BLANK",'1C'!J12)</f>
        <v>0</v>
      </c>
    </row>
    <row r="221" spans="2:7">
      <c r="B221" s="821" t="str">
        <f>'1C'!AI13</f>
        <v>A11006ADJ</v>
      </c>
      <c r="D221" s="1882"/>
      <c r="E221" s="1628" t="s">
        <v>8339</v>
      </c>
      <c r="F221" s="1882"/>
      <c r="G221" s="1882">
        <f>IF('1C'!J13="","##BLANK",'1C'!J13)</f>
        <v>-8.8949999999999996</v>
      </c>
    </row>
    <row r="222" spans="2:7">
      <c r="B222" s="821" t="str">
        <f>'1C'!AI16</f>
        <v>BO4084ADJ</v>
      </c>
      <c r="D222" s="1882"/>
      <c r="E222" s="1628" t="s">
        <v>8339</v>
      </c>
      <c r="F222" s="1882"/>
      <c r="G222" s="1882">
        <f>IF('1C'!J16="","##BLANK",'1C'!J16)</f>
        <v>-2.5999999999999999E-2</v>
      </c>
    </row>
    <row r="223" spans="2:7">
      <c r="B223" s="821" t="str">
        <f>'1C'!AI17</f>
        <v>A11008ADJ</v>
      </c>
      <c r="D223" s="1882"/>
      <c r="E223" s="1628" t="s">
        <v>8339</v>
      </c>
      <c r="F223" s="1882"/>
      <c r="G223" s="1882">
        <f>IF('1C'!J17="","##BLANK",'1C'!J17)</f>
        <v>0.19600000000000001</v>
      </c>
    </row>
    <row r="224" spans="2:7">
      <c r="B224" s="821" t="str">
        <f>'1C'!AI18</f>
        <v>A11009ADJ</v>
      </c>
      <c r="D224" s="1882"/>
      <c r="E224" s="1628" t="s">
        <v>8339</v>
      </c>
      <c r="F224" s="1882"/>
      <c r="G224" s="1882">
        <f>IF('1C'!J18="","##BLANK",'1C'!J18)</f>
        <v>0</v>
      </c>
    </row>
    <row r="225" spans="2:7">
      <c r="B225" s="821" t="str">
        <f>'1C'!AI19</f>
        <v>A11010ADJ</v>
      </c>
      <c r="D225" s="1882"/>
      <c r="E225" s="1628" t="s">
        <v>8339</v>
      </c>
      <c r="F225" s="1882"/>
      <c r="G225" s="1882">
        <f>IF('1C'!J19="","##BLANK",'1C'!J19)</f>
        <v>0</v>
      </c>
    </row>
    <row r="226" spans="2:7">
      <c r="B226" s="821" t="str">
        <f>'1C'!AI20</f>
        <v>BO4092ADJ</v>
      </c>
      <c r="D226" s="1882"/>
      <c r="E226" s="1628" t="s">
        <v>8339</v>
      </c>
      <c r="F226" s="1882"/>
      <c r="G226" s="1882">
        <f>IF('1C'!J20="","##BLANK",'1C'!J20)</f>
        <v>0.17</v>
      </c>
    </row>
    <row r="227" spans="2:7">
      <c r="B227" s="821" t="str">
        <f>'1C'!AI23</f>
        <v>A11012ADJ</v>
      </c>
      <c r="D227" s="1882"/>
      <c r="E227" s="1628" t="s">
        <v>8339</v>
      </c>
      <c r="F227" s="1882"/>
      <c r="G227" s="1882">
        <f>IF('1C'!J23="","##BLANK",'1C'!J23)</f>
        <v>1.484</v>
      </c>
    </row>
    <row r="228" spans="2:7">
      <c r="B228" s="821" t="str">
        <f>'1C'!AI24</f>
        <v>A11013ADJ</v>
      </c>
      <c r="D228" s="1882"/>
      <c r="E228" s="1628" t="s">
        <v>8339</v>
      </c>
      <c r="F228" s="1882"/>
      <c r="G228" s="1882">
        <f>IF('1C'!J24="","##BLANK",'1C'!J24)</f>
        <v>0</v>
      </c>
    </row>
    <row r="229" spans="2:7">
      <c r="B229" s="821" t="str">
        <f>'1C'!AI25</f>
        <v>BO4093ADJ</v>
      </c>
      <c r="D229" s="1882"/>
      <c r="E229" s="1628" t="s">
        <v>8339</v>
      </c>
      <c r="F229" s="1882"/>
      <c r="G229" s="1882">
        <f>IF('1C'!J25="","##BLANK",'1C'!J25)</f>
        <v>0</v>
      </c>
    </row>
    <row r="230" spans="2:7">
      <c r="B230" s="821" t="str">
        <f>'1C'!AI26</f>
        <v>A11015ADJ</v>
      </c>
      <c r="D230" s="1882"/>
      <c r="E230" s="1628" t="s">
        <v>8339</v>
      </c>
      <c r="F230" s="1882"/>
      <c r="G230" s="1882">
        <f>IF('1C'!J26="","##BLANK",'1C'!J26)</f>
        <v>0</v>
      </c>
    </row>
    <row r="231" spans="2:7">
      <c r="B231" s="821" t="str">
        <f>'1C'!AI27</f>
        <v>A11016ADJ</v>
      </c>
      <c r="D231" s="1882"/>
      <c r="E231" s="1628" t="s">
        <v>8339</v>
      </c>
      <c r="F231" s="1882"/>
      <c r="G231" s="1882">
        <f>IF('1C'!J27="","##BLANK",'1C'!J27)</f>
        <v>0</v>
      </c>
    </row>
    <row r="232" spans="2:7">
      <c r="B232" s="821" t="str">
        <f>'1C'!AI28</f>
        <v>A11017ADJ</v>
      </c>
      <c r="D232" s="1882"/>
      <c r="E232" s="1628" t="s">
        <v>8339</v>
      </c>
      <c r="F232" s="1882"/>
      <c r="G232" s="1882">
        <f>IF('1C'!J28="","##BLANK",'1C'!J28)</f>
        <v>0</v>
      </c>
    </row>
    <row r="233" spans="2:7">
      <c r="B233" s="821" t="str">
        <f>'1C'!AI29</f>
        <v>A11018ADJ</v>
      </c>
      <c r="D233" s="1882"/>
      <c r="E233" s="1628" t="s">
        <v>8339</v>
      </c>
      <c r="F233" s="1882"/>
      <c r="G233" s="1882">
        <f>IF('1C'!J29="","##BLANK",'1C'!J29)</f>
        <v>1.484</v>
      </c>
    </row>
    <row r="234" spans="2:7">
      <c r="B234" s="821" t="str">
        <f>'1C'!AI31</f>
        <v>BO4096ADJ</v>
      </c>
      <c r="D234" s="1882"/>
      <c r="E234" s="1628" t="s">
        <v>8339</v>
      </c>
      <c r="F234" s="1882"/>
      <c r="G234" s="1882">
        <f>IF('1C'!J31="","##BLANK",'1C'!J31)</f>
        <v>1.6539999999999999</v>
      </c>
    </row>
    <row r="235" spans="2:7">
      <c r="B235" s="821" t="str">
        <f>'1C'!AI34</f>
        <v>A11020ADJ</v>
      </c>
      <c r="D235" s="1882"/>
      <c r="E235" s="1628" t="s">
        <v>8339</v>
      </c>
      <c r="F235" s="1882"/>
      <c r="G235" s="1882">
        <f>IF('1C'!J34="","##BLANK",'1C'!J34)</f>
        <v>0</v>
      </c>
    </row>
    <row r="236" spans="2:7">
      <c r="B236" s="821" t="str">
        <f>'1C'!AI35</f>
        <v>BO4051ADJ</v>
      </c>
      <c r="D236" s="1882"/>
      <c r="E236" s="1628" t="s">
        <v>8339</v>
      </c>
      <c r="F236" s="1882"/>
      <c r="G236" s="1882">
        <f>IF('1C'!J35="","##BLANK",'1C'!J35)</f>
        <v>0</v>
      </c>
    </row>
    <row r="237" spans="2:7">
      <c r="B237" s="821" t="str">
        <f>'1C'!AI36</f>
        <v>A11022ADJ</v>
      </c>
      <c r="D237" s="1882"/>
      <c r="E237" s="1628" t="s">
        <v>8339</v>
      </c>
      <c r="F237" s="1882"/>
      <c r="G237" s="1882">
        <f>IF('1C'!J36="","##BLANK",'1C'!J36)</f>
        <v>0</v>
      </c>
    </row>
    <row r="238" spans="2:7">
      <c r="B238" s="821" t="str">
        <f>'1C'!AI37</f>
        <v>A11023ADJ</v>
      </c>
      <c r="D238" s="1882"/>
      <c r="E238" s="1628" t="s">
        <v>8339</v>
      </c>
      <c r="F238" s="1882"/>
      <c r="G238" s="1882">
        <f>IF('1C'!J37="","##BLANK",'1C'!J37)</f>
        <v>0</v>
      </c>
    </row>
    <row r="239" spans="2:7">
      <c r="B239" s="821" t="str">
        <f>'1C'!AI38</f>
        <v>A11024ADJ</v>
      </c>
      <c r="D239" s="1882"/>
      <c r="E239" s="1628" t="s">
        <v>8339</v>
      </c>
      <c r="F239" s="1882"/>
      <c r="G239" s="1882">
        <f>IF('1C'!J38="","##BLANK",'1C'!J38)</f>
        <v>0</v>
      </c>
    </row>
    <row r="240" spans="2:7">
      <c r="B240" s="821" t="str">
        <f>'1C'!AI39</f>
        <v>BO4065ADJGC</v>
      </c>
      <c r="D240" s="1882"/>
      <c r="E240" s="1628" t="s">
        <v>8339</v>
      </c>
      <c r="F240" s="1882"/>
      <c r="G240" s="1882">
        <f>IF('1C'!J39="","##BLANK",'1C'!J39)</f>
        <v>0</v>
      </c>
    </row>
    <row r="241" spans="2:7">
      <c r="B241" s="821" t="str">
        <f>'1C'!AI40</f>
        <v>BO4065ADJAA</v>
      </c>
      <c r="D241" s="1882"/>
      <c r="E241" s="1628" t="s">
        <v>8339</v>
      </c>
      <c r="F241" s="1882"/>
      <c r="G241" s="1882">
        <f>IF('1C'!J40="","##BLANK",'1C'!J40)</f>
        <v>0</v>
      </c>
    </row>
    <row r="242" spans="2:7">
      <c r="B242" s="821" t="str">
        <f>'1C'!AI41</f>
        <v>BB1300APADJ</v>
      </c>
      <c r="D242" s="1882"/>
      <c r="E242" s="1628" t="s">
        <v>8339</v>
      </c>
      <c r="F242" s="1882"/>
      <c r="G242" s="1882">
        <f>IF('1C'!J41="","##BLANK",'1C'!J41)</f>
        <v>0</v>
      </c>
    </row>
    <row r="243" spans="2:7">
      <c r="B243" s="821" t="str">
        <f>'1C'!AI42</f>
        <v>BO4063ADJ</v>
      </c>
      <c r="D243" s="1882"/>
      <c r="E243" s="1628" t="s">
        <v>8339</v>
      </c>
      <c r="F243" s="1882"/>
      <c r="G243" s="1882">
        <f>IF('1C'!J42="","##BLANK",'1C'!J42)</f>
        <v>1.1160000000000001</v>
      </c>
    </row>
    <row r="244" spans="2:7">
      <c r="B244" s="821" t="str">
        <f>'1C'!AI43</f>
        <v>A11025ADJ</v>
      </c>
      <c r="D244" s="1882"/>
      <c r="E244" s="1628" t="s">
        <v>8339</v>
      </c>
      <c r="F244" s="1882"/>
      <c r="G244" s="1882">
        <f>IF('1C'!J43="","##BLANK",'1C'!J43)</f>
        <v>1.1160000000000001</v>
      </c>
    </row>
    <row r="245" spans="2:7">
      <c r="B245" s="821" t="str">
        <f>'1C'!AI45</f>
        <v>BO4070ADJ</v>
      </c>
      <c r="D245" s="1882"/>
      <c r="E245" s="1628" t="s">
        <v>8339</v>
      </c>
      <c r="F245" s="1882"/>
      <c r="G245" s="1882">
        <f>IF('1C'!J45="","##BLANK",'1C'!J45)</f>
        <v>-6.125</v>
      </c>
    </row>
    <row r="246" spans="2:7">
      <c r="B246" s="821" t="str">
        <f>'1C'!AI48</f>
        <v>BO4100ADJ</v>
      </c>
      <c r="D246" s="1882"/>
      <c r="E246" s="1628" t="s">
        <v>8339</v>
      </c>
      <c r="F246" s="1882"/>
      <c r="G246" s="1882">
        <f>IF('1C'!J48="","##BLANK",'1C'!J48)</f>
        <v>0</v>
      </c>
    </row>
    <row r="247" spans="2:7">
      <c r="B247" s="821" t="str">
        <f>'1C'!AI49</f>
        <v>A11030ADJ</v>
      </c>
      <c r="D247" s="1882"/>
      <c r="E247" s="1628" t="s">
        <v>8339</v>
      </c>
      <c r="F247" s="1882"/>
      <c r="G247" s="1882">
        <f>IF('1C'!J49="","##BLANK",'1C'!J49)</f>
        <v>-6.125</v>
      </c>
    </row>
    <row r="248" spans="2:7">
      <c r="B248" s="821" t="str">
        <f>'1C'!AI50</f>
        <v>BO4130ADJ</v>
      </c>
      <c r="D248" s="1882"/>
      <c r="E248" s="1628" t="s">
        <v>8339</v>
      </c>
      <c r="F248" s="1882"/>
      <c r="G248" s="1882">
        <f>IF('1C'!J50="","##BLANK",'1C'!J50)</f>
        <v>-6.125</v>
      </c>
    </row>
    <row r="249" spans="2:7">
      <c r="B249" s="821" t="str">
        <f>'1C'!AJ7</f>
        <v>BO4008</v>
      </c>
      <c r="D249" s="1882"/>
      <c r="E249" s="1628" t="s">
        <v>8339</v>
      </c>
      <c r="F249" s="1882"/>
      <c r="G249" s="1882">
        <f>IF('1C'!K7="","##BLANK",'1C'!K7)</f>
        <v>662.97300000000007</v>
      </c>
    </row>
    <row r="250" spans="2:7">
      <c r="B250" s="821" t="str">
        <f>'1C'!AJ8</f>
        <v>A11002</v>
      </c>
      <c r="D250" s="1882"/>
      <c r="E250" s="1628" t="s">
        <v>8339</v>
      </c>
      <c r="F250" s="1882"/>
      <c r="G250" s="1882">
        <f>IF('1C'!K8="","##BLANK",'1C'!K8)</f>
        <v>13.97</v>
      </c>
    </row>
    <row r="251" spans="2:7">
      <c r="B251" s="821" t="str">
        <f>'1C'!AJ9</f>
        <v>FT01670</v>
      </c>
      <c r="D251" s="1882"/>
      <c r="E251" s="1628" t="s">
        <v>8339</v>
      </c>
      <c r="F251" s="1882"/>
      <c r="G251" s="1882">
        <f>IF('1C'!K9="","##BLANK",'1C'!K9)</f>
        <v>65.5</v>
      </c>
    </row>
    <row r="252" spans="2:7">
      <c r="B252" s="821" t="str">
        <f>'1C'!AJ10</f>
        <v>FT01680</v>
      </c>
      <c r="D252" s="1882"/>
      <c r="E252" s="1628" t="s">
        <v>8339</v>
      </c>
      <c r="F252" s="1882"/>
      <c r="G252" s="1882">
        <f>IF('1C'!K10="","##BLANK",'1C'!K10)</f>
        <v>0</v>
      </c>
    </row>
    <row r="253" spans="2:7">
      <c r="B253" s="821" t="str">
        <f>'1C'!AJ11</f>
        <v>A11005</v>
      </c>
      <c r="D253" s="1882"/>
      <c r="E253" s="1628" t="s">
        <v>8339</v>
      </c>
      <c r="F253" s="1882"/>
      <c r="G253" s="1882">
        <f>IF('1C'!K11="","##BLANK",'1C'!K11)</f>
        <v>0</v>
      </c>
    </row>
    <row r="254" spans="2:7">
      <c r="B254" s="821" t="str">
        <f>'1C'!AJ12</f>
        <v>FT01751</v>
      </c>
      <c r="D254" s="1882"/>
      <c r="E254" s="1628" t="s">
        <v>8339</v>
      </c>
      <c r="F254" s="1882"/>
      <c r="G254" s="1882">
        <f>IF('1C'!K12="","##BLANK",'1C'!K12)</f>
        <v>9.6690000000000005</v>
      </c>
    </row>
    <row r="255" spans="2:7">
      <c r="B255" s="821" t="str">
        <f>'1C'!AJ13</f>
        <v>A11006</v>
      </c>
      <c r="D255" s="1882"/>
      <c r="E255" s="1628" t="s">
        <v>8339</v>
      </c>
      <c r="F255" s="1882"/>
      <c r="G255" s="1882">
        <f>IF('1C'!K13="","##BLANK",'1C'!K13)</f>
        <v>752.11200000000008</v>
      </c>
    </row>
    <row r="256" spans="2:7">
      <c r="B256" s="821" t="str">
        <f>'1C'!AJ16</f>
        <v>BO4084</v>
      </c>
      <c r="D256" s="1882"/>
      <c r="E256" s="1628" t="s">
        <v>8339</v>
      </c>
      <c r="F256" s="1882"/>
      <c r="G256" s="1882">
        <f>IF('1C'!K16="","##BLANK",'1C'!K16)</f>
        <v>1.6519999999999999</v>
      </c>
    </row>
    <row r="257" spans="2:7">
      <c r="B257" s="821" t="str">
        <f>'1C'!AJ17</f>
        <v>A11008</v>
      </c>
      <c r="D257" s="1882"/>
      <c r="E257" s="1628" t="s">
        <v>8339</v>
      </c>
      <c r="F257" s="1882"/>
      <c r="G257" s="1882">
        <f>IF('1C'!K17="","##BLANK",'1C'!K17)</f>
        <v>30.844000000000001</v>
      </c>
    </row>
    <row r="258" spans="2:7">
      <c r="B258" s="821" t="str">
        <f>'1C'!AJ18</f>
        <v>A11009</v>
      </c>
      <c r="D258" s="1882"/>
      <c r="E258" s="1628" t="s">
        <v>8339</v>
      </c>
      <c r="F258" s="1882"/>
      <c r="G258" s="1882">
        <f>IF('1C'!K18="","##BLANK",'1C'!K18)</f>
        <v>0</v>
      </c>
    </row>
    <row r="259" spans="2:7">
      <c r="B259" s="821" t="str">
        <f>'1C'!AJ19</f>
        <v>A11010</v>
      </c>
      <c r="D259" s="1882"/>
      <c r="E259" s="1628" t="s">
        <v>8339</v>
      </c>
      <c r="F259" s="1882"/>
      <c r="G259" s="1882">
        <f>IF('1C'!K19="","##BLANK",'1C'!K19)</f>
        <v>10.102</v>
      </c>
    </row>
    <row r="260" spans="2:7">
      <c r="B260" s="821" t="str">
        <f>'1C'!AJ20</f>
        <v>BO4092</v>
      </c>
      <c r="D260" s="1882"/>
      <c r="E260" s="1628" t="s">
        <v>8339</v>
      </c>
      <c r="F260" s="1882"/>
      <c r="G260" s="1882">
        <f>IF('1C'!K20="","##BLANK",'1C'!K20)</f>
        <v>42.597999999999999</v>
      </c>
    </row>
    <row r="261" spans="2:7">
      <c r="B261" s="821" t="str">
        <f>'1C'!AJ23</f>
        <v>A11012</v>
      </c>
      <c r="D261" s="1882"/>
      <c r="E261" s="1628" t="s">
        <v>8339</v>
      </c>
      <c r="F261" s="1882"/>
      <c r="G261" s="1882">
        <f>IF('1C'!K23="","##BLANK",'1C'!K23)</f>
        <v>-24.912999999999997</v>
      </c>
    </row>
    <row r="262" spans="2:7">
      <c r="B262" s="821" t="str">
        <f>'1C'!AJ24</f>
        <v>A11013</v>
      </c>
      <c r="D262" s="1882"/>
      <c r="E262" s="1628" t="s">
        <v>8339</v>
      </c>
      <c r="F262" s="1882"/>
      <c r="G262" s="1882">
        <f>IF('1C'!K24="","##BLANK",'1C'!K24)</f>
        <v>-10.067</v>
      </c>
    </row>
    <row r="263" spans="2:7">
      <c r="B263" s="821" t="str">
        <f>'1C'!AJ25</f>
        <v>BO4093</v>
      </c>
      <c r="D263" s="1882"/>
      <c r="E263" s="1628" t="s">
        <v>8339</v>
      </c>
      <c r="F263" s="1882"/>
      <c r="G263" s="1882">
        <f>IF('1C'!K25="","##BLANK",'1C'!K25)</f>
        <v>-0.873</v>
      </c>
    </row>
    <row r="264" spans="2:7">
      <c r="B264" s="821" t="str">
        <f>'1C'!AJ26</f>
        <v>A11015</v>
      </c>
      <c r="D264" s="1882"/>
      <c r="E264" s="1628" t="s">
        <v>8339</v>
      </c>
      <c r="F264" s="1882"/>
      <c r="G264" s="1882">
        <f>IF('1C'!K26="","##BLANK",'1C'!K26)</f>
        <v>0</v>
      </c>
    </row>
    <row r="265" spans="2:7">
      <c r="B265" s="821" t="str">
        <f>'1C'!AJ27</f>
        <v>A11016</v>
      </c>
      <c r="D265" s="1882"/>
      <c r="E265" s="1628" t="s">
        <v>8339</v>
      </c>
      <c r="F265" s="1882"/>
      <c r="G265" s="1882">
        <f>IF('1C'!K27="","##BLANK",'1C'!K27)</f>
        <v>1.3759999999999999</v>
      </c>
    </row>
    <row r="266" spans="2:7">
      <c r="B266" s="821" t="str">
        <f>'1C'!AJ28</f>
        <v>A11017</v>
      </c>
      <c r="D266" s="1882"/>
      <c r="E266" s="1628" t="s">
        <v>8339</v>
      </c>
      <c r="F266" s="1882"/>
      <c r="G266" s="1882">
        <f>IF('1C'!K28="","##BLANK",'1C'!K28)</f>
        <v>-8.2390000000000008</v>
      </c>
    </row>
    <row r="267" spans="2:7">
      <c r="B267" s="821" t="str">
        <f>'1C'!AJ29</f>
        <v>A11018</v>
      </c>
      <c r="D267" s="1882"/>
      <c r="E267" s="1628" t="s">
        <v>8339</v>
      </c>
      <c r="F267" s="1882"/>
      <c r="G267" s="1882">
        <f>IF('1C'!K29="","##BLANK",'1C'!K29)</f>
        <v>-42.716000000000001</v>
      </c>
    </row>
    <row r="268" spans="2:7">
      <c r="B268" s="821" t="str">
        <f>'1C'!AJ31</f>
        <v>BO4096</v>
      </c>
      <c r="D268" s="1882"/>
      <c r="E268" s="1628" t="s">
        <v>8339</v>
      </c>
      <c r="F268" s="1882"/>
      <c r="G268" s="1882">
        <f>IF('1C'!K31="","##BLANK",'1C'!K31)</f>
        <v>-0.11800000000000566</v>
      </c>
    </row>
    <row r="269" spans="2:7">
      <c r="B269" s="821" t="str">
        <f>'1C'!AJ34</f>
        <v>A11020</v>
      </c>
      <c r="D269" s="1882"/>
      <c r="E269" s="1628" t="s">
        <v>8339</v>
      </c>
      <c r="F269" s="1882"/>
      <c r="G269" s="1882">
        <f>IF('1C'!K34="","##BLANK",'1C'!K34)</f>
        <v>0</v>
      </c>
    </row>
    <row r="270" spans="2:7">
      <c r="B270" s="821" t="str">
        <f>'1C'!AJ35</f>
        <v>BO4051</v>
      </c>
      <c r="D270" s="1882"/>
      <c r="E270" s="1628" t="s">
        <v>8339</v>
      </c>
      <c r="F270" s="1882"/>
      <c r="G270" s="1882">
        <f>IF('1C'!K35="","##BLANK",'1C'!K35)</f>
        <v>-380.85899999999998</v>
      </c>
    </row>
    <row r="271" spans="2:7">
      <c r="B271" s="821" t="str">
        <f>'1C'!AJ36</f>
        <v>A11022</v>
      </c>
      <c r="D271" s="1882"/>
      <c r="E271" s="1628" t="s">
        <v>8339</v>
      </c>
      <c r="F271" s="1882"/>
      <c r="G271" s="1882">
        <f>IF('1C'!K36="","##BLANK",'1C'!K36)</f>
        <v>0</v>
      </c>
    </row>
    <row r="272" spans="2:7">
      <c r="B272" s="821" t="str">
        <f>'1C'!AJ37</f>
        <v>A11023</v>
      </c>
      <c r="D272" s="1882"/>
      <c r="E272" s="1628" t="s">
        <v>8339</v>
      </c>
      <c r="F272" s="1882"/>
      <c r="G272" s="1882">
        <f>IF('1C'!K37="","##BLANK",'1C'!K37)</f>
        <v>0</v>
      </c>
    </row>
    <row r="273" spans="2:7">
      <c r="B273" s="821" t="str">
        <f>'1C'!AJ38</f>
        <v>A11024</v>
      </c>
      <c r="D273" s="1882"/>
      <c r="E273" s="1628" t="s">
        <v>8339</v>
      </c>
      <c r="F273" s="1882"/>
      <c r="G273" s="1882">
        <f>IF('1C'!K38="","##BLANK",'1C'!K38)</f>
        <v>0</v>
      </c>
    </row>
    <row r="274" spans="2:7">
      <c r="B274" s="821" t="str">
        <f>'1C'!AJ39</f>
        <v>BO4065GC</v>
      </c>
      <c r="D274" s="1882"/>
      <c r="E274" s="1628" t="s">
        <v>8339</v>
      </c>
      <c r="F274" s="1882"/>
      <c r="G274" s="1882">
        <f>IF('1C'!K39="","##BLANK",'1C'!K39)</f>
        <v>-82.132000000000005</v>
      </c>
    </row>
    <row r="275" spans="2:7">
      <c r="B275" s="821" t="str">
        <f>'1C'!AJ40</f>
        <v>BO4065AA</v>
      </c>
      <c r="D275" s="1882"/>
      <c r="E275" s="1628" t="s">
        <v>8339</v>
      </c>
      <c r="F275" s="1882"/>
      <c r="G275" s="1882">
        <f>IF('1C'!K40="","##BLANK",'1C'!K40)</f>
        <v>0</v>
      </c>
    </row>
    <row r="276" spans="2:7">
      <c r="B276" s="821" t="str">
        <f>'1C'!AJ41</f>
        <v>BB1300AP</v>
      </c>
      <c r="D276" s="1882"/>
      <c r="E276" s="1628" t="s">
        <v>8339</v>
      </c>
      <c r="F276" s="1882"/>
      <c r="G276" s="1882">
        <f>IF('1C'!K41="","##BLANK",'1C'!K41)</f>
        <v>-12.5</v>
      </c>
    </row>
    <row r="277" spans="2:7">
      <c r="B277" s="821" t="str">
        <f>'1C'!AJ42</f>
        <v>BO4063</v>
      </c>
      <c r="D277" s="1882"/>
      <c r="E277" s="1628" t="s">
        <v>8339</v>
      </c>
      <c r="F277" s="1882"/>
      <c r="G277" s="1882">
        <f>IF('1C'!K42="","##BLANK",'1C'!K42)</f>
        <v>-64.643000000000001</v>
      </c>
    </row>
    <row r="278" spans="2:7">
      <c r="B278" s="821" t="str">
        <f>'1C'!AJ43</f>
        <v>A11025</v>
      </c>
      <c r="D278" s="1882"/>
      <c r="E278" s="1628" t="s">
        <v>8339</v>
      </c>
      <c r="F278" s="1882"/>
      <c r="G278" s="1882">
        <f>IF('1C'!K43="","##BLANK",'1C'!K43)</f>
        <v>-540.13400000000001</v>
      </c>
    </row>
    <row r="279" spans="2:7">
      <c r="B279" s="821" t="str">
        <f>'1C'!AJ45</f>
        <v>BO4070</v>
      </c>
      <c r="D279" s="1882"/>
      <c r="E279" s="1628" t="s">
        <v>8339</v>
      </c>
      <c r="F279" s="1882"/>
      <c r="G279" s="1882">
        <f>IF('1C'!K45="","##BLANK",'1C'!K45)</f>
        <v>211.86</v>
      </c>
    </row>
    <row r="280" spans="2:7">
      <c r="B280" s="821" t="str">
        <f>'1C'!AJ48</f>
        <v>BO4100</v>
      </c>
      <c r="D280" s="1882"/>
      <c r="E280" s="1628" t="s">
        <v>8339</v>
      </c>
      <c r="F280" s="1882"/>
      <c r="G280" s="1882">
        <f>IF('1C'!K48="","##BLANK",'1C'!K48)</f>
        <v>5.9980000000000002</v>
      </c>
    </row>
    <row r="281" spans="2:7">
      <c r="B281" s="821" t="str">
        <f>'1C'!AJ49</f>
        <v>A11030</v>
      </c>
      <c r="D281" s="1882"/>
      <c r="E281" s="1628" t="s">
        <v>8339</v>
      </c>
      <c r="F281" s="1882"/>
      <c r="G281" s="1882">
        <f>IF('1C'!K49="","##BLANK",'1C'!K49)</f>
        <v>205.86199999999999</v>
      </c>
    </row>
    <row r="282" spans="2:7">
      <c r="B282" s="821" t="str">
        <f>'1C'!AJ50</f>
        <v>BO4130</v>
      </c>
      <c r="D282" s="1882"/>
      <c r="E282" s="1628" t="s">
        <v>8339</v>
      </c>
      <c r="F282" s="1882"/>
      <c r="G282" s="1882">
        <f>IF('1C'!K50="","##BLANK",'1C'!K50)</f>
        <v>211.85999999999999</v>
      </c>
    </row>
    <row r="283" spans="2:7">
      <c r="B283" s="821" t="str">
        <f>'1D'!AF8</f>
        <v>BO5002STAT</v>
      </c>
      <c r="D283" s="1882"/>
      <c r="E283" s="1628" t="s">
        <v>8339</v>
      </c>
      <c r="F283" s="1882"/>
      <c r="G283" s="1882">
        <f>IF('1D'!G8="","##BLANK",'1D'!G8)</f>
        <v>0</v>
      </c>
    </row>
    <row r="284" spans="2:7">
      <c r="B284" s="821" t="str">
        <f>'1D'!AF9</f>
        <v>A14002STAT</v>
      </c>
      <c r="D284" s="1882"/>
      <c r="E284" s="1628" t="s">
        <v>8339</v>
      </c>
      <c r="F284" s="1882"/>
      <c r="G284" s="1882">
        <f>IF('1D'!G9="","##BLANK",'1D'!G9)</f>
        <v>25.256</v>
      </c>
    </row>
    <row r="285" spans="2:7">
      <c r="B285" s="821" t="str">
        <f>'1D'!AF10</f>
        <v>A3028STAT</v>
      </c>
      <c r="D285" s="1882"/>
      <c r="E285" s="1628" t="s">
        <v>8339</v>
      </c>
      <c r="F285" s="1882"/>
      <c r="G285" s="1882">
        <f>IF('1D'!G10="","##BLANK",'1D'!G10)</f>
        <v>-1.77</v>
      </c>
    </row>
    <row r="286" spans="2:7">
      <c r="B286" s="821" t="str">
        <f>'1D'!AF11</f>
        <v>FT01810STAT</v>
      </c>
      <c r="D286" s="1882"/>
      <c r="E286" s="1628" t="s">
        <v>8339</v>
      </c>
      <c r="F286" s="1882"/>
      <c r="G286" s="1882">
        <f>IF('1D'!G11="","##BLANK",'1D'!G11)</f>
        <v>0</v>
      </c>
    </row>
    <row r="287" spans="2:7">
      <c r="B287" s="821" t="str">
        <f>'1D'!AF12</f>
        <v>A14005STAT</v>
      </c>
      <c r="D287" s="1882"/>
      <c r="E287" s="1628" t="s">
        <v>8339</v>
      </c>
      <c r="F287" s="1882"/>
      <c r="G287" s="1882">
        <f>IF('1D'!G12="","##BLANK",'1D'!G12)</f>
        <v>0.59699999999999998</v>
      </c>
    </row>
    <row r="288" spans="2:7">
      <c r="B288" s="821" t="str">
        <f>'1D'!AF13</f>
        <v>BO5020STAT</v>
      </c>
      <c r="D288" s="1882"/>
      <c r="E288" s="1628" t="s">
        <v>8339</v>
      </c>
      <c r="F288" s="1882"/>
      <c r="G288" s="1882">
        <f>IF('1D'!G13="","##BLANK",'1D'!G13)</f>
        <v>2.8109999999999999</v>
      </c>
    </row>
    <row r="289" spans="2:7">
      <c r="B289" s="821" t="str">
        <f>'1D'!AF14</f>
        <v>BO5004STAT</v>
      </c>
      <c r="D289" s="1882"/>
      <c r="E289" s="1628" t="s">
        <v>8339</v>
      </c>
      <c r="F289" s="1882"/>
      <c r="G289" s="1882">
        <f>IF('1D'!G14="","##BLANK",'1D'!G14)</f>
        <v>-0.68700000000000006</v>
      </c>
    </row>
    <row r="290" spans="2:7">
      <c r="B290" s="821" t="str">
        <f>'1D'!AF15</f>
        <v>BO5040STAT</v>
      </c>
      <c r="D290" s="1882"/>
      <c r="E290" s="1628" t="s">
        <v>8339</v>
      </c>
      <c r="F290" s="1882"/>
      <c r="G290" s="1882">
        <f>IF('1D'!G15="","##BLANK",'1D'!G15)</f>
        <v>48.824999999999996</v>
      </c>
    </row>
    <row r="291" spans="2:7">
      <c r="B291" s="821" t="str">
        <f>'1D'!AF17</f>
        <v>A14008STAT</v>
      </c>
      <c r="D291" s="1882"/>
      <c r="E291" s="1628" t="s">
        <v>8339</v>
      </c>
      <c r="F291" s="1882"/>
      <c r="G291" s="1882">
        <f>IF('1D'!G17="","##BLANK",'1D'!G17)</f>
        <v>-9.2579999999999991</v>
      </c>
    </row>
    <row r="292" spans="2:7">
      <c r="B292" s="821" t="str">
        <f>'1D'!AF18</f>
        <v>BO5070STAT</v>
      </c>
      <c r="D292" s="1882"/>
      <c r="E292" s="1628" t="s">
        <v>8339</v>
      </c>
      <c r="F292" s="1882"/>
      <c r="G292" s="1882">
        <f>IF('1D'!G18="","##BLANK",'1D'!G18)</f>
        <v>-2.4740000000000002</v>
      </c>
    </row>
    <row r="293" spans="2:7">
      <c r="B293" s="821" t="str">
        <f>'1D'!AF19</f>
        <v>A14010STAT</v>
      </c>
      <c r="D293" s="1882"/>
      <c r="E293" s="1628" t="s">
        <v>8339</v>
      </c>
      <c r="F293" s="1882"/>
      <c r="G293" s="1882">
        <f>IF('1D'!G19="","##BLANK",'1D'!G19)</f>
        <v>37.092999999999996</v>
      </c>
    </row>
    <row r="294" spans="2:7">
      <c r="B294" s="821" t="str">
        <f>'1D'!AF22</f>
        <v>BO5080STAT</v>
      </c>
      <c r="D294" s="1882"/>
      <c r="E294" s="1628" t="s">
        <v>8339</v>
      </c>
      <c r="F294" s="1882"/>
      <c r="G294" s="1882">
        <f>IF('1D'!G22="","##BLANK",'1D'!G22)</f>
        <v>-71.623000000000005</v>
      </c>
    </row>
    <row r="295" spans="2:7">
      <c r="B295" s="821" t="str">
        <f>'1D'!AF23</f>
        <v>BO5081STAT</v>
      </c>
      <c r="D295" s="1882"/>
      <c r="E295" s="1628" t="s">
        <v>8339</v>
      </c>
      <c r="F295" s="1882"/>
      <c r="G295" s="1882">
        <f>IF('1D'!G23="","##BLANK",'1D'!G23)</f>
        <v>3.8250000000000002</v>
      </c>
    </row>
    <row r="296" spans="2:7">
      <c r="B296" s="821" t="str">
        <f>'1D'!AF24</f>
        <v>BO5084STAT</v>
      </c>
      <c r="D296" s="1882"/>
      <c r="E296" s="1628" t="s">
        <v>8339</v>
      </c>
      <c r="F296" s="1882"/>
      <c r="G296" s="1882">
        <f>IF('1D'!G24="","##BLANK",'1D'!G24)</f>
        <v>0.73499999999999999</v>
      </c>
    </row>
    <row r="297" spans="2:7">
      <c r="B297" s="821" t="str">
        <f>'1D'!AF25</f>
        <v>BO5085STAT</v>
      </c>
      <c r="D297" s="1882"/>
      <c r="E297" s="1628" t="s">
        <v>8339</v>
      </c>
      <c r="F297" s="1882"/>
      <c r="G297" s="1882">
        <f>IF('1D'!G25="","##BLANK",'1D'!G25)</f>
        <v>0</v>
      </c>
    </row>
    <row r="298" spans="2:7">
      <c r="B298" s="821" t="str">
        <f>'1D'!AF26</f>
        <v>BO5086STAT</v>
      </c>
      <c r="D298" s="1882"/>
      <c r="E298" s="1628" t="s">
        <v>8339</v>
      </c>
      <c r="F298" s="1882"/>
      <c r="G298" s="1882">
        <f>IF('1D'!G26="","##BLANK",'1D'!G26)</f>
        <v>-67.063000000000002</v>
      </c>
    </row>
    <row r="299" spans="2:7">
      <c r="B299" s="821" t="str">
        <f>'1D'!AF28</f>
        <v>A14017STAT</v>
      </c>
      <c r="D299" s="1882"/>
      <c r="E299" s="1628" t="s">
        <v>8339</v>
      </c>
      <c r="F299" s="1882"/>
      <c r="G299" s="1882">
        <f>IF('1D'!G28="","##BLANK",'1D'!G28)</f>
        <v>-29.970000000000006</v>
      </c>
    </row>
    <row r="300" spans="2:7">
      <c r="B300" s="821" t="str">
        <f>'1D'!AF31</f>
        <v>BO5204STAT</v>
      </c>
      <c r="D300" s="1882"/>
      <c r="E300" s="1628" t="s">
        <v>8339</v>
      </c>
      <c r="F300" s="1882"/>
      <c r="G300" s="1882">
        <f>IF('1D'!G31="","##BLANK",'1D'!G31)</f>
        <v>-6.2670000000000003</v>
      </c>
    </row>
    <row r="301" spans="2:7">
      <c r="B301" s="821" t="str">
        <f>'1D'!AF32</f>
        <v>A14019STAT</v>
      </c>
      <c r="D301" s="1882"/>
      <c r="E301" s="1628" t="s">
        <v>8339</v>
      </c>
      <c r="F301" s="1882"/>
      <c r="G301" s="1882">
        <f>IF('1D'!G32="","##BLANK",'1D'!G32)</f>
        <v>29.28</v>
      </c>
    </row>
    <row r="302" spans="2:7">
      <c r="B302" s="821" t="str">
        <f>'1D'!AF33</f>
        <v>BO5095STAT</v>
      </c>
      <c r="D302" s="1882"/>
      <c r="E302" s="1628" t="s">
        <v>8339</v>
      </c>
      <c r="F302" s="1882"/>
      <c r="G302" s="1882">
        <f>IF('1D'!G33="","##BLANK",'1D'!G33)</f>
        <v>0</v>
      </c>
    </row>
    <row r="303" spans="2:7">
      <c r="B303" s="821" t="str">
        <f>'1D'!AF34</f>
        <v>BO5096STAT</v>
      </c>
      <c r="D303" s="1882"/>
      <c r="E303" s="1628" t="s">
        <v>8339</v>
      </c>
      <c r="F303" s="1882"/>
      <c r="G303" s="1882">
        <f>IF('1D'!G34="","##BLANK",'1D'!G34)</f>
        <v>23.013000000000002</v>
      </c>
    </row>
    <row r="304" spans="2:7">
      <c r="B304" s="821" t="str">
        <f>'1D'!AF36</f>
        <v>BO5098STAT</v>
      </c>
      <c r="D304" s="1882"/>
      <c r="E304" s="1628" t="s">
        <v>8339</v>
      </c>
      <c r="F304" s="1882"/>
      <c r="G304" s="1882">
        <f>IF('1D'!G36="","##BLANK",'1D'!G36)</f>
        <v>-6.9570000000000043</v>
      </c>
    </row>
    <row r="305" spans="2:7">
      <c r="B305" s="821" t="str">
        <f>'1D'!AG8</f>
        <v>BO5002DSR</v>
      </c>
      <c r="D305" s="1882"/>
      <c r="E305" s="1628" t="s">
        <v>8339</v>
      </c>
      <c r="F305" s="1882"/>
      <c r="G305" s="1882">
        <f>IF('1D'!H8="","##BLANK",'1D'!H8)</f>
        <v>0.23400000000000001</v>
      </c>
    </row>
    <row r="306" spans="2:7">
      <c r="B306" s="821" t="str">
        <f>'1D'!AG9</f>
        <v>A14002DSR</v>
      </c>
      <c r="D306" s="1882"/>
      <c r="E306" s="1628" t="s">
        <v>8339</v>
      </c>
      <c r="F306" s="1882"/>
      <c r="G306" s="1882">
        <f>IF('1D'!H9="","##BLANK",'1D'!H9)</f>
        <v>-0.13700000000000001</v>
      </c>
    </row>
    <row r="307" spans="2:7">
      <c r="B307" s="821" t="str">
        <f>'1D'!AG10</f>
        <v>A3028DSR</v>
      </c>
      <c r="D307" s="1882"/>
      <c r="E307" s="1628" t="s">
        <v>8339</v>
      </c>
      <c r="F307" s="1882"/>
      <c r="G307" s="1882">
        <f>IF('1D'!H10="","##BLANK",'1D'!H10)</f>
        <v>1.77</v>
      </c>
    </row>
    <row r="308" spans="2:7">
      <c r="B308" s="821" t="str">
        <f>'1D'!AG11</f>
        <v>FT01810DSR</v>
      </c>
      <c r="D308" s="1882"/>
      <c r="E308" s="1628" t="s">
        <v>8339</v>
      </c>
      <c r="F308" s="1882"/>
      <c r="G308" s="1882">
        <f>IF('1D'!H11="","##BLANK",'1D'!H11)</f>
        <v>-0.19400000000000001</v>
      </c>
    </row>
    <row r="309" spans="2:7">
      <c r="B309" s="821" t="str">
        <f>'1D'!AG12</f>
        <v>A14005DSR</v>
      </c>
      <c r="D309" s="1882"/>
      <c r="E309" s="1628" t="s">
        <v>8339</v>
      </c>
      <c r="F309" s="1882"/>
      <c r="G309" s="1882">
        <f>IF('1D'!H12="","##BLANK",'1D'!H12)</f>
        <v>0</v>
      </c>
    </row>
    <row r="310" spans="2:7">
      <c r="B310" s="821" t="str">
        <f>'1D'!AG13</f>
        <v>BO5020DSR</v>
      </c>
      <c r="D310" s="1882"/>
      <c r="E310" s="1628" t="s">
        <v>8339</v>
      </c>
      <c r="F310" s="1882"/>
      <c r="G310" s="1882">
        <f>IF('1D'!H13="","##BLANK",'1D'!H13)</f>
        <v>0.19600000000000001</v>
      </c>
    </row>
    <row r="311" spans="2:7">
      <c r="B311" s="821" t="str">
        <f>'1D'!AG14</f>
        <v>BO5004DSR</v>
      </c>
      <c r="D311" s="1882"/>
      <c r="E311" s="1628" t="s">
        <v>8339</v>
      </c>
      <c r="F311" s="1882"/>
      <c r="G311" s="1882">
        <f>IF('1D'!H14="","##BLANK",'1D'!H14)</f>
        <v>0</v>
      </c>
    </row>
    <row r="312" spans="2:7">
      <c r="B312" s="821" t="str">
        <f>'1D'!AG15</f>
        <v>BO5040DSR</v>
      </c>
      <c r="D312" s="1882"/>
      <c r="E312" s="1628" t="s">
        <v>8339</v>
      </c>
      <c r="F312" s="1882"/>
      <c r="G312" s="1882">
        <f>IF('1D'!H15="","##BLANK",'1D'!H15)</f>
        <v>-0.30099999999999993</v>
      </c>
    </row>
    <row r="313" spans="2:7">
      <c r="B313" s="821" t="str">
        <f>'1D'!AG17</f>
        <v>A14008DSR</v>
      </c>
      <c r="D313" s="1882"/>
      <c r="E313" s="1628" t="s">
        <v>8339</v>
      </c>
      <c r="F313" s="1882"/>
      <c r="G313" s="1882">
        <f>IF('1D'!H17="","##BLANK",'1D'!H17)</f>
        <v>0</v>
      </c>
    </row>
    <row r="314" spans="2:7">
      <c r="B314" s="821" t="str">
        <f>'1D'!AG18</f>
        <v>BO5070DSR</v>
      </c>
      <c r="D314" s="1882"/>
      <c r="E314" s="1628" t="s">
        <v>8339</v>
      </c>
      <c r="F314" s="1882"/>
      <c r="G314" s="1882">
        <f>IF('1D'!H18="","##BLANK",'1D'!H18)</f>
        <v>0</v>
      </c>
    </row>
    <row r="315" spans="2:7">
      <c r="B315" s="821" t="str">
        <f>'1D'!AG19</f>
        <v>A14010DSR</v>
      </c>
      <c r="D315" s="1882"/>
      <c r="E315" s="1628" t="s">
        <v>8339</v>
      </c>
      <c r="F315" s="1882"/>
      <c r="G315" s="1882">
        <f>IF('1D'!H19="","##BLANK",'1D'!H19)</f>
        <v>-0.30099999999999993</v>
      </c>
    </row>
    <row r="316" spans="2:7">
      <c r="B316" s="821" t="str">
        <f>'1D'!AG22</f>
        <v>BO5080DSR</v>
      </c>
      <c r="D316" s="1882"/>
      <c r="E316" s="1628" t="s">
        <v>8339</v>
      </c>
      <c r="F316" s="1882"/>
      <c r="G316" s="1882">
        <f>IF('1D'!H22="","##BLANK",'1D'!H22)</f>
        <v>0.30099999999999999</v>
      </c>
    </row>
    <row r="317" spans="2:7">
      <c r="B317" s="821" t="str">
        <f>'1D'!AG23</f>
        <v>BO5081DSR</v>
      </c>
      <c r="D317" s="1882"/>
      <c r="E317" s="1628" t="s">
        <v>8339</v>
      </c>
      <c r="F317" s="1882"/>
      <c r="G317" s="1882">
        <f>IF('1D'!H23="","##BLANK",'1D'!H23)</f>
        <v>0</v>
      </c>
    </row>
    <row r="318" spans="2:7">
      <c r="B318" s="821" t="str">
        <f>'1D'!AG24</f>
        <v>BO5084DSR</v>
      </c>
      <c r="D318" s="1882"/>
      <c r="E318" s="1628" t="s">
        <v>8339</v>
      </c>
      <c r="F318" s="1882"/>
      <c r="G318" s="1882">
        <f>IF('1D'!H24="","##BLANK",'1D'!H24)</f>
        <v>0</v>
      </c>
    </row>
    <row r="319" spans="2:7">
      <c r="B319" s="821" t="str">
        <f>'1D'!AG25</f>
        <v>BO5085DSR</v>
      </c>
      <c r="D319" s="1882"/>
      <c r="E319" s="1628" t="s">
        <v>8339</v>
      </c>
      <c r="F319" s="1882"/>
      <c r="G319" s="1882">
        <f>IF('1D'!H25="","##BLANK",'1D'!H25)</f>
        <v>0</v>
      </c>
    </row>
    <row r="320" spans="2:7">
      <c r="B320" s="821" t="str">
        <f>'1D'!AG26</f>
        <v>BO5086DSR</v>
      </c>
      <c r="D320" s="1882"/>
      <c r="E320" s="1628" t="s">
        <v>8339</v>
      </c>
      <c r="F320" s="1882"/>
      <c r="G320" s="1882">
        <f>IF('1D'!H26="","##BLANK",'1D'!H26)</f>
        <v>0.30099999999999999</v>
      </c>
    </row>
    <row r="321" spans="2:7">
      <c r="B321" s="821" t="str">
        <f>'1D'!AG28</f>
        <v>A14017DSR</v>
      </c>
      <c r="D321" s="1882"/>
      <c r="E321" s="1628" t="s">
        <v>8339</v>
      </c>
      <c r="F321" s="1882"/>
      <c r="G321" s="1882">
        <f>IF('1D'!H28="","##BLANK",'1D'!H28)</f>
        <v>0</v>
      </c>
    </row>
    <row r="322" spans="2:7">
      <c r="B322" s="821" t="str">
        <f>'1D'!AG31</f>
        <v>BO5204DSR</v>
      </c>
      <c r="D322" s="1882"/>
      <c r="E322" s="1628" t="s">
        <v>8339</v>
      </c>
      <c r="F322" s="1882"/>
      <c r="G322" s="1882">
        <f>IF('1D'!H31="","##BLANK",'1D'!H31)</f>
        <v>0</v>
      </c>
    </row>
    <row r="323" spans="2:7">
      <c r="B323" s="821" t="str">
        <f>'1D'!AG32</f>
        <v>A14019DSR</v>
      </c>
      <c r="D323" s="1882"/>
      <c r="E323" s="1628" t="s">
        <v>8339</v>
      </c>
      <c r="F323" s="1882"/>
      <c r="G323" s="1882">
        <f>IF('1D'!H32="","##BLANK",'1D'!H32)</f>
        <v>0</v>
      </c>
    </row>
    <row r="324" spans="2:7">
      <c r="B324" s="821" t="str">
        <f>'1D'!AG33</f>
        <v>BO5095DSR</v>
      </c>
      <c r="D324" s="1882"/>
      <c r="E324" s="1628" t="s">
        <v>8339</v>
      </c>
      <c r="F324" s="1882"/>
      <c r="G324" s="1882">
        <f>IF('1D'!H33="","##BLANK",'1D'!H33)</f>
        <v>0</v>
      </c>
    </row>
    <row r="325" spans="2:7">
      <c r="B325" s="821" t="str">
        <f>'1D'!AG34</f>
        <v>BO5096DSR</v>
      </c>
      <c r="D325" s="1882"/>
      <c r="E325" s="1628" t="s">
        <v>8339</v>
      </c>
      <c r="F325" s="1882"/>
      <c r="G325" s="1882">
        <f>IF('1D'!H34="","##BLANK",'1D'!H34)</f>
        <v>0</v>
      </c>
    </row>
    <row r="326" spans="2:7">
      <c r="B326" s="821" t="str">
        <f>'1D'!AG36</f>
        <v>BO5098DSR</v>
      </c>
      <c r="D326" s="1882"/>
      <c r="E326" s="1628" t="s">
        <v>8339</v>
      </c>
      <c r="F326" s="1882"/>
      <c r="G326" s="1882">
        <f>IF('1D'!H36="","##BLANK",'1D'!H36)</f>
        <v>0</v>
      </c>
    </row>
    <row r="327" spans="2:7">
      <c r="B327" s="821" t="str">
        <f>'1D'!AH8</f>
        <v>BO5002NA</v>
      </c>
      <c r="D327" s="1882"/>
      <c r="E327" s="1628" t="s">
        <v>8339</v>
      </c>
      <c r="F327" s="1882"/>
      <c r="G327" s="1882">
        <f>IF('1D'!I8="","##BLANK",'1D'!I8)</f>
        <v>0</v>
      </c>
    </row>
    <row r="328" spans="2:7">
      <c r="B328" s="821" t="str">
        <f>'1D'!AH9</f>
        <v>A14002NA</v>
      </c>
      <c r="D328" s="1882"/>
      <c r="E328" s="1628" t="s">
        <v>8339</v>
      </c>
      <c r="F328" s="1882"/>
      <c r="G328" s="1882">
        <f>IF('1D'!I9="","##BLANK",'1D'!I9)</f>
        <v>6.5000000000000002E-2</v>
      </c>
    </row>
    <row r="329" spans="2:7">
      <c r="B329" s="821" t="str">
        <f>'1D'!AH10</f>
        <v>A3028NA</v>
      </c>
      <c r="D329" s="1882"/>
      <c r="E329" s="1628" t="s">
        <v>8339</v>
      </c>
      <c r="F329" s="1882"/>
      <c r="G329" s="1882">
        <f>IF('1D'!I10="","##BLANK",'1D'!I10)</f>
        <v>0</v>
      </c>
    </row>
    <row r="330" spans="2:7">
      <c r="B330" s="821" t="str">
        <f>'1D'!AH11</f>
        <v>FT01810NA</v>
      </c>
      <c r="D330" s="1882"/>
      <c r="E330" s="1628" t="s">
        <v>8339</v>
      </c>
      <c r="F330" s="1882"/>
      <c r="G330" s="1882">
        <f>IF('1D'!I11="","##BLANK",'1D'!I11)</f>
        <v>-6.5000000000000002E-2</v>
      </c>
    </row>
    <row r="331" spans="2:7">
      <c r="B331" s="821" t="str">
        <f>'1D'!AH12</f>
        <v>A14005NA</v>
      </c>
      <c r="D331" s="1882"/>
      <c r="E331" s="1628" t="s">
        <v>8339</v>
      </c>
      <c r="F331" s="1882"/>
      <c r="G331" s="1882">
        <f>IF('1D'!I12="","##BLANK",'1D'!I12)</f>
        <v>0</v>
      </c>
    </row>
    <row r="332" spans="2:7">
      <c r="B332" s="821" t="str">
        <f>'1D'!AH13</f>
        <v>BO5020NA</v>
      </c>
      <c r="D332" s="1882"/>
      <c r="E332" s="1628" t="s">
        <v>8339</v>
      </c>
      <c r="F332" s="1882"/>
      <c r="G332" s="1882">
        <f>IF('1D'!I13="","##BLANK",'1D'!I13)</f>
        <v>0</v>
      </c>
    </row>
    <row r="333" spans="2:7">
      <c r="B333" s="821" t="str">
        <f>'1D'!AH14</f>
        <v>BO5004NA</v>
      </c>
      <c r="D333" s="1882"/>
      <c r="E333" s="1628" t="s">
        <v>8339</v>
      </c>
      <c r="F333" s="1882"/>
      <c r="G333" s="1882">
        <f>IF('1D'!I14="","##BLANK",'1D'!I14)</f>
        <v>0</v>
      </c>
    </row>
    <row r="334" spans="2:7">
      <c r="B334" s="821" t="str">
        <f>'1D'!AH15</f>
        <v>BO5040NA</v>
      </c>
      <c r="D334" s="1882"/>
      <c r="E334" s="1628" t="s">
        <v>8339</v>
      </c>
      <c r="F334" s="1882"/>
      <c r="G334" s="1882">
        <f>IF('1D'!I15="","##BLANK",'1D'!I15)</f>
        <v>0.21599999999999997</v>
      </c>
    </row>
    <row r="335" spans="2:7">
      <c r="B335" s="821" t="str">
        <f>'1D'!AH17</f>
        <v>A14008NA</v>
      </c>
      <c r="D335" s="1882"/>
      <c r="E335" s="1628" t="s">
        <v>8339</v>
      </c>
      <c r="F335" s="1882"/>
      <c r="G335" s="1882">
        <f>IF('1D'!I17="","##BLANK",'1D'!I17)</f>
        <v>0</v>
      </c>
    </row>
    <row r="336" spans="2:7">
      <c r="B336" s="821" t="str">
        <f>'1D'!AH18</f>
        <v>BO5070NA</v>
      </c>
      <c r="D336" s="1882"/>
      <c r="E336" s="1628" t="s">
        <v>8339</v>
      </c>
      <c r="F336" s="1882"/>
      <c r="G336" s="1882">
        <f>IF('1D'!I18="","##BLANK",'1D'!I18)</f>
        <v>-4.1000000000000002E-2</v>
      </c>
    </row>
    <row r="337" spans="2:7">
      <c r="B337" s="821" t="str">
        <f>'1D'!AH19</f>
        <v>A14010NA</v>
      </c>
      <c r="D337" s="1882"/>
      <c r="E337" s="1628" t="s">
        <v>8339</v>
      </c>
      <c r="F337" s="1882"/>
      <c r="G337" s="1882">
        <f>IF('1D'!I19="","##BLANK",'1D'!I19)</f>
        <v>0.17499999999999996</v>
      </c>
    </row>
    <row r="338" spans="2:7">
      <c r="B338" s="821" t="str">
        <f>'1D'!AH22</f>
        <v>BO5080NA</v>
      </c>
      <c r="D338" s="1882"/>
      <c r="E338" s="1628" t="s">
        <v>8339</v>
      </c>
      <c r="F338" s="1882"/>
      <c r="G338" s="1882">
        <f>IF('1D'!I22="","##BLANK",'1D'!I22)</f>
        <v>0</v>
      </c>
    </row>
    <row r="339" spans="2:7">
      <c r="B339" s="821" t="str">
        <f>'1D'!AH23</f>
        <v>BO5081NA</v>
      </c>
      <c r="D339" s="1882"/>
      <c r="E339" s="1628" t="s">
        <v>8339</v>
      </c>
      <c r="F339" s="1882"/>
      <c r="G339" s="1882">
        <f>IF('1D'!I23="","##BLANK",'1D'!I23)</f>
        <v>0</v>
      </c>
    </row>
    <row r="340" spans="2:7">
      <c r="B340" s="821" t="str">
        <f>'1D'!AH24</f>
        <v>BO5084NA</v>
      </c>
      <c r="D340" s="1882"/>
      <c r="E340" s="1628" t="s">
        <v>8339</v>
      </c>
      <c r="F340" s="1882"/>
      <c r="G340" s="1882">
        <f>IF('1D'!I24="","##BLANK",'1D'!I24)</f>
        <v>0</v>
      </c>
    </row>
    <row r="341" spans="2:7">
      <c r="B341" s="821" t="str">
        <f>'1D'!AH25</f>
        <v>BO5085NA</v>
      </c>
      <c r="D341" s="1882"/>
      <c r="E341" s="1628" t="s">
        <v>8339</v>
      </c>
      <c r="F341" s="1882"/>
      <c r="G341" s="1882">
        <f>IF('1D'!I25="","##BLANK",'1D'!I25)</f>
        <v>0</v>
      </c>
    </row>
    <row r="342" spans="2:7">
      <c r="B342" s="821" t="str">
        <f>'1D'!AH26</f>
        <v>BO5086NA</v>
      </c>
      <c r="D342" s="1882"/>
      <c r="E342" s="1628" t="s">
        <v>8339</v>
      </c>
      <c r="F342" s="1882"/>
      <c r="G342" s="1882">
        <f>IF('1D'!I26="","##BLANK",'1D'!I26)</f>
        <v>0</v>
      </c>
    </row>
    <row r="343" spans="2:7">
      <c r="B343" s="821" t="str">
        <f>'1D'!AH28</f>
        <v>A14017NA</v>
      </c>
      <c r="D343" s="1882"/>
      <c r="E343" s="1628" t="s">
        <v>8339</v>
      </c>
      <c r="F343" s="1882"/>
      <c r="G343" s="1882">
        <f>IF('1D'!I28="","##BLANK",'1D'!I28)</f>
        <v>0.17499999999999996</v>
      </c>
    </row>
    <row r="344" spans="2:7">
      <c r="B344" s="821" t="str">
        <f>'1D'!AH31</f>
        <v>BO5204NA</v>
      </c>
      <c r="D344" s="1882"/>
      <c r="E344" s="1628" t="s">
        <v>8339</v>
      </c>
      <c r="F344" s="1882"/>
      <c r="G344" s="1882">
        <f>IF('1D'!I31="","##BLANK",'1D'!I31)</f>
        <v>-0.17499999999999999</v>
      </c>
    </row>
    <row r="345" spans="2:7">
      <c r="B345" s="821" t="str">
        <f>'1D'!AH32</f>
        <v>A14019NA</v>
      </c>
      <c r="D345" s="1882"/>
      <c r="E345" s="1628" t="s">
        <v>8339</v>
      </c>
      <c r="F345" s="1882"/>
      <c r="G345" s="1882">
        <f>IF('1D'!I32="","##BLANK",'1D'!I32)</f>
        <v>0</v>
      </c>
    </row>
    <row r="346" spans="2:7">
      <c r="B346" s="821" t="str">
        <f>'1D'!AH33</f>
        <v>BO5095NA</v>
      </c>
      <c r="D346" s="1882"/>
      <c r="E346" s="1628" t="s">
        <v>8339</v>
      </c>
      <c r="F346" s="1882"/>
      <c r="G346" s="1882">
        <f>IF('1D'!I33="","##BLANK",'1D'!I33)</f>
        <v>0</v>
      </c>
    </row>
    <row r="347" spans="2:7">
      <c r="B347" s="821" t="str">
        <f>'1D'!AH34</f>
        <v>BO5096NA</v>
      </c>
      <c r="D347" s="1882"/>
      <c r="E347" s="1628" t="s">
        <v>8339</v>
      </c>
      <c r="F347" s="1882"/>
      <c r="G347" s="1882">
        <f>IF('1D'!I34="","##BLANK",'1D'!I34)</f>
        <v>-0.17499999999999999</v>
      </c>
    </row>
    <row r="348" spans="2:7">
      <c r="B348" s="821" t="str">
        <f>'1D'!AH36</f>
        <v>BO5098NA</v>
      </c>
      <c r="D348" s="1882"/>
      <c r="E348" s="1628" t="s">
        <v>8339</v>
      </c>
      <c r="F348" s="1882"/>
      <c r="G348" s="1882">
        <f>IF('1D'!I36="","##BLANK",'1D'!I36)</f>
        <v>0</v>
      </c>
    </row>
    <row r="349" spans="2:7">
      <c r="B349" s="821" t="str">
        <f>'1D'!AI8</f>
        <v>BO5002ADJ</v>
      </c>
      <c r="D349" s="1882"/>
      <c r="E349" s="1628" t="s">
        <v>8339</v>
      </c>
      <c r="F349" s="1882"/>
      <c r="G349" s="1882">
        <f>IF('1D'!J8="","##BLANK",'1D'!J8)</f>
        <v>0.23400000000000001</v>
      </c>
    </row>
    <row r="350" spans="2:7">
      <c r="B350" s="821" t="str">
        <f>'1D'!AI9</f>
        <v>A14002ADJ</v>
      </c>
      <c r="D350" s="1882"/>
      <c r="E350" s="1628" t="s">
        <v>8339</v>
      </c>
      <c r="F350" s="1882"/>
      <c r="G350" s="1882">
        <f>IF('1D'!J9="","##BLANK",'1D'!J9)</f>
        <v>-0.20200000000000001</v>
      </c>
    </row>
    <row r="351" spans="2:7">
      <c r="B351" s="821" t="str">
        <f>'1D'!AI10</f>
        <v>A3028ADJ</v>
      </c>
      <c r="D351" s="1882"/>
      <c r="E351" s="1628" t="s">
        <v>8339</v>
      </c>
      <c r="F351" s="1882"/>
      <c r="G351" s="1882">
        <f>IF('1D'!J10="","##BLANK",'1D'!J10)</f>
        <v>1.77</v>
      </c>
    </row>
    <row r="352" spans="2:7">
      <c r="B352" s="821" t="str">
        <f>'1D'!AI11</f>
        <v>FT01810ADJ</v>
      </c>
      <c r="D352" s="1882"/>
      <c r="E352" s="1628" t="s">
        <v>8339</v>
      </c>
      <c r="F352" s="1882"/>
      <c r="G352" s="1882">
        <f>IF('1D'!J11="","##BLANK",'1D'!J11)</f>
        <v>-0.129</v>
      </c>
    </row>
    <row r="353" spans="2:7">
      <c r="B353" s="821" t="str">
        <f>'1D'!AI12</f>
        <v>A14005ADJ</v>
      </c>
      <c r="D353" s="1882"/>
      <c r="E353" s="1628" t="s">
        <v>8339</v>
      </c>
      <c r="F353" s="1882"/>
      <c r="G353" s="1882">
        <f>IF('1D'!J12="","##BLANK",'1D'!J12)</f>
        <v>0</v>
      </c>
    </row>
    <row r="354" spans="2:7">
      <c r="B354" s="821" t="str">
        <f>'1D'!AI13</f>
        <v>BO5020ADJ</v>
      </c>
      <c r="D354" s="1882"/>
      <c r="E354" s="1628" t="s">
        <v>8339</v>
      </c>
      <c r="F354" s="1882"/>
      <c r="G354" s="1882">
        <f>IF('1D'!J13="","##BLANK",'1D'!J13)</f>
        <v>0.19600000000000001</v>
      </c>
    </row>
    <row r="355" spans="2:7">
      <c r="B355" s="821" t="str">
        <f>'1D'!AI14</f>
        <v>BO5004ADJ</v>
      </c>
      <c r="D355" s="1882"/>
      <c r="E355" s="1628" t="s">
        <v>8339</v>
      </c>
      <c r="F355" s="1882"/>
      <c r="G355" s="1882">
        <f>IF('1D'!J14="","##BLANK",'1D'!J14)</f>
        <v>0</v>
      </c>
    </row>
    <row r="356" spans="2:7">
      <c r="B356" s="821" t="str">
        <f>'1D'!AI15</f>
        <v>BO5040ADJ</v>
      </c>
      <c r="D356" s="1882"/>
      <c r="E356" s="1628" t="s">
        <v>8339</v>
      </c>
      <c r="F356" s="1882"/>
      <c r="G356" s="1882">
        <f>IF('1D'!J15="","##BLANK",'1D'!J15)</f>
        <v>-0.5169999999999999</v>
      </c>
    </row>
    <row r="357" spans="2:7">
      <c r="B357" s="821" t="str">
        <f>'1D'!AI17</f>
        <v>A14008ADJ</v>
      </c>
      <c r="D357" s="1882"/>
      <c r="E357" s="1628" t="s">
        <v>8339</v>
      </c>
      <c r="F357" s="1882"/>
      <c r="G357" s="1882">
        <f>IF('1D'!J17="","##BLANK",'1D'!J17)</f>
        <v>0</v>
      </c>
    </row>
    <row r="358" spans="2:7">
      <c r="B358" s="821" t="str">
        <f>'1D'!AI18</f>
        <v>BO5070ADJ</v>
      </c>
      <c r="D358" s="1882"/>
      <c r="E358" s="1628" t="s">
        <v>8339</v>
      </c>
      <c r="F358" s="1882"/>
      <c r="G358" s="1882">
        <f>IF('1D'!J18="","##BLANK",'1D'!J18)</f>
        <v>4.1000000000000002E-2</v>
      </c>
    </row>
    <row r="359" spans="2:7">
      <c r="B359" s="821" t="str">
        <f>'1D'!AI19</f>
        <v>A14010ADJ</v>
      </c>
      <c r="D359" s="1882"/>
      <c r="E359" s="1628" t="s">
        <v>8339</v>
      </c>
      <c r="F359" s="1882"/>
      <c r="G359" s="1882">
        <f>IF('1D'!J19="","##BLANK",'1D'!J19)</f>
        <v>-0.47599999999999987</v>
      </c>
    </row>
    <row r="360" spans="2:7">
      <c r="B360" s="821" t="str">
        <f>'1D'!AI22</f>
        <v>BO5080ADJ</v>
      </c>
      <c r="D360" s="1882"/>
      <c r="E360" s="1628" t="s">
        <v>8339</v>
      </c>
      <c r="F360" s="1882"/>
      <c r="G360" s="1882">
        <f>IF('1D'!J22="","##BLANK",'1D'!J22)</f>
        <v>0.30099999999999999</v>
      </c>
    </row>
    <row r="361" spans="2:7">
      <c r="B361" s="821" t="str">
        <f>'1D'!AI23</f>
        <v>BO5081ADJ</v>
      </c>
      <c r="D361" s="1882"/>
      <c r="E361" s="1628" t="s">
        <v>8339</v>
      </c>
      <c r="F361" s="1882"/>
      <c r="G361" s="1882">
        <f>IF('1D'!J23="","##BLANK",'1D'!J23)</f>
        <v>0</v>
      </c>
    </row>
    <row r="362" spans="2:7">
      <c r="B362" s="821" t="str">
        <f>'1D'!AI24</f>
        <v>BO5084ADJ</v>
      </c>
      <c r="D362" s="1882"/>
      <c r="E362" s="1628" t="s">
        <v>8339</v>
      </c>
      <c r="F362" s="1882"/>
      <c r="G362" s="1882">
        <f>IF('1D'!J24="","##BLANK",'1D'!J24)</f>
        <v>0</v>
      </c>
    </row>
    <row r="363" spans="2:7">
      <c r="B363" s="821" t="str">
        <f>'1D'!AI25</f>
        <v>BO5085ADJ</v>
      </c>
      <c r="D363" s="1882"/>
      <c r="E363" s="1628" t="s">
        <v>8339</v>
      </c>
      <c r="F363" s="1882"/>
      <c r="G363" s="1882">
        <f>IF('1D'!J25="","##BLANK",'1D'!J25)</f>
        <v>0</v>
      </c>
    </row>
    <row r="364" spans="2:7">
      <c r="B364" s="821" t="str">
        <f>'1D'!AI26</f>
        <v>BO5086ADJ</v>
      </c>
      <c r="D364" s="1882"/>
      <c r="E364" s="1628" t="s">
        <v>8339</v>
      </c>
      <c r="F364" s="1882"/>
      <c r="G364" s="1882">
        <f>IF('1D'!J26="","##BLANK",'1D'!J26)</f>
        <v>0.30099999999999999</v>
      </c>
    </row>
    <row r="365" spans="2:7">
      <c r="B365" s="821" t="str">
        <f>'1D'!AI28</f>
        <v>A14017ADJ</v>
      </c>
      <c r="D365" s="1882"/>
      <c r="E365" s="1628" t="s">
        <v>8339</v>
      </c>
      <c r="F365" s="1882"/>
      <c r="G365" s="1882">
        <f>IF('1D'!J28="","##BLANK",'1D'!J28)</f>
        <v>-0.17499999999999996</v>
      </c>
    </row>
    <row r="366" spans="2:7">
      <c r="B366" s="821" t="str">
        <f>'1D'!AI31</f>
        <v>BO5204ADJ</v>
      </c>
      <c r="D366" s="1882"/>
      <c r="E366" s="1628" t="s">
        <v>8339</v>
      </c>
      <c r="F366" s="1882"/>
      <c r="G366" s="1882">
        <f>IF('1D'!J31="","##BLANK",'1D'!J31)</f>
        <v>0.17499999999999999</v>
      </c>
    </row>
    <row r="367" spans="2:7">
      <c r="B367" s="821" t="str">
        <f>'1D'!AI32</f>
        <v>A14019ADJ</v>
      </c>
      <c r="D367" s="1882"/>
      <c r="E367" s="1628" t="s">
        <v>8339</v>
      </c>
      <c r="F367" s="1882"/>
      <c r="G367" s="1882">
        <f>IF('1D'!J32="","##BLANK",'1D'!J32)</f>
        <v>0</v>
      </c>
    </row>
    <row r="368" spans="2:7">
      <c r="B368" s="821" t="str">
        <f>'1D'!AI33</f>
        <v>BO5095ADJ</v>
      </c>
      <c r="D368" s="1882"/>
      <c r="E368" s="1628" t="s">
        <v>8339</v>
      </c>
      <c r="F368" s="1882"/>
      <c r="G368" s="1882">
        <f>IF('1D'!J33="","##BLANK",'1D'!J33)</f>
        <v>0</v>
      </c>
    </row>
    <row r="369" spans="2:7">
      <c r="B369" s="821" t="str">
        <f>'1D'!AI34</f>
        <v>BO5096ADJ</v>
      </c>
      <c r="D369" s="1882"/>
      <c r="E369" s="1628" t="s">
        <v>8339</v>
      </c>
      <c r="F369" s="1882"/>
      <c r="G369" s="1882">
        <f>IF('1D'!J34="","##BLANK",'1D'!J34)</f>
        <v>0.17499999999999999</v>
      </c>
    </row>
    <row r="370" spans="2:7">
      <c r="B370" s="821" t="str">
        <f>'1D'!AI36</f>
        <v>BO5098ADJ</v>
      </c>
      <c r="D370" s="1882"/>
      <c r="E370" s="1628" t="s">
        <v>8339</v>
      </c>
      <c r="F370" s="1882"/>
      <c r="G370" s="1882">
        <f>IF('1D'!J36="","##BLANK",'1D'!J36)</f>
        <v>0</v>
      </c>
    </row>
    <row r="371" spans="2:7">
      <c r="B371" s="821" t="str">
        <f>'1D'!AJ8</f>
        <v>BO5002</v>
      </c>
      <c r="D371" s="1882"/>
      <c r="E371" s="1628" t="s">
        <v>8339</v>
      </c>
      <c r="F371" s="1882"/>
      <c r="G371" s="1882">
        <f>IF('1D'!K8="","##BLANK",'1D'!K8)</f>
        <v>0.23400000000000001</v>
      </c>
    </row>
    <row r="372" spans="2:7">
      <c r="B372" s="821" t="str">
        <f>'1D'!AJ9</f>
        <v>A14002</v>
      </c>
      <c r="D372" s="1882"/>
      <c r="E372" s="1628" t="s">
        <v>8339</v>
      </c>
      <c r="F372" s="1882"/>
      <c r="G372" s="1882">
        <f>IF('1D'!K9="","##BLANK",'1D'!K9)</f>
        <v>25.053999999999998</v>
      </c>
    </row>
    <row r="373" spans="2:7">
      <c r="B373" s="821" t="str">
        <f>'1D'!AJ10</f>
        <v>A3028</v>
      </c>
      <c r="D373" s="1882"/>
      <c r="E373" s="1628" t="s">
        <v>8339</v>
      </c>
      <c r="F373" s="1882"/>
      <c r="G373" s="1882">
        <f>IF('1D'!K10="","##BLANK",'1D'!K10)</f>
        <v>0</v>
      </c>
    </row>
    <row r="374" spans="2:7">
      <c r="B374" s="821" t="str">
        <f>'1D'!AJ11</f>
        <v>FT01810</v>
      </c>
      <c r="D374" s="1882"/>
      <c r="E374" s="1628" t="s">
        <v>8339</v>
      </c>
      <c r="F374" s="1882"/>
      <c r="G374" s="1882">
        <f>IF('1D'!K11="","##BLANK",'1D'!K11)</f>
        <v>-0.129</v>
      </c>
    </row>
    <row r="375" spans="2:7">
      <c r="B375" s="821" t="str">
        <f>'1D'!AJ12</f>
        <v>A14005</v>
      </c>
      <c r="D375" s="1882"/>
      <c r="E375" s="1628" t="s">
        <v>8339</v>
      </c>
      <c r="F375" s="1882"/>
      <c r="G375" s="1882">
        <f>IF('1D'!K12="","##BLANK",'1D'!K12)</f>
        <v>0.59699999999999998</v>
      </c>
    </row>
    <row r="376" spans="2:7">
      <c r="B376" s="821" t="str">
        <f>'1D'!AJ13</f>
        <v>BO5020</v>
      </c>
      <c r="D376" s="1882"/>
      <c r="E376" s="1628" t="s">
        <v>8339</v>
      </c>
      <c r="F376" s="1882"/>
      <c r="G376" s="1882">
        <f>IF('1D'!K13="","##BLANK",'1D'!K13)</f>
        <v>3.0070000000000001</v>
      </c>
    </row>
    <row r="377" spans="2:7">
      <c r="B377" s="821" t="str">
        <f>'1D'!AJ14</f>
        <v>BO5004</v>
      </c>
      <c r="D377" s="1882"/>
      <c r="E377" s="1628" t="s">
        <v>8339</v>
      </c>
      <c r="F377" s="1882"/>
      <c r="G377" s="1882">
        <f>IF('1D'!K14="","##BLANK",'1D'!K14)</f>
        <v>-0.68700000000000006</v>
      </c>
    </row>
    <row r="378" spans="2:7">
      <c r="B378" s="821" t="str">
        <f>'1D'!AJ15</f>
        <v>BO5040</v>
      </c>
      <c r="D378" s="1882"/>
      <c r="E378" s="1628" t="s">
        <v>8339</v>
      </c>
      <c r="F378" s="1882"/>
      <c r="G378" s="1882">
        <f>IF('1D'!K15="","##BLANK",'1D'!K15)</f>
        <v>48.307999999999993</v>
      </c>
    </row>
    <row r="379" spans="2:7">
      <c r="B379" s="821" t="str">
        <f>'1D'!AJ17</f>
        <v>A14008</v>
      </c>
      <c r="D379" s="1882"/>
      <c r="E379" s="1628" t="s">
        <v>8339</v>
      </c>
      <c r="F379" s="1882"/>
      <c r="G379" s="1882">
        <f>IF('1D'!K17="","##BLANK",'1D'!K17)</f>
        <v>-9.2579999999999991</v>
      </c>
    </row>
    <row r="380" spans="2:7">
      <c r="B380" s="821" t="str">
        <f>'1D'!AJ18</f>
        <v>BO5070</v>
      </c>
      <c r="D380" s="1882"/>
      <c r="E380" s="1628" t="s">
        <v>8339</v>
      </c>
      <c r="F380" s="1882"/>
      <c r="G380" s="1882">
        <f>IF('1D'!K18="","##BLANK",'1D'!K18)</f>
        <v>-2.4330000000000003</v>
      </c>
    </row>
    <row r="381" spans="2:7">
      <c r="B381" s="821" t="str">
        <f>'1D'!AJ19</f>
        <v>A14010</v>
      </c>
      <c r="D381" s="1882"/>
      <c r="E381" s="1628" t="s">
        <v>8339</v>
      </c>
      <c r="F381" s="1882"/>
      <c r="G381" s="1882">
        <f>IF('1D'!K19="","##BLANK",'1D'!K19)</f>
        <v>36.616999999999997</v>
      </c>
    </row>
    <row r="382" spans="2:7">
      <c r="B382" s="821" t="str">
        <f>'1D'!AJ22</f>
        <v>BO5080</v>
      </c>
      <c r="D382" s="1882"/>
      <c r="E382" s="1628" t="s">
        <v>8339</v>
      </c>
      <c r="F382" s="1882"/>
      <c r="G382" s="1882">
        <f>IF('1D'!K22="","##BLANK",'1D'!K22)</f>
        <v>-71.322000000000003</v>
      </c>
    </row>
    <row r="383" spans="2:7">
      <c r="B383" s="821" t="str">
        <f>'1D'!AJ23</f>
        <v>BO5081</v>
      </c>
      <c r="D383" s="1882"/>
      <c r="E383" s="1628" t="s">
        <v>8339</v>
      </c>
      <c r="F383" s="1882"/>
      <c r="G383" s="1882">
        <f>IF('1D'!K23="","##BLANK",'1D'!K23)</f>
        <v>3.8250000000000002</v>
      </c>
    </row>
    <row r="384" spans="2:7">
      <c r="B384" s="821" t="str">
        <f>'1D'!AJ24</f>
        <v>BO5084</v>
      </c>
      <c r="D384" s="1882"/>
      <c r="E384" s="1628" t="s">
        <v>8339</v>
      </c>
      <c r="F384" s="1882"/>
      <c r="G384" s="1882">
        <f>IF('1D'!K24="","##BLANK",'1D'!K24)</f>
        <v>0.73499999999999999</v>
      </c>
    </row>
    <row r="385" spans="2:7">
      <c r="B385" s="821" t="str">
        <f>'1D'!AJ25</f>
        <v>BO5085</v>
      </c>
      <c r="D385" s="1882"/>
      <c r="E385" s="1628" t="s">
        <v>8339</v>
      </c>
      <c r="F385" s="1882"/>
      <c r="G385" s="1882">
        <f>IF('1D'!K25="","##BLANK",'1D'!K25)</f>
        <v>0</v>
      </c>
    </row>
    <row r="386" spans="2:7">
      <c r="B386" s="821" t="str">
        <f>'1D'!AJ26</f>
        <v>BO5086</v>
      </c>
      <c r="D386" s="1882"/>
      <c r="E386" s="1628" t="s">
        <v>8339</v>
      </c>
      <c r="F386" s="1882"/>
      <c r="G386" s="1882">
        <f>IF('1D'!K26="","##BLANK",'1D'!K26)</f>
        <v>-66.762</v>
      </c>
    </row>
    <row r="387" spans="2:7">
      <c r="B387" s="821" t="str">
        <f>'1D'!AJ28</f>
        <v>A14017</v>
      </c>
      <c r="D387" s="1882"/>
      <c r="E387" s="1628" t="s">
        <v>8339</v>
      </c>
      <c r="F387" s="1882"/>
      <c r="G387" s="1882">
        <f>IF('1D'!K28="","##BLANK",'1D'!K28)</f>
        <v>-30.145000000000007</v>
      </c>
    </row>
    <row r="388" spans="2:7">
      <c r="B388" s="821" t="str">
        <f>'1D'!AJ31</f>
        <v>BO5204</v>
      </c>
      <c r="D388" s="1882"/>
      <c r="E388" s="1628" t="s">
        <v>8339</v>
      </c>
      <c r="F388" s="1882"/>
      <c r="G388" s="1882">
        <f>IF('1D'!K31="","##BLANK",'1D'!K31)</f>
        <v>-6.0920000000000005</v>
      </c>
    </row>
    <row r="389" spans="2:7">
      <c r="B389" s="821" t="str">
        <f>'1D'!AJ32</f>
        <v>A14019</v>
      </c>
      <c r="D389" s="1882"/>
      <c r="E389" s="1628" t="s">
        <v>8339</v>
      </c>
      <c r="F389" s="1882"/>
      <c r="G389" s="1882">
        <f>IF('1D'!K32="","##BLANK",'1D'!K32)</f>
        <v>29.28</v>
      </c>
    </row>
    <row r="390" spans="2:7">
      <c r="B390" s="821" t="str">
        <f>'1D'!AJ33</f>
        <v>BO5095</v>
      </c>
      <c r="D390" s="1882"/>
      <c r="E390" s="1628" t="s">
        <v>8339</v>
      </c>
      <c r="F390" s="1882"/>
      <c r="G390" s="1882">
        <f>IF('1D'!K33="","##BLANK",'1D'!K33)</f>
        <v>0</v>
      </c>
    </row>
    <row r="391" spans="2:7">
      <c r="B391" s="821" t="str">
        <f>'1D'!AJ34</f>
        <v>BO5096</v>
      </c>
      <c r="D391" s="1882"/>
      <c r="E391" s="1628" t="s">
        <v>8339</v>
      </c>
      <c r="F391" s="1882"/>
      <c r="G391" s="1882">
        <f>IF('1D'!K34="","##BLANK",'1D'!K34)</f>
        <v>23.188000000000002</v>
      </c>
    </row>
    <row r="392" spans="2:7">
      <c r="B392" s="821" t="str">
        <f>'1D'!AJ36</f>
        <v>BO5098</v>
      </c>
      <c r="D392" s="1882"/>
      <c r="E392" s="1628" t="s">
        <v>8339</v>
      </c>
      <c r="F392" s="1882"/>
      <c r="G392" s="1882">
        <f>IF('1D'!K36="","##BLANK",'1D'!K36)</f>
        <v>-6.9570000000000043</v>
      </c>
    </row>
    <row r="393" spans="2:7">
      <c r="B393" s="821" t="str">
        <f>'1E'!AF6</f>
        <v>BO5332FX</v>
      </c>
      <c r="D393" s="1882"/>
      <c r="E393" s="1628" t="s">
        <v>8339</v>
      </c>
      <c r="F393" s="1882"/>
      <c r="G393" s="1882">
        <f>IF('1E'!G6="","##BLANK",'1E'!G6)</f>
        <v>84.07</v>
      </c>
    </row>
    <row r="394" spans="2:7">
      <c r="B394" s="821" t="str">
        <f>'1E'!AF16</f>
        <v>BO130FXI</v>
      </c>
      <c r="D394" s="1882"/>
      <c r="E394" s="1628" t="s">
        <v>8339</v>
      </c>
      <c r="F394" s="1882"/>
      <c r="G394" s="1882">
        <f>IF('1E'!G16="","##BLANK",'1E'!G16)</f>
        <v>4.1710000000000003</v>
      </c>
    </row>
    <row r="395" spans="2:7">
      <c r="B395" s="821" t="str">
        <f>'1E'!AF17</f>
        <v>BO135FXI</v>
      </c>
      <c r="D395" s="1882"/>
      <c r="E395" s="1628" t="s">
        <v>8339</v>
      </c>
      <c r="F395" s="1882"/>
      <c r="G395" s="1882">
        <f>IF('1E'!G17="","##BLANK",'1E'!G17)</f>
        <v>4.1710000000000003</v>
      </c>
    </row>
    <row r="396" spans="2:7">
      <c r="B396" s="821" t="str">
        <f>'1E'!AF20</f>
        <v>FI00500FX</v>
      </c>
      <c r="D396" s="1882"/>
      <c r="E396" s="1628" t="s">
        <v>8339</v>
      </c>
      <c r="F396" s="1882"/>
      <c r="G396" s="1882">
        <f>IF('1E'!G20="","##BLANK",'1E'!G20)</f>
        <v>4.9599999999999998E-2</v>
      </c>
    </row>
    <row r="397" spans="2:7">
      <c r="B397" s="821" t="str">
        <f>'1E'!AF21</f>
        <v>FI00510FX</v>
      </c>
      <c r="D397" s="1882"/>
      <c r="E397" s="1628" t="s">
        <v>8339</v>
      </c>
      <c r="F397" s="1882"/>
      <c r="G397" s="1882">
        <f>IF('1E'!G21="","##BLANK",'1E'!G21)</f>
        <v>4.9599999999999998E-2</v>
      </c>
    </row>
    <row r="398" spans="2:7">
      <c r="B398" s="821" t="str">
        <f>'1E'!AF23</f>
        <v>FI00560FX</v>
      </c>
      <c r="D398" s="1882"/>
      <c r="E398" s="1628" t="s">
        <v>8339</v>
      </c>
      <c r="F398" s="1882"/>
      <c r="G398" s="1882">
        <f>IF('1E'!G23="","##BLANK",'1E'!G23)</f>
        <v>12.04</v>
      </c>
    </row>
    <row r="399" spans="2:7">
      <c r="B399" s="821" t="str">
        <f>'1E'!AG6</f>
        <v>BO5332FR</v>
      </c>
      <c r="D399" s="1882"/>
      <c r="E399" s="1628" t="s">
        <v>8339</v>
      </c>
      <c r="F399" s="1882"/>
      <c r="G399" s="1882">
        <f>IF('1E'!H6="","##BLANK",'1E'!H6)</f>
        <v>102.742</v>
      </c>
    </row>
    <row r="400" spans="2:7">
      <c r="B400" s="821" t="str">
        <f>'1E'!AG16</f>
        <v>BO130FRI</v>
      </c>
      <c r="D400" s="1882"/>
      <c r="E400" s="1628" t="s">
        <v>8339</v>
      </c>
      <c r="F400" s="1882"/>
      <c r="G400" s="1882">
        <f>IF('1E'!H16="","##BLANK",'1E'!H16)</f>
        <v>1.663</v>
      </c>
    </row>
    <row r="401" spans="2:7">
      <c r="B401" s="821" t="str">
        <f>'1E'!AG17</f>
        <v>BO135FRI</v>
      </c>
      <c r="D401" s="1882"/>
      <c r="E401" s="1628" t="s">
        <v>8339</v>
      </c>
      <c r="F401" s="1882"/>
      <c r="G401" s="1882">
        <f>IF('1E'!H17="","##BLANK",'1E'!H17)</f>
        <v>1.663</v>
      </c>
    </row>
    <row r="402" spans="2:7">
      <c r="B402" s="821" t="str">
        <f>'1E'!AG20</f>
        <v>FI00500FR</v>
      </c>
      <c r="D402" s="1882"/>
      <c r="E402" s="1628" t="s">
        <v>8339</v>
      </c>
      <c r="F402" s="1882"/>
      <c r="G402" s="1882">
        <f>IF('1E'!H20="","##BLANK",'1E'!H20)</f>
        <v>1.6199999999999999E-2</v>
      </c>
    </row>
    <row r="403" spans="2:7">
      <c r="B403" s="821" t="str">
        <f>'1E'!AG21</f>
        <v>FI00510FR</v>
      </c>
      <c r="D403" s="1882"/>
      <c r="E403" s="1628" t="s">
        <v>8339</v>
      </c>
      <c r="F403" s="1882"/>
      <c r="G403" s="1882">
        <f>IF('1E'!H21="","##BLANK",'1E'!H21)</f>
        <v>1.6199999999999999E-2</v>
      </c>
    </row>
    <row r="404" spans="2:7">
      <c r="B404" s="821" t="str">
        <f>'1E'!AG23</f>
        <v>FI00560FR</v>
      </c>
      <c r="D404" s="1882"/>
      <c r="E404" s="1628" t="s">
        <v>8339</v>
      </c>
      <c r="F404" s="1882"/>
      <c r="G404" s="1882">
        <f>IF('1E'!H23="","##BLANK",'1E'!H23)</f>
        <v>5.57</v>
      </c>
    </row>
    <row r="405" spans="2:7">
      <c r="B405" s="821" t="str">
        <f>'1E'!AH6</f>
        <v>BO5332IL</v>
      </c>
      <c r="D405" s="1882"/>
      <c r="E405" s="1628" t="s">
        <v>8339</v>
      </c>
      <c r="F405" s="1882"/>
      <c r="G405" s="1882">
        <f>IF('1E'!I6="","##BLANK",'1E'!I6)</f>
        <v>193.77699999999999</v>
      </c>
    </row>
    <row r="406" spans="2:7">
      <c r="B406" s="821" t="str">
        <f>'1E'!AH16</f>
        <v>BO130ILI</v>
      </c>
      <c r="D406" s="1882"/>
      <c r="E406" s="1628" t="s">
        <v>8339</v>
      </c>
      <c r="F406" s="1882"/>
      <c r="G406" s="1882">
        <f>IF('1E'!I16="","##BLANK",'1E'!I16)</f>
        <v>11.667999999999999</v>
      </c>
    </row>
    <row r="407" spans="2:7">
      <c r="B407" s="821" t="str">
        <f>'1E'!AH17</f>
        <v>BO135ILI</v>
      </c>
      <c r="D407" s="1882"/>
      <c r="E407" s="1628" t="s">
        <v>8339</v>
      </c>
      <c r="F407" s="1882"/>
      <c r="G407" s="1882">
        <f>IF('1E'!I17="","##BLANK",'1E'!I17)</f>
        <v>6.5709999999999997</v>
      </c>
    </row>
    <row r="408" spans="2:7">
      <c r="B408" s="821" t="str">
        <f>'1E'!AH20</f>
        <v>FI00500IL</v>
      </c>
      <c r="D408" s="1882"/>
      <c r="E408" s="1628" t="s">
        <v>8339</v>
      </c>
      <c r="F408" s="1882"/>
      <c r="G408" s="1882">
        <f>IF('1E'!I20="","##BLANK",'1E'!I20)</f>
        <v>6.0199999999999997E-2</v>
      </c>
    </row>
    <row r="409" spans="2:7">
      <c r="B409" s="821" t="str">
        <f>'1E'!AH21</f>
        <v>FI00510IL</v>
      </c>
      <c r="D409" s="1882"/>
      <c r="E409" s="1628" t="s">
        <v>8339</v>
      </c>
      <c r="F409" s="1882"/>
      <c r="G409" s="1882">
        <f>IF('1E'!I21="","##BLANK",'1E'!I21)</f>
        <v>3.39E-2</v>
      </c>
    </row>
    <row r="410" spans="2:7">
      <c r="B410" s="821" t="str">
        <f>'1E'!AH23</f>
        <v>FI00560IL</v>
      </c>
      <c r="D410" s="1882"/>
      <c r="E410" s="1628" t="s">
        <v>8339</v>
      </c>
      <c r="F410" s="1882"/>
      <c r="G410" s="1882">
        <f>IF('1E'!I23="","##BLANK",'1E'!I23)</f>
        <v>14.55</v>
      </c>
    </row>
    <row r="411" spans="2:7">
      <c r="B411" s="821" t="str">
        <f>'1E'!AI6</f>
        <v>BO5332A</v>
      </c>
      <c r="D411" s="1882"/>
      <c r="E411" s="1628" t="s">
        <v>8339</v>
      </c>
      <c r="F411" s="1882"/>
      <c r="G411" s="1882">
        <f>IF('1E'!J6="","##BLANK",'1E'!J6)</f>
        <v>380.589</v>
      </c>
    </row>
    <row r="412" spans="2:7">
      <c r="B412" s="821" t="str">
        <f>'1E'!AI7</f>
        <v>BB1300ND</v>
      </c>
      <c r="D412" s="1882"/>
      <c r="E412" s="1628" t="s">
        <v>8339</v>
      </c>
      <c r="F412" s="1882"/>
      <c r="G412" s="1882">
        <f>IF('1E'!J7="","##BLANK",'1E'!J7)</f>
        <v>12.5</v>
      </c>
    </row>
    <row r="413" spans="2:7">
      <c r="B413" s="821" t="str">
        <f>'1E'!AI8</f>
        <v>BO5348T</v>
      </c>
      <c r="D413" s="1882"/>
      <c r="E413" s="1628" t="s">
        <v>8339</v>
      </c>
      <c r="F413" s="1882"/>
      <c r="G413" s="1882">
        <f>IF('1E'!J8="","##BLANK",'1E'!J8)</f>
        <v>393.089</v>
      </c>
    </row>
    <row r="414" spans="2:7">
      <c r="B414" s="821" t="str">
        <f>'1E'!AI9</f>
        <v>FT01690</v>
      </c>
      <c r="D414" s="1882"/>
      <c r="E414" s="1628" t="s">
        <v>8339</v>
      </c>
      <c r="F414" s="1882"/>
      <c r="G414" s="1882">
        <f>IF('1E'!J9="","##BLANK",'1E'!J9)</f>
        <v>-10.102</v>
      </c>
    </row>
    <row r="415" spans="2:7">
      <c r="B415" s="821" t="str">
        <f>'1E'!AI10</f>
        <v>PP0021</v>
      </c>
      <c r="D415" s="1882"/>
      <c r="E415" s="1628" t="s">
        <v>8339</v>
      </c>
      <c r="F415" s="1882"/>
      <c r="G415" s="1882">
        <f>IF('1E'!J10="","##BLANK",'1E'!J10)</f>
        <v>0</v>
      </c>
    </row>
    <row r="416" spans="2:7">
      <c r="B416" s="821" t="str">
        <f>'1E'!AI11</f>
        <v>BO4075</v>
      </c>
      <c r="D416" s="1882"/>
      <c r="E416" s="1628" t="s">
        <v>8339</v>
      </c>
      <c r="F416" s="1882"/>
      <c r="G416" s="1882">
        <f>IF('1E'!J11="","##BLANK",'1E'!J11)</f>
        <v>382.98700000000002</v>
      </c>
    </row>
    <row r="417" spans="2:13">
      <c r="B417" s="821" t="str">
        <f>'1E'!AI13</f>
        <v>FI00300</v>
      </c>
      <c r="D417" s="1882"/>
      <c r="E417" s="1628" t="s">
        <v>8339</v>
      </c>
      <c r="F417" s="1882"/>
      <c r="G417" s="1882">
        <f>IF('1E'!J13="","##BLANK",'1E'!J13)</f>
        <v>0.68286885976642597</v>
      </c>
      <c r="H417" s="1882"/>
      <c r="I417" s="1882"/>
      <c r="J417" s="1882"/>
      <c r="K417" s="1882"/>
      <c r="L417" s="1882"/>
      <c r="M417" s="1882"/>
    </row>
    <row r="418" spans="2:13">
      <c r="B418" s="821" t="str">
        <f>'1E'!AI14</f>
        <v>FI00300CV</v>
      </c>
      <c r="D418" s="1882"/>
      <c r="E418" s="1628" t="s">
        <v>8339</v>
      </c>
      <c r="F418" s="1882"/>
      <c r="G418" s="1882">
        <f>IF('1E'!J14="","##BLANK",'1E'!J14)</f>
        <v>0.66259999999999997</v>
      </c>
      <c r="H418" s="1882"/>
      <c r="I418" s="1882"/>
      <c r="J418" s="1882"/>
      <c r="K418" s="1882"/>
      <c r="L418" s="1882"/>
      <c r="M418" s="1882"/>
    </row>
    <row r="419" spans="2:13">
      <c r="B419" s="821" t="str">
        <f>'1E'!AI16</f>
        <v>BO160TLI</v>
      </c>
      <c r="D419" s="1882"/>
      <c r="E419" s="1628" t="s">
        <v>8339</v>
      </c>
      <c r="F419" s="1882"/>
      <c r="G419" s="1882">
        <f>IF('1E'!J16="","##BLANK",'1E'!J16)</f>
        <v>17.501999999999999</v>
      </c>
      <c r="H419" s="1882"/>
      <c r="I419" s="1882"/>
      <c r="J419" s="1882"/>
      <c r="K419" s="1882"/>
      <c r="L419" s="1882"/>
      <c r="M419" s="1882"/>
    </row>
    <row r="420" spans="2:13">
      <c r="B420" s="821" t="str">
        <f>'1E'!AI17</f>
        <v>BO165TLI</v>
      </c>
      <c r="D420" s="1882"/>
      <c r="E420" s="1628" t="s">
        <v>8339</v>
      </c>
      <c r="F420" s="1882"/>
      <c r="G420" s="1882">
        <f>IF('1E'!J17="","##BLANK",'1E'!J17)</f>
        <v>12.405000000000001</v>
      </c>
      <c r="H420" s="1882"/>
      <c r="I420" s="1882"/>
      <c r="J420" s="1882"/>
      <c r="K420" s="1882"/>
      <c r="L420" s="1882"/>
      <c r="M420" s="1882"/>
    </row>
    <row r="421" spans="2:13">
      <c r="B421" s="821" t="str">
        <f>'1E'!AI20</f>
        <v>FI00500</v>
      </c>
      <c r="D421" s="1882"/>
      <c r="E421" s="1628" t="s">
        <v>8339</v>
      </c>
      <c r="F421" s="1882"/>
      <c r="G421" s="1882">
        <f>IF('1E'!J20="","##BLANK",'1E'!J20)</f>
        <v>4.5999999999999999E-2</v>
      </c>
      <c r="H421" s="1882"/>
      <c r="I421" s="1882"/>
      <c r="J421" s="1882"/>
      <c r="K421" s="1882"/>
      <c r="L421" s="1882"/>
      <c r="M421" s="1882"/>
    </row>
    <row r="422" spans="2:13">
      <c r="B422" s="821" t="str">
        <f>'1E'!AI21</f>
        <v>FI00510</v>
      </c>
      <c r="D422" s="1882"/>
      <c r="E422" s="1628" t="s">
        <v>8339</v>
      </c>
      <c r="F422" s="1882"/>
      <c r="G422" s="1882">
        <f>IF('1E'!J21="","##BLANK",'1E'!J21)</f>
        <v>3.2599999999999997E-2</v>
      </c>
      <c r="H422" s="1882"/>
      <c r="I422" s="1882"/>
      <c r="J422" s="1882"/>
      <c r="K422" s="1882"/>
      <c r="L422" s="1882"/>
      <c r="M422" s="1882"/>
    </row>
    <row r="423" spans="2:13">
      <c r="B423" s="821" t="str">
        <f>'1E'!AI23</f>
        <v>FI00560</v>
      </c>
      <c r="D423" s="1882"/>
      <c r="E423" s="1628" t="s">
        <v>8339</v>
      </c>
      <c r="F423" s="1882"/>
      <c r="G423" s="1882">
        <f>IF('1E'!J23="","##BLANK",'1E'!J23)</f>
        <v>11.57</v>
      </c>
      <c r="H423" s="1882"/>
      <c r="I423" s="1882"/>
      <c r="J423" s="1882"/>
      <c r="K423" s="1882"/>
      <c r="L423" s="1882"/>
      <c r="M423" s="1882"/>
    </row>
    <row r="424" spans="2:13">
      <c r="B424" s="2030" t="str">
        <f>'1F'!AV8</f>
        <v>CR12501NNP</v>
      </c>
      <c r="D424" s="1882"/>
      <c r="E424" s="1628" t="s">
        <v>8339</v>
      </c>
      <c r="F424" s="1882"/>
      <c r="G424" s="1882">
        <f>IF('1F'!G8="","##BLANK",'1F'!G8)</f>
        <v>5.8000000000000003E-2</v>
      </c>
      <c r="H424" s="1882"/>
      <c r="I424" s="1882"/>
      <c r="J424" s="1882"/>
      <c r="K424" s="1882"/>
      <c r="L424" s="1882"/>
      <c r="M424" s="1882">
        <f>IF('1F'!M8="","##BLANK",'1F'!M8)</f>
        <v>5.800000000000001E-2</v>
      </c>
    </row>
    <row r="425" spans="2:13">
      <c r="B425" s="2030" t="str">
        <f>'1F'!AV9</f>
        <v>CR12502NNP</v>
      </c>
      <c r="D425" s="1882"/>
      <c r="E425" s="1628" t="s">
        <v>8339</v>
      </c>
      <c r="F425" s="1882"/>
      <c r="G425" s="1882">
        <f>IF('1F'!G9="","##BLANK",'1F'!G9)</f>
        <v>-1.1299999999999999E-3</v>
      </c>
      <c r="H425" s="1882"/>
      <c r="I425" s="1882"/>
      <c r="J425" s="1882"/>
      <c r="K425" s="1882"/>
      <c r="L425" s="1882"/>
      <c r="M425" s="1882">
        <f>IF('1F'!M9="","##BLANK",'1F'!M9)</f>
        <v>-1.1999999999999999E-3</v>
      </c>
    </row>
    <row r="426" spans="2:13">
      <c r="B426" s="2030" t="str">
        <f>'1F'!AV10</f>
        <v>CR12503NNP</v>
      </c>
      <c r="D426" s="1882"/>
      <c r="E426" s="1628" t="s">
        <v>8339</v>
      </c>
      <c r="F426" s="1882"/>
      <c r="G426" s="1882">
        <f>IF('1F'!G10="","##BLANK",'1F'!G10)</f>
        <v>5.6870000000000004E-2</v>
      </c>
      <c r="H426" s="1882"/>
      <c r="I426" s="1882"/>
      <c r="J426" s="1882"/>
      <c r="K426" s="1882"/>
      <c r="L426" s="1882"/>
      <c r="M426" s="1882"/>
    </row>
    <row r="427" spans="2:13">
      <c r="B427" s="2030" t="str">
        <f>'1F'!AV11</f>
        <v>CR12504NNP</v>
      </c>
      <c r="D427" s="1882"/>
      <c r="E427" s="1628" t="s">
        <v>8339</v>
      </c>
      <c r="F427" s="1882"/>
      <c r="G427" s="1882">
        <f>IF('1F'!G11="","##BLANK",'1F'!G11)</f>
        <v>173.28700000000001</v>
      </c>
      <c r="H427" s="1882"/>
      <c r="I427" s="1882"/>
      <c r="J427" s="1882"/>
      <c r="K427" s="1882"/>
      <c r="L427" s="1882"/>
      <c r="M427" s="1882">
        <f>IF('1F'!M11="","##BLANK",'1F'!M11)</f>
        <v>163.053</v>
      </c>
    </row>
    <row r="428" spans="2:13">
      <c r="B428" s="2030" t="str">
        <f>'1F'!AV14</f>
        <v>CR12505NNP</v>
      </c>
      <c r="D428" s="1882"/>
      <c r="E428" s="1628" t="s">
        <v>8339</v>
      </c>
      <c r="F428" s="1882"/>
      <c r="G428" s="1882">
        <f>IF('1F'!G14="","##BLANK",'1F'!G14)</f>
        <v>0</v>
      </c>
      <c r="H428" s="1882"/>
      <c r="I428" s="1882"/>
      <c r="J428" s="1882"/>
      <c r="K428" s="1882"/>
      <c r="L428" s="1882"/>
      <c r="M428" s="1882"/>
    </row>
    <row r="429" spans="2:13">
      <c r="B429" s="2030" t="str">
        <f>'1F'!AV15</f>
        <v>CR12506NNP</v>
      </c>
      <c r="D429" s="1882"/>
      <c r="E429" s="1628" t="s">
        <v>8339</v>
      </c>
      <c r="F429" s="1882"/>
      <c r="G429" s="1882">
        <f>IF('1F'!G15="","##BLANK",'1F'!G15)</f>
        <v>0</v>
      </c>
      <c r="H429" s="1882"/>
      <c r="I429" s="1882"/>
      <c r="J429" s="1882"/>
      <c r="K429" s="1882"/>
      <c r="L429" s="1882"/>
      <c r="M429" s="1882"/>
    </row>
    <row r="430" spans="2:13">
      <c r="B430" s="2030" t="str">
        <f>'1F'!AV16</f>
        <v>CR12507NNP</v>
      </c>
      <c r="D430" s="1882"/>
      <c r="E430" s="1628" t="s">
        <v>8339</v>
      </c>
      <c r="F430" s="1882"/>
      <c r="G430" s="1882">
        <f>IF('1F'!G16="","##BLANK",'1F'!G16)</f>
        <v>0</v>
      </c>
      <c r="H430" s="1882"/>
      <c r="I430" s="1882"/>
      <c r="J430" s="1882"/>
      <c r="K430" s="1882"/>
      <c r="L430" s="1882"/>
      <c r="M430" s="1882"/>
    </row>
    <row r="431" spans="2:13">
      <c r="B431" s="2030" t="str">
        <f>'1F'!AV17</f>
        <v>CR12508NNP</v>
      </c>
      <c r="D431" s="1882"/>
      <c r="E431" s="1628" t="s">
        <v>8339</v>
      </c>
      <c r="F431" s="1882"/>
      <c r="G431" s="1882">
        <f>IF('1F'!G17="","##BLANK",'1F'!G17)</f>
        <v>0</v>
      </c>
      <c r="H431" s="1882"/>
      <c r="I431" s="1882"/>
      <c r="J431" s="1882"/>
      <c r="K431" s="1882"/>
      <c r="L431" s="1882"/>
      <c r="M431" s="1882"/>
    </row>
    <row r="432" spans="2:13">
      <c r="B432" s="2030" t="str">
        <f>'1F'!AV18</f>
        <v>CR12509NNP</v>
      </c>
      <c r="D432" s="1882"/>
      <c r="E432" s="1628" t="s">
        <v>8339</v>
      </c>
      <c r="F432" s="1882"/>
      <c r="G432" s="1882">
        <f>IF('1F'!G18="","##BLANK",'1F'!G18)</f>
        <v>0</v>
      </c>
      <c r="H432" s="1882"/>
      <c r="I432" s="1882"/>
      <c r="J432" s="1882"/>
      <c r="K432" s="1882"/>
      <c r="L432" s="1882"/>
      <c r="M432" s="1882"/>
    </row>
    <row r="433" spans="2:7">
      <c r="B433" s="2030" t="str">
        <f>'1F'!AV20</f>
        <v>CR12510NNP</v>
      </c>
      <c r="D433" s="1882"/>
      <c r="E433" s="1628" t="s">
        <v>8339</v>
      </c>
      <c r="F433" s="1882"/>
      <c r="G433" s="1882">
        <f>IF('1F'!G20="","##BLANK",'1F'!G20)</f>
        <v>5.6870000000000004E-2</v>
      </c>
    </row>
    <row r="434" spans="2:7">
      <c r="B434" s="2030" t="str">
        <f>'1F'!AV23</f>
        <v>CR12511NNP</v>
      </c>
      <c r="D434" s="1882"/>
      <c r="E434" s="1628" t="s">
        <v>8339</v>
      </c>
      <c r="F434" s="1882"/>
      <c r="G434" s="1882">
        <f>IF('1F'!G23="","##BLANK",'1F'!G23)</f>
        <v>0</v>
      </c>
    </row>
    <row r="435" spans="2:7">
      <c r="B435" s="2030" t="str">
        <f>'1F'!AV24</f>
        <v>CR12512NNP</v>
      </c>
      <c r="D435" s="1882"/>
      <c r="E435" s="1628" t="s">
        <v>8339</v>
      </c>
      <c r="F435" s="1882"/>
      <c r="G435" s="1882">
        <f>IF('1F'!G24="","##BLANK",'1F'!G24)</f>
        <v>0</v>
      </c>
    </row>
    <row r="436" spans="2:7">
      <c r="B436" s="2030" t="str">
        <f>'1F'!AV25</f>
        <v>CR12513NNP</v>
      </c>
      <c r="D436" s="1882"/>
      <c r="E436" s="1628" t="s">
        <v>8339</v>
      </c>
      <c r="F436" s="1882"/>
      <c r="G436" s="1882">
        <f>IF('1F'!G25="","##BLANK",'1F'!G25)</f>
        <v>0</v>
      </c>
    </row>
    <row r="437" spans="2:7" s="1882" customFormat="1">
      <c r="B437" s="2030" t="str">
        <f>'1F'!AV26</f>
        <v>CR12523NNP</v>
      </c>
      <c r="C437" s="1293"/>
      <c r="E437" s="1628" t="s">
        <v>8339</v>
      </c>
      <c r="G437" s="1882">
        <f>IF('1F'!G26="","##BLANK",'1F'!G26)</f>
        <v>0</v>
      </c>
    </row>
    <row r="438" spans="2:7">
      <c r="B438" s="2030" t="str">
        <f>'1F'!AV27</f>
        <v>CR12514NNP</v>
      </c>
      <c r="D438" s="1882"/>
      <c r="E438" s="1628" t="s">
        <v>8339</v>
      </c>
      <c r="F438" s="1882"/>
      <c r="G438" s="1882">
        <f>IF('1F'!G27="","##BLANK",'1F'!G27)</f>
        <v>0</v>
      </c>
    </row>
    <row r="439" spans="2:7">
      <c r="B439" s="2030" t="str">
        <f>'1F'!AV29</f>
        <v>CR12516NNP</v>
      </c>
      <c r="D439" s="1882"/>
      <c r="E439" s="1628" t="s">
        <v>8339</v>
      </c>
      <c r="F439" s="1882"/>
      <c r="G439" s="1882">
        <f>IF('1F'!G29="","##BLANK",'1F'!G29)</f>
        <v>5.6870000000000004E-2</v>
      </c>
    </row>
    <row r="440" spans="2:7">
      <c r="B440" s="2030" t="str">
        <f>'1F'!AV31</f>
        <v>CR12517NNP</v>
      </c>
      <c r="D440" s="1882"/>
      <c r="E440" s="1628" t="s">
        <v>8339</v>
      </c>
      <c r="F440" s="1882"/>
      <c r="G440" s="1882">
        <f>IF('1F'!G31="","##BLANK",'1F'!G31)</f>
        <v>2.5770000000000001E-2</v>
      </c>
    </row>
    <row r="441" spans="2:7">
      <c r="B441" s="2030" t="str">
        <f>'1F'!AV33</f>
        <v>CR12518NNP</v>
      </c>
      <c r="D441" s="1882"/>
      <c r="E441" s="1628" t="s">
        <v>8339</v>
      </c>
      <c r="F441" s="1882"/>
      <c r="G441" s="1882">
        <f>IF('1F'!G33="","##BLANK",'1F'!G33)</f>
        <v>8.2640000000000005E-2</v>
      </c>
    </row>
    <row r="442" spans="2:7">
      <c r="B442" s="2030" t="str">
        <f>'1F'!AV35</f>
        <v>CR12522NNP</v>
      </c>
      <c r="D442" s="1882"/>
      <c r="E442" s="1628" t="s">
        <v>8339</v>
      </c>
      <c r="F442" s="1882"/>
      <c r="G442" s="1882">
        <f>IF('1F'!G35="","##BLANK",'1F'!G35)</f>
        <v>0.04</v>
      </c>
    </row>
    <row r="443" spans="2:7">
      <c r="B443" s="2030" t="str">
        <f>'1F'!AV37</f>
        <v>CR12519NNP</v>
      </c>
      <c r="D443" s="1882"/>
      <c r="E443" s="1628" t="s">
        <v>8339</v>
      </c>
      <c r="F443" s="1882"/>
      <c r="G443" s="1882">
        <f>IF('1F'!G37="","##BLANK",'1F'!G37)</f>
        <v>4.2640000000000004E-2</v>
      </c>
    </row>
    <row r="444" spans="2:7">
      <c r="B444" s="2030" t="str">
        <f>'1F'!AV40</f>
        <v>CR12520NNP</v>
      </c>
      <c r="D444" s="1882"/>
      <c r="E444" s="1628" t="s">
        <v>8339</v>
      </c>
      <c r="F444" s="1882"/>
      <c r="G444" s="1882">
        <f>IF('1F'!G40="","##BLANK",'1F'!G40)</f>
        <v>0.04</v>
      </c>
    </row>
    <row r="445" spans="2:7">
      <c r="B445" s="2030" t="str">
        <f>'1F'!AV41</f>
        <v>CR12521NNP</v>
      </c>
      <c r="D445" s="1882"/>
      <c r="E445" s="1628" t="s">
        <v>8339</v>
      </c>
      <c r="F445" s="1882"/>
      <c r="G445" s="1882">
        <f>IF('1F'!G41="","##BLANK",'1F'!G41)</f>
        <v>0</v>
      </c>
    </row>
    <row r="446" spans="2:7">
      <c r="B446" s="2030" t="str">
        <f>'1F'!AW8</f>
        <v>CR12501ANP</v>
      </c>
      <c r="D446" s="1882"/>
      <c r="E446" s="1628" t="s">
        <v>8339</v>
      </c>
      <c r="F446" s="1882"/>
      <c r="G446" s="1882">
        <f>IF('1F'!H8="","##BLANK",'1F'!H8)</f>
        <v>5.1929123361821719E-2</v>
      </c>
    </row>
    <row r="447" spans="2:7">
      <c r="B447" s="2030" t="str">
        <f>'1F'!AW9</f>
        <v>CR12502ANP</v>
      </c>
      <c r="D447" s="1882"/>
      <c r="E447" s="1628" t="s">
        <v>8339</v>
      </c>
      <c r="F447" s="1882"/>
      <c r="G447" s="1882">
        <f>IF('1F'!H9="","##BLANK",'1F'!H9)</f>
        <v>-1.0117225758423886E-3</v>
      </c>
    </row>
    <row r="448" spans="2:7">
      <c r="B448" s="2030" t="str">
        <f>'1F'!AW10</f>
        <v>CR12503ANP</v>
      </c>
      <c r="D448" s="1882"/>
      <c r="E448" s="1628" t="s">
        <v>8339</v>
      </c>
      <c r="F448" s="1882"/>
      <c r="G448" s="1882">
        <f>IF('1F'!H10="","##BLANK",'1F'!H10)</f>
        <v>5.0917400785979332E-2</v>
      </c>
    </row>
    <row r="449" spans="2:7">
      <c r="B449" s="2030" t="str">
        <f>'1F'!AW11</f>
        <v>CR12504ANP</v>
      </c>
      <c r="D449" s="1882"/>
      <c r="E449" s="1628" t="s">
        <v>8339</v>
      </c>
      <c r="F449" s="1882"/>
      <c r="G449" s="1882">
        <f>IF('1F'!H11="","##BLANK",'1F'!H11)</f>
        <v>173.28700000000001</v>
      </c>
    </row>
    <row r="450" spans="2:7">
      <c r="B450" s="2030" t="str">
        <f>'1F'!AW14</f>
        <v>CR12505ANP</v>
      </c>
      <c r="D450" s="1882"/>
      <c r="E450" s="1628" t="s">
        <v>8339</v>
      </c>
      <c r="F450" s="1882"/>
      <c r="G450" s="1882">
        <f>IF('1F'!H14="","##BLANK",'1F'!H14)</f>
        <v>-3.5965426783285746E-3</v>
      </c>
    </row>
    <row r="451" spans="2:7">
      <c r="B451" s="2030" t="str">
        <f>'1F'!AW15</f>
        <v>CR12506ANP</v>
      </c>
      <c r="D451" s="1882"/>
      <c r="E451" s="1628" t="s">
        <v>8339</v>
      </c>
      <c r="F451" s="1882"/>
      <c r="G451" s="1882">
        <f>IF('1F'!H15="","##BLANK",'1F'!H15)</f>
        <v>4.0453121122761655E-3</v>
      </c>
    </row>
    <row r="452" spans="2:7">
      <c r="B452" s="2030" t="str">
        <f>'1F'!AW16</f>
        <v>CR12507ANP</v>
      </c>
      <c r="D452" s="1882"/>
      <c r="E452" s="1628" t="s">
        <v>8339</v>
      </c>
      <c r="F452" s="1882"/>
      <c r="G452" s="1882">
        <f>IF('1F'!H16="","##BLANK",'1F'!H16)</f>
        <v>0</v>
      </c>
    </row>
    <row r="453" spans="2:7">
      <c r="B453" s="2030" t="str">
        <f>'1F'!AW17</f>
        <v>CR12508ANP</v>
      </c>
      <c r="D453" s="1882"/>
      <c r="E453" s="1628" t="s">
        <v>8339</v>
      </c>
      <c r="F453" s="1882"/>
      <c r="G453" s="1882">
        <f>IF('1F'!H17="","##BLANK",'1F'!H17)</f>
        <v>3.7740857652333992E-3</v>
      </c>
    </row>
    <row r="454" spans="2:7">
      <c r="B454" s="2030" t="str">
        <f>'1F'!AW18</f>
        <v>CR12509ANP</v>
      </c>
      <c r="D454" s="1882"/>
      <c r="E454" s="1628" t="s">
        <v>8339</v>
      </c>
      <c r="F454" s="1882"/>
      <c r="G454" s="1882">
        <f>IF('1F'!H18="","##BLANK",'1F'!H18)</f>
        <v>0</v>
      </c>
    </row>
    <row r="455" spans="2:7">
      <c r="B455" s="2030" t="str">
        <f>'1F'!AW20</f>
        <v>CR12510ANP</v>
      </c>
      <c r="D455" s="1882"/>
      <c r="E455" s="1628" t="s">
        <v>8339</v>
      </c>
      <c r="F455" s="1882"/>
      <c r="G455" s="1882">
        <f>IF('1F'!H20="","##BLANK",'1F'!H20)</f>
        <v>5.5140255985160321E-2</v>
      </c>
    </row>
    <row r="456" spans="2:7">
      <c r="B456" s="2030" t="str">
        <f>'1F'!AW23</f>
        <v>CR12511ANP</v>
      </c>
      <c r="D456" s="1882"/>
      <c r="E456" s="1628" t="s">
        <v>8339</v>
      </c>
      <c r="F456" s="1882"/>
      <c r="G456" s="1882">
        <f>IF('1F'!H23="","##BLANK",'1F'!H23)</f>
        <v>-3.9933751522041469E-2</v>
      </c>
    </row>
    <row r="457" spans="2:7">
      <c r="B457" s="2030" t="str">
        <f>'1F'!AW24</f>
        <v>CR12512ANP</v>
      </c>
      <c r="D457" s="1882"/>
      <c r="E457" s="1628" t="s">
        <v>8339</v>
      </c>
      <c r="F457" s="1882"/>
      <c r="G457" s="1882">
        <f>IF('1F'!H24="","##BLANK",'1F'!H24)</f>
        <v>1.0572056761326585E-2</v>
      </c>
    </row>
    <row r="458" spans="2:7">
      <c r="B458" s="2030" t="str">
        <f>'1F'!AW25</f>
        <v>CR12513ANP</v>
      </c>
      <c r="D458" s="1882"/>
      <c r="E458" s="1628" t="s">
        <v>8339</v>
      </c>
      <c r="F458" s="1882"/>
      <c r="G458" s="1882">
        <f>IF('1F'!H25="","##BLANK",'1F'!H25)</f>
        <v>-1.1097197135388114E-2</v>
      </c>
    </row>
    <row r="459" spans="2:7" s="1882" customFormat="1">
      <c r="B459" s="2030" t="str">
        <f>'1F'!AW26</f>
        <v>CR12523ANP</v>
      </c>
      <c r="C459" s="1293"/>
      <c r="E459" s="1628" t="s">
        <v>8339</v>
      </c>
      <c r="G459" s="1882">
        <f>IF('1F'!H26="","##BLANK",'1F'!H26)</f>
        <v>3.1854668844171811E-3</v>
      </c>
    </row>
    <row r="460" spans="2:7">
      <c r="B460" s="2030" t="str">
        <f>'1F'!AW27</f>
        <v>CR12514ANP</v>
      </c>
      <c r="D460" s="1882"/>
      <c r="E460" s="1628" t="s">
        <v>8339</v>
      </c>
      <c r="F460" s="1882"/>
      <c r="G460" s="1882">
        <f>IF('1F'!H27="","##BLANK",'1F'!H27)</f>
        <v>-3.7273425011685811E-2</v>
      </c>
    </row>
    <row r="461" spans="2:7">
      <c r="B461" s="2030" t="str">
        <f>'1F'!AW29</f>
        <v>CR12516ANP</v>
      </c>
      <c r="D461" s="1882"/>
      <c r="E461" s="1628" t="s">
        <v>8339</v>
      </c>
      <c r="F461" s="1882"/>
      <c r="G461" s="1882">
        <f>IF('1F'!H29="","##BLANK",'1F'!H29)</f>
        <v>1.786683097347451E-2</v>
      </c>
    </row>
    <row r="462" spans="2:7">
      <c r="B462" s="2030" t="str">
        <f>'1F'!AW31</f>
        <v>CR12517ANP</v>
      </c>
      <c r="D462" s="1882"/>
      <c r="E462" s="1628" t="s">
        <v>8339</v>
      </c>
      <c r="F462" s="1882"/>
      <c r="G462" s="1882">
        <f>IF('1F'!H31="","##BLANK",'1F'!H31)</f>
        <v>2.5770000000000001E-2</v>
      </c>
    </row>
    <row r="463" spans="2:7">
      <c r="B463" s="2030" t="str">
        <f>'1F'!AW33</f>
        <v>CR12518ANP</v>
      </c>
      <c r="D463" s="1882"/>
      <c r="E463" s="1628" t="s">
        <v>8339</v>
      </c>
      <c r="F463" s="1882"/>
      <c r="G463" s="1882">
        <f>IF('1F'!H33="","##BLANK",'1F'!H33)</f>
        <v>4.3636830973474511E-2</v>
      </c>
    </row>
    <row r="464" spans="2:7">
      <c r="B464" s="2030" t="str">
        <f>'1F'!AW35</f>
        <v>CR12522ANP</v>
      </c>
      <c r="D464" s="1882"/>
      <c r="E464" s="1628" t="s">
        <v>8339</v>
      </c>
      <c r="F464" s="1882"/>
      <c r="G464" s="1882">
        <f>IF('1F'!H35="","##BLANK",'1F'!H35)</f>
        <v>1.0005267925706957E-2</v>
      </c>
    </row>
    <row r="465" spans="2:7">
      <c r="B465" s="2030" t="str">
        <f>'1F'!AW37</f>
        <v>CR12519ANP</v>
      </c>
      <c r="D465" s="1882"/>
      <c r="E465" s="1628" t="s">
        <v>8339</v>
      </c>
      <c r="F465" s="1882"/>
      <c r="G465" s="1882">
        <f>IF('1F'!H37="","##BLANK",'1F'!H37)</f>
        <v>3.3631563047767557E-2</v>
      </c>
    </row>
    <row r="466" spans="2:7">
      <c r="B466" s="2030" t="str">
        <f>'1F'!AW40</f>
        <v>CR12520ANP</v>
      </c>
      <c r="D466" s="1882"/>
      <c r="E466" s="1628" t="s">
        <v>8339</v>
      </c>
      <c r="F466" s="1882"/>
      <c r="G466" s="1882">
        <f>IF('1F'!H40="","##BLANK",'1F'!H40)</f>
        <v>2.9602764547550651E-2</v>
      </c>
    </row>
    <row r="467" spans="2:7">
      <c r="B467" s="2030" t="str">
        <f>'1F'!AW41</f>
        <v>CR12521ANP</v>
      </c>
      <c r="D467" s="1882"/>
      <c r="E467" s="1628" t="s">
        <v>8339</v>
      </c>
      <c r="F467" s="1882"/>
      <c r="G467" s="1882">
        <f>IF('1F'!H41="","##BLANK",'1F'!H41)</f>
        <v>1.9597496621843694E-2</v>
      </c>
    </row>
    <row r="468" spans="2:7">
      <c r="B468" s="2030" t="str">
        <f>'1F'!AX8</f>
        <v>CR12501AAP</v>
      </c>
      <c r="D468" s="1882"/>
      <c r="E468" s="1628" t="s">
        <v>8339</v>
      </c>
      <c r="F468" s="1882"/>
      <c r="G468" s="1882">
        <f>IF('1F'!I8="","##BLANK",'1F'!I8)</f>
        <v>5.8000000000000003E-2</v>
      </c>
    </row>
    <row r="469" spans="2:7">
      <c r="B469" s="2030" t="str">
        <f>'1F'!AX9</f>
        <v>CR12502AAP</v>
      </c>
      <c r="D469" s="1882"/>
      <c r="E469" s="1628" t="s">
        <v>8339</v>
      </c>
      <c r="F469" s="1882"/>
      <c r="G469" s="1882">
        <f>IF('1F'!I9="","##BLANK",'1F'!I9)</f>
        <v>-1.1299999999999999E-3</v>
      </c>
    </row>
    <row r="470" spans="2:7">
      <c r="B470" s="2030" t="str">
        <f>'1F'!AX10</f>
        <v>CR12503AAP</v>
      </c>
      <c r="D470" s="1882"/>
      <c r="E470" s="1628" t="s">
        <v>8339</v>
      </c>
      <c r="F470" s="1882"/>
      <c r="G470" s="1882">
        <f>IF('1F'!I10="","##BLANK",'1F'!I10)</f>
        <v>5.6870000000000004E-2</v>
      </c>
    </row>
    <row r="471" spans="2:7">
      <c r="B471" s="2030" t="str">
        <f>'1F'!AX11</f>
        <v>CR12504AAP</v>
      </c>
      <c r="D471" s="1882"/>
      <c r="E471" s="1628" t="s">
        <v>8339</v>
      </c>
      <c r="F471" s="1882"/>
      <c r="G471" s="1882">
        <f>IF('1F'!I11="","##BLANK",'1F'!I11)</f>
        <v>155.149</v>
      </c>
    </row>
    <row r="472" spans="2:7">
      <c r="B472" s="2030" t="str">
        <f>'1F'!AX14</f>
        <v>CR12505AAP</v>
      </c>
      <c r="D472" s="1882"/>
      <c r="E472" s="1628" t="s">
        <v>8339</v>
      </c>
      <c r="F472" s="1882"/>
      <c r="G472" s="1882">
        <f>IF('1F'!I14="","##BLANK",'1F'!I14)</f>
        <v>-3.5965426783285746E-3</v>
      </c>
    </row>
    <row r="473" spans="2:7">
      <c r="B473" s="2030" t="str">
        <f>'1F'!AX15</f>
        <v>CR12506AAP</v>
      </c>
      <c r="D473" s="1882"/>
      <c r="E473" s="1628" t="s">
        <v>8339</v>
      </c>
      <c r="F473" s="1882"/>
      <c r="G473" s="1882">
        <f>IF('1F'!I15="","##BLANK",'1F'!I15)</f>
        <v>4.5182373073625994E-3</v>
      </c>
    </row>
    <row r="474" spans="2:7">
      <c r="B474" s="2030" t="str">
        <f>'1F'!AX16</f>
        <v>CR12507AAP</v>
      </c>
      <c r="D474" s="1882"/>
      <c r="E474" s="1628" t="s">
        <v>8339</v>
      </c>
      <c r="F474" s="1882"/>
      <c r="G474" s="1882">
        <f>IF('1F'!I16="","##BLANK",'1F'!I16)</f>
        <v>0</v>
      </c>
    </row>
    <row r="475" spans="2:7">
      <c r="B475" s="2030" t="str">
        <f>'1F'!AX17</f>
        <v>CR12508AAP</v>
      </c>
      <c r="D475" s="1882"/>
      <c r="E475" s="1628" t="s">
        <v>8339</v>
      </c>
      <c r="F475" s="1882"/>
      <c r="G475" s="1882">
        <f>IF('1F'!I17="","##BLANK",'1F'!I17)</f>
        <v>4.2153027090087595E-3</v>
      </c>
    </row>
    <row r="476" spans="2:7">
      <c r="B476" s="2030" t="str">
        <f>'1F'!AX18</f>
        <v>CR12509AAP</v>
      </c>
      <c r="D476" s="1882"/>
      <c r="E476" s="1628" t="s">
        <v>8339</v>
      </c>
      <c r="F476" s="1882"/>
      <c r="G476" s="1882">
        <f>IF('1F'!I18="","##BLANK",'1F'!I18)</f>
        <v>0</v>
      </c>
    </row>
    <row r="477" spans="2:7">
      <c r="B477" s="2030" t="str">
        <f>'1F'!AX20</f>
        <v>CR12510AAP</v>
      </c>
      <c r="D477" s="1882"/>
      <c r="E477" s="1628" t="s">
        <v>8339</v>
      </c>
      <c r="F477" s="1882"/>
      <c r="G477" s="1882">
        <f>IF('1F'!I20="","##BLANK",'1F'!I20)</f>
        <v>6.2006997338042789E-2</v>
      </c>
    </row>
    <row r="478" spans="2:7">
      <c r="B478" s="2030" t="str">
        <f>'1F'!AX23</f>
        <v>CR12511AAP</v>
      </c>
      <c r="D478" s="1882"/>
      <c r="E478" s="1628" t="s">
        <v>8339</v>
      </c>
      <c r="F478" s="1882"/>
      <c r="G478" s="1882">
        <f>IF('1F'!I23="","##BLANK",'1F'!I23)</f>
        <v>-4.4602285544863327E-2</v>
      </c>
    </row>
    <row r="479" spans="2:7">
      <c r="B479" s="2030" t="str">
        <f>'1F'!AX24</f>
        <v>CR12512AAP</v>
      </c>
      <c r="D479" s="1882"/>
      <c r="E479" s="1628" t="s">
        <v>8339</v>
      </c>
      <c r="F479" s="1882"/>
      <c r="G479" s="1882">
        <f>IF('1F'!I24="","##BLANK",'1F'!I24)</f>
        <v>1.1808003918813528E-2</v>
      </c>
    </row>
    <row r="480" spans="2:7">
      <c r="B480" s="2030" t="str">
        <f>'1F'!AX25</f>
        <v>CR12513AAP</v>
      </c>
      <c r="D480" s="1882"/>
      <c r="E480" s="1628" t="s">
        <v>8339</v>
      </c>
      <c r="F480" s="1882"/>
      <c r="G480" s="1882">
        <f>IF('1F'!I25="","##BLANK",'1F'!I25)</f>
        <v>-1.2394536864562452E-2</v>
      </c>
    </row>
    <row r="481" spans="2:7" s="1882" customFormat="1">
      <c r="B481" s="2030" t="str">
        <f>'1F'!AX26</f>
        <v>CR12523AAP</v>
      </c>
      <c r="C481" s="1293"/>
      <c r="E481" s="1628" t="s">
        <v>8339</v>
      </c>
      <c r="G481" s="1882">
        <f>IF('1F'!I26="","##BLANK",'1F'!I26)</f>
        <v>3.5578701764110631E-3</v>
      </c>
    </row>
    <row r="482" spans="2:7">
      <c r="B482" s="2030" t="str">
        <f>'1F'!AX27</f>
        <v>CR12514AAP</v>
      </c>
      <c r="D482" s="1882"/>
      <c r="E482" s="1628" t="s">
        <v>8339</v>
      </c>
      <c r="F482" s="1882"/>
      <c r="G482" s="1882">
        <f>IF('1F'!I27="","##BLANK",'1F'!I27)</f>
        <v>-4.1630948314201187E-2</v>
      </c>
    </row>
    <row r="483" spans="2:7">
      <c r="B483" s="2030" t="str">
        <f>'1F'!AX29</f>
        <v>CR12516AAP</v>
      </c>
      <c r="D483" s="1882"/>
      <c r="E483" s="1628" t="s">
        <v>8339</v>
      </c>
      <c r="F483" s="1882"/>
      <c r="G483" s="1882">
        <f>IF('1F'!I29="","##BLANK",'1F'!I29)</f>
        <v>2.0376049023841603E-2</v>
      </c>
    </row>
    <row r="484" spans="2:7">
      <c r="B484" s="2030" t="str">
        <f>'1F'!AX31</f>
        <v>CR12517AAP</v>
      </c>
      <c r="D484" s="1882"/>
      <c r="E484" s="1628" t="s">
        <v>8339</v>
      </c>
      <c r="F484" s="1882"/>
      <c r="G484" s="1882">
        <f>IF('1F'!I31="","##BLANK",'1F'!I31)</f>
        <v>2.5770000000000001E-2</v>
      </c>
    </row>
    <row r="485" spans="2:7">
      <c r="B485" s="2030" t="str">
        <f>'1F'!AX33</f>
        <v>CR12518AAP</v>
      </c>
      <c r="D485" s="1882"/>
      <c r="E485" s="1628" t="s">
        <v>8339</v>
      </c>
      <c r="F485" s="1882"/>
      <c r="G485" s="1882">
        <f>IF('1F'!I33="","##BLANK",'1F'!I33)</f>
        <v>4.6146049023841604E-2</v>
      </c>
    </row>
    <row r="486" spans="2:7">
      <c r="B486" s="2030" t="str">
        <f>'1F'!AX35</f>
        <v>CR12522AAP</v>
      </c>
      <c r="D486" s="1882"/>
      <c r="E486" s="1628" t="s">
        <v>8339</v>
      </c>
      <c r="F486" s="1882"/>
      <c r="G486" s="1882">
        <f>IF('1F'!I35="","##BLANK",'1F'!I35)</f>
        <v>1.1174953515923281E-2</v>
      </c>
    </row>
    <row r="487" spans="2:7">
      <c r="B487" s="2030" t="str">
        <f>'1F'!AX37</f>
        <v>CR12519AAP</v>
      </c>
      <c r="D487" s="1882"/>
      <c r="E487" s="1628" t="s">
        <v>8339</v>
      </c>
      <c r="F487" s="1882"/>
      <c r="G487" s="1882">
        <f>IF('1F'!I37="","##BLANK",'1F'!I37)</f>
        <v>3.4971095507918326E-2</v>
      </c>
    </row>
    <row r="488" spans="2:7">
      <c r="B488" s="2030" t="str">
        <f>'1F'!AX40</f>
        <v>CR12520AAP</v>
      </c>
      <c r="D488" s="1882"/>
      <c r="E488" s="1628" t="s">
        <v>8339</v>
      </c>
      <c r="F488" s="1882"/>
      <c r="G488" s="1882">
        <f>IF('1F'!I40="","##BLANK",'1F'!I40)</f>
        <v>3.30635341520178E-2</v>
      </c>
    </row>
    <row r="489" spans="2:7">
      <c r="B489" s="2030" t="str">
        <f>'1F'!AX41</f>
        <v>CR12521AAP</v>
      </c>
      <c r="D489" s="1882"/>
      <c r="E489" s="1628" t="s">
        <v>8339</v>
      </c>
      <c r="F489" s="1882"/>
      <c r="G489" s="1882">
        <f>IF('1F'!I41="","##BLANK",'1F'!I41)</f>
        <v>2.1888580636094519E-2</v>
      </c>
    </row>
    <row r="490" spans="2:7">
      <c r="B490" s="2030" t="str">
        <f>'1F'!AY8</f>
        <v>CR12501NNV</v>
      </c>
      <c r="D490" s="1882"/>
      <c r="E490" s="1628" t="s">
        <v>8339</v>
      </c>
      <c r="F490" s="1882"/>
      <c r="G490" s="1882">
        <f>IF('1F'!J8="","##BLANK",'1F'!J8)</f>
        <v>10.050646</v>
      </c>
    </row>
    <row r="491" spans="2:7">
      <c r="B491" s="2030" t="str">
        <f>'1F'!AY9</f>
        <v>CR12502NNV</v>
      </c>
      <c r="D491" s="1882"/>
      <c r="E491" s="1628" t="s">
        <v>8339</v>
      </c>
      <c r="F491" s="1882"/>
      <c r="G491" s="1882">
        <f>IF('1F'!J9="","##BLANK",'1F'!J9)</f>
        <v>-0.19581430999999999</v>
      </c>
    </row>
    <row r="492" spans="2:7">
      <c r="B492" s="2030" t="str">
        <f>'1F'!AY10</f>
        <v>CR12503NNV</v>
      </c>
      <c r="D492" s="1882"/>
      <c r="E492" s="1628" t="s">
        <v>8339</v>
      </c>
      <c r="F492" s="1882"/>
      <c r="G492" s="1882">
        <f>IF('1F'!J10="","##BLANK",'1F'!J10)</f>
        <v>9.854831690000001</v>
      </c>
    </row>
    <row r="493" spans="2:7">
      <c r="B493" s="2030" t="str">
        <f>'1F'!AY14</f>
        <v>CR12505NNV</v>
      </c>
      <c r="D493" s="1882"/>
      <c r="E493" s="1628" t="s">
        <v>8339</v>
      </c>
      <c r="F493" s="1882"/>
      <c r="G493" s="1882">
        <f>IF('1F'!J14="","##BLANK",'1F'!J14)</f>
        <v>0</v>
      </c>
    </row>
    <row r="494" spans="2:7">
      <c r="B494" s="2030" t="str">
        <f>'1F'!AY15</f>
        <v>CR12506NNV</v>
      </c>
      <c r="D494" s="1882"/>
      <c r="E494" s="1628" t="s">
        <v>8339</v>
      </c>
      <c r="F494" s="1882"/>
      <c r="G494" s="1882">
        <f>IF('1F'!J15="","##BLANK",'1F'!J15)</f>
        <v>0</v>
      </c>
    </row>
    <row r="495" spans="2:7">
      <c r="B495" s="2030" t="str">
        <f>'1F'!AY16</f>
        <v>CR12507NNV</v>
      </c>
      <c r="D495" s="1882"/>
      <c r="E495" s="1628" t="s">
        <v>8339</v>
      </c>
      <c r="F495" s="1882"/>
      <c r="G495" s="1882">
        <f>IF('1F'!J16="","##BLANK",'1F'!J16)</f>
        <v>0</v>
      </c>
    </row>
    <row r="496" spans="2:7">
      <c r="B496" s="2030" t="str">
        <f>'1F'!AY17</f>
        <v>CR12508NNV</v>
      </c>
      <c r="D496" s="1882"/>
      <c r="E496" s="1628" t="s">
        <v>8339</v>
      </c>
      <c r="F496" s="1882"/>
      <c r="G496" s="1882">
        <f>IF('1F'!J17="","##BLANK",'1F'!J17)</f>
        <v>0</v>
      </c>
    </row>
    <row r="497" spans="2:7">
      <c r="B497" s="2030" t="str">
        <f>'1F'!AY18</f>
        <v>CR12509NNV</v>
      </c>
      <c r="D497" s="1882"/>
      <c r="E497" s="1628" t="s">
        <v>8339</v>
      </c>
      <c r="F497" s="1882"/>
      <c r="G497" s="1882">
        <f>IF('1F'!J18="","##BLANK",'1F'!J18)</f>
        <v>0</v>
      </c>
    </row>
    <row r="498" spans="2:7">
      <c r="B498" s="2030" t="str">
        <f>'1F'!AY20</f>
        <v>CR12510NNV</v>
      </c>
      <c r="D498" s="1882"/>
      <c r="E498" s="1628" t="s">
        <v>8339</v>
      </c>
      <c r="F498" s="1882"/>
      <c r="G498" s="1882">
        <f>IF('1F'!J20="","##BLANK",'1F'!J20)</f>
        <v>9.854831690000001</v>
      </c>
    </row>
    <row r="499" spans="2:7">
      <c r="B499" s="2030" t="str">
        <f>'1F'!AY23</f>
        <v>CR12511NNV</v>
      </c>
      <c r="D499" s="1882"/>
      <c r="E499" s="1628" t="s">
        <v>8339</v>
      </c>
      <c r="F499" s="1882"/>
      <c r="G499" s="1882">
        <f>IF('1F'!J23="","##BLANK",'1F'!J23)</f>
        <v>0</v>
      </c>
    </row>
    <row r="500" spans="2:7">
      <c r="B500" s="2030" t="str">
        <f>'1F'!AY24</f>
        <v>CR12512NNV</v>
      </c>
      <c r="D500" s="1882"/>
      <c r="E500" s="1628" t="s">
        <v>8339</v>
      </c>
      <c r="F500" s="1882"/>
      <c r="G500" s="1882">
        <f>IF('1F'!J24="","##BLANK",'1F'!J24)</f>
        <v>0</v>
      </c>
    </row>
    <row r="501" spans="2:7">
      <c r="B501" s="2030" t="str">
        <f>'1F'!AY25</f>
        <v>CR12513NNV</v>
      </c>
      <c r="D501" s="1882"/>
      <c r="E501" s="1628" t="s">
        <v>8339</v>
      </c>
      <c r="F501" s="1882"/>
      <c r="G501" s="1882">
        <f>IF('1F'!J25="","##BLANK",'1F'!J25)</f>
        <v>0</v>
      </c>
    </row>
    <row r="502" spans="2:7" s="1882" customFormat="1">
      <c r="B502" s="2030" t="str">
        <f>'1F'!AY26</f>
        <v>CR12523NNV</v>
      </c>
      <c r="C502" s="1293"/>
      <c r="E502" s="1628" t="s">
        <v>8339</v>
      </c>
      <c r="G502" s="1882">
        <f>IF('1F'!J26="","##BLANK",'1F'!J26)</f>
        <v>0</v>
      </c>
    </row>
    <row r="503" spans="2:7">
      <c r="B503" s="2030" t="str">
        <f>'1F'!AY27</f>
        <v>CR12514NNV</v>
      </c>
      <c r="D503" s="1882"/>
      <c r="E503" s="1628" t="s">
        <v>8339</v>
      </c>
      <c r="F503" s="1882"/>
      <c r="G503" s="1882">
        <f>IF('1F'!J27="","##BLANK",'1F'!J27)</f>
        <v>0</v>
      </c>
    </row>
    <row r="504" spans="2:7">
      <c r="B504" s="2030" t="str">
        <f>'1F'!AY29</f>
        <v>CR12516NNV</v>
      </c>
      <c r="D504" s="1882"/>
      <c r="E504" s="1628" t="s">
        <v>8339</v>
      </c>
      <c r="F504" s="1882"/>
      <c r="G504" s="1882">
        <f>IF('1F'!J29="","##BLANK",'1F'!J29)</f>
        <v>9.854831690000001</v>
      </c>
    </row>
    <row r="505" spans="2:7">
      <c r="B505" s="2030" t="str">
        <f>'1F'!AY31</f>
        <v>CR12517NNV</v>
      </c>
      <c r="D505" s="1882"/>
      <c r="E505" s="1628" t="s">
        <v>8339</v>
      </c>
      <c r="F505" s="1882"/>
      <c r="G505" s="1882">
        <f>IF('1F'!J31="","##BLANK",'1F'!J31)</f>
        <v>4.4656059900000002</v>
      </c>
    </row>
    <row r="506" spans="2:7">
      <c r="B506" s="2030" t="str">
        <f>'1F'!AY33</f>
        <v>CR12518NNV</v>
      </c>
      <c r="D506" s="1882"/>
      <c r="E506" s="1628" t="s">
        <v>8339</v>
      </c>
      <c r="F506" s="1882"/>
      <c r="G506" s="1882">
        <f>IF('1F'!J33="","##BLANK",'1F'!J33)</f>
        <v>14.320437680000001</v>
      </c>
    </row>
    <row r="507" spans="2:7">
      <c r="B507" s="2030" t="str">
        <f>'1F'!AY35</f>
        <v>CR12522NNV</v>
      </c>
      <c r="D507" s="1882"/>
      <c r="E507" s="1628" t="s">
        <v>8339</v>
      </c>
      <c r="F507" s="1882"/>
      <c r="G507" s="1882">
        <f>IF('1F'!J35="","##BLANK",'1F'!J35)</f>
        <v>6.9314800000000005</v>
      </c>
    </row>
    <row r="508" spans="2:7">
      <c r="B508" s="2030" t="str">
        <f>'1F'!AY37</f>
        <v>CR12519NNV</v>
      </c>
      <c r="D508" s="1882"/>
      <c r="E508" s="1628" t="s">
        <v>8339</v>
      </c>
      <c r="F508" s="1882"/>
      <c r="G508" s="1882">
        <f>IF('1F'!J37="","##BLANK",'1F'!J37)</f>
        <v>7.3889576800000007</v>
      </c>
    </row>
    <row r="509" spans="2:7">
      <c r="B509" s="2030" t="str">
        <f>'1F'!AY40</f>
        <v>CR12520NNV</v>
      </c>
      <c r="D509" s="1882"/>
      <c r="E509" s="1628" t="s">
        <v>8339</v>
      </c>
      <c r="F509" s="1882"/>
      <c r="G509" s="1882">
        <f>IF('1F'!J40="","##BLANK",'1F'!J40)</f>
        <v>6.9314800000000005</v>
      </c>
    </row>
    <row r="510" spans="2:7">
      <c r="B510" s="2030" t="str">
        <f>'1F'!AY41</f>
        <v>CR12521NNV</v>
      </c>
      <c r="D510" s="1882"/>
      <c r="E510" s="1628" t="s">
        <v>8339</v>
      </c>
      <c r="F510" s="1882"/>
      <c r="G510" s="1882">
        <f>IF('1F'!J41="","##BLANK",'1F'!J41)</f>
        <v>0</v>
      </c>
    </row>
    <row r="511" spans="2:7">
      <c r="B511" s="2030" t="str">
        <f>'1F'!AZ8</f>
        <v>CR12501ANV</v>
      </c>
      <c r="D511" s="1882"/>
      <c r="E511" s="1628" t="s">
        <v>8339</v>
      </c>
      <c r="F511" s="1882"/>
      <c r="G511" s="1882">
        <f>IF('1F'!K8="","##BLANK",'1F'!K8)</f>
        <v>8.9986420000000003</v>
      </c>
    </row>
    <row r="512" spans="2:7">
      <c r="B512" s="2030" t="str">
        <f>'1F'!AZ9</f>
        <v>CR12502ANV</v>
      </c>
      <c r="D512" s="1882"/>
      <c r="E512" s="1628" t="s">
        <v>8339</v>
      </c>
      <c r="F512" s="1882"/>
      <c r="G512" s="1882">
        <f>IF('1F'!K9="","##BLANK",'1F'!K9)</f>
        <v>-0.17531837</v>
      </c>
    </row>
    <row r="513" spans="2:7">
      <c r="B513" s="2030" t="str">
        <f>'1F'!AZ10</f>
        <v>CR12503ANV</v>
      </c>
      <c r="D513" s="1882"/>
      <c r="E513" s="1628" t="s">
        <v>8339</v>
      </c>
      <c r="F513" s="1882"/>
      <c r="G513" s="1882">
        <f>IF('1F'!K10="","##BLANK",'1F'!K10)</f>
        <v>8.8233236300000009</v>
      </c>
    </row>
    <row r="514" spans="2:7">
      <c r="B514" s="2030" t="str">
        <f>'1F'!AZ14</f>
        <v>CR12505ANV</v>
      </c>
      <c r="D514" s="1882"/>
      <c r="E514" s="1628" t="s">
        <v>8339</v>
      </c>
      <c r="F514" s="1882"/>
      <c r="G514" s="1882">
        <f>IF('1F'!K14="","##BLANK",'1F'!K14)</f>
        <v>-0.55800000000000005</v>
      </c>
    </row>
    <row r="515" spans="2:7">
      <c r="B515" s="2030" t="str">
        <f>'1F'!AZ15</f>
        <v>CR12506ANV</v>
      </c>
      <c r="D515" s="1882"/>
      <c r="E515" s="1628" t="s">
        <v>8339</v>
      </c>
      <c r="F515" s="1882"/>
      <c r="G515" s="1882">
        <f>IF('1F'!K15="","##BLANK",'1F'!K15)</f>
        <v>0.70099999999999996</v>
      </c>
    </row>
    <row r="516" spans="2:7">
      <c r="B516" s="2030" t="str">
        <f>'1F'!AZ16</f>
        <v>CR12507ANV</v>
      </c>
      <c r="D516" s="1882"/>
      <c r="E516" s="1628" t="s">
        <v>8339</v>
      </c>
      <c r="F516" s="1882"/>
      <c r="G516" s="1882">
        <f>IF('1F'!K16="","##BLANK",'1F'!K16)</f>
        <v>0</v>
      </c>
    </row>
    <row r="517" spans="2:7">
      <c r="B517" s="2030" t="str">
        <f>'1F'!AZ17</f>
        <v>CR12508ANV</v>
      </c>
      <c r="D517" s="1882"/>
      <c r="E517" s="1628" t="s">
        <v>8339</v>
      </c>
      <c r="F517" s="1882"/>
      <c r="G517" s="1882">
        <f>IF('1F'!K17="","##BLANK",'1F'!K17)</f>
        <v>0.65400000000000003</v>
      </c>
    </row>
    <row r="518" spans="2:7">
      <c r="B518" s="2030" t="str">
        <f>'1F'!AZ18</f>
        <v>CR12509ANV</v>
      </c>
      <c r="D518" s="1882"/>
      <c r="E518" s="1628" t="s">
        <v>8339</v>
      </c>
      <c r="F518" s="1882"/>
      <c r="G518" s="1882">
        <f>IF('1F'!K18="","##BLANK",'1F'!K18)</f>
        <v>0</v>
      </c>
    </row>
    <row r="519" spans="2:7">
      <c r="B519" s="2030" t="str">
        <f>'1F'!AZ20</f>
        <v>CR12510ANV</v>
      </c>
      <c r="D519" s="1882"/>
      <c r="E519" s="1628" t="s">
        <v>8339</v>
      </c>
      <c r="F519" s="1882"/>
      <c r="G519" s="1882">
        <f>IF('1F'!K20="","##BLANK",'1F'!K20)</f>
        <v>9.6203236300000015</v>
      </c>
    </row>
    <row r="520" spans="2:7">
      <c r="B520" s="2030" t="str">
        <f>'1F'!AZ23</f>
        <v>CR12511ANV</v>
      </c>
      <c r="D520" s="1882"/>
      <c r="E520" s="1628" t="s">
        <v>8339</v>
      </c>
      <c r="F520" s="1882"/>
      <c r="G520" s="1882">
        <f>IF('1F'!K23="","##BLANK",'1F'!K23)</f>
        <v>-6.92</v>
      </c>
    </row>
    <row r="521" spans="2:7">
      <c r="B521" s="2030" t="str">
        <f>'1F'!AZ24</f>
        <v>CR12512ANV</v>
      </c>
      <c r="D521" s="1882"/>
      <c r="E521" s="1628" t="s">
        <v>8339</v>
      </c>
      <c r="F521" s="1882"/>
      <c r="G521" s="1882">
        <f>IF('1F'!K24="","##BLANK",'1F'!K24)</f>
        <v>1.8320000000000001</v>
      </c>
    </row>
    <row r="522" spans="2:7">
      <c r="B522" s="2030" t="str">
        <f>'1F'!AZ25</f>
        <v>CR12513ANV</v>
      </c>
      <c r="D522" s="1882"/>
      <c r="E522" s="1628" t="s">
        <v>8339</v>
      </c>
      <c r="F522" s="1882"/>
      <c r="G522" s="1882">
        <f>IF('1F'!K25="","##BLANK",'1F'!K25)</f>
        <v>-1.923</v>
      </c>
    </row>
    <row r="523" spans="2:7" s="1882" customFormat="1">
      <c r="B523" s="2030" t="str">
        <f>'1F'!AZ26</f>
        <v>CR12523ANV</v>
      </c>
      <c r="C523" s="1293"/>
      <c r="E523" s="1628" t="s">
        <v>8339</v>
      </c>
      <c r="G523" s="1882">
        <f>IF('1F'!K26="","##BLANK",'1F'!K26)</f>
        <v>0.55200000000000005</v>
      </c>
    </row>
    <row r="524" spans="2:7">
      <c r="B524" s="2030" t="str">
        <f>'1F'!AZ27</f>
        <v>CR12514ANV</v>
      </c>
      <c r="D524" s="1882"/>
      <c r="E524" s="1628" t="s">
        <v>8339</v>
      </c>
      <c r="F524" s="1882"/>
      <c r="G524" s="1882">
        <f>IF('1F'!K27="","##BLANK",'1F'!K27)</f>
        <v>-6.4589999999999996</v>
      </c>
    </row>
    <row r="525" spans="2:7">
      <c r="B525" s="2030" t="str">
        <f>'1F'!AZ29</f>
        <v>CR12516ANV</v>
      </c>
      <c r="D525" s="1882"/>
      <c r="E525" s="1628" t="s">
        <v>8339</v>
      </c>
      <c r="F525" s="1882"/>
      <c r="G525" s="1882">
        <f>IF('1F'!K29="","##BLANK",'1F'!K29)</f>
        <v>3.1613236300000018</v>
      </c>
    </row>
    <row r="526" spans="2:7">
      <c r="B526" s="2030" t="str">
        <f>'1F'!AZ31</f>
        <v>CR12517ANV</v>
      </c>
      <c r="D526" s="1882"/>
      <c r="E526" s="1628" t="s">
        <v>8339</v>
      </c>
      <c r="F526" s="1882"/>
      <c r="G526" s="1882">
        <f>IF('1F'!K31="","##BLANK",'1F'!K31)</f>
        <v>4.4656059900000002</v>
      </c>
    </row>
    <row r="527" spans="2:7">
      <c r="B527" s="2030" t="str">
        <f>'1F'!AZ33</f>
        <v>CR12518ANV</v>
      </c>
      <c r="D527" s="1882"/>
      <c r="E527" s="1628" t="s">
        <v>8339</v>
      </c>
      <c r="F527" s="1882"/>
      <c r="G527" s="1882">
        <f>IF('1F'!K33="","##BLANK",'1F'!K33)</f>
        <v>7.6269296200000021</v>
      </c>
    </row>
    <row r="528" spans="2:7">
      <c r="B528" s="2030" t="str">
        <f>'1F'!AZ35</f>
        <v>CR12522ANV</v>
      </c>
      <c r="D528" s="1882"/>
      <c r="E528" s="1628" t="s">
        <v>8339</v>
      </c>
      <c r="F528" s="1882"/>
      <c r="G528" s="1882">
        <f>IF('1F'!K35="","##BLANK",'1F'!K35)</f>
        <v>1.7337828630419816</v>
      </c>
    </row>
    <row r="529" spans="2:7">
      <c r="B529" s="2030" t="str">
        <f>'1F'!AZ37</f>
        <v>CR12519ANV</v>
      </c>
      <c r="D529" s="1882"/>
      <c r="E529" s="1628" t="s">
        <v>8339</v>
      </c>
      <c r="F529" s="1882"/>
      <c r="G529" s="1882">
        <f>IF('1F'!K37="","##BLANK",'1F'!K37)</f>
        <v>5.8931467569580205</v>
      </c>
    </row>
    <row r="530" spans="2:7">
      <c r="B530" s="2030" t="str">
        <f>'1F'!AZ40</f>
        <v>CR12520ANV</v>
      </c>
      <c r="D530" s="1882"/>
      <c r="E530" s="1628" t="s">
        <v>8339</v>
      </c>
      <c r="F530" s="1882"/>
      <c r="G530" s="1882">
        <f>IF('1F'!K40="","##BLANK",'1F'!K40)</f>
        <v>5.12977426015141</v>
      </c>
    </row>
    <row r="531" spans="2:7">
      <c r="B531" s="2030" t="str">
        <f>'1F'!AZ41</f>
        <v>CR12521ANV</v>
      </c>
      <c r="D531" s="1882"/>
      <c r="E531" s="1628" t="s">
        <v>8339</v>
      </c>
      <c r="F531" s="1882"/>
      <c r="G531" s="1882">
        <f>IF('1F'!K41="","##BLANK",'1F'!K41)</f>
        <v>3.3959913971094284</v>
      </c>
    </row>
    <row r="532" spans="2:7">
      <c r="B532" s="2030" t="str">
        <f>'1F'!BA8</f>
        <v>CR12501AAV</v>
      </c>
      <c r="D532" s="1882"/>
      <c r="E532" s="1628" t="s">
        <v>8339</v>
      </c>
      <c r="F532" s="1882"/>
      <c r="G532" s="1882">
        <f>IF('1F'!L8="","##BLANK",'1F'!L8)</f>
        <v>8.9986420000000003</v>
      </c>
    </row>
    <row r="533" spans="2:7">
      <c r="B533" s="2030" t="str">
        <f>'1F'!BA9</f>
        <v>CR12502AAV</v>
      </c>
      <c r="D533" s="1882"/>
      <c r="E533" s="1628" t="s">
        <v>8339</v>
      </c>
      <c r="F533" s="1882"/>
      <c r="G533" s="1882">
        <f>IF('1F'!L9="","##BLANK",'1F'!L9)</f>
        <v>-0.17531837</v>
      </c>
    </row>
    <row r="534" spans="2:7">
      <c r="B534" s="2030" t="str">
        <f>'1F'!BA10</f>
        <v>CR12503AAV</v>
      </c>
      <c r="D534" s="1882"/>
      <c r="E534" s="1628" t="s">
        <v>8339</v>
      </c>
      <c r="F534" s="1882"/>
      <c r="G534" s="1882">
        <f>IF('1F'!L10="","##BLANK",'1F'!L10)</f>
        <v>8.8233236300000009</v>
      </c>
    </row>
    <row r="535" spans="2:7">
      <c r="B535" s="2030" t="str">
        <f>'1F'!BA14</f>
        <v>CR12505AAV</v>
      </c>
      <c r="D535" s="1882"/>
      <c r="E535" s="1628" t="s">
        <v>8339</v>
      </c>
      <c r="F535" s="1882"/>
      <c r="G535" s="1882">
        <f>IF('1F'!L14="","##BLANK",'1F'!L14)</f>
        <v>-0.55800000000000005</v>
      </c>
    </row>
    <row r="536" spans="2:7">
      <c r="B536" s="2030" t="str">
        <f>'1F'!BA15</f>
        <v>CR12506AAV</v>
      </c>
      <c r="D536" s="1882"/>
      <c r="E536" s="1628" t="s">
        <v>8339</v>
      </c>
      <c r="F536" s="1882"/>
      <c r="G536" s="1882">
        <f>IF('1F'!L15="","##BLANK",'1F'!L15)</f>
        <v>0.70099999999999996</v>
      </c>
    </row>
    <row r="537" spans="2:7">
      <c r="B537" s="2030" t="str">
        <f>'1F'!BA16</f>
        <v>CR12507AAV</v>
      </c>
      <c r="D537" s="1882"/>
      <c r="E537" s="1628" t="s">
        <v>8339</v>
      </c>
      <c r="F537" s="1882"/>
      <c r="G537" s="1882">
        <f>IF('1F'!L16="","##BLANK",'1F'!L16)</f>
        <v>0</v>
      </c>
    </row>
    <row r="538" spans="2:7">
      <c r="B538" s="2030" t="str">
        <f>'1F'!BA17</f>
        <v>CR12508AAV</v>
      </c>
      <c r="D538" s="1882"/>
      <c r="E538" s="1628" t="s">
        <v>8339</v>
      </c>
      <c r="F538" s="1882"/>
      <c r="G538" s="1882">
        <f>IF('1F'!L17="","##BLANK",'1F'!L17)</f>
        <v>0.65400000000000003</v>
      </c>
    </row>
    <row r="539" spans="2:7">
      <c r="B539" s="2030" t="str">
        <f>'1F'!BA18</f>
        <v>CR12509AAV</v>
      </c>
      <c r="D539" s="1882"/>
      <c r="E539" s="1628" t="s">
        <v>8339</v>
      </c>
      <c r="F539" s="1882"/>
      <c r="G539" s="1882">
        <f>IF('1F'!L18="","##BLANK",'1F'!L18)</f>
        <v>0</v>
      </c>
    </row>
    <row r="540" spans="2:7">
      <c r="B540" s="2030" t="str">
        <f>'1F'!BA20</f>
        <v>CR12510AAV</v>
      </c>
      <c r="D540" s="1882"/>
      <c r="E540" s="1628" t="s">
        <v>8339</v>
      </c>
      <c r="F540" s="1882"/>
      <c r="G540" s="1882">
        <f>IF('1F'!L20="","##BLANK",'1F'!L20)</f>
        <v>9.6203236300000015</v>
      </c>
    </row>
    <row r="541" spans="2:7">
      <c r="B541" s="2030" t="str">
        <f>'1F'!BA23</f>
        <v>CR12511AAV</v>
      </c>
      <c r="D541" s="1882"/>
      <c r="E541" s="1628" t="s">
        <v>8339</v>
      </c>
      <c r="F541" s="1882"/>
      <c r="G541" s="1882">
        <f>IF('1F'!L23="","##BLANK",'1F'!L23)</f>
        <v>-6.92</v>
      </c>
    </row>
    <row r="542" spans="2:7">
      <c r="B542" s="2030" t="str">
        <f>'1F'!BA24</f>
        <v>CR12512AAV</v>
      </c>
      <c r="D542" s="1882"/>
      <c r="E542" s="1628" t="s">
        <v>8339</v>
      </c>
      <c r="F542" s="1882"/>
      <c r="G542" s="1882">
        <f>IF('1F'!L24="","##BLANK",'1F'!L24)</f>
        <v>1.8320000000000001</v>
      </c>
    </row>
    <row r="543" spans="2:7">
      <c r="B543" s="2030" t="str">
        <f>'1F'!BA25</f>
        <v>CR12513AAV</v>
      </c>
      <c r="D543" s="1882"/>
      <c r="E543" s="1628" t="s">
        <v>8339</v>
      </c>
      <c r="F543" s="1882"/>
      <c r="G543" s="1882">
        <f>IF('1F'!L25="","##BLANK",'1F'!L25)</f>
        <v>-1.923</v>
      </c>
    </row>
    <row r="544" spans="2:7" s="1882" customFormat="1">
      <c r="B544" s="2030" t="str">
        <f>'1F'!BA26</f>
        <v>CR12523AAV</v>
      </c>
      <c r="C544" s="1293"/>
      <c r="E544" s="1628" t="s">
        <v>8339</v>
      </c>
      <c r="G544" s="1882">
        <f>IF('1F'!L26="","##BLANK",'1F'!L26)</f>
        <v>0.55200000000000005</v>
      </c>
    </row>
    <row r="545" spans="2:7">
      <c r="B545" s="2030" t="str">
        <f>'1F'!BA27</f>
        <v>CR12514AAV</v>
      </c>
      <c r="D545" s="1882"/>
      <c r="E545" s="1628" t="s">
        <v>8339</v>
      </c>
      <c r="F545" s="1882"/>
      <c r="G545" s="1882">
        <f>IF('1F'!L27="","##BLANK",'1F'!L27)</f>
        <v>-6.4589999999999996</v>
      </c>
    </row>
    <row r="546" spans="2:7">
      <c r="B546" s="2030" t="str">
        <f>'1F'!BA29</f>
        <v>CR12516AAV</v>
      </c>
      <c r="D546" s="1882"/>
      <c r="E546" s="1628" t="s">
        <v>8339</v>
      </c>
      <c r="F546" s="1882"/>
      <c r="G546" s="1882">
        <f>IF('1F'!L29="","##BLANK",'1F'!L29)</f>
        <v>3.1613236300000018</v>
      </c>
    </row>
    <row r="547" spans="2:7">
      <c r="B547" s="2030" t="str">
        <f>'1F'!BA31</f>
        <v>CR12517AAV</v>
      </c>
      <c r="D547" s="1882"/>
      <c r="E547" s="1628" t="s">
        <v>8339</v>
      </c>
      <c r="F547" s="1882"/>
      <c r="G547" s="1882">
        <f>IF('1F'!L31="","##BLANK",'1F'!L31)</f>
        <v>3.99818973</v>
      </c>
    </row>
    <row r="548" spans="2:7">
      <c r="B548" s="2030" t="str">
        <f>'1F'!BA33</f>
        <v>CR12518AAV</v>
      </c>
      <c r="D548" s="1882"/>
      <c r="E548" s="1628" t="s">
        <v>8339</v>
      </c>
      <c r="F548" s="1882"/>
      <c r="G548" s="1882">
        <f>IF('1F'!L33="","##BLANK",'1F'!L33)</f>
        <v>7.1595133600000018</v>
      </c>
    </row>
    <row r="549" spans="2:7">
      <c r="B549" s="2030" t="str">
        <f>'1F'!BA35</f>
        <v>CR12522AAV</v>
      </c>
      <c r="D549" s="1882"/>
      <c r="E549" s="1628" t="s">
        <v>8339</v>
      </c>
      <c r="F549" s="1882"/>
      <c r="G549" s="1882">
        <f>IF('1F'!L35="","##BLANK",'1F'!L35)</f>
        <v>1.7337828630419816</v>
      </c>
    </row>
    <row r="550" spans="2:7">
      <c r="B550" s="2030" t="str">
        <f>'1F'!BA37</f>
        <v>CR12519AAV</v>
      </c>
      <c r="D550" s="1882"/>
      <c r="E550" s="1628" t="s">
        <v>8339</v>
      </c>
      <c r="F550" s="1882"/>
      <c r="G550" s="1882">
        <f>IF('1F'!L37="","##BLANK",'1F'!L37)</f>
        <v>5.4257304969580202</v>
      </c>
    </row>
    <row r="551" spans="2:7">
      <c r="B551" s="2030" t="str">
        <f>'1F'!BA40</f>
        <v>CR12520AAV</v>
      </c>
      <c r="D551" s="1882"/>
      <c r="E551" s="1628" t="s">
        <v>8339</v>
      </c>
      <c r="F551" s="1882"/>
      <c r="G551" s="1882">
        <f>IF('1F'!L40="","##BLANK",'1F'!L40)</f>
        <v>5.12977426015141</v>
      </c>
    </row>
    <row r="552" spans="2:7">
      <c r="B552" s="2030" t="str">
        <f>'1F'!BA41</f>
        <v>CR12521AAV</v>
      </c>
      <c r="D552" s="1882"/>
      <c r="E552" s="1628" t="s">
        <v>8339</v>
      </c>
      <c r="F552" s="1882"/>
      <c r="G552" s="1882">
        <f>IF('1F'!L41="","##BLANK",'1F'!L41)</f>
        <v>3.3959913971094284</v>
      </c>
    </row>
    <row r="553" spans="2:7">
      <c r="B553" s="2030" t="str">
        <f>'1F'!BB8</f>
        <v>CR12501NNPA</v>
      </c>
      <c r="D553" s="1882"/>
      <c r="E553" s="1628" t="s">
        <v>8339</v>
      </c>
      <c r="F553" s="1882"/>
      <c r="G553" s="1882">
        <f>IF('1F'!M8="","##BLANK",'1F'!M8)</f>
        <v>5.800000000000001E-2</v>
      </c>
    </row>
    <row r="554" spans="2:7">
      <c r="B554" s="2030" t="str">
        <f>'1F'!BB9</f>
        <v>CR12502NNPA</v>
      </c>
      <c r="D554" s="1882"/>
      <c r="E554" s="1628" t="s">
        <v>8339</v>
      </c>
      <c r="F554" s="1882"/>
      <c r="G554" s="1882">
        <f>IF('1F'!M9="","##BLANK",'1F'!M9)</f>
        <v>-1.1999999999999999E-3</v>
      </c>
    </row>
    <row r="555" spans="2:7">
      <c r="B555" s="2030" t="str">
        <f>'1F'!BB10</f>
        <v>CR12503NNPA</v>
      </c>
      <c r="D555" s="1882"/>
      <c r="E555" s="1628" t="s">
        <v>8339</v>
      </c>
      <c r="F555" s="1882"/>
      <c r="G555" s="1882">
        <f>IF('1F'!M10="","##BLANK",'1F'!M10)</f>
        <v>5.680000000000001E-2</v>
      </c>
    </row>
    <row r="556" spans="2:7">
      <c r="B556" s="2030" t="str">
        <f>'1F'!BB11</f>
        <v>CR12504NNPA</v>
      </c>
      <c r="D556" s="1882"/>
      <c r="E556" s="1628" t="s">
        <v>8339</v>
      </c>
      <c r="F556" s="1882"/>
      <c r="G556" s="1882">
        <f>IF('1F'!M11="","##BLANK",'1F'!M11)</f>
        <v>163.053</v>
      </c>
    </row>
    <row r="557" spans="2:7">
      <c r="B557" s="2030" t="str">
        <f>'1F'!BB14</f>
        <v>CR12505NNPA</v>
      </c>
      <c r="D557" s="1882"/>
      <c r="E557" s="1628" t="s">
        <v>8339</v>
      </c>
      <c r="F557" s="1882"/>
      <c r="G557" s="1882">
        <f>IF('1F'!M14="","##BLANK",'1F'!M14)</f>
        <v>0</v>
      </c>
    </row>
    <row r="558" spans="2:7">
      <c r="B558" s="2030" t="str">
        <f>'1F'!BB15</f>
        <v>CR12506NNPA</v>
      </c>
      <c r="D558" s="1882"/>
      <c r="E558" s="1628" t="s">
        <v>8339</v>
      </c>
      <c r="F558" s="1882"/>
      <c r="G558" s="1882">
        <f>IF('1F'!M15="","##BLANK",'1F'!M15)</f>
        <v>0</v>
      </c>
    </row>
    <row r="559" spans="2:7">
      <c r="B559" s="2030" t="str">
        <f>'1F'!BB16</f>
        <v>CR12507NNPA</v>
      </c>
      <c r="D559" s="1882"/>
      <c r="E559" s="1628" t="s">
        <v>8339</v>
      </c>
      <c r="F559" s="1882"/>
      <c r="G559" s="1882">
        <f>IF('1F'!M16="","##BLANK",'1F'!M16)</f>
        <v>0</v>
      </c>
    </row>
    <row r="560" spans="2:7">
      <c r="B560" s="2030" t="str">
        <f>'1F'!BB17</f>
        <v>CR12508NNPA</v>
      </c>
      <c r="D560" s="1882"/>
      <c r="E560" s="1628" t="s">
        <v>8339</v>
      </c>
      <c r="F560" s="1882"/>
      <c r="G560" s="1882">
        <f>IF('1F'!M17="","##BLANK",'1F'!M17)</f>
        <v>0</v>
      </c>
    </row>
    <row r="561" spans="2:7">
      <c r="B561" s="2030" t="str">
        <f>'1F'!BB18</f>
        <v>CR12509NNPA</v>
      </c>
      <c r="D561" s="1882"/>
      <c r="E561" s="1628" t="s">
        <v>8339</v>
      </c>
      <c r="F561" s="1882"/>
      <c r="G561" s="1882">
        <f>IF('1F'!M18="","##BLANK",'1F'!M18)</f>
        <v>0</v>
      </c>
    </row>
    <row r="562" spans="2:7">
      <c r="B562" s="2030" t="str">
        <f>'1F'!BB20</f>
        <v>CR12510NNPA</v>
      </c>
      <c r="D562" s="1882"/>
      <c r="E562" s="1628" t="s">
        <v>8339</v>
      </c>
      <c r="F562" s="1882"/>
      <c r="G562" s="1882">
        <f>IF('1F'!M20="","##BLANK",'1F'!M20)</f>
        <v>5.680000000000001E-2</v>
      </c>
    </row>
    <row r="563" spans="2:7">
      <c r="B563" s="2030" t="str">
        <f>'1F'!BB23</f>
        <v>CR12511NNPA</v>
      </c>
      <c r="D563" s="1882"/>
      <c r="E563" s="1628" t="s">
        <v>8339</v>
      </c>
      <c r="F563" s="1882"/>
      <c r="G563" s="1882">
        <f>IF('1F'!M23="","##BLANK",'1F'!M23)</f>
        <v>0</v>
      </c>
    </row>
    <row r="564" spans="2:7">
      <c r="B564" s="2030" t="str">
        <f>'1F'!BB24</f>
        <v>CR12512NNPA</v>
      </c>
      <c r="D564" s="1882"/>
      <c r="E564" s="1628" t="s">
        <v>8339</v>
      </c>
      <c r="F564" s="1882"/>
      <c r="G564" s="1882">
        <f>IF('1F'!M24="","##BLANK",'1F'!M24)</f>
        <v>0</v>
      </c>
    </row>
    <row r="565" spans="2:7">
      <c r="B565" s="2030" t="str">
        <f>'1F'!BB25</f>
        <v>CR12513NNPA</v>
      </c>
      <c r="D565" s="1882"/>
      <c r="E565" s="1628" t="s">
        <v>8339</v>
      </c>
      <c r="F565" s="1882"/>
      <c r="G565" s="1882">
        <f>IF('1F'!M25="","##BLANK",'1F'!M25)</f>
        <v>0</v>
      </c>
    </row>
    <row r="566" spans="2:7" s="1882" customFormat="1">
      <c r="B566" s="2030" t="str">
        <f>'1F'!BB26</f>
        <v>CR12523NNPA</v>
      </c>
      <c r="C566" s="1293"/>
      <c r="E566" s="1628" t="s">
        <v>8339</v>
      </c>
      <c r="G566" s="1882">
        <f>IF('1F'!M26="","##BLANK",'1F'!M26)</f>
        <v>0</v>
      </c>
    </row>
    <row r="567" spans="2:7">
      <c r="B567" s="2030" t="str">
        <f>'1F'!BB27</f>
        <v>CR12514NNPA</v>
      </c>
      <c r="D567" s="1882"/>
      <c r="E567" s="1628" t="s">
        <v>8339</v>
      </c>
      <c r="F567" s="1882"/>
      <c r="G567" s="1882">
        <f>IF('1F'!M27="","##BLANK",'1F'!M27)</f>
        <v>0</v>
      </c>
    </row>
    <row r="568" spans="2:7">
      <c r="B568" s="2030" t="str">
        <f>'1F'!BB29</f>
        <v>CR12516NNPA</v>
      </c>
      <c r="D568" s="1882"/>
      <c r="E568" s="1628" t="s">
        <v>8339</v>
      </c>
      <c r="F568" s="1882"/>
      <c r="G568" s="1882">
        <f>IF('1F'!M29="","##BLANK",'1F'!M29)</f>
        <v>5.680000000000001E-2</v>
      </c>
    </row>
    <row r="569" spans="2:7">
      <c r="B569" s="2030" t="str">
        <f>'1F'!BB31</f>
        <v>CR12517NNPA</v>
      </c>
      <c r="D569" s="1882"/>
      <c r="E569" s="1628" t="s">
        <v>8339</v>
      </c>
      <c r="F569" s="1882"/>
      <c r="G569" s="1882">
        <f>IF('1F'!M31="","##BLANK",'1F'!M31)</f>
        <v>2.5159999999999998E-2</v>
      </c>
    </row>
    <row r="570" spans="2:7">
      <c r="B570" s="2030" t="str">
        <f>'1F'!BB33</f>
        <v>CR12518NNPA</v>
      </c>
      <c r="D570" s="1882"/>
      <c r="E570" s="1628" t="s">
        <v>8339</v>
      </c>
      <c r="F570" s="1882"/>
      <c r="G570" s="1882">
        <f>IF('1F'!M33="","##BLANK",'1F'!M33)</f>
        <v>8.1960000000000005E-2</v>
      </c>
    </row>
    <row r="571" spans="2:7">
      <c r="B571" s="2030" t="str">
        <f>'1F'!BB35</f>
        <v>CR12522NNPA</v>
      </c>
      <c r="D571" s="1882"/>
      <c r="E571" s="1628" t="s">
        <v>8339</v>
      </c>
      <c r="F571" s="1882"/>
      <c r="G571" s="1882">
        <f>IF('1F'!M35="","##BLANK",'1F'!M35)</f>
        <v>0.04</v>
      </c>
    </row>
    <row r="572" spans="2:7">
      <c r="B572" s="2030" t="str">
        <f>'1F'!BB37</f>
        <v>CR12519NNPA</v>
      </c>
      <c r="D572" s="1882"/>
      <c r="E572" s="1628" t="s">
        <v>8339</v>
      </c>
      <c r="F572" s="1882"/>
      <c r="G572" s="1882">
        <f>IF('1F'!M37="","##BLANK",'1F'!M37)</f>
        <v>4.1960000000000004E-2</v>
      </c>
    </row>
    <row r="573" spans="2:7">
      <c r="B573" s="2030" t="str">
        <f>'1F'!BB40</f>
        <v>CR12520NNPA</v>
      </c>
      <c r="D573" s="1882"/>
      <c r="E573" s="1628" t="s">
        <v>8339</v>
      </c>
      <c r="F573" s="1882"/>
      <c r="G573" s="1882">
        <f>IF('1F'!M40="","##BLANK",'1F'!M40)</f>
        <v>0.04</v>
      </c>
    </row>
    <row r="574" spans="2:7">
      <c r="B574" s="2030" t="str">
        <f>'1F'!BB41</f>
        <v>CR12521NNPA</v>
      </c>
      <c r="D574" s="1882"/>
      <c r="E574" s="1628" t="s">
        <v>8339</v>
      </c>
      <c r="F574" s="1882"/>
      <c r="G574" s="1882">
        <f>IF('1F'!M41="","##BLANK",'1F'!M41)</f>
        <v>0</v>
      </c>
    </row>
    <row r="575" spans="2:7">
      <c r="B575" s="2030" t="str">
        <f>'1F'!BC8</f>
        <v>CR12501ANPA</v>
      </c>
      <c r="D575" s="1882"/>
      <c r="E575" s="1628" t="s">
        <v>8339</v>
      </c>
      <c r="F575" s="1882"/>
      <c r="G575" s="1882">
        <f>IF('1F'!N8="","##BLANK",'1F'!N8)</f>
        <v>5.1902375301282416E-2</v>
      </c>
    </row>
    <row r="576" spans="2:7">
      <c r="B576" s="2030" t="str">
        <f>'1F'!BC9</f>
        <v>CR12502ANPA</v>
      </c>
      <c r="D576" s="1882"/>
      <c r="E576" s="1628" t="s">
        <v>8339</v>
      </c>
      <c r="F576" s="1882"/>
      <c r="G576" s="1882">
        <f>IF('1F'!N9="","##BLANK",'1F'!N9)</f>
        <v>-1.0738422476127393E-3</v>
      </c>
    </row>
    <row r="577" spans="2:7">
      <c r="B577" s="2030" t="str">
        <f>'1F'!BC10</f>
        <v>CR12503ANPA</v>
      </c>
      <c r="D577" s="1882"/>
      <c r="E577" s="1628" t="s">
        <v>8339</v>
      </c>
      <c r="F577" s="1882"/>
      <c r="G577" s="1882">
        <f>IF('1F'!N10="","##BLANK",'1F'!N10)</f>
        <v>5.0828533053669675E-2</v>
      </c>
    </row>
    <row r="578" spans="2:7">
      <c r="B578" s="2030" t="str">
        <f>'1F'!BC11</f>
        <v>CR12504ANPA</v>
      </c>
      <c r="D578" s="1882"/>
      <c r="E578" s="1628" t="s">
        <v>8339</v>
      </c>
      <c r="F578" s="1882"/>
      <c r="G578" s="1882">
        <f>IF('1F'!N11="","##BLANK",'1F'!N11)</f>
        <v>163.053</v>
      </c>
    </row>
    <row r="579" spans="2:7">
      <c r="B579" s="2030" t="str">
        <f>'1F'!BC14</f>
        <v>CR12505ANPA</v>
      </c>
      <c r="D579" s="1882"/>
      <c r="E579" s="1628" t="s">
        <v>8339</v>
      </c>
      <c r="F579" s="1882"/>
      <c r="G579" s="1882">
        <f>IF('1F'!N14="","##BLANK",'1F'!N14)</f>
        <v>-3.6045153343910712E-3</v>
      </c>
    </row>
    <row r="580" spans="2:7">
      <c r="B580" s="2030" t="str">
        <f>'1F'!BC15</f>
        <v>CR12506ANPA</v>
      </c>
      <c r="D580" s="1882"/>
      <c r="E580" s="1628" t="s">
        <v>8339</v>
      </c>
      <c r="F580" s="1882"/>
      <c r="G580" s="1882">
        <f>IF('1F'!N15="","##BLANK",'1F'!N15)</f>
        <v>2.1545155368505472E-3</v>
      </c>
    </row>
    <row r="581" spans="2:7">
      <c r="B581" s="2030" t="str">
        <f>'1F'!BC16</f>
        <v>CR12507ANPA</v>
      </c>
      <c r="D581" s="1882"/>
      <c r="E581" s="1628" t="s">
        <v>8339</v>
      </c>
      <c r="F581" s="1882"/>
      <c r="G581" s="1882">
        <f>IF('1F'!N16="","##BLANK",'1F'!N16)</f>
        <v>0</v>
      </c>
    </row>
    <row r="582" spans="2:7">
      <c r="B582" s="2030" t="str">
        <f>'1F'!BC17</f>
        <v>CR12508ANPA</v>
      </c>
      <c r="D582" s="1882"/>
      <c r="E582" s="1628" t="s">
        <v>8339</v>
      </c>
      <c r="F582" s="1882"/>
      <c r="G582" s="1882">
        <f>IF('1F'!N17="","##BLANK",'1F'!N17)</f>
        <v>1.6191054442420564E-3</v>
      </c>
    </row>
    <row r="583" spans="2:7">
      <c r="B583" s="2030" t="str">
        <f>'1F'!BC18</f>
        <v>CR12509ANPA</v>
      </c>
      <c r="D583" s="1882"/>
      <c r="E583" s="1628" t="s">
        <v>8339</v>
      </c>
      <c r="F583" s="1882"/>
      <c r="G583" s="1882">
        <f>IF('1F'!N18="","##BLANK",'1F'!N18)</f>
        <v>-3.8085775790693823E-3</v>
      </c>
    </row>
    <row r="584" spans="2:7">
      <c r="B584" s="2030" t="str">
        <f>'1F'!BC20</f>
        <v>CR12510ANPA</v>
      </c>
      <c r="D584" s="1882"/>
      <c r="E584" s="1628" t="s">
        <v>8339</v>
      </c>
      <c r="F584" s="1882"/>
      <c r="G584" s="1882">
        <f>IF('1F'!N20="","##BLANK",'1F'!N20)</f>
        <v>4.7189061121301827E-2</v>
      </c>
    </row>
    <row r="585" spans="2:7">
      <c r="B585" s="2030" t="str">
        <f>'1F'!BC23</f>
        <v>CR12511ANPA</v>
      </c>
      <c r="D585" s="1882"/>
      <c r="E585" s="1628" t="s">
        <v>8339</v>
      </c>
      <c r="F585" s="1882"/>
      <c r="G585" s="1882">
        <f>IF('1F'!N23="","##BLANK",'1F'!N23)</f>
        <v>-3.5448596468632895E-3</v>
      </c>
    </row>
    <row r="586" spans="2:7">
      <c r="B586" s="2030" t="str">
        <f>'1F'!BC24</f>
        <v>CR12512ANPA</v>
      </c>
      <c r="D586" s="1882"/>
      <c r="E586" s="1628" t="s">
        <v>8339</v>
      </c>
      <c r="F586" s="1882"/>
      <c r="G586" s="1882">
        <f>IF('1F'!N24="","##BLANK",'1F'!N24)</f>
        <v>-6.1636400434214632E-3</v>
      </c>
    </row>
    <row r="587" spans="2:7">
      <c r="B587" s="2030" t="str">
        <f>'1F'!BC25</f>
        <v>CR12513ANPA</v>
      </c>
      <c r="D587" s="1882"/>
      <c r="E587" s="1628" t="s">
        <v>8339</v>
      </c>
      <c r="F587" s="1882"/>
      <c r="G587" s="1882">
        <f>IF('1F'!N25="","##BLANK",'1F'!N25)</f>
        <v>-3.0971524596296912E-3</v>
      </c>
    </row>
    <row r="588" spans="2:7" s="1882" customFormat="1">
      <c r="B588" s="2030" t="str">
        <f>'1F'!BC26</f>
        <v>CR12523ANPA</v>
      </c>
      <c r="C588" s="1293"/>
      <c r="E588" s="1628" t="s">
        <v>8339</v>
      </c>
      <c r="G588" s="1882">
        <f>IF('1F'!N26="","##BLANK",'1F'!N26)</f>
        <v>4.6365292266931611E-3</v>
      </c>
    </row>
    <row r="589" spans="2:7">
      <c r="B589" s="2030" t="str">
        <f>'1F'!BC27</f>
        <v>CR12514ANPA</v>
      </c>
      <c r="D589" s="1882"/>
      <c r="E589" s="1628" t="s">
        <v>8339</v>
      </c>
      <c r="F589" s="1882"/>
      <c r="G589" s="1882">
        <f>IF('1F'!N27="","##BLANK",'1F'!N27)</f>
        <v>-8.1691229232212816E-3</v>
      </c>
    </row>
    <row r="590" spans="2:7">
      <c r="B590" s="2030" t="str">
        <f>'1F'!BC29</f>
        <v>CR12516ANPA</v>
      </c>
      <c r="D590" s="1882"/>
      <c r="E590" s="1628" t="s">
        <v>8339</v>
      </c>
      <c r="F590" s="1882"/>
      <c r="G590" s="1882">
        <f>IF('1F'!N29="","##BLANK",'1F'!N29)</f>
        <v>3.9019938198080542E-2</v>
      </c>
    </row>
    <row r="591" spans="2:7">
      <c r="B591" s="2030" t="str">
        <f>'1F'!BC31</f>
        <v>CR12517ANPA</v>
      </c>
      <c r="D591" s="1882"/>
      <c r="E591" s="1628" t="s">
        <v>8339</v>
      </c>
      <c r="F591" s="1882"/>
      <c r="G591" s="1882">
        <f>IF('1F'!N31="","##BLANK",'1F'!N31)</f>
        <v>2.5159999999999998E-2</v>
      </c>
    </row>
    <row r="592" spans="2:7">
      <c r="B592" s="2030" t="str">
        <f>'1F'!BC33</f>
        <v>CR12518ANPA</v>
      </c>
      <c r="D592" s="1882"/>
      <c r="E592" s="1628" t="s">
        <v>8339</v>
      </c>
      <c r="F592" s="1882"/>
      <c r="G592" s="1882">
        <f>IF('1F'!N33="","##BLANK",'1F'!N33)</f>
        <v>6.4179938198080544E-2</v>
      </c>
    </row>
    <row r="593" spans="2:7">
      <c r="B593" s="2030" t="str">
        <f>'1F'!BC35</f>
        <v>CR12522ANPA</v>
      </c>
      <c r="D593" s="1882"/>
      <c r="E593" s="1628" t="s">
        <v>8339</v>
      </c>
      <c r="F593" s="1882"/>
      <c r="G593" s="1882">
        <f>IF('1F'!N35="","##BLANK",'1F'!N35)</f>
        <v>1.1658851929288536E-2</v>
      </c>
    </row>
    <row r="594" spans="2:7">
      <c r="B594" s="2030" t="str">
        <f>'1F'!BC37</f>
        <v>CR12519ANPA</v>
      </c>
      <c r="D594" s="1882"/>
      <c r="E594" s="1628" t="s">
        <v>8339</v>
      </c>
      <c r="F594" s="1882"/>
      <c r="G594" s="1882">
        <f>IF('1F'!N37="","##BLANK",'1F'!N37)</f>
        <v>5.2521086268792011E-2</v>
      </c>
    </row>
    <row r="595" spans="2:7">
      <c r="B595" s="2030" t="str">
        <f>'1F'!BC40</f>
        <v>CR12520ANPA</v>
      </c>
      <c r="D595" s="1882"/>
      <c r="E595" s="1628" t="s">
        <v>8339</v>
      </c>
      <c r="F595" s="1882"/>
      <c r="G595" s="1882">
        <f>IF('1F'!N40="","##BLANK",'1F'!N40)</f>
        <v>3.373503810064836E-2</v>
      </c>
    </row>
    <row r="596" spans="2:7">
      <c r="B596" s="2030" t="str">
        <f>'1F'!BC41</f>
        <v>CR12521ANPA</v>
      </c>
      <c r="D596" s="1882"/>
      <c r="E596" s="1628" t="s">
        <v>8339</v>
      </c>
      <c r="F596" s="1882"/>
      <c r="G596" s="1882">
        <f>IF('1F'!N41="","##BLANK",'1F'!N41)</f>
        <v>2.2076186171359823E-2</v>
      </c>
    </row>
    <row r="597" spans="2:7">
      <c r="B597" s="2030" t="str">
        <f>'1F'!BD8</f>
        <v>CR12501AAPA</v>
      </c>
      <c r="D597" s="1882"/>
      <c r="E597" s="1628" t="s">
        <v>8339</v>
      </c>
      <c r="F597" s="1882"/>
      <c r="G597" s="1882">
        <f>IF('1F'!O8="","##BLANK",'1F'!O8)</f>
        <v>5.800000000000001E-2</v>
      </c>
    </row>
    <row r="598" spans="2:7">
      <c r="B598" s="2030" t="str">
        <f>'1F'!BD9</f>
        <v>CR12502AAPA</v>
      </c>
      <c r="D598" s="1882"/>
      <c r="E598" s="1628" t="s">
        <v>8339</v>
      </c>
      <c r="F598" s="1882"/>
      <c r="G598" s="1882">
        <f>IF('1F'!O9="","##BLANK",'1F'!O9)</f>
        <v>-1.1999999999999999E-3</v>
      </c>
    </row>
    <row r="599" spans="2:7">
      <c r="B599" s="2030" t="str">
        <f>'1F'!BD10</f>
        <v>CR12503AAPA</v>
      </c>
      <c r="D599" s="1882"/>
      <c r="E599" s="1628" t="s">
        <v>8339</v>
      </c>
      <c r="F599" s="1882"/>
      <c r="G599" s="1882">
        <f>IF('1F'!O10="","##BLANK",'1F'!O10)</f>
        <v>5.680000000000001E-2</v>
      </c>
    </row>
    <row r="600" spans="2:7">
      <c r="B600" s="2030" t="str">
        <f>'1F'!BD11</f>
        <v>CR12504AAPA</v>
      </c>
      <c r="D600" s="1882"/>
      <c r="E600" s="1628" t="s">
        <v>8339</v>
      </c>
      <c r="F600" s="1882"/>
      <c r="G600" s="1882">
        <f>IF('1F'!O11="","##BLANK",'1F'!O11)</f>
        <v>145.911</v>
      </c>
    </row>
    <row r="601" spans="2:7">
      <c r="B601" s="2030" t="str">
        <f>'1F'!BD14</f>
        <v>CR12505AAPA</v>
      </c>
      <c r="D601" s="1882"/>
      <c r="E601" s="1628" t="s">
        <v>8339</v>
      </c>
      <c r="F601" s="1882"/>
      <c r="G601" s="1882">
        <f>IF('1F'!O14="","##BLANK",'1F'!O14)</f>
        <v>-3.6045153343910712E-3</v>
      </c>
    </row>
    <row r="602" spans="2:7">
      <c r="B602" s="2030" t="str">
        <f>'1F'!BD15</f>
        <v>CR12506AAPA</v>
      </c>
      <c r="D602" s="1882"/>
      <c r="E602" s="1628" t="s">
        <v>8339</v>
      </c>
      <c r="F602" s="1882"/>
      <c r="G602" s="1882">
        <f>IF('1F'!O15="","##BLANK",'1F'!O15)</f>
        <v>2.4076335699850749E-3</v>
      </c>
    </row>
    <row r="603" spans="2:7">
      <c r="B603" s="2030" t="str">
        <f>'1F'!BD16</f>
        <v>CR12507AAPA</v>
      </c>
      <c r="D603" s="1882"/>
      <c r="E603" s="1628" t="s">
        <v>8339</v>
      </c>
      <c r="F603" s="1882"/>
      <c r="G603" s="1882">
        <f>IF('1F'!O16="","##BLANK",'1F'!O16)</f>
        <v>0</v>
      </c>
    </row>
    <row r="604" spans="2:7">
      <c r="B604" s="2030" t="str">
        <f>'1F'!BD17</f>
        <v>CR12508AAPA</v>
      </c>
      <c r="D604" s="1882"/>
      <c r="E604" s="1628" t="s">
        <v>8339</v>
      </c>
      <c r="F604" s="1882"/>
      <c r="G604" s="1882">
        <f>IF('1F'!O17="","##BLANK",'1F'!O17)</f>
        <v>1.548889391478367E-3</v>
      </c>
    </row>
    <row r="605" spans="2:7">
      <c r="B605" s="2030" t="str">
        <f>'1F'!BD18</f>
        <v>CR12509AAPA</v>
      </c>
      <c r="D605" s="1882"/>
      <c r="E605" s="1628" t="s">
        <v>8339</v>
      </c>
      <c r="F605" s="1882"/>
      <c r="G605" s="1882">
        <f>IF('1F'!O18="","##BLANK",'1F'!O18)</f>
        <v>-4.2560190801241848E-3</v>
      </c>
    </row>
    <row r="606" spans="2:7">
      <c r="B606" s="2030" t="str">
        <f>'1F'!BD20</f>
        <v>CR12510AAPA</v>
      </c>
      <c r="D606" s="1882"/>
      <c r="E606" s="1628" t="s">
        <v>8339</v>
      </c>
      <c r="F606" s="1882"/>
      <c r="G606" s="1882">
        <f>IF('1F'!O20="","##BLANK",'1F'!O20)</f>
        <v>5.2895988546948193E-2</v>
      </c>
    </row>
    <row r="607" spans="2:7">
      <c r="B607" s="2030" t="str">
        <f>'1F'!BD23</f>
        <v>CR12511AAPA</v>
      </c>
      <c r="D607" s="1882"/>
      <c r="E607" s="1628" t="s">
        <v>8339</v>
      </c>
      <c r="F607" s="1882"/>
      <c r="G607" s="1882">
        <f>IF('1F'!O23="","##BLANK",'1F'!O23)</f>
        <v>-3.961318886170336E-3</v>
      </c>
    </row>
    <row r="608" spans="2:7">
      <c r="B608" s="2030" t="str">
        <f>'1F'!BD24</f>
        <v>CR12512AAPA</v>
      </c>
      <c r="D608" s="1882"/>
      <c r="E608" s="1628" t="s">
        <v>8339</v>
      </c>
      <c r="F608" s="1882"/>
      <c r="G608" s="1882">
        <f>IF('1F'!O24="","##BLANK",'1F'!O24)</f>
        <v>-6.8877603470608789E-3</v>
      </c>
    </row>
    <row r="609" spans="2:7">
      <c r="B609" s="2030" t="str">
        <f>'1F'!BD25</f>
        <v>CR12513AAPA</v>
      </c>
      <c r="D609" s="1882"/>
      <c r="E609" s="1628" t="s">
        <v>8339</v>
      </c>
      <c r="F609" s="1882"/>
      <c r="G609" s="1882">
        <f>IF('1F'!O25="","##BLANK",'1F'!O25)</f>
        <v>-3.4610139057370589E-3</v>
      </c>
    </row>
    <row r="610" spans="2:7" s="1882" customFormat="1">
      <c r="B610" s="2030" t="str">
        <f>'1F'!BD26</f>
        <v>CR12523AAPA</v>
      </c>
      <c r="C610" s="1293"/>
      <c r="E610" s="1628" t="s">
        <v>8339</v>
      </c>
      <c r="G610" s="1882">
        <f>IF('1F'!O26="","##BLANK",'1F'!O26)</f>
        <v>5.1812406192816166E-3</v>
      </c>
    </row>
    <row r="611" spans="2:7">
      <c r="B611" s="2030" t="str">
        <f>'1F'!BD27</f>
        <v>CR12514AAPA</v>
      </c>
      <c r="D611" s="1882"/>
      <c r="E611" s="1628" t="s">
        <v>8339</v>
      </c>
      <c r="F611" s="1882"/>
      <c r="G611" s="1882">
        <f>IF('1F'!O27="","##BLANK",'1F'!O27)</f>
        <v>-9.1288525196866581E-3</v>
      </c>
    </row>
    <row r="612" spans="2:7">
      <c r="B612" s="2030" t="str">
        <f>'1F'!BD29</f>
        <v>CR12516AAPA</v>
      </c>
      <c r="D612" s="1882"/>
      <c r="E612" s="1628" t="s">
        <v>8339</v>
      </c>
      <c r="F612" s="1882"/>
      <c r="G612" s="1882">
        <f>IF('1F'!O29="","##BLANK",'1F'!O29)</f>
        <v>4.3767136027261538E-2</v>
      </c>
    </row>
    <row r="613" spans="2:7">
      <c r="B613" s="2030" t="str">
        <f>'1F'!BD31</f>
        <v>CR12517AAPA</v>
      </c>
      <c r="D613" s="1882"/>
      <c r="E613" s="1628" t="s">
        <v>8339</v>
      </c>
      <c r="F613" s="1882"/>
      <c r="G613" s="1882">
        <f>IF('1F'!O31="","##BLANK",'1F'!O31)</f>
        <v>2.5159999999999998E-2</v>
      </c>
    </row>
    <row r="614" spans="2:7">
      <c r="B614" s="2030" t="str">
        <f>'1F'!BD33</f>
        <v>CR12518AAPA</v>
      </c>
      <c r="D614" s="1882"/>
      <c r="E614" s="1628" t="s">
        <v>8339</v>
      </c>
      <c r="F614" s="1882"/>
      <c r="G614" s="1882">
        <f>IF('1F'!O33="","##BLANK",'1F'!O33)</f>
        <v>6.892713602726154E-2</v>
      </c>
    </row>
    <row r="615" spans="2:7">
      <c r="B615" s="2030" t="str">
        <f>'1F'!BD35</f>
        <v>CR12522AAPA</v>
      </c>
      <c r="D615" s="1882"/>
      <c r="E615" s="1628" t="s">
        <v>8339</v>
      </c>
      <c r="F615" s="1882"/>
      <c r="G615" s="1882">
        <f>IF('1F'!O35="","##BLANK",'1F'!O35)</f>
        <v>1.302856387541915E-2</v>
      </c>
    </row>
    <row r="616" spans="2:7">
      <c r="B616" s="2030" t="str">
        <f>'1F'!BD37</f>
        <v>CR12519AAPA</v>
      </c>
      <c r="D616" s="1882"/>
      <c r="E616" s="1628" t="s">
        <v>8339</v>
      </c>
      <c r="F616" s="1882"/>
      <c r="G616" s="1882">
        <f>IF('1F'!O37="","##BLANK",'1F'!O37)</f>
        <v>5.5898572151842393E-2</v>
      </c>
    </row>
    <row r="617" spans="2:7">
      <c r="B617" s="2030" t="str">
        <f>'1F'!BD40</f>
        <v>CR12520AAPA</v>
      </c>
      <c r="D617" s="1882"/>
      <c r="E617" s="1628" t="s">
        <v>8339</v>
      </c>
      <c r="F617" s="1882"/>
      <c r="G617" s="1882">
        <f>IF('1F'!O40="","##BLANK",'1F'!O40)</f>
        <v>3.7698317244244897E-2</v>
      </c>
    </row>
    <row r="618" spans="2:7">
      <c r="B618" s="2030" t="str">
        <f>'1F'!BD41</f>
        <v>CR12521AAPA</v>
      </c>
      <c r="D618" s="1882"/>
      <c r="E618" s="1628" t="s">
        <v>8339</v>
      </c>
      <c r="F618" s="1882"/>
      <c r="G618" s="1882">
        <f>IF('1F'!O41="","##BLANK",'1F'!O41)</f>
        <v>2.4669753368825747E-2</v>
      </c>
    </row>
    <row r="619" spans="2:7">
      <c r="B619" s="2030" t="str">
        <f>'1F'!BE8</f>
        <v>CR12501NNVA</v>
      </c>
      <c r="D619" s="1882"/>
      <c r="E619" s="1628" t="s">
        <v>8339</v>
      </c>
      <c r="F619" s="1882"/>
      <c r="G619" s="1882">
        <f>IF('1F'!P8="","##BLANK",'1F'!P8)</f>
        <v>9.4570740000000022</v>
      </c>
    </row>
    <row r="620" spans="2:7">
      <c r="B620" s="2030" t="str">
        <f>'1F'!BE9</f>
        <v>CR12502NNVA</v>
      </c>
      <c r="D620" s="1882"/>
      <c r="E620" s="1628" t="s">
        <v>8339</v>
      </c>
      <c r="F620" s="1882"/>
      <c r="G620" s="1882">
        <f>IF('1F'!P9="","##BLANK",'1F'!P9)</f>
        <v>-0.19566359999999999</v>
      </c>
    </row>
    <row r="621" spans="2:7">
      <c r="B621" s="2030" t="str">
        <f>'1F'!BE10</f>
        <v>CR12503NNVA</v>
      </c>
      <c r="D621" s="1882"/>
      <c r="E621" s="1628" t="s">
        <v>8339</v>
      </c>
      <c r="F621" s="1882"/>
      <c r="G621" s="1882">
        <f>IF('1F'!P10="","##BLANK",'1F'!P10)</f>
        <v>9.2614104000000026</v>
      </c>
    </row>
    <row r="622" spans="2:7">
      <c r="B622" s="2030" t="str">
        <f>'1F'!BE14</f>
        <v>CR12505NNVA</v>
      </c>
      <c r="D622" s="1882"/>
      <c r="E622" s="1628" t="s">
        <v>8339</v>
      </c>
      <c r="F622" s="1882"/>
      <c r="G622" s="1882">
        <f>IF('1F'!P14="","##BLANK",'1F'!P14)</f>
        <v>0</v>
      </c>
    </row>
    <row r="623" spans="2:7">
      <c r="B623" s="2030" t="str">
        <f>'1F'!BE15</f>
        <v>CR12506NNVA</v>
      </c>
      <c r="D623" s="1882"/>
      <c r="E623" s="1628" t="s">
        <v>8339</v>
      </c>
      <c r="F623" s="1882"/>
      <c r="G623" s="1882">
        <f>IF('1F'!P15="","##BLANK",'1F'!P15)</f>
        <v>0</v>
      </c>
    </row>
    <row r="624" spans="2:7">
      <c r="B624" s="2030" t="str">
        <f>'1F'!BE16</f>
        <v>CR12507NNVA</v>
      </c>
      <c r="D624" s="1882"/>
      <c r="E624" s="1628" t="s">
        <v>8339</v>
      </c>
      <c r="F624" s="1882"/>
      <c r="G624" s="1882">
        <f>IF('1F'!P16="","##BLANK",'1F'!P16)</f>
        <v>0</v>
      </c>
    </row>
    <row r="625" spans="2:7">
      <c r="B625" s="2030" t="str">
        <f>'1F'!BE17</f>
        <v>CR12508NNVA</v>
      </c>
      <c r="D625" s="1882"/>
      <c r="E625" s="1628" t="s">
        <v>8339</v>
      </c>
      <c r="F625" s="1882"/>
      <c r="G625" s="1882">
        <f>IF('1F'!P17="","##BLANK",'1F'!P17)</f>
        <v>0</v>
      </c>
    </row>
    <row r="626" spans="2:7">
      <c r="B626" s="2030" t="str">
        <f>'1F'!BE18</f>
        <v>CR12509NNVA</v>
      </c>
      <c r="D626" s="1882"/>
      <c r="E626" s="1628" t="s">
        <v>8339</v>
      </c>
      <c r="F626" s="1882"/>
      <c r="G626" s="1882">
        <f>IF('1F'!P18="","##BLANK",'1F'!P18)</f>
        <v>0</v>
      </c>
    </row>
    <row r="627" spans="2:7">
      <c r="B627" s="2030" t="str">
        <f>'1F'!BE20</f>
        <v>CR12510NNVA</v>
      </c>
      <c r="D627" s="1882"/>
      <c r="E627" s="1628" t="s">
        <v>8339</v>
      </c>
      <c r="F627" s="1882"/>
      <c r="G627" s="1882">
        <f>IF('1F'!P20="","##BLANK",'1F'!P20)</f>
        <v>9.2614104000000026</v>
      </c>
    </row>
    <row r="628" spans="2:7">
      <c r="B628" s="2030" t="str">
        <f>'1F'!BE23</f>
        <v>CR12511NNVA</v>
      </c>
      <c r="D628" s="1882"/>
      <c r="E628" s="1628" t="s">
        <v>8339</v>
      </c>
      <c r="F628" s="1882"/>
      <c r="G628" s="1882">
        <f>IF('1F'!P23="","##BLANK",'1F'!P23)</f>
        <v>0</v>
      </c>
    </row>
    <row r="629" spans="2:7">
      <c r="B629" s="2030" t="str">
        <f>'1F'!BE24</f>
        <v>CR12512NNVA</v>
      </c>
      <c r="D629" s="1882"/>
      <c r="E629" s="1628" t="s">
        <v>8339</v>
      </c>
      <c r="F629" s="1882"/>
      <c r="G629" s="1882">
        <f>IF('1F'!P24="","##BLANK",'1F'!P24)</f>
        <v>0</v>
      </c>
    </row>
    <row r="630" spans="2:7">
      <c r="B630" s="2030" t="str">
        <f>'1F'!BE25</f>
        <v>CR12513NNVA</v>
      </c>
      <c r="D630" s="1882"/>
      <c r="E630" s="1628" t="s">
        <v>8339</v>
      </c>
      <c r="F630" s="1882"/>
      <c r="G630" s="1882">
        <f>IF('1F'!P25="","##BLANK",'1F'!P25)</f>
        <v>0</v>
      </c>
    </row>
    <row r="631" spans="2:7" s="1882" customFormat="1">
      <c r="B631" s="2030" t="str">
        <f>'1F'!BE26</f>
        <v>CR12523NNVA</v>
      </c>
      <c r="C631" s="1293"/>
      <c r="E631" s="1628" t="s">
        <v>8339</v>
      </c>
      <c r="G631" s="1882">
        <f>IF('1F'!P26="","##BLANK",'1F'!P26)</f>
        <v>0</v>
      </c>
    </row>
    <row r="632" spans="2:7">
      <c r="B632" s="2030" t="str">
        <f>'1F'!BE27</f>
        <v>CR12514NNVA</v>
      </c>
      <c r="D632" s="1882"/>
      <c r="E632" s="1628" t="s">
        <v>8339</v>
      </c>
      <c r="F632" s="1882"/>
      <c r="G632" s="1882">
        <f>IF('1F'!P27="","##BLANK",'1F'!P27)</f>
        <v>0</v>
      </c>
    </row>
    <row r="633" spans="2:7">
      <c r="B633" s="2030" t="str">
        <f>'1F'!BE29</f>
        <v>CR12516NNVA</v>
      </c>
      <c r="D633" s="1882"/>
      <c r="E633" s="1628" t="s">
        <v>8339</v>
      </c>
      <c r="F633" s="1882"/>
      <c r="G633" s="1882">
        <f>IF('1F'!P29="","##BLANK",'1F'!P29)</f>
        <v>9.2614104000000026</v>
      </c>
    </row>
    <row r="634" spans="2:7">
      <c r="B634" s="2030" t="str">
        <f>'1F'!BE31</f>
        <v>CR12517NNVA</v>
      </c>
      <c r="D634" s="1882"/>
      <c r="E634" s="1628" t="s">
        <v>8339</v>
      </c>
      <c r="F634" s="1882"/>
      <c r="G634" s="1882">
        <f>IF('1F'!P31="","##BLANK",'1F'!P31)</f>
        <v>4.1024134800000001</v>
      </c>
    </row>
    <row r="635" spans="2:7">
      <c r="B635" s="2030" t="str">
        <f>'1F'!BE33</f>
        <v>CR12518NNVA</v>
      </c>
      <c r="D635" s="1882"/>
      <c r="E635" s="1628" t="s">
        <v>8339</v>
      </c>
      <c r="F635" s="1882"/>
      <c r="G635" s="1882">
        <f>IF('1F'!P33="","##BLANK",'1F'!P33)</f>
        <v>13.363823880000002</v>
      </c>
    </row>
    <row r="636" spans="2:7">
      <c r="B636" s="2030" t="str">
        <f>'1F'!BE35</f>
        <v>CR12522NNVA</v>
      </c>
      <c r="D636" s="1882"/>
      <c r="E636" s="1628" t="s">
        <v>8339</v>
      </c>
      <c r="F636" s="1882"/>
      <c r="G636" s="1882">
        <f>IF('1F'!P35="","##BLANK",'1F'!P35)</f>
        <v>6.5221200000000001</v>
      </c>
    </row>
    <row r="637" spans="2:7">
      <c r="B637" s="2030" t="str">
        <f>'1F'!BE37</f>
        <v>CR12519NNVA</v>
      </c>
      <c r="D637" s="1882"/>
      <c r="E637" s="1628" t="s">
        <v>8339</v>
      </c>
      <c r="F637" s="1882"/>
      <c r="G637" s="1882">
        <f>IF('1F'!P37="","##BLANK",'1F'!P37)</f>
        <v>6.8417038800000016</v>
      </c>
    </row>
    <row r="638" spans="2:7">
      <c r="B638" s="2030" t="str">
        <f>'1F'!BE40</f>
        <v>CR12520NNVA</v>
      </c>
      <c r="D638" s="1882"/>
      <c r="E638" s="1628" t="s">
        <v>8339</v>
      </c>
      <c r="F638" s="1882"/>
      <c r="G638" s="1882">
        <f>IF('1F'!P40="","##BLANK",'1F'!P40)</f>
        <v>6.5221200000000001</v>
      </c>
    </row>
    <row r="639" spans="2:7">
      <c r="B639" s="2030" t="str">
        <f>'1F'!BE41</f>
        <v>CR12521NNVA</v>
      </c>
      <c r="D639" s="1882"/>
      <c r="E639" s="1628" t="s">
        <v>8339</v>
      </c>
      <c r="F639" s="1882"/>
      <c r="G639" s="1882">
        <f>IF('1F'!P41="","##BLANK",'1F'!P41)</f>
        <v>0</v>
      </c>
    </row>
    <row r="640" spans="2:7">
      <c r="B640" s="2030" t="str">
        <f>'1F'!BF8</f>
        <v>CR12501ANVA</v>
      </c>
      <c r="D640" s="1882"/>
      <c r="E640" s="1628" t="s">
        <v>8339</v>
      </c>
      <c r="F640" s="1882"/>
      <c r="G640" s="1882">
        <f>IF('1F'!Q8="","##BLANK",'1F'!Q8)</f>
        <v>8.4628380000000014</v>
      </c>
    </row>
    <row r="641" spans="2:7">
      <c r="B641" s="2030" t="str">
        <f>'1F'!BF9</f>
        <v>CR12502ANVA</v>
      </c>
      <c r="D641" s="1882"/>
      <c r="E641" s="1628" t="s">
        <v>8339</v>
      </c>
      <c r="F641" s="1882"/>
      <c r="G641" s="1882">
        <f>IF('1F'!Q9="","##BLANK",'1F'!Q9)</f>
        <v>-0.17509319999999998</v>
      </c>
    </row>
    <row r="642" spans="2:7">
      <c r="B642" s="2030" t="str">
        <f>'1F'!BF10</f>
        <v>CR12503ANVA</v>
      </c>
      <c r="D642" s="1882"/>
      <c r="E642" s="1628" t="s">
        <v>8339</v>
      </c>
      <c r="F642" s="1882"/>
      <c r="G642" s="1882">
        <f>IF('1F'!Q10="","##BLANK",'1F'!Q10)</f>
        <v>8.2877448000000022</v>
      </c>
    </row>
    <row r="643" spans="2:7">
      <c r="B643" s="2030" t="str">
        <f>'1F'!BF14</f>
        <v>CR12505ANVA</v>
      </c>
      <c r="D643" s="1882"/>
      <c r="E643" s="1628" t="s">
        <v>8339</v>
      </c>
      <c r="F643" s="1882"/>
      <c r="G643" s="1882">
        <f>IF('1F'!Q14="","##BLANK",'1F'!Q14)</f>
        <v>-0.52593843695633558</v>
      </c>
    </row>
    <row r="644" spans="2:7">
      <c r="B644" s="2030" t="str">
        <f>'1F'!BF15</f>
        <v>CR12506ANVA</v>
      </c>
      <c r="D644" s="1882"/>
      <c r="E644" s="1628" t="s">
        <v>8339</v>
      </c>
      <c r="F644" s="1882"/>
      <c r="G644" s="1882">
        <f>IF('1F'!Q15="","##BLANK",'1F'!Q15)</f>
        <v>0.3513002218300923</v>
      </c>
    </row>
    <row r="645" spans="2:7">
      <c r="B645" s="2030" t="str">
        <f>'1F'!BF16</f>
        <v>CR12507ANVA</v>
      </c>
      <c r="D645" s="1882"/>
      <c r="E645" s="1628" t="s">
        <v>8339</v>
      </c>
      <c r="F645" s="1882"/>
      <c r="G645" s="1882">
        <f>IF('1F'!Q16="","##BLANK",'1F'!Q16)</f>
        <v>0</v>
      </c>
    </row>
    <row r="646" spans="2:7">
      <c r="B646" s="2030" t="str">
        <f>'1F'!BF17</f>
        <v>CR12508ANVA</v>
      </c>
      <c r="D646" s="1882"/>
      <c r="E646" s="1628" t="s">
        <v>8339</v>
      </c>
      <c r="F646" s="1882"/>
      <c r="G646" s="1882">
        <f>IF('1F'!Q17="","##BLANK",'1F'!Q17)</f>
        <v>0.26400000000000001</v>
      </c>
    </row>
    <row r="647" spans="2:7">
      <c r="B647" s="2030" t="str">
        <f>'1F'!BF18</f>
        <v>CR12509ANVA</v>
      </c>
      <c r="D647" s="1882"/>
      <c r="E647" s="1628" t="s">
        <v>8339</v>
      </c>
      <c r="F647" s="1882"/>
      <c r="G647" s="1882">
        <f>IF('1F'!Q18="","##BLANK",'1F'!Q18)</f>
        <v>-0.621</v>
      </c>
    </row>
    <row r="648" spans="2:7">
      <c r="B648" s="2030" t="str">
        <f>'1F'!BF20</f>
        <v>CR12510ANVA</v>
      </c>
      <c r="D648" s="1882"/>
      <c r="E648" s="1628" t="s">
        <v>8339</v>
      </c>
      <c r="F648" s="1882"/>
      <c r="G648" s="1882">
        <f>IF('1F'!Q20="","##BLANK",'1F'!Q20)</f>
        <v>7.7561065848737591</v>
      </c>
    </row>
    <row r="649" spans="2:7">
      <c r="B649" s="2030" t="str">
        <f>'1F'!BF23</f>
        <v>CR12511ANVA</v>
      </c>
      <c r="D649" s="1882"/>
      <c r="E649" s="1628" t="s">
        <v>8339</v>
      </c>
      <c r="F649" s="1882"/>
      <c r="G649" s="1882">
        <f>IF('1F'!Q23="","##BLANK",'1F'!Q23)</f>
        <v>-0.57799999999999996</v>
      </c>
    </row>
    <row r="650" spans="2:7">
      <c r="B650" s="2030" t="str">
        <f>'1F'!BF24</f>
        <v>CR12512ANVA</v>
      </c>
      <c r="D650" s="1882"/>
      <c r="E650" s="1628" t="s">
        <v>8339</v>
      </c>
      <c r="F650" s="1882"/>
      <c r="G650" s="1882">
        <f>IF('1F'!Q24="","##BLANK",'1F'!Q24)</f>
        <v>-1.0049999999999999</v>
      </c>
    </row>
    <row r="651" spans="2:7">
      <c r="B651" s="2030" t="str">
        <f>'1F'!BF25</f>
        <v>CR12513ANVA</v>
      </c>
      <c r="D651" s="1882"/>
      <c r="E651" s="1628" t="s">
        <v>8339</v>
      </c>
      <c r="F651" s="1882"/>
      <c r="G651" s="1882">
        <f>IF('1F'!Q25="","##BLANK",'1F'!Q25)</f>
        <v>-0.505</v>
      </c>
    </row>
    <row r="652" spans="2:7" s="1882" customFormat="1">
      <c r="B652" s="2030" t="str">
        <f>'1F'!BF26</f>
        <v>CR12523ANVA</v>
      </c>
      <c r="C652" s="1293"/>
      <c r="E652" s="1628" t="s">
        <v>8339</v>
      </c>
      <c r="G652" s="1882">
        <f>IF('1F'!Q26="","##BLANK",'1F'!Q26)</f>
        <v>0.75600000000000001</v>
      </c>
    </row>
    <row r="653" spans="2:7">
      <c r="B653" s="2030" t="str">
        <f>'1F'!BF27</f>
        <v>CR12514ANVA</v>
      </c>
      <c r="D653" s="1882"/>
      <c r="E653" s="1628" t="s">
        <v>8339</v>
      </c>
      <c r="F653" s="1882"/>
      <c r="G653" s="1882">
        <f>IF('1F'!Q27="","##BLANK",'1F'!Q27)</f>
        <v>-1.3319999999999996</v>
      </c>
    </row>
    <row r="654" spans="2:7">
      <c r="B654" s="2030" t="str">
        <f>'1F'!BF29</f>
        <v>CR12516ANVA</v>
      </c>
      <c r="D654" s="1882"/>
      <c r="E654" s="1628" t="s">
        <v>8339</v>
      </c>
      <c r="F654" s="1882"/>
      <c r="G654" s="1882">
        <f>IF('1F'!Q29="","##BLANK",'1F'!Q29)</f>
        <v>6.4241065848737593</v>
      </c>
    </row>
    <row r="655" spans="2:7">
      <c r="B655" s="2030" t="str">
        <f>'1F'!BF31</f>
        <v>CR12517ANVA</v>
      </c>
      <c r="D655" s="1882"/>
      <c r="E655" s="1628" t="s">
        <v>8339</v>
      </c>
      <c r="F655" s="1882"/>
      <c r="G655" s="1882">
        <f>IF('1F'!Q31="","##BLANK",'1F'!Q31)</f>
        <v>4.1024134800000001</v>
      </c>
    </row>
    <row r="656" spans="2:7">
      <c r="B656" s="2030" t="str">
        <f>'1F'!BF33</f>
        <v>CR12518ANVA</v>
      </c>
      <c r="D656" s="1882"/>
      <c r="E656" s="1628" t="s">
        <v>8339</v>
      </c>
      <c r="F656" s="1882"/>
      <c r="G656" s="1882">
        <f>IF('1F'!Q33="","##BLANK",'1F'!Q33)</f>
        <v>10.526520064873759</v>
      </c>
    </row>
    <row r="657" spans="2:7">
      <c r="B657" s="2030" t="str">
        <f>'1F'!BF35</f>
        <v>CR12522ANVA</v>
      </c>
      <c r="D657" s="1882"/>
      <c r="E657" s="1628" t="s">
        <v>8339</v>
      </c>
      <c r="F657" s="1882"/>
      <c r="G657" s="1882">
        <f>IF('1F'!Q35="","##BLANK",'1F'!Q35)</f>
        <v>1.9010107836262837</v>
      </c>
    </row>
    <row r="658" spans="2:7">
      <c r="B658" s="2030" t="str">
        <f>'1F'!BF37</f>
        <v>CR12519ANVA</v>
      </c>
      <c r="D658" s="1882"/>
      <c r="E658" s="1628" t="s">
        <v>8339</v>
      </c>
      <c r="F658" s="1882"/>
      <c r="G658" s="1882">
        <f>IF('1F'!Q37="","##BLANK",'1F'!Q37)</f>
        <v>8.6255092812474761</v>
      </c>
    </row>
    <row r="659" spans="2:7">
      <c r="B659" s="2030" t="str">
        <f>'1F'!BF40</f>
        <v>CR12520ANVA</v>
      </c>
      <c r="D659" s="1882"/>
      <c r="E659" s="1628" t="s">
        <v>8339</v>
      </c>
      <c r="F659" s="1882"/>
      <c r="G659" s="1882">
        <f>IF('1F'!Q40="","##BLANK",'1F'!Q40)</f>
        <v>5.5005991674250172</v>
      </c>
    </row>
    <row r="660" spans="2:7">
      <c r="B660" s="2030" t="str">
        <f>'1F'!BF41</f>
        <v>CR12521ANVA</v>
      </c>
      <c r="D660" s="1882"/>
      <c r="E660" s="1628" t="s">
        <v>8339</v>
      </c>
      <c r="F660" s="1882"/>
      <c r="G660" s="1882">
        <f>IF('1F'!Q41="","##BLANK",'1F'!Q41)</f>
        <v>3.5995883837987335</v>
      </c>
    </row>
    <row r="661" spans="2:7">
      <c r="B661" s="2030" t="str">
        <f>'1F'!BG8</f>
        <v>CR12501AAVA</v>
      </c>
      <c r="D661" s="1882"/>
      <c r="E661" s="1628" t="s">
        <v>8339</v>
      </c>
      <c r="F661" s="1882"/>
      <c r="G661" s="1882">
        <f>IF('1F'!R8="","##BLANK",'1F'!R8)</f>
        <v>8.4628380000000014</v>
      </c>
    </row>
    <row r="662" spans="2:7">
      <c r="B662" s="2030" t="str">
        <f>'1F'!BG9</f>
        <v>CR12502AAVA</v>
      </c>
      <c r="D662" s="1882"/>
      <c r="E662" s="1628" t="s">
        <v>8339</v>
      </c>
      <c r="F662" s="1882"/>
      <c r="G662" s="1882">
        <f>IF('1F'!R9="","##BLANK",'1F'!R9)</f>
        <v>-0.17509319999999998</v>
      </c>
    </row>
    <row r="663" spans="2:7">
      <c r="B663" s="2030" t="str">
        <f>'1F'!BG10</f>
        <v>CR12503AAVA</v>
      </c>
      <c r="D663" s="1882"/>
      <c r="E663" s="1628" t="s">
        <v>8339</v>
      </c>
      <c r="F663" s="1882"/>
      <c r="G663" s="1882">
        <f>IF('1F'!R10="","##BLANK",'1F'!R10)</f>
        <v>8.2877448000000022</v>
      </c>
    </row>
    <row r="664" spans="2:7">
      <c r="B664" s="2030" t="str">
        <f>'1F'!BG14</f>
        <v>CR12505AAVA</v>
      </c>
      <c r="D664" s="1882"/>
      <c r="E664" s="1628" t="s">
        <v>8339</v>
      </c>
      <c r="F664" s="1882"/>
      <c r="G664" s="1882">
        <f>IF('1F'!R14="","##BLANK",'1F'!R14)</f>
        <v>-0.52593843695633558</v>
      </c>
    </row>
    <row r="665" spans="2:7">
      <c r="B665" s="2030" t="str">
        <f>'1F'!BG15</f>
        <v>CR12506AAVA</v>
      </c>
      <c r="D665" s="1882"/>
      <c r="E665" s="1628" t="s">
        <v>8339</v>
      </c>
      <c r="F665" s="1882"/>
      <c r="G665" s="1882">
        <f>IF('1F'!R15="","##BLANK",'1F'!R15)</f>
        <v>0.3513002218300923</v>
      </c>
    </row>
    <row r="666" spans="2:7">
      <c r="B666" s="2030" t="str">
        <f>'1F'!BG16</f>
        <v>CR12507AAVA</v>
      </c>
      <c r="D666" s="1882"/>
      <c r="E666" s="1628" t="s">
        <v>8339</v>
      </c>
      <c r="F666" s="1882"/>
      <c r="G666" s="1882">
        <f>IF('1F'!R16="","##BLANK",'1F'!R16)</f>
        <v>0</v>
      </c>
    </row>
    <row r="667" spans="2:7">
      <c r="B667" s="2030" t="str">
        <f>'1F'!BG17</f>
        <v>CR12508AAVA</v>
      </c>
      <c r="D667" s="1882"/>
      <c r="E667" s="1628" t="s">
        <v>8339</v>
      </c>
      <c r="F667" s="1882"/>
      <c r="G667" s="1882">
        <f>IF('1F'!R17="","##BLANK",'1F'!R17)</f>
        <v>0.22600000000000001</v>
      </c>
    </row>
    <row r="668" spans="2:7">
      <c r="B668" s="2030" t="str">
        <f>'1F'!BG18</f>
        <v>CR12509AAVA</v>
      </c>
      <c r="D668" s="1882"/>
      <c r="E668" s="1628" t="s">
        <v>8339</v>
      </c>
      <c r="F668" s="1882"/>
      <c r="G668" s="1882">
        <f>IF('1F'!R18="","##BLANK",'1F'!R18)</f>
        <v>-0.621</v>
      </c>
    </row>
    <row r="669" spans="2:7">
      <c r="B669" s="2030" t="str">
        <f>'1F'!BG20</f>
        <v>CR12510AAVA</v>
      </c>
      <c r="D669" s="1882"/>
      <c r="E669" s="1628" t="s">
        <v>8339</v>
      </c>
      <c r="F669" s="1882"/>
      <c r="G669" s="1882">
        <f>IF('1F'!R20="","##BLANK",'1F'!R20)</f>
        <v>7.7181065848737589</v>
      </c>
    </row>
    <row r="670" spans="2:7">
      <c r="B670" s="2030" t="str">
        <f>'1F'!BG23</f>
        <v>CR12511AAVA</v>
      </c>
      <c r="D670" s="1882"/>
      <c r="E670" s="1628" t="s">
        <v>8339</v>
      </c>
      <c r="F670" s="1882"/>
      <c r="G670" s="1882">
        <f>IF('1F'!R23="","##BLANK",'1F'!R23)</f>
        <v>-0.57799999999999996</v>
      </c>
    </row>
    <row r="671" spans="2:7">
      <c r="B671" s="2030" t="str">
        <f>'1F'!BG24</f>
        <v>CR12512AAVA</v>
      </c>
      <c r="D671" s="1882"/>
      <c r="E671" s="1628" t="s">
        <v>8339</v>
      </c>
      <c r="F671" s="1882"/>
      <c r="G671" s="1882">
        <f>IF('1F'!R24="","##BLANK",'1F'!R24)</f>
        <v>-1.0049999999999999</v>
      </c>
    </row>
    <row r="672" spans="2:7">
      <c r="B672" s="2030" t="str">
        <f>'1F'!BG25</f>
        <v>CR12513AAVA</v>
      </c>
      <c r="D672" s="1882"/>
      <c r="E672" s="1628" t="s">
        <v>8339</v>
      </c>
      <c r="F672" s="1882"/>
      <c r="G672" s="1882">
        <f>IF('1F'!R25="","##BLANK",'1F'!R25)</f>
        <v>-0.505</v>
      </c>
    </row>
    <row r="673" spans="2:7" s="1882" customFormat="1">
      <c r="B673" s="2030" t="str">
        <f>'1F'!BG26</f>
        <v>CR12523AAVA</v>
      </c>
      <c r="C673" s="1293"/>
      <c r="E673" s="1628" t="s">
        <v>8339</v>
      </c>
      <c r="G673" s="1882">
        <f>IF('1F'!R26="","##BLANK",'1F'!R26)</f>
        <v>0.75600000000000001</v>
      </c>
    </row>
    <row r="674" spans="2:7">
      <c r="B674" s="2030" t="str">
        <f>'1F'!BG27</f>
        <v>CR12514AAVA</v>
      </c>
      <c r="D674" s="1882"/>
      <c r="E674" s="1628" t="s">
        <v>8339</v>
      </c>
      <c r="F674" s="1882"/>
      <c r="G674" s="1882">
        <f>IF('1F'!R27="","##BLANK",'1F'!R27)</f>
        <v>-1.3319999999999996</v>
      </c>
    </row>
    <row r="675" spans="2:7">
      <c r="B675" s="2030" t="str">
        <f>'1F'!BG29</f>
        <v>CR12516AAVA</v>
      </c>
      <c r="D675" s="1882"/>
      <c r="E675" s="1628" t="s">
        <v>8339</v>
      </c>
      <c r="F675" s="1882"/>
      <c r="G675" s="1882">
        <f>IF('1F'!R29="","##BLANK",'1F'!R29)</f>
        <v>6.386106584873759</v>
      </c>
    </row>
    <row r="676" spans="2:7">
      <c r="B676" s="2030" t="str">
        <f>'1F'!BG31</f>
        <v>CR12517AAVA</v>
      </c>
      <c r="D676" s="1882"/>
      <c r="E676" s="1628" t="s">
        <v>8339</v>
      </c>
      <c r="F676" s="1882"/>
      <c r="G676" s="1882">
        <f>IF('1F'!R31="","##BLANK",'1F'!R31)</f>
        <v>3.67112076</v>
      </c>
    </row>
    <row r="677" spans="2:7">
      <c r="B677" s="2030" t="str">
        <f>'1F'!BG33</f>
        <v>CR12518AAVA</v>
      </c>
      <c r="D677" s="1882"/>
      <c r="E677" s="1628" t="s">
        <v>8339</v>
      </c>
      <c r="F677" s="1882"/>
      <c r="G677" s="1882">
        <f>IF('1F'!R33="","##BLANK",'1F'!R33)</f>
        <v>10.057227344873759</v>
      </c>
    </row>
    <row r="678" spans="2:7">
      <c r="B678" s="2030" t="str">
        <f>'1F'!BG35</f>
        <v>CR12522AAVA</v>
      </c>
      <c r="D678" s="1882"/>
      <c r="E678" s="1628" t="s">
        <v>8339</v>
      </c>
      <c r="F678" s="1882"/>
      <c r="G678" s="1882">
        <f>IF('1F'!R35="","##BLANK",'1F'!R35)</f>
        <v>1.9010107836262837</v>
      </c>
    </row>
    <row r="679" spans="2:7">
      <c r="B679" s="2030" t="str">
        <f>'1F'!BG37</f>
        <v>CR12519AAVA</v>
      </c>
      <c r="D679" s="1882"/>
      <c r="E679" s="1628" t="s">
        <v>8339</v>
      </c>
      <c r="F679" s="1882"/>
      <c r="G679" s="1882">
        <f>IF('1F'!R37="","##BLANK",'1F'!R37)</f>
        <v>8.1562165612474757</v>
      </c>
    </row>
    <row r="680" spans="2:7">
      <c r="B680" s="2030" t="str">
        <f>'1F'!BG40</f>
        <v>CR12520AAVA</v>
      </c>
      <c r="D680" s="1882"/>
      <c r="E680" s="1628" t="s">
        <v>8339</v>
      </c>
      <c r="F680" s="1882"/>
      <c r="G680" s="1882">
        <f>IF('1F'!R40="","##BLANK",'1F'!R40)</f>
        <v>5.5005991674250172</v>
      </c>
    </row>
    <row r="681" spans="2:7">
      <c r="B681" s="2030" t="str">
        <f>'1F'!BG41</f>
        <v>CR12521AAVA</v>
      </c>
      <c r="D681" s="1882"/>
      <c r="E681" s="1628" t="s">
        <v>8339</v>
      </c>
      <c r="F681" s="1882"/>
      <c r="G681" s="1882">
        <f>IF('1F'!R41="","##BLANK",'1F'!R41)</f>
        <v>3.5995883837987335</v>
      </c>
    </row>
    <row r="682" spans="2:7">
      <c r="B682" s="821" t="str">
        <f>'2A'!BL6</f>
        <v>A19016RHPC</v>
      </c>
      <c r="D682" s="1882"/>
      <c r="E682" s="1628" t="s">
        <v>8339</v>
      </c>
      <c r="F682" s="1882"/>
      <c r="G682" s="1882">
        <f>IF('2A'!G6="","##BLANK",'2A'!G6)</f>
        <v>11.98</v>
      </c>
    </row>
    <row r="683" spans="2:7">
      <c r="B683" s="821" t="str">
        <f>'2A'!BL7</f>
        <v>A19016RHNPC</v>
      </c>
      <c r="D683" s="1882"/>
      <c r="E683" s="1628" t="s">
        <v>8339</v>
      </c>
      <c r="F683" s="1882"/>
      <c r="G683" s="1882">
        <f>IF('2A'!G7="","##BLANK",'2A'!G7)</f>
        <v>0</v>
      </c>
    </row>
    <row r="684" spans="2:7">
      <c r="B684" s="821" t="str">
        <f>'2A'!BL8</f>
        <v>BM9023H</v>
      </c>
      <c r="D684" s="1882"/>
      <c r="E684" s="1628" t="s">
        <v>8339</v>
      </c>
      <c r="F684" s="1882"/>
      <c r="G684" s="1882">
        <f>IF('2A'!G8="","##BLANK",'2A'!G8)</f>
        <v>-12.581</v>
      </c>
    </row>
    <row r="685" spans="2:7">
      <c r="B685" s="821" t="str">
        <f>'2A'!BL10</f>
        <v>BM9027H</v>
      </c>
      <c r="D685" s="1882"/>
      <c r="E685" s="1628" t="s">
        <v>8339</v>
      </c>
      <c r="F685" s="1882"/>
      <c r="G685" s="1882">
        <f>IF('2A'!G10="","##BLANK",'2A'!G10)</f>
        <v>-0.192</v>
      </c>
    </row>
    <row r="686" spans="2:7">
      <c r="B686" s="821" t="str">
        <f>'2A'!BL11</f>
        <v>A19015RH</v>
      </c>
      <c r="D686" s="1882"/>
      <c r="E686" s="1628" t="s">
        <v>8339</v>
      </c>
      <c r="F686" s="1882"/>
      <c r="G686" s="1882">
        <f>IF('2A'!G11="","##BLANK",'2A'!G11)</f>
        <v>1.6E-2</v>
      </c>
    </row>
    <row r="687" spans="2:7">
      <c r="B687" s="821" t="str">
        <f>'2A'!BL12</f>
        <v>BO2010RH</v>
      </c>
      <c r="D687" s="1882"/>
      <c r="E687" s="1628" t="s">
        <v>8339</v>
      </c>
      <c r="F687" s="1882"/>
      <c r="G687" s="1882">
        <f>IF('2A'!G12="","##BLANK",'2A'!G12)</f>
        <v>-0.89439704999999914</v>
      </c>
    </row>
    <row r="688" spans="2:7">
      <c r="B688" s="821" t="str">
        <f>'2A'!BL15</f>
        <v>BM9037</v>
      </c>
      <c r="D688" s="1882"/>
      <c r="E688" s="1628" t="s">
        <v>8339</v>
      </c>
      <c r="F688" s="1882"/>
      <c r="G688" s="1882">
        <f>IF('2A'!G15="","##BLANK",'2A'!G15)</f>
        <v>-0.59599999999999997</v>
      </c>
    </row>
    <row r="689" spans="2:7">
      <c r="B689" s="821" t="str">
        <f>'2A'!BL16</f>
        <v>BM9036</v>
      </c>
      <c r="D689" s="1882"/>
      <c r="E689" s="1628" t="s">
        <v>8339</v>
      </c>
      <c r="F689" s="1882"/>
      <c r="G689" s="1882">
        <f>IF('2A'!G16="","##BLANK",'2A'!G16)</f>
        <v>0</v>
      </c>
    </row>
    <row r="690" spans="2:7">
      <c r="B690" s="821" t="str">
        <f>'2A'!BL18</f>
        <v>HP00030RH</v>
      </c>
      <c r="D690" s="1882"/>
      <c r="E690" s="1628" t="s">
        <v>8339</v>
      </c>
      <c r="F690" s="1882"/>
      <c r="G690" s="1882">
        <f>IF('2A'!G18="","##BLANK",'2A'!G18)</f>
        <v>-1.490397049999999</v>
      </c>
    </row>
    <row r="691" spans="2:7">
      <c r="B691" s="821" t="str">
        <f>'2A'!BM6</f>
        <v>A19016RNHPC</v>
      </c>
      <c r="D691" s="1882"/>
      <c r="E691" s="1628" t="s">
        <v>8339</v>
      </c>
      <c r="F691" s="1882"/>
      <c r="G691" s="1882">
        <f>IF('2A'!H6="","##BLANK",'2A'!H6)</f>
        <v>0</v>
      </c>
    </row>
    <row r="692" spans="2:7">
      <c r="B692" s="821" t="str">
        <f>'2A'!BM7</f>
        <v>A19016RNHNPC</v>
      </c>
      <c r="D692" s="1882"/>
      <c r="E692" s="1628" t="s">
        <v>8339</v>
      </c>
      <c r="F692" s="1882"/>
      <c r="G692" s="1882">
        <f>IF('2A'!H7="","##BLANK",'2A'!H7)</f>
        <v>0</v>
      </c>
    </row>
    <row r="693" spans="2:7">
      <c r="B693" s="821" t="str">
        <f>'2A'!BM8</f>
        <v>BM9223NH</v>
      </c>
      <c r="D693" s="1882"/>
      <c r="E693" s="1628" t="s">
        <v>8339</v>
      </c>
      <c r="F693" s="1882"/>
      <c r="G693" s="1882">
        <f>IF('2A'!H8="","##BLANK",'2A'!H8)</f>
        <v>-0.86299999999999999</v>
      </c>
    </row>
    <row r="694" spans="2:7">
      <c r="B694" s="821" t="str">
        <f>'2A'!BM10</f>
        <v>BM9027NH</v>
      </c>
      <c r="D694" s="1882"/>
      <c r="E694" s="1628" t="s">
        <v>8339</v>
      </c>
      <c r="F694" s="1882"/>
      <c r="G694" s="1882">
        <f>IF('2A'!H10="","##BLANK",'2A'!H10)</f>
        <v>0</v>
      </c>
    </row>
    <row r="695" spans="2:7">
      <c r="B695" s="821" t="str">
        <f>'2A'!BM11</f>
        <v>A19015RNH</v>
      </c>
      <c r="D695" s="1882"/>
      <c r="E695" s="1628" t="s">
        <v>8339</v>
      </c>
      <c r="F695" s="1882"/>
      <c r="G695" s="1882">
        <f>IF('2A'!H11="","##BLANK",'2A'!H11)</f>
        <v>0</v>
      </c>
    </row>
    <row r="696" spans="2:7">
      <c r="B696" s="821" t="str">
        <f>'2A'!BM12</f>
        <v>BO2010RNH</v>
      </c>
      <c r="D696" s="1882"/>
      <c r="E696" s="1628" t="s">
        <v>8339</v>
      </c>
      <c r="F696" s="1882"/>
      <c r="G696" s="1882">
        <f>IF('2A'!H12="","##BLANK",'2A'!H12)</f>
        <v>-0.86299999999999999</v>
      </c>
    </row>
    <row r="697" spans="2:7">
      <c r="B697" s="821" t="str">
        <f>'2A'!BM15</f>
        <v>BM9337</v>
      </c>
      <c r="D697" s="1882"/>
      <c r="E697" s="1628" t="s">
        <v>8339</v>
      </c>
      <c r="F697" s="1882"/>
      <c r="G697" s="1882">
        <f>IF('2A'!H15="","##BLANK",'2A'!H15)</f>
        <v>0</v>
      </c>
    </row>
    <row r="698" spans="2:7">
      <c r="B698" s="821" t="str">
        <f>'2A'!BM16</f>
        <v>BM9336</v>
      </c>
      <c r="D698" s="1882"/>
      <c r="E698" s="1628" t="s">
        <v>8339</v>
      </c>
      <c r="F698" s="1882"/>
      <c r="G698" s="1882">
        <f>IF('2A'!H16="","##BLANK",'2A'!H16)</f>
        <v>0</v>
      </c>
    </row>
    <row r="699" spans="2:7">
      <c r="B699" s="821" t="str">
        <f>'2A'!BM18</f>
        <v>HP00030RNH</v>
      </c>
      <c r="D699" s="1882"/>
      <c r="E699" s="1628" t="s">
        <v>8339</v>
      </c>
      <c r="F699" s="1882"/>
      <c r="G699" s="1882">
        <f>IF('2A'!H18="","##BLANK",'2A'!H18)</f>
        <v>-0.86299999999999999</v>
      </c>
    </row>
    <row r="700" spans="2:7">
      <c r="B700" s="821" t="str">
        <f>'2A'!BN8</f>
        <v>BM352WR</v>
      </c>
      <c r="D700" s="1882"/>
      <c r="E700" s="1628" t="s">
        <v>8339</v>
      </c>
      <c r="F700" s="1882"/>
      <c r="G700" s="1882">
        <f>IF('2A'!I8="","##BLANK",'2A'!I8)</f>
        <v>-16.041</v>
      </c>
    </row>
    <row r="701" spans="2:7">
      <c r="B701" s="821" t="str">
        <f>'2A'!BN10</f>
        <v>BM320WR</v>
      </c>
      <c r="D701" s="1882"/>
      <c r="E701" s="1628" t="s">
        <v>8339</v>
      </c>
      <c r="F701" s="1882"/>
      <c r="G701" s="1882">
        <f>IF('2A'!I10="","##BLANK",'2A'!I10)</f>
        <v>-0.22539999999999999</v>
      </c>
    </row>
    <row r="702" spans="2:7">
      <c r="B702" s="821" t="str">
        <f>'2A'!BN11</f>
        <v>A19015WR</v>
      </c>
      <c r="D702" s="1882"/>
      <c r="E702" s="1628" t="s">
        <v>8339</v>
      </c>
      <c r="F702" s="1882"/>
      <c r="G702" s="1882">
        <f>IF('2A'!I11="","##BLANK",'2A'!I11)</f>
        <v>0.36499999999999999</v>
      </c>
    </row>
    <row r="703" spans="2:7">
      <c r="B703" s="821" t="str">
        <f>'2A'!BN15</f>
        <v>BM338WR</v>
      </c>
      <c r="D703" s="1882"/>
      <c r="E703" s="1628" t="s">
        <v>8339</v>
      </c>
      <c r="F703" s="1882"/>
      <c r="G703" s="1882">
        <f>IF('2A'!I15="","##BLANK",'2A'!I15)</f>
        <v>0</v>
      </c>
    </row>
    <row r="704" spans="2:7">
      <c r="B704" s="821" t="str">
        <f>'2A'!BN16</f>
        <v>BM337WR</v>
      </c>
      <c r="D704" s="1882"/>
      <c r="E704" s="1628" t="s">
        <v>8339</v>
      </c>
      <c r="F704" s="1882"/>
      <c r="G704" s="1882">
        <f>IF('2A'!I16="","##BLANK",'2A'!I16)</f>
        <v>0.05</v>
      </c>
    </row>
    <row r="705" spans="2:7">
      <c r="B705" s="821" t="str">
        <f>'2A'!BO6</f>
        <v>A19030WNPC</v>
      </c>
      <c r="D705" s="1882"/>
      <c r="E705" s="1628" t="s">
        <v>8339</v>
      </c>
      <c r="F705" s="1882"/>
      <c r="G705" s="1882">
        <f>IF('2A'!J6="","##BLANK",'2A'!J6)</f>
        <v>107.994</v>
      </c>
    </row>
    <row r="706" spans="2:7">
      <c r="B706" s="821" t="str">
        <f>'2A'!BO7</f>
        <v>A19030WNNPC</v>
      </c>
      <c r="D706" s="1882"/>
      <c r="E706" s="1628" t="s">
        <v>8339</v>
      </c>
      <c r="F706" s="1882"/>
      <c r="G706" s="1882">
        <f>IF('2A'!J7="","##BLANK",'2A'!J7)</f>
        <v>2.2799999999999998</v>
      </c>
    </row>
    <row r="707" spans="2:7">
      <c r="B707" s="821" t="str">
        <f>'2A'!BO8</f>
        <v>BM352WN</v>
      </c>
      <c r="D707" s="1882"/>
      <c r="E707" s="1628" t="s">
        <v>8339</v>
      </c>
      <c r="F707" s="1882"/>
      <c r="G707" s="1882">
        <f>IF('2A'!J8="","##BLANK",'2A'!J8)</f>
        <v>-48.168999999999997</v>
      </c>
    </row>
    <row r="708" spans="2:7">
      <c r="B708" s="821" t="str">
        <f>'2A'!BO10</f>
        <v>BM320WN</v>
      </c>
      <c r="D708" s="1882"/>
      <c r="E708" s="1628" t="s">
        <v>8339</v>
      </c>
      <c r="F708" s="1882"/>
      <c r="G708" s="1882">
        <f>IF('2A'!J10="","##BLANK",'2A'!J10)</f>
        <v>-2.4804508904853511</v>
      </c>
    </row>
    <row r="709" spans="2:7">
      <c r="B709" s="821" t="str">
        <f>'2A'!BO11</f>
        <v>A19015WN</v>
      </c>
      <c r="D709" s="1882"/>
      <c r="E709" s="1628" t="s">
        <v>8339</v>
      </c>
      <c r="F709" s="1882"/>
      <c r="G709" s="1882">
        <f>IF('2A'!J11="","##BLANK",'2A'!J11)</f>
        <v>0.30599999999999999</v>
      </c>
    </row>
    <row r="710" spans="2:7">
      <c r="B710" s="821" t="str">
        <f>'2A'!BO15</f>
        <v>BM338WN</v>
      </c>
      <c r="D710" s="1882"/>
      <c r="E710" s="1628" t="s">
        <v>8339</v>
      </c>
      <c r="F710" s="1882"/>
      <c r="G710" s="1882">
        <f>IF('2A'!J15="","##BLANK",'2A'!J15)</f>
        <v>0</v>
      </c>
    </row>
    <row r="711" spans="2:7">
      <c r="B711" s="821" t="str">
        <f>'2A'!BO16</f>
        <v>BM337WN</v>
      </c>
      <c r="D711" s="1882"/>
      <c r="E711" s="1628" t="s">
        <v>8339</v>
      </c>
      <c r="F711" s="1882"/>
      <c r="G711" s="1882">
        <f>IF('2A'!J16="","##BLANK",'2A'!J16)</f>
        <v>0.54600000000000004</v>
      </c>
    </row>
    <row r="712" spans="2:7">
      <c r="B712" s="821" t="str">
        <f>'2A'!BP6</f>
        <v>A19030WWPC</v>
      </c>
      <c r="D712" s="1882"/>
      <c r="E712" s="1628" t="s">
        <v>8339</v>
      </c>
      <c r="F712" s="1882"/>
      <c r="G712" s="1882">
        <f>IF('2A'!K6="","##BLANK",'2A'!K6)</f>
        <v>107.994</v>
      </c>
    </row>
    <row r="713" spans="2:7">
      <c r="B713" s="821" t="str">
        <f>'2A'!BP7</f>
        <v>A19030WWNPC</v>
      </c>
      <c r="D713" s="1882"/>
      <c r="E713" s="1628" t="s">
        <v>8339</v>
      </c>
      <c r="F713" s="1882"/>
      <c r="G713" s="1882">
        <f>IF('2A'!K7="","##BLANK",'2A'!K7)</f>
        <v>2.2799999999999998</v>
      </c>
    </row>
    <row r="714" spans="2:7">
      <c r="B714" s="821" t="str">
        <f>'2A'!BP8</f>
        <v>BM352TAS</v>
      </c>
      <c r="D714" s="1882"/>
      <c r="E714" s="1628" t="s">
        <v>8339</v>
      </c>
      <c r="F714" s="1882"/>
      <c r="G714" s="1882">
        <f>IF('2A'!K8="","##BLANK",'2A'!K8)</f>
        <v>-64.209999999999994</v>
      </c>
    </row>
    <row r="715" spans="2:7">
      <c r="B715" s="821" t="str">
        <f>'2A'!BP9</f>
        <v>BM212TAS</v>
      </c>
      <c r="D715" s="1882"/>
      <c r="E715" s="1628" t="s">
        <v>8339</v>
      </c>
      <c r="F715" s="1882"/>
      <c r="G715" s="1882">
        <f>IF('2A'!K9="","##BLANK",'2A'!K9)</f>
        <v>-22.039417504433292</v>
      </c>
    </row>
    <row r="716" spans="2:7">
      <c r="B716" s="821" t="str">
        <f>'2A'!BP10</f>
        <v>BM320TAS</v>
      </c>
      <c r="D716" s="1882"/>
      <c r="E716" s="1628" t="s">
        <v>8339</v>
      </c>
      <c r="F716" s="1882"/>
      <c r="G716" s="1882">
        <f>IF('2A'!K10="","##BLANK",'2A'!K10)</f>
        <v>-2.7058508904853511</v>
      </c>
    </row>
    <row r="717" spans="2:7">
      <c r="B717" s="821" t="str">
        <f>'2A'!BP11</f>
        <v>A19015WSW</v>
      </c>
      <c r="D717" s="1882"/>
      <c r="E717" s="1628" t="s">
        <v>8339</v>
      </c>
      <c r="F717" s="1882"/>
      <c r="G717" s="1882">
        <f>IF('2A'!K11="","##BLANK",'2A'!K11)</f>
        <v>0.67100000000000004</v>
      </c>
    </row>
    <row r="718" spans="2:7">
      <c r="B718" s="821" t="str">
        <f>'2A'!BP12</f>
        <v>BO2010WW</v>
      </c>
      <c r="D718" s="1882"/>
      <c r="E718" s="1628" t="s">
        <v>8339</v>
      </c>
      <c r="F718" s="1882"/>
      <c r="G718" s="1882">
        <f>IF('2A'!K12="","##BLANK",'2A'!K12)</f>
        <v>21.989731605081364</v>
      </c>
    </row>
    <row r="719" spans="2:7">
      <c r="B719" s="821" t="str">
        <f>'2A'!BP15</f>
        <v>BM338TAS</v>
      </c>
      <c r="D719" s="1882"/>
      <c r="E719" s="1628" t="s">
        <v>8339</v>
      </c>
      <c r="F719" s="1882"/>
      <c r="G719" s="1882">
        <f>IF('2A'!K15="","##BLANK",'2A'!K15)</f>
        <v>0</v>
      </c>
    </row>
    <row r="720" spans="2:7">
      <c r="B720" s="821" t="str">
        <f>'2A'!BP16</f>
        <v>BM337TAS</v>
      </c>
      <c r="D720" s="1882"/>
      <c r="E720" s="1628" t="s">
        <v>8339</v>
      </c>
      <c r="F720" s="1882"/>
      <c r="G720" s="1882">
        <f>IF('2A'!K16="","##BLANK",'2A'!K16)</f>
        <v>0.59600000000000009</v>
      </c>
    </row>
    <row r="721" spans="2:7">
      <c r="B721" s="821" t="str">
        <f>'2A'!BP18</f>
        <v>HP00030WW</v>
      </c>
      <c r="D721" s="1882"/>
      <c r="E721" s="1628" t="s">
        <v>8339</v>
      </c>
      <c r="F721" s="1882"/>
      <c r="G721" s="1882">
        <f>IF('2A'!K18="","##BLANK",'2A'!K18)</f>
        <v>22.585731605081364</v>
      </c>
    </row>
    <row r="722" spans="2:7">
      <c r="B722" s="821" t="str">
        <f>'2A'!BQ6</f>
        <v>A19030WNKPC</v>
      </c>
      <c r="D722" s="1882"/>
      <c r="E722" s="1628" t="s">
        <v>8339</v>
      </c>
      <c r="F722" s="1882"/>
      <c r="G722" s="1882" t="str">
        <f>IF('2A'!L6="","##BLANK",'2A'!L6)</f>
        <v>##BLANK</v>
      </c>
    </row>
    <row r="723" spans="2:7">
      <c r="B723" s="821" t="str">
        <f>'2A'!BQ7</f>
        <v>A19030WNKNPC</v>
      </c>
      <c r="D723" s="1882"/>
      <c r="E723" s="1628" t="s">
        <v>8339</v>
      </c>
      <c r="F723" s="1882"/>
      <c r="G723" s="1882" t="str">
        <f>IF('2A'!L7="","##BLANK",'2A'!L7)</f>
        <v>##BLANK</v>
      </c>
    </row>
    <row r="724" spans="2:7">
      <c r="B724" s="821" t="str">
        <f>'2A'!BQ8</f>
        <v>BM852WNK</v>
      </c>
      <c r="D724" s="1882"/>
      <c r="E724" s="1628" t="s">
        <v>8339</v>
      </c>
      <c r="F724" s="1882"/>
      <c r="G724" s="1882">
        <f>IF('2A'!L8="","##BLANK",'2A'!L8)</f>
        <v>0</v>
      </c>
    </row>
    <row r="725" spans="2:7">
      <c r="B725" s="821" t="str">
        <f>'2A'!BQ10</f>
        <v>BM820WNK</v>
      </c>
      <c r="D725" s="1882"/>
      <c r="E725" s="1628" t="s">
        <v>8339</v>
      </c>
      <c r="F725" s="1882"/>
      <c r="G725" s="1882" t="str">
        <f>IF('2A'!L10="","##BLANK",'2A'!L10)</f>
        <v>##BLANK</v>
      </c>
    </row>
    <row r="726" spans="2:7">
      <c r="B726" s="821" t="str">
        <f>'2A'!BQ11</f>
        <v>A19015WNK</v>
      </c>
      <c r="D726" s="1882"/>
      <c r="E726" s="1628" t="s">
        <v>8339</v>
      </c>
      <c r="F726" s="1882"/>
      <c r="G726" s="1882" t="str">
        <f>IF('2A'!L11="","##BLANK",'2A'!L11)</f>
        <v>##BLANK</v>
      </c>
    </row>
    <row r="727" spans="2:7">
      <c r="B727" s="821" t="str">
        <f>'2A'!BQ15</f>
        <v>BM838WNK</v>
      </c>
      <c r="D727" s="1882"/>
      <c r="E727" s="1628" t="s">
        <v>8339</v>
      </c>
      <c r="F727" s="1882"/>
      <c r="G727" s="1882" t="str">
        <f>IF('2A'!L15="","##BLANK",'2A'!L15)</f>
        <v>##BLANK</v>
      </c>
    </row>
    <row r="728" spans="2:7">
      <c r="B728" s="821" t="str">
        <f>'2A'!BQ16</f>
        <v>BM837WNK</v>
      </c>
      <c r="D728" s="1882"/>
      <c r="E728" s="1628" t="s">
        <v>8339</v>
      </c>
      <c r="F728" s="1882"/>
      <c r="G728" s="1882" t="str">
        <f>IF('2A'!L16="","##BLANK",'2A'!L16)</f>
        <v>##BLANK</v>
      </c>
    </row>
    <row r="729" spans="2:7">
      <c r="B729" s="821" t="str">
        <f>'2A'!BR8</f>
        <v>BM852SL</v>
      </c>
      <c r="D729" s="1882"/>
      <c r="E729" s="1628" t="s">
        <v>8339</v>
      </c>
      <c r="F729" s="1882"/>
      <c r="G729" s="1882">
        <f>IF('2A'!M8="","##BLANK",'2A'!M8)</f>
        <v>0</v>
      </c>
    </row>
    <row r="730" spans="2:7">
      <c r="B730" s="821" t="str">
        <f>'2A'!BR10</f>
        <v>BM820SL</v>
      </c>
      <c r="D730" s="1882"/>
      <c r="E730" s="1628" t="s">
        <v>8339</v>
      </c>
      <c r="F730" s="1882"/>
      <c r="G730" s="1882" t="str">
        <f>IF('2A'!M10="","##BLANK",'2A'!M10)</f>
        <v>##BLANK</v>
      </c>
    </row>
    <row r="731" spans="2:7">
      <c r="B731" s="821" t="str">
        <f>'2A'!BR11</f>
        <v>A19015SL</v>
      </c>
      <c r="D731" s="1882"/>
      <c r="E731" s="1628" t="s">
        <v>8339</v>
      </c>
      <c r="F731" s="1882"/>
      <c r="G731" s="1882" t="str">
        <f>IF('2A'!M11="","##BLANK",'2A'!M11)</f>
        <v>##BLANK</v>
      </c>
    </row>
    <row r="732" spans="2:7">
      <c r="B732" s="821" t="str">
        <f>'2A'!BR15</f>
        <v>BM838SL</v>
      </c>
      <c r="D732" s="1882"/>
      <c r="E732" s="1628" t="s">
        <v>8339</v>
      </c>
      <c r="F732" s="1882"/>
      <c r="G732" s="1882" t="str">
        <f>IF('2A'!M15="","##BLANK",'2A'!M15)</f>
        <v>##BLANK</v>
      </c>
    </row>
    <row r="733" spans="2:7">
      <c r="B733" s="821" t="str">
        <f>'2A'!BR16</f>
        <v>BM837SL</v>
      </c>
      <c r="D733" s="1882"/>
      <c r="E733" s="1628" t="s">
        <v>8339</v>
      </c>
      <c r="F733" s="1882"/>
      <c r="G733" s="1882" t="str">
        <f>IF('2A'!M16="","##BLANK",'2A'!M16)</f>
        <v>##BLANK</v>
      </c>
    </row>
    <row r="734" spans="2:7">
      <c r="B734" s="821" t="str">
        <f>'2A'!BS6</f>
        <v>A19030TASPC</v>
      </c>
      <c r="D734" s="1882"/>
      <c r="E734" s="1628" t="s">
        <v>8339</v>
      </c>
      <c r="F734" s="1882"/>
      <c r="G734" s="1882">
        <f>IF('2A'!N6="","##BLANK",'2A'!N6)</f>
        <v>0</v>
      </c>
    </row>
    <row r="735" spans="2:7">
      <c r="B735" s="821" t="str">
        <f>'2A'!BS7</f>
        <v>A19030TASNPC</v>
      </c>
      <c r="D735" s="1882"/>
      <c r="E735" s="1628" t="s">
        <v>8339</v>
      </c>
      <c r="F735" s="1882"/>
      <c r="G735" s="1882">
        <f>IF('2A'!N7="","##BLANK",'2A'!N7)</f>
        <v>0</v>
      </c>
    </row>
    <row r="736" spans="2:7">
      <c r="B736" s="821" t="str">
        <f>'2A'!BS8</f>
        <v>BM852TAS</v>
      </c>
      <c r="D736" s="1882"/>
      <c r="E736" s="1628" t="s">
        <v>8339</v>
      </c>
      <c r="F736" s="1882"/>
      <c r="G736" s="1882">
        <f>IF('2A'!N8="","##BLANK",'2A'!N8)</f>
        <v>0</v>
      </c>
    </row>
    <row r="737" spans="2:7">
      <c r="B737" s="821" t="str">
        <f>'2A'!BS9</f>
        <v>BM812TAS</v>
      </c>
      <c r="D737" s="1882"/>
      <c r="E737" s="1628" t="s">
        <v>8339</v>
      </c>
      <c r="F737" s="1882"/>
      <c r="G737" s="1882">
        <f>IF('2A'!N9="","##BLANK",'2A'!N9)</f>
        <v>0</v>
      </c>
    </row>
    <row r="738" spans="2:7">
      <c r="B738" s="821" t="str">
        <f>'2A'!BS10</f>
        <v>BM820TAS</v>
      </c>
      <c r="D738" s="1882"/>
      <c r="E738" s="1628" t="s">
        <v>8339</v>
      </c>
      <c r="F738" s="1882"/>
      <c r="G738" s="1882">
        <f>IF('2A'!N10="","##BLANK",'2A'!N10)</f>
        <v>0</v>
      </c>
    </row>
    <row r="739" spans="2:7">
      <c r="B739" s="821" t="str">
        <f>'2A'!BS11</f>
        <v>A19015TAS</v>
      </c>
      <c r="D739" s="1882"/>
      <c r="E739" s="1628" t="s">
        <v>8339</v>
      </c>
      <c r="F739" s="1882"/>
      <c r="G739" s="1882">
        <f>IF('2A'!N11="","##BLANK",'2A'!N11)</f>
        <v>0</v>
      </c>
    </row>
    <row r="740" spans="2:7">
      <c r="B740" s="821" t="str">
        <f>'2A'!BS12</f>
        <v>BO2010TAS</v>
      </c>
      <c r="D740" s="1882"/>
      <c r="E740" s="1628" t="s">
        <v>8339</v>
      </c>
      <c r="F740" s="1882"/>
      <c r="G740" s="1882">
        <f>IF('2A'!N12="","##BLANK",'2A'!N12)</f>
        <v>0</v>
      </c>
    </row>
    <row r="741" spans="2:7">
      <c r="B741" s="821" t="str">
        <f>'2A'!BS15</f>
        <v>BM838TAS</v>
      </c>
      <c r="D741" s="1882"/>
      <c r="E741" s="1628" t="s">
        <v>8339</v>
      </c>
      <c r="F741" s="1882"/>
      <c r="G741" s="1882">
        <f>IF('2A'!N15="","##BLANK",'2A'!N15)</f>
        <v>0</v>
      </c>
    </row>
    <row r="742" spans="2:7">
      <c r="B742" s="821" t="str">
        <f>'2A'!BS16</f>
        <v>BM837TAS</v>
      </c>
      <c r="D742" s="1882"/>
      <c r="E742" s="1628" t="s">
        <v>8339</v>
      </c>
      <c r="F742" s="1882"/>
      <c r="G742" s="1882">
        <f>IF('2A'!N16="","##BLANK",'2A'!N16)</f>
        <v>0</v>
      </c>
    </row>
    <row r="743" spans="2:7">
      <c r="B743" s="821" t="str">
        <f>'2A'!BS18</f>
        <v>HP00030WS</v>
      </c>
      <c r="D743" s="1882"/>
      <c r="E743" s="1628" t="s">
        <v>8339</v>
      </c>
      <c r="F743" s="1882"/>
      <c r="G743" s="1882">
        <f>IF('2A'!N18="","##BLANK",'2A'!N18)</f>
        <v>0</v>
      </c>
    </row>
    <row r="744" spans="2:7">
      <c r="B744" s="821" t="str">
        <f>'2A'!BT6</f>
        <v>A19030TTTPC</v>
      </c>
      <c r="D744" s="1882"/>
      <c r="E744" s="1628" t="s">
        <v>8339</v>
      </c>
      <c r="F744" s="1882"/>
      <c r="G744" s="1882" t="str">
        <f>IF('2A'!O6="","##BLANK",'2A'!O6)</f>
        <v>##BLANK</v>
      </c>
    </row>
    <row r="745" spans="2:7">
      <c r="B745" s="821" t="str">
        <f>'2A'!BT7</f>
        <v>A19030TTTNPC</v>
      </c>
      <c r="D745" s="1882"/>
      <c r="E745" s="1628" t="s">
        <v>8339</v>
      </c>
      <c r="F745" s="1882"/>
      <c r="G745" s="1882" t="str">
        <f>IF('2A'!O7="","##BLANK",'2A'!O7)</f>
        <v>##BLANK</v>
      </c>
    </row>
    <row r="746" spans="2:7">
      <c r="B746" s="821" t="str">
        <f>'2A'!BT8</f>
        <v>BM852TTT</v>
      </c>
      <c r="D746" s="1882"/>
      <c r="E746" s="1628" t="s">
        <v>8339</v>
      </c>
      <c r="F746" s="1882"/>
      <c r="G746" s="1882">
        <f>IF('2A'!O8="","##BLANK",'2A'!O8)</f>
        <v>0</v>
      </c>
    </row>
    <row r="747" spans="2:7">
      <c r="B747" s="821" t="str">
        <f>'2A'!BT10</f>
        <v>BM820TTT</v>
      </c>
      <c r="D747" s="1882"/>
      <c r="E747" s="1628" t="s">
        <v>8339</v>
      </c>
      <c r="F747" s="1882"/>
      <c r="G747" s="1882" t="str">
        <f>IF('2A'!O10="","##BLANK",'2A'!O10)</f>
        <v>##BLANK</v>
      </c>
    </row>
    <row r="748" spans="2:7">
      <c r="B748" s="821" t="str">
        <f>'2A'!BT11</f>
        <v>A19015TTT</v>
      </c>
      <c r="D748" s="1882"/>
      <c r="E748" s="1628" t="s">
        <v>8339</v>
      </c>
      <c r="F748" s="1882"/>
      <c r="G748" s="1882" t="str">
        <f>IF('2A'!O11="","##BLANK",'2A'!O11)</f>
        <v>##BLANK</v>
      </c>
    </row>
    <row r="749" spans="2:7">
      <c r="B749" s="821" t="str">
        <f>'2A'!BT12</f>
        <v>BO2010TTT</v>
      </c>
      <c r="D749" s="1882"/>
      <c r="E749" s="1628" t="s">
        <v>8339</v>
      </c>
      <c r="F749" s="1882"/>
      <c r="G749" s="1882">
        <f>IF('2A'!O12="","##BLANK",'2A'!O12)</f>
        <v>0</v>
      </c>
    </row>
    <row r="750" spans="2:7">
      <c r="B750" s="821" t="str">
        <f>'2A'!BT15</f>
        <v>BM838TTT</v>
      </c>
      <c r="D750" s="1882"/>
      <c r="E750" s="1628" t="s">
        <v>8339</v>
      </c>
      <c r="F750" s="1882"/>
      <c r="G750" s="1882" t="str">
        <f>IF('2A'!O15="","##BLANK",'2A'!O15)</f>
        <v>##BLANK</v>
      </c>
    </row>
    <row r="751" spans="2:7">
      <c r="B751" s="821" t="str">
        <f>'2A'!BT16</f>
        <v>BM837TTT</v>
      </c>
      <c r="D751" s="1882"/>
      <c r="E751" s="1628" t="s">
        <v>8339</v>
      </c>
      <c r="F751" s="1882"/>
      <c r="G751" s="1882" t="str">
        <f>IF('2A'!O16="","##BLANK",'2A'!O16)</f>
        <v>##BLANK</v>
      </c>
    </row>
    <row r="752" spans="2:7">
      <c r="B752" s="821" t="str">
        <f>'2A'!BT18</f>
        <v>HP00030TTT</v>
      </c>
      <c r="D752" s="1882"/>
      <c r="E752" s="1628" t="s">
        <v>8339</v>
      </c>
      <c r="F752" s="1882"/>
      <c r="G752" s="1882">
        <f>IF('2A'!O18="","##BLANK",'2A'!O18)</f>
        <v>0</v>
      </c>
    </row>
    <row r="753" spans="2:7">
      <c r="B753" s="821" t="str">
        <f>'2A'!BU6</f>
        <v>A1931PC</v>
      </c>
      <c r="D753" s="1882"/>
      <c r="E753" s="1628" t="s">
        <v>8339</v>
      </c>
      <c r="F753" s="1882"/>
      <c r="G753" s="1882">
        <f>IF('2A'!P6="","##BLANK",'2A'!P6)</f>
        <v>119.974</v>
      </c>
    </row>
    <row r="754" spans="2:7">
      <c r="B754" s="821" t="str">
        <f>'2A'!BU7</f>
        <v>A1931NPC</v>
      </c>
      <c r="D754" s="1882"/>
      <c r="E754" s="1628" t="s">
        <v>8339</v>
      </c>
      <c r="F754" s="1882"/>
      <c r="G754" s="1882">
        <f>IF('2A'!P7="","##BLANK",'2A'!P7)</f>
        <v>2.2799999999999998</v>
      </c>
    </row>
    <row r="755" spans="2:7">
      <c r="B755" s="821" t="str">
        <f>'2A'!BU8</f>
        <v>BM952TAS</v>
      </c>
      <c r="D755" s="1882"/>
      <c r="E755" s="1628" t="s">
        <v>8339</v>
      </c>
      <c r="F755" s="1882"/>
      <c r="G755" s="1882">
        <f>IF('2A'!P8="","##BLANK",'2A'!P8)</f>
        <v>-77.653999999999996</v>
      </c>
    </row>
    <row r="756" spans="2:7">
      <c r="B756" s="821" t="str">
        <f>'2A'!BU9</f>
        <v>BM912TAS</v>
      </c>
      <c r="D756" s="1882"/>
      <c r="E756" s="1628" t="s">
        <v>8339</v>
      </c>
      <c r="F756" s="1882"/>
      <c r="G756" s="1882">
        <f>IF('2A'!P9="","##BLANK",'2A'!P9)</f>
        <v>-22.156814554433293</v>
      </c>
    </row>
    <row r="757" spans="2:7">
      <c r="B757" s="821" t="str">
        <f>'2A'!BU10</f>
        <v>BM920TAS</v>
      </c>
      <c r="D757" s="1882"/>
      <c r="E757" s="1628" t="s">
        <v>8339</v>
      </c>
      <c r="F757" s="1882"/>
      <c r="G757" s="1882">
        <f>IF('2A'!P10="","##BLANK",'2A'!P10)</f>
        <v>-2.8978508904853513</v>
      </c>
    </row>
    <row r="758" spans="2:7">
      <c r="B758" s="821" t="str">
        <f>'2A'!BU11</f>
        <v>A19015CTOT</v>
      </c>
      <c r="D758" s="1882"/>
      <c r="E758" s="1628" t="s">
        <v>8339</v>
      </c>
      <c r="F758" s="1882"/>
      <c r="G758" s="1882">
        <f>IF('2A'!P11="","##BLANK",'2A'!P11)</f>
        <v>0.68700000000000006</v>
      </c>
    </row>
    <row r="759" spans="2:7">
      <c r="B759" s="821" t="str">
        <f>'2A'!BU12</f>
        <v>BO2010CTOT</v>
      </c>
      <c r="D759" s="1882"/>
      <c r="E759" s="1628" t="s">
        <v>8339</v>
      </c>
      <c r="F759" s="1882"/>
      <c r="G759" s="1882">
        <f>IF('2A'!P12="","##BLANK",'2A'!P12)</f>
        <v>20.232334555081366</v>
      </c>
    </row>
    <row r="760" spans="2:7">
      <c r="B760" s="821" t="str">
        <f>'2A'!BU15</f>
        <v>BM938CTOT</v>
      </c>
      <c r="D760" s="1882"/>
      <c r="E760" s="1628" t="s">
        <v>8339</v>
      </c>
      <c r="F760" s="1882"/>
      <c r="G760" s="1882">
        <f>IF('2A'!P15="","##BLANK",'2A'!P15)</f>
        <v>-0.59599999999999997</v>
      </c>
    </row>
    <row r="761" spans="2:7">
      <c r="B761" s="821" t="str">
        <f>'2A'!BU16</f>
        <v>BM937CTOT</v>
      </c>
      <c r="D761" s="1882"/>
      <c r="E761" s="1628" t="s">
        <v>8339</v>
      </c>
      <c r="F761" s="1882"/>
      <c r="G761" s="1882">
        <f>IF('2A'!P16="","##BLANK",'2A'!P16)</f>
        <v>0.59600000000000009</v>
      </c>
    </row>
    <row r="762" spans="2:7">
      <c r="B762" s="821" t="str">
        <f>'2A'!BU18</f>
        <v>HP00030CTOT</v>
      </c>
      <c r="D762" s="1882"/>
      <c r="E762" s="1628" t="s">
        <v>8339</v>
      </c>
      <c r="F762" s="1882"/>
      <c r="G762" s="1882">
        <f>IF('2A'!P18="","##BLANK",'2A'!P18)</f>
        <v>20.232334555081366</v>
      </c>
    </row>
    <row r="763" spans="2:7">
      <c r="B763" s="821" t="str">
        <f>'2A'!BU20</f>
        <v>BR75033</v>
      </c>
      <c r="D763" s="1882"/>
      <c r="E763" s="1628" t="s">
        <v>8339</v>
      </c>
      <c r="F763" s="1882"/>
      <c r="G763" s="1882">
        <f>IF('2A'!P20="","##BLANK",'2A'!P20)</f>
        <v>0</v>
      </c>
    </row>
    <row r="764" spans="2:7">
      <c r="B764" s="821" t="str">
        <f>+'2B'!BF6</f>
        <v>BM102WR</v>
      </c>
      <c r="D764" s="1882"/>
      <c r="E764" s="1628" t="s">
        <v>8339</v>
      </c>
      <c r="F764" s="1882"/>
      <c r="G764" s="1882">
        <f>IF('2B'!G6="","##BLANK",'2B'!G6)</f>
        <v>1.6850000000000001</v>
      </c>
    </row>
    <row r="765" spans="2:7">
      <c r="B765" s="821" t="str">
        <f>+'2B'!BF7</f>
        <v>BM336WR</v>
      </c>
      <c r="D765" s="1882"/>
      <c r="E765" s="1628" t="s">
        <v>8339</v>
      </c>
      <c r="F765" s="1882"/>
      <c r="G765" s="1882">
        <f>IF('2B'!G7="","##BLANK",'2B'!G7)</f>
        <v>0</v>
      </c>
    </row>
    <row r="766" spans="2:7">
      <c r="B766" s="821" t="str">
        <f>+'2B'!BF8</f>
        <v>BM131WR</v>
      </c>
      <c r="D766" s="1882"/>
      <c r="E766" s="1628" t="s">
        <v>8339</v>
      </c>
      <c r="F766" s="1882"/>
      <c r="G766" s="1882">
        <f>IF('2B'!G8="","##BLANK",'2B'!G8)</f>
        <v>2.72</v>
      </c>
    </row>
    <row r="767" spans="2:7">
      <c r="B767" s="821" t="str">
        <f>+'2B'!BF9</f>
        <v>BM140WR</v>
      </c>
      <c r="D767" s="1882"/>
      <c r="E767" s="1628" t="s">
        <v>8339</v>
      </c>
      <c r="F767" s="1882"/>
      <c r="G767" s="1882">
        <f>IF('2B'!G9="","##BLANK",'2B'!G9)</f>
        <v>1.6E-2</v>
      </c>
    </row>
    <row r="768" spans="2:7">
      <c r="B768" s="821" t="str">
        <f>+'2B'!BF10</f>
        <v>BM339WRIR</v>
      </c>
      <c r="D768" s="1882"/>
      <c r="E768" s="1628" t="s">
        <v>8339</v>
      </c>
      <c r="F768" s="1882"/>
      <c r="G768" s="1882">
        <f>IF('2B'!G10="","##BLANK",'2B'!G10)</f>
        <v>0.11799999999999999</v>
      </c>
    </row>
    <row r="769" spans="2:7">
      <c r="B769" s="821" t="str">
        <f>+'2B'!BF11</f>
        <v>BM339WRNIR</v>
      </c>
      <c r="D769" s="1882"/>
      <c r="E769" s="1628" t="s">
        <v>8339</v>
      </c>
      <c r="F769" s="1882"/>
      <c r="G769" s="1882">
        <f>IF('2B'!G11="","##BLANK",'2B'!G11)</f>
        <v>0</v>
      </c>
    </row>
    <row r="770" spans="2:7">
      <c r="B770" s="821" t="str">
        <f>+'2B'!BF12</f>
        <v>BM339WRER</v>
      </c>
      <c r="D770" s="1882"/>
      <c r="E770" s="1628" t="s">
        <v>8339</v>
      </c>
      <c r="F770" s="1882"/>
      <c r="G770" s="1882">
        <f>IF('2B'!G12="","##BLANK",'2B'!G12)</f>
        <v>9.952</v>
      </c>
    </row>
    <row r="771" spans="2:7">
      <c r="B771" s="821" t="str">
        <f>+'2B'!BF13</f>
        <v>BM317WR</v>
      </c>
      <c r="D771" s="1882"/>
      <c r="E771" s="1628" t="s">
        <v>8339</v>
      </c>
      <c r="F771" s="1882"/>
      <c r="G771" s="1882">
        <f>IF('2B'!G13="","##BLANK",'2B'!G13)</f>
        <v>1.292</v>
      </c>
    </row>
    <row r="772" spans="2:7">
      <c r="B772" s="821" t="str">
        <f>+'2B'!BF14</f>
        <v>BM319WR</v>
      </c>
      <c r="D772" s="1882"/>
      <c r="E772" s="1628" t="s">
        <v>8339</v>
      </c>
      <c r="F772" s="1882"/>
      <c r="G772" s="1882">
        <f>IF('2B'!G14="","##BLANK",'2B'!G14)</f>
        <v>15.782999999999999</v>
      </c>
    </row>
    <row r="773" spans="2:7">
      <c r="B773" s="821" t="str">
        <f>+'2B'!BF16</f>
        <v>BM323WR</v>
      </c>
      <c r="D773" s="1882"/>
      <c r="E773" s="1628" t="s">
        <v>8339</v>
      </c>
      <c r="F773" s="1882"/>
      <c r="G773" s="1882">
        <f>IF('2B'!G16="","##BLANK",'2B'!G16)</f>
        <v>0.25800000000000001</v>
      </c>
    </row>
    <row r="774" spans="2:7">
      <c r="B774" s="821" t="str">
        <f>+'2B'!BF17</f>
        <v>BM351WR</v>
      </c>
      <c r="D774" s="1882"/>
      <c r="E774" s="1628" t="s">
        <v>8339</v>
      </c>
      <c r="F774" s="1882"/>
      <c r="G774" s="1882">
        <f>IF('2B'!G17="","##BLANK",'2B'!G17)</f>
        <v>16.041</v>
      </c>
    </row>
    <row r="775" spans="2:7">
      <c r="B775" s="821" t="str">
        <f>+'2B'!BF20</f>
        <v>BC30445WR</v>
      </c>
      <c r="D775" s="1882"/>
      <c r="E775" s="1628" t="s">
        <v>8339</v>
      </c>
      <c r="F775" s="1882"/>
      <c r="G775" s="1882">
        <f>IF('2B'!G20="","##BLANK",'2B'!G20)</f>
        <v>0.68243299999999996</v>
      </c>
    </row>
    <row r="776" spans="2:7">
      <c r="B776" s="821" t="str">
        <f>+'2B'!BF21</f>
        <v>CW00036WR</v>
      </c>
      <c r="D776" s="1882"/>
      <c r="E776" s="1628" t="s">
        <v>8339</v>
      </c>
      <c r="F776" s="1882"/>
      <c r="G776" s="1882">
        <f>IF('2B'!G21="","##BLANK",'2B'!G21)</f>
        <v>1.4641093631228497</v>
      </c>
    </row>
    <row r="777" spans="2:7">
      <c r="B777" s="821" t="str">
        <f>+'2B'!BF22</f>
        <v>BC30444WR</v>
      </c>
      <c r="D777" s="1882"/>
      <c r="E777" s="1628" t="s">
        <v>8339</v>
      </c>
      <c r="F777" s="1882"/>
      <c r="G777" s="1882">
        <f>IF('2B'!G22="","##BLANK",'2B'!G22)</f>
        <v>0</v>
      </c>
    </row>
    <row r="778" spans="2:7">
      <c r="B778" s="821" t="str">
        <f>+'2B'!BF23</f>
        <v>CW00037WR</v>
      </c>
      <c r="D778" s="1882"/>
      <c r="E778" s="1628" t="s">
        <v>8339</v>
      </c>
      <c r="F778" s="1882"/>
      <c r="G778" s="1882">
        <f>IF('2B'!G23="","##BLANK",'2B'!G23)</f>
        <v>1.0701603409919898</v>
      </c>
    </row>
    <row r="779" spans="2:7">
      <c r="B779" s="821" t="str">
        <f>+'2B'!BF24</f>
        <v>BC30449WR</v>
      </c>
      <c r="D779" s="1882"/>
      <c r="E779" s="1628" t="s">
        <v>8339</v>
      </c>
      <c r="F779" s="1882"/>
      <c r="G779" s="1882">
        <f>IF('2B'!G24="","##BLANK",'2B'!G24)</f>
        <v>0</v>
      </c>
    </row>
    <row r="780" spans="2:7">
      <c r="B780" s="821" t="str">
        <f>+'2B'!BF25</f>
        <v>BC30498WR</v>
      </c>
      <c r="D780" s="1882"/>
      <c r="E780" s="1628" t="s">
        <v>8339</v>
      </c>
      <c r="F780" s="1882"/>
      <c r="G780" s="1882">
        <f>IF('2B'!G25="","##BLANK",'2B'!G25)</f>
        <v>3.2167027041148395</v>
      </c>
    </row>
    <row r="781" spans="2:7">
      <c r="B781" s="821" t="str">
        <f>+'2B'!BF26</f>
        <v>BM333WR</v>
      </c>
      <c r="D781" s="1882"/>
      <c r="E781" s="1628" t="s">
        <v>8339</v>
      </c>
      <c r="F781" s="1882"/>
      <c r="G781" s="1882">
        <f>IF('2B'!G26="","##BLANK",'2B'!G26)</f>
        <v>6.9999999999999999E-4</v>
      </c>
    </row>
    <row r="782" spans="2:7">
      <c r="B782" s="821" t="str">
        <f>+'2B'!BF27</f>
        <v>BA1070WR</v>
      </c>
      <c r="D782" s="1882"/>
      <c r="E782" s="1628" t="s">
        <v>8339</v>
      </c>
      <c r="F782" s="1882"/>
      <c r="G782" s="1882">
        <f>IF('2B'!G27="","##BLANK",'2B'!G27)</f>
        <v>3.2174027041148396</v>
      </c>
    </row>
    <row r="783" spans="2:7">
      <c r="B783" s="821" t="str">
        <f>+'2B'!BF30</f>
        <v>BA1071WR</v>
      </c>
      <c r="D783" s="1882"/>
      <c r="E783" s="1628" t="s">
        <v>8339</v>
      </c>
      <c r="F783" s="1882"/>
      <c r="G783" s="1882">
        <f>IF('2B'!G30="","##BLANK",'2B'!G30)</f>
        <v>0</v>
      </c>
    </row>
    <row r="784" spans="2:7">
      <c r="B784" s="821" t="str">
        <f>+'2B'!BF32</f>
        <v>BM325WR</v>
      </c>
      <c r="D784" s="1882"/>
      <c r="E784" s="1628" t="s">
        <v>8339</v>
      </c>
      <c r="F784" s="1882"/>
      <c r="G784" s="1882">
        <f>IF('2B'!G32="","##BLANK",'2B'!G32)</f>
        <v>19.25840270411484</v>
      </c>
    </row>
    <row r="785" spans="2:7">
      <c r="B785" s="821" t="str">
        <f>+'2B'!BF35</f>
        <v>CR00558WR</v>
      </c>
      <c r="D785" s="1882"/>
      <c r="E785" s="1628" t="s">
        <v>8339</v>
      </c>
      <c r="F785" s="1882"/>
      <c r="G785" s="1882">
        <f>IF('2B'!G35="","##BLANK",'2B'!G35)</f>
        <v>0</v>
      </c>
    </row>
    <row r="786" spans="2:7">
      <c r="B786" s="821" t="str">
        <f>+'2B'!BF36</f>
        <v>CR00561WR</v>
      </c>
      <c r="D786" s="1882"/>
      <c r="E786" s="1628" t="s">
        <v>8339</v>
      </c>
      <c r="F786" s="1882"/>
      <c r="G786" s="1882">
        <f>IF('2B'!G36="","##BLANK",'2B'!G36)</f>
        <v>0</v>
      </c>
    </row>
    <row r="787" spans="2:7">
      <c r="B787" s="821" t="str">
        <f>+'2B'!BF39</f>
        <v>W3026WR</v>
      </c>
      <c r="D787" s="1882"/>
      <c r="E787" s="1628" t="s">
        <v>8339</v>
      </c>
      <c r="F787" s="1882"/>
      <c r="G787" s="1882">
        <f>IF('2B'!G39="","##BLANK",'2B'!G39)</f>
        <v>19.25840270411484</v>
      </c>
    </row>
    <row r="788" spans="2:7">
      <c r="B788" s="821" t="str">
        <f>+'2B'!BG6</f>
        <v>BM102WN</v>
      </c>
      <c r="D788" s="1882"/>
      <c r="E788" s="1628" t="s">
        <v>8339</v>
      </c>
      <c r="F788" s="1882"/>
      <c r="G788" s="1882">
        <f>IF('2B'!H6="","##BLANK",'2B'!H6)</f>
        <v>6.7789999999999999</v>
      </c>
    </row>
    <row r="789" spans="2:7">
      <c r="B789" s="821" t="str">
        <f>+'2B'!BG7</f>
        <v>BM336WN</v>
      </c>
      <c r="D789" s="1882"/>
      <c r="E789" s="1628" t="s">
        <v>8339</v>
      </c>
      <c r="F789" s="1882"/>
      <c r="G789" s="1882">
        <f>IF('2B'!H7="","##BLANK",'2B'!H7)</f>
        <v>0</v>
      </c>
    </row>
    <row r="790" spans="2:7">
      <c r="B790" s="821" t="str">
        <f>+'2B'!BG8</f>
        <v>BM131WN</v>
      </c>
      <c r="D790" s="1882"/>
      <c r="E790" s="1628" t="s">
        <v>8339</v>
      </c>
      <c r="F790" s="1882"/>
      <c r="G790" s="1882">
        <f>IF('2B'!H8="","##BLANK",'2B'!H8)</f>
        <v>0.10100000000000001</v>
      </c>
    </row>
    <row r="791" spans="2:7">
      <c r="B791" s="821" t="str">
        <f>+'2B'!BG9</f>
        <v>BM140WN</v>
      </c>
      <c r="D791" s="1882"/>
      <c r="E791" s="1628" t="s">
        <v>8339</v>
      </c>
      <c r="F791" s="1882"/>
      <c r="G791" s="1882">
        <f>IF('2B'!H9="","##BLANK",'2B'!H9)</f>
        <v>0.114</v>
      </c>
    </row>
    <row r="792" spans="2:7">
      <c r="B792" s="821" t="str">
        <f>+'2B'!BG10</f>
        <v>BM339WNIR</v>
      </c>
      <c r="D792" s="1882"/>
      <c r="E792" s="1628" t="s">
        <v>8339</v>
      </c>
      <c r="F792" s="1882"/>
      <c r="G792" s="1882">
        <f>IF('2B'!H10="","##BLANK",'2B'!H10)</f>
        <v>1.766</v>
      </c>
    </row>
    <row r="793" spans="2:7">
      <c r="B793" s="821" t="str">
        <f>+'2B'!BG11</f>
        <v>BM339WNNIR</v>
      </c>
      <c r="D793" s="1882"/>
      <c r="E793" s="1628" t="s">
        <v>8339</v>
      </c>
      <c r="F793" s="1882"/>
      <c r="G793" s="1882">
        <f>IF('2B'!H11="","##BLANK",'2B'!H11)</f>
        <v>0</v>
      </c>
    </row>
    <row r="794" spans="2:7">
      <c r="B794" s="821" t="str">
        <f>+'2B'!BG12</f>
        <v>BM339WNER</v>
      </c>
      <c r="D794" s="1882"/>
      <c r="E794" s="1628" t="s">
        <v>8339</v>
      </c>
      <c r="F794" s="1882"/>
      <c r="G794" s="1882">
        <f>IF('2B'!H12="","##BLANK",'2B'!H12)</f>
        <v>34.724000000000004</v>
      </c>
    </row>
    <row r="795" spans="2:7">
      <c r="B795" s="821" t="str">
        <f>+'2B'!BG13</f>
        <v>BM317WN</v>
      </c>
      <c r="D795" s="1882"/>
      <c r="E795" s="1628" t="s">
        <v>8339</v>
      </c>
      <c r="F795" s="1882"/>
      <c r="G795" s="1882">
        <f>IF('2B'!H13="","##BLANK",'2B'!H13)</f>
        <v>3.718</v>
      </c>
    </row>
    <row r="796" spans="2:7">
      <c r="B796" s="821" t="str">
        <f>+'2B'!BG14</f>
        <v>BM319WN</v>
      </c>
      <c r="D796" s="1882"/>
      <c r="E796" s="1628" t="s">
        <v>8339</v>
      </c>
      <c r="F796" s="1882"/>
      <c r="G796" s="1882">
        <f>IF('2B'!H14="","##BLANK",'2B'!H14)</f>
        <v>47.201999999999998</v>
      </c>
    </row>
    <row r="797" spans="2:7">
      <c r="B797" s="821" t="str">
        <f>+'2B'!BG16</f>
        <v>BM323WN</v>
      </c>
      <c r="D797" s="1882"/>
      <c r="E797" s="1628" t="s">
        <v>8339</v>
      </c>
      <c r="F797" s="1882"/>
      <c r="G797" s="1882">
        <f>IF('2B'!H16="","##BLANK",'2B'!H16)</f>
        <v>0.96700000000000008</v>
      </c>
    </row>
    <row r="798" spans="2:7">
      <c r="B798" s="821" t="str">
        <f>+'2B'!BG17</f>
        <v>BM351WN</v>
      </c>
      <c r="D798" s="1882"/>
      <c r="E798" s="1628" t="s">
        <v>8339</v>
      </c>
      <c r="F798" s="1882"/>
      <c r="G798" s="1882">
        <f>IF('2B'!H17="","##BLANK",'2B'!H17)</f>
        <v>48.168999999999997</v>
      </c>
    </row>
    <row r="799" spans="2:7">
      <c r="B799" s="821" t="str">
        <f>+'2B'!BG20</f>
        <v>BC30445WN</v>
      </c>
      <c r="D799" s="1882"/>
      <c r="E799" s="1628" t="s">
        <v>8339</v>
      </c>
      <c r="F799" s="1882"/>
      <c r="G799" s="1882">
        <f>IF('2B'!H20="","##BLANK",'2B'!H20)</f>
        <v>26.31878</v>
      </c>
    </row>
    <row r="800" spans="2:7">
      <c r="B800" s="821" t="str">
        <f>+'2B'!BG21</f>
        <v>CW00036WN</v>
      </c>
      <c r="D800" s="1882"/>
      <c r="E800" s="1628" t="s">
        <v>8339</v>
      </c>
      <c r="F800" s="1882"/>
      <c r="G800" s="1882">
        <f>IF('2B'!H21="","##BLANK",'2B'!H21)</f>
        <v>21.089551382732633</v>
      </c>
    </row>
    <row r="801" spans="2:7">
      <c r="B801" s="821" t="str">
        <f>+'2B'!BG22</f>
        <v>BC30444WN</v>
      </c>
      <c r="D801" s="1882"/>
      <c r="E801" s="1628" t="s">
        <v>8339</v>
      </c>
      <c r="F801" s="1882"/>
      <c r="G801" s="1882">
        <f>IF('2B'!H22="","##BLANK",'2B'!H22)</f>
        <v>10.2643</v>
      </c>
    </row>
    <row r="802" spans="2:7">
      <c r="B802" s="821" t="str">
        <f>+'2B'!BG23</f>
        <v>CW00037WN</v>
      </c>
      <c r="D802" s="1882"/>
      <c r="E802" s="1628" t="s">
        <v>8339</v>
      </c>
      <c r="F802" s="1882"/>
      <c r="G802" s="1882">
        <f>IF('2B'!H23="","##BLANK",'2B'!H23)</f>
        <v>5.8727609064971054</v>
      </c>
    </row>
    <row r="803" spans="2:7">
      <c r="B803" s="821" t="str">
        <f>+'2B'!BG24</f>
        <v>BC30449WN</v>
      </c>
      <c r="D803" s="1882"/>
      <c r="E803" s="1628" t="s">
        <v>8339</v>
      </c>
      <c r="F803" s="1882"/>
      <c r="G803" s="1882">
        <f>IF('2B'!H24="","##BLANK",'2B'!H24)</f>
        <v>1.1260000000000001</v>
      </c>
    </row>
    <row r="804" spans="2:7">
      <c r="B804" s="821" t="str">
        <f>+'2B'!BG25</f>
        <v>BC30498WN</v>
      </c>
      <c r="D804" s="1882"/>
      <c r="E804" s="1628" t="s">
        <v>8339</v>
      </c>
      <c r="F804" s="1882"/>
      <c r="G804" s="1882">
        <f>IF('2B'!H25="","##BLANK",'2B'!H25)</f>
        <v>64.671392289229743</v>
      </c>
    </row>
    <row r="805" spans="2:7">
      <c r="B805" s="821" t="str">
        <f>+'2B'!BG26</f>
        <v>BM333WN</v>
      </c>
      <c r="D805" s="1882"/>
      <c r="E805" s="1628" t="s">
        <v>8339</v>
      </c>
      <c r="F805" s="1882"/>
      <c r="G805" s="1882">
        <f>IF('2B'!H26="","##BLANK",'2B'!H26)</f>
        <v>0.37496000000000007</v>
      </c>
    </row>
    <row r="806" spans="2:7">
      <c r="B806" s="821" t="str">
        <f>+'2B'!BG27</f>
        <v>BA1070WN</v>
      </c>
      <c r="D806" s="1882"/>
      <c r="E806" s="1628" t="s">
        <v>8339</v>
      </c>
      <c r="F806" s="1882"/>
      <c r="G806" s="1882">
        <f>IF('2B'!H27="","##BLANK",'2B'!H27)</f>
        <v>65.046352289229745</v>
      </c>
    </row>
    <row r="807" spans="2:7">
      <c r="B807" s="821" t="str">
        <f>+'2B'!BG30</f>
        <v>BA1071WN</v>
      </c>
      <c r="D807" s="1882"/>
      <c r="E807" s="1628" t="s">
        <v>8339</v>
      </c>
      <c r="F807" s="1882"/>
      <c r="G807" s="1882">
        <f>IF('2B'!H30="","##BLANK",'2B'!H30)</f>
        <v>4.391</v>
      </c>
    </row>
    <row r="808" spans="2:7">
      <c r="B808" s="821" t="str">
        <f>+'2B'!BG32</f>
        <v>BM325WN</v>
      </c>
      <c r="D808" s="1882"/>
      <c r="E808" s="1628" t="s">
        <v>8339</v>
      </c>
      <c r="F808" s="1882"/>
      <c r="G808" s="1882">
        <f>IF('2B'!H32="","##BLANK",'2B'!H32)</f>
        <v>108.82435228922974</v>
      </c>
    </row>
    <row r="809" spans="2:7">
      <c r="B809" s="821" t="str">
        <f>+'2B'!BG35</f>
        <v>CR00558WN</v>
      </c>
      <c r="D809" s="1882"/>
      <c r="E809" s="1628" t="s">
        <v>8339</v>
      </c>
      <c r="F809" s="1882"/>
      <c r="G809" s="1882">
        <f>IF('2B'!H35="","##BLANK",'2B'!H35)</f>
        <v>0</v>
      </c>
    </row>
    <row r="810" spans="2:7">
      <c r="B810" s="821" t="str">
        <f>+'2B'!BG36</f>
        <v>CR00561WN</v>
      </c>
      <c r="D810" s="1882"/>
      <c r="E810" s="1628" t="s">
        <v>8339</v>
      </c>
      <c r="F810" s="1882"/>
      <c r="G810" s="1882">
        <f>IF('2B'!H36="","##BLANK",'2B'!H36)</f>
        <v>0</v>
      </c>
    </row>
    <row r="811" spans="2:7">
      <c r="B811" s="821" t="str">
        <f>+'2B'!BG39</f>
        <v>W3026WN</v>
      </c>
      <c r="D811" s="1882"/>
      <c r="E811" s="1628" t="s">
        <v>8339</v>
      </c>
      <c r="F811" s="1882"/>
      <c r="G811" s="1882">
        <f>IF('2B'!H39="","##BLANK",'2B'!H39)</f>
        <v>108.82435228922974</v>
      </c>
    </row>
    <row r="812" spans="2:7">
      <c r="B812" s="821" t="str">
        <f>+'2B'!BH6</f>
        <v>BM802WNK</v>
      </c>
      <c r="D812" s="1882"/>
      <c r="E812" s="1628" t="s">
        <v>8339</v>
      </c>
      <c r="F812" s="1882"/>
      <c r="G812" s="1882">
        <f>IF('2B'!I6="","##BLANK",'2B'!I6)</f>
        <v>0</v>
      </c>
    </row>
    <row r="813" spans="2:7">
      <c r="B813" s="821" t="str">
        <f>+'2B'!BH7</f>
        <v>BM836WNK</v>
      </c>
      <c r="D813" s="1882"/>
      <c r="E813" s="1628" t="s">
        <v>8339</v>
      </c>
      <c r="F813" s="1882"/>
      <c r="G813" s="1882">
        <f>IF('2B'!I7="","##BLANK",'2B'!I7)</f>
        <v>0</v>
      </c>
    </row>
    <row r="814" spans="2:7">
      <c r="B814" s="821" t="str">
        <f>+'2B'!BH8</f>
        <v>BM831WNK</v>
      </c>
      <c r="D814" s="1882"/>
      <c r="E814" s="1628" t="s">
        <v>8339</v>
      </c>
      <c r="F814" s="1882"/>
      <c r="G814" s="1882">
        <f>IF('2B'!I8="","##BLANK",'2B'!I8)</f>
        <v>0</v>
      </c>
    </row>
    <row r="815" spans="2:7">
      <c r="B815" s="821" t="str">
        <f>+'2B'!BH9</f>
        <v>BM140WNK</v>
      </c>
      <c r="D815" s="1882"/>
      <c r="E815" s="1628" t="s">
        <v>8339</v>
      </c>
      <c r="F815" s="1882"/>
      <c r="G815" s="1882">
        <f>IF('2B'!I9="","##BLANK",'2B'!I9)</f>
        <v>0</v>
      </c>
    </row>
    <row r="816" spans="2:7">
      <c r="B816" s="821" t="str">
        <f>+'2B'!BH10</f>
        <v>BM839WNKIR</v>
      </c>
      <c r="D816" s="1882"/>
      <c r="E816" s="1628" t="s">
        <v>8339</v>
      </c>
      <c r="F816" s="1882"/>
      <c r="G816" s="1882">
        <f>IF('2B'!I10="","##BLANK",'2B'!I10)</f>
        <v>0</v>
      </c>
    </row>
    <row r="817" spans="2:7">
      <c r="B817" s="821" t="str">
        <f>+'2B'!BH11</f>
        <v>BM839WNKNIR</v>
      </c>
      <c r="D817" s="1882"/>
      <c r="E817" s="1628" t="s">
        <v>8339</v>
      </c>
      <c r="F817" s="1882"/>
      <c r="G817" s="1882">
        <f>IF('2B'!I11="","##BLANK",'2B'!I11)</f>
        <v>0</v>
      </c>
    </row>
    <row r="818" spans="2:7">
      <c r="B818" s="821" t="str">
        <f>+'2B'!BH12</f>
        <v>BM839WNKER</v>
      </c>
      <c r="D818" s="1882"/>
      <c r="E818" s="1628" t="s">
        <v>8339</v>
      </c>
      <c r="F818" s="1882"/>
      <c r="G818" s="1882">
        <f>IF('2B'!I12="","##BLANK",'2B'!I12)</f>
        <v>0</v>
      </c>
    </row>
    <row r="819" spans="2:7">
      <c r="B819" s="821" t="str">
        <f>+'2B'!BH13</f>
        <v>BM817WNK</v>
      </c>
      <c r="D819" s="1882"/>
      <c r="E819" s="1628" t="s">
        <v>8339</v>
      </c>
      <c r="F819" s="1882"/>
      <c r="G819" s="1882">
        <f>IF('2B'!I13="","##BLANK",'2B'!I13)</f>
        <v>0</v>
      </c>
    </row>
    <row r="820" spans="2:7">
      <c r="B820" s="821" t="str">
        <f>+'2B'!BH14</f>
        <v>BM844WNK</v>
      </c>
      <c r="D820" s="1882"/>
      <c r="E820" s="1628" t="s">
        <v>8339</v>
      </c>
      <c r="F820" s="1882"/>
      <c r="G820" s="1882">
        <f>IF('2B'!I14="","##BLANK",'2B'!I14)</f>
        <v>0</v>
      </c>
    </row>
    <row r="821" spans="2:7">
      <c r="B821" s="821" t="str">
        <f>+'2B'!BH16</f>
        <v>BM823WNK</v>
      </c>
      <c r="D821" s="1882"/>
      <c r="E821" s="1628" t="s">
        <v>8339</v>
      </c>
      <c r="F821" s="1882"/>
      <c r="G821" s="1882">
        <f>IF('2B'!I16="","##BLANK",'2B'!I16)</f>
        <v>0</v>
      </c>
    </row>
    <row r="822" spans="2:7">
      <c r="B822" s="821" t="str">
        <f>+'2B'!BH17</f>
        <v>BM850WNK</v>
      </c>
      <c r="D822" s="1882"/>
      <c r="E822" s="1628" t="s">
        <v>8339</v>
      </c>
      <c r="F822" s="1882"/>
      <c r="G822" s="1882">
        <f>IF('2B'!I17="","##BLANK",'2B'!I17)</f>
        <v>0</v>
      </c>
    </row>
    <row r="823" spans="2:7">
      <c r="B823" s="821" t="str">
        <f>+'2B'!BH20</f>
        <v>BC30945WNK</v>
      </c>
      <c r="D823" s="1882"/>
      <c r="E823" s="1628" t="s">
        <v>8339</v>
      </c>
      <c r="F823" s="1882"/>
      <c r="G823" s="1882">
        <f>IF('2B'!I20="","##BLANK",'2B'!I20)</f>
        <v>0</v>
      </c>
    </row>
    <row r="824" spans="2:7">
      <c r="B824" s="821" t="str">
        <f>+'2B'!BH21</f>
        <v>CS00036WNK</v>
      </c>
      <c r="D824" s="1882"/>
      <c r="E824" s="1628" t="s">
        <v>8339</v>
      </c>
      <c r="F824" s="1882"/>
      <c r="G824" s="1882">
        <f>IF('2B'!I21="","##BLANK",'2B'!I21)</f>
        <v>0</v>
      </c>
    </row>
    <row r="825" spans="2:7">
      <c r="B825" s="821" t="str">
        <f>+'2B'!BH22</f>
        <v>BC30944WNK</v>
      </c>
      <c r="D825" s="1882"/>
      <c r="E825" s="1628" t="s">
        <v>8339</v>
      </c>
      <c r="F825" s="1882"/>
      <c r="G825" s="1882">
        <f>IF('2B'!I22="","##BLANK",'2B'!I22)</f>
        <v>0</v>
      </c>
    </row>
    <row r="826" spans="2:7">
      <c r="B826" s="821" t="str">
        <f>+'2B'!BH23</f>
        <v>CS00037WNK</v>
      </c>
      <c r="D826" s="1882"/>
      <c r="E826" s="1628" t="s">
        <v>8339</v>
      </c>
      <c r="F826" s="1882"/>
      <c r="G826" s="1882">
        <f>IF('2B'!I23="","##BLANK",'2B'!I23)</f>
        <v>0</v>
      </c>
    </row>
    <row r="827" spans="2:7">
      <c r="B827" s="821" t="str">
        <f>+'2B'!BH24</f>
        <v>BC30849WNK</v>
      </c>
      <c r="D827" s="1882"/>
      <c r="E827" s="1628" t="s">
        <v>8339</v>
      </c>
      <c r="F827" s="1882"/>
      <c r="G827" s="1882">
        <f>IF('2B'!I24="","##BLANK",'2B'!I24)</f>
        <v>0</v>
      </c>
    </row>
    <row r="828" spans="2:7">
      <c r="B828" s="821" t="str">
        <f>+'2B'!BH25</f>
        <v>BC30998WNK</v>
      </c>
      <c r="D828" s="1882"/>
      <c r="E828" s="1628" t="s">
        <v>8339</v>
      </c>
      <c r="F828" s="1882"/>
      <c r="G828" s="1882">
        <f>IF('2B'!I25="","##BLANK",'2B'!I25)</f>
        <v>0</v>
      </c>
    </row>
    <row r="829" spans="2:7">
      <c r="B829" s="821" t="str">
        <f>+'2B'!BH26</f>
        <v>BM833WNK</v>
      </c>
      <c r="D829" s="1882"/>
      <c r="E829" s="1628" t="s">
        <v>8339</v>
      </c>
      <c r="F829" s="1882"/>
      <c r="G829" s="1882">
        <f>IF('2B'!I26="","##BLANK",'2B'!I26)</f>
        <v>0</v>
      </c>
    </row>
    <row r="830" spans="2:7">
      <c r="B830" s="821" t="str">
        <f>+'2B'!BH27</f>
        <v>BA2120WNK</v>
      </c>
      <c r="D830" s="1882"/>
      <c r="E830" s="1628" t="s">
        <v>8339</v>
      </c>
      <c r="F830" s="1882"/>
      <c r="G830" s="1882">
        <f>IF('2B'!I27="","##BLANK",'2B'!I27)</f>
        <v>0</v>
      </c>
    </row>
    <row r="831" spans="2:7">
      <c r="B831" s="821" t="str">
        <f>+'2B'!BH30</f>
        <v>BA2121WNK</v>
      </c>
      <c r="D831" s="1882"/>
      <c r="E831" s="1628" t="s">
        <v>8339</v>
      </c>
      <c r="F831" s="1882"/>
      <c r="G831" s="1882">
        <f>IF('2B'!I30="","##BLANK",'2B'!I30)</f>
        <v>0</v>
      </c>
    </row>
    <row r="832" spans="2:7">
      <c r="B832" s="821" t="str">
        <f>+'2B'!BH32</f>
        <v>BM825WNK</v>
      </c>
      <c r="D832" s="1882"/>
      <c r="E832" s="1628" t="s">
        <v>8339</v>
      </c>
      <c r="F832" s="1882"/>
      <c r="G832" s="1882">
        <f>IF('2B'!I32="","##BLANK",'2B'!I32)</f>
        <v>0</v>
      </c>
    </row>
    <row r="833" spans="2:7">
      <c r="B833" s="821" t="str">
        <f>+'2B'!BH35</f>
        <v>CR00559WNK</v>
      </c>
      <c r="D833" s="1882"/>
      <c r="E833" s="1628" t="s">
        <v>8339</v>
      </c>
      <c r="F833" s="1882"/>
      <c r="G833" s="1882">
        <f>IF('2B'!I35="","##BLANK",'2B'!I35)</f>
        <v>0</v>
      </c>
    </row>
    <row r="834" spans="2:7">
      <c r="B834" s="821" t="str">
        <f>+'2B'!BH36</f>
        <v>CR00562WNK</v>
      </c>
      <c r="D834" s="1882"/>
      <c r="E834" s="1628" t="s">
        <v>8339</v>
      </c>
      <c r="F834" s="1882"/>
      <c r="G834" s="1882">
        <f>IF('2B'!I36="","##BLANK",'2B'!I36)</f>
        <v>0</v>
      </c>
    </row>
    <row r="835" spans="2:7">
      <c r="B835" s="821" t="str">
        <f>+'2B'!BH39</f>
        <v>S3040WNK</v>
      </c>
      <c r="D835" s="1882"/>
      <c r="E835" s="1628" t="s">
        <v>8339</v>
      </c>
      <c r="F835" s="1882"/>
      <c r="G835" s="1882">
        <f>IF('2B'!I39="","##BLANK",'2B'!I39)</f>
        <v>0</v>
      </c>
    </row>
    <row r="836" spans="2:7">
      <c r="B836" s="821" t="str">
        <f>+'2B'!BI6</f>
        <v>BM802SG</v>
      </c>
      <c r="D836" s="1882"/>
      <c r="E836" s="1628" t="s">
        <v>8339</v>
      </c>
      <c r="F836" s="1882"/>
      <c r="G836" s="1882">
        <f>IF('2B'!J6="","##BLANK",'2B'!J6)</f>
        <v>0</v>
      </c>
    </row>
    <row r="837" spans="2:7">
      <c r="B837" s="821" t="str">
        <f>+'2B'!BI7</f>
        <v>BM836SG</v>
      </c>
      <c r="D837" s="1882"/>
      <c r="E837" s="1628" t="s">
        <v>8339</v>
      </c>
      <c r="F837" s="1882"/>
      <c r="G837" s="1882">
        <f>IF('2B'!J7="","##BLANK",'2B'!J7)</f>
        <v>0</v>
      </c>
    </row>
    <row r="838" spans="2:7">
      <c r="B838" s="821" t="str">
        <f>+'2B'!BI8</f>
        <v>BM831SG</v>
      </c>
      <c r="D838" s="1882"/>
      <c r="E838" s="1628" t="s">
        <v>8339</v>
      </c>
      <c r="F838" s="1882"/>
      <c r="G838" s="1882">
        <f>IF('2B'!J8="","##BLANK",'2B'!J8)</f>
        <v>0</v>
      </c>
    </row>
    <row r="839" spans="2:7">
      <c r="B839" s="821" t="str">
        <f>+'2B'!BI9</f>
        <v>BM140SG</v>
      </c>
      <c r="D839" s="1882"/>
      <c r="E839" s="1628" t="s">
        <v>8339</v>
      </c>
      <c r="F839" s="1882"/>
      <c r="G839" s="1882">
        <f>IF('2B'!J9="","##BLANK",'2B'!J9)</f>
        <v>0</v>
      </c>
    </row>
    <row r="840" spans="2:7">
      <c r="B840" s="821" t="str">
        <f>+'2B'!BI10</f>
        <v>BM839SGIR</v>
      </c>
      <c r="D840" s="1882"/>
      <c r="E840" s="1628" t="s">
        <v>8339</v>
      </c>
      <c r="F840" s="1882"/>
      <c r="G840" s="1882">
        <f>IF('2B'!J10="","##BLANK",'2B'!J10)</f>
        <v>0</v>
      </c>
    </row>
    <row r="841" spans="2:7">
      <c r="B841" s="821" t="str">
        <f>+'2B'!BI11</f>
        <v>BM839SGNIR</v>
      </c>
      <c r="D841" s="1882"/>
      <c r="E841" s="1628" t="s">
        <v>8339</v>
      </c>
      <c r="F841" s="1882"/>
      <c r="G841" s="1882">
        <f>IF('2B'!J11="","##BLANK",'2B'!J11)</f>
        <v>0</v>
      </c>
    </row>
    <row r="842" spans="2:7">
      <c r="B842" s="821" t="str">
        <f>+'2B'!BI12</f>
        <v>BM839SGER</v>
      </c>
      <c r="D842" s="1882"/>
      <c r="E842" s="1628" t="s">
        <v>8339</v>
      </c>
      <c r="F842" s="1882"/>
      <c r="G842" s="1882">
        <f>IF('2B'!J12="","##BLANK",'2B'!J12)</f>
        <v>0</v>
      </c>
    </row>
    <row r="843" spans="2:7">
      <c r="B843" s="821" t="str">
        <f>+'2B'!BI13</f>
        <v>BM817SG</v>
      </c>
      <c r="D843" s="1882"/>
      <c r="E843" s="1628" t="s">
        <v>8339</v>
      </c>
      <c r="F843" s="1882"/>
      <c r="G843" s="1882">
        <f>IF('2B'!J13="","##BLANK",'2B'!J13)</f>
        <v>0</v>
      </c>
    </row>
    <row r="844" spans="2:7">
      <c r="B844" s="821" t="str">
        <f>+'2B'!BI14</f>
        <v>BM844SG</v>
      </c>
      <c r="D844" s="1882"/>
      <c r="E844" s="1628" t="s">
        <v>8339</v>
      </c>
      <c r="F844" s="1882"/>
      <c r="G844" s="1882">
        <f>IF('2B'!J14="","##BLANK",'2B'!J14)</f>
        <v>0</v>
      </c>
    </row>
    <row r="845" spans="2:7">
      <c r="B845" s="821" t="str">
        <f>+'2B'!BI16</f>
        <v>BM823SG</v>
      </c>
      <c r="D845" s="1882"/>
      <c r="E845" s="1628" t="s">
        <v>8339</v>
      </c>
      <c r="F845" s="1882"/>
      <c r="G845" s="1882">
        <f>IF('2B'!J16="","##BLANK",'2B'!J16)</f>
        <v>0</v>
      </c>
    </row>
    <row r="846" spans="2:7">
      <c r="B846" s="821" t="str">
        <f>+'2B'!BI17</f>
        <v>BM850SG</v>
      </c>
      <c r="D846" s="1882"/>
      <c r="E846" s="1628" t="s">
        <v>8339</v>
      </c>
      <c r="F846" s="1882"/>
      <c r="G846" s="1882">
        <f>IF('2B'!J17="","##BLANK",'2B'!J17)</f>
        <v>0</v>
      </c>
    </row>
    <row r="847" spans="2:7">
      <c r="B847" s="821" t="str">
        <f>+'2B'!BI20</f>
        <v>BC30945SG</v>
      </c>
      <c r="D847" s="1882"/>
      <c r="E847" s="1628" t="s">
        <v>8339</v>
      </c>
      <c r="F847" s="1882"/>
      <c r="G847" s="1882">
        <f>IF('2B'!J20="","##BLANK",'2B'!J20)</f>
        <v>0</v>
      </c>
    </row>
    <row r="848" spans="2:7">
      <c r="B848" s="821" t="str">
        <f>+'2B'!BI21</f>
        <v>CS00036SG</v>
      </c>
      <c r="D848" s="1882"/>
      <c r="E848" s="1628" t="s">
        <v>8339</v>
      </c>
      <c r="F848" s="1882"/>
      <c r="G848" s="1882">
        <f>IF('2B'!J21="","##BLANK",'2B'!J21)</f>
        <v>0</v>
      </c>
    </row>
    <row r="849" spans="2:7">
      <c r="B849" s="821" t="str">
        <f>+'2B'!BI22</f>
        <v>BC30944SG</v>
      </c>
      <c r="D849" s="1882"/>
      <c r="E849" s="1628" t="s">
        <v>8339</v>
      </c>
      <c r="F849" s="1882"/>
      <c r="G849" s="1882">
        <f>IF('2B'!J22="","##BLANK",'2B'!J22)</f>
        <v>0</v>
      </c>
    </row>
    <row r="850" spans="2:7">
      <c r="B850" s="821" t="str">
        <f>+'2B'!BI23</f>
        <v>CS00037SG</v>
      </c>
      <c r="D850" s="1882"/>
      <c r="E850" s="1628" t="s">
        <v>8339</v>
      </c>
      <c r="F850" s="1882"/>
      <c r="G850" s="1882">
        <f>IF('2B'!J23="","##BLANK",'2B'!J23)</f>
        <v>0</v>
      </c>
    </row>
    <row r="851" spans="2:7">
      <c r="B851" s="821" t="str">
        <f>+'2B'!BI24</f>
        <v>BC30849SG</v>
      </c>
      <c r="D851" s="1882"/>
      <c r="E851" s="1628" t="s">
        <v>8339</v>
      </c>
      <c r="F851" s="1882"/>
      <c r="G851" s="1882">
        <f>IF('2B'!J24="","##BLANK",'2B'!J24)</f>
        <v>0</v>
      </c>
    </row>
    <row r="852" spans="2:7">
      <c r="B852" s="821" t="str">
        <f>+'2B'!BI25</f>
        <v>BC30998SG</v>
      </c>
      <c r="D852" s="1882"/>
      <c r="E852" s="1628" t="s">
        <v>8339</v>
      </c>
      <c r="F852" s="1882"/>
      <c r="G852" s="1882">
        <f>IF('2B'!J25="","##BLANK",'2B'!J25)</f>
        <v>0</v>
      </c>
    </row>
    <row r="853" spans="2:7">
      <c r="B853" s="821" t="str">
        <f>+'2B'!BI26</f>
        <v>BM833SG</v>
      </c>
      <c r="D853" s="1882"/>
      <c r="E853" s="1628" t="s">
        <v>8339</v>
      </c>
      <c r="F853" s="1882"/>
      <c r="G853" s="1882">
        <f>IF('2B'!J26="","##BLANK",'2B'!J26)</f>
        <v>0</v>
      </c>
    </row>
    <row r="854" spans="2:7">
      <c r="B854" s="821" t="str">
        <f>+'2B'!BI27</f>
        <v>BA2120SG</v>
      </c>
      <c r="D854" s="1882"/>
      <c r="E854" s="1628" t="s">
        <v>8339</v>
      </c>
      <c r="F854" s="1882"/>
      <c r="G854" s="1882">
        <f>IF('2B'!J27="","##BLANK",'2B'!J27)</f>
        <v>0</v>
      </c>
    </row>
    <row r="855" spans="2:7">
      <c r="B855" s="821" t="str">
        <f>+'2B'!BI30</f>
        <v>BA2121SG</v>
      </c>
      <c r="D855" s="1882"/>
      <c r="E855" s="1628" t="s">
        <v>8339</v>
      </c>
      <c r="F855" s="1882"/>
      <c r="G855" s="1882">
        <f>IF('2B'!J30="","##BLANK",'2B'!J30)</f>
        <v>0</v>
      </c>
    </row>
    <row r="856" spans="2:7">
      <c r="B856" s="821" t="str">
        <f>+'2B'!BI32</f>
        <v>BM825SG</v>
      </c>
      <c r="D856" s="1882"/>
      <c r="E856" s="1628" t="s">
        <v>8339</v>
      </c>
      <c r="F856" s="1882"/>
      <c r="G856" s="1882">
        <f>IF('2B'!J32="","##BLANK",'2B'!J32)</f>
        <v>0</v>
      </c>
    </row>
    <row r="857" spans="2:7">
      <c r="B857" s="821" t="str">
        <f>+'2B'!BI35</f>
        <v>CR00559SG</v>
      </c>
      <c r="D857" s="1882"/>
      <c r="E857" s="1628" t="s">
        <v>8339</v>
      </c>
      <c r="F857" s="1882"/>
      <c r="G857" s="1882">
        <f>IF('2B'!J35="","##BLANK",'2B'!J35)</f>
        <v>0</v>
      </c>
    </row>
    <row r="858" spans="2:7">
      <c r="B858" s="821" t="str">
        <f>+'2B'!BI36</f>
        <v>CR00562SG</v>
      </c>
      <c r="D858" s="1882"/>
      <c r="E858" s="1628" t="s">
        <v>8339</v>
      </c>
      <c r="F858" s="1882"/>
      <c r="G858" s="1882">
        <f>IF('2B'!J36="","##BLANK",'2B'!J36)</f>
        <v>0</v>
      </c>
    </row>
    <row r="859" spans="2:7">
      <c r="B859" s="821" t="str">
        <f>+'2B'!BI39</f>
        <v>S3040SG</v>
      </c>
      <c r="D859" s="1882"/>
      <c r="E859" s="1628" t="s">
        <v>8339</v>
      </c>
      <c r="F859" s="1882"/>
      <c r="G859" s="1882">
        <f>IF('2B'!J39="","##BLANK",'2B'!J39)</f>
        <v>0</v>
      </c>
    </row>
    <row r="860" spans="2:7">
      <c r="B860" s="821" t="str">
        <f>+'2B'!BJ6</f>
        <v>BM802TTT</v>
      </c>
      <c r="D860" s="1882"/>
      <c r="E860" s="1628" t="s">
        <v>8339</v>
      </c>
      <c r="F860" s="1882"/>
      <c r="G860" s="1882" t="str">
        <f>IF('2B'!K6="","##BLANK",'2B'!K6)</f>
        <v>##BLANK</v>
      </c>
    </row>
    <row r="861" spans="2:7">
      <c r="B861" s="821" t="str">
        <f>+'2B'!BJ7</f>
        <v>BM836TTT</v>
      </c>
      <c r="D861" s="1882"/>
      <c r="E861" s="1628" t="s">
        <v>8339</v>
      </c>
      <c r="F861" s="1882"/>
      <c r="G861" s="1882" t="str">
        <f>IF('2B'!K7="","##BLANK",'2B'!K7)</f>
        <v>##BLANK</v>
      </c>
    </row>
    <row r="862" spans="2:7">
      <c r="B862" s="821" t="str">
        <f>+'2B'!BJ8</f>
        <v>BM831TTT</v>
      </c>
      <c r="D862" s="1882"/>
      <c r="E862" s="1628" t="s">
        <v>8339</v>
      </c>
      <c r="F862" s="1882"/>
      <c r="G862" s="1882" t="str">
        <f>IF('2B'!K8="","##BLANK",'2B'!K8)</f>
        <v>##BLANK</v>
      </c>
    </row>
    <row r="863" spans="2:7">
      <c r="B863" s="821" t="str">
        <f>+'2B'!BJ9</f>
        <v>BM140TTT</v>
      </c>
      <c r="D863" s="1882"/>
      <c r="E863" s="1628" t="s">
        <v>8339</v>
      </c>
      <c r="F863" s="1882"/>
      <c r="G863" s="1882" t="str">
        <f>IF('2B'!K9="","##BLANK",'2B'!K9)</f>
        <v>##BLANK</v>
      </c>
    </row>
    <row r="864" spans="2:7">
      <c r="B864" s="821" t="str">
        <f>+'2B'!BJ10</f>
        <v>BM839TTTIR</v>
      </c>
      <c r="D864" s="1882"/>
      <c r="E864" s="1628" t="s">
        <v>8339</v>
      </c>
      <c r="F864" s="1882"/>
      <c r="G864" s="1882" t="str">
        <f>IF('2B'!K10="","##BLANK",'2B'!K10)</f>
        <v>##BLANK</v>
      </c>
    </row>
    <row r="865" spans="2:7">
      <c r="B865" s="821" t="str">
        <f>+'2B'!BJ11</f>
        <v>BM839TTTNIR</v>
      </c>
      <c r="D865" s="1882"/>
      <c r="E865" s="1628" t="s">
        <v>8339</v>
      </c>
      <c r="F865" s="1882"/>
      <c r="G865" s="1882" t="str">
        <f>IF('2B'!K11="","##BLANK",'2B'!K11)</f>
        <v>##BLANK</v>
      </c>
    </row>
    <row r="866" spans="2:7">
      <c r="B866" s="821" t="str">
        <f>+'2B'!BJ12</f>
        <v>BM839TTTER</v>
      </c>
      <c r="D866" s="1882"/>
      <c r="E866" s="1628" t="s">
        <v>8339</v>
      </c>
      <c r="F866" s="1882"/>
      <c r="G866" s="1882" t="str">
        <f>IF('2B'!K12="","##BLANK",'2B'!K12)</f>
        <v>##BLANK</v>
      </c>
    </row>
    <row r="867" spans="2:7">
      <c r="B867" s="821" t="str">
        <f>+'2B'!BJ13</f>
        <v>BM817TTT</v>
      </c>
      <c r="D867" s="1882"/>
      <c r="E867" s="1628" t="s">
        <v>8339</v>
      </c>
      <c r="F867" s="1882"/>
      <c r="G867" s="1882" t="str">
        <f>IF('2B'!K13="","##BLANK",'2B'!K13)</f>
        <v>##BLANK</v>
      </c>
    </row>
    <row r="868" spans="2:7">
      <c r="B868" s="821" t="str">
        <f>+'2B'!BJ14</f>
        <v>BM844TTT</v>
      </c>
      <c r="D868" s="1882"/>
      <c r="E868" s="1628" t="s">
        <v>8339</v>
      </c>
      <c r="F868" s="1882"/>
      <c r="G868" s="1882">
        <f>IF('2B'!K14="","##BLANK",'2B'!K14)</f>
        <v>0</v>
      </c>
    </row>
    <row r="869" spans="2:7">
      <c r="B869" s="821" t="str">
        <f>+'2B'!BJ16</f>
        <v>BM823TTT</v>
      </c>
      <c r="D869" s="1882"/>
      <c r="E869" s="1628" t="s">
        <v>8339</v>
      </c>
      <c r="F869" s="1882"/>
      <c r="G869" s="1882" t="str">
        <f>IF('2B'!K16="","##BLANK",'2B'!K16)</f>
        <v>##BLANK</v>
      </c>
    </row>
    <row r="870" spans="2:7">
      <c r="B870" s="821" t="str">
        <f>+'2B'!BJ17</f>
        <v>BM850TTT</v>
      </c>
      <c r="D870" s="1882"/>
      <c r="E870" s="1628" t="s">
        <v>8339</v>
      </c>
      <c r="F870" s="1882"/>
      <c r="G870" s="1882">
        <f>IF('2B'!K17="","##BLANK",'2B'!K17)</f>
        <v>0</v>
      </c>
    </row>
    <row r="871" spans="2:7">
      <c r="B871" s="821" t="str">
        <f>+'2B'!BJ20</f>
        <v>BC30945TTT</v>
      </c>
      <c r="D871" s="1882"/>
      <c r="E871" s="1628" t="s">
        <v>8339</v>
      </c>
      <c r="F871" s="1882"/>
      <c r="G871" s="1882" t="str">
        <f>IF('2B'!K20="","##BLANK",'2B'!K20)</f>
        <v>##BLANK</v>
      </c>
    </row>
    <row r="872" spans="2:7">
      <c r="B872" s="821" t="str">
        <f>+'2B'!BJ21</f>
        <v>CS00036TTT</v>
      </c>
      <c r="D872" s="1882"/>
      <c r="E872" s="1628" t="s">
        <v>8339</v>
      </c>
      <c r="F872" s="1882"/>
      <c r="G872" s="1882" t="str">
        <f>IF('2B'!K21="","##BLANK",'2B'!K21)</f>
        <v>##BLANK</v>
      </c>
    </row>
    <row r="873" spans="2:7">
      <c r="B873" s="821" t="str">
        <f>+'2B'!BJ22</f>
        <v>BA2051TTT</v>
      </c>
      <c r="D873" s="1882"/>
      <c r="E873" s="1628" t="s">
        <v>8339</v>
      </c>
      <c r="F873" s="1882"/>
      <c r="G873" s="1882" t="str">
        <f>IF('2B'!K22="","##BLANK",'2B'!K22)</f>
        <v>##BLANK</v>
      </c>
    </row>
    <row r="874" spans="2:7">
      <c r="B874" s="821" t="str">
        <f>+'2B'!BJ23</f>
        <v>BA2061TTT</v>
      </c>
      <c r="D874" s="1882"/>
      <c r="E874" s="1628" t="s">
        <v>8339</v>
      </c>
      <c r="F874" s="1882"/>
      <c r="G874" s="1882" t="str">
        <f>IF('2B'!K23="","##BLANK",'2B'!K23)</f>
        <v>##BLANK</v>
      </c>
    </row>
    <row r="875" spans="2:7">
      <c r="B875" s="821" t="str">
        <f>+'2B'!BJ24</f>
        <v>BC30849TTT</v>
      </c>
      <c r="D875" s="1882"/>
      <c r="E875" s="1628" t="s">
        <v>8339</v>
      </c>
      <c r="F875" s="1882"/>
      <c r="G875" s="1882" t="str">
        <f>IF('2B'!K24="","##BLANK",'2B'!K24)</f>
        <v>##BLANK</v>
      </c>
    </row>
    <row r="876" spans="2:7">
      <c r="B876" s="821" t="str">
        <f>+'2B'!BJ25</f>
        <v>BM815TTT</v>
      </c>
      <c r="D876" s="1882"/>
      <c r="E876" s="1628" t="s">
        <v>8339</v>
      </c>
      <c r="F876" s="1882"/>
      <c r="G876" s="1882">
        <f>IF('2B'!K25="","##BLANK",'2B'!K25)</f>
        <v>0</v>
      </c>
    </row>
    <row r="877" spans="2:7">
      <c r="B877" s="821" t="str">
        <f>+'2B'!BJ26</f>
        <v>BM833TTT</v>
      </c>
      <c r="D877" s="1882"/>
      <c r="E877" s="1628" t="s">
        <v>8339</v>
      </c>
      <c r="F877" s="1882"/>
      <c r="G877" s="1882" t="str">
        <f>IF('2B'!K26="","##BLANK",'2B'!K26)</f>
        <v>##BLANK</v>
      </c>
    </row>
    <row r="878" spans="2:7">
      <c r="B878" s="821" t="str">
        <f>+'2B'!BJ27</f>
        <v>BA2120TTT</v>
      </c>
      <c r="D878" s="1882"/>
      <c r="E878" s="1628" t="s">
        <v>8339</v>
      </c>
      <c r="F878" s="1882"/>
      <c r="G878" s="1882">
        <f>IF('2B'!K27="","##BLANK",'2B'!K27)</f>
        <v>0</v>
      </c>
    </row>
    <row r="879" spans="2:7">
      <c r="B879" s="821" t="str">
        <f>+'2B'!BJ30</f>
        <v>BA2090PCTTT</v>
      </c>
      <c r="D879" s="1882"/>
      <c r="E879" s="1628" t="s">
        <v>8339</v>
      </c>
      <c r="F879" s="1882"/>
      <c r="G879" s="1882" t="str">
        <f>IF('2B'!K30="","##BLANK",'2B'!K30)</f>
        <v>##BLANK</v>
      </c>
    </row>
    <row r="880" spans="2:7">
      <c r="B880" s="821" t="str">
        <f>+'2B'!BJ32</f>
        <v>S3039TTT</v>
      </c>
      <c r="D880" s="1882"/>
      <c r="E880" s="1628" t="s">
        <v>8339</v>
      </c>
      <c r="F880" s="1882"/>
      <c r="G880" s="1882">
        <f>IF('2B'!K32="","##BLANK",'2B'!K32)</f>
        <v>0</v>
      </c>
    </row>
    <row r="881" spans="2:7">
      <c r="B881" s="821" t="str">
        <f>+'2B'!BJ35</f>
        <v>CR0559TTT</v>
      </c>
      <c r="D881" s="1882"/>
      <c r="E881" s="1628" t="s">
        <v>8339</v>
      </c>
      <c r="F881" s="1882"/>
      <c r="G881" s="1882" t="str">
        <f>IF('2B'!K35="","##BLANK",'2B'!K35)</f>
        <v>##BLANK</v>
      </c>
    </row>
    <row r="882" spans="2:7">
      <c r="B882" s="821" t="str">
        <f>+'2B'!BJ36</f>
        <v>CR00562TTT</v>
      </c>
      <c r="D882" s="1882"/>
      <c r="E882" s="1628" t="s">
        <v>8339</v>
      </c>
      <c r="F882" s="1882"/>
      <c r="G882" s="1882" t="str">
        <f>IF('2B'!K36="","##BLANK",'2B'!K36)</f>
        <v>##BLANK</v>
      </c>
    </row>
    <row r="883" spans="2:7">
      <c r="B883" s="821" t="str">
        <f>+'2B'!BJ39</f>
        <v>S3040TOTTTT</v>
      </c>
      <c r="D883" s="1882"/>
      <c r="E883" s="1628" t="s">
        <v>8339</v>
      </c>
      <c r="F883" s="1882"/>
      <c r="G883" s="1882">
        <f>IF('2B'!K39="","##BLANK",'2B'!K39)</f>
        <v>0</v>
      </c>
    </row>
    <row r="884" spans="2:7">
      <c r="B884" s="821" t="str">
        <f>+'2B'!BK6</f>
        <v>BM902TAS</v>
      </c>
      <c r="D884" s="1882"/>
      <c r="E884" s="1628" t="s">
        <v>8339</v>
      </c>
      <c r="F884" s="1882"/>
      <c r="G884" s="1882">
        <f>IF('2B'!L6="","##BLANK",'2B'!L6)</f>
        <v>8.4640000000000004</v>
      </c>
    </row>
    <row r="885" spans="2:7">
      <c r="B885" s="821" t="str">
        <f>+'2B'!BK7</f>
        <v>BM936TAS</v>
      </c>
      <c r="D885" s="1882"/>
      <c r="E885" s="1628" t="s">
        <v>8339</v>
      </c>
      <c r="F885" s="1882"/>
      <c r="G885" s="1882">
        <f>IF('2B'!L7="","##BLANK",'2B'!L7)</f>
        <v>0</v>
      </c>
    </row>
    <row r="886" spans="2:7">
      <c r="B886" s="821" t="str">
        <f>+'2B'!BK8</f>
        <v>BM931TAS</v>
      </c>
      <c r="D886" s="1882"/>
      <c r="E886" s="1628" t="s">
        <v>8339</v>
      </c>
      <c r="F886" s="1882"/>
      <c r="G886" s="1882">
        <f>IF('2B'!L8="","##BLANK",'2B'!L8)</f>
        <v>2.8210000000000002</v>
      </c>
    </row>
    <row r="887" spans="2:7">
      <c r="B887" s="821" t="str">
        <f>+'2B'!BK9</f>
        <v>BM943TAS</v>
      </c>
      <c r="D887" s="1882"/>
      <c r="E887" s="1628" t="s">
        <v>8339</v>
      </c>
      <c r="F887" s="1882"/>
      <c r="G887" s="1882">
        <f>IF('2B'!L9="","##BLANK",'2B'!L9)</f>
        <v>0.13</v>
      </c>
    </row>
    <row r="888" spans="2:7">
      <c r="B888" s="821" t="str">
        <f>+'2B'!BK10</f>
        <v>BM939TASIR</v>
      </c>
      <c r="D888" s="1882"/>
      <c r="E888" s="1628" t="s">
        <v>8339</v>
      </c>
      <c r="F888" s="1882"/>
      <c r="G888" s="1882">
        <f>IF('2B'!L10="","##BLANK",'2B'!L10)</f>
        <v>1.8839999999999999</v>
      </c>
    </row>
    <row r="889" spans="2:7">
      <c r="B889" s="821" t="str">
        <f>+'2B'!BK11</f>
        <v>BM939TASNIR</v>
      </c>
      <c r="D889" s="1882"/>
      <c r="E889" s="1628" t="s">
        <v>8339</v>
      </c>
      <c r="F889" s="1882"/>
      <c r="G889" s="1882">
        <f>IF('2B'!L11="","##BLANK",'2B'!L11)</f>
        <v>0</v>
      </c>
    </row>
    <row r="890" spans="2:7">
      <c r="B890" s="821" t="str">
        <f>+'2B'!BK12</f>
        <v>BM939TASER</v>
      </c>
      <c r="D890" s="1882"/>
      <c r="E890" s="1628" t="s">
        <v>8339</v>
      </c>
      <c r="F890" s="1882"/>
      <c r="G890" s="1882">
        <f>IF('2B'!L12="","##BLANK",'2B'!L12)</f>
        <v>44.676000000000002</v>
      </c>
    </row>
    <row r="891" spans="2:7">
      <c r="B891" s="821" t="str">
        <f>+'2B'!BK13</f>
        <v>BM917TAS</v>
      </c>
      <c r="D891" s="1882"/>
      <c r="E891" s="1628" t="s">
        <v>8339</v>
      </c>
      <c r="F891" s="1882"/>
      <c r="G891" s="1882">
        <f>IF('2B'!L13="","##BLANK",'2B'!L13)</f>
        <v>5.01</v>
      </c>
    </row>
    <row r="892" spans="2:7">
      <c r="B892" s="821" t="str">
        <f>+'2B'!BK14</f>
        <v>BM950TAS</v>
      </c>
      <c r="D892" s="1882"/>
      <c r="E892" s="1628" t="s">
        <v>8339</v>
      </c>
      <c r="F892" s="1882"/>
      <c r="G892" s="1882">
        <f>IF('2B'!L14="","##BLANK",'2B'!L14)</f>
        <v>62.984999999999999</v>
      </c>
    </row>
    <row r="893" spans="2:7">
      <c r="B893" s="821" t="str">
        <f>+'2B'!BK16</f>
        <v>BM923TAS</v>
      </c>
      <c r="D893" s="1882"/>
      <c r="E893" s="1628" t="s">
        <v>8339</v>
      </c>
      <c r="F893" s="1882"/>
      <c r="G893" s="1882">
        <f>IF('2B'!L16="","##BLANK",'2B'!L16)</f>
        <v>1.2250000000000001</v>
      </c>
    </row>
    <row r="894" spans="2:7">
      <c r="B894" s="821" t="str">
        <f>+'2B'!BK17</f>
        <v>BM951TAS</v>
      </c>
      <c r="D894" s="1882"/>
      <c r="E894" s="1628" t="s">
        <v>8339</v>
      </c>
      <c r="F894" s="1882"/>
      <c r="G894" s="1882">
        <f>IF('2B'!L17="","##BLANK",'2B'!L17)</f>
        <v>64.209999999999994</v>
      </c>
    </row>
    <row r="895" spans="2:7">
      <c r="B895" s="821" t="str">
        <f>+'2B'!BK20</f>
        <v>BC30448</v>
      </c>
      <c r="D895" s="1882"/>
      <c r="E895" s="1628" t="s">
        <v>8339</v>
      </c>
      <c r="F895" s="1882"/>
      <c r="G895" s="1882">
        <f>IF('2B'!L20="","##BLANK",'2B'!L20)</f>
        <v>27.001213</v>
      </c>
    </row>
    <row r="896" spans="2:7">
      <c r="B896" s="821" t="str">
        <f>+'2B'!BK21</f>
        <v>CT00036</v>
      </c>
      <c r="D896" s="1882"/>
      <c r="E896" s="1628" t="s">
        <v>8339</v>
      </c>
      <c r="F896" s="1882"/>
      <c r="G896" s="1882">
        <f>IF('2B'!L21="","##BLANK",'2B'!L21)</f>
        <v>22.553660745855481</v>
      </c>
    </row>
    <row r="897" spans="2:7">
      <c r="B897" s="821" t="str">
        <f>+'2B'!BK22</f>
        <v>BA2053</v>
      </c>
      <c r="D897" s="1882"/>
      <c r="E897" s="1628" t="s">
        <v>8339</v>
      </c>
      <c r="F897" s="1882"/>
      <c r="G897" s="1882">
        <f>IF('2B'!L22="","##BLANK",'2B'!L22)</f>
        <v>10.2643</v>
      </c>
    </row>
    <row r="898" spans="2:7">
      <c r="B898" s="821" t="str">
        <f>+'2B'!BK23</f>
        <v>BA2063</v>
      </c>
      <c r="D898" s="1882"/>
      <c r="E898" s="1628" t="s">
        <v>8339</v>
      </c>
      <c r="F898" s="1882"/>
      <c r="G898" s="1882">
        <f>IF('2B'!L23="","##BLANK",'2B'!L23)</f>
        <v>6.9429212474890951</v>
      </c>
    </row>
    <row r="899" spans="2:7">
      <c r="B899" s="821" t="str">
        <f>+'2B'!BK24</f>
        <v>BC30949</v>
      </c>
      <c r="D899" s="1882"/>
      <c r="E899" s="1628" t="s">
        <v>8339</v>
      </c>
      <c r="F899" s="1882"/>
      <c r="G899" s="1882">
        <f>IF('2B'!L24="","##BLANK",'2B'!L24)</f>
        <v>1.1260000000000001</v>
      </c>
    </row>
    <row r="900" spans="2:7">
      <c r="B900" s="821" t="str">
        <f>+'2B'!BK25</f>
        <v>BM916</v>
      </c>
      <c r="D900" s="1882"/>
      <c r="E900" s="1628" t="s">
        <v>8339</v>
      </c>
      <c r="F900" s="1882"/>
      <c r="G900" s="1882">
        <f>IF('2B'!L25="","##BLANK",'2B'!L25)</f>
        <v>67.888094993344581</v>
      </c>
    </row>
    <row r="901" spans="2:7">
      <c r="B901" s="821" t="str">
        <f>+'2B'!BK26</f>
        <v>BM923CET</v>
      </c>
      <c r="D901" s="1882"/>
      <c r="E901" s="1628" t="s">
        <v>8339</v>
      </c>
      <c r="F901" s="1882"/>
      <c r="G901" s="1882">
        <f>IF('2B'!L26="","##BLANK",'2B'!L26)</f>
        <v>0.37566000000000005</v>
      </c>
    </row>
    <row r="902" spans="2:7">
      <c r="B902" s="821" t="str">
        <f>+'2B'!BK27</f>
        <v>BA3000</v>
      </c>
      <c r="D902" s="1882"/>
      <c r="E902" s="1628" t="s">
        <v>8339</v>
      </c>
      <c r="F902" s="1882"/>
      <c r="G902" s="1882">
        <f>IF('2B'!L27="","##BLANK",'2B'!L27)</f>
        <v>68.263754993344577</v>
      </c>
    </row>
    <row r="903" spans="2:7">
      <c r="B903" s="821" t="str">
        <f>+'2B'!BK30</f>
        <v>BA3001</v>
      </c>
      <c r="D903" s="1882"/>
      <c r="E903" s="1628" t="s">
        <v>8339</v>
      </c>
      <c r="F903" s="1882"/>
      <c r="G903" s="1882">
        <f>IF('2B'!L30="","##BLANK",'2B'!L30)</f>
        <v>4.391</v>
      </c>
    </row>
    <row r="904" spans="2:7">
      <c r="B904" s="821" t="str">
        <f>+'2B'!BK32</f>
        <v>T3039</v>
      </c>
      <c r="D904" s="1882"/>
      <c r="E904" s="1628" t="s">
        <v>8339</v>
      </c>
      <c r="F904" s="1882"/>
      <c r="G904" s="1882">
        <f>IF('2B'!L32="","##BLANK",'2B'!L32)</f>
        <v>128.08275499334457</v>
      </c>
    </row>
    <row r="905" spans="2:7">
      <c r="B905" s="821" t="str">
        <f>+'2B'!BK35</f>
        <v>CR00560</v>
      </c>
      <c r="D905" s="1882"/>
      <c r="E905" s="1628" t="s">
        <v>8339</v>
      </c>
      <c r="F905" s="1882"/>
      <c r="G905" s="1882">
        <f>IF('2B'!L35="","##BLANK",'2B'!L35)</f>
        <v>0</v>
      </c>
    </row>
    <row r="906" spans="2:7">
      <c r="B906" s="821" t="str">
        <f>+'2B'!BK36</f>
        <v>CR00563</v>
      </c>
      <c r="D906" s="1882"/>
      <c r="E906" s="1628" t="s">
        <v>8339</v>
      </c>
      <c r="F906" s="1882"/>
      <c r="G906" s="1882">
        <f>IF('2B'!L36="","##BLANK",'2B'!L36)</f>
        <v>0</v>
      </c>
    </row>
    <row r="907" spans="2:7">
      <c r="B907" s="821" t="str">
        <f>+'2B'!BK39</f>
        <v>CR00564</v>
      </c>
      <c r="D907" s="1882"/>
      <c r="E907" s="1628" t="s">
        <v>8339</v>
      </c>
      <c r="F907" s="1882"/>
      <c r="G907" s="1882">
        <f>IF('2B'!L39="","##BLANK",'2B'!L39)</f>
        <v>128.08275499334457</v>
      </c>
    </row>
    <row r="908" spans="2:7">
      <c r="B908" s="821" t="str">
        <f>+'2C'!AF9</f>
        <v>BM9007</v>
      </c>
      <c r="D908" s="1882"/>
      <c r="E908" s="1628" t="s">
        <v>8339</v>
      </c>
      <c r="F908" s="1882"/>
      <c r="G908" s="1882">
        <f>IF('2C'!G9="","##BLANK",'2C'!G9)</f>
        <v>0.30599999999999999</v>
      </c>
    </row>
    <row r="909" spans="2:7">
      <c r="B909" s="821" t="str">
        <f>+'2C'!AF16</f>
        <v>BM4290</v>
      </c>
      <c r="D909" s="1882"/>
      <c r="E909" s="1628" t="s">
        <v>8339</v>
      </c>
      <c r="F909" s="1882"/>
      <c r="G909" s="1882">
        <f>IF('2C'!G16="","##BLANK",'2C'!G16)</f>
        <v>0.11739705</v>
      </c>
    </row>
    <row r="910" spans="2:7">
      <c r="B910" s="821" t="str">
        <f>+'2C'!AF17</f>
        <v>BM9027</v>
      </c>
      <c r="D910" s="1882"/>
      <c r="E910" s="1628" t="s">
        <v>8339</v>
      </c>
      <c r="F910" s="1882"/>
      <c r="G910" s="1882">
        <f>IF('2C'!G17="","##BLANK",'2C'!G17)</f>
        <v>0.19189217</v>
      </c>
    </row>
    <row r="911" spans="2:7">
      <c r="B911" s="821" t="str">
        <f>+'2C'!AF21</f>
        <v>BM9038</v>
      </c>
      <c r="D911" s="1882"/>
      <c r="E911" s="1628" t="s">
        <v>8339</v>
      </c>
      <c r="F911" s="1882"/>
      <c r="G911" s="1882">
        <f>IF('2C'!G21="","##BLANK",'2C'!G21)</f>
        <v>3.226</v>
      </c>
    </row>
    <row r="912" spans="2:7">
      <c r="B912" s="821" t="str">
        <f>+'2C'!AG6</f>
        <v>BM9031</v>
      </c>
      <c r="D912" s="1882"/>
      <c r="E912" s="1628" t="s">
        <v>8339</v>
      </c>
      <c r="F912" s="1882"/>
      <c r="G912" s="1882">
        <f>IF('2C'!H6="","##BLANK",'2C'!H6)</f>
        <v>0.28399999999999997</v>
      </c>
    </row>
    <row r="913" spans="2:7">
      <c r="B913" s="821" t="str">
        <f>+'2C'!AG7</f>
        <v>BM9202</v>
      </c>
      <c r="D913" s="1882"/>
      <c r="E913" s="1628" t="s">
        <v>8339</v>
      </c>
      <c r="F913" s="1882"/>
      <c r="G913" s="1882">
        <f>IF('2C'!H7="","##BLANK",'2C'!H7)</f>
        <v>0</v>
      </c>
    </row>
    <row r="914" spans="2:7">
      <c r="B914" s="821" t="str">
        <f>+'2C'!AG8</f>
        <v>BM9203</v>
      </c>
      <c r="D914" s="1882"/>
      <c r="E914" s="1628" t="s">
        <v>8339</v>
      </c>
      <c r="F914" s="1882"/>
      <c r="G914" s="1882">
        <f>IF('2C'!H8="","##BLANK",'2C'!H8)</f>
        <v>0</v>
      </c>
    </row>
    <row r="915" spans="2:7">
      <c r="B915" s="821" t="str">
        <f>+'2C'!AG9</f>
        <v>BM9207</v>
      </c>
      <c r="D915" s="1882"/>
      <c r="E915" s="1628" t="s">
        <v>8339</v>
      </c>
      <c r="F915" s="1882"/>
      <c r="G915" s="1882">
        <f>IF('2C'!H9="","##BLANK",'2C'!H9)</f>
        <v>0</v>
      </c>
    </row>
    <row r="916" spans="2:7">
      <c r="B916" s="821" t="str">
        <f>+'2C'!AG10</f>
        <v>BM9230</v>
      </c>
      <c r="D916" s="1882"/>
      <c r="E916" s="1628" t="s">
        <v>8339</v>
      </c>
      <c r="F916" s="1882"/>
      <c r="G916" s="1882">
        <f>IF('2C'!H10="","##BLANK",'2C'!H10)</f>
        <v>0.39100000000000001</v>
      </c>
    </row>
    <row r="917" spans="2:7">
      <c r="B917" s="821" t="str">
        <f>+'2C'!AG11</f>
        <v>BM9034</v>
      </c>
      <c r="D917" s="1882"/>
      <c r="E917" s="1628" t="s">
        <v>8339</v>
      </c>
      <c r="F917" s="1882"/>
      <c r="G917" s="1882">
        <f>IF('2C'!H11="","##BLANK",'2C'!H11)</f>
        <v>0.188</v>
      </c>
    </row>
    <row r="918" spans="2:7">
      <c r="B918" s="821" t="str">
        <f>+'2C'!AG12</f>
        <v>BM9221</v>
      </c>
      <c r="D918" s="1882"/>
      <c r="E918" s="1628" t="s">
        <v>8339</v>
      </c>
      <c r="F918" s="1882"/>
      <c r="G918" s="1882">
        <f>IF('2C'!H12="","##BLANK",'2C'!H12)</f>
        <v>0.86299999999999999</v>
      </c>
    </row>
    <row r="919" spans="2:7">
      <c r="B919" s="821" t="str">
        <f>+'2C'!AG13</f>
        <v>BM9222</v>
      </c>
      <c r="D919" s="1882"/>
      <c r="E919" s="1628" t="s">
        <v>8339</v>
      </c>
      <c r="F919" s="1882"/>
      <c r="G919" s="1882">
        <f>IF('2C'!H13="","##BLANK",'2C'!H13)</f>
        <v>0</v>
      </c>
    </row>
    <row r="920" spans="2:7">
      <c r="B920" s="821" t="str">
        <f>+'2C'!AG14</f>
        <v>BM9223</v>
      </c>
      <c r="D920" s="1882"/>
      <c r="E920" s="1628" t="s">
        <v>8339</v>
      </c>
      <c r="F920" s="1882"/>
      <c r="G920" s="1882">
        <f>IF('2C'!H14="","##BLANK",'2C'!H14)</f>
        <v>0.86299999999999999</v>
      </c>
    </row>
    <row r="921" spans="2:7">
      <c r="B921" s="821" t="str">
        <f>+'2C'!AG16</f>
        <v>BM9225</v>
      </c>
      <c r="D921" s="1882"/>
      <c r="E921" s="1628" t="s">
        <v>8339</v>
      </c>
      <c r="F921" s="1882"/>
      <c r="G921" s="1882">
        <f>IF('2C'!H16="","##BLANK",'2C'!H16)</f>
        <v>0</v>
      </c>
    </row>
    <row r="922" spans="2:7">
      <c r="B922" s="821" t="str">
        <f>+'2C'!AG17</f>
        <v>BM9227</v>
      </c>
      <c r="D922" s="1882"/>
      <c r="E922" s="1628" t="s">
        <v>8339</v>
      </c>
      <c r="F922" s="1882"/>
      <c r="G922" s="1882">
        <f>IF('2C'!H17="","##BLANK",'2C'!H17)</f>
        <v>0</v>
      </c>
    </row>
    <row r="923" spans="2:7">
      <c r="B923" s="821" t="str">
        <f>+'2C'!AG19</f>
        <v>BM9229</v>
      </c>
      <c r="D923" s="1882"/>
      <c r="E923" s="1628" t="s">
        <v>8339</v>
      </c>
      <c r="F923" s="1882"/>
      <c r="G923" s="1882">
        <f>IF('2C'!H19="","##BLANK",'2C'!H19)</f>
        <v>0.86299999999999999</v>
      </c>
    </row>
    <row r="924" spans="2:7">
      <c r="B924" s="821" t="str">
        <f>+'2C'!AG21</f>
        <v>BM9338</v>
      </c>
      <c r="D924" s="1882"/>
      <c r="E924" s="1628" t="s">
        <v>8339</v>
      </c>
      <c r="F924" s="1882"/>
      <c r="G924" s="1882">
        <f>IF('2C'!H21="","##BLANK",'2C'!H21)</f>
        <v>0</v>
      </c>
    </row>
    <row r="925" spans="2:7">
      <c r="B925" s="821" t="str">
        <f>+'2C'!AH6</f>
        <v>BM9032</v>
      </c>
      <c r="D925" s="1882"/>
      <c r="E925" s="1628" t="s">
        <v>8339</v>
      </c>
      <c r="F925" s="1882"/>
      <c r="G925" s="1882">
        <f>IF('2C'!I6="","##BLANK",'2C'!I6)</f>
        <v>3.1519999999999997</v>
      </c>
    </row>
    <row r="926" spans="2:7">
      <c r="B926" s="821" t="str">
        <f>+'2C'!AH7</f>
        <v>BM9502</v>
      </c>
      <c r="D926" s="1882"/>
      <c r="E926" s="1628" t="s">
        <v>8339</v>
      </c>
      <c r="F926" s="1882"/>
      <c r="G926" s="1882">
        <f>IF('2C'!I7="","##BLANK",'2C'!I7)</f>
        <v>0.45</v>
      </c>
    </row>
    <row r="927" spans="2:7">
      <c r="B927" s="821" t="str">
        <f>+'2C'!AH8</f>
        <v>BM9503</v>
      </c>
      <c r="D927" s="1882"/>
      <c r="E927" s="1628" t="s">
        <v>8339</v>
      </c>
      <c r="F927" s="1882"/>
      <c r="G927" s="1882">
        <f>IF('2C'!I8="","##BLANK",'2C'!I8)</f>
        <v>4.5350000000000001</v>
      </c>
    </row>
    <row r="928" spans="2:7">
      <c r="B928" s="821" t="str">
        <f>+'2C'!AH9</f>
        <v>BM9507</v>
      </c>
      <c r="D928" s="1882"/>
      <c r="E928" s="1628" t="s">
        <v>8339</v>
      </c>
      <c r="F928" s="1882"/>
      <c r="G928" s="1882">
        <f>IF('2C'!I9="","##BLANK",'2C'!I9)</f>
        <v>0.30599999999999999</v>
      </c>
    </row>
    <row r="929" spans="2:7">
      <c r="B929" s="821" t="str">
        <f>+'2C'!AH10</f>
        <v>BM9530</v>
      </c>
      <c r="D929" s="1882"/>
      <c r="E929" s="1628" t="s">
        <v>8339</v>
      </c>
      <c r="F929" s="1882"/>
      <c r="G929" s="1882">
        <f>IF('2C'!I10="","##BLANK",'2C'!I10)</f>
        <v>0.39100000000000001</v>
      </c>
    </row>
    <row r="930" spans="2:7">
      <c r="B930" s="821" t="str">
        <f>+'2C'!AH11</f>
        <v>BM9035</v>
      </c>
      <c r="D930" s="1882"/>
      <c r="E930" s="1628" t="s">
        <v>8339</v>
      </c>
      <c r="F930" s="1882"/>
      <c r="G930" s="1882">
        <f>IF('2C'!I11="","##BLANK",'2C'!I11)</f>
        <v>4.6099999999999994</v>
      </c>
    </row>
    <row r="931" spans="2:7">
      <c r="B931" s="821" t="str">
        <f>+'2C'!AH12</f>
        <v>BM9521</v>
      </c>
      <c r="D931" s="1882"/>
      <c r="E931" s="1628" t="s">
        <v>8339</v>
      </c>
      <c r="F931" s="1882"/>
      <c r="G931" s="1882">
        <f>IF('2C'!I12="","##BLANK",'2C'!I12)</f>
        <v>13.443999999999999</v>
      </c>
    </row>
    <row r="932" spans="2:7">
      <c r="B932" s="821" t="str">
        <f>+'2C'!AH13</f>
        <v>BM9522</v>
      </c>
      <c r="D932" s="1882"/>
      <c r="E932" s="1628" t="s">
        <v>8339</v>
      </c>
      <c r="F932" s="1882"/>
      <c r="G932" s="1882">
        <f>IF('2C'!I13="","##BLANK",'2C'!I13)</f>
        <v>0</v>
      </c>
    </row>
    <row r="933" spans="2:7">
      <c r="B933" s="821" t="str">
        <f>+'2C'!AH14</f>
        <v>BM9523</v>
      </c>
      <c r="D933" s="1882"/>
      <c r="E933" s="1628" t="s">
        <v>8339</v>
      </c>
      <c r="F933" s="1882"/>
      <c r="G933" s="1882">
        <f>IF('2C'!I14="","##BLANK",'2C'!I14)</f>
        <v>13.443999999999999</v>
      </c>
    </row>
    <row r="934" spans="2:7">
      <c r="B934" s="821" t="str">
        <f>+'2C'!AH16</f>
        <v>BM9525</v>
      </c>
      <c r="D934" s="1882"/>
      <c r="E934" s="1628" t="s">
        <v>8339</v>
      </c>
      <c r="F934" s="1882"/>
      <c r="G934" s="1882">
        <f>IF('2C'!I16="","##BLANK",'2C'!I16)</f>
        <v>0.11739705</v>
      </c>
    </row>
    <row r="935" spans="2:7">
      <c r="B935" s="821" t="str">
        <f>+'2C'!AH17</f>
        <v>BM9527</v>
      </c>
      <c r="D935" s="1882"/>
      <c r="E935" s="1628" t="s">
        <v>8339</v>
      </c>
      <c r="F935" s="1882"/>
      <c r="G935" s="1882">
        <f>IF('2C'!I17="","##BLANK",'2C'!I17)</f>
        <v>0.19189217</v>
      </c>
    </row>
    <row r="936" spans="2:7">
      <c r="B936" s="821" t="str">
        <f>+'2C'!AH19</f>
        <v>BM9529</v>
      </c>
      <c r="D936" s="1882"/>
      <c r="E936" s="1628" t="s">
        <v>8339</v>
      </c>
      <c r="F936" s="1882"/>
      <c r="G936" s="1882">
        <f>IF('2C'!I19="","##BLANK",'2C'!I19)</f>
        <v>13.753289219999999</v>
      </c>
    </row>
    <row r="937" spans="2:7">
      <c r="B937" s="821" t="str">
        <f>+'2C'!AH21</f>
        <v>BM9538</v>
      </c>
      <c r="D937" s="1882"/>
      <c r="E937" s="1628" t="s">
        <v>8339</v>
      </c>
      <c r="F937" s="1882"/>
      <c r="G937" s="1882">
        <f>IF('2C'!I21="","##BLANK",'2C'!I21)</f>
        <v>3.226</v>
      </c>
    </row>
    <row r="938" spans="2:7">
      <c r="B938" s="821" t="str">
        <f>+'2D'!BF7</f>
        <v>BM4012WR</v>
      </c>
      <c r="D938" s="1882"/>
      <c r="E938" s="1628" t="s">
        <v>8339</v>
      </c>
      <c r="F938" s="1882"/>
      <c r="G938" s="1882">
        <f>IF('2D'!G7="","##BLANK",'2D'!G7)</f>
        <v>64.37</v>
      </c>
    </row>
    <row r="939" spans="2:7">
      <c r="B939" s="821" t="str">
        <f>+'2D'!BF8</f>
        <v>BM4016WR</v>
      </c>
      <c r="D939" s="1882"/>
      <c r="E939" s="1628" t="s">
        <v>8339</v>
      </c>
      <c r="F939" s="1882"/>
      <c r="G939" s="1882">
        <f>IF('2D'!G8="","##BLANK",'2D'!G8)</f>
        <v>-3.3882263906980375E-2</v>
      </c>
    </row>
    <row r="940" spans="2:7">
      <c r="B940" s="821" t="str">
        <f>+'2D'!BF9</f>
        <v>BM4017WR</v>
      </c>
      <c r="D940" s="1882"/>
      <c r="E940" s="1628" t="s">
        <v>8339</v>
      </c>
      <c r="F940" s="1882"/>
      <c r="G940" s="1882">
        <f>IF('2D'!G9="","##BLANK",'2D'!G9)</f>
        <v>2.7816803920640614</v>
      </c>
    </row>
    <row r="941" spans="2:7">
      <c r="B941" s="821" t="str">
        <f>+'2D'!BF10</f>
        <v>BM4021WR</v>
      </c>
      <c r="D941" s="1882"/>
      <c r="E941" s="1628" t="s">
        <v>8339</v>
      </c>
      <c r="F941" s="1882"/>
      <c r="G941" s="1882">
        <f>IF('2D'!G10="","##BLANK",'2D'!G10)</f>
        <v>-0.42899999999999999</v>
      </c>
    </row>
    <row r="942" spans="2:7">
      <c r="B942" s="821" t="str">
        <f>+'2D'!BF11</f>
        <v>BM4019WR</v>
      </c>
      <c r="D942" s="1882"/>
      <c r="E942" s="1628" t="s">
        <v>8339</v>
      </c>
      <c r="F942" s="1882"/>
      <c r="G942" s="1882">
        <f>IF('2D'!G11="","##BLANK",'2D'!G11)</f>
        <v>0</v>
      </c>
    </row>
    <row r="943" spans="2:7">
      <c r="B943" s="821" t="str">
        <f>+'2D'!BF12</f>
        <v>BM4018WR</v>
      </c>
      <c r="D943" s="1882"/>
      <c r="E943" s="1628" t="s">
        <v>8339</v>
      </c>
      <c r="F943" s="1882"/>
      <c r="G943" s="1882">
        <f>IF('2D'!G12="","##BLANK",'2D'!G12)</f>
        <v>66.688798128157089</v>
      </c>
    </row>
    <row r="944" spans="2:7">
      <c r="B944" s="821" t="str">
        <f>+'2D'!BF15</f>
        <v>BM4041WR</v>
      </c>
      <c r="D944" s="1882"/>
      <c r="E944" s="1628" t="s">
        <v>8339</v>
      </c>
      <c r="F944" s="1882"/>
      <c r="G944" s="1882">
        <f>IF('2D'!G15="","##BLANK",'2D'!G15)</f>
        <v>-23.309000000000001</v>
      </c>
    </row>
    <row r="945" spans="2:7">
      <c r="B945" s="821" t="str">
        <f>+'2D'!BF16</f>
        <v>BM4045WR</v>
      </c>
      <c r="D945" s="1882"/>
      <c r="E945" s="1628" t="s">
        <v>8339</v>
      </c>
      <c r="F945" s="1882"/>
      <c r="G945" s="1882">
        <f>IF('2D'!G16="","##BLANK",'2D'!G16)</f>
        <v>2.3930939506214638E-2</v>
      </c>
    </row>
    <row r="946" spans="2:7">
      <c r="B946" s="821" t="str">
        <f>+'2D'!BF17</f>
        <v>BM4053WR</v>
      </c>
      <c r="D946" s="1882"/>
      <c r="E946" s="1628" t="s">
        <v>8339</v>
      </c>
      <c r="F946" s="1882"/>
      <c r="G946" s="1882">
        <f>IF('2D'!G17="","##BLANK",'2D'!G17)</f>
        <v>0.22500000000000001</v>
      </c>
    </row>
    <row r="947" spans="2:7">
      <c r="B947" s="821" t="str">
        <f>+'2D'!BF18</f>
        <v>BM4046WR</v>
      </c>
      <c r="D947" s="1882"/>
      <c r="E947" s="1628" t="s">
        <v>8339</v>
      </c>
      <c r="F947" s="1882"/>
      <c r="G947" s="1882">
        <f>IF('2D'!G18="","##BLANK",'2D'!G18)</f>
        <v>-1.831262070893541</v>
      </c>
    </row>
    <row r="948" spans="2:7">
      <c r="B948" s="821" t="str">
        <f>+'2D'!BF19</f>
        <v>BM4047WR</v>
      </c>
      <c r="D948" s="1882"/>
      <c r="E948" s="1628" t="s">
        <v>8339</v>
      </c>
      <c r="F948" s="1882"/>
      <c r="G948" s="1882">
        <f>IF('2D'!G19="","##BLANK",'2D'!G19)</f>
        <v>-24.891331131387325</v>
      </c>
    </row>
    <row r="949" spans="2:7">
      <c r="B949" s="821" t="str">
        <f>+'2D'!BF21</f>
        <v>BM4048WR</v>
      </c>
      <c r="D949" s="1882"/>
      <c r="E949" s="1628" t="s">
        <v>8339</v>
      </c>
      <c r="F949" s="1882"/>
      <c r="G949" s="1882">
        <f>IF('2D'!G21="","##BLANK",'2D'!G21)</f>
        <v>41.797466996769764</v>
      </c>
    </row>
    <row r="950" spans="2:7">
      <c r="B950" s="821" t="str">
        <f>+'2D'!BF22</f>
        <v>BM4049WR</v>
      </c>
      <c r="D950" s="1882"/>
      <c r="E950" s="1628" t="s">
        <v>8339</v>
      </c>
      <c r="F950" s="1882"/>
      <c r="G950" s="1882">
        <f>IF('2D'!G22="","##BLANK",'2D'!G22)</f>
        <v>41.061000000000007</v>
      </c>
    </row>
    <row r="951" spans="2:7">
      <c r="B951" s="821" t="str">
        <f>+'2D'!BF25</f>
        <v>BM4051WR</v>
      </c>
      <c r="D951" s="1882"/>
      <c r="E951" s="1628" t="s">
        <v>8339</v>
      </c>
      <c r="F951" s="1882"/>
      <c r="G951" s="1882">
        <f>IF('2D'!G25="","##BLANK",'2D'!G25)</f>
        <v>-1.8263426632971773</v>
      </c>
    </row>
    <row r="952" spans="2:7">
      <c r="B952" s="821" t="str">
        <f>+'2D'!BF26</f>
        <v>BM334WR</v>
      </c>
      <c r="D952" s="1882"/>
      <c r="E952" s="1628" t="s">
        <v>8339</v>
      </c>
      <c r="F952" s="1882"/>
      <c r="G952" s="1882">
        <f>IF('2D'!G26="","##BLANK",'2D'!G26)</f>
        <v>-4.9194075963636388E-3</v>
      </c>
    </row>
    <row r="953" spans="2:7">
      <c r="B953" s="821" t="str">
        <f>+'2D'!BF27</f>
        <v>BM4052WR</v>
      </c>
      <c r="D953" s="1882"/>
      <c r="E953" s="1628" t="s">
        <v>8339</v>
      </c>
      <c r="F953" s="1882"/>
      <c r="G953" s="1882">
        <f>IF('2D'!G27="","##BLANK",'2D'!G27)</f>
        <v>-1.831262070893541</v>
      </c>
    </row>
    <row r="954" spans="2:7">
      <c r="B954" s="821" t="str">
        <f>+'2D'!BG7</f>
        <v>BM4012WN</v>
      </c>
      <c r="D954" s="1882"/>
      <c r="E954" s="1628" t="s">
        <v>8339</v>
      </c>
      <c r="F954" s="1882"/>
      <c r="G954" s="1882">
        <f>IF('2D'!H7="","##BLANK",'2D'!H7)</f>
        <v>828.46924251750306</v>
      </c>
    </row>
    <row r="955" spans="2:7">
      <c r="B955" s="821" t="str">
        <f>+'2D'!BG8</f>
        <v>BM4016WN</v>
      </c>
      <c r="D955" s="1882"/>
      <c r="E955" s="1628" t="s">
        <v>8339</v>
      </c>
      <c r="F955" s="1882"/>
      <c r="G955" s="1882">
        <f>IF('2D'!H8="","##BLANK",'2D'!H8)</f>
        <v>-0.51609483609301965</v>
      </c>
    </row>
    <row r="956" spans="2:7">
      <c r="B956" s="821" t="str">
        <f>+'2D'!BG9</f>
        <v>BM4017WN</v>
      </c>
      <c r="D956" s="1882"/>
      <c r="E956" s="1628" t="s">
        <v>8339</v>
      </c>
      <c r="F956" s="1882"/>
      <c r="G956" s="1882">
        <f>IF('2D'!H9="","##BLANK",'2D'!H9)</f>
        <v>60.152963549160432</v>
      </c>
    </row>
    <row r="957" spans="2:7">
      <c r="B957" s="821" t="str">
        <f>+'2D'!BG10</f>
        <v>BM4021WN</v>
      </c>
      <c r="D957" s="1882"/>
      <c r="E957" s="1628" t="s">
        <v>8339</v>
      </c>
      <c r="F957" s="1882"/>
      <c r="G957" s="1882">
        <f>IF('2D'!H10="","##BLANK",'2D'!H10)</f>
        <v>1.1134999999999999</v>
      </c>
    </row>
    <row r="958" spans="2:7">
      <c r="B958" s="821" t="str">
        <f>+'2D'!BG11</f>
        <v>BM4019WN</v>
      </c>
      <c r="D958" s="1882"/>
      <c r="E958" s="1628" t="s">
        <v>8339</v>
      </c>
      <c r="F958" s="1882"/>
      <c r="G958" s="1882">
        <f>IF('2D'!H11="","##BLANK",'2D'!H11)</f>
        <v>0</v>
      </c>
    </row>
    <row r="959" spans="2:7">
      <c r="B959" s="821" t="str">
        <f>+'2D'!BG12</f>
        <v>BM4018WN</v>
      </c>
      <c r="D959" s="1882"/>
      <c r="E959" s="1628" t="s">
        <v>8339</v>
      </c>
      <c r="F959" s="1882"/>
      <c r="G959" s="1882">
        <f>IF('2D'!H12="","##BLANK",'2D'!H12)</f>
        <v>889.21961123057054</v>
      </c>
    </row>
    <row r="960" spans="2:7">
      <c r="B960" s="821" t="str">
        <f>+'2D'!BG15</f>
        <v>BM4041WN</v>
      </c>
      <c r="D960" s="1882"/>
      <c r="E960" s="1628" t="s">
        <v>8339</v>
      </c>
      <c r="F960" s="1882"/>
      <c r="G960" s="1882">
        <f>IF('2D'!H15="","##BLANK",'2D'!H15)</f>
        <v>-248.245</v>
      </c>
    </row>
    <row r="961" spans="2:7">
      <c r="B961" s="821" t="str">
        <f>+'2D'!BG16</f>
        <v>BM4045WN</v>
      </c>
      <c r="D961" s="1882"/>
      <c r="E961" s="1628" t="s">
        <v>8339</v>
      </c>
      <c r="F961" s="1882"/>
      <c r="G961" s="1882">
        <f>IF('2D'!H16="","##BLANK",'2D'!H16)</f>
        <v>0.49206733049378537</v>
      </c>
    </row>
    <row r="962" spans="2:7">
      <c r="B962" s="821" t="str">
        <f>+'2D'!BG17</f>
        <v>BM4053WN</v>
      </c>
      <c r="D962" s="1882"/>
      <c r="E962" s="1628" t="s">
        <v>8339</v>
      </c>
      <c r="F962" s="1882"/>
      <c r="G962" s="1882">
        <f>IF('2D'!H17="","##BLANK",'2D'!H17)</f>
        <v>-0.26400000000000001</v>
      </c>
    </row>
    <row r="963" spans="2:7">
      <c r="B963" s="821" t="str">
        <f>+'2D'!BG18</f>
        <v>BM4046WN</v>
      </c>
      <c r="D963" s="1882"/>
      <c r="E963" s="1628" t="s">
        <v>8339</v>
      </c>
      <c r="F963" s="1882"/>
      <c r="G963" s="1882">
        <f>IF('2D'!H18="","##BLANK",'2D'!H18)</f>
        <v>-20.208155433539751</v>
      </c>
    </row>
    <row r="964" spans="2:7">
      <c r="B964" s="821" t="str">
        <f>+'2D'!BG19</f>
        <v>BM4047WN</v>
      </c>
      <c r="D964" s="1882"/>
      <c r="E964" s="1628" t="s">
        <v>8339</v>
      </c>
      <c r="F964" s="1882"/>
      <c r="G964" s="1882">
        <f>IF('2D'!H19="","##BLANK",'2D'!H19)</f>
        <v>-268.22508810304595</v>
      </c>
    </row>
    <row r="965" spans="2:7">
      <c r="B965" s="821" t="str">
        <f>+'2D'!BG21</f>
        <v>BM4048WN</v>
      </c>
      <c r="D965" s="1882"/>
      <c r="E965" s="1628" t="s">
        <v>8339</v>
      </c>
      <c r="F965" s="1882"/>
      <c r="G965" s="1882">
        <f>IF('2D'!H21="","##BLANK",'2D'!H21)</f>
        <v>620.99452312752464</v>
      </c>
    </row>
    <row r="966" spans="2:7">
      <c r="B966" s="821" t="str">
        <f>+'2D'!BG22</f>
        <v>BM4049WN</v>
      </c>
      <c r="D966" s="1882"/>
      <c r="E966" s="1628" t="s">
        <v>8339</v>
      </c>
      <c r="F966" s="1882"/>
      <c r="G966" s="1882">
        <f>IF('2D'!H22="","##BLANK",'2D'!H22)</f>
        <v>580.22424251750306</v>
      </c>
    </row>
    <row r="967" spans="2:7">
      <c r="B967" s="821" t="str">
        <f>+'2D'!BG25</f>
        <v>BM4051WN</v>
      </c>
      <c r="D967" s="1882"/>
      <c r="E967" s="1628" t="s">
        <v>8339</v>
      </c>
      <c r="F967" s="1882"/>
      <c r="G967" s="1882">
        <f>IF('2D'!H25="","##BLANK",'2D'!H25)</f>
        <v>-20.096985700936116</v>
      </c>
    </row>
    <row r="968" spans="2:7">
      <c r="B968" s="821" t="str">
        <f>+'2D'!BG26</f>
        <v>BM334WN</v>
      </c>
      <c r="D968" s="1882"/>
      <c r="E968" s="1628" t="s">
        <v>8339</v>
      </c>
      <c r="F968" s="1882"/>
      <c r="G968" s="1882">
        <f>IF('2D'!H26="","##BLANK",'2D'!H26)</f>
        <v>-0.11116973260363638</v>
      </c>
    </row>
    <row r="969" spans="2:7">
      <c r="B969" s="821" t="str">
        <f>+'2D'!BG27</f>
        <v>BM4052WN</v>
      </c>
      <c r="D969" s="1882"/>
      <c r="E969" s="1628" t="s">
        <v>8339</v>
      </c>
      <c r="F969" s="1882"/>
      <c r="G969" s="1882">
        <f>IF('2D'!H27="","##BLANK",'2D'!H27)</f>
        <v>-20.208155433539751</v>
      </c>
    </row>
    <row r="970" spans="2:7">
      <c r="B970" s="821" t="str">
        <f>+'2D'!BH7</f>
        <v>BM4012WNK</v>
      </c>
      <c r="D970" s="1882"/>
      <c r="E970" s="1628" t="s">
        <v>8339</v>
      </c>
      <c r="F970" s="1882"/>
      <c r="G970" s="1882" t="str">
        <f>IF('2D'!I7="","##BLANK",'2D'!I7)</f>
        <v>##BLANK</v>
      </c>
    </row>
    <row r="971" spans="2:7">
      <c r="B971" s="821" t="str">
        <f>+'2D'!BH8</f>
        <v>BM4016WNK</v>
      </c>
      <c r="D971" s="1882"/>
      <c r="E971" s="1628" t="s">
        <v>8339</v>
      </c>
      <c r="F971" s="1882"/>
      <c r="G971" s="1882" t="str">
        <f>IF('2D'!I8="","##BLANK",'2D'!I8)</f>
        <v>##BLANK</v>
      </c>
    </row>
    <row r="972" spans="2:7">
      <c r="B972" s="821" t="str">
        <f>+'2D'!BH9</f>
        <v>BM4017WNK</v>
      </c>
      <c r="D972" s="1882"/>
      <c r="E972" s="1628" t="s">
        <v>8339</v>
      </c>
      <c r="F972" s="1882"/>
      <c r="G972" s="1882" t="str">
        <f>IF('2D'!I9="","##BLANK",'2D'!I9)</f>
        <v>##BLANK</v>
      </c>
    </row>
    <row r="973" spans="2:7">
      <c r="B973" s="821" t="str">
        <f>+'2D'!BH10</f>
        <v>BM4021WNK</v>
      </c>
      <c r="D973" s="1882"/>
      <c r="E973" s="1628" t="s">
        <v>8339</v>
      </c>
      <c r="F973" s="1882"/>
      <c r="G973" s="1882" t="str">
        <f>IF('2D'!I10="","##BLANK",'2D'!I10)</f>
        <v>##BLANK</v>
      </c>
    </row>
    <row r="974" spans="2:7">
      <c r="B974" s="821" t="str">
        <f>+'2D'!BH11</f>
        <v>BM4019WNK</v>
      </c>
      <c r="D974" s="1882"/>
      <c r="E974" s="1628" t="s">
        <v>8339</v>
      </c>
      <c r="F974" s="1882"/>
      <c r="G974" s="1882" t="str">
        <f>IF('2D'!I11="","##BLANK",'2D'!I11)</f>
        <v>##BLANK</v>
      </c>
    </row>
    <row r="975" spans="2:7">
      <c r="B975" s="821" t="str">
        <f>+'2D'!BH12</f>
        <v>BM4018WNK</v>
      </c>
      <c r="D975" s="1882"/>
      <c r="E975" s="1628" t="s">
        <v>8339</v>
      </c>
      <c r="F975" s="1882"/>
      <c r="G975" s="1882">
        <f>IF('2D'!I12="","##BLANK",'2D'!I12)</f>
        <v>0</v>
      </c>
    </row>
    <row r="976" spans="2:7">
      <c r="B976" s="821" t="str">
        <f>+'2D'!BH15</f>
        <v>BM4041WNK</v>
      </c>
      <c r="D976" s="1882"/>
      <c r="E976" s="1628" t="s">
        <v>8339</v>
      </c>
      <c r="F976" s="1882"/>
      <c r="G976" s="1882" t="str">
        <f>IF('2D'!I15="","##BLANK",'2D'!I15)</f>
        <v>##BLANK</v>
      </c>
    </row>
    <row r="977" spans="2:7">
      <c r="B977" s="821" t="str">
        <f>+'2D'!BH16</f>
        <v>BM4045WNK</v>
      </c>
      <c r="D977" s="1882"/>
      <c r="E977" s="1628" t="s">
        <v>8339</v>
      </c>
      <c r="F977" s="1882"/>
      <c r="G977" s="1882" t="str">
        <f>IF('2D'!I16="","##BLANK",'2D'!I16)</f>
        <v>##BLANK</v>
      </c>
    </row>
    <row r="978" spans="2:7">
      <c r="B978" s="821" t="str">
        <f>+'2D'!BH17</f>
        <v>BM4053WWNK</v>
      </c>
      <c r="D978" s="1882"/>
      <c r="E978" s="1628" t="s">
        <v>8339</v>
      </c>
      <c r="F978" s="1882"/>
      <c r="G978" s="1882" t="str">
        <f>IF('2D'!I17="","##BLANK",'2D'!I17)</f>
        <v>##BLANK</v>
      </c>
    </row>
    <row r="979" spans="2:7">
      <c r="B979" s="821" t="str">
        <f>+'2D'!BH18</f>
        <v>BM4046WNK</v>
      </c>
      <c r="D979" s="1882"/>
      <c r="E979" s="1628" t="s">
        <v>8339</v>
      </c>
      <c r="F979" s="1882"/>
      <c r="G979" s="1882" t="str">
        <f>IF('2D'!I18="","##BLANK",'2D'!I18)</f>
        <v>##BLANK</v>
      </c>
    </row>
    <row r="980" spans="2:7">
      <c r="B980" s="821" t="str">
        <f>+'2D'!BH19</f>
        <v>BM4047WNK</v>
      </c>
      <c r="D980" s="1882"/>
      <c r="E980" s="1628" t="s">
        <v>8339</v>
      </c>
      <c r="F980" s="1882"/>
      <c r="G980" s="1882">
        <f>IF('2D'!I19="","##BLANK",'2D'!I19)</f>
        <v>0</v>
      </c>
    </row>
    <row r="981" spans="2:7">
      <c r="B981" s="821" t="str">
        <f>+'2D'!BH21</f>
        <v>BM4048WNK</v>
      </c>
      <c r="D981" s="1882"/>
      <c r="E981" s="1628" t="s">
        <v>8339</v>
      </c>
      <c r="F981" s="1882"/>
      <c r="G981" s="1882">
        <f>IF('2D'!I21="","##BLANK",'2D'!I21)</f>
        <v>0</v>
      </c>
    </row>
    <row r="982" spans="2:7">
      <c r="B982" s="821" t="str">
        <f>+'2D'!BH22</f>
        <v>BM4049WNK</v>
      </c>
      <c r="D982" s="1882"/>
      <c r="E982" s="1628" t="s">
        <v>8339</v>
      </c>
      <c r="F982" s="1882"/>
      <c r="G982" s="1882">
        <f>IF('2D'!I22="","##BLANK",'2D'!I22)</f>
        <v>0</v>
      </c>
    </row>
    <row r="983" spans="2:7">
      <c r="B983" s="821" t="str">
        <f>+'2D'!BH25</f>
        <v>BM4051WNK</v>
      </c>
      <c r="D983" s="1882"/>
      <c r="E983" s="1628" t="s">
        <v>8339</v>
      </c>
      <c r="F983" s="1882"/>
      <c r="G983" s="1882" t="str">
        <f>IF('2D'!I25="","##BLANK",'2D'!I25)</f>
        <v>##BLANK</v>
      </c>
    </row>
    <row r="984" spans="2:7">
      <c r="B984" s="821" t="str">
        <f>+'2D'!BH26</f>
        <v>BM334WNK</v>
      </c>
      <c r="D984" s="1882"/>
      <c r="E984" s="1628" t="s">
        <v>8339</v>
      </c>
      <c r="F984" s="1882"/>
      <c r="G984" s="1882" t="str">
        <f>IF('2D'!I26="","##BLANK",'2D'!I26)</f>
        <v>##BLANK</v>
      </c>
    </row>
    <row r="985" spans="2:7">
      <c r="B985" s="821" t="str">
        <f>+'2D'!BH27</f>
        <v>BM4052WNK</v>
      </c>
      <c r="D985" s="1882"/>
      <c r="E985" s="1628" t="s">
        <v>8339</v>
      </c>
      <c r="F985" s="1882"/>
      <c r="G985" s="1882">
        <f>IF('2D'!I27="","##BLANK",'2D'!I27)</f>
        <v>0</v>
      </c>
    </row>
    <row r="986" spans="2:7">
      <c r="B986" s="821" t="str">
        <f>+'2D'!BI7</f>
        <v>BM4012SG</v>
      </c>
      <c r="D986" s="1882"/>
      <c r="E986" s="1628" t="s">
        <v>8339</v>
      </c>
      <c r="F986" s="1882"/>
      <c r="G986" s="1882" t="str">
        <f>IF('2D'!J7="","##BLANK",'2D'!J7)</f>
        <v>##BLANK</v>
      </c>
    </row>
    <row r="987" spans="2:7">
      <c r="B987" s="821" t="str">
        <f>+'2D'!BI8</f>
        <v>BM4016SG</v>
      </c>
      <c r="D987" s="1882"/>
      <c r="E987" s="1628" t="s">
        <v>8339</v>
      </c>
      <c r="F987" s="1882"/>
      <c r="G987" s="1882" t="str">
        <f>IF('2D'!J8="","##BLANK",'2D'!J8)</f>
        <v>##BLANK</v>
      </c>
    </row>
    <row r="988" spans="2:7">
      <c r="B988" s="821" t="str">
        <f>+'2D'!BI9</f>
        <v>BM4017SG</v>
      </c>
      <c r="D988" s="1882"/>
      <c r="E988" s="1628" t="s">
        <v>8339</v>
      </c>
      <c r="F988" s="1882"/>
      <c r="G988" s="1882" t="str">
        <f>IF('2D'!J9="","##BLANK",'2D'!J9)</f>
        <v>##BLANK</v>
      </c>
    </row>
    <row r="989" spans="2:7">
      <c r="B989" s="821" t="str">
        <f>+'2D'!BI10</f>
        <v>BM4021SG</v>
      </c>
      <c r="D989" s="1882"/>
      <c r="E989" s="1628" t="s">
        <v>8339</v>
      </c>
      <c r="F989" s="1882"/>
      <c r="G989" s="1882" t="str">
        <f>IF('2D'!J10="","##BLANK",'2D'!J10)</f>
        <v>##BLANK</v>
      </c>
    </row>
    <row r="990" spans="2:7">
      <c r="B990" s="821" t="str">
        <f>+'2D'!BI11</f>
        <v>BM4019SG</v>
      </c>
      <c r="D990" s="1882"/>
      <c r="E990" s="1628" t="s">
        <v>8339</v>
      </c>
      <c r="F990" s="1882"/>
      <c r="G990" s="1882" t="str">
        <f>IF('2D'!J11="","##BLANK",'2D'!J11)</f>
        <v>##BLANK</v>
      </c>
    </row>
    <row r="991" spans="2:7">
      <c r="B991" s="821" t="str">
        <f>+'2D'!BI12</f>
        <v>BM4018SG</v>
      </c>
      <c r="D991" s="1882"/>
      <c r="E991" s="1628" t="s">
        <v>8339</v>
      </c>
      <c r="F991" s="1882"/>
      <c r="G991" s="1882">
        <f>IF('2D'!J12="","##BLANK",'2D'!J12)</f>
        <v>0</v>
      </c>
    </row>
    <row r="992" spans="2:7">
      <c r="B992" s="821" t="str">
        <f>+'2D'!BI15</f>
        <v>BM4041SG</v>
      </c>
      <c r="D992" s="1882"/>
      <c r="E992" s="1628" t="s">
        <v>8339</v>
      </c>
      <c r="F992" s="1882"/>
      <c r="G992" s="1882" t="str">
        <f>IF('2D'!J15="","##BLANK",'2D'!J15)</f>
        <v>##BLANK</v>
      </c>
    </row>
    <row r="993" spans="2:7">
      <c r="B993" s="821" t="str">
        <f>+'2D'!BI16</f>
        <v>BM4045SG</v>
      </c>
      <c r="D993" s="1882"/>
      <c r="E993" s="1628" t="s">
        <v>8339</v>
      </c>
      <c r="F993" s="1882"/>
      <c r="G993" s="1882" t="str">
        <f>IF('2D'!J16="","##BLANK",'2D'!J16)</f>
        <v>##BLANK</v>
      </c>
    </row>
    <row r="994" spans="2:7">
      <c r="B994" s="821" t="str">
        <f>+'2D'!BI17</f>
        <v>BM4053SG</v>
      </c>
      <c r="D994" s="1882"/>
      <c r="E994" s="1628" t="s">
        <v>8339</v>
      </c>
      <c r="F994" s="1882"/>
      <c r="G994" s="1882" t="str">
        <f>IF('2D'!J17="","##BLANK",'2D'!J17)</f>
        <v>##BLANK</v>
      </c>
    </row>
    <row r="995" spans="2:7">
      <c r="B995" s="821" t="str">
        <f>+'2D'!BI18</f>
        <v>BM4046SG</v>
      </c>
      <c r="D995" s="1882"/>
      <c r="E995" s="1628" t="s">
        <v>8339</v>
      </c>
      <c r="F995" s="1882"/>
      <c r="G995" s="1882" t="str">
        <f>IF('2D'!J18="","##BLANK",'2D'!J18)</f>
        <v>##BLANK</v>
      </c>
    </row>
    <row r="996" spans="2:7">
      <c r="B996" s="821" t="str">
        <f>+'2D'!BI19</f>
        <v>BM4047SG</v>
      </c>
      <c r="D996" s="1882"/>
      <c r="E996" s="1628" t="s">
        <v>8339</v>
      </c>
      <c r="F996" s="1882"/>
      <c r="G996" s="1882">
        <f>IF('2D'!J19="","##BLANK",'2D'!J19)</f>
        <v>0</v>
      </c>
    </row>
    <row r="997" spans="2:7">
      <c r="B997" s="821" t="str">
        <f>+'2D'!BI21</f>
        <v>BM4048SG</v>
      </c>
      <c r="D997" s="1882"/>
      <c r="E997" s="1628" t="s">
        <v>8339</v>
      </c>
      <c r="F997" s="1882"/>
      <c r="G997" s="1882">
        <f>IF('2D'!J21="","##BLANK",'2D'!J21)</f>
        <v>0</v>
      </c>
    </row>
    <row r="998" spans="2:7">
      <c r="B998" s="821" t="str">
        <f>+'2D'!BI22</f>
        <v>BM4049SG</v>
      </c>
      <c r="D998" s="1882"/>
      <c r="E998" s="1628" t="s">
        <v>8339</v>
      </c>
      <c r="F998" s="1882"/>
      <c r="G998" s="1882">
        <f>IF('2D'!J22="","##BLANK",'2D'!J22)</f>
        <v>0</v>
      </c>
    </row>
    <row r="999" spans="2:7">
      <c r="B999" s="821" t="str">
        <f>+'2D'!BI25</f>
        <v>BM4051SG</v>
      </c>
      <c r="D999" s="1882"/>
      <c r="E999" s="1628" t="s">
        <v>8339</v>
      </c>
      <c r="F999" s="1882"/>
      <c r="G999" s="1882" t="str">
        <f>IF('2D'!J25="","##BLANK",'2D'!J25)</f>
        <v>##BLANK</v>
      </c>
    </row>
    <row r="1000" spans="2:7">
      <c r="B1000" s="821" t="str">
        <f>+'2D'!BI26</f>
        <v>BM334SG</v>
      </c>
      <c r="D1000" s="1882"/>
      <c r="E1000" s="1628" t="s">
        <v>8339</v>
      </c>
      <c r="F1000" s="1882"/>
      <c r="G1000" s="1882" t="str">
        <f>IF('2D'!J26="","##BLANK",'2D'!J26)</f>
        <v>##BLANK</v>
      </c>
    </row>
    <row r="1001" spans="2:7">
      <c r="B1001" s="821" t="str">
        <f>+'2D'!BI27</f>
        <v>BM4052SG</v>
      </c>
      <c r="D1001" s="1882"/>
      <c r="E1001" s="1628" t="s">
        <v>8339</v>
      </c>
      <c r="F1001" s="1882"/>
      <c r="G1001" s="1882">
        <f>IF('2D'!J27="","##BLANK",'2D'!J27)</f>
        <v>0</v>
      </c>
    </row>
    <row r="1002" spans="2:7">
      <c r="B1002" s="821" t="str">
        <f>+'2D'!BJ7</f>
        <v>BM4012STTT</v>
      </c>
      <c r="D1002" s="1882"/>
      <c r="E1002" s="1628" t="s">
        <v>8339</v>
      </c>
      <c r="F1002" s="1882"/>
      <c r="G1002" s="1882" t="str">
        <f>IF('2D'!K7="","##BLANK",'2D'!K7)</f>
        <v>##BLANK</v>
      </c>
    </row>
    <row r="1003" spans="2:7">
      <c r="B1003" s="821" t="str">
        <f>+'2D'!BJ8</f>
        <v>BM4016STTT</v>
      </c>
      <c r="D1003" s="1882"/>
      <c r="E1003" s="1628" t="s">
        <v>8339</v>
      </c>
      <c r="F1003" s="1882"/>
      <c r="G1003" s="1882" t="str">
        <f>IF('2D'!K8="","##BLANK",'2D'!K8)</f>
        <v>##BLANK</v>
      </c>
    </row>
    <row r="1004" spans="2:7">
      <c r="B1004" s="821" t="str">
        <f>+'2D'!BJ9</f>
        <v>BM4017STTT</v>
      </c>
      <c r="D1004" s="1882"/>
      <c r="E1004" s="1628" t="s">
        <v>8339</v>
      </c>
      <c r="F1004" s="1882"/>
      <c r="G1004" s="1882" t="str">
        <f>IF('2D'!K9="","##BLANK",'2D'!K9)</f>
        <v>##BLANK</v>
      </c>
    </row>
    <row r="1005" spans="2:7">
      <c r="B1005" s="821" t="str">
        <f>+'2D'!BJ10</f>
        <v>BM4021STTT</v>
      </c>
      <c r="D1005" s="1882"/>
      <c r="E1005" s="1628" t="s">
        <v>8339</v>
      </c>
      <c r="F1005" s="1882"/>
      <c r="G1005" s="1882" t="str">
        <f>IF('2D'!K10="","##BLANK",'2D'!K10)</f>
        <v>##BLANK</v>
      </c>
    </row>
    <row r="1006" spans="2:7">
      <c r="B1006" s="821" t="str">
        <f>+'2D'!BJ11</f>
        <v>BM4019STTT</v>
      </c>
      <c r="D1006" s="1882"/>
      <c r="E1006" s="1628" t="s">
        <v>8339</v>
      </c>
      <c r="F1006" s="1882"/>
      <c r="G1006" s="1882" t="str">
        <f>IF('2D'!K11="","##BLANK",'2D'!K11)</f>
        <v>##BLANK</v>
      </c>
    </row>
    <row r="1007" spans="2:7">
      <c r="B1007" s="821" t="str">
        <f>+'2D'!BJ12</f>
        <v>BM4018STTT</v>
      </c>
      <c r="D1007" s="1882"/>
      <c r="E1007" s="1628" t="s">
        <v>8339</v>
      </c>
      <c r="F1007" s="1882"/>
      <c r="G1007" s="1882">
        <f>IF('2D'!K12="","##BLANK",'2D'!K12)</f>
        <v>0</v>
      </c>
    </row>
    <row r="1008" spans="2:7">
      <c r="B1008" s="821" t="str">
        <f>+'2D'!BJ15</f>
        <v>BM4041STTT</v>
      </c>
      <c r="D1008" s="1882"/>
      <c r="E1008" s="1628" t="s">
        <v>8339</v>
      </c>
      <c r="F1008" s="1882"/>
      <c r="G1008" s="1882" t="str">
        <f>IF('2D'!K15="","##BLANK",'2D'!K15)</f>
        <v>##BLANK</v>
      </c>
    </row>
    <row r="1009" spans="2:7">
      <c r="B1009" s="821" t="str">
        <f>+'2D'!BJ16</f>
        <v>BM4045STTT</v>
      </c>
      <c r="D1009" s="1882"/>
      <c r="E1009" s="1628" t="s">
        <v>8339</v>
      </c>
      <c r="F1009" s="1882"/>
      <c r="G1009" s="1882" t="str">
        <f>IF('2D'!K16="","##BLANK",'2D'!K16)</f>
        <v>##BLANK</v>
      </c>
    </row>
    <row r="1010" spans="2:7">
      <c r="B1010" s="821" t="str">
        <f>+'2D'!BJ17</f>
        <v>BM4053STTT</v>
      </c>
      <c r="D1010" s="1882"/>
      <c r="E1010" s="1628" t="s">
        <v>8339</v>
      </c>
      <c r="F1010" s="1882"/>
      <c r="G1010" s="1882" t="str">
        <f>IF('2D'!K17="","##BLANK",'2D'!K17)</f>
        <v>##BLANK</v>
      </c>
    </row>
    <row r="1011" spans="2:7">
      <c r="B1011" s="821" t="str">
        <f>+'2D'!BJ18</f>
        <v>BM4046STTT</v>
      </c>
      <c r="D1011" s="1882"/>
      <c r="E1011" s="1628" t="s">
        <v>8339</v>
      </c>
      <c r="F1011" s="1882"/>
      <c r="G1011" s="1882" t="str">
        <f>IF('2D'!K18="","##BLANK",'2D'!K18)</f>
        <v>##BLANK</v>
      </c>
    </row>
    <row r="1012" spans="2:7">
      <c r="B1012" s="821" t="str">
        <f>+'2D'!BJ19</f>
        <v>BM4047STTT</v>
      </c>
      <c r="D1012" s="1882"/>
      <c r="E1012" s="1628" t="s">
        <v>8339</v>
      </c>
      <c r="F1012" s="1882"/>
      <c r="G1012" s="1882">
        <f>IF('2D'!K19="","##BLANK",'2D'!K19)</f>
        <v>0</v>
      </c>
    </row>
    <row r="1013" spans="2:7">
      <c r="B1013" s="821" t="str">
        <f>+'2D'!BJ21</f>
        <v>BM4048STTT</v>
      </c>
      <c r="D1013" s="1882"/>
      <c r="E1013" s="1628" t="s">
        <v>8339</v>
      </c>
      <c r="F1013" s="1882"/>
      <c r="G1013" s="1882">
        <f>IF('2D'!K21="","##BLANK",'2D'!K21)</f>
        <v>0</v>
      </c>
    </row>
    <row r="1014" spans="2:7">
      <c r="B1014" s="821" t="str">
        <f>+'2D'!BJ22</f>
        <v>BM4049STTT</v>
      </c>
      <c r="D1014" s="1882"/>
      <c r="E1014" s="1628" t="s">
        <v>8339</v>
      </c>
      <c r="F1014" s="1882"/>
      <c r="G1014" s="1882">
        <f>IF('2D'!K22="","##BLANK",'2D'!K22)</f>
        <v>0</v>
      </c>
    </row>
    <row r="1015" spans="2:7">
      <c r="B1015" s="821" t="str">
        <f>+'2D'!BJ25</f>
        <v>BM4051STTT</v>
      </c>
      <c r="D1015" s="1882"/>
      <c r="E1015" s="1628" t="s">
        <v>8339</v>
      </c>
      <c r="F1015" s="1882"/>
      <c r="G1015" s="1882" t="str">
        <f>IF('2D'!K25="","##BLANK",'2D'!K25)</f>
        <v>##BLANK</v>
      </c>
    </row>
    <row r="1016" spans="2:7">
      <c r="B1016" s="821" t="str">
        <f>+'2D'!BJ26</f>
        <v>BM334STTT</v>
      </c>
      <c r="D1016" s="1882"/>
      <c r="E1016" s="1628" t="s">
        <v>8339</v>
      </c>
      <c r="F1016" s="1882"/>
      <c r="G1016" s="1882" t="str">
        <f>IF('2D'!K26="","##BLANK",'2D'!K26)</f>
        <v>##BLANK</v>
      </c>
    </row>
    <row r="1017" spans="2:7">
      <c r="B1017" s="821" t="str">
        <f>+'2D'!BJ27</f>
        <v>BM4052STTT</v>
      </c>
      <c r="D1017" s="1882"/>
      <c r="E1017" s="1628" t="s">
        <v>8339</v>
      </c>
      <c r="F1017" s="1882"/>
      <c r="G1017" s="1882">
        <f>IF('2D'!K27="","##BLANK",'2D'!K27)</f>
        <v>0</v>
      </c>
    </row>
    <row r="1018" spans="2:7">
      <c r="B1018" s="821" t="str">
        <f>+'2D'!BK7</f>
        <v>BM4012H</v>
      </c>
      <c r="D1018" s="1882"/>
      <c r="E1018" s="1628" t="s">
        <v>8339</v>
      </c>
      <c r="F1018" s="1882"/>
      <c r="G1018" s="1882">
        <f>IF('2D'!L7="","##BLANK",'2D'!L7)</f>
        <v>1.089</v>
      </c>
    </row>
    <row r="1019" spans="2:7">
      <c r="B1019" s="821" t="str">
        <f>+'2D'!BK8</f>
        <v>BM4016H</v>
      </c>
      <c r="D1019" s="1882"/>
      <c r="E1019" s="1628" t="s">
        <v>8339</v>
      </c>
      <c r="F1019" s="1882"/>
      <c r="G1019" s="1882">
        <f>IF('2D'!L8="","##BLANK",'2D'!L8)</f>
        <v>-0.11127931999999997</v>
      </c>
    </row>
    <row r="1020" spans="2:7">
      <c r="B1020" s="821" t="str">
        <f>+'2D'!BK9</f>
        <v>BM4017H</v>
      </c>
      <c r="D1020" s="1882"/>
      <c r="E1020" s="1628" t="s">
        <v>8339</v>
      </c>
      <c r="F1020" s="1882"/>
      <c r="G1020" s="1882">
        <f>IF('2D'!L9="","##BLANK",'2D'!L9)</f>
        <v>0.44094171999999959</v>
      </c>
    </row>
    <row r="1021" spans="2:7">
      <c r="B1021" s="821" t="str">
        <f>+'2D'!BK10</f>
        <v>BM4021H</v>
      </c>
      <c r="D1021" s="1882"/>
      <c r="E1021" s="1628" t="s">
        <v>8339</v>
      </c>
      <c r="F1021" s="1882"/>
      <c r="G1021" s="1882">
        <f>IF('2D'!L10="","##BLANK",'2D'!L10)</f>
        <v>-4.9960036108132044E-16</v>
      </c>
    </row>
    <row r="1022" spans="2:7">
      <c r="B1022" s="821" t="str">
        <f>+'2D'!BK11</f>
        <v>BM4019H</v>
      </c>
      <c r="D1022" s="1882"/>
      <c r="E1022" s="1628" t="s">
        <v>8339</v>
      </c>
      <c r="F1022" s="1882"/>
      <c r="G1022" s="1882">
        <f>IF('2D'!L11="","##BLANK",'2D'!L11)</f>
        <v>0</v>
      </c>
    </row>
    <row r="1023" spans="2:7">
      <c r="B1023" s="821" t="str">
        <f>+'2D'!BK12</f>
        <v>BM4018H</v>
      </c>
      <c r="D1023" s="1882"/>
      <c r="E1023" s="1628" t="s">
        <v>8339</v>
      </c>
      <c r="F1023" s="1882"/>
      <c r="G1023" s="1882">
        <f>IF('2D'!L12="","##BLANK",'2D'!L12)</f>
        <v>1.4186623999999992</v>
      </c>
    </row>
    <row r="1024" spans="2:7">
      <c r="B1024" s="821" t="str">
        <f>+'2D'!BK15</f>
        <v>BM4041H</v>
      </c>
      <c r="D1024" s="1882"/>
      <c r="E1024" s="1628" t="s">
        <v>8339</v>
      </c>
      <c r="F1024" s="1882"/>
      <c r="G1024" s="1882">
        <f>IF('2D'!L15="","##BLANK",'2D'!L15)</f>
        <v>-1.2170000000000001</v>
      </c>
    </row>
    <row r="1025" spans="2:7">
      <c r="B1025" s="821" t="str">
        <f>+'2D'!BK16</f>
        <v>BM4045H</v>
      </c>
      <c r="D1025" s="1882"/>
      <c r="E1025" s="1628" t="s">
        <v>8339</v>
      </c>
      <c r="F1025" s="1882"/>
      <c r="G1025" s="1882">
        <f>IF('2D'!L16="","##BLANK",'2D'!L16)</f>
        <v>9.7737349999999945E-2</v>
      </c>
    </row>
    <row r="1026" spans="2:7">
      <c r="B1026" s="821" t="str">
        <f>+'2D'!BK17</f>
        <v>BM4053H</v>
      </c>
      <c r="D1026" s="1882"/>
      <c r="E1026" s="1628" t="s">
        <v>8339</v>
      </c>
      <c r="F1026" s="1882"/>
      <c r="G1026" s="1882">
        <f>IF('2D'!L17="","##BLANK",'2D'!L17)</f>
        <v>0</v>
      </c>
    </row>
    <row r="1027" spans="2:7">
      <c r="B1027" s="821" t="str">
        <f>+'2D'!BK18</f>
        <v>BM4046H</v>
      </c>
      <c r="D1027" s="1882"/>
      <c r="E1027" s="1628" t="s">
        <v>8339</v>
      </c>
      <c r="F1027" s="1882"/>
      <c r="G1027" s="1882">
        <f>IF('2D'!L18="","##BLANK",'2D'!L18)</f>
        <v>-0.11739704999999998</v>
      </c>
    </row>
    <row r="1028" spans="2:7">
      <c r="B1028" s="821" t="str">
        <f>+'2D'!BK19</f>
        <v>BM4047H</v>
      </c>
      <c r="D1028" s="1882"/>
      <c r="E1028" s="1628" t="s">
        <v>8339</v>
      </c>
      <c r="F1028" s="1882"/>
      <c r="G1028" s="1882">
        <f>IF('2D'!L19="","##BLANK",'2D'!L19)</f>
        <v>-1.2366596999999999</v>
      </c>
    </row>
    <row r="1029" spans="2:7">
      <c r="B1029" s="821" t="str">
        <f>+'2D'!BK21</f>
        <v>BM4048H</v>
      </c>
      <c r="D1029" s="1882"/>
      <c r="E1029" s="1628" t="s">
        <v>8339</v>
      </c>
      <c r="F1029" s="1882"/>
      <c r="G1029" s="1882">
        <f>IF('2D'!L21="","##BLANK",'2D'!L21)</f>
        <v>0.1820026999999993</v>
      </c>
    </row>
    <row r="1030" spans="2:7">
      <c r="B1030" s="821" t="str">
        <f>+'2D'!BK22</f>
        <v>BM4049H</v>
      </c>
      <c r="D1030" s="1882"/>
      <c r="E1030" s="1628" t="s">
        <v>8339</v>
      </c>
      <c r="F1030" s="1882"/>
      <c r="G1030" s="1882">
        <f>IF('2D'!L22="","##BLANK",'2D'!L22)</f>
        <v>-0.12800000000000011</v>
      </c>
    </row>
    <row r="1031" spans="2:7">
      <c r="B1031" s="821" t="str">
        <f>+'2D'!BK25</f>
        <v>BM4051H</v>
      </c>
      <c r="D1031" s="1882"/>
      <c r="E1031" s="1628" t="s">
        <v>8339</v>
      </c>
      <c r="F1031" s="1882"/>
      <c r="G1031" s="1882">
        <f>IF('2D'!L25="","##BLANK",'2D'!L25)</f>
        <v>-0.11739704999999998</v>
      </c>
    </row>
    <row r="1032" spans="2:7">
      <c r="B1032" s="821" t="str">
        <f>+'2D'!BK26</f>
        <v>BM334H</v>
      </c>
      <c r="D1032" s="1882"/>
      <c r="E1032" s="1628" t="s">
        <v>8339</v>
      </c>
      <c r="F1032" s="1882"/>
      <c r="G1032" s="1882">
        <f>IF('2D'!L26="","##BLANK",'2D'!L26)</f>
        <v>0</v>
      </c>
    </row>
    <row r="1033" spans="2:7">
      <c r="B1033" s="821" t="str">
        <f>+'2D'!BK27</f>
        <v>BM4052H</v>
      </c>
      <c r="D1033" s="1882"/>
      <c r="E1033" s="1628" t="s">
        <v>8339</v>
      </c>
      <c r="F1033" s="1882"/>
      <c r="G1033" s="1882">
        <f>IF('2D'!L27="","##BLANK",'2D'!L27)</f>
        <v>-0.11739704999999998</v>
      </c>
    </row>
    <row r="1034" spans="2:7">
      <c r="B1034" s="821" t="str">
        <f>+'2D'!BL7</f>
        <v>BM4012NH</v>
      </c>
      <c r="D1034" s="1882"/>
      <c r="E1034" s="1628" t="s">
        <v>8339</v>
      </c>
      <c r="F1034" s="1882"/>
      <c r="G1034" s="1882">
        <f>IF('2D'!M7="","##BLANK",'2D'!M7)</f>
        <v>0</v>
      </c>
    </row>
    <row r="1035" spans="2:7">
      <c r="B1035" s="821" t="str">
        <f>+'2D'!BL8</f>
        <v>BM4016NH</v>
      </c>
      <c r="D1035" s="1882"/>
      <c r="E1035" s="1628" t="s">
        <v>8339</v>
      </c>
      <c r="F1035" s="1882"/>
      <c r="G1035" s="1882">
        <f>IF('2D'!M8="","##BLANK",'2D'!M8)</f>
        <v>0</v>
      </c>
    </row>
    <row r="1036" spans="2:7">
      <c r="B1036" s="821" t="str">
        <f>+'2D'!BL9</f>
        <v>BM4017NH</v>
      </c>
      <c r="D1036" s="1882"/>
      <c r="E1036" s="1628" t="s">
        <v>8339</v>
      </c>
      <c r="F1036" s="1882"/>
      <c r="G1036" s="1882">
        <f>IF('2D'!M9="","##BLANK",'2D'!M9)</f>
        <v>0</v>
      </c>
    </row>
    <row r="1037" spans="2:7">
      <c r="B1037" s="821" t="str">
        <f>+'2D'!BL10</f>
        <v>BM4021NH</v>
      </c>
      <c r="D1037" s="1882"/>
      <c r="E1037" s="1628" t="s">
        <v>8339</v>
      </c>
      <c r="F1037" s="1882"/>
      <c r="G1037" s="1882">
        <f>IF('2D'!M10="","##BLANK",'2D'!M10)</f>
        <v>0</v>
      </c>
    </row>
    <row r="1038" spans="2:7">
      <c r="B1038" s="821" t="str">
        <f>+'2D'!BL11</f>
        <v>BM4019NH</v>
      </c>
      <c r="D1038" s="1882"/>
      <c r="E1038" s="1628" t="s">
        <v>8339</v>
      </c>
      <c r="F1038" s="1882"/>
      <c r="G1038" s="1882">
        <f>IF('2D'!M11="","##BLANK",'2D'!M11)</f>
        <v>0</v>
      </c>
    </row>
    <row r="1039" spans="2:7">
      <c r="B1039" s="821" t="str">
        <f>+'2D'!BL12</f>
        <v>BM4018NH</v>
      </c>
      <c r="D1039" s="1882"/>
      <c r="E1039" s="1628" t="s">
        <v>8339</v>
      </c>
      <c r="F1039" s="1882"/>
      <c r="G1039" s="1882">
        <f>IF('2D'!M12="","##BLANK",'2D'!M12)</f>
        <v>0</v>
      </c>
    </row>
    <row r="1040" spans="2:7">
      <c r="B1040" s="821" t="str">
        <f>+'2D'!BL15</f>
        <v>BM4041NH</v>
      </c>
      <c r="D1040" s="1882"/>
      <c r="E1040" s="1628" t="s">
        <v>8339</v>
      </c>
      <c r="F1040" s="1882"/>
      <c r="G1040" s="1882">
        <f>IF('2D'!M15="","##BLANK",'2D'!M15)</f>
        <v>0</v>
      </c>
    </row>
    <row r="1041" spans="2:7">
      <c r="B1041" s="821" t="str">
        <f>+'2D'!BL16</f>
        <v>BM4045NH</v>
      </c>
      <c r="D1041" s="1882"/>
      <c r="E1041" s="1628" t="s">
        <v>8339</v>
      </c>
      <c r="F1041" s="1882"/>
      <c r="G1041" s="1882">
        <f>IF('2D'!M16="","##BLANK",'2D'!M16)</f>
        <v>0</v>
      </c>
    </row>
    <row r="1042" spans="2:7">
      <c r="B1042" s="821" t="str">
        <f>+'2D'!BL17</f>
        <v>BM4053NH</v>
      </c>
      <c r="D1042" s="1882"/>
      <c r="E1042" s="1628" t="s">
        <v>8339</v>
      </c>
      <c r="F1042" s="1882"/>
      <c r="G1042" s="1882">
        <f>IF('2D'!M17="","##BLANK",'2D'!M17)</f>
        <v>0</v>
      </c>
    </row>
    <row r="1043" spans="2:7">
      <c r="B1043" s="821" t="str">
        <f>+'2D'!BL18</f>
        <v>BM4046NH</v>
      </c>
      <c r="D1043" s="1882"/>
      <c r="E1043" s="1628" t="s">
        <v>8339</v>
      </c>
      <c r="F1043" s="1882"/>
      <c r="G1043" s="1882">
        <f>IF('2D'!M18="","##BLANK",'2D'!M18)</f>
        <v>0</v>
      </c>
    </row>
    <row r="1044" spans="2:7">
      <c r="B1044" s="821" t="str">
        <f>+'2D'!BL19</f>
        <v>BM4047NH</v>
      </c>
      <c r="D1044" s="1882"/>
      <c r="E1044" s="1628" t="s">
        <v>8339</v>
      </c>
      <c r="F1044" s="1882"/>
      <c r="G1044" s="1882">
        <f>IF('2D'!M19="","##BLANK",'2D'!M19)</f>
        <v>0</v>
      </c>
    </row>
    <row r="1045" spans="2:7">
      <c r="B1045" s="821" t="str">
        <f>+'2D'!BL21</f>
        <v>BM4048NH</v>
      </c>
      <c r="D1045" s="1882"/>
      <c r="E1045" s="1628" t="s">
        <v>8339</v>
      </c>
      <c r="F1045" s="1882"/>
      <c r="G1045" s="1882">
        <f>IF('2D'!M21="","##BLANK",'2D'!M21)</f>
        <v>0</v>
      </c>
    </row>
    <row r="1046" spans="2:7">
      <c r="B1046" s="821" t="str">
        <f>+'2D'!BL22</f>
        <v>BM4049NH</v>
      </c>
      <c r="D1046" s="1882"/>
      <c r="E1046" s="1628" t="s">
        <v>8339</v>
      </c>
      <c r="F1046" s="1882"/>
      <c r="G1046" s="1882">
        <f>IF('2D'!M22="","##BLANK",'2D'!M22)</f>
        <v>0</v>
      </c>
    </row>
    <row r="1047" spans="2:7">
      <c r="B1047" s="821" t="str">
        <f>+'2D'!BL25</f>
        <v>BM4051NH</v>
      </c>
      <c r="D1047" s="1882"/>
      <c r="E1047" s="1628" t="s">
        <v>8339</v>
      </c>
      <c r="F1047" s="1882"/>
      <c r="G1047" s="1882">
        <f>IF('2D'!M25="","##BLANK",'2D'!M25)</f>
        <v>0</v>
      </c>
    </row>
    <row r="1048" spans="2:7">
      <c r="B1048" s="821" t="str">
        <f>+'2D'!BL26</f>
        <v>BM334NH</v>
      </c>
      <c r="D1048" s="1882"/>
      <c r="E1048" s="1628" t="s">
        <v>8339</v>
      </c>
      <c r="F1048" s="1882"/>
      <c r="G1048" s="1882">
        <f>IF('2D'!M26="","##BLANK",'2D'!M26)</f>
        <v>0</v>
      </c>
    </row>
    <row r="1049" spans="2:7">
      <c r="B1049" s="821" t="str">
        <f>+'2D'!BL27</f>
        <v>BM4052NH</v>
      </c>
      <c r="D1049" s="1882"/>
      <c r="E1049" s="1628" t="s">
        <v>8339</v>
      </c>
      <c r="F1049" s="1882"/>
      <c r="G1049" s="1882">
        <f>IF('2D'!M27="","##BLANK",'2D'!M27)</f>
        <v>0</v>
      </c>
    </row>
    <row r="1050" spans="2:7">
      <c r="B1050" s="821" t="str">
        <f>+'2D'!BM7</f>
        <v>BM4012CTOT</v>
      </c>
      <c r="D1050" s="1882"/>
      <c r="E1050" s="1628" t="s">
        <v>8339</v>
      </c>
      <c r="F1050" s="1882"/>
      <c r="G1050" s="1882">
        <f>IF('2D'!N7="","##BLANK",'2D'!N7)</f>
        <v>893.92824251750312</v>
      </c>
    </row>
    <row r="1051" spans="2:7">
      <c r="B1051" s="821" t="str">
        <f>+'2D'!BM8</f>
        <v>BM4016CTOT</v>
      </c>
      <c r="D1051" s="1882"/>
      <c r="E1051" s="1628" t="s">
        <v>8339</v>
      </c>
      <c r="F1051" s="1882"/>
      <c r="G1051" s="1882">
        <f>IF('2D'!N8="","##BLANK",'2D'!N8)</f>
        <v>-0.66125641999999996</v>
      </c>
    </row>
    <row r="1052" spans="2:7">
      <c r="B1052" s="821" t="str">
        <f>+'2D'!BM9</f>
        <v>BM4017CTOT</v>
      </c>
      <c r="D1052" s="1882"/>
      <c r="E1052" s="1628" t="s">
        <v>8339</v>
      </c>
      <c r="F1052" s="1882"/>
      <c r="G1052" s="1882">
        <f>IF('2D'!N9="","##BLANK",'2D'!N9)</f>
        <v>63.375585661224491</v>
      </c>
    </row>
    <row r="1053" spans="2:7">
      <c r="B1053" s="821" t="str">
        <f>+'2D'!BM10</f>
        <v>BM4021CTOT</v>
      </c>
      <c r="D1053" s="1882"/>
      <c r="E1053" s="1628" t="s">
        <v>8339</v>
      </c>
      <c r="F1053" s="1882"/>
      <c r="G1053" s="1882">
        <f>IF('2D'!N10="","##BLANK",'2D'!N10)</f>
        <v>0.68449999999999944</v>
      </c>
    </row>
    <row r="1054" spans="2:7">
      <c r="B1054" s="821" t="str">
        <f>+'2D'!BM11</f>
        <v>BM4019CTOT</v>
      </c>
      <c r="D1054" s="1882"/>
      <c r="E1054" s="1628" t="s">
        <v>8339</v>
      </c>
      <c r="F1054" s="1882"/>
      <c r="G1054" s="1882">
        <f>IF('2D'!N11="","##BLANK",'2D'!N11)</f>
        <v>0</v>
      </c>
    </row>
    <row r="1055" spans="2:7">
      <c r="B1055" s="821" t="str">
        <f>+'2D'!BM12</f>
        <v>BM4018CTOT</v>
      </c>
      <c r="D1055" s="1882"/>
      <c r="E1055" s="1628" t="s">
        <v>8339</v>
      </c>
      <c r="F1055" s="1882"/>
      <c r="G1055" s="1882">
        <f>IF('2D'!N12="","##BLANK",'2D'!N12)</f>
        <v>957.32707175872758</v>
      </c>
    </row>
    <row r="1056" spans="2:7">
      <c r="B1056" s="821" t="str">
        <f>+'2D'!BM15</f>
        <v>BM041CTOT</v>
      </c>
      <c r="D1056" s="1882"/>
      <c r="E1056" s="1628" t="s">
        <v>8339</v>
      </c>
      <c r="F1056" s="1882"/>
      <c r="G1056" s="1882">
        <f>IF('2D'!N15="","##BLANK",'2D'!N15)</f>
        <v>-272.77100000000002</v>
      </c>
    </row>
    <row r="1057" spans="2:7">
      <c r="B1057" s="821" t="str">
        <f>+'2D'!BM16</f>
        <v>BM4045CTOT</v>
      </c>
      <c r="D1057" s="1882"/>
      <c r="E1057" s="1628" t="s">
        <v>8339</v>
      </c>
      <c r="F1057" s="1882"/>
      <c r="G1057" s="1882">
        <f>IF('2D'!N16="","##BLANK",'2D'!N16)</f>
        <v>0.61373561999999993</v>
      </c>
    </row>
    <row r="1058" spans="2:7">
      <c r="B1058" s="821" t="str">
        <f>+'2D'!BM17</f>
        <v>BM4053TOT</v>
      </c>
      <c r="D1058" s="1882"/>
      <c r="E1058" s="1628" t="s">
        <v>8339</v>
      </c>
      <c r="F1058" s="1882"/>
      <c r="G1058" s="1882">
        <f>IF('2D'!N17="","##BLANK",'2D'!N17)</f>
        <v>-3.9000000000000007E-2</v>
      </c>
    </row>
    <row r="1059" spans="2:7">
      <c r="B1059" s="821" t="str">
        <f>+'2D'!BM18</f>
        <v>BM4046CTOT</v>
      </c>
      <c r="D1059" s="1882"/>
      <c r="E1059" s="1628" t="s">
        <v>8339</v>
      </c>
      <c r="F1059" s="1882"/>
      <c r="G1059" s="1882">
        <f>IF('2D'!N18="","##BLANK",'2D'!N18)</f>
        <v>-22.156814554433293</v>
      </c>
    </row>
    <row r="1060" spans="2:7">
      <c r="B1060" s="821" t="str">
        <f>+'2D'!BM19</f>
        <v>BM4047CTOT</v>
      </c>
      <c r="D1060" s="1882"/>
      <c r="E1060" s="1628" t="s">
        <v>8339</v>
      </c>
      <c r="F1060" s="1882"/>
      <c r="G1060" s="1882">
        <f>IF('2D'!N19="","##BLANK",'2D'!N19)</f>
        <v>-294.35307893443331</v>
      </c>
    </row>
    <row r="1061" spans="2:7">
      <c r="B1061" s="821" t="str">
        <f>+'2D'!BM21</f>
        <v>BM4048CTOT</v>
      </c>
      <c r="D1061" s="1882"/>
      <c r="E1061" s="1628" t="s">
        <v>8339</v>
      </c>
      <c r="F1061" s="1882"/>
      <c r="G1061" s="1882">
        <f>IF('2D'!N21="","##BLANK",'2D'!N21)</f>
        <v>662.97399282429433</v>
      </c>
    </row>
    <row r="1062" spans="2:7">
      <c r="B1062" s="821" t="str">
        <f>+'2D'!BM22</f>
        <v>BM4049CTOT</v>
      </c>
      <c r="D1062" s="1882"/>
      <c r="E1062" s="1628" t="s">
        <v>8339</v>
      </c>
      <c r="F1062" s="1882"/>
      <c r="G1062" s="1882">
        <f>IF('2D'!N22="","##BLANK",'2D'!N22)</f>
        <v>621.15724251750316</v>
      </c>
    </row>
    <row r="1063" spans="2:7">
      <c r="B1063" s="821" t="str">
        <f>+'2D'!BM25</f>
        <v>BM4051CTOT</v>
      </c>
      <c r="D1063" s="1882"/>
      <c r="E1063" s="1628" t="s">
        <v>8339</v>
      </c>
      <c r="F1063" s="1882"/>
      <c r="G1063" s="1882">
        <f>IF('2D'!N25="","##BLANK",'2D'!N25)</f>
        <v>-22.040725414233293</v>
      </c>
    </row>
    <row r="1064" spans="2:7">
      <c r="B1064" s="821" t="str">
        <f>+'2D'!BM26</f>
        <v>BM334CTOT</v>
      </c>
      <c r="D1064" s="1882"/>
      <c r="E1064" s="1628" t="s">
        <v>8339</v>
      </c>
      <c r="F1064" s="1882"/>
      <c r="G1064" s="1882">
        <f>IF('2D'!N26="","##BLANK",'2D'!N26)</f>
        <v>-0.11608914020000002</v>
      </c>
    </row>
    <row r="1065" spans="2:7">
      <c r="B1065" s="821" t="str">
        <f>+'2D'!BM27</f>
        <v>BM4052CTOT</v>
      </c>
      <c r="D1065" s="1882"/>
      <c r="E1065" s="1628" t="s">
        <v>8339</v>
      </c>
      <c r="F1065" s="1882"/>
      <c r="G1065" s="1882">
        <f>IF('2D'!N27="","##BLANK",'2D'!N27)</f>
        <v>-22.156814554433293</v>
      </c>
    </row>
    <row r="1066" spans="2:7">
      <c r="B1066" s="821" t="str">
        <f>+'2E'!AF7</f>
        <v>BC11271REV</v>
      </c>
      <c r="D1066" s="1882"/>
      <c r="E1066" s="1628" t="s">
        <v>8339</v>
      </c>
      <c r="F1066" s="1882"/>
      <c r="G1066" s="1882">
        <f>IF('2E'!G7="","##BLANK",'2E'!G7)</f>
        <v>0</v>
      </c>
    </row>
    <row r="1067" spans="2:7">
      <c r="B1067" s="821" t="str">
        <f>+'2E'!AF8</f>
        <v>BC11270REV</v>
      </c>
      <c r="D1067" s="1882"/>
      <c r="E1067" s="1628" t="s">
        <v>8339</v>
      </c>
      <c r="F1067" s="1882"/>
      <c r="G1067" s="1882">
        <f>IF('2E'!G8="","##BLANK",'2E'!G8)</f>
        <v>0</v>
      </c>
    </row>
    <row r="1068" spans="2:7">
      <c r="B1068" s="821" t="str">
        <f>+'2E'!AF9</f>
        <v>BC11272REV</v>
      </c>
      <c r="D1068" s="1882"/>
      <c r="E1068" s="1628" t="s">
        <v>8339</v>
      </c>
      <c r="F1068" s="1882"/>
      <c r="G1068" s="1882">
        <f>IF('2E'!G9="","##BLANK",'2E'!G9)</f>
        <v>0</v>
      </c>
    </row>
    <row r="1069" spans="2:7">
      <c r="B1069" s="821" t="str">
        <f>+'2E'!AF10</f>
        <v>BA1085REVPC</v>
      </c>
      <c r="D1069" s="1882"/>
      <c r="E1069" s="1628" t="s">
        <v>8339</v>
      </c>
      <c r="F1069" s="1882"/>
      <c r="G1069" s="1882">
        <f>IF('2E'!G10="","##BLANK",'2E'!G10)</f>
        <v>0</v>
      </c>
    </row>
    <row r="1070" spans="2:7">
      <c r="B1070" s="821" t="str">
        <f>+'2E'!AF11</f>
        <v>BC11273REV</v>
      </c>
      <c r="D1070" s="1882"/>
      <c r="E1070" s="1628" t="s">
        <v>8339</v>
      </c>
      <c r="F1070" s="1882"/>
      <c r="G1070" s="1882">
        <f>IF('2E'!G11="","##BLANK",'2E'!G11)</f>
        <v>0.56599999999999995</v>
      </c>
    </row>
    <row r="1071" spans="2:7">
      <c r="B1071" s="821" t="str">
        <f>+'2E'!AF12</f>
        <v>BA1085REVNPC</v>
      </c>
      <c r="D1071" s="1882"/>
      <c r="E1071" s="1628" t="s">
        <v>8339</v>
      </c>
      <c r="F1071" s="1882"/>
      <c r="G1071" s="1882">
        <f>IF('2E'!G12="","##BLANK",'2E'!G12)</f>
        <v>0</v>
      </c>
    </row>
    <row r="1072" spans="2:7">
      <c r="B1072" s="821" t="str">
        <f>+'2E'!AF13</f>
        <v>BA1090REV</v>
      </c>
      <c r="D1072" s="1882"/>
      <c r="E1072" s="1628" t="s">
        <v>8339</v>
      </c>
      <c r="F1072" s="1882"/>
      <c r="G1072" s="1882">
        <f>IF('2E'!G13="","##BLANK",'2E'!G13)</f>
        <v>0.56599999999999995</v>
      </c>
    </row>
    <row r="1073" spans="2:7" s="1882" customFormat="1">
      <c r="B1073" s="1722" t="str">
        <f>+'2E'!AF15</f>
        <v>BC30460WREV</v>
      </c>
      <c r="C1073" s="1293"/>
      <c r="E1073" s="1628" t="s">
        <v>8339</v>
      </c>
      <c r="G1073" s="1882">
        <f>IF('2E'!G15="","##BLANK",'2E'!G15)</f>
        <v>0</v>
      </c>
    </row>
    <row r="1074" spans="2:7">
      <c r="B1074" s="821" t="str">
        <f>+'2E'!AF19</f>
        <v>BC11370REV</v>
      </c>
      <c r="D1074" s="1882"/>
      <c r="E1074" s="1628" t="s">
        <v>8339</v>
      </c>
      <c r="F1074" s="1882"/>
      <c r="G1074" s="1882" t="str">
        <f>IF('2E'!G19="","##BLANK",'2E'!G19)</f>
        <v>##BLANK</v>
      </c>
    </row>
    <row r="1075" spans="2:7">
      <c r="B1075" s="821" t="str">
        <f>+'2E'!AF20</f>
        <v>BC11372REV</v>
      </c>
      <c r="D1075" s="1882"/>
      <c r="E1075" s="1628" t="s">
        <v>8339</v>
      </c>
      <c r="F1075" s="1882"/>
      <c r="G1075" s="1882" t="str">
        <f>IF('2E'!G20="","##BLANK",'2E'!G20)</f>
        <v>##BLANK</v>
      </c>
    </row>
    <row r="1076" spans="2:7">
      <c r="B1076" s="821" t="str">
        <f>+'2E'!AF21</f>
        <v>BA2085REVPC</v>
      </c>
      <c r="D1076" s="1882"/>
      <c r="E1076" s="1628" t="s">
        <v>8339</v>
      </c>
      <c r="F1076" s="1882"/>
      <c r="G1076" s="1882" t="str">
        <f>IF('2E'!G21="","##BLANK",'2E'!G21)</f>
        <v>##BLANK</v>
      </c>
    </row>
    <row r="1077" spans="2:7">
      <c r="B1077" s="821" t="str">
        <f>+'2E'!AF22</f>
        <v>BC11373REV</v>
      </c>
      <c r="D1077" s="1882"/>
      <c r="E1077" s="1628" t="s">
        <v>8339</v>
      </c>
      <c r="F1077" s="1882"/>
      <c r="G1077" s="1882" t="str">
        <f>IF('2E'!G22="","##BLANK",'2E'!G22)</f>
        <v>##BLANK</v>
      </c>
    </row>
    <row r="1078" spans="2:7">
      <c r="B1078" s="821" t="str">
        <f>+'2E'!AF23</f>
        <v>BA2085REVNPC</v>
      </c>
      <c r="D1078" s="1882"/>
      <c r="E1078" s="1628" t="s">
        <v>8339</v>
      </c>
      <c r="F1078" s="1882"/>
      <c r="G1078" s="1882" t="str">
        <f>IF('2E'!G23="","##BLANK",'2E'!G23)</f>
        <v>##BLANK</v>
      </c>
    </row>
    <row r="1079" spans="2:7" s="1882" customFormat="1">
      <c r="B1079" s="821" t="str">
        <f>+'2E'!AF24</f>
        <v>BA2090REV</v>
      </c>
      <c r="C1079" s="1293"/>
      <c r="E1079" s="1628" t="s">
        <v>8339</v>
      </c>
      <c r="G1079" s="1882">
        <f>IF('2E'!G24="","##BLANK",'2E'!G24)</f>
        <v>0</v>
      </c>
    </row>
    <row r="1080" spans="2:7" s="1882" customFormat="1">
      <c r="B1080" s="821" t="str">
        <f>+'2E'!AF26</f>
        <v>BC30460WWREV</v>
      </c>
      <c r="C1080" s="1293"/>
      <c r="E1080" s="1628" t="s">
        <v>8339</v>
      </c>
      <c r="G1080" s="1882">
        <f>IF('2E'!G26="","##BLANK",'2E'!G26)</f>
        <v>0</v>
      </c>
    </row>
    <row r="1081" spans="2:7">
      <c r="B1081" s="821" t="str">
        <f>+'2E'!AF30</f>
        <v>BC11370TTTREV</v>
      </c>
      <c r="D1081" s="1882"/>
      <c r="E1081" s="1628" t="s">
        <v>8339</v>
      </c>
      <c r="F1081" s="1882"/>
      <c r="G1081" s="1882" t="str">
        <f>IF('2E'!G30="","##BLANK",'2E'!G30)</f>
        <v>##BLANK</v>
      </c>
    </row>
    <row r="1082" spans="2:7">
      <c r="B1082" s="821" t="str">
        <f>+'2E'!AF31</f>
        <v>BC11372TTTREV</v>
      </c>
      <c r="D1082" s="1882"/>
      <c r="E1082" s="1628" t="s">
        <v>8339</v>
      </c>
      <c r="F1082" s="1882"/>
      <c r="G1082" s="1882" t="str">
        <f>IF('2E'!G31="","##BLANK",'2E'!G31)</f>
        <v>##BLANK</v>
      </c>
    </row>
    <row r="1083" spans="2:7">
      <c r="B1083" s="821" t="str">
        <f>+'2E'!AF32</f>
        <v>BA2085TTTREVPC</v>
      </c>
      <c r="D1083" s="1882"/>
      <c r="E1083" s="1628" t="s">
        <v>8339</v>
      </c>
      <c r="F1083" s="1882"/>
      <c r="G1083" s="1882" t="str">
        <f>IF('2E'!G32="","##BLANK",'2E'!G32)</f>
        <v>##BLANK</v>
      </c>
    </row>
    <row r="1084" spans="2:7">
      <c r="B1084" s="821" t="str">
        <f>+'2E'!AF33</f>
        <v>BC11373TTTREV</v>
      </c>
      <c r="D1084" s="1882"/>
      <c r="E1084" s="1628" t="s">
        <v>8339</v>
      </c>
      <c r="F1084" s="1882"/>
      <c r="G1084" s="1882" t="str">
        <f>IF('2E'!G33="","##BLANK",'2E'!G33)</f>
        <v>##BLANK</v>
      </c>
    </row>
    <row r="1085" spans="2:7">
      <c r="B1085" s="821" t="str">
        <f>+'2E'!AF34</f>
        <v>BA2085TTTREVNPC</v>
      </c>
      <c r="D1085" s="1882"/>
      <c r="E1085" s="1628" t="s">
        <v>8339</v>
      </c>
      <c r="F1085" s="1882"/>
      <c r="G1085" s="1882" t="str">
        <f>IF('2E'!G34="","##BLANK",'2E'!G34)</f>
        <v>##BLANK</v>
      </c>
    </row>
    <row r="1086" spans="2:7">
      <c r="B1086" s="821" t="str">
        <f>+'2E'!AF35</f>
        <v>BA2090TTTREV</v>
      </c>
      <c r="D1086" s="1882"/>
      <c r="E1086" s="1628" t="s">
        <v>8339</v>
      </c>
      <c r="F1086" s="1882"/>
      <c r="G1086" s="1882">
        <f>IF('2E'!G35="","##BLANK",'2E'!G35)</f>
        <v>0</v>
      </c>
    </row>
    <row r="1087" spans="2:7" s="1882" customFormat="1">
      <c r="B1087" s="821" t="str">
        <f>+'2E'!AF37</f>
        <v>BC30460TTTREV</v>
      </c>
      <c r="C1087" s="1293"/>
      <c r="E1087" s="1628" t="s">
        <v>8339</v>
      </c>
      <c r="G1087" s="1882">
        <f>IF('2E'!G37="","##BLANK",'2E'!G37)</f>
        <v>0</v>
      </c>
    </row>
    <row r="1088" spans="2:7">
      <c r="B1088" s="821" t="str">
        <f>+'2E'!AF43</f>
        <v>BA1090BFWD</v>
      </c>
      <c r="D1088" s="1882"/>
      <c r="E1088" s="1628" t="s">
        <v>8339</v>
      </c>
      <c r="F1088" s="1882"/>
      <c r="G1088" s="1882">
        <f>IF('2E'!G43="","##BLANK",'2E'!G43)</f>
        <v>78.004999999999995</v>
      </c>
    </row>
    <row r="1089" spans="2:7">
      <c r="B1089" s="821" t="str">
        <f>+'2E'!AF45</f>
        <v>BA1090AMORT</v>
      </c>
      <c r="D1089" s="1882"/>
      <c r="E1089" s="1628" t="s">
        <v>8339</v>
      </c>
      <c r="F1089" s="1882"/>
      <c r="G1089" s="1882">
        <f>IF('2E'!G45="","##BLANK",'2E'!G45)</f>
        <v>-1.7812726699999999</v>
      </c>
    </row>
    <row r="1090" spans="2:7">
      <c r="B1090" s="821" t="str">
        <f>+'2E'!AF46</f>
        <v>BA1091CFWD</v>
      </c>
      <c r="D1090" s="1882"/>
      <c r="E1090" s="1628" t="s">
        <v>8339</v>
      </c>
      <c r="F1090" s="1882"/>
      <c r="G1090" s="1882">
        <f>IF('2E'!G46="","##BLANK",'2E'!G46)</f>
        <v>80.048727329999991</v>
      </c>
    </row>
    <row r="1091" spans="2:7">
      <c r="B1091" s="821" t="str">
        <f>+'2E'!AF49</f>
        <v>BT39301PW</v>
      </c>
      <c r="D1091" s="1882"/>
      <c r="E1091" s="1628" t="s">
        <v>8339</v>
      </c>
      <c r="F1091" s="1882"/>
      <c r="G1091" s="1882">
        <f>IF('2E'!G49="","##BLANK",'2E'!G49)</f>
        <v>655.84100000000001</v>
      </c>
    </row>
    <row r="1092" spans="2:7">
      <c r="B1092" s="821" t="str">
        <f>+'2E'!AG7</f>
        <v>BC11271CAP</v>
      </c>
      <c r="D1092" s="1882"/>
      <c r="E1092" s="1628" t="s">
        <v>8339</v>
      </c>
      <c r="F1092" s="1882"/>
      <c r="G1092" s="1882">
        <f>IF('2E'!H7="","##BLANK",'2E'!H7)</f>
        <v>1.8240000000000001</v>
      </c>
    </row>
    <row r="1093" spans="2:7">
      <c r="B1093" s="821" t="str">
        <f>+'2E'!AG8</f>
        <v>BC11270CAP</v>
      </c>
      <c r="D1093" s="1882"/>
      <c r="E1093" s="1628" t="s">
        <v>8339</v>
      </c>
      <c r="F1093" s="1882"/>
      <c r="G1093" s="1882">
        <f>IF('2E'!H8="","##BLANK",'2E'!H8)</f>
        <v>1.4279999999999999</v>
      </c>
    </row>
    <row r="1094" spans="2:7">
      <c r="B1094" s="821" t="str">
        <f>+'2E'!AG9</f>
        <v>BC11272CAP</v>
      </c>
      <c r="D1094" s="1882"/>
      <c r="E1094" s="1628" t="s">
        <v>8339</v>
      </c>
      <c r="F1094" s="1882"/>
      <c r="G1094" s="1882">
        <f>IF('2E'!H9="","##BLANK",'2E'!H9)</f>
        <v>0.21099999999999999</v>
      </c>
    </row>
    <row r="1095" spans="2:7">
      <c r="B1095" s="821" t="str">
        <f>+'2E'!AG10</f>
        <v>BA1086CAPPC</v>
      </c>
      <c r="D1095" s="1882"/>
      <c r="E1095" s="1628" t="s">
        <v>8339</v>
      </c>
      <c r="F1095" s="1882"/>
      <c r="G1095" s="1882">
        <f>IF('2E'!H10="","##BLANK",'2E'!H10)</f>
        <v>0.36199999999999999</v>
      </c>
    </row>
    <row r="1096" spans="2:7">
      <c r="B1096" s="821" t="str">
        <f>+'2E'!AG11</f>
        <v>BC11273CAP</v>
      </c>
      <c r="D1096" s="1882"/>
      <c r="E1096" s="1628" t="s">
        <v>8339</v>
      </c>
      <c r="F1096" s="1882"/>
      <c r="G1096" s="1882">
        <f>IF('2E'!H11="","##BLANK",'2E'!H11)</f>
        <v>0</v>
      </c>
    </row>
    <row r="1097" spans="2:7">
      <c r="B1097" s="821" t="str">
        <f>+'2E'!AG12</f>
        <v>BA1086CAPNPC</v>
      </c>
      <c r="D1097" s="1882"/>
      <c r="E1097" s="1628" t="s">
        <v>8339</v>
      </c>
      <c r="F1097" s="1882"/>
      <c r="G1097" s="1882">
        <f>IF('2E'!H12="","##BLANK",'2E'!H12)</f>
        <v>0</v>
      </c>
    </row>
    <row r="1098" spans="2:7">
      <c r="B1098" s="821" t="str">
        <f>+'2E'!AG13</f>
        <v>BA1091CAP</v>
      </c>
      <c r="D1098" s="1882"/>
      <c r="E1098" s="1628" t="s">
        <v>8339</v>
      </c>
      <c r="F1098" s="1882"/>
      <c r="G1098" s="1882">
        <f>IF('2E'!H13="","##BLANK",'2E'!H13)</f>
        <v>3.8249999999999997</v>
      </c>
    </row>
    <row r="1099" spans="2:7">
      <c r="B1099" s="821" t="str">
        <f>+'2E'!AG15</f>
        <v>BC30460WCAP</v>
      </c>
      <c r="D1099" s="1882"/>
      <c r="E1099" s="1628" t="s">
        <v>8339</v>
      </c>
      <c r="F1099" s="1882"/>
      <c r="G1099" s="1882">
        <f>IF('2E'!H15="","##BLANK",'2E'!H15)</f>
        <v>0</v>
      </c>
    </row>
    <row r="1100" spans="2:7">
      <c r="B1100" s="821" t="str">
        <f>+'2E'!AG19</f>
        <v>BC11370CAP</v>
      </c>
      <c r="D1100" s="1882"/>
      <c r="E1100" s="1628" t="s">
        <v>8339</v>
      </c>
      <c r="F1100" s="1882"/>
      <c r="G1100" s="1882" t="str">
        <f>IF('2E'!H19="","##BLANK",'2E'!H19)</f>
        <v>##BLANK</v>
      </c>
    </row>
    <row r="1101" spans="2:7">
      <c r="B1101" s="821" t="str">
        <f>+'2E'!AG20</f>
        <v>BC11372CAP</v>
      </c>
      <c r="D1101" s="1882"/>
      <c r="E1101" s="1628" t="s">
        <v>8339</v>
      </c>
      <c r="F1101" s="1882"/>
      <c r="G1101" s="1882" t="str">
        <f>IF('2E'!H20="","##BLANK",'2E'!H20)</f>
        <v>##BLANK</v>
      </c>
    </row>
    <row r="1102" spans="2:7">
      <c r="B1102" s="821" t="str">
        <f>+'2E'!AG21</f>
        <v>BA2086CAPPC</v>
      </c>
      <c r="D1102" s="1882"/>
      <c r="E1102" s="1628" t="s">
        <v>8339</v>
      </c>
      <c r="F1102" s="1882"/>
      <c r="G1102" s="1882" t="str">
        <f>IF('2E'!H21="","##BLANK",'2E'!H21)</f>
        <v>##BLANK</v>
      </c>
    </row>
    <row r="1103" spans="2:7">
      <c r="B1103" s="821" t="str">
        <f>+'2E'!AG22</f>
        <v>BC11373CAP</v>
      </c>
      <c r="D1103" s="1882"/>
      <c r="E1103" s="1628" t="s">
        <v>8339</v>
      </c>
      <c r="F1103" s="1882"/>
      <c r="G1103" s="1882" t="str">
        <f>IF('2E'!H22="","##BLANK",'2E'!H22)</f>
        <v>##BLANK</v>
      </c>
    </row>
    <row r="1104" spans="2:7">
      <c r="B1104" s="821" t="str">
        <f>+'2E'!AG23</f>
        <v>BA2086CAPNPC</v>
      </c>
      <c r="D1104" s="1882"/>
      <c r="E1104" s="1628" t="s">
        <v>8339</v>
      </c>
      <c r="F1104" s="1882"/>
      <c r="G1104" s="1882" t="str">
        <f>IF('2E'!H23="","##BLANK",'2E'!H23)</f>
        <v>##BLANK</v>
      </c>
    </row>
    <row r="1105" spans="2:7">
      <c r="B1105" s="821" t="str">
        <f>+'2E'!AG24</f>
        <v>BA2091CAP</v>
      </c>
      <c r="D1105" s="1882"/>
      <c r="E1105" s="1628" t="s">
        <v>8339</v>
      </c>
      <c r="F1105" s="1882"/>
      <c r="G1105" s="1882">
        <f>IF('2E'!H24="","##BLANK",'2E'!H24)</f>
        <v>0</v>
      </c>
    </row>
    <row r="1106" spans="2:7">
      <c r="B1106" s="821" t="str">
        <f>+'2E'!AG26</f>
        <v>BC30460WWCAP</v>
      </c>
      <c r="D1106" s="1882"/>
      <c r="E1106" s="1628" t="s">
        <v>8339</v>
      </c>
      <c r="F1106" s="1882"/>
      <c r="G1106" s="1882">
        <f>IF('2E'!H26="","##BLANK",'2E'!H26)</f>
        <v>0</v>
      </c>
    </row>
    <row r="1107" spans="2:7">
      <c r="B1107" s="821" t="str">
        <f>+'2E'!AG30</f>
        <v>BC11370TTTCAP</v>
      </c>
      <c r="D1107" s="1882"/>
      <c r="E1107" s="1628" t="s">
        <v>8339</v>
      </c>
      <c r="F1107" s="1882"/>
      <c r="G1107" s="1882" t="str">
        <f>IF('2E'!H30="","##BLANK",'2E'!H30)</f>
        <v>##BLANK</v>
      </c>
    </row>
    <row r="1108" spans="2:7">
      <c r="B1108" s="821" t="str">
        <f>+'2E'!AG31</f>
        <v>BC11372TTTCAP</v>
      </c>
      <c r="D1108" s="1882"/>
      <c r="E1108" s="1628" t="s">
        <v>8339</v>
      </c>
      <c r="F1108" s="1882"/>
      <c r="G1108" s="1882" t="str">
        <f>IF('2E'!H31="","##BLANK",'2E'!H31)</f>
        <v>##BLANK</v>
      </c>
    </row>
    <row r="1109" spans="2:7">
      <c r="B1109" s="821" t="str">
        <f>+'2E'!AG32</f>
        <v>BA2086TTTCAPPC</v>
      </c>
      <c r="D1109" s="1882"/>
      <c r="E1109" s="1628" t="s">
        <v>8339</v>
      </c>
      <c r="F1109" s="1882"/>
      <c r="G1109" s="1882" t="str">
        <f>IF('2E'!H32="","##BLANK",'2E'!H32)</f>
        <v>##BLANK</v>
      </c>
    </row>
    <row r="1110" spans="2:7">
      <c r="B1110" s="821" t="str">
        <f>+'2E'!AG33</f>
        <v>BC11373TTTCAP</v>
      </c>
      <c r="D1110" s="1882"/>
      <c r="E1110" s="1628" t="s">
        <v>8339</v>
      </c>
      <c r="F1110" s="1882"/>
      <c r="G1110" s="1882" t="str">
        <f>IF('2E'!H33="","##BLANK",'2E'!H33)</f>
        <v>##BLANK</v>
      </c>
    </row>
    <row r="1111" spans="2:7">
      <c r="B1111" s="821" t="str">
        <f>+'2E'!AG34</f>
        <v>BA2086TTTCAPNPC</v>
      </c>
      <c r="D1111" s="1882"/>
      <c r="E1111" s="1628" t="s">
        <v>8339</v>
      </c>
      <c r="F1111" s="1882"/>
      <c r="G1111" s="1882" t="str">
        <f>IF('2E'!H34="","##BLANK",'2E'!H34)</f>
        <v>##BLANK</v>
      </c>
    </row>
    <row r="1112" spans="2:7">
      <c r="B1112" s="821" t="str">
        <f>+'2E'!AG35</f>
        <v>BA2091TTTCAP</v>
      </c>
      <c r="D1112" s="1882"/>
      <c r="E1112" s="1628" t="s">
        <v>8339</v>
      </c>
      <c r="F1112" s="1882"/>
      <c r="G1112" s="1882">
        <f>IF('2E'!H35="","##BLANK",'2E'!H35)</f>
        <v>0</v>
      </c>
    </row>
    <row r="1113" spans="2:7">
      <c r="B1113" s="821" t="str">
        <f>+'2E'!AG37</f>
        <v>BC30460TTTCAP</v>
      </c>
      <c r="D1113" s="1882"/>
      <c r="E1113" s="1628" t="s">
        <v>8339</v>
      </c>
      <c r="F1113" s="1882"/>
      <c r="G1113" s="1882" t="str">
        <f>IF('2E'!H37="","##BLANK",'2E'!H37)</f>
        <v>##BLANK</v>
      </c>
    </row>
    <row r="1114" spans="2:7">
      <c r="B1114" s="821" t="str">
        <f>+'2E'!AG43</f>
        <v>BA2090BFWD</v>
      </c>
      <c r="D1114" s="1882"/>
      <c r="E1114" s="1628" t="s">
        <v>8339</v>
      </c>
      <c r="F1114" s="1882"/>
      <c r="G1114" s="1882" t="str">
        <f>IF('2E'!H43="","##BLANK",'2E'!H43)</f>
        <v>##BLANK</v>
      </c>
    </row>
    <row r="1115" spans="2:7">
      <c r="B1115" s="821" t="str">
        <f>+'2E'!AG45</f>
        <v>BA2090AMORT</v>
      </c>
      <c r="D1115" s="1882"/>
      <c r="E1115" s="1628" t="s">
        <v>8339</v>
      </c>
      <c r="F1115" s="1882"/>
      <c r="G1115" s="1882" t="str">
        <f>IF('2E'!H45="","##BLANK",'2E'!H45)</f>
        <v>##BLANK</v>
      </c>
    </row>
    <row r="1116" spans="2:7">
      <c r="B1116" s="821" t="str">
        <f>+'2E'!AG46</f>
        <v>BA2091CFWD</v>
      </c>
      <c r="D1116" s="1882"/>
      <c r="E1116" s="1628" t="s">
        <v>8339</v>
      </c>
      <c r="F1116" s="1882"/>
      <c r="G1116" s="1882">
        <f>IF('2E'!H46="","##BLANK",'2E'!H46)</f>
        <v>0</v>
      </c>
    </row>
    <row r="1117" spans="2:7">
      <c r="B1117" s="821" t="str">
        <f>+'2E'!AG49</f>
        <v>BT39301PS</v>
      </c>
      <c r="D1117" s="1882"/>
      <c r="E1117" s="1628" t="s">
        <v>8339</v>
      </c>
      <c r="F1117" s="1882"/>
      <c r="G1117" s="1882" t="str">
        <f>IF('2E'!H49="","##BLANK",'2E'!H49)</f>
        <v>##BLANK</v>
      </c>
    </row>
    <row r="1118" spans="2:7">
      <c r="B1118" s="821" t="str">
        <f>+'2E'!AH7</f>
        <v>BC11271NET</v>
      </c>
      <c r="D1118" s="1882"/>
      <c r="E1118" s="1628" t="s">
        <v>8339</v>
      </c>
      <c r="F1118" s="1882"/>
      <c r="G1118" s="1882">
        <f>IF('2E'!I7="","##BLANK",'2E'!I7)</f>
        <v>0</v>
      </c>
    </row>
    <row r="1119" spans="2:7">
      <c r="B1119" s="821" t="str">
        <f>+'2E'!AH8</f>
        <v>BC11270NET</v>
      </c>
      <c r="D1119" s="1882"/>
      <c r="E1119" s="1628" t="s">
        <v>8339</v>
      </c>
      <c r="F1119" s="1882"/>
      <c r="G1119" s="1882">
        <f>IF('2E'!I8="","##BLANK",'2E'!I8)</f>
        <v>0</v>
      </c>
    </row>
    <row r="1120" spans="2:7">
      <c r="B1120" s="821" t="str">
        <f>+'2E'!AH9</f>
        <v>BC11272NET</v>
      </c>
      <c r="D1120" s="1882"/>
      <c r="E1120" s="1628" t="s">
        <v>8339</v>
      </c>
      <c r="F1120" s="1882"/>
      <c r="G1120" s="1882">
        <f>IF('2E'!I9="","##BLANK",'2E'!I9)</f>
        <v>0</v>
      </c>
    </row>
    <row r="1121" spans="2:7">
      <c r="B1121" s="821" t="str">
        <f>+'2E'!AH10</f>
        <v>BA1085NETPC</v>
      </c>
      <c r="D1121" s="1882"/>
      <c r="E1121" s="1628" t="s">
        <v>8339</v>
      </c>
      <c r="F1121" s="1882"/>
      <c r="G1121" s="1882">
        <f>IF('2E'!I10="","##BLANK",'2E'!I10)</f>
        <v>0</v>
      </c>
    </row>
    <row r="1122" spans="2:7">
      <c r="B1122" s="821" t="str">
        <f>+'2E'!AH11</f>
        <v>BC11273NET</v>
      </c>
      <c r="D1122" s="1882"/>
      <c r="E1122" s="1628" t="s">
        <v>8339</v>
      </c>
      <c r="F1122" s="1882"/>
      <c r="G1122" s="1882">
        <f>IF('2E'!I11="","##BLANK",'2E'!I11)</f>
        <v>0</v>
      </c>
    </row>
    <row r="1123" spans="2:7">
      <c r="B1123" s="821" t="str">
        <f>+'2E'!AH12</f>
        <v>BA1085NETNPC</v>
      </c>
      <c r="D1123" s="1882"/>
      <c r="E1123" s="1628" t="s">
        <v>8339</v>
      </c>
      <c r="F1123" s="1882"/>
      <c r="G1123" s="1882">
        <f>IF('2E'!I12="","##BLANK",'2E'!I12)</f>
        <v>0</v>
      </c>
    </row>
    <row r="1124" spans="2:7">
      <c r="B1124" s="821" t="str">
        <f>+'2E'!AH13</f>
        <v>BA1090NET</v>
      </c>
      <c r="D1124" s="1882"/>
      <c r="E1124" s="1628" t="s">
        <v>8339</v>
      </c>
      <c r="F1124" s="1882"/>
      <c r="G1124" s="1882">
        <f>IF('2E'!I13="","##BLANK",'2E'!I13)</f>
        <v>0</v>
      </c>
    </row>
    <row r="1125" spans="2:7">
      <c r="B1125" s="821" t="str">
        <f>+'2E'!AH19</f>
        <v>BC11370NET</v>
      </c>
      <c r="D1125" s="1882"/>
      <c r="E1125" s="1628" t="s">
        <v>8339</v>
      </c>
      <c r="F1125" s="1882"/>
      <c r="G1125" s="1882" t="str">
        <f>IF('2E'!I19="","##BLANK",'2E'!I19)</f>
        <v>##BLANK</v>
      </c>
    </row>
    <row r="1126" spans="2:7">
      <c r="B1126" s="821" t="str">
        <f>+'2E'!AH20</f>
        <v>BC11372NET</v>
      </c>
      <c r="D1126" s="1882"/>
      <c r="E1126" s="1628" t="s">
        <v>8339</v>
      </c>
      <c r="F1126" s="1882"/>
      <c r="G1126" s="1882" t="str">
        <f>IF('2E'!I20="","##BLANK",'2E'!I20)</f>
        <v>##BLANK</v>
      </c>
    </row>
    <row r="1127" spans="2:7">
      <c r="B1127" s="821" t="str">
        <f>+'2E'!AH21</f>
        <v>BA2085NETPC</v>
      </c>
      <c r="D1127" s="1882"/>
      <c r="E1127" s="1628" t="s">
        <v>8339</v>
      </c>
      <c r="F1127" s="1882"/>
      <c r="G1127" s="1882" t="str">
        <f>IF('2E'!I21="","##BLANK",'2E'!I21)</f>
        <v>##BLANK</v>
      </c>
    </row>
    <row r="1128" spans="2:7">
      <c r="B1128" s="821" t="str">
        <f>+'2E'!AH22</f>
        <v>BC11373NET</v>
      </c>
      <c r="D1128" s="1882"/>
      <c r="E1128" s="1628" t="s">
        <v>8339</v>
      </c>
      <c r="F1128" s="1882"/>
      <c r="G1128" s="1882" t="str">
        <f>IF('2E'!I22="","##BLANK",'2E'!I22)</f>
        <v>##BLANK</v>
      </c>
    </row>
    <row r="1129" spans="2:7">
      <c r="B1129" s="821" t="str">
        <f>+'2E'!AH23</f>
        <v>BA2085NETNPC</v>
      </c>
      <c r="D1129" s="1882"/>
      <c r="E1129" s="1628" t="s">
        <v>8339</v>
      </c>
      <c r="F1129" s="1882"/>
      <c r="G1129" s="1882" t="str">
        <f>IF('2E'!I23="","##BLANK",'2E'!I23)</f>
        <v>##BLANK</v>
      </c>
    </row>
    <row r="1130" spans="2:7">
      <c r="B1130" s="821" t="str">
        <f>+'2E'!AH24</f>
        <v>BA2090NET</v>
      </c>
      <c r="D1130" s="1882"/>
      <c r="E1130" s="1628" t="s">
        <v>8339</v>
      </c>
      <c r="F1130" s="1882"/>
      <c r="G1130" s="1882">
        <f>IF('2E'!I24="","##BLANK",'2E'!I24)</f>
        <v>0</v>
      </c>
    </row>
    <row r="1131" spans="2:7">
      <c r="B1131" s="821" t="str">
        <f>+'2E'!AH30</f>
        <v>BC11370TTTNET</v>
      </c>
      <c r="D1131" s="1882"/>
      <c r="E1131" s="1628" t="s">
        <v>8339</v>
      </c>
      <c r="F1131" s="1882"/>
      <c r="G1131" s="1882" t="str">
        <f>IF('2E'!I30="","##BLANK",'2E'!I30)</f>
        <v>##BLANK</v>
      </c>
    </row>
    <row r="1132" spans="2:7">
      <c r="B1132" s="821" t="str">
        <f>+'2E'!AH31</f>
        <v>BC11372TTTNET</v>
      </c>
      <c r="D1132" s="1882"/>
      <c r="E1132" s="1628" t="s">
        <v>8339</v>
      </c>
      <c r="F1132" s="1882"/>
      <c r="G1132" s="1882" t="str">
        <f>IF('2E'!I31="","##BLANK",'2E'!I31)</f>
        <v>##BLANK</v>
      </c>
    </row>
    <row r="1133" spans="2:7">
      <c r="B1133" s="821" t="str">
        <f>+'2E'!AH32</f>
        <v>BA2085TTTNETPC</v>
      </c>
      <c r="D1133" s="1882"/>
      <c r="E1133" s="1628" t="s">
        <v>8339</v>
      </c>
      <c r="F1133" s="1882"/>
      <c r="G1133" s="1882" t="str">
        <f>IF('2E'!I32="","##BLANK",'2E'!I32)</f>
        <v>##BLANK</v>
      </c>
    </row>
    <row r="1134" spans="2:7">
      <c r="B1134" s="821" t="str">
        <f>+'2E'!AH33</f>
        <v>BC11373TTTNET</v>
      </c>
      <c r="D1134" s="1882"/>
      <c r="E1134" s="1628" t="s">
        <v>8339</v>
      </c>
      <c r="F1134" s="1882"/>
      <c r="G1134" s="1882" t="str">
        <f>IF('2E'!I33="","##BLANK",'2E'!I33)</f>
        <v>##BLANK</v>
      </c>
    </row>
    <row r="1135" spans="2:7">
      <c r="B1135" s="821" t="str">
        <f>+'2E'!AH34</f>
        <v>BA2085TTTNETNPC</v>
      </c>
      <c r="D1135" s="1882"/>
      <c r="E1135" s="1628" t="s">
        <v>8339</v>
      </c>
      <c r="F1135" s="1882"/>
      <c r="G1135" s="1882" t="str">
        <f>IF('2E'!I34="","##BLANK",'2E'!I34)</f>
        <v>##BLANK</v>
      </c>
    </row>
    <row r="1136" spans="2:7">
      <c r="B1136" s="821" t="str">
        <f>+'2E'!AH35</f>
        <v>BA2090TTTNET</v>
      </c>
      <c r="D1136" s="1882"/>
      <c r="E1136" s="1628" t="s">
        <v>8339</v>
      </c>
      <c r="F1136" s="1882"/>
      <c r="G1136" s="1882">
        <f>IF('2E'!I35="","##BLANK",'2E'!I35)</f>
        <v>0</v>
      </c>
    </row>
    <row r="1137" spans="2:7">
      <c r="B1137" s="821" t="str">
        <f>+'2E'!AH43</f>
        <v>BA2090TTTBFWD</v>
      </c>
      <c r="D1137" s="1882"/>
      <c r="E1137" s="1628" t="s">
        <v>8339</v>
      </c>
      <c r="F1137" s="1882"/>
      <c r="G1137" s="1882" t="str">
        <f>IF('2E'!I43="","##BLANK",'2E'!I43)</f>
        <v>##BLANK</v>
      </c>
    </row>
    <row r="1138" spans="2:7">
      <c r="B1138" s="821" t="str">
        <f>+'2E'!AH45</f>
        <v>BA2090TTTAMORT</v>
      </c>
      <c r="D1138" s="1882"/>
      <c r="E1138" s="1628" t="s">
        <v>8339</v>
      </c>
      <c r="F1138" s="1882"/>
      <c r="G1138" s="1882" t="str">
        <f>IF('2E'!I45="","##BLANK",'2E'!I45)</f>
        <v>##BLANK</v>
      </c>
    </row>
    <row r="1139" spans="2:7">
      <c r="B1139" s="821" t="str">
        <f>+'2E'!AH46</f>
        <v>BA2091TTTCFWD</v>
      </c>
      <c r="D1139" s="1882"/>
      <c r="E1139" s="1628" t="s">
        <v>8339</v>
      </c>
      <c r="F1139" s="1882"/>
      <c r="G1139" s="1882">
        <f>IF('2E'!I46="","##BLANK",'2E'!I46)</f>
        <v>0</v>
      </c>
    </row>
    <row r="1140" spans="2:7">
      <c r="B1140" s="821" t="str">
        <f>+'2E'!AH49</f>
        <v>BT39301PTTT</v>
      </c>
      <c r="D1140" s="1882"/>
      <c r="E1140" s="1628" t="s">
        <v>8339</v>
      </c>
      <c r="F1140" s="1882"/>
      <c r="G1140" s="1882" t="str">
        <f>IF('2E'!I49="","##BLANK",'2E'!I49)</f>
        <v>##BLANK</v>
      </c>
    </row>
    <row r="1141" spans="2:7">
      <c r="B1141" s="821" t="str">
        <f>+'2E'!AI7</f>
        <v>BC11271</v>
      </c>
      <c r="D1141" s="1882"/>
      <c r="E1141" s="1628" t="s">
        <v>8339</v>
      </c>
      <c r="F1141" s="1882"/>
      <c r="G1141" s="1882">
        <f>IF('2E'!J7="","##BLANK",'2E'!J7)</f>
        <v>1.8240000000000001</v>
      </c>
    </row>
    <row r="1142" spans="2:7">
      <c r="B1142" s="821" t="str">
        <f>+'2E'!AI8</f>
        <v>BC11270</v>
      </c>
      <c r="D1142" s="1882"/>
      <c r="E1142" s="1628" t="s">
        <v>8339</v>
      </c>
      <c r="F1142" s="1882"/>
      <c r="G1142" s="1882">
        <f>IF('2E'!J8="","##BLANK",'2E'!J8)</f>
        <v>1.4279999999999999</v>
      </c>
    </row>
    <row r="1143" spans="2:7">
      <c r="B1143" s="821" t="str">
        <f>+'2E'!AI9</f>
        <v>BC11272</v>
      </c>
      <c r="D1143" s="1882"/>
      <c r="E1143" s="1628" t="s">
        <v>8339</v>
      </c>
      <c r="F1143" s="1882"/>
      <c r="G1143" s="1882">
        <f>IF('2E'!J9="","##BLANK",'2E'!J9)</f>
        <v>0.21099999999999999</v>
      </c>
    </row>
    <row r="1144" spans="2:7">
      <c r="B1144" s="821" t="str">
        <f>+'2E'!AI10</f>
        <v>BA1086PC</v>
      </c>
      <c r="D1144" s="1882"/>
      <c r="E1144" s="1628" t="s">
        <v>8339</v>
      </c>
      <c r="F1144" s="1882"/>
      <c r="G1144" s="1882">
        <f>IF('2E'!J10="","##BLANK",'2E'!J10)</f>
        <v>0.36199999999999999</v>
      </c>
    </row>
    <row r="1145" spans="2:7">
      <c r="B1145" s="821" t="str">
        <f>+'2E'!AI11</f>
        <v>BC11273</v>
      </c>
      <c r="D1145" s="1882"/>
      <c r="E1145" s="1628" t="s">
        <v>8339</v>
      </c>
      <c r="F1145" s="1882"/>
      <c r="G1145" s="1882">
        <f>IF('2E'!J11="","##BLANK",'2E'!J11)</f>
        <v>0.56599999999999995</v>
      </c>
    </row>
    <row r="1146" spans="2:7">
      <c r="B1146" s="821" t="str">
        <f>+'2E'!AI12</f>
        <v>BA1086NPC</v>
      </c>
      <c r="D1146" s="1882"/>
      <c r="E1146" s="1628" t="s">
        <v>8339</v>
      </c>
      <c r="F1146" s="1882"/>
      <c r="G1146" s="1882">
        <f>IF('2E'!J12="","##BLANK",'2E'!J12)</f>
        <v>0</v>
      </c>
    </row>
    <row r="1147" spans="2:7">
      <c r="B1147" s="821" t="str">
        <f>+'2E'!AI13</f>
        <v>BA1091</v>
      </c>
      <c r="D1147" s="1882"/>
      <c r="E1147" s="1628" t="s">
        <v>8339</v>
      </c>
      <c r="F1147" s="1882"/>
      <c r="G1147" s="1882">
        <f>IF('2E'!J13="","##BLANK",'2E'!J13)</f>
        <v>4.391</v>
      </c>
    </row>
    <row r="1148" spans="2:7">
      <c r="B1148" s="821" t="str">
        <f>+'2E'!AI15</f>
        <v>BC30460WTOT</v>
      </c>
      <c r="D1148" s="1882"/>
      <c r="E1148" s="1628" t="s">
        <v>8339</v>
      </c>
      <c r="F1148" s="1882"/>
      <c r="G1148" s="1882">
        <f>IF('2E'!J15="","##BLANK",'2E'!J15)</f>
        <v>0</v>
      </c>
    </row>
    <row r="1149" spans="2:7">
      <c r="B1149" s="821" t="str">
        <f>+'2E'!AI19</f>
        <v>BC11370</v>
      </c>
      <c r="D1149" s="1882"/>
      <c r="E1149" s="1628" t="s">
        <v>8339</v>
      </c>
      <c r="F1149" s="1882"/>
      <c r="G1149" s="1882">
        <f>IF('2E'!J19="","##BLANK",'2E'!J19)</f>
        <v>0</v>
      </c>
    </row>
    <row r="1150" spans="2:7">
      <c r="B1150" s="821" t="str">
        <f>+'2E'!AI20</f>
        <v>BC11372</v>
      </c>
      <c r="D1150" s="1882"/>
      <c r="E1150" s="1628" t="s">
        <v>8339</v>
      </c>
      <c r="F1150" s="1882"/>
      <c r="G1150" s="1882">
        <f>IF('2E'!J20="","##BLANK",'2E'!J20)</f>
        <v>0</v>
      </c>
    </row>
    <row r="1151" spans="2:7">
      <c r="B1151" s="821" t="str">
        <f>+'2E'!AI21</f>
        <v>BA2086PC</v>
      </c>
      <c r="D1151" s="1882"/>
      <c r="E1151" s="1628" t="s">
        <v>8339</v>
      </c>
      <c r="F1151" s="1882"/>
      <c r="G1151" s="1882">
        <f>IF('2E'!J21="","##BLANK",'2E'!J21)</f>
        <v>0</v>
      </c>
    </row>
    <row r="1152" spans="2:7">
      <c r="B1152" s="821" t="str">
        <f>+'2E'!AI22</f>
        <v>BC11373</v>
      </c>
      <c r="D1152" s="1882"/>
      <c r="E1152" s="1628" t="s">
        <v>8339</v>
      </c>
      <c r="F1152" s="1882"/>
      <c r="G1152" s="1882">
        <f>IF('2E'!J22="","##BLANK",'2E'!J22)</f>
        <v>0</v>
      </c>
    </row>
    <row r="1153" spans="2:7">
      <c r="B1153" s="821" t="str">
        <f>+'2E'!AI23</f>
        <v>BA2086NPC</v>
      </c>
      <c r="D1153" s="1882"/>
      <c r="E1153" s="1628" t="s">
        <v>8339</v>
      </c>
      <c r="F1153" s="1882"/>
      <c r="G1153" s="1882">
        <f>IF('2E'!J23="","##BLANK",'2E'!J23)</f>
        <v>0</v>
      </c>
    </row>
    <row r="1154" spans="2:7">
      <c r="B1154" s="821" t="str">
        <f>+'2E'!AI24</f>
        <v>BA2091</v>
      </c>
      <c r="D1154" s="1882"/>
      <c r="E1154" s="1628" t="s">
        <v>8339</v>
      </c>
      <c r="F1154" s="1882"/>
      <c r="G1154" s="1882">
        <f>IF('2E'!J24="","##BLANK",'2E'!J24)</f>
        <v>0</v>
      </c>
    </row>
    <row r="1155" spans="2:7">
      <c r="B1155" s="821" t="str">
        <f>+'2E'!AI26</f>
        <v>BC30460WWTOT</v>
      </c>
      <c r="D1155" s="1882"/>
      <c r="E1155" s="1628" t="s">
        <v>8339</v>
      </c>
      <c r="F1155" s="1882"/>
      <c r="G1155" s="1882">
        <f>IF('2E'!J26="","##BLANK",'2E'!J26)</f>
        <v>0</v>
      </c>
    </row>
    <row r="1156" spans="2:7">
      <c r="B1156" s="821" t="str">
        <f>+'2E'!AI30</f>
        <v>BC11370TTT</v>
      </c>
      <c r="D1156" s="1882"/>
      <c r="E1156" s="1628" t="s">
        <v>8339</v>
      </c>
      <c r="F1156" s="1882"/>
      <c r="G1156" s="1882">
        <f>IF('2E'!J30="","##BLANK",'2E'!J30)</f>
        <v>0</v>
      </c>
    </row>
    <row r="1157" spans="2:7">
      <c r="B1157" s="821" t="str">
        <f>+'2E'!AI31</f>
        <v>BC11372TTT</v>
      </c>
      <c r="D1157" s="1882"/>
      <c r="E1157" s="1628" t="s">
        <v>8339</v>
      </c>
      <c r="F1157" s="1882"/>
      <c r="G1157" s="1882">
        <f>IF('2E'!J31="","##BLANK",'2E'!J31)</f>
        <v>0</v>
      </c>
    </row>
    <row r="1158" spans="2:7">
      <c r="B1158" s="821" t="str">
        <f>+'2E'!AI32</f>
        <v>BA2086TTTPC</v>
      </c>
      <c r="D1158" s="1882"/>
      <c r="E1158" s="1628" t="s">
        <v>8339</v>
      </c>
      <c r="F1158" s="1882"/>
      <c r="G1158" s="1882">
        <f>IF('2E'!J32="","##BLANK",'2E'!J32)</f>
        <v>0</v>
      </c>
    </row>
    <row r="1159" spans="2:7">
      <c r="B1159" s="821" t="str">
        <f>+'2E'!AI33</f>
        <v>BC11373TTT</v>
      </c>
      <c r="D1159" s="1882"/>
      <c r="E1159" s="1628" t="s">
        <v>8339</v>
      </c>
      <c r="F1159" s="1882"/>
      <c r="G1159" s="1882">
        <f>IF('2E'!J33="","##BLANK",'2E'!J33)</f>
        <v>0</v>
      </c>
    </row>
    <row r="1160" spans="2:7">
      <c r="B1160" s="821" t="str">
        <f>+'2E'!AI34</f>
        <v>BA2086TTTNPC</v>
      </c>
      <c r="D1160" s="1882"/>
      <c r="E1160" s="1628" t="s">
        <v>8339</v>
      </c>
      <c r="F1160" s="1882"/>
      <c r="G1160" s="1882">
        <f>IF('2E'!J34="","##BLANK",'2E'!J34)</f>
        <v>0</v>
      </c>
    </row>
    <row r="1161" spans="2:7">
      <c r="B1161" s="821" t="str">
        <f>+'2E'!AI35</f>
        <v>BA2091TTT</v>
      </c>
      <c r="D1161" s="1882"/>
      <c r="E1161" s="1628" t="s">
        <v>8339</v>
      </c>
      <c r="F1161" s="1882"/>
      <c r="G1161" s="1882">
        <f>IF('2E'!J35="","##BLANK",'2E'!J35)</f>
        <v>0</v>
      </c>
    </row>
    <row r="1162" spans="2:7">
      <c r="B1162" s="821" t="str">
        <f>+'2E'!AI37</f>
        <v>BC30460TTTTOT</v>
      </c>
      <c r="D1162" s="1882"/>
      <c r="E1162" s="1628" t="s">
        <v>8339</v>
      </c>
      <c r="F1162" s="1882"/>
      <c r="G1162" s="1882">
        <f>IF('2E'!J37="","##BLANK",'2E'!J37)</f>
        <v>0</v>
      </c>
    </row>
    <row r="1163" spans="2:7">
      <c r="B1163" s="821" t="str">
        <f>+'2E'!AI43</f>
        <v>BA3001BFWD</v>
      </c>
      <c r="D1163" s="1882"/>
      <c r="E1163" s="1628" t="s">
        <v>8339</v>
      </c>
      <c r="F1163" s="1882"/>
      <c r="G1163" s="1882">
        <f>IF('2E'!J43="","##BLANK",'2E'!J43)</f>
        <v>78.004999999999995</v>
      </c>
    </row>
    <row r="1164" spans="2:7">
      <c r="B1164" s="821" t="str">
        <f>+'2E'!AI44</f>
        <v>BA3091CAP</v>
      </c>
      <c r="D1164" s="1882"/>
      <c r="E1164" s="1628" t="s">
        <v>8339</v>
      </c>
      <c r="F1164" s="1882"/>
      <c r="G1164" s="1882">
        <f>IF('2E'!J44="","##BLANK",'2E'!J44)</f>
        <v>3.8249999999999997</v>
      </c>
    </row>
    <row r="1165" spans="2:7">
      <c r="B1165" s="821" t="str">
        <f>+'2E'!AI45</f>
        <v>BA3001AMORT</v>
      </c>
      <c r="D1165" s="1882"/>
      <c r="E1165" s="1628" t="s">
        <v>8339</v>
      </c>
      <c r="F1165" s="1882"/>
      <c r="G1165" s="1882">
        <f>IF('2E'!J45="","##BLANK",'2E'!J45)</f>
        <v>-1.7812726699999999</v>
      </c>
    </row>
    <row r="1166" spans="2:7">
      <c r="B1166" s="821" t="str">
        <f>+'2E'!AI46</f>
        <v>BA3091CFWD</v>
      </c>
      <c r="D1166" s="1882"/>
      <c r="E1166" s="1628" t="s">
        <v>8339</v>
      </c>
      <c r="F1166" s="1882"/>
      <c r="G1166" s="1882">
        <f>IF('2E'!J46="","##BLANK",'2E'!J46)</f>
        <v>80.048727329999991</v>
      </c>
    </row>
    <row r="1167" spans="2:7">
      <c r="B1167" s="821" t="str">
        <f>+'2E'!AI49</f>
        <v>BT39301P</v>
      </c>
      <c r="D1167" s="1882"/>
      <c r="E1167" s="1628" t="s">
        <v>8339</v>
      </c>
      <c r="F1167" s="1882"/>
      <c r="G1167" s="1882">
        <f>IF('2E'!J49="","##BLANK",'2E'!J49)</f>
        <v>655.84100000000001</v>
      </c>
    </row>
    <row r="1168" spans="2:7">
      <c r="B1168" s="821" t="str">
        <f>+'2F'!AD5</f>
        <v>R3017WCR</v>
      </c>
      <c r="D1168" s="1882"/>
      <c r="E1168" s="1628" t="s">
        <v>8339</v>
      </c>
      <c r="F1168" s="1882"/>
      <c r="G1168" s="1882">
        <f>IF('2F'!E5="","##BLANK",'2F'!E5)</f>
        <v>40.798000000000002</v>
      </c>
    </row>
    <row r="1169" spans="2:7">
      <c r="B1169" s="821" t="str">
        <f>+'2F'!AD6</f>
        <v>R3019WCR</v>
      </c>
      <c r="D1169" s="1882"/>
      <c r="E1169" s="1628" t="s">
        <v>8339</v>
      </c>
      <c r="F1169" s="1882"/>
      <c r="G1169" s="1882" t="str">
        <f>IF('2F'!E6="","##BLANK",'2F'!E6)</f>
        <v>##BLANK</v>
      </c>
    </row>
    <row r="1170" spans="2:7">
      <c r="B1170" s="821" t="str">
        <f>+'2F'!AD7</f>
        <v>R3021WCR</v>
      </c>
      <c r="D1170" s="1882"/>
      <c r="E1170" s="1628" t="s">
        <v>8339</v>
      </c>
      <c r="F1170" s="1882"/>
      <c r="G1170" s="1882" t="str">
        <f>IF('2F'!E7="","##BLANK",'2F'!E7)</f>
        <v>##BLANK</v>
      </c>
    </row>
    <row r="1171" spans="2:7">
      <c r="B1171" s="821" t="str">
        <f>+'2F'!AD8</f>
        <v>R3018WCR</v>
      </c>
      <c r="D1171" s="1882"/>
      <c r="E1171" s="1628" t="s">
        <v>8339</v>
      </c>
      <c r="F1171" s="1882"/>
      <c r="G1171" s="1882">
        <f>IF('2F'!E8="","##BLANK",'2F'!E8)</f>
        <v>41.405000000000001</v>
      </c>
    </row>
    <row r="1172" spans="2:7">
      <c r="B1172" s="821" t="str">
        <f>+'2F'!AD9</f>
        <v>R3020WCR</v>
      </c>
      <c r="D1172" s="1882"/>
      <c r="E1172" s="1628" t="s">
        <v>8339</v>
      </c>
      <c r="F1172" s="1882"/>
      <c r="G1172" s="1882" t="str">
        <f>IF('2F'!E9="","##BLANK",'2F'!E9)</f>
        <v>##BLANK</v>
      </c>
    </row>
    <row r="1173" spans="2:7">
      <c r="B1173" s="821" t="str">
        <f>+'2F'!AD10</f>
        <v>R3022WCR</v>
      </c>
      <c r="D1173" s="1882"/>
      <c r="E1173" s="1628" t="s">
        <v>8339</v>
      </c>
      <c r="F1173" s="1882"/>
      <c r="G1173" s="1882" t="str">
        <f>IF('2F'!E10="","##BLANK",'2F'!E10)</f>
        <v>##BLANK</v>
      </c>
    </row>
    <row r="1174" spans="2:7">
      <c r="B1174" s="821" t="str">
        <f>+'2F'!AD11</f>
        <v>R3100WCRTOT</v>
      </c>
      <c r="D1174" s="1882"/>
      <c r="E1174" s="1628" t="s">
        <v>8339</v>
      </c>
      <c r="F1174" s="1882"/>
      <c r="G1174" s="1882">
        <f>IF('2F'!E11="","##BLANK",'2F'!E11)</f>
        <v>82.203000000000003</v>
      </c>
    </row>
    <row r="1175" spans="2:7">
      <c r="B1175" s="821" t="str">
        <f>+'2F'!AE5</f>
        <v>R3017RR</v>
      </c>
      <c r="D1175" s="1882"/>
      <c r="E1175" s="1628" t="s">
        <v>8339</v>
      </c>
      <c r="F1175" s="1882"/>
      <c r="G1175" s="1882">
        <f>IF('2F'!F5="","##BLANK",'2F'!F5)</f>
        <v>4.3609999999999998</v>
      </c>
    </row>
    <row r="1176" spans="2:7">
      <c r="B1176" s="821" t="str">
        <f>+'2F'!AE6</f>
        <v>R3019RR</v>
      </c>
      <c r="D1176" s="1882"/>
      <c r="E1176" s="1628" t="s">
        <v>8339</v>
      </c>
      <c r="F1176" s="1882"/>
      <c r="G1176" s="1882" t="str">
        <f>IF('2F'!F6="","##BLANK",'2F'!F6)</f>
        <v>##BLANK</v>
      </c>
    </row>
    <row r="1177" spans="2:7">
      <c r="B1177" s="821" t="str">
        <f>+'2F'!AE7</f>
        <v>R3021RR</v>
      </c>
      <c r="D1177" s="1882"/>
      <c r="E1177" s="1628" t="s">
        <v>8339</v>
      </c>
      <c r="F1177" s="1882"/>
      <c r="G1177" s="1882" t="str">
        <f>IF('2F'!F7="","##BLANK",'2F'!F7)</f>
        <v>##BLANK</v>
      </c>
    </row>
    <row r="1178" spans="2:7">
      <c r="B1178" s="821" t="str">
        <f>+'2F'!AE8</f>
        <v>R3018RR</v>
      </c>
      <c r="D1178" s="1882"/>
      <c r="E1178" s="1628" t="s">
        <v>8339</v>
      </c>
      <c r="F1178" s="1882"/>
      <c r="G1178" s="1882">
        <f>IF('2F'!F8="","##BLANK",'2F'!F8)</f>
        <v>7.6189999999999998</v>
      </c>
    </row>
    <row r="1179" spans="2:7">
      <c r="B1179" s="821" t="str">
        <f>+'2F'!AE9</f>
        <v>R3020RR</v>
      </c>
      <c r="D1179" s="1882"/>
      <c r="E1179" s="1628" t="s">
        <v>8339</v>
      </c>
      <c r="F1179" s="1882"/>
      <c r="G1179" s="1882" t="str">
        <f>IF('2F'!F9="","##BLANK",'2F'!F9)</f>
        <v>##BLANK</v>
      </c>
    </row>
    <row r="1180" spans="2:7">
      <c r="B1180" s="821" t="str">
        <f>+'2F'!AE10</f>
        <v>R3022RR</v>
      </c>
      <c r="D1180" s="1882"/>
      <c r="E1180" s="1628" t="s">
        <v>8339</v>
      </c>
      <c r="F1180" s="1882"/>
      <c r="G1180" s="1882" t="str">
        <f>IF('2F'!F10="","##BLANK",'2F'!F10)</f>
        <v>##BLANK</v>
      </c>
    </row>
    <row r="1181" spans="2:7">
      <c r="B1181" s="821" t="str">
        <f>+'2F'!AE11</f>
        <v>R3100RRTOT</v>
      </c>
      <c r="D1181" s="1882"/>
      <c r="E1181" s="1628" t="s">
        <v>8339</v>
      </c>
      <c r="F1181" s="1882"/>
      <c r="G1181" s="1882">
        <f>IF('2F'!F11="","##BLANK",'2F'!F11)</f>
        <v>11.98</v>
      </c>
    </row>
    <row r="1182" spans="2:7">
      <c r="B1182" s="821" t="str">
        <f>+'2F'!AF5</f>
        <v>R3017TR</v>
      </c>
      <c r="D1182" s="1882"/>
      <c r="E1182" s="1628" t="s">
        <v>8339</v>
      </c>
      <c r="F1182" s="1882"/>
      <c r="G1182" s="1882">
        <f>IF('2F'!G5="","##BLANK",'2F'!G5)</f>
        <v>45.158999999999999</v>
      </c>
    </row>
    <row r="1183" spans="2:7">
      <c r="B1183" s="821" t="str">
        <f>+'2F'!AF6</f>
        <v>R3019TR</v>
      </c>
      <c r="D1183" s="1882"/>
      <c r="E1183" s="1628" t="s">
        <v>8339</v>
      </c>
      <c r="F1183" s="1882"/>
      <c r="G1183" s="1882">
        <f>IF('2F'!G6="","##BLANK",'2F'!G6)</f>
        <v>0</v>
      </c>
    </row>
    <row r="1184" spans="2:7">
      <c r="B1184" s="821" t="str">
        <f>+'2F'!AF7</f>
        <v>R3021TR</v>
      </c>
      <c r="D1184" s="1882"/>
      <c r="E1184" s="1628" t="s">
        <v>8339</v>
      </c>
      <c r="F1184" s="1882"/>
      <c r="G1184" s="1882">
        <f>IF('2F'!G7="","##BLANK",'2F'!G7)</f>
        <v>0</v>
      </c>
    </row>
    <row r="1185" spans="2:7">
      <c r="B1185" s="821" t="str">
        <f>+'2F'!AF8</f>
        <v>R3018TR</v>
      </c>
      <c r="D1185" s="1882"/>
      <c r="E1185" s="1628" t="s">
        <v>8339</v>
      </c>
      <c r="F1185" s="1882"/>
      <c r="G1185" s="1882">
        <f>IF('2F'!G8="","##BLANK",'2F'!G8)</f>
        <v>49.024000000000001</v>
      </c>
    </row>
    <row r="1186" spans="2:7">
      <c r="B1186" s="821" t="str">
        <f>+'2F'!AF9</f>
        <v>R3020TR</v>
      </c>
      <c r="D1186" s="1882"/>
      <c r="E1186" s="1628" t="s">
        <v>8339</v>
      </c>
      <c r="F1186" s="1882"/>
      <c r="G1186" s="1882">
        <f>IF('2F'!G9="","##BLANK",'2F'!G9)</f>
        <v>0</v>
      </c>
    </row>
    <row r="1187" spans="2:7">
      <c r="B1187" s="821" t="str">
        <f>+'2F'!AF10</f>
        <v>R3022TR</v>
      </c>
      <c r="D1187" s="1882"/>
      <c r="E1187" s="1628" t="s">
        <v>8339</v>
      </c>
      <c r="F1187" s="1882"/>
      <c r="G1187" s="1882">
        <f>IF('2F'!G10="","##BLANK",'2F'!G10)</f>
        <v>0</v>
      </c>
    </row>
    <row r="1188" spans="2:7">
      <c r="B1188" s="821" t="str">
        <f>+'2F'!AF11</f>
        <v>R3100TRTOT</v>
      </c>
      <c r="D1188" s="1882"/>
      <c r="E1188" s="1628" t="s">
        <v>8339</v>
      </c>
      <c r="F1188" s="1882"/>
      <c r="G1188" s="1882">
        <f>IF('2F'!G11="","##BLANK",'2F'!G11)</f>
        <v>94.182999999999993</v>
      </c>
    </row>
    <row r="1189" spans="2:7">
      <c r="B1189" s="821" t="str">
        <f>+'2F'!AG5</f>
        <v>R3017</v>
      </c>
      <c r="D1189" s="1882"/>
      <c r="E1189" s="1628" t="s">
        <v>8339</v>
      </c>
      <c r="F1189" s="1882"/>
      <c r="G1189" s="1882">
        <f>IF('2F'!H5="","##BLANK",'2F'!H5)</f>
        <v>210.76499999999999</v>
      </c>
    </row>
    <row r="1190" spans="2:7">
      <c r="B1190" s="821" t="str">
        <f>+'2F'!AG6</f>
        <v>R3019</v>
      </c>
      <c r="D1190" s="1882"/>
      <c r="E1190" s="1628" t="s">
        <v>8339</v>
      </c>
      <c r="F1190" s="1882"/>
      <c r="G1190" s="1882" t="str">
        <f>IF('2F'!H6="","##BLANK",'2F'!H6)</f>
        <v>##BLANK</v>
      </c>
    </row>
    <row r="1191" spans="2:7">
      <c r="B1191" s="821" t="str">
        <f>+'2F'!AG7</f>
        <v>R3021</v>
      </c>
      <c r="D1191" s="1882"/>
      <c r="E1191" s="1628" t="s">
        <v>8339</v>
      </c>
      <c r="F1191" s="1882"/>
      <c r="G1191" s="1882" t="str">
        <f>IF('2F'!H7="","##BLANK",'2F'!H7)</f>
        <v>##BLANK</v>
      </c>
    </row>
    <row r="1192" spans="2:7">
      <c r="B1192" s="821" t="str">
        <f>+'2F'!AG8</f>
        <v>R3018</v>
      </c>
      <c r="D1192" s="1882"/>
      <c r="E1192" s="1628" t="s">
        <v>8339</v>
      </c>
      <c r="F1192" s="1882"/>
      <c r="G1192" s="1882">
        <f>IF('2F'!H8="","##BLANK",'2F'!H8)</f>
        <v>286.47300000000001</v>
      </c>
    </row>
    <row r="1193" spans="2:7">
      <c r="B1193" s="821" t="str">
        <f>+'2F'!AG9</f>
        <v>R3020</v>
      </c>
      <c r="D1193" s="1882"/>
      <c r="E1193" s="1628" t="s">
        <v>8339</v>
      </c>
      <c r="F1193" s="1882"/>
      <c r="G1193" s="1882" t="str">
        <f>IF('2F'!H9="","##BLANK",'2F'!H9)</f>
        <v>##BLANK</v>
      </c>
    </row>
    <row r="1194" spans="2:7">
      <c r="B1194" s="821" t="str">
        <f>+'2F'!AG10</f>
        <v>R3022</v>
      </c>
      <c r="D1194" s="1882"/>
      <c r="E1194" s="1628" t="s">
        <v>8339</v>
      </c>
      <c r="F1194" s="1882"/>
      <c r="G1194" s="1882" t="str">
        <f>IF('2F'!H10="","##BLANK",'2F'!H10)</f>
        <v>##BLANK</v>
      </c>
    </row>
    <row r="1195" spans="2:7">
      <c r="B1195" s="821" t="str">
        <f>+'2F'!AG11</f>
        <v>R3100TOT</v>
      </c>
      <c r="D1195" s="1882"/>
      <c r="E1195" s="1628" t="s">
        <v>8339</v>
      </c>
      <c r="F1195" s="1882"/>
      <c r="G1195" s="1882">
        <f>IF('2F'!H11="","##BLANK",'2F'!H11)</f>
        <v>497.238</v>
      </c>
    </row>
    <row r="1196" spans="2:7">
      <c r="B1196" s="821" t="str">
        <f>+'2F'!AH5</f>
        <v>R3017RPC</v>
      </c>
      <c r="D1196" s="1882"/>
      <c r="E1196" s="1628" t="s">
        <v>8339</v>
      </c>
      <c r="F1196" s="1882"/>
      <c r="G1196" s="1882">
        <f>IF('2F'!I5="","##BLANK",'2F'!I5)</f>
        <v>20.69129124854696</v>
      </c>
    </row>
    <row r="1197" spans="2:7">
      <c r="B1197" s="821" t="str">
        <f>+'2F'!AH6</f>
        <v>R3019RPC</v>
      </c>
      <c r="D1197" s="1882"/>
      <c r="E1197" s="1628" t="s">
        <v>8339</v>
      </c>
      <c r="F1197" s="1882"/>
      <c r="G1197" s="1882">
        <f>IF('2F'!I6="","##BLANK",'2F'!I6)</f>
        <v>0</v>
      </c>
    </row>
    <row r="1198" spans="2:7">
      <c r="B1198" s="821" t="str">
        <f>+'2F'!AH7</f>
        <v>R3021RPC</v>
      </c>
      <c r="D1198" s="1882"/>
      <c r="E1198" s="1628" t="s">
        <v>8339</v>
      </c>
      <c r="F1198" s="1882"/>
      <c r="G1198" s="1882">
        <f>IF('2F'!I7="","##BLANK",'2F'!I7)</f>
        <v>0</v>
      </c>
    </row>
    <row r="1199" spans="2:7">
      <c r="B1199" s="821" t="str">
        <f>+'2F'!AH8</f>
        <v>R3018RPC</v>
      </c>
      <c r="D1199" s="1882"/>
      <c r="E1199" s="1628" t="s">
        <v>8339</v>
      </c>
      <c r="F1199" s="1882"/>
      <c r="G1199" s="1882">
        <f>IF('2F'!I8="","##BLANK",'2F'!I8)</f>
        <v>26.595874654854033</v>
      </c>
    </row>
    <row r="1200" spans="2:7">
      <c r="B1200" s="821" t="str">
        <f>+'2F'!AH9</f>
        <v>R3020RPC</v>
      </c>
      <c r="D1200" s="1882"/>
      <c r="E1200" s="1628" t="s">
        <v>8339</v>
      </c>
      <c r="F1200" s="1882"/>
      <c r="G1200" s="1882">
        <f>IF('2F'!I9="","##BLANK",'2F'!I9)</f>
        <v>0</v>
      </c>
    </row>
    <row r="1201" spans="2:7">
      <c r="B1201" s="821" t="str">
        <f>+'2F'!AH10</f>
        <v>R3022RPC</v>
      </c>
      <c r="D1201" s="1882"/>
      <c r="E1201" s="1628" t="s">
        <v>8339</v>
      </c>
      <c r="F1201" s="1882"/>
      <c r="G1201" s="1882">
        <f>IF('2F'!I10="","##BLANK",'2F'!I10)</f>
        <v>0</v>
      </c>
    </row>
    <row r="1202" spans="2:7">
      <c r="B1202" s="821" t="str">
        <f>+'2F'!AH11</f>
        <v>R3100RPCTOT</v>
      </c>
      <c r="D1202" s="1882"/>
      <c r="E1202" s="1628" t="s">
        <v>8339</v>
      </c>
      <c r="F1202" s="1882"/>
      <c r="G1202" s="1882">
        <f>IF('2F'!I11="","##BLANK",'2F'!I11)</f>
        <v>24.093090230432914</v>
      </c>
    </row>
    <row r="1203" spans="2:7">
      <c r="B1203" s="821" t="str">
        <f>+'2G'!AD6</f>
        <v>CR1001WWCR</v>
      </c>
      <c r="D1203" s="1882"/>
      <c r="E1203" s="1628" t="s">
        <v>8339</v>
      </c>
      <c r="F1203" s="1882"/>
      <c r="G1203" s="1882" t="str">
        <f>IF('2G'!E6="","##BLANK",'2G'!E6)</f>
        <v>##BLANK</v>
      </c>
    </row>
    <row r="1204" spans="2:7">
      <c r="B1204" s="821" t="str">
        <f>+'2G'!AD9</f>
        <v>CR1002WWCR</v>
      </c>
      <c r="D1204" s="1882"/>
      <c r="E1204" s="1628" t="s">
        <v>8339</v>
      </c>
      <c r="F1204" s="1882"/>
      <c r="G1204" s="1882" t="str">
        <f>IF('2G'!E9="","##BLANK",'2G'!E9)</f>
        <v>##BLANK</v>
      </c>
    </row>
    <row r="1205" spans="2:7">
      <c r="B1205" s="821" t="str">
        <f>+'2G'!AD10</f>
        <v>CR1003WWCR</v>
      </c>
      <c r="D1205" s="1882"/>
      <c r="E1205" s="1628" t="s">
        <v>8339</v>
      </c>
      <c r="F1205" s="1882"/>
      <c r="G1205" s="1882" t="str">
        <f>IF('2G'!E10="","##BLANK",'2G'!E10)</f>
        <v>##BLANK</v>
      </c>
    </row>
    <row r="1206" spans="2:7">
      <c r="B1206" s="821" t="str">
        <f>+'2G'!AD11</f>
        <v>CR1004WWCR</v>
      </c>
      <c r="D1206" s="1882"/>
      <c r="E1206" s="1628" t="s">
        <v>8339</v>
      </c>
      <c r="F1206" s="1882"/>
      <c r="G1206" s="1882" t="str">
        <f>IF('2G'!E11="","##BLANK",'2G'!E11)</f>
        <v>##BLANK</v>
      </c>
    </row>
    <row r="1207" spans="2:7">
      <c r="B1207" s="821" t="str">
        <f>+'2G'!AD12</f>
        <v>CR1005WWCR</v>
      </c>
      <c r="D1207" s="1882"/>
      <c r="E1207" s="1628" t="s">
        <v>8339</v>
      </c>
      <c r="F1207" s="1882"/>
      <c r="G1207" s="1882" t="str">
        <f>IF('2G'!E12="","##BLANK",'2G'!E12)</f>
        <v>##BLANK</v>
      </c>
    </row>
    <row r="1208" spans="2:7">
      <c r="B1208" s="821" t="str">
        <f>+'2G'!AD13</f>
        <v>CR1006WWCR</v>
      </c>
      <c r="D1208" s="1882"/>
      <c r="E1208" s="1628" t="s">
        <v>8339</v>
      </c>
      <c r="F1208" s="1882"/>
      <c r="G1208" s="1882" t="str">
        <f>IF('2G'!E13="","##BLANK",'2G'!E13)</f>
        <v>##BLANK</v>
      </c>
    </row>
    <row r="1209" spans="2:7">
      <c r="B1209" s="821" t="str">
        <f>+'2G'!AD14</f>
        <v>CR1007WWCR</v>
      </c>
      <c r="D1209" s="1882"/>
      <c r="E1209" s="1628" t="s">
        <v>8339</v>
      </c>
      <c r="F1209" s="1882"/>
      <c r="G1209" s="1882" t="str">
        <f>IF('2G'!E14="","##BLANK",'2G'!E14)</f>
        <v>##BLANK</v>
      </c>
    </row>
    <row r="1210" spans="2:7">
      <c r="B1210" s="821" t="str">
        <f>+'2G'!AD15</f>
        <v>CR1008WWCR</v>
      </c>
      <c r="D1210" s="1882"/>
      <c r="E1210" s="1628" t="s">
        <v>8339</v>
      </c>
      <c r="F1210" s="1882"/>
      <c r="G1210" s="1882" t="str">
        <f>IF('2G'!E15="","##BLANK",'2G'!E15)</f>
        <v>##BLANK</v>
      </c>
    </row>
    <row r="1211" spans="2:7">
      <c r="B1211" s="821" t="str">
        <f>+'2G'!AD16</f>
        <v>CR1009WWCR</v>
      </c>
      <c r="D1211" s="1882"/>
      <c r="E1211" s="1628" t="s">
        <v>8339</v>
      </c>
      <c r="F1211" s="1882"/>
      <c r="G1211" s="1882" t="str">
        <f>IF('2G'!E16="","##BLANK",'2G'!E16)</f>
        <v>##BLANK</v>
      </c>
    </row>
    <row r="1212" spans="2:7">
      <c r="B1212" s="821" t="str">
        <f>+'2G'!AD17</f>
        <v>CR1010WWCR</v>
      </c>
      <c r="D1212" s="1882"/>
      <c r="E1212" s="1628" t="s">
        <v>8339</v>
      </c>
      <c r="F1212" s="1882"/>
      <c r="G1212" s="1882" t="str">
        <f>IF('2G'!E17="","##BLANK",'2G'!E17)</f>
        <v>##BLANK</v>
      </c>
    </row>
    <row r="1213" spans="2:7">
      <c r="B1213" s="821" t="str">
        <f>+'2G'!AD18</f>
        <v>CR1011WWCR</v>
      </c>
      <c r="D1213" s="1882"/>
      <c r="E1213" s="1628" t="s">
        <v>8339</v>
      </c>
      <c r="F1213" s="1882"/>
      <c r="G1213" s="1882" t="str">
        <f>IF('2G'!E18="","##BLANK",'2G'!E18)</f>
        <v>##BLANK</v>
      </c>
    </row>
    <row r="1214" spans="2:7">
      <c r="B1214" s="821" t="str">
        <f>+'2G'!AD19</f>
        <v>CR1012WWCR</v>
      </c>
      <c r="D1214" s="1882"/>
      <c r="E1214" s="1628" t="s">
        <v>8339</v>
      </c>
      <c r="F1214" s="1882"/>
      <c r="G1214" s="1882" t="str">
        <f>IF('2G'!E19="","##BLANK",'2G'!E19)</f>
        <v>##BLANK</v>
      </c>
    </row>
    <row r="1215" spans="2:7">
      <c r="B1215" s="821" t="str">
        <f>+'2G'!AD20</f>
        <v>CR1013WWCR</v>
      </c>
      <c r="D1215" s="1882"/>
      <c r="E1215" s="1628" t="s">
        <v>8339</v>
      </c>
      <c r="F1215" s="1882"/>
      <c r="G1215" s="1882" t="str">
        <f>IF('2G'!E20="","##BLANK",'2G'!E20)</f>
        <v>##BLANK</v>
      </c>
    </row>
    <row r="1216" spans="2:7">
      <c r="B1216" s="821" t="str">
        <f>+'2G'!AD21</f>
        <v>CR1014WWCR</v>
      </c>
      <c r="D1216" s="1882"/>
      <c r="E1216" s="1628" t="s">
        <v>8339</v>
      </c>
      <c r="F1216" s="1882"/>
      <c r="G1216" s="1882" t="str">
        <f>IF('2G'!E21="","##BLANK",'2G'!E21)</f>
        <v>##BLANK</v>
      </c>
    </row>
    <row r="1217" spans="2:7">
      <c r="B1217" s="821" t="str">
        <f>+'2G'!AD22</f>
        <v>CR1015WWCR</v>
      </c>
      <c r="D1217" s="1882"/>
      <c r="E1217" s="1628" t="s">
        <v>8339</v>
      </c>
      <c r="F1217" s="1882"/>
      <c r="G1217" s="1882" t="str">
        <f>IF('2G'!E22="","##BLANK",'2G'!E22)</f>
        <v>##BLANK</v>
      </c>
    </row>
    <row r="1218" spans="2:7">
      <c r="B1218" s="821" t="str">
        <f>+'2G'!AD23</f>
        <v>CR1016WWCR</v>
      </c>
      <c r="D1218" s="1882"/>
      <c r="E1218" s="1628" t="s">
        <v>8339</v>
      </c>
      <c r="F1218" s="1882"/>
      <c r="G1218" s="1882" t="str">
        <f>IF('2G'!E23="","##BLANK",'2G'!E23)</f>
        <v>##BLANK</v>
      </c>
    </row>
    <row r="1219" spans="2:7">
      <c r="B1219" s="821" t="str">
        <f>+'2G'!AD24</f>
        <v>CR1017WWCR</v>
      </c>
      <c r="D1219" s="1882"/>
      <c r="E1219" s="1628" t="s">
        <v>8339</v>
      </c>
      <c r="F1219" s="1882"/>
      <c r="G1219" s="1882" t="str">
        <f>IF('2G'!E24="","##BLANK",'2G'!E24)</f>
        <v>##BLANK</v>
      </c>
    </row>
    <row r="1220" spans="2:7">
      <c r="B1220" s="821" t="str">
        <f>+'2G'!AD25</f>
        <v>CR1018WWCR</v>
      </c>
      <c r="D1220" s="1882"/>
      <c r="E1220" s="1628" t="s">
        <v>8339</v>
      </c>
      <c r="F1220" s="1882"/>
      <c r="G1220" s="1882" t="str">
        <f>IF('2G'!E25="","##BLANK",'2G'!E25)</f>
        <v>##BLANK</v>
      </c>
    </row>
    <row r="1221" spans="2:7">
      <c r="B1221" s="821" t="str">
        <f>+'2G'!AD26</f>
        <v>CR1019WWCR</v>
      </c>
      <c r="D1221" s="1882"/>
      <c r="E1221" s="1628" t="s">
        <v>8339</v>
      </c>
      <c r="F1221" s="1882"/>
      <c r="G1221" s="1882" t="str">
        <f>IF('2G'!E26="","##BLANK",'2G'!E26)</f>
        <v>##BLANK</v>
      </c>
    </row>
    <row r="1222" spans="2:7">
      <c r="B1222" s="821" t="str">
        <f>+'2G'!AD27</f>
        <v>CR1020WWCR</v>
      </c>
      <c r="D1222" s="1882"/>
      <c r="E1222" s="1628" t="s">
        <v>8339</v>
      </c>
      <c r="F1222" s="1882"/>
      <c r="G1222" s="1882" t="str">
        <f>IF('2G'!E27="","##BLANK",'2G'!E27)</f>
        <v>##BLANK</v>
      </c>
    </row>
    <row r="1223" spans="2:7">
      <c r="B1223" s="821" t="str">
        <f>+'2G'!AD28</f>
        <v>CR1025WWCR</v>
      </c>
      <c r="D1223" s="1882"/>
      <c r="E1223" s="1628" t="s">
        <v>8339</v>
      </c>
      <c r="F1223" s="1882"/>
      <c r="G1223" s="1882">
        <f>IF('2G'!E28="","##BLANK",'2G'!E28)</f>
        <v>0</v>
      </c>
    </row>
    <row r="1224" spans="2:7">
      <c r="B1224" s="821" t="str">
        <f>+'2G'!AD30</f>
        <v>CR1030WWCR</v>
      </c>
      <c r="D1224" s="1882"/>
      <c r="E1224" s="1628" t="s">
        <v>8339</v>
      </c>
      <c r="F1224" s="1882"/>
      <c r="G1224" s="1882">
        <f>IF('2G'!E30="","##BLANK",'2G'!E30)</f>
        <v>0</v>
      </c>
    </row>
    <row r="1225" spans="2:7">
      <c r="B1225" s="821" t="str">
        <f>+'2G'!AE6</f>
        <v>CR1001WRR</v>
      </c>
      <c r="D1225" s="1882"/>
      <c r="E1225" s="1628" t="s">
        <v>8339</v>
      </c>
      <c r="F1225" s="1882"/>
      <c r="G1225" s="1882" t="str">
        <f>IF('2G'!F6="","##BLANK",'2G'!F6)</f>
        <v>##BLANK</v>
      </c>
    </row>
    <row r="1226" spans="2:7">
      <c r="B1226" s="821" t="str">
        <f>+'2G'!AE9</f>
        <v>CR1002WRR</v>
      </c>
      <c r="D1226" s="1882"/>
      <c r="E1226" s="1628" t="s">
        <v>8339</v>
      </c>
      <c r="F1226" s="1882"/>
      <c r="G1226" s="1882" t="str">
        <f>IF('2G'!F9="","##BLANK",'2G'!F9)</f>
        <v>##BLANK</v>
      </c>
    </row>
    <row r="1227" spans="2:7">
      <c r="B1227" s="821" t="str">
        <f>+'2G'!AE10</f>
        <v>CR1003WRR</v>
      </c>
      <c r="D1227" s="1882"/>
      <c r="E1227" s="1628" t="s">
        <v>8339</v>
      </c>
      <c r="F1227" s="1882"/>
      <c r="G1227" s="1882" t="str">
        <f>IF('2G'!F10="","##BLANK",'2G'!F10)</f>
        <v>##BLANK</v>
      </c>
    </row>
    <row r="1228" spans="2:7">
      <c r="B1228" s="821" t="str">
        <f>+'2G'!AE11</f>
        <v>CR1004WRR</v>
      </c>
      <c r="D1228" s="1882"/>
      <c r="E1228" s="1628" t="s">
        <v>8339</v>
      </c>
      <c r="F1228" s="1882"/>
      <c r="G1228" s="1882" t="str">
        <f>IF('2G'!F11="","##BLANK",'2G'!F11)</f>
        <v>##BLANK</v>
      </c>
    </row>
    <row r="1229" spans="2:7">
      <c r="B1229" s="821" t="str">
        <f>+'2G'!AE12</f>
        <v>CR1005WRR</v>
      </c>
      <c r="D1229" s="1882"/>
      <c r="E1229" s="1628" t="s">
        <v>8339</v>
      </c>
      <c r="F1229" s="1882"/>
      <c r="G1229" s="1882" t="str">
        <f>IF('2G'!F12="","##BLANK",'2G'!F12)</f>
        <v>##BLANK</v>
      </c>
    </row>
    <row r="1230" spans="2:7">
      <c r="B1230" s="821" t="str">
        <f>+'2G'!AE13</f>
        <v>CR1006WRR</v>
      </c>
      <c r="D1230" s="1882"/>
      <c r="E1230" s="1628" t="s">
        <v>8339</v>
      </c>
      <c r="F1230" s="1882"/>
      <c r="G1230" s="1882" t="str">
        <f>IF('2G'!F13="","##BLANK",'2G'!F13)</f>
        <v>##BLANK</v>
      </c>
    </row>
    <row r="1231" spans="2:7">
      <c r="B1231" s="821" t="str">
        <f>+'2G'!AE14</f>
        <v>CR1007WRR</v>
      </c>
      <c r="D1231" s="1882"/>
      <c r="E1231" s="1628" t="s">
        <v>8339</v>
      </c>
      <c r="F1231" s="1882"/>
      <c r="G1231" s="1882" t="str">
        <f>IF('2G'!F14="","##BLANK",'2G'!F14)</f>
        <v>##BLANK</v>
      </c>
    </row>
    <row r="1232" spans="2:7">
      <c r="B1232" s="821" t="str">
        <f>+'2G'!AE15</f>
        <v>CR1008WRR</v>
      </c>
      <c r="D1232" s="1882"/>
      <c r="E1232" s="1628" t="s">
        <v>8339</v>
      </c>
      <c r="F1232" s="1882"/>
      <c r="G1232" s="1882" t="str">
        <f>IF('2G'!F15="","##BLANK",'2G'!F15)</f>
        <v>##BLANK</v>
      </c>
    </row>
    <row r="1233" spans="2:7">
      <c r="B1233" s="821" t="str">
        <f>+'2G'!AE16</f>
        <v>CR1009WRR</v>
      </c>
      <c r="D1233" s="1882"/>
      <c r="E1233" s="1628" t="s">
        <v>8339</v>
      </c>
      <c r="F1233" s="1882"/>
      <c r="G1233" s="1882" t="str">
        <f>IF('2G'!F16="","##BLANK",'2G'!F16)</f>
        <v>##BLANK</v>
      </c>
    </row>
    <row r="1234" spans="2:7">
      <c r="B1234" s="821" t="str">
        <f>+'2G'!AE17</f>
        <v>CR1010WRR</v>
      </c>
      <c r="D1234" s="1882"/>
      <c r="E1234" s="1628" t="s">
        <v>8339</v>
      </c>
      <c r="F1234" s="1882"/>
      <c r="G1234" s="1882" t="str">
        <f>IF('2G'!F17="","##BLANK",'2G'!F17)</f>
        <v>##BLANK</v>
      </c>
    </row>
    <row r="1235" spans="2:7">
      <c r="B1235" s="821" t="str">
        <f>+'2G'!AE18</f>
        <v>CR1011WRR</v>
      </c>
      <c r="D1235" s="1882"/>
      <c r="E1235" s="1628" t="s">
        <v>8339</v>
      </c>
      <c r="F1235" s="1882"/>
      <c r="G1235" s="1882" t="str">
        <f>IF('2G'!F18="","##BLANK",'2G'!F18)</f>
        <v>##BLANK</v>
      </c>
    </row>
    <row r="1236" spans="2:7">
      <c r="B1236" s="821" t="str">
        <f>+'2G'!AE19</f>
        <v>CR1012WRR</v>
      </c>
      <c r="D1236" s="1882"/>
      <c r="E1236" s="1628" t="s">
        <v>8339</v>
      </c>
      <c r="F1236" s="1882"/>
      <c r="G1236" s="1882" t="str">
        <f>IF('2G'!F19="","##BLANK",'2G'!F19)</f>
        <v>##BLANK</v>
      </c>
    </row>
    <row r="1237" spans="2:7">
      <c r="B1237" s="821" t="str">
        <f>+'2G'!AE20</f>
        <v>CR1013WRR</v>
      </c>
      <c r="D1237" s="1882"/>
      <c r="E1237" s="1628" t="s">
        <v>8339</v>
      </c>
      <c r="F1237" s="1882"/>
      <c r="G1237" s="1882" t="str">
        <f>IF('2G'!F20="","##BLANK",'2G'!F20)</f>
        <v>##BLANK</v>
      </c>
    </row>
    <row r="1238" spans="2:7">
      <c r="B1238" s="821" t="str">
        <f>+'2G'!AE21</f>
        <v>CR1014WRR</v>
      </c>
      <c r="D1238" s="1882"/>
      <c r="E1238" s="1628" t="s">
        <v>8339</v>
      </c>
      <c r="F1238" s="1882"/>
      <c r="G1238" s="1882" t="str">
        <f>IF('2G'!F21="","##BLANK",'2G'!F21)</f>
        <v>##BLANK</v>
      </c>
    </row>
    <row r="1239" spans="2:7">
      <c r="B1239" s="821" t="str">
        <f>+'2G'!AE22</f>
        <v>CR1015WRR</v>
      </c>
      <c r="D1239" s="1882"/>
      <c r="E1239" s="1628" t="s">
        <v>8339</v>
      </c>
      <c r="F1239" s="1882"/>
      <c r="G1239" s="1882" t="str">
        <f>IF('2G'!F22="","##BLANK",'2G'!F22)</f>
        <v>##BLANK</v>
      </c>
    </row>
    <row r="1240" spans="2:7">
      <c r="B1240" s="821" t="str">
        <f>+'2G'!AE23</f>
        <v>CR1016WRR</v>
      </c>
      <c r="D1240" s="1882"/>
      <c r="E1240" s="1628" t="s">
        <v>8339</v>
      </c>
      <c r="F1240" s="1882"/>
      <c r="G1240" s="1882" t="str">
        <f>IF('2G'!F23="","##BLANK",'2G'!F23)</f>
        <v>##BLANK</v>
      </c>
    </row>
    <row r="1241" spans="2:7">
      <c r="B1241" s="821" t="str">
        <f>+'2G'!AE24</f>
        <v>CR1017WRR</v>
      </c>
      <c r="D1241" s="1882"/>
      <c r="E1241" s="1628" t="s">
        <v>8339</v>
      </c>
      <c r="F1241" s="1882"/>
      <c r="G1241" s="1882" t="str">
        <f>IF('2G'!F24="","##BLANK",'2G'!F24)</f>
        <v>##BLANK</v>
      </c>
    </row>
    <row r="1242" spans="2:7">
      <c r="B1242" s="821" t="str">
        <f>+'2G'!AE25</f>
        <v>CR1018WRR</v>
      </c>
      <c r="D1242" s="1882"/>
      <c r="E1242" s="1628" t="s">
        <v>8339</v>
      </c>
      <c r="F1242" s="1882"/>
      <c r="G1242" s="1882" t="str">
        <f>IF('2G'!F25="","##BLANK",'2G'!F25)</f>
        <v>##BLANK</v>
      </c>
    </row>
    <row r="1243" spans="2:7">
      <c r="B1243" s="821" t="str">
        <f>+'2G'!AE26</f>
        <v>CR1019WRR</v>
      </c>
      <c r="D1243" s="1882"/>
      <c r="E1243" s="1628" t="s">
        <v>8339</v>
      </c>
      <c r="F1243" s="1882"/>
      <c r="G1243" s="1882" t="str">
        <f>IF('2G'!F26="","##BLANK",'2G'!F26)</f>
        <v>##BLANK</v>
      </c>
    </row>
    <row r="1244" spans="2:7">
      <c r="B1244" s="821" t="str">
        <f>+'2G'!AE27</f>
        <v>CR1020WRR</v>
      </c>
      <c r="D1244" s="1882"/>
      <c r="E1244" s="1628" t="s">
        <v>8339</v>
      </c>
      <c r="F1244" s="1882"/>
      <c r="G1244" s="1882" t="str">
        <f>IF('2G'!F27="","##BLANK",'2G'!F27)</f>
        <v>##BLANK</v>
      </c>
    </row>
    <row r="1245" spans="2:7">
      <c r="B1245" s="821" t="str">
        <f>+'2G'!AE28</f>
        <v>CR1025WRR</v>
      </c>
      <c r="D1245" s="1882"/>
      <c r="E1245" s="1628" t="s">
        <v>8339</v>
      </c>
      <c r="F1245" s="1882"/>
      <c r="G1245" s="1882">
        <f>IF('2G'!F28="","##BLANK",'2G'!F28)</f>
        <v>0</v>
      </c>
    </row>
    <row r="1246" spans="2:7">
      <c r="B1246" s="821" t="str">
        <f>+'2G'!AE30</f>
        <v>CR1030WRR</v>
      </c>
      <c r="D1246" s="1882"/>
      <c r="E1246" s="1628" t="s">
        <v>8339</v>
      </c>
      <c r="F1246" s="1882"/>
      <c r="G1246" s="1882">
        <f>IF('2G'!F30="","##BLANK",'2G'!F30)</f>
        <v>0</v>
      </c>
    </row>
    <row r="1247" spans="2:7">
      <c r="B1247" s="821" t="str">
        <f>+'2G'!AF6</f>
        <v>CR1001WTR</v>
      </c>
      <c r="D1247" s="1882"/>
      <c r="E1247" s="1628" t="s">
        <v>8339</v>
      </c>
      <c r="F1247" s="1882"/>
      <c r="G1247" s="1882">
        <f>IF('2G'!G6="","##BLANK",'2G'!G6)</f>
        <v>0</v>
      </c>
    </row>
    <row r="1248" spans="2:7">
      <c r="B1248" s="821" t="str">
        <f>+'2G'!AF9</f>
        <v>CR1002WTR</v>
      </c>
      <c r="D1248" s="1882"/>
      <c r="E1248" s="1628" t="s">
        <v>8339</v>
      </c>
      <c r="F1248" s="1882"/>
      <c r="G1248" s="1882">
        <f>IF('2G'!G9="","##BLANK",'2G'!G9)</f>
        <v>0</v>
      </c>
    </row>
    <row r="1249" spans="2:7">
      <c r="B1249" s="821" t="str">
        <f>+'2G'!AF10</f>
        <v>CR1003WTR</v>
      </c>
      <c r="D1249" s="1882"/>
      <c r="E1249" s="1628" t="s">
        <v>8339</v>
      </c>
      <c r="F1249" s="1882"/>
      <c r="G1249" s="1882">
        <f>IF('2G'!G10="","##BLANK",'2G'!G10)</f>
        <v>0</v>
      </c>
    </row>
    <row r="1250" spans="2:7">
      <c r="B1250" s="821" t="str">
        <f>+'2G'!AF11</f>
        <v>CR1004WTR</v>
      </c>
      <c r="D1250" s="1882"/>
      <c r="E1250" s="1628" t="s">
        <v>8339</v>
      </c>
      <c r="F1250" s="1882"/>
      <c r="G1250" s="1882">
        <f>IF('2G'!G11="","##BLANK",'2G'!G11)</f>
        <v>0</v>
      </c>
    </row>
    <row r="1251" spans="2:7">
      <c r="B1251" s="821" t="str">
        <f>+'2G'!AF12</f>
        <v>CR1005WTR</v>
      </c>
      <c r="D1251" s="1882"/>
      <c r="E1251" s="1628" t="s">
        <v>8339</v>
      </c>
      <c r="F1251" s="1882"/>
      <c r="G1251" s="1882">
        <f>IF('2G'!G12="","##BLANK",'2G'!G12)</f>
        <v>0</v>
      </c>
    </row>
    <row r="1252" spans="2:7">
      <c r="B1252" s="821" t="str">
        <f>+'2G'!AF13</f>
        <v>CR1006WTR</v>
      </c>
      <c r="D1252" s="1882"/>
      <c r="E1252" s="1628" t="s">
        <v>8339</v>
      </c>
      <c r="F1252" s="1882"/>
      <c r="G1252" s="1882">
        <f>IF('2G'!G13="","##BLANK",'2G'!G13)</f>
        <v>0</v>
      </c>
    </row>
    <row r="1253" spans="2:7">
      <c r="B1253" s="821" t="str">
        <f>+'2G'!AF14</f>
        <v>CR1007WTR</v>
      </c>
      <c r="D1253" s="1882"/>
      <c r="E1253" s="1628" t="s">
        <v>8339</v>
      </c>
      <c r="F1253" s="1882"/>
      <c r="G1253" s="1882">
        <f>IF('2G'!G14="","##BLANK",'2G'!G14)</f>
        <v>0</v>
      </c>
    </row>
    <row r="1254" spans="2:7">
      <c r="B1254" s="821" t="str">
        <f>+'2G'!AF15</f>
        <v>CR1008WTR</v>
      </c>
      <c r="D1254" s="1882"/>
      <c r="E1254" s="1628" t="s">
        <v>8339</v>
      </c>
      <c r="F1254" s="1882"/>
      <c r="G1254" s="1882">
        <f>IF('2G'!G15="","##BLANK",'2G'!G15)</f>
        <v>0</v>
      </c>
    </row>
    <row r="1255" spans="2:7">
      <c r="B1255" s="821" t="str">
        <f>+'2G'!AF16</f>
        <v>CR1009WTR</v>
      </c>
      <c r="D1255" s="1882"/>
      <c r="E1255" s="1628" t="s">
        <v>8339</v>
      </c>
      <c r="F1255" s="1882"/>
      <c r="G1255" s="1882">
        <f>IF('2G'!G16="","##BLANK",'2G'!G16)</f>
        <v>0</v>
      </c>
    </row>
    <row r="1256" spans="2:7">
      <c r="B1256" s="821" t="str">
        <f>+'2G'!AF17</f>
        <v>CR1010WTR</v>
      </c>
      <c r="D1256" s="1882"/>
      <c r="E1256" s="1628" t="s">
        <v>8339</v>
      </c>
      <c r="F1256" s="1882"/>
      <c r="G1256" s="1882">
        <f>IF('2G'!G17="","##BLANK",'2G'!G17)</f>
        <v>0</v>
      </c>
    </row>
    <row r="1257" spans="2:7">
      <c r="B1257" s="821" t="str">
        <f>+'2G'!AF18</f>
        <v>CR1011WTR</v>
      </c>
      <c r="D1257" s="1882"/>
      <c r="E1257" s="1628" t="s">
        <v>8339</v>
      </c>
      <c r="F1257" s="1882"/>
      <c r="G1257" s="1882">
        <f>IF('2G'!G18="","##BLANK",'2G'!G18)</f>
        <v>0</v>
      </c>
    </row>
    <row r="1258" spans="2:7">
      <c r="B1258" s="821" t="str">
        <f>+'2G'!AF19</f>
        <v>CR1012WTR</v>
      </c>
      <c r="D1258" s="1882"/>
      <c r="E1258" s="1628" t="s">
        <v>8339</v>
      </c>
      <c r="F1258" s="1882"/>
      <c r="G1258" s="1882">
        <f>IF('2G'!G19="","##BLANK",'2G'!G19)</f>
        <v>0</v>
      </c>
    </row>
    <row r="1259" spans="2:7">
      <c r="B1259" s="821" t="str">
        <f>+'2G'!AF20</f>
        <v>CR1013WTR</v>
      </c>
      <c r="D1259" s="1882"/>
      <c r="E1259" s="1628" t="s">
        <v>8339</v>
      </c>
      <c r="F1259" s="1882"/>
      <c r="G1259" s="1882">
        <f>IF('2G'!G20="","##BLANK",'2G'!G20)</f>
        <v>0</v>
      </c>
    </row>
    <row r="1260" spans="2:7">
      <c r="B1260" s="821" t="str">
        <f>+'2G'!AF21</f>
        <v>CR1014WTR</v>
      </c>
      <c r="D1260" s="1882"/>
      <c r="E1260" s="1628" t="s">
        <v>8339</v>
      </c>
      <c r="F1260" s="1882"/>
      <c r="G1260" s="1882">
        <f>IF('2G'!G21="","##BLANK",'2G'!G21)</f>
        <v>0</v>
      </c>
    </row>
    <row r="1261" spans="2:7">
      <c r="B1261" s="821" t="str">
        <f>+'2G'!AF22</f>
        <v>CR1015WTR</v>
      </c>
      <c r="D1261" s="1882"/>
      <c r="E1261" s="1628" t="s">
        <v>8339</v>
      </c>
      <c r="F1261" s="1882"/>
      <c r="G1261" s="1882">
        <f>IF('2G'!G22="","##BLANK",'2G'!G22)</f>
        <v>0</v>
      </c>
    </row>
    <row r="1262" spans="2:7">
      <c r="B1262" s="821" t="str">
        <f>+'2G'!AF23</f>
        <v>CR1016WTR</v>
      </c>
      <c r="D1262" s="1882"/>
      <c r="E1262" s="1628" t="s">
        <v>8339</v>
      </c>
      <c r="F1262" s="1882"/>
      <c r="G1262" s="1882">
        <f>IF('2G'!G23="","##BLANK",'2G'!G23)</f>
        <v>0</v>
      </c>
    </row>
    <row r="1263" spans="2:7">
      <c r="B1263" s="821" t="str">
        <f>+'2G'!AF24</f>
        <v>CR1017WTR</v>
      </c>
      <c r="D1263" s="1882"/>
      <c r="E1263" s="1628" t="s">
        <v>8339</v>
      </c>
      <c r="F1263" s="1882"/>
      <c r="G1263" s="1882">
        <f>IF('2G'!G24="","##BLANK",'2G'!G24)</f>
        <v>0</v>
      </c>
    </row>
    <row r="1264" spans="2:7">
      <c r="B1264" s="821" t="str">
        <f>+'2G'!AF25</f>
        <v>CR1018WTR</v>
      </c>
      <c r="D1264" s="1882"/>
      <c r="E1264" s="1628" t="s">
        <v>8339</v>
      </c>
      <c r="F1264" s="1882"/>
      <c r="G1264" s="1882">
        <f>IF('2G'!G25="","##BLANK",'2G'!G25)</f>
        <v>0</v>
      </c>
    </row>
    <row r="1265" spans="2:7">
      <c r="B1265" s="821" t="str">
        <f>+'2G'!AF26</f>
        <v>CR1019WTR</v>
      </c>
      <c r="D1265" s="1882"/>
      <c r="E1265" s="1628" t="s">
        <v>8339</v>
      </c>
      <c r="F1265" s="1882"/>
      <c r="G1265" s="1882">
        <f>IF('2G'!G26="","##BLANK",'2G'!G26)</f>
        <v>0</v>
      </c>
    </row>
    <row r="1266" spans="2:7">
      <c r="B1266" s="821" t="str">
        <f>+'2G'!AF27</f>
        <v>CR1020WTR</v>
      </c>
      <c r="D1266" s="1882"/>
      <c r="E1266" s="1628" t="s">
        <v>8339</v>
      </c>
      <c r="F1266" s="1882"/>
      <c r="G1266" s="1882">
        <f>IF('2G'!G27="","##BLANK",'2G'!G27)</f>
        <v>0</v>
      </c>
    </row>
    <row r="1267" spans="2:7">
      <c r="B1267" s="821" t="str">
        <f>+'2G'!AF28</f>
        <v>CR1025WTR</v>
      </c>
      <c r="D1267" s="1882"/>
      <c r="E1267" s="1628" t="s">
        <v>8339</v>
      </c>
      <c r="F1267" s="1882"/>
      <c r="G1267" s="1882">
        <f>IF('2G'!G28="","##BLANK",'2G'!G28)</f>
        <v>0</v>
      </c>
    </row>
    <row r="1268" spans="2:7">
      <c r="B1268" s="821" t="str">
        <f>+'2G'!AF30</f>
        <v>CR1030WTR</v>
      </c>
      <c r="D1268" s="1882"/>
      <c r="E1268" s="1628" t="s">
        <v>8339</v>
      </c>
      <c r="F1268" s="1882"/>
      <c r="G1268" s="1882">
        <f>IF('2G'!G30="","##BLANK",'2G'!G30)</f>
        <v>0</v>
      </c>
    </row>
    <row r="1269" spans="2:7">
      <c r="B1269" s="821" t="str">
        <f>+'2G'!AG6</f>
        <v>CR1041WCO</v>
      </c>
      <c r="D1269" s="1882"/>
      <c r="E1269" s="1628" t="s">
        <v>8339</v>
      </c>
      <c r="F1269" s="1882"/>
      <c r="G1269" s="1882" t="str">
        <f>IF('2G'!H6="","##BLANK",'2G'!H6)</f>
        <v>##BLANK</v>
      </c>
    </row>
    <row r="1270" spans="2:7">
      <c r="B1270" s="821" t="str">
        <f>+'2G'!AG9</f>
        <v>CR1042WCO</v>
      </c>
      <c r="D1270" s="1882"/>
      <c r="E1270" s="1628" t="s">
        <v>8339</v>
      </c>
      <c r="F1270" s="1882"/>
      <c r="G1270" s="1882" t="str">
        <f>IF('2G'!H9="","##BLANK",'2G'!H9)</f>
        <v>##BLANK</v>
      </c>
    </row>
    <row r="1271" spans="2:7">
      <c r="B1271" s="821" t="str">
        <f>+'2G'!AG10</f>
        <v>CR1043WCO</v>
      </c>
      <c r="D1271" s="1882"/>
      <c r="E1271" s="1628" t="s">
        <v>8339</v>
      </c>
      <c r="F1271" s="1882"/>
      <c r="G1271" s="1882" t="str">
        <f>IF('2G'!H10="","##BLANK",'2G'!H10)</f>
        <v>##BLANK</v>
      </c>
    </row>
    <row r="1272" spans="2:7">
      <c r="B1272" s="821" t="str">
        <f>+'2G'!AG11</f>
        <v>CR1044WCO</v>
      </c>
      <c r="D1272" s="1882"/>
      <c r="E1272" s="1628" t="s">
        <v>8339</v>
      </c>
      <c r="F1272" s="1882"/>
      <c r="G1272" s="1882" t="str">
        <f>IF('2G'!H11="","##BLANK",'2G'!H11)</f>
        <v>##BLANK</v>
      </c>
    </row>
    <row r="1273" spans="2:7">
      <c r="B1273" s="821" t="str">
        <f>+'2G'!AG12</f>
        <v>CR1045WCO</v>
      </c>
      <c r="D1273" s="1882"/>
      <c r="E1273" s="1628" t="s">
        <v>8339</v>
      </c>
      <c r="F1273" s="1882"/>
      <c r="G1273" s="1882" t="str">
        <f>IF('2G'!H12="","##BLANK",'2G'!H12)</f>
        <v>##BLANK</v>
      </c>
    </row>
    <row r="1274" spans="2:7">
      <c r="B1274" s="821" t="str">
        <f>+'2G'!AG13</f>
        <v>CR1046WCO</v>
      </c>
      <c r="D1274" s="1882"/>
      <c r="E1274" s="1628" t="s">
        <v>8339</v>
      </c>
      <c r="F1274" s="1882"/>
      <c r="G1274" s="1882" t="str">
        <f>IF('2G'!H13="","##BLANK",'2G'!H13)</f>
        <v>##BLANK</v>
      </c>
    </row>
    <row r="1275" spans="2:7">
      <c r="B1275" s="821" t="str">
        <f>+'2G'!AG14</f>
        <v>CR1047WCO</v>
      </c>
      <c r="D1275" s="1882"/>
      <c r="E1275" s="1628" t="s">
        <v>8339</v>
      </c>
      <c r="F1275" s="1882"/>
      <c r="G1275" s="1882" t="str">
        <f>IF('2G'!H14="","##BLANK",'2G'!H14)</f>
        <v>##BLANK</v>
      </c>
    </row>
    <row r="1276" spans="2:7">
      <c r="B1276" s="821" t="str">
        <f>+'2G'!AG15</f>
        <v>CR1048WCO</v>
      </c>
      <c r="D1276" s="1882"/>
      <c r="E1276" s="1628" t="s">
        <v>8339</v>
      </c>
      <c r="F1276" s="1882"/>
      <c r="G1276" s="1882" t="str">
        <f>IF('2G'!H15="","##BLANK",'2G'!H15)</f>
        <v>##BLANK</v>
      </c>
    </row>
    <row r="1277" spans="2:7">
      <c r="B1277" s="821" t="str">
        <f>+'2G'!AG16</f>
        <v>CR1049WCO</v>
      </c>
      <c r="D1277" s="1882"/>
      <c r="E1277" s="1628" t="s">
        <v>8339</v>
      </c>
      <c r="F1277" s="1882"/>
      <c r="G1277" s="1882" t="str">
        <f>IF('2G'!H16="","##BLANK",'2G'!H16)</f>
        <v>##BLANK</v>
      </c>
    </row>
    <row r="1278" spans="2:7">
      <c r="B1278" s="821" t="str">
        <f>+'2G'!AG17</f>
        <v>CR1050WCO</v>
      </c>
      <c r="D1278" s="1882"/>
      <c r="E1278" s="1628" t="s">
        <v>8339</v>
      </c>
      <c r="F1278" s="1882"/>
      <c r="G1278" s="1882" t="str">
        <f>IF('2G'!H17="","##BLANK",'2G'!H17)</f>
        <v>##BLANK</v>
      </c>
    </row>
    <row r="1279" spans="2:7">
      <c r="B1279" s="821" t="str">
        <f>+'2G'!AG18</f>
        <v>CR1051WCO</v>
      </c>
      <c r="D1279" s="1882"/>
      <c r="E1279" s="1628" t="s">
        <v>8339</v>
      </c>
      <c r="F1279" s="1882"/>
      <c r="G1279" s="1882" t="str">
        <f>IF('2G'!H18="","##BLANK",'2G'!H18)</f>
        <v>##BLANK</v>
      </c>
    </row>
    <row r="1280" spans="2:7">
      <c r="B1280" s="821" t="str">
        <f>+'2G'!AG19</f>
        <v>CR1052WCO</v>
      </c>
      <c r="D1280" s="1882"/>
      <c r="E1280" s="1628" t="s">
        <v>8339</v>
      </c>
      <c r="F1280" s="1882"/>
      <c r="G1280" s="1882" t="str">
        <f>IF('2G'!H19="","##BLANK",'2G'!H19)</f>
        <v>##BLANK</v>
      </c>
    </row>
    <row r="1281" spans="2:7">
      <c r="B1281" s="821" t="str">
        <f>+'2G'!AG20</f>
        <v>CR1053WCO</v>
      </c>
      <c r="D1281" s="1882"/>
      <c r="E1281" s="1628" t="s">
        <v>8339</v>
      </c>
      <c r="F1281" s="1882"/>
      <c r="G1281" s="1882" t="str">
        <f>IF('2G'!H20="","##BLANK",'2G'!H20)</f>
        <v>##BLANK</v>
      </c>
    </row>
    <row r="1282" spans="2:7">
      <c r="B1282" s="821" t="str">
        <f>+'2G'!AG21</f>
        <v>CR1054WCO</v>
      </c>
      <c r="D1282" s="1882"/>
      <c r="E1282" s="1628" t="s">
        <v>8339</v>
      </c>
      <c r="F1282" s="1882"/>
      <c r="G1282" s="1882" t="str">
        <f>IF('2G'!H21="","##BLANK",'2G'!H21)</f>
        <v>##BLANK</v>
      </c>
    </row>
    <row r="1283" spans="2:7">
      <c r="B1283" s="821" t="str">
        <f>+'2G'!AG22</f>
        <v>CR1055WCO</v>
      </c>
      <c r="D1283" s="1882"/>
      <c r="E1283" s="1628" t="s">
        <v>8339</v>
      </c>
      <c r="F1283" s="1882"/>
      <c r="G1283" s="1882" t="str">
        <f>IF('2G'!H22="","##BLANK",'2G'!H22)</f>
        <v>##BLANK</v>
      </c>
    </row>
    <row r="1284" spans="2:7">
      <c r="B1284" s="821" t="str">
        <f>+'2G'!AG23</f>
        <v>CR1056WCO</v>
      </c>
      <c r="D1284" s="1882"/>
      <c r="E1284" s="1628" t="s">
        <v>8339</v>
      </c>
      <c r="F1284" s="1882"/>
      <c r="G1284" s="1882" t="str">
        <f>IF('2G'!H23="","##BLANK",'2G'!H23)</f>
        <v>##BLANK</v>
      </c>
    </row>
    <row r="1285" spans="2:7">
      <c r="B1285" s="821" t="str">
        <f>+'2G'!AG24</f>
        <v>CR1057WCO</v>
      </c>
      <c r="D1285" s="1882"/>
      <c r="E1285" s="1628" t="s">
        <v>8339</v>
      </c>
      <c r="F1285" s="1882"/>
      <c r="G1285" s="1882" t="str">
        <f>IF('2G'!H24="","##BLANK",'2G'!H24)</f>
        <v>##BLANK</v>
      </c>
    </row>
    <row r="1286" spans="2:7">
      <c r="B1286" s="821" t="str">
        <f>+'2G'!AG25</f>
        <v>CR1058WCO</v>
      </c>
      <c r="D1286" s="1882"/>
      <c r="E1286" s="1628" t="s">
        <v>8339</v>
      </c>
      <c r="F1286" s="1882"/>
      <c r="G1286" s="1882" t="str">
        <f>IF('2G'!H25="","##BLANK",'2G'!H25)</f>
        <v>##BLANK</v>
      </c>
    </row>
    <row r="1287" spans="2:7">
      <c r="B1287" s="821" t="str">
        <f>+'2G'!AG26</f>
        <v>CR1059WCO</v>
      </c>
      <c r="D1287" s="1882"/>
      <c r="E1287" s="1628" t="s">
        <v>8339</v>
      </c>
      <c r="F1287" s="1882"/>
      <c r="G1287" s="1882" t="str">
        <f>IF('2G'!H26="","##BLANK",'2G'!H26)</f>
        <v>##BLANK</v>
      </c>
    </row>
    <row r="1288" spans="2:7">
      <c r="B1288" s="821" t="str">
        <f>+'2G'!AG27</f>
        <v>CR1060WCO</v>
      </c>
      <c r="D1288" s="1882"/>
      <c r="E1288" s="1628" t="s">
        <v>8339</v>
      </c>
      <c r="F1288" s="1882"/>
      <c r="G1288" s="1882" t="str">
        <f>IF('2G'!H27="","##BLANK",'2G'!H27)</f>
        <v>##BLANK</v>
      </c>
    </row>
    <row r="1289" spans="2:7">
      <c r="B1289" s="821" t="str">
        <f>+'2G'!AG28</f>
        <v>CR1065WCO</v>
      </c>
      <c r="D1289" s="1882"/>
      <c r="E1289" s="1628" t="s">
        <v>8339</v>
      </c>
      <c r="F1289" s="1882"/>
      <c r="G1289" s="1882">
        <f>IF('2G'!H28="","##BLANK",'2G'!H28)</f>
        <v>0</v>
      </c>
    </row>
    <row r="1290" spans="2:7">
      <c r="B1290" s="821" t="str">
        <f>+'2G'!AG30</f>
        <v>CR1066WCO</v>
      </c>
      <c r="D1290" s="1882"/>
      <c r="E1290" s="1628" t="s">
        <v>8339</v>
      </c>
      <c r="F1290" s="1882"/>
      <c r="G1290" s="1882">
        <f>IF('2G'!H30="","##BLANK",'2G'!H30)</f>
        <v>0</v>
      </c>
    </row>
    <row r="1291" spans="2:7" s="1882" customFormat="1">
      <c r="B1291" s="821" t="str">
        <f>+'2G'!AG34</f>
        <v>CR1030WCU</v>
      </c>
      <c r="C1291" s="1293"/>
      <c r="E1291" s="1628" t="s">
        <v>8339</v>
      </c>
      <c r="G1291" s="1882" t="str">
        <f>IF('2G'!H34="","##BLANK",'2G'!H34)</f>
        <v>##BLANK</v>
      </c>
    </row>
    <row r="1292" spans="2:7">
      <c r="B1292" s="821" t="str">
        <f>+'2G'!AH6</f>
        <v>CR1041WRPC</v>
      </c>
      <c r="D1292" s="1882"/>
      <c r="E1292" s="1628" t="s">
        <v>8339</v>
      </c>
      <c r="F1292" s="1882"/>
      <c r="G1292" s="1882">
        <f>IF('2G'!I6="","##BLANK",'2G'!I6)</f>
        <v>0</v>
      </c>
    </row>
    <row r="1293" spans="2:7">
      <c r="B1293" s="821" t="str">
        <f>+'2G'!AH9</f>
        <v>CR1042WRPC</v>
      </c>
      <c r="D1293" s="1882"/>
      <c r="E1293" s="1628" t="s">
        <v>8339</v>
      </c>
      <c r="F1293" s="1882"/>
      <c r="G1293" s="1882">
        <f>IF('2G'!I9="","##BLANK",'2G'!I9)</f>
        <v>0</v>
      </c>
    </row>
    <row r="1294" spans="2:7">
      <c r="B1294" s="821" t="str">
        <f>+'2G'!AH10</f>
        <v>CR1043WRPC</v>
      </c>
      <c r="D1294" s="1882"/>
      <c r="E1294" s="1628" t="s">
        <v>8339</v>
      </c>
      <c r="F1294" s="1882"/>
      <c r="G1294" s="1882">
        <f>IF('2G'!I10="","##BLANK",'2G'!I10)</f>
        <v>0</v>
      </c>
    </row>
    <row r="1295" spans="2:7">
      <c r="B1295" s="821" t="str">
        <f>+'2G'!AH11</f>
        <v>CR1044WRPC</v>
      </c>
      <c r="D1295" s="1882"/>
      <c r="E1295" s="1628" t="s">
        <v>8339</v>
      </c>
      <c r="F1295" s="1882"/>
      <c r="G1295" s="1882">
        <f>IF('2G'!I11="","##BLANK",'2G'!I11)</f>
        <v>0</v>
      </c>
    </row>
    <row r="1296" spans="2:7">
      <c r="B1296" s="821" t="str">
        <f>+'2G'!AH12</f>
        <v>CR1045WRPC</v>
      </c>
      <c r="D1296" s="1882"/>
      <c r="E1296" s="1628" t="s">
        <v>8339</v>
      </c>
      <c r="F1296" s="1882"/>
      <c r="G1296" s="1882">
        <f>IF('2G'!I12="","##BLANK",'2G'!I12)</f>
        <v>0</v>
      </c>
    </row>
    <row r="1297" spans="2:7">
      <c r="B1297" s="821" t="str">
        <f>+'2G'!AH13</f>
        <v>CR1046WRPC</v>
      </c>
      <c r="D1297" s="1882"/>
      <c r="E1297" s="1628" t="s">
        <v>8339</v>
      </c>
      <c r="F1297" s="1882"/>
      <c r="G1297" s="1882">
        <f>IF('2G'!I13="","##BLANK",'2G'!I13)</f>
        <v>0</v>
      </c>
    </row>
    <row r="1298" spans="2:7">
      <c r="B1298" s="821" t="str">
        <f>+'2G'!AH14</f>
        <v>CR1047WRPC</v>
      </c>
      <c r="D1298" s="1882"/>
      <c r="E1298" s="1628" t="s">
        <v>8339</v>
      </c>
      <c r="F1298" s="1882"/>
      <c r="G1298" s="1882">
        <f>IF('2G'!I14="","##BLANK",'2G'!I14)</f>
        <v>0</v>
      </c>
    </row>
    <row r="1299" spans="2:7">
      <c r="B1299" s="821" t="str">
        <f>+'2G'!AH15</f>
        <v>CR1048WRPC</v>
      </c>
      <c r="D1299" s="1882"/>
      <c r="E1299" s="1628" t="s">
        <v>8339</v>
      </c>
      <c r="F1299" s="1882"/>
      <c r="G1299" s="1882">
        <f>IF('2G'!I15="","##BLANK",'2G'!I15)</f>
        <v>0</v>
      </c>
    </row>
    <row r="1300" spans="2:7">
      <c r="B1300" s="821" t="str">
        <f>+'2G'!AH16</f>
        <v>CR1049WRPC</v>
      </c>
      <c r="D1300" s="1882"/>
      <c r="E1300" s="1628" t="s">
        <v>8339</v>
      </c>
      <c r="F1300" s="1882"/>
      <c r="G1300" s="1882">
        <f>IF('2G'!I16="","##BLANK",'2G'!I16)</f>
        <v>0</v>
      </c>
    </row>
    <row r="1301" spans="2:7">
      <c r="B1301" s="821" t="str">
        <f>+'2G'!AH17</f>
        <v>CR1050WRPC</v>
      </c>
      <c r="D1301" s="1882"/>
      <c r="E1301" s="1628" t="s">
        <v>8339</v>
      </c>
      <c r="F1301" s="1882"/>
      <c r="G1301" s="1882">
        <f>IF('2G'!I17="","##BLANK",'2G'!I17)</f>
        <v>0</v>
      </c>
    </row>
    <row r="1302" spans="2:7">
      <c r="B1302" s="821" t="str">
        <f>+'2G'!AH18</f>
        <v>CR1051WRPC</v>
      </c>
      <c r="D1302" s="1882"/>
      <c r="E1302" s="1628" t="s">
        <v>8339</v>
      </c>
      <c r="F1302" s="1882"/>
      <c r="G1302" s="1882">
        <f>IF('2G'!I18="","##BLANK",'2G'!I18)</f>
        <v>0</v>
      </c>
    </row>
    <row r="1303" spans="2:7">
      <c r="B1303" s="821" t="str">
        <f>+'2G'!AH19</f>
        <v>CR1052WRPC</v>
      </c>
      <c r="D1303" s="1882"/>
      <c r="E1303" s="1628" t="s">
        <v>8339</v>
      </c>
      <c r="F1303" s="1882"/>
      <c r="G1303" s="1882">
        <f>IF('2G'!I19="","##BLANK",'2G'!I19)</f>
        <v>0</v>
      </c>
    </row>
    <row r="1304" spans="2:7">
      <c r="B1304" s="821" t="str">
        <f>+'2G'!AH20</f>
        <v>CR1053WRPC</v>
      </c>
      <c r="D1304" s="1882"/>
      <c r="E1304" s="1628" t="s">
        <v>8339</v>
      </c>
      <c r="F1304" s="1882"/>
      <c r="G1304" s="1882">
        <f>IF('2G'!I20="","##BLANK",'2G'!I20)</f>
        <v>0</v>
      </c>
    </row>
    <row r="1305" spans="2:7">
      <c r="B1305" s="821" t="str">
        <f>+'2G'!AH21</f>
        <v>CR1054WRPC</v>
      </c>
      <c r="D1305" s="1882"/>
      <c r="E1305" s="1628" t="s">
        <v>8339</v>
      </c>
      <c r="F1305" s="1882"/>
      <c r="G1305" s="1882">
        <f>IF('2G'!I21="","##BLANK",'2G'!I21)</f>
        <v>0</v>
      </c>
    </row>
    <row r="1306" spans="2:7">
      <c r="B1306" s="821" t="str">
        <f>+'2G'!AH22</f>
        <v>CR1055WRPC</v>
      </c>
      <c r="D1306" s="1882"/>
      <c r="E1306" s="1628" t="s">
        <v>8339</v>
      </c>
      <c r="F1306" s="1882"/>
      <c r="G1306" s="1882">
        <f>IF('2G'!I22="","##BLANK",'2G'!I22)</f>
        <v>0</v>
      </c>
    </row>
    <row r="1307" spans="2:7">
      <c r="B1307" s="821" t="str">
        <f>+'2G'!AH23</f>
        <v>CR1056WRPC</v>
      </c>
      <c r="D1307" s="1882"/>
      <c r="E1307" s="1628" t="s">
        <v>8339</v>
      </c>
      <c r="F1307" s="1882"/>
      <c r="G1307" s="1882">
        <f>IF('2G'!I23="","##BLANK",'2G'!I23)</f>
        <v>0</v>
      </c>
    </row>
    <row r="1308" spans="2:7">
      <c r="B1308" s="821" t="str">
        <f>+'2G'!AH24</f>
        <v>CR1057WRPC</v>
      </c>
      <c r="D1308" s="1882"/>
      <c r="E1308" s="1628" t="s">
        <v>8339</v>
      </c>
      <c r="F1308" s="1882"/>
      <c r="G1308" s="1882">
        <f>IF('2G'!I24="","##BLANK",'2G'!I24)</f>
        <v>0</v>
      </c>
    </row>
    <row r="1309" spans="2:7">
      <c r="B1309" s="821" t="str">
        <f>+'2G'!AH25</f>
        <v>CR1058WRPC</v>
      </c>
      <c r="D1309" s="1882"/>
      <c r="E1309" s="1628" t="s">
        <v>8339</v>
      </c>
      <c r="F1309" s="1882"/>
      <c r="G1309" s="1882">
        <f>IF('2G'!I25="","##BLANK",'2G'!I25)</f>
        <v>0</v>
      </c>
    </row>
    <row r="1310" spans="2:7">
      <c r="B1310" s="821" t="str">
        <f>+'2G'!AH26</f>
        <v>CR1059WRPC</v>
      </c>
      <c r="D1310" s="1882"/>
      <c r="E1310" s="1628" t="s">
        <v>8339</v>
      </c>
      <c r="F1310" s="1882"/>
      <c r="G1310" s="1882">
        <f>IF('2G'!I26="","##BLANK",'2G'!I26)</f>
        <v>0</v>
      </c>
    </row>
    <row r="1311" spans="2:7">
      <c r="B1311" s="821" t="str">
        <f>+'2G'!AH27</f>
        <v>CR1060WRPC</v>
      </c>
      <c r="D1311" s="1882"/>
      <c r="E1311" s="1628" t="s">
        <v>8339</v>
      </c>
      <c r="F1311" s="1882"/>
      <c r="G1311" s="1882">
        <f>IF('2G'!I27="","##BLANK",'2G'!I27)</f>
        <v>0</v>
      </c>
    </row>
    <row r="1312" spans="2:7">
      <c r="B1312" s="821" t="str">
        <f>+'2G'!AH28</f>
        <v>CR1065WRPC</v>
      </c>
      <c r="D1312" s="1882"/>
      <c r="E1312" s="1628" t="s">
        <v>8339</v>
      </c>
      <c r="F1312" s="1882"/>
      <c r="G1312" s="1882">
        <f>IF('2G'!I28="","##BLANK",'2G'!I28)</f>
        <v>0</v>
      </c>
    </row>
    <row r="1313" spans="2:7">
      <c r="B1313" s="821" t="str">
        <f>+'2G'!AH30</f>
        <v>CR1066WRPC</v>
      </c>
      <c r="D1313" s="1882"/>
      <c r="E1313" s="1628" t="s">
        <v>8339</v>
      </c>
      <c r="F1313" s="1882"/>
      <c r="G1313" s="1882">
        <f>IF('2G'!I30="","##BLANK",'2G'!I30)</f>
        <v>0</v>
      </c>
    </row>
    <row r="1314" spans="2:7">
      <c r="B1314" s="1709" t="str">
        <f>+'2G'!AH34</f>
        <v>CR1030WRPC</v>
      </c>
      <c r="D1314" s="1882"/>
      <c r="E1314" s="1628" t="s">
        <v>8339</v>
      </c>
      <c r="F1314" s="1882"/>
      <c r="G1314" s="1882">
        <f>IF('2G'!I34="","##BLANK",'2G'!I34)</f>
        <v>0</v>
      </c>
    </row>
    <row r="1315" spans="2:7">
      <c r="B1315" s="821" t="str">
        <f>+'2H'!AD6</f>
        <v>CR1001SWCR</v>
      </c>
      <c r="D1315" s="1882"/>
      <c r="E1315" s="1628" t="s">
        <v>8339</v>
      </c>
      <c r="F1315" s="1882"/>
      <c r="G1315" s="1882" t="str">
        <f>IF('2H'!E6="","##BLANK",'2H'!E6)</f>
        <v>##BLANK</v>
      </c>
    </row>
    <row r="1316" spans="2:7">
      <c r="B1316" s="821" t="str">
        <f>+'2H'!AD9</f>
        <v>CR1002SWCR</v>
      </c>
      <c r="D1316" s="1882"/>
      <c r="E1316" s="1628" t="s">
        <v>8339</v>
      </c>
      <c r="F1316" s="1882"/>
      <c r="G1316" s="1882" t="str">
        <f>IF('2H'!E9="","##BLANK",'2H'!E9)</f>
        <v>##BLANK</v>
      </c>
    </row>
    <row r="1317" spans="2:7">
      <c r="B1317" s="821" t="str">
        <f>+'2H'!AD10</f>
        <v>CR1003SWCR</v>
      </c>
      <c r="D1317" s="1882"/>
      <c r="E1317" s="1628" t="s">
        <v>8339</v>
      </c>
      <c r="F1317" s="1882"/>
      <c r="G1317" s="1882" t="str">
        <f>IF('2H'!E10="","##BLANK",'2H'!E10)</f>
        <v>##BLANK</v>
      </c>
    </row>
    <row r="1318" spans="2:7">
      <c r="B1318" s="821" t="str">
        <f>+'2H'!AD11</f>
        <v>CR1004SWCR</v>
      </c>
      <c r="D1318" s="1882"/>
      <c r="E1318" s="1628" t="s">
        <v>8339</v>
      </c>
      <c r="F1318" s="1882"/>
      <c r="G1318" s="1882" t="str">
        <f>IF('2H'!E11="","##BLANK",'2H'!E11)</f>
        <v>##BLANK</v>
      </c>
    </row>
    <row r="1319" spans="2:7">
      <c r="B1319" s="821" t="str">
        <f>+'2H'!AD12</f>
        <v>CR1005SWCR</v>
      </c>
      <c r="D1319" s="1882"/>
      <c r="E1319" s="1628" t="s">
        <v>8339</v>
      </c>
      <c r="F1319" s="1882"/>
      <c r="G1319" s="1882" t="str">
        <f>IF('2H'!E12="","##BLANK",'2H'!E12)</f>
        <v>##BLANK</v>
      </c>
    </row>
    <row r="1320" spans="2:7">
      <c r="B1320" s="821" t="str">
        <f>+'2H'!AD13</f>
        <v>CR1006SWCR</v>
      </c>
      <c r="D1320" s="1882"/>
      <c r="E1320" s="1628" t="s">
        <v>8339</v>
      </c>
      <c r="F1320" s="1882"/>
      <c r="G1320" s="1882" t="str">
        <f>IF('2H'!E13="","##BLANK",'2H'!E13)</f>
        <v>##BLANK</v>
      </c>
    </row>
    <row r="1321" spans="2:7">
      <c r="B1321" s="821" t="str">
        <f>+'2H'!AD14</f>
        <v>CR1007SWCR</v>
      </c>
      <c r="D1321" s="1882"/>
      <c r="E1321" s="1628" t="s">
        <v>8339</v>
      </c>
      <c r="F1321" s="1882"/>
      <c r="G1321" s="1882" t="str">
        <f>IF('2H'!E14="","##BLANK",'2H'!E14)</f>
        <v>##BLANK</v>
      </c>
    </row>
    <row r="1322" spans="2:7">
      <c r="B1322" s="821" t="str">
        <f>+'2H'!AD15</f>
        <v>CR1008SWCR</v>
      </c>
      <c r="D1322" s="1882"/>
      <c r="E1322" s="1628" t="s">
        <v>8339</v>
      </c>
      <c r="F1322" s="1882"/>
      <c r="G1322" s="1882" t="str">
        <f>IF('2H'!E15="","##BLANK",'2H'!E15)</f>
        <v>##BLANK</v>
      </c>
    </row>
    <row r="1323" spans="2:7">
      <c r="B1323" s="821" t="str">
        <f>+'2H'!AD16</f>
        <v>CR1009SWCR</v>
      </c>
      <c r="D1323" s="1882"/>
      <c r="E1323" s="1628" t="s">
        <v>8339</v>
      </c>
      <c r="F1323" s="1882"/>
      <c r="G1323" s="1882" t="str">
        <f>IF('2H'!E16="","##BLANK",'2H'!E16)</f>
        <v>##BLANK</v>
      </c>
    </row>
    <row r="1324" spans="2:7">
      <c r="B1324" s="821" t="str">
        <f>+'2H'!AD17</f>
        <v>CR1010SWCR</v>
      </c>
      <c r="D1324" s="1882"/>
      <c r="E1324" s="1628" t="s">
        <v>8339</v>
      </c>
      <c r="F1324" s="1882"/>
      <c r="G1324" s="1882" t="str">
        <f>IF('2H'!E17="","##BLANK",'2H'!E17)</f>
        <v>##BLANK</v>
      </c>
    </row>
    <row r="1325" spans="2:7">
      <c r="B1325" s="821" t="str">
        <f>+'2H'!AD18</f>
        <v>CR1011SWCR</v>
      </c>
      <c r="D1325" s="1882"/>
      <c r="E1325" s="1628" t="s">
        <v>8339</v>
      </c>
      <c r="F1325" s="1882"/>
      <c r="G1325" s="1882" t="str">
        <f>IF('2H'!E18="","##BLANK",'2H'!E18)</f>
        <v>##BLANK</v>
      </c>
    </row>
    <row r="1326" spans="2:7">
      <c r="B1326" s="821" t="str">
        <f>+'2H'!AD19</f>
        <v>CR1012SWCR</v>
      </c>
      <c r="D1326" s="1882"/>
      <c r="E1326" s="1628" t="s">
        <v>8339</v>
      </c>
      <c r="F1326" s="1882"/>
      <c r="G1326" s="1882" t="str">
        <f>IF('2H'!E19="","##BLANK",'2H'!E19)</f>
        <v>##BLANK</v>
      </c>
    </row>
    <row r="1327" spans="2:7">
      <c r="B1327" s="821" t="str">
        <f>+'2H'!AD20</f>
        <v>CR1013SWCR</v>
      </c>
      <c r="D1327" s="1882"/>
      <c r="E1327" s="1628" t="s">
        <v>8339</v>
      </c>
      <c r="F1327" s="1882"/>
      <c r="G1327" s="1882" t="str">
        <f>IF('2H'!E20="","##BLANK",'2H'!E20)</f>
        <v>##BLANK</v>
      </c>
    </row>
    <row r="1328" spans="2:7">
      <c r="B1328" s="821" t="str">
        <f>+'2H'!AD21</f>
        <v>CR1014SWCR</v>
      </c>
      <c r="D1328" s="1882"/>
      <c r="E1328" s="1628" t="s">
        <v>8339</v>
      </c>
      <c r="F1328" s="1882"/>
      <c r="G1328" s="1882" t="str">
        <f>IF('2H'!E21="","##BLANK",'2H'!E21)</f>
        <v>##BLANK</v>
      </c>
    </row>
    <row r="1329" spans="2:7">
      <c r="B1329" s="821" t="str">
        <f>+'2H'!AD22</f>
        <v>CR1015SWCR</v>
      </c>
      <c r="D1329" s="1882"/>
      <c r="E1329" s="1628" t="s">
        <v>8339</v>
      </c>
      <c r="F1329" s="1882"/>
      <c r="G1329" s="1882" t="str">
        <f>IF('2H'!E22="","##BLANK",'2H'!E22)</f>
        <v>##BLANK</v>
      </c>
    </row>
    <row r="1330" spans="2:7">
      <c r="B1330" s="821" t="str">
        <f>+'2H'!AD23</f>
        <v>CR1016SWCR</v>
      </c>
      <c r="D1330" s="1882"/>
      <c r="E1330" s="1628" t="s">
        <v>8339</v>
      </c>
      <c r="F1330" s="1882"/>
      <c r="G1330" s="1882" t="str">
        <f>IF('2H'!E23="","##BLANK",'2H'!E23)</f>
        <v>##BLANK</v>
      </c>
    </row>
    <row r="1331" spans="2:7">
      <c r="B1331" s="821" t="str">
        <f>+'2H'!AD24</f>
        <v>CR1017SWCR</v>
      </c>
      <c r="D1331" s="1882"/>
      <c r="E1331" s="1628" t="s">
        <v>8339</v>
      </c>
      <c r="F1331" s="1882"/>
      <c r="G1331" s="1882" t="str">
        <f>IF('2H'!E24="","##BLANK",'2H'!E24)</f>
        <v>##BLANK</v>
      </c>
    </row>
    <row r="1332" spans="2:7">
      <c r="B1332" s="821" t="str">
        <f>+'2H'!AD25</f>
        <v>CR1018SWCR</v>
      </c>
      <c r="D1332" s="1882"/>
      <c r="E1332" s="1628" t="s">
        <v>8339</v>
      </c>
      <c r="F1332" s="1882"/>
      <c r="G1332" s="1882" t="str">
        <f>IF('2H'!E25="","##BLANK",'2H'!E25)</f>
        <v>##BLANK</v>
      </c>
    </row>
    <row r="1333" spans="2:7">
      <c r="B1333" s="821" t="str">
        <f>+'2H'!AD26</f>
        <v>CR1019SWCR</v>
      </c>
      <c r="D1333" s="1882"/>
      <c r="E1333" s="1628" t="s">
        <v>8339</v>
      </c>
      <c r="F1333" s="1882"/>
      <c r="G1333" s="1882" t="str">
        <f>IF('2H'!E26="","##BLANK",'2H'!E26)</f>
        <v>##BLANK</v>
      </c>
    </row>
    <row r="1334" spans="2:7">
      <c r="B1334" s="821" t="str">
        <f>+'2H'!AD27</f>
        <v>CR1020SWCR</v>
      </c>
      <c r="D1334" s="1882"/>
      <c r="E1334" s="1628" t="s">
        <v>8339</v>
      </c>
      <c r="F1334" s="1882"/>
      <c r="G1334" s="1882" t="str">
        <f>IF('2H'!E27="","##BLANK",'2H'!E27)</f>
        <v>##BLANK</v>
      </c>
    </row>
    <row r="1335" spans="2:7">
      <c r="B1335" s="821" t="str">
        <f>+'2H'!AD28</f>
        <v>CR1021SWCR</v>
      </c>
      <c r="D1335" s="1882"/>
      <c r="E1335" s="1628" t="s">
        <v>8339</v>
      </c>
      <c r="F1335" s="1882"/>
      <c r="G1335" s="1882" t="str">
        <f>IF('2H'!E28="","##BLANK",'2H'!E28)</f>
        <v>##BLANK</v>
      </c>
    </row>
    <row r="1336" spans="2:7">
      <c r="B1336" s="821" t="str">
        <f>+'2H'!AD29</f>
        <v>CR1022SWCR</v>
      </c>
      <c r="D1336" s="1882"/>
      <c r="E1336" s="1628" t="s">
        <v>8339</v>
      </c>
      <c r="F1336" s="1882"/>
      <c r="G1336" s="1882" t="str">
        <f>IF('2H'!E29="","##BLANK",'2H'!E29)</f>
        <v>##BLANK</v>
      </c>
    </row>
    <row r="1337" spans="2:7">
      <c r="B1337" s="821" t="str">
        <f>+'2H'!AD30</f>
        <v>CR1023SWCR</v>
      </c>
      <c r="D1337" s="1882"/>
      <c r="E1337" s="1628" t="s">
        <v>8339</v>
      </c>
      <c r="F1337" s="1882"/>
      <c r="G1337" s="1882" t="str">
        <f>IF('2H'!E30="","##BLANK",'2H'!E30)</f>
        <v>##BLANK</v>
      </c>
    </row>
    <row r="1338" spans="2:7">
      <c r="B1338" s="821" t="str">
        <f>+'2H'!AD31</f>
        <v>CR1025SWCR</v>
      </c>
      <c r="D1338" s="1882"/>
      <c r="E1338" s="1628" t="s">
        <v>8339</v>
      </c>
      <c r="F1338" s="1882"/>
      <c r="G1338" s="1882">
        <f>IF('2H'!E31="","##BLANK",'2H'!E31)</f>
        <v>0</v>
      </c>
    </row>
    <row r="1339" spans="2:7">
      <c r="B1339" s="821" t="str">
        <f>+'2H'!AD33</f>
        <v>CR1030SWCR</v>
      </c>
      <c r="D1339" s="1882"/>
      <c r="E1339" s="1628" t="s">
        <v>8339</v>
      </c>
      <c r="F1339" s="1882"/>
      <c r="G1339" s="1882">
        <f>IF('2H'!E33="","##BLANK",'2H'!E33)</f>
        <v>0</v>
      </c>
    </row>
    <row r="1340" spans="2:7">
      <c r="B1340" s="821" t="str">
        <f>+'2H'!AE6</f>
        <v>CR1001SRR</v>
      </c>
      <c r="D1340" s="1882"/>
      <c r="E1340" s="1628" t="s">
        <v>8339</v>
      </c>
      <c r="F1340" s="1882"/>
      <c r="G1340" s="1882" t="str">
        <f>IF('2H'!F6="","##BLANK",'2H'!F6)</f>
        <v>##BLANK</v>
      </c>
    </row>
    <row r="1341" spans="2:7">
      <c r="B1341" s="821" t="str">
        <f>+'2H'!AE9</f>
        <v>CR1002SRR</v>
      </c>
      <c r="D1341" s="1882"/>
      <c r="E1341" s="1628" t="s">
        <v>8339</v>
      </c>
      <c r="F1341" s="1882"/>
      <c r="G1341" s="1882" t="str">
        <f>IF('2H'!F9="","##BLANK",'2H'!F9)</f>
        <v>##BLANK</v>
      </c>
    </row>
    <row r="1342" spans="2:7">
      <c r="B1342" s="821" t="str">
        <f>+'2H'!AE10</f>
        <v>CR1003SRR</v>
      </c>
      <c r="D1342" s="1882"/>
      <c r="E1342" s="1628" t="s">
        <v>8339</v>
      </c>
      <c r="F1342" s="1882"/>
      <c r="G1342" s="1882" t="str">
        <f>IF('2H'!F10="","##BLANK",'2H'!F10)</f>
        <v>##BLANK</v>
      </c>
    </row>
    <row r="1343" spans="2:7">
      <c r="B1343" s="821" t="str">
        <f>+'2H'!AE11</f>
        <v>CR1004SRR</v>
      </c>
      <c r="D1343" s="1882"/>
      <c r="E1343" s="1628" t="s">
        <v>8339</v>
      </c>
      <c r="F1343" s="1882"/>
      <c r="G1343" s="1882" t="str">
        <f>IF('2H'!F11="","##BLANK",'2H'!F11)</f>
        <v>##BLANK</v>
      </c>
    </row>
    <row r="1344" spans="2:7">
      <c r="B1344" s="821" t="str">
        <f>+'2H'!AE12</f>
        <v>CR1005SRR</v>
      </c>
      <c r="D1344" s="1882"/>
      <c r="E1344" s="1628" t="s">
        <v>8339</v>
      </c>
      <c r="F1344" s="1882"/>
      <c r="G1344" s="1882" t="str">
        <f>IF('2H'!F12="","##BLANK",'2H'!F12)</f>
        <v>##BLANK</v>
      </c>
    </row>
    <row r="1345" spans="2:7">
      <c r="B1345" s="821" t="str">
        <f>+'2H'!AE13</f>
        <v>CR1006SRR</v>
      </c>
      <c r="D1345" s="1882"/>
      <c r="E1345" s="1628" t="s">
        <v>8339</v>
      </c>
      <c r="F1345" s="1882"/>
      <c r="G1345" s="1882" t="str">
        <f>IF('2H'!F13="","##BLANK",'2H'!F13)</f>
        <v>##BLANK</v>
      </c>
    </row>
    <row r="1346" spans="2:7">
      <c r="B1346" s="821" t="str">
        <f>+'2H'!AE14</f>
        <v>CR1007SRR</v>
      </c>
      <c r="D1346" s="1882"/>
      <c r="E1346" s="1628" t="s">
        <v>8339</v>
      </c>
      <c r="F1346" s="1882"/>
      <c r="G1346" s="1882" t="str">
        <f>IF('2H'!F14="","##BLANK",'2H'!F14)</f>
        <v>##BLANK</v>
      </c>
    </row>
    <row r="1347" spans="2:7">
      <c r="B1347" s="821" t="str">
        <f>+'2H'!AE15</f>
        <v>CR1008SRR</v>
      </c>
      <c r="D1347" s="1882"/>
      <c r="E1347" s="1628" t="s">
        <v>8339</v>
      </c>
      <c r="F1347" s="1882"/>
      <c r="G1347" s="1882" t="str">
        <f>IF('2H'!F15="","##BLANK",'2H'!F15)</f>
        <v>##BLANK</v>
      </c>
    </row>
    <row r="1348" spans="2:7">
      <c r="B1348" s="821" t="str">
        <f>+'2H'!AE16</f>
        <v>CR1009SRR</v>
      </c>
      <c r="D1348" s="1882"/>
      <c r="E1348" s="1628" t="s">
        <v>8339</v>
      </c>
      <c r="F1348" s="1882"/>
      <c r="G1348" s="1882" t="str">
        <f>IF('2H'!F16="","##BLANK",'2H'!F16)</f>
        <v>##BLANK</v>
      </c>
    </row>
    <row r="1349" spans="2:7">
      <c r="B1349" s="821" t="str">
        <f>+'2H'!AE17</f>
        <v>CR1010SRR</v>
      </c>
      <c r="D1349" s="1882"/>
      <c r="E1349" s="1628" t="s">
        <v>8339</v>
      </c>
      <c r="F1349" s="1882"/>
      <c r="G1349" s="1882" t="str">
        <f>IF('2H'!F17="","##BLANK",'2H'!F17)</f>
        <v>##BLANK</v>
      </c>
    </row>
    <row r="1350" spans="2:7">
      <c r="B1350" s="821" t="str">
        <f>+'2H'!AE18</f>
        <v>CR1011SRR</v>
      </c>
      <c r="D1350" s="1882"/>
      <c r="E1350" s="1628" t="s">
        <v>8339</v>
      </c>
      <c r="F1350" s="1882"/>
      <c r="G1350" s="1882" t="str">
        <f>IF('2H'!F18="","##BLANK",'2H'!F18)</f>
        <v>##BLANK</v>
      </c>
    </row>
    <row r="1351" spans="2:7">
      <c r="B1351" s="821" t="str">
        <f>+'2H'!AE19</f>
        <v>CR1012SRR</v>
      </c>
      <c r="D1351" s="1882"/>
      <c r="E1351" s="1628" t="s">
        <v>8339</v>
      </c>
      <c r="F1351" s="1882"/>
      <c r="G1351" s="1882" t="str">
        <f>IF('2H'!F19="","##BLANK",'2H'!F19)</f>
        <v>##BLANK</v>
      </c>
    </row>
    <row r="1352" spans="2:7">
      <c r="B1352" s="821" t="str">
        <f>+'2H'!AE20</f>
        <v>CR1013SRR</v>
      </c>
      <c r="D1352" s="1882"/>
      <c r="E1352" s="1628" t="s">
        <v>8339</v>
      </c>
      <c r="F1352" s="1882"/>
      <c r="G1352" s="1882" t="str">
        <f>IF('2H'!F20="","##BLANK",'2H'!F20)</f>
        <v>##BLANK</v>
      </c>
    </row>
    <row r="1353" spans="2:7">
      <c r="B1353" s="821" t="str">
        <f>+'2H'!AE21</f>
        <v>CR1014SRR</v>
      </c>
      <c r="D1353" s="1882"/>
      <c r="E1353" s="1628" t="s">
        <v>8339</v>
      </c>
      <c r="F1353" s="1882"/>
      <c r="G1353" s="1882" t="str">
        <f>IF('2H'!F21="","##BLANK",'2H'!F21)</f>
        <v>##BLANK</v>
      </c>
    </row>
    <row r="1354" spans="2:7">
      <c r="B1354" s="821" t="str">
        <f>+'2H'!AE22</f>
        <v>CR1015SRR</v>
      </c>
      <c r="D1354" s="1882"/>
      <c r="E1354" s="1628" t="s">
        <v>8339</v>
      </c>
      <c r="F1354" s="1882"/>
      <c r="G1354" s="1882" t="str">
        <f>IF('2H'!F22="","##BLANK",'2H'!F22)</f>
        <v>##BLANK</v>
      </c>
    </row>
    <row r="1355" spans="2:7">
      <c r="B1355" s="821" t="str">
        <f>+'2H'!AE23</f>
        <v>CR1016SRR</v>
      </c>
      <c r="D1355" s="1882"/>
      <c r="E1355" s="1628" t="s">
        <v>8339</v>
      </c>
      <c r="F1355" s="1882"/>
      <c r="G1355" s="1882" t="str">
        <f>IF('2H'!F23="","##BLANK",'2H'!F23)</f>
        <v>##BLANK</v>
      </c>
    </row>
    <row r="1356" spans="2:7">
      <c r="B1356" s="821" t="str">
        <f>+'2H'!AE24</f>
        <v>CR1017SRR</v>
      </c>
      <c r="D1356" s="1882"/>
      <c r="E1356" s="1628" t="s">
        <v>8339</v>
      </c>
      <c r="F1356" s="1882"/>
      <c r="G1356" s="1882" t="str">
        <f>IF('2H'!F24="","##BLANK",'2H'!F24)</f>
        <v>##BLANK</v>
      </c>
    </row>
    <row r="1357" spans="2:7">
      <c r="B1357" s="821" t="str">
        <f>+'2H'!AE25</f>
        <v>CR1018SRR</v>
      </c>
      <c r="D1357" s="1882"/>
      <c r="E1357" s="1628" t="s">
        <v>8339</v>
      </c>
      <c r="F1357" s="1882"/>
      <c r="G1357" s="1882" t="str">
        <f>IF('2H'!F25="","##BLANK",'2H'!F25)</f>
        <v>##BLANK</v>
      </c>
    </row>
    <row r="1358" spans="2:7">
      <c r="B1358" s="821" t="str">
        <f>+'2H'!AE26</f>
        <v>CR1019SRR</v>
      </c>
      <c r="D1358" s="1882"/>
      <c r="E1358" s="1628" t="s">
        <v>8339</v>
      </c>
      <c r="F1358" s="1882"/>
      <c r="G1358" s="1882" t="str">
        <f>IF('2H'!F26="","##BLANK",'2H'!F26)</f>
        <v>##BLANK</v>
      </c>
    </row>
    <row r="1359" spans="2:7">
      <c r="B1359" s="821" t="str">
        <f>+'2H'!AE27</f>
        <v>CR1020SRR</v>
      </c>
      <c r="D1359" s="1882"/>
      <c r="E1359" s="1628" t="s">
        <v>8339</v>
      </c>
      <c r="F1359" s="1882"/>
      <c r="G1359" s="1882" t="str">
        <f>IF('2H'!F27="","##BLANK",'2H'!F27)</f>
        <v>##BLANK</v>
      </c>
    </row>
    <row r="1360" spans="2:7">
      <c r="B1360" s="821" t="str">
        <f>+'2H'!AE28</f>
        <v>CR1021SRR</v>
      </c>
      <c r="D1360" s="1882"/>
      <c r="E1360" s="1628" t="s">
        <v>8339</v>
      </c>
      <c r="F1360" s="1882"/>
      <c r="G1360" s="1882" t="str">
        <f>IF('2H'!F28="","##BLANK",'2H'!F28)</f>
        <v>##BLANK</v>
      </c>
    </row>
    <row r="1361" spans="2:7">
      <c r="B1361" s="821" t="str">
        <f>+'2H'!AE29</f>
        <v>CR1022SRR</v>
      </c>
      <c r="D1361" s="1882"/>
      <c r="E1361" s="1628" t="s">
        <v>8339</v>
      </c>
      <c r="F1361" s="1882"/>
      <c r="G1361" s="1882" t="str">
        <f>IF('2H'!F29="","##BLANK",'2H'!F29)</f>
        <v>##BLANK</v>
      </c>
    </row>
    <row r="1362" spans="2:7">
      <c r="B1362" s="821" t="str">
        <f>+'2H'!AE30</f>
        <v>CR1023SRR</v>
      </c>
      <c r="D1362" s="1882"/>
      <c r="E1362" s="1628" t="s">
        <v>8339</v>
      </c>
      <c r="F1362" s="1882"/>
      <c r="G1362" s="1882" t="str">
        <f>IF('2H'!F30="","##BLANK",'2H'!F30)</f>
        <v>##BLANK</v>
      </c>
    </row>
    <row r="1363" spans="2:7">
      <c r="B1363" s="821" t="str">
        <f>+'2H'!AE31</f>
        <v>CR1025SRR</v>
      </c>
      <c r="D1363" s="1882"/>
      <c r="E1363" s="1628" t="s">
        <v>8339</v>
      </c>
      <c r="F1363" s="1882"/>
      <c r="G1363" s="1882">
        <f>IF('2H'!F31="","##BLANK",'2H'!F31)</f>
        <v>0</v>
      </c>
    </row>
    <row r="1364" spans="2:7">
      <c r="B1364" s="821" t="str">
        <f>+'2H'!AE33</f>
        <v>CR1030SRR</v>
      </c>
      <c r="D1364" s="1882"/>
      <c r="E1364" s="1628" t="s">
        <v>8339</v>
      </c>
      <c r="F1364" s="1882"/>
      <c r="G1364" s="1882">
        <f>IF('2H'!F33="","##BLANK",'2H'!F33)</f>
        <v>0</v>
      </c>
    </row>
    <row r="1365" spans="2:7">
      <c r="B1365" s="821" t="str">
        <f>+'2H'!AF6</f>
        <v>CR1001STR</v>
      </c>
      <c r="D1365" s="1882"/>
      <c r="E1365" s="1628" t="s">
        <v>8339</v>
      </c>
      <c r="F1365" s="1882"/>
      <c r="G1365" s="1882">
        <f>IF('2H'!G6="","##BLANK",'2H'!G6)</f>
        <v>0</v>
      </c>
    </row>
    <row r="1366" spans="2:7">
      <c r="B1366" s="821" t="str">
        <f>+'2H'!AF9</f>
        <v>CR1002STR</v>
      </c>
      <c r="D1366" s="1882"/>
      <c r="E1366" s="1628" t="s">
        <v>8339</v>
      </c>
      <c r="F1366" s="1882"/>
      <c r="G1366" s="1882">
        <f>IF('2H'!G9="","##BLANK",'2H'!G9)</f>
        <v>0</v>
      </c>
    </row>
    <row r="1367" spans="2:7">
      <c r="B1367" s="821" t="str">
        <f>+'2H'!AF10</f>
        <v>CR1003STR</v>
      </c>
      <c r="D1367" s="1882"/>
      <c r="E1367" s="1628" t="s">
        <v>8339</v>
      </c>
      <c r="F1367" s="1882"/>
      <c r="G1367" s="1882">
        <f>IF('2H'!G10="","##BLANK",'2H'!G10)</f>
        <v>0</v>
      </c>
    </row>
    <row r="1368" spans="2:7">
      <c r="B1368" s="821" t="str">
        <f>+'2H'!AF11</f>
        <v>CR1004STR</v>
      </c>
      <c r="D1368" s="1882"/>
      <c r="E1368" s="1628" t="s">
        <v>8339</v>
      </c>
      <c r="F1368" s="1882"/>
      <c r="G1368" s="1882">
        <f>IF('2H'!G11="","##BLANK",'2H'!G11)</f>
        <v>0</v>
      </c>
    </row>
    <row r="1369" spans="2:7">
      <c r="B1369" s="821" t="str">
        <f>+'2H'!AF12</f>
        <v>CR1005STR</v>
      </c>
      <c r="D1369" s="1882"/>
      <c r="E1369" s="1628" t="s">
        <v>8339</v>
      </c>
      <c r="F1369" s="1882"/>
      <c r="G1369" s="1882">
        <f>IF('2H'!G12="","##BLANK",'2H'!G12)</f>
        <v>0</v>
      </c>
    </row>
    <row r="1370" spans="2:7">
      <c r="B1370" s="821" t="str">
        <f>+'2H'!AF13</f>
        <v>CR1006STR</v>
      </c>
      <c r="D1370" s="1882"/>
      <c r="E1370" s="1628" t="s">
        <v>8339</v>
      </c>
      <c r="F1370" s="1882"/>
      <c r="G1370" s="1882">
        <f>IF('2H'!G13="","##BLANK",'2H'!G13)</f>
        <v>0</v>
      </c>
    </row>
    <row r="1371" spans="2:7">
      <c r="B1371" s="821" t="str">
        <f>+'2H'!AF14</f>
        <v>CR1007STR</v>
      </c>
      <c r="D1371" s="1882"/>
      <c r="E1371" s="1628" t="s">
        <v>8339</v>
      </c>
      <c r="F1371" s="1882"/>
      <c r="G1371" s="1882">
        <f>IF('2H'!G14="","##BLANK",'2H'!G14)</f>
        <v>0</v>
      </c>
    </row>
    <row r="1372" spans="2:7">
      <c r="B1372" s="821" t="str">
        <f>+'2H'!AF15</f>
        <v>CR1008STR</v>
      </c>
      <c r="D1372" s="1882"/>
      <c r="E1372" s="1628" t="s">
        <v>8339</v>
      </c>
      <c r="F1372" s="1882"/>
      <c r="G1372" s="1882">
        <f>IF('2H'!G15="","##BLANK",'2H'!G15)</f>
        <v>0</v>
      </c>
    </row>
    <row r="1373" spans="2:7">
      <c r="B1373" s="821" t="str">
        <f>+'2H'!AF16</f>
        <v>CR1009STR</v>
      </c>
      <c r="D1373" s="1882"/>
      <c r="E1373" s="1628" t="s">
        <v>8339</v>
      </c>
      <c r="F1373" s="1882"/>
      <c r="G1373" s="1882">
        <f>IF('2H'!G16="","##BLANK",'2H'!G16)</f>
        <v>0</v>
      </c>
    </row>
    <row r="1374" spans="2:7">
      <c r="B1374" s="821" t="str">
        <f>+'2H'!AF17</f>
        <v>CR1010STR</v>
      </c>
      <c r="D1374" s="1882"/>
      <c r="E1374" s="1628" t="s">
        <v>8339</v>
      </c>
      <c r="F1374" s="1882"/>
      <c r="G1374" s="1882">
        <f>IF('2H'!G17="","##BLANK",'2H'!G17)</f>
        <v>0</v>
      </c>
    </row>
    <row r="1375" spans="2:7">
      <c r="B1375" s="821" t="str">
        <f>+'2H'!AF18</f>
        <v>CR1011STR</v>
      </c>
      <c r="D1375" s="1882"/>
      <c r="E1375" s="1628" t="s">
        <v>8339</v>
      </c>
      <c r="F1375" s="1882"/>
      <c r="G1375" s="1882">
        <f>IF('2H'!G18="","##BLANK",'2H'!G18)</f>
        <v>0</v>
      </c>
    </row>
    <row r="1376" spans="2:7">
      <c r="B1376" s="821" t="str">
        <f>+'2H'!AF19</f>
        <v>CR1012STR</v>
      </c>
      <c r="D1376" s="1882"/>
      <c r="E1376" s="1628" t="s">
        <v>8339</v>
      </c>
      <c r="F1376" s="1882"/>
      <c r="G1376" s="1882">
        <f>IF('2H'!G19="","##BLANK",'2H'!G19)</f>
        <v>0</v>
      </c>
    </row>
    <row r="1377" spans="2:7">
      <c r="B1377" s="821" t="str">
        <f>+'2H'!AF20</f>
        <v>CR1013STR</v>
      </c>
      <c r="D1377" s="1882"/>
      <c r="E1377" s="1628" t="s">
        <v>8339</v>
      </c>
      <c r="F1377" s="1882"/>
      <c r="G1377" s="1882">
        <f>IF('2H'!G20="","##BLANK",'2H'!G20)</f>
        <v>0</v>
      </c>
    </row>
    <row r="1378" spans="2:7">
      <c r="B1378" s="821" t="str">
        <f>+'2H'!AF21</f>
        <v>CR1014STR</v>
      </c>
      <c r="D1378" s="1882"/>
      <c r="E1378" s="1628" t="s">
        <v>8339</v>
      </c>
      <c r="F1378" s="1882"/>
      <c r="G1378" s="1882">
        <f>IF('2H'!G21="","##BLANK",'2H'!G21)</f>
        <v>0</v>
      </c>
    </row>
    <row r="1379" spans="2:7">
      <c r="B1379" s="821" t="str">
        <f>+'2H'!AF22</f>
        <v>CR1015STR</v>
      </c>
      <c r="D1379" s="1882"/>
      <c r="E1379" s="1628" t="s">
        <v>8339</v>
      </c>
      <c r="F1379" s="1882"/>
      <c r="G1379" s="1882">
        <f>IF('2H'!G22="","##BLANK",'2H'!G22)</f>
        <v>0</v>
      </c>
    </row>
    <row r="1380" spans="2:7">
      <c r="B1380" s="821" t="str">
        <f>+'2H'!AF23</f>
        <v>CR1016STR</v>
      </c>
      <c r="D1380" s="1882"/>
      <c r="E1380" s="1628" t="s">
        <v>8339</v>
      </c>
      <c r="F1380" s="1882"/>
      <c r="G1380" s="1882">
        <f>IF('2H'!G23="","##BLANK",'2H'!G23)</f>
        <v>0</v>
      </c>
    </row>
    <row r="1381" spans="2:7">
      <c r="B1381" s="821" t="str">
        <f>+'2H'!AF24</f>
        <v>CR1017STR</v>
      </c>
      <c r="D1381" s="1882"/>
      <c r="E1381" s="1628" t="s">
        <v>8339</v>
      </c>
      <c r="F1381" s="1882"/>
      <c r="G1381" s="1882">
        <f>IF('2H'!G24="","##BLANK",'2H'!G24)</f>
        <v>0</v>
      </c>
    </row>
    <row r="1382" spans="2:7">
      <c r="B1382" s="821" t="str">
        <f>+'2H'!AF25</f>
        <v>CR1018STR</v>
      </c>
      <c r="D1382" s="1882"/>
      <c r="E1382" s="1628" t="s">
        <v>8339</v>
      </c>
      <c r="F1382" s="1882"/>
      <c r="G1382" s="1882">
        <f>IF('2H'!G25="","##BLANK",'2H'!G25)</f>
        <v>0</v>
      </c>
    </row>
    <row r="1383" spans="2:7">
      <c r="B1383" s="821" t="str">
        <f>+'2H'!AF26</f>
        <v>CR1019STR</v>
      </c>
      <c r="D1383" s="1882"/>
      <c r="E1383" s="1628" t="s">
        <v>8339</v>
      </c>
      <c r="F1383" s="1882"/>
      <c r="G1383" s="1882">
        <f>IF('2H'!G26="","##BLANK",'2H'!G26)</f>
        <v>0</v>
      </c>
    </row>
    <row r="1384" spans="2:7">
      <c r="B1384" s="821" t="str">
        <f>+'2H'!AF27</f>
        <v>CR1020STR</v>
      </c>
      <c r="D1384" s="1882"/>
      <c r="E1384" s="1628" t="s">
        <v>8339</v>
      </c>
      <c r="F1384" s="1882"/>
      <c r="G1384" s="1882">
        <f>IF('2H'!G27="","##BLANK",'2H'!G27)</f>
        <v>0</v>
      </c>
    </row>
    <row r="1385" spans="2:7">
      <c r="B1385" s="821" t="str">
        <f>+'2H'!AF28</f>
        <v>CR1021STR</v>
      </c>
      <c r="D1385" s="1882"/>
      <c r="E1385" s="1628" t="s">
        <v>8339</v>
      </c>
      <c r="F1385" s="1882"/>
      <c r="G1385" s="1882">
        <f>IF('2H'!G28="","##BLANK",'2H'!G28)</f>
        <v>0</v>
      </c>
    </row>
    <row r="1386" spans="2:7">
      <c r="B1386" s="821" t="str">
        <f>+'2H'!AF29</f>
        <v>CR1022STR</v>
      </c>
      <c r="D1386" s="1882"/>
      <c r="E1386" s="1628" t="s">
        <v>8339</v>
      </c>
      <c r="F1386" s="1882"/>
      <c r="G1386" s="1882">
        <f>IF('2H'!G29="","##BLANK",'2H'!G29)</f>
        <v>0</v>
      </c>
    </row>
    <row r="1387" spans="2:7">
      <c r="B1387" s="821" t="str">
        <f>+'2H'!AF30</f>
        <v>CR1023STR</v>
      </c>
      <c r="D1387" s="1882"/>
      <c r="E1387" s="1628" t="s">
        <v>8339</v>
      </c>
      <c r="F1387" s="1882"/>
      <c r="G1387" s="1882">
        <f>IF('2H'!G30="","##BLANK",'2H'!G30)</f>
        <v>0</v>
      </c>
    </row>
    <row r="1388" spans="2:7">
      <c r="B1388" s="821" t="str">
        <f>+'2H'!AF31</f>
        <v>CR1025STR</v>
      </c>
      <c r="D1388" s="1882"/>
      <c r="E1388" s="1628" t="s">
        <v>8339</v>
      </c>
      <c r="F1388" s="1882"/>
      <c r="G1388" s="1882">
        <f>IF('2H'!G31="","##BLANK",'2H'!G31)</f>
        <v>0</v>
      </c>
    </row>
    <row r="1389" spans="2:7">
      <c r="B1389" s="821" t="str">
        <f>+'2H'!AF33</f>
        <v>CR1030STR</v>
      </c>
      <c r="D1389" s="1882"/>
      <c r="E1389" s="1628" t="s">
        <v>8339</v>
      </c>
      <c r="F1389" s="1882"/>
      <c r="G1389" s="1882">
        <f>IF('2H'!G33="","##BLANK",'2H'!G33)</f>
        <v>0</v>
      </c>
    </row>
    <row r="1390" spans="2:7">
      <c r="B1390" s="821" t="str">
        <f>+'2H'!AG6</f>
        <v>CR1041SCO</v>
      </c>
      <c r="D1390" s="1882"/>
      <c r="E1390" s="1628" t="s">
        <v>8339</v>
      </c>
      <c r="F1390" s="1882"/>
      <c r="G1390" s="1882" t="str">
        <f>IF('2H'!H6="","##BLANK",'2H'!H6)</f>
        <v>##BLANK</v>
      </c>
    </row>
    <row r="1391" spans="2:7">
      <c r="B1391" s="821" t="str">
        <f>+'2H'!AG9</f>
        <v>CR1042SCO</v>
      </c>
      <c r="D1391" s="1882"/>
      <c r="E1391" s="1628" t="s">
        <v>8339</v>
      </c>
      <c r="F1391" s="1882"/>
      <c r="G1391" s="1882" t="str">
        <f>IF('2H'!H9="","##BLANK",'2H'!H9)</f>
        <v>##BLANK</v>
      </c>
    </row>
    <row r="1392" spans="2:7">
      <c r="B1392" s="821" t="str">
        <f>+'2H'!AG10</f>
        <v>CR1043SCO</v>
      </c>
      <c r="D1392" s="1882"/>
      <c r="E1392" s="1628" t="s">
        <v>8339</v>
      </c>
      <c r="F1392" s="1882"/>
      <c r="G1392" s="1882" t="str">
        <f>IF('2H'!H10="","##BLANK",'2H'!H10)</f>
        <v>##BLANK</v>
      </c>
    </row>
    <row r="1393" spans="2:7">
      <c r="B1393" s="821" t="str">
        <f>+'2H'!AG11</f>
        <v>CR1044SCO</v>
      </c>
      <c r="D1393" s="1882"/>
      <c r="E1393" s="1628" t="s">
        <v>8339</v>
      </c>
      <c r="F1393" s="1882"/>
      <c r="G1393" s="1882" t="str">
        <f>IF('2H'!H11="","##BLANK",'2H'!H11)</f>
        <v>##BLANK</v>
      </c>
    </row>
    <row r="1394" spans="2:7">
      <c r="B1394" s="821" t="str">
        <f>+'2H'!AG12</f>
        <v>CR1045SCO</v>
      </c>
      <c r="D1394" s="1882"/>
      <c r="E1394" s="1628" t="s">
        <v>8339</v>
      </c>
      <c r="F1394" s="1882"/>
      <c r="G1394" s="1882" t="str">
        <f>IF('2H'!H12="","##BLANK",'2H'!H12)</f>
        <v>##BLANK</v>
      </c>
    </row>
    <row r="1395" spans="2:7">
      <c r="B1395" s="821" t="str">
        <f>+'2H'!AG13</f>
        <v>CR1046SCO</v>
      </c>
      <c r="D1395" s="1882"/>
      <c r="E1395" s="1628" t="s">
        <v>8339</v>
      </c>
      <c r="F1395" s="1882"/>
      <c r="G1395" s="1882" t="str">
        <f>IF('2H'!H13="","##BLANK",'2H'!H13)</f>
        <v>##BLANK</v>
      </c>
    </row>
    <row r="1396" spans="2:7">
      <c r="B1396" s="821" t="str">
        <f>+'2H'!AG14</f>
        <v>CR1047SCO</v>
      </c>
      <c r="D1396" s="1882"/>
      <c r="E1396" s="1628" t="s">
        <v>8339</v>
      </c>
      <c r="F1396" s="1882"/>
      <c r="G1396" s="1882" t="str">
        <f>IF('2H'!H14="","##BLANK",'2H'!H14)</f>
        <v>##BLANK</v>
      </c>
    </row>
    <row r="1397" spans="2:7">
      <c r="B1397" s="821" t="str">
        <f>+'2H'!AG15</f>
        <v>CR1048SCO</v>
      </c>
      <c r="D1397" s="1882"/>
      <c r="E1397" s="1628" t="s">
        <v>8339</v>
      </c>
      <c r="F1397" s="1882"/>
      <c r="G1397" s="1882" t="str">
        <f>IF('2H'!H15="","##BLANK",'2H'!H15)</f>
        <v>##BLANK</v>
      </c>
    </row>
    <row r="1398" spans="2:7">
      <c r="B1398" s="821" t="str">
        <f>+'2H'!AG16</f>
        <v>CR1049SCO</v>
      </c>
      <c r="D1398" s="1882"/>
      <c r="E1398" s="1628" t="s">
        <v>8339</v>
      </c>
      <c r="F1398" s="1882"/>
      <c r="G1398" s="1882" t="str">
        <f>IF('2H'!H16="","##BLANK",'2H'!H16)</f>
        <v>##BLANK</v>
      </c>
    </row>
    <row r="1399" spans="2:7">
      <c r="B1399" s="821" t="str">
        <f>+'2H'!AG17</f>
        <v>CR1050SCO</v>
      </c>
      <c r="D1399" s="1882"/>
      <c r="E1399" s="1628" t="s">
        <v>8339</v>
      </c>
      <c r="F1399" s="1882"/>
      <c r="G1399" s="1882" t="str">
        <f>IF('2H'!H17="","##BLANK",'2H'!H17)</f>
        <v>##BLANK</v>
      </c>
    </row>
    <row r="1400" spans="2:7">
      <c r="B1400" s="821" t="str">
        <f>+'2H'!AG18</f>
        <v>CR1051SCO</v>
      </c>
      <c r="D1400" s="1882"/>
      <c r="E1400" s="1628" t="s">
        <v>8339</v>
      </c>
      <c r="F1400" s="1882"/>
      <c r="G1400" s="1882" t="str">
        <f>IF('2H'!H18="","##BLANK",'2H'!H18)</f>
        <v>##BLANK</v>
      </c>
    </row>
    <row r="1401" spans="2:7">
      <c r="B1401" s="821" t="str">
        <f>+'2H'!AG19</f>
        <v>CR1052SCO</v>
      </c>
      <c r="D1401" s="1882"/>
      <c r="E1401" s="1628" t="s">
        <v>8339</v>
      </c>
      <c r="F1401" s="1882"/>
      <c r="G1401" s="1882" t="str">
        <f>IF('2H'!H19="","##BLANK",'2H'!H19)</f>
        <v>##BLANK</v>
      </c>
    </row>
    <row r="1402" spans="2:7">
      <c r="B1402" s="821" t="str">
        <f>+'2H'!AG20</f>
        <v>CR1053SCO</v>
      </c>
      <c r="D1402" s="1882"/>
      <c r="E1402" s="1628" t="s">
        <v>8339</v>
      </c>
      <c r="F1402" s="1882"/>
      <c r="G1402" s="1882" t="str">
        <f>IF('2H'!H20="","##BLANK",'2H'!H20)</f>
        <v>##BLANK</v>
      </c>
    </row>
    <row r="1403" spans="2:7">
      <c r="B1403" s="821" t="str">
        <f>+'2H'!AG21</f>
        <v>CR1054SCO</v>
      </c>
      <c r="D1403" s="1882"/>
      <c r="E1403" s="1628" t="s">
        <v>8339</v>
      </c>
      <c r="F1403" s="1882"/>
      <c r="G1403" s="1882" t="str">
        <f>IF('2H'!H21="","##BLANK",'2H'!H21)</f>
        <v>##BLANK</v>
      </c>
    </row>
    <row r="1404" spans="2:7">
      <c r="B1404" s="821" t="str">
        <f>+'2H'!AG22</f>
        <v>CR1055SCO</v>
      </c>
      <c r="D1404" s="1882"/>
      <c r="E1404" s="1628" t="s">
        <v>8339</v>
      </c>
      <c r="F1404" s="1882"/>
      <c r="G1404" s="1882" t="str">
        <f>IF('2H'!H22="","##BLANK",'2H'!H22)</f>
        <v>##BLANK</v>
      </c>
    </row>
    <row r="1405" spans="2:7">
      <c r="B1405" s="821" t="str">
        <f>+'2H'!AG23</f>
        <v>CR1056SCO</v>
      </c>
      <c r="D1405" s="1882"/>
      <c r="E1405" s="1628" t="s">
        <v>8339</v>
      </c>
      <c r="F1405" s="1882"/>
      <c r="G1405" s="1882" t="str">
        <f>IF('2H'!H23="","##BLANK",'2H'!H23)</f>
        <v>##BLANK</v>
      </c>
    </row>
    <row r="1406" spans="2:7">
      <c r="B1406" s="821" t="str">
        <f>+'2H'!AG24</f>
        <v>CR1057SCO</v>
      </c>
      <c r="D1406" s="1882"/>
      <c r="E1406" s="1628" t="s">
        <v>8339</v>
      </c>
      <c r="F1406" s="1882"/>
      <c r="G1406" s="1882" t="str">
        <f>IF('2H'!H24="","##BLANK",'2H'!H24)</f>
        <v>##BLANK</v>
      </c>
    </row>
    <row r="1407" spans="2:7">
      <c r="B1407" s="821" t="str">
        <f>+'2H'!AG25</f>
        <v>CR1058SCO</v>
      </c>
      <c r="D1407" s="1882"/>
      <c r="E1407" s="1628" t="s">
        <v>8339</v>
      </c>
      <c r="F1407" s="1882"/>
      <c r="G1407" s="1882" t="str">
        <f>IF('2H'!H25="","##BLANK",'2H'!H25)</f>
        <v>##BLANK</v>
      </c>
    </row>
    <row r="1408" spans="2:7">
      <c r="B1408" s="821" t="str">
        <f>+'2H'!AG26</f>
        <v>CR1059SCO</v>
      </c>
      <c r="D1408" s="1882"/>
      <c r="E1408" s="1628" t="s">
        <v>8339</v>
      </c>
      <c r="F1408" s="1882"/>
      <c r="G1408" s="1882" t="str">
        <f>IF('2H'!H26="","##BLANK",'2H'!H26)</f>
        <v>##BLANK</v>
      </c>
    </row>
    <row r="1409" spans="2:7">
      <c r="B1409" s="821" t="str">
        <f>+'2H'!AG27</f>
        <v>CR1060SCO</v>
      </c>
      <c r="D1409" s="1882"/>
      <c r="E1409" s="1628" t="s">
        <v>8339</v>
      </c>
      <c r="F1409" s="1882"/>
      <c r="G1409" s="1882" t="str">
        <f>IF('2H'!H27="","##BLANK",'2H'!H27)</f>
        <v>##BLANK</v>
      </c>
    </row>
    <row r="1410" spans="2:7">
      <c r="B1410" s="821" t="str">
        <f>+'2H'!AG28</f>
        <v>CR1061SCO</v>
      </c>
      <c r="D1410" s="1882"/>
      <c r="E1410" s="1628" t="s">
        <v>8339</v>
      </c>
      <c r="F1410" s="1882"/>
      <c r="G1410" s="1882" t="str">
        <f>IF('2H'!H28="","##BLANK",'2H'!H28)</f>
        <v>##BLANK</v>
      </c>
    </row>
    <row r="1411" spans="2:7">
      <c r="B1411" s="821" t="str">
        <f>+'2H'!AG29</f>
        <v>CR1062SCO</v>
      </c>
      <c r="D1411" s="1882"/>
      <c r="E1411" s="1628" t="s">
        <v>8339</v>
      </c>
      <c r="F1411" s="1882"/>
      <c r="G1411" s="1882" t="str">
        <f>IF('2H'!H29="","##BLANK",'2H'!H29)</f>
        <v>##BLANK</v>
      </c>
    </row>
    <row r="1412" spans="2:7">
      <c r="B1412" s="821" t="str">
        <f>+'2H'!AG30</f>
        <v>CR1063SCO</v>
      </c>
      <c r="D1412" s="1882"/>
      <c r="E1412" s="1628" t="s">
        <v>8339</v>
      </c>
      <c r="F1412" s="1882"/>
      <c r="G1412" s="1882" t="str">
        <f>IF('2H'!H30="","##BLANK",'2H'!H30)</f>
        <v>##BLANK</v>
      </c>
    </row>
    <row r="1413" spans="2:7">
      <c r="B1413" s="821" t="str">
        <f>+'2H'!AG31</f>
        <v>CR1065SCO</v>
      </c>
      <c r="D1413" s="1882"/>
      <c r="E1413" s="1628" t="s">
        <v>8339</v>
      </c>
      <c r="F1413" s="1882"/>
      <c r="G1413" s="1882">
        <f>IF('2H'!H31="","##BLANK",'2H'!H31)</f>
        <v>0</v>
      </c>
    </row>
    <row r="1414" spans="2:7">
      <c r="B1414" s="821" t="str">
        <f>+'2H'!AG33</f>
        <v>CR1066SCO</v>
      </c>
      <c r="D1414" s="1882"/>
      <c r="E1414" s="1628" t="s">
        <v>8339</v>
      </c>
      <c r="F1414" s="1882"/>
      <c r="G1414" s="1882">
        <f>IF('2H'!H33="","##BLANK",'2H'!H33)</f>
        <v>0</v>
      </c>
    </row>
    <row r="1415" spans="2:7">
      <c r="B1415" s="821" t="str">
        <f>+'2H'!AG37</f>
        <v>CR1030SCU</v>
      </c>
      <c r="D1415" s="1882"/>
      <c r="E1415" s="1628" t="s">
        <v>8339</v>
      </c>
      <c r="F1415" s="1882"/>
      <c r="G1415" s="1882" t="str">
        <f>IF('2H'!H37="","##BLANK",'2H'!H37)</f>
        <v>##BLANK</v>
      </c>
    </row>
    <row r="1416" spans="2:7">
      <c r="B1416" s="821" t="str">
        <f>+'2H'!AH6</f>
        <v>CR1041SRPC</v>
      </c>
      <c r="D1416" s="1882"/>
      <c r="E1416" s="1628" t="s">
        <v>8339</v>
      </c>
      <c r="F1416" s="1882"/>
      <c r="G1416" s="1882">
        <f>IF('2H'!I6="","##BLANK",'2H'!I6)</f>
        <v>0</v>
      </c>
    </row>
    <row r="1417" spans="2:7">
      <c r="B1417" s="821" t="str">
        <f>+'2H'!AH9</f>
        <v>CR1042SRPC</v>
      </c>
      <c r="D1417" s="1882"/>
      <c r="E1417" s="1628" t="s">
        <v>8339</v>
      </c>
      <c r="F1417" s="1882"/>
      <c r="G1417" s="1882">
        <f>IF('2H'!I9="","##BLANK",'2H'!I9)</f>
        <v>0</v>
      </c>
    </row>
    <row r="1418" spans="2:7">
      <c r="B1418" s="821" t="str">
        <f>+'2H'!AH10</f>
        <v>CR1043SRPC</v>
      </c>
      <c r="D1418" s="1882"/>
      <c r="E1418" s="1628" t="s">
        <v>8339</v>
      </c>
      <c r="F1418" s="1882"/>
      <c r="G1418" s="1882">
        <f>IF('2H'!I10="","##BLANK",'2H'!I10)</f>
        <v>0</v>
      </c>
    </row>
    <row r="1419" spans="2:7">
      <c r="B1419" s="821" t="str">
        <f>+'2H'!AH11</f>
        <v>CR1044SRPC</v>
      </c>
      <c r="D1419" s="1882"/>
      <c r="E1419" s="1628" t="s">
        <v>8339</v>
      </c>
      <c r="F1419" s="1882"/>
      <c r="G1419" s="1882">
        <f>IF('2H'!I11="","##BLANK",'2H'!I11)</f>
        <v>0</v>
      </c>
    </row>
    <row r="1420" spans="2:7">
      <c r="B1420" s="821" t="str">
        <f>+'2H'!AH12</f>
        <v>CR1045SRPC</v>
      </c>
      <c r="D1420" s="1882"/>
      <c r="E1420" s="1628" t="s">
        <v>8339</v>
      </c>
      <c r="F1420" s="1882"/>
      <c r="G1420" s="1882">
        <f>IF('2H'!I12="","##BLANK",'2H'!I12)</f>
        <v>0</v>
      </c>
    </row>
    <row r="1421" spans="2:7">
      <c r="B1421" s="821" t="str">
        <f>+'2H'!AH13</f>
        <v>CR1046SRPC</v>
      </c>
      <c r="D1421" s="1882"/>
      <c r="E1421" s="1628" t="s">
        <v>8339</v>
      </c>
      <c r="F1421" s="1882"/>
      <c r="G1421" s="1882">
        <f>IF('2H'!I13="","##BLANK",'2H'!I13)</f>
        <v>0</v>
      </c>
    </row>
    <row r="1422" spans="2:7">
      <c r="B1422" s="821" t="str">
        <f>+'2H'!AH14</f>
        <v>CR1047SRPC</v>
      </c>
      <c r="D1422" s="1882"/>
      <c r="E1422" s="1628" t="s">
        <v>8339</v>
      </c>
      <c r="F1422" s="1882"/>
      <c r="G1422" s="1882">
        <f>IF('2H'!I14="","##BLANK",'2H'!I14)</f>
        <v>0</v>
      </c>
    </row>
    <row r="1423" spans="2:7">
      <c r="B1423" s="821" t="str">
        <f>+'2H'!AH15</f>
        <v>CR1048SRPC</v>
      </c>
      <c r="D1423" s="1882"/>
      <c r="E1423" s="1628" t="s">
        <v>8339</v>
      </c>
      <c r="F1423" s="1882"/>
      <c r="G1423" s="1882">
        <f>IF('2H'!I15="","##BLANK",'2H'!I15)</f>
        <v>0</v>
      </c>
    </row>
    <row r="1424" spans="2:7">
      <c r="B1424" s="821" t="str">
        <f>+'2H'!AH16</f>
        <v>CR1049SRPC</v>
      </c>
      <c r="D1424" s="1882"/>
      <c r="E1424" s="1628" t="s">
        <v>8339</v>
      </c>
      <c r="F1424" s="1882"/>
      <c r="G1424" s="1882">
        <f>IF('2H'!I16="","##BLANK",'2H'!I16)</f>
        <v>0</v>
      </c>
    </row>
    <row r="1425" spans="2:7">
      <c r="B1425" s="821" t="str">
        <f>+'2H'!AH17</f>
        <v>CR1050SRPC</v>
      </c>
      <c r="D1425" s="1882"/>
      <c r="E1425" s="1628" t="s">
        <v>8339</v>
      </c>
      <c r="F1425" s="1882"/>
      <c r="G1425" s="1882">
        <f>IF('2H'!I17="","##BLANK",'2H'!I17)</f>
        <v>0</v>
      </c>
    </row>
    <row r="1426" spans="2:7">
      <c r="B1426" s="821" t="str">
        <f>+'2H'!AH18</f>
        <v>CR1051SRPC</v>
      </c>
      <c r="D1426" s="1882"/>
      <c r="E1426" s="1628" t="s">
        <v>8339</v>
      </c>
      <c r="F1426" s="1882"/>
      <c r="G1426" s="1882">
        <f>IF('2H'!I18="","##BLANK",'2H'!I18)</f>
        <v>0</v>
      </c>
    </row>
    <row r="1427" spans="2:7">
      <c r="B1427" s="821" t="str">
        <f>+'2H'!AH19</f>
        <v>CR1052SRPC</v>
      </c>
      <c r="D1427" s="1882"/>
      <c r="E1427" s="1628" t="s">
        <v>8339</v>
      </c>
      <c r="F1427" s="1882"/>
      <c r="G1427" s="1882">
        <f>IF('2H'!I19="","##BLANK",'2H'!I19)</f>
        <v>0</v>
      </c>
    </row>
    <row r="1428" spans="2:7">
      <c r="B1428" s="821" t="str">
        <f>+'2H'!AH20</f>
        <v>CR1053SRPC</v>
      </c>
      <c r="D1428" s="1882"/>
      <c r="E1428" s="1628" t="s">
        <v>8339</v>
      </c>
      <c r="F1428" s="1882"/>
      <c r="G1428" s="1882">
        <f>IF('2H'!I20="","##BLANK",'2H'!I20)</f>
        <v>0</v>
      </c>
    </row>
    <row r="1429" spans="2:7">
      <c r="B1429" s="821" t="str">
        <f>+'2H'!AH21</f>
        <v>CR1054SRPC</v>
      </c>
      <c r="D1429" s="1882"/>
      <c r="E1429" s="1628" t="s">
        <v>8339</v>
      </c>
      <c r="F1429" s="1882"/>
      <c r="G1429" s="1882">
        <f>IF('2H'!I21="","##BLANK",'2H'!I21)</f>
        <v>0</v>
      </c>
    </row>
    <row r="1430" spans="2:7">
      <c r="B1430" s="821" t="str">
        <f>+'2H'!AH22</f>
        <v>CR1055SRPC</v>
      </c>
      <c r="D1430" s="1882"/>
      <c r="E1430" s="1628" t="s">
        <v>8339</v>
      </c>
      <c r="F1430" s="1882"/>
      <c r="G1430" s="1882">
        <f>IF('2H'!I22="","##BLANK",'2H'!I22)</f>
        <v>0</v>
      </c>
    </row>
    <row r="1431" spans="2:7">
      <c r="B1431" s="821" t="str">
        <f>+'2H'!AH23</f>
        <v>CR1056SRPC</v>
      </c>
      <c r="D1431" s="1882"/>
      <c r="E1431" s="1628" t="s">
        <v>8339</v>
      </c>
      <c r="F1431" s="1882"/>
      <c r="G1431" s="1882">
        <f>IF('2H'!I23="","##BLANK",'2H'!I23)</f>
        <v>0</v>
      </c>
    </row>
    <row r="1432" spans="2:7">
      <c r="B1432" s="821" t="str">
        <f>+'2H'!AH24</f>
        <v>CR1057SRPC</v>
      </c>
      <c r="D1432" s="1882"/>
      <c r="E1432" s="1628" t="s">
        <v>8339</v>
      </c>
      <c r="F1432" s="1882"/>
      <c r="G1432" s="1882">
        <f>IF('2H'!I24="","##BLANK",'2H'!I24)</f>
        <v>0</v>
      </c>
    </row>
    <row r="1433" spans="2:7">
      <c r="B1433" s="821" t="str">
        <f>+'2H'!AH25</f>
        <v>CR1058SRPC</v>
      </c>
      <c r="D1433" s="1882"/>
      <c r="E1433" s="1628" t="s">
        <v>8339</v>
      </c>
      <c r="F1433" s="1882"/>
      <c r="G1433" s="1882">
        <f>IF('2H'!I25="","##BLANK",'2H'!I25)</f>
        <v>0</v>
      </c>
    </row>
    <row r="1434" spans="2:7">
      <c r="B1434" s="821" t="str">
        <f>+'2H'!AH26</f>
        <v>CR1059SRPC</v>
      </c>
      <c r="D1434" s="1882"/>
      <c r="E1434" s="1628" t="s">
        <v>8339</v>
      </c>
      <c r="F1434" s="1882"/>
      <c r="G1434" s="1882">
        <f>IF('2H'!I26="","##BLANK",'2H'!I26)</f>
        <v>0</v>
      </c>
    </row>
    <row r="1435" spans="2:7">
      <c r="B1435" s="821" t="str">
        <f>+'2H'!AH27</f>
        <v>CR1060SRPC</v>
      </c>
      <c r="D1435" s="1882"/>
      <c r="E1435" s="1628" t="s">
        <v>8339</v>
      </c>
      <c r="F1435" s="1882"/>
      <c r="G1435" s="1882">
        <f>IF('2H'!I27="","##BLANK",'2H'!I27)</f>
        <v>0</v>
      </c>
    </row>
    <row r="1436" spans="2:7">
      <c r="B1436" s="821" t="str">
        <f>+'2H'!AH28</f>
        <v>CR1061SRPC</v>
      </c>
      <c r="D1436" s="1882"/>
      <c r="E1436" s="1628" t="s">
        <v>8339</v>
      </c>
      <c r="F1436" s="1882"/>
      <c r="G1436" s="1882">
        <f>IF('2H'!I28="","##BLANK",'2H'!I28)</f>
        <v>0</v>
      </c>
    </row>
    <row r="1437" spans="2:7">
      <c r="B1437" s="821" t="str">
        <f>+'2H'!AH29</f>
        <v>CR1062SRPC</v>
      </c>
      <c r="D1437" s="1882"/>
      <c r="E1437" s="1628" t="s">
        <v>8339</v>
      </c>
      <c r="F1437" s="1882"/>
      <c r="G1437" s="1882">
        <f>IF('2H'!I29="","##BLANK",'2H'!I29)</f>
        <v>0</v>
      </c>
    </row>
    <row r="1438" spans="2:7">
      <c r="B1438" s="821" t="str">
        <f>+'2H'!AH30</f>
        <v>CR1063SRPC</v>
      </c>
      <c r="D1438" s="1882"/>
      <c r="E1438" s="1628" t="s">
        <v>8339</v>
      </c>
      <c r="F1438" s="1882"/>
      <c r="G1438" s="1882">
        <f>IF('2H'!I30="","##BLANK",'2H'!I30)</f>
        <v>0</v>
      </c>
    </row>
    <row r="1439" spans="2:7">
      <c r="B1439" s="821" t="str">
        <f>+'2H'!AH31</f>
        <v>CR1065SRPC</v>
      </c>
      <c r="D1439" s="1882"/>
      <c r="E1439" s="1628" t="s">
        <v>8339</v>
      </c>
      <c r="F1439" s="1882"/>
      <c r="G1439" s="1882">
        <f>IF('2H'!I31="","##BLANK",'2H'!I31)</f>
        <v>0</v>
      </c>
    </row>
    <row r="1440" spans="2:7">
      <c r="B1440" s="821" t="str">
        <f>+'2H'!AH33</f>
        <v>CR1066SRPC</v>
      </c>
      <c r="D1440" s="1882"/>
      <c r="E1440" s="1628" t="s">
        <v>8339</v>
      </c>
      <c r="F1440" s="1882"/>
      <c r="G1440" s="1882">
        <f>IF('2H'!I33="","##BLANK",'2H'!I33)</f>
        <v>0</v>
      </c>
    </row>
    <row r="1441" spans="2:7">
      <c r="B1441" s="1709" t="str">
        <f>+'2H'!AH37</f>
        <v>CR1030SRPC</v>
      </c>
      <c r="D1441" s="1882"/>
      <c r="E1441" s="1628" t="s">
        <v>8339</v>
      </c>
      <c r="F1441" s="1882"/>
      <c r="G1441" s="1882">
        <f>IF('2H'!I37="","##BLANK",'2H'!I37)</f>
        <v>0</v>
      </c>
    </row>
    <row r="1442" spans="2:7">
      <c r="B1442" s="821" t="str">
        <f>+'2I'!BI6</f>
        <v>CR581</v>
      </c>
      <c r="D1442" s="1882"/>
      <c r="E1442" s="1628" t="s">
        <v>8339</v>
      </c>
      <c r="F1442" s="1882"/>
      <c r="G1442" s="1882">
        <f>IF('2I'!G6="","##BLANK",'2I'!G6)</f>
        <v>40.798000000000002</v>
      </c>
    </row>
    <row r="1443" spans="2:7">
      <c r="B1443" s="821" t="str">
        <f>+'2I'!BI7</f>
        <v>CR582</v>
      </c>
      <c r="D1443" s="1882"/>
      <c r="E1443" s="1628" t="s">
        <v>8339</v>
      </c>
      <c r="F1443" s="1882"/>
      <c r="G1443" s="1882">
        <f>IF('2I'!G7="","##BLANK",'2I'!G7)</f>
        <v>41.405000000000001</v>
      </c>
    </row>
    <row r="1444" spans="2:7">
      <c r="B1444" s="821" t="str">
        <f>+'2I'!BI8</f>
        <v>W9008HH</v>
      </c>
      <c r="D1444" s="1882"/>
      <c r="E1444" s="1628" t="s">
        <v>8339</v>
      </c>
      <c r="F1444" s="1882"/>
      <c r="G1444" s="1882">
        <f>IF('2I'!G8="","##BLANK",'2I'!G8)</f>
        <v>0</v>
      </c>
    </row>
    <row r="1445" spans="2:7">
      <c r="B1445" s="821" t="str">
        <f>+'2I'!BI9</f>
        <v>BR586</v>
      </c>
      <c r="D1445" s="1882"/>
      <c r="E1445" s="1628" t="s">
        <v>8339</v>
      </c>
      <c r="F1445" s="1882"/>
      <c r="G1445" s="1882">
        <f>IF('2I'!G9="","##BLANK",'2I'!G9)</f>
        <v>82.203000000000003</v>
      </c>
    </row>
    <row r="1446" spans="2:7">
      <c r="B1446" s="821" t="str">
        <f>+'2I'!BI12</f>
        <v>CR881</v>
      </c>
      <c r="D1446" s="1882"/>
      <c r="E1446" s="1628" t="s">
        <v>8339</v>
      </c>
      <c r="F1446" s="1882"/>
      <c r="G1446" s="1882" t="str">
        <f>IF('2I'!G12="","##BLANK",'2I'!G12)</f>
        <v>##BLANK</v>
      </c>
    </row>
    <row r="1447" spans="2:7">
      <c r="B1447" s="821" t="str">
        <f>+'2I'!BI13</f>
        <v>CR882</v>
      </c>
      <c r="D1447" s="1882"/>
      <c r="E1447" s="1628" t="s">
        <v>8339</v>
      </c>
      <c r="F1447" s="1882"/>
      <c r="G1447" s="1882" t="str">
        <f>IF('2I'!G13="","##BLANK",'2I'!G13)</f>
        <v>##BLANK</v>
      </c>
    </row>
    <row r="1448" spans="2:7">
      <c r="B1448" s="821" t="str">
        <f>+'2I'!BI14</f>
        <v>S9008HH</v>
      </c>
      <c r="D1448" s="1882"/>
      <c r="E1448" s="1628" t="s">
        <v>8339</v>
      </c>
      <c r="F1448" s="1882"/>
      <c r="G1448" s="1882" t="str">
        <f>IF('2I'!G14="","##BLANK",'2I'!G14)</f>
        <v>##BLANK</v>
      </c>
    </row>
    <row r="1449" spans="2:7">
      <c r="B1449" s="821" t="str">
        <f>+'2I'!BI15</f>
        <v>BR886</v>
      </c>
      <c r="D1449" s="1882"/>
      <c r="E1449" s="1628" t="s">
        <v>8339</v>
      </c>
      <c r="F1449" s="1882"/>
      <c r="G1449" s="1882">
        <f>IF('2I'!G15="","##BLANK",'2I'!G15)</f>
        <v>0</v>
      </c>
    </row>
    <row r="1450" spans="2:7">
      <c r="B1450" s="821" t="str">
        <f>+'2I'!BI18</f>
        <v>BR881TTT</v>
      </c>
      <c r="D1450" s="1882"/>
      <c r="E1450" s="1628" t="s">
        <v>8339</v>
      </c>
      <c r="F1450" s="1882"/>
      <c r="G1450" s="1882" t="str">
        <f>IF('2I'!G18="","##BLANK",'2I'!G18)</f>
        <v>##BLANK</v>
      </c>
    </row>
    <row r="1451" spans="2:7">
      <c r="B1451" s="821" t="str">
        <f>+'2I'!BI19</f>
        <v>BR882TTT</v>
      </c>
      <c r="D1451" s="1882"/>
      <c r="E1451" s="1628" t="s">
        <v>8339</v>
      </c>
      <c r="F1451" s="1882"/>
      <c r="G1451" s="1882" t="str">
        <f>IF('2I'!G19="","##BLANK",'2I'!G19)</f>
        <v>##BLANK</v>
      </c>
    </row>
    <row r="1452" spans="2:7">
      <c r="B1452" s="821" t="str">
        <f>+'2I'!BI20</f>
        <v>S9008HHTTT</v>
      </c>
      <c r="D1452" s="1882"/>
      <c r="E1452" s="1628" t="s">
        <v>8339</v>
      </c>
      <c r="F1452" s="1882"/>
      <c r="G1452" s="1882" t="str">
        <f>IF('2I'!G20="","##BLANK",'2I'!G20)</f>
        <v>##BLANK</v>
      </c>
    </row>
    <row r="1453" spans="2:7">
      <c r="B1453" s="821" t="str">
        <f>+'2I'!BI21</f>
        <v>BR886TTT</v>
      </c>
      <c r="D1453" s="1882"/>
      <c r="E1453" s="1628" t="s">
        <v>8339</v>
      </c>
      <c r="F1453" s="1882"/>
      <c r="G1453" s="1882">
        <f>IF('2I'!G21="","##BLANK",'2I'!G21)</f>
        <v>0</v>
      </c>
    </row>
    <row r="1454" spans="2:7">
      <c r="B1454" s="821" t="str">
        <f>+'2I'!BI23</f>
        <v>BR986</v>
      </c>
      <c r="D1454" s="1882"/>
      <c r="E1454" s="1628" t="s">
        <v>8339</v>
      </c>
      <c r="F1454" s="1882"/>
      <c r="G1454" s="1882">
        <f>IF('2I'!G23="","##BLANK",'2I'!G23)</f>
        <v>82.203000000000003</v>
      </c>
    </row>
    <row r="1455" spans="2:7">
      <c r="B1455" s="821" t="str">
        <f>+'2I'!BI26</f>
        <v>A19002RRH</v>
      </c>
      <c r="D1455" s="1882"/>
      <c r="E1455" s="1628" t="s">
        <v>8339</v>
      </c>
      <c r="F1455" s="1882"/>
      <c r="G1455" s="1882">
        <f>IF('2I'!G26="","##BLANK",'2I'!G26)</f>
        <v>4.3609999999999998</v>
      </c>
    </row>
    <row r="1456" spans="2:7">
      <c r="B1456" s="821" t="str">
        <f>+'2I'!BI27</f>
        <v>A19003RRH</v>
      </c>
      <c r="D1456" s="1882"/>
      <c r="E1456" s="1628" t="s">
        <v>8339</v>
      </c>
      <c r="F1456" s="1882"/>
      <c r="G1456" s="1882">
        <f>IF('2I'!G27="","##BLANK",'2I'!G27)</f>
        <v>7.6189999999999998</v>
      </c>
    </row>
    <row r="1457" spans="2:8">
      <c r="B1457" s="821" t="str">
        <f>+'2I'!BI28</f>
        <v>A19039RRH</v>
      </c>
      <c r="D1457" s="1882"/>
      <c r="E1457" s="1628" t="s">
        <v>8339</v>
      </c>
      <c r="F1457" s="1882"/>
      <c r="G1457" s="1882">
        <f>IF('2I'!G28="","##BLANK",'2I'!G28)</f>
        <v>0</v>
      </c>
      <c r="H1457" s="1882"/>
    </row>
    <row r="1458" spans="2:8">
      <c r="B1458" s="821" t="str">
        <f>+'2I'!BI29</f>
        <v>A19004RRH</v>
      </c>
      <c r="D1458" s="1882"/>
      <c r="E1458" s="1628" t="s">
        <v>8339</v>
      </c>
      <c r="F1458" s="1882"/>
      <c r="G1458" s="1882">
        <f>IF('2I'!G29="","##BLANK",'2I'!G29)</f>
        <v>11.98</v>
      </c>
      <c r="H1458" s="1882"/>
    </row>
    <row r="1459" spans="2:8">
      <c r="B1459" s="821" t="str">
        <f>+'2I'!BI44</f>
        <v>BR589PC</v>
      </c>
      <c r="C1459" s="821"/>
      <c r="D1459" s="1882"/>
      <c r="E1459" s="1628" t="s">
        <v>8339</v>
      </c>
      <c r="F1459" s="1882"/>
      <c r="G1459" s="1882">
        <f>IF('2I'!G44="","##BLANK",'2I'!G44)</f>
        <v>107.994</v>
      </c>
      <c r="H1459" s="821"/>
    </row>
    <row r="1460" spans="2:8">
      <c r="B1460" s="821" t="str">
        <f>+'2I'!BI45</f>
        <v>BC11274</v>
      </c>
      <c r="C1460" s="821"/>
      <c r="D1460" s="1882"/>
      <c r="E1460" s="1628" t="s">
        <v>8339</v>
      </c>
      <c r="F1460" s="1882"/>
      <c r="G1460" s="1882">
        <f>IF('2I'!G45="","##BLANK",'2I'!G45)</f>
        <v>3.8250000000000002</v>
      </c>
      <c r="H1460" s="821"/>
    </row>
    <row r="1461" spans="2:8">
      <c r="B1461" s="821" t="str">
        <f>+'2I'!BI46</f>
        <v>W9014</v>
      </c>
      <c r="C1461" s="821"/>
      <c r="D1461" s="1882"/>
      <c r="E1461" s="1628" t="s">
        <v>8339</v>
      </c>
      <c r="F1461" s="1882"/>
      <c r="G1461" s="1882">
        <f>IF('2I'!G46="","##BLANK",'2I'!G46)</f>
        <v>111.819</v>
      </c>
      <c r="H1461" s="821"/>
    </row>
    <row r="1462" spans="2:8">
      <c r="B1462" s="821" t="str">
        <f>+'2I'!BI48</f>
        <v>CRW001</v>
      </c>
      <c r="C1462" s="821"/>
      <c r="D1462" s="1882"/>
      <c r="E1462" s="1628" t="s">
        <v>8339</v>
      </c>
      <c r="F1462" s="1882"/>
      <c r="G1462" s="1882">
        <f>IF('2I'!G48="","##BLANK",'2I'!G48)</f>
        <v>112.16200000000001</v>
      </c>
      <c r="H1462" s="821"/>
    </row>
    <row r="1463" spans="2:8">
      <c r="B1463" s="821" t="str">
        <f>+'2I'!BI49</f>
        <v>CRW008</v>
      </c>
      <c r="C1463" s="821"/>
      <c r="D1463" s="1882"/>
      <c r="E1463" s="1628" t="s">
        <v>8339</v>
      </c>
      <c r="F1463" s="1882"/>
      <c r="G1463" s="1882">
        <f>IF('2I'!G49="","##BLANK",'2I'!G49)</f>
        <v>0</v>
      </c>
      <c r="H1463" s="821"/>
    </row>
    <row r="1464" spans="2:8">
      <c r="B1464" s="821" t="str">
        <f>+'2I'!BI50</f>
        <v>CRW009</v>
      </c>
      <c r="D1464" s="1882"/>
      <c r="E1464" s="1628" t="s">
        <v>8339</v>
      </c>
      <c r="F1464" s="1882"/>
      <c r="G1464" s="1882">
        <f>IF('2I'!G50="","##BLANK",'2I'!G50)</f>
        <v>1.2</v>
      </c>
      <c r="H1464" s="821"/>
    </row>
    <row r="1465" spans="2:8">
      <c r="B1465" s="821" t="str">
        <f>+'2I'!BI51</f>
        <v>CRW010</v>
      </c>
      <c r="D1465" s="1882"/>
      <c r="E1465" s="1628" t="s">
        <v>8339</v>
      </c>
      <c r="F1465" s="1882"/>
      <c r="G1465" s="1882">
        <f>IF('2I'!G51="","##BLANK",'2I'!G51)</f>
        <v>113.36200000000001</v>
      </c>
      <c r="H1465" s="821"/>
    </row>
    <row r="1466" spans="2:8">
      <c r="B1466" s="821" t="str">
        <f>+'2I'!BI53</f>
        <v>CRW002</v>
      </c>
      <c r="D1466" s="1882"/>
      <c r="E1466" s="1628" t="s">
        <v>8339</v>
      </c>
      <c r="F1466" s="1882"/>
      <c r="G1466" s="1882">
        <f>IF('2I'!G53="","##BLANK",'2I'!G53)</f>
        <v>-1.5430000000000064</v>
      </c>
      <c r="H1466" s="821"/>
    </row>
    <row r="1467" spans="2:8">
      <c r="B1467" s="821" t="str">
        <f>+'2I'!BJ6</f>
        <v>CR583</v>
      </c>
      <c r="D1467" s="1882"/>
      <c r="E1467" s="1628" t="s">
        <v>8339</v>
      </c>
      <c r="F1467" s="1882"/>
      <c r="G1467" s="1882">
        <f>IF('2I'!H6="","##BLANK",'2I'!H6)</f>
        <v>0.314</v>
      </c>
      <c r="H1467" s="821"/>
    </row>
    <row r="1468" spans="2:8">
      <c r="B1468" s="821" t="str">
        <f>+'2I'!BJ7</f>
        <v>CR584</v>
      </c>
      <c r="D1468" s="1882"/>
      <c r="E1468" s="1628" t="s">
        <v>8339</v>
      </c>
      <c r="F1468" s="1882"/>
      <c r="G1468" s="1882">
        <f>IF('2I'!H7="","##BLANK",'2I'!H7)</f>
        <v>25.388999999999999</v>
      </c>
      <c r="H1468" s="821"/>
    </row>
    <row r="1469" spans="2:8">
      <c r="B1469" s="821" t="str">
        <f>+'2I'!BJ8</f>
        <v>W9008NHH</v>
      </c>
      <c r="D1469" s="1882"/>
      <c r="E1469" s="1628" t="s">
        <v>8339</v>
      </c>
      <c r="F1469" s="1882"/>
      <c r="G1469" s="1882">
        <f>IF('2I'!H8="","##BLANK",'2I'!H8)</f>
        <v>8.7999999999999995E-2</v>
      </c>
      <c r="H1469" s="821"/>
    </row>
    <row r="1470" spans="2:8">
      <c r="B1470" s="821" t="str">
        <f>+'2I'!BJ9</f>
        <v>BR588</v>
      </c>
      <c r="D1470" s="1882"/>
      <c r="E1470" s="1628" t="s">
        <v>8339</v>
      </c>
      <c r="F1470" s="1882"/>
      <c r="G1470" s="1882">
        <f>IF('2I'!H9="","##BLANK",'2I'!H9)</f>
        <v>25.791</v>
      </c>
      <c r="H1470" s="821"/>
    </row>
    <row r="1471" spans="2:8">
      <c r="B1471" s="821" t="str">
        <f>+'2I'!BJ12</f>
        <v>CR883</v>
      </c>
      <c r="D1471" s="1882"/>
      <c r="E1471" s="1628" t="s">
        <v>8339</v>
      </c>
      <c r="F1471" s="1882"/>
      <c r="G1471" s="1882" t="str">
        <f>IF('2I'!H12="","##BLANK",'2I'!H12)</f>
        <v>##BLANK</v>
      </c>
      <c r="H1471" s="821"/>
    </row>
    <row r="1472" spans="2:8">
      <c r="B1472" s="821" t="str">
        <f>+'2I'!BJ13</f>
        <v>CR884</v>
      </c>
      <c r="D1472" s="1882"/>
      <c r="E1472" s="1628" t="s">
        <v>8339</v>
      </c>
      <c r="F1472" s="1882"/>
      <c r="G1472" s="1882" t="str">
        <f>IF('2I'!H13="","##BLANK",'2I'!H13)</f>
        <v>##BLANK</v>
      </c>
      <c r="H1472" s="821"/>
    </row>
    <row r="1473" spans="2:8">
      <c r="B1473" s="821" t="str">
        <f>+'2I'!BJ14</f>
        <v>S9008NHH</v>
      </c>
      <c r="D1473" s="1882"/>
      <c r="E1473" s="1628" t="s">
        <v>8339</v>
      </c>
      <c r="F1473" s="1882"/>
      <c r="G1473" s="1882" t="str">
        <f>IF('2I'!H14="","##BLANK",'2I'!H14)</f>
        <v>##BLANK</v>
      </c>
      <c r="H1473" s="821"/>
    </row>
    <row r="1474" spans="2:8">
      <c r="B1474" s="821" t="str">
        <f>+'2I'!BJ15</f>
        <v>BR888</v>
      </c>
      <c r="D1474" s="1882"/>
      <c r="E1474" s="1628" t="s">
        <v>8339</v>
      </c>
      <c r="F1474" s="1882"/>
      <c r="G1474" s="1882">
        <f>IF('2I'!H15="","##BLANK",'2I'!H15)</f>
        <v>0</v>
      </c>
      <c r="H1474" s="821"/>
    </row>
    <row r="1475" spans="2:8">
      <c r="B1475" s="821" t="str">
        <f>+'2I'!BJ18</f>
        <v>BR883TTT</v>
      </c>
      <c r="D1475" s="1882"/>
      <c r="E1475" s="1628" t="s">
        <v>8339</v>
      </c>
      <c r="F1475" s="1882"/>
      <c r="G1475" s="1882" t="str">
        <f>IF('2I'!H18="","##BLANK",'2I'!H18)</f>
        <v>##BLANK</v>
      </c>
      <c r="H1475" s="821"/>
    </row>
    <row r="1476" spans="2:8">
      <c r="B1476" s="821" t="str">
        <f>+'2I'!BJ19</f>
        <v>BR884TTT</v>
      </c>
      <c r="D1476" s="1882"/>
      <c r="E1476" s="1628" t="s">
        <v>8339</v>
      </c>
      <c r="F1476" s="1882"/>
      <c r="G1476" s="1882" t="str">
        <f>IF('2I'!H19="","##BLANK",'2I'!H19)</f>
        <v>##BLANK</v>
      </c>
      <c r="H1476" s="821"/>
    </row>
    <row r="1477" spans="2:8">
      <c r="B1477" s="821" t="str">
        <f>+'2I'!BJ20</f>
        <v>S9008NHHTTT</v>
      </c>
      <c r="D1477" s="1882"/>
      <c r="E1477" s="1628" t="s">
        <v>8339</v>
      </c>
      <c r="F1477" s="1882"/>
      <c r="G1477" s="1882" t="str">
        <f>IF('2I'!H20="","##BLANK",'2I'!H20)</f>
        <v>##BLANK</v>
      </c>
      <c r="H1477" s="821"/>
    </row>
    <row r="1478" spans="2:8">
      <c r="B1478" s="821" t="str">
        <f>+'2I'!BJ21</f>
        <v>BR888TTT</v>
      </c>
      <c r="D1478" s="1882"/>
      <c r="E1478" s="1628" t="s">
        <v>8339</v>
      </c>
      <c r="F1478" s="1882"/>
      <c r="G1478" s="1882">
        <f>IF('2I'!H21="","##BLANK",'2I'!H21)</f>
        <v>0</v>
      </c>
      <c r="H1478" s="1882"/>
    </row>
    <row r="1479" spans="2:8">
      <c r="B1479" s="821" t="str">
        <f>+'2I'!BJ23</f>
        <v>BR988</v>
      </c>
      <c r="D1479" s="1882"/>
      <c r="E1479" s="1628" t="s">
        <v>8339</v>
      </c>
      <c r="F1479" s="1882"/>
      <c r="G1479" s="1882">
        <f>IF('2I'!H23="","##BLANK",'2I'!H23)</f>
        <v>25.791</v>
      </c>
      <c r="H1479" s="1882"/>
    </row>
    <row r="1480" spans="2:8">
      <c r="B1480" s="821" t="str">
        <f>+'2I'!BJ26</f>
        <v>A19002RRNH</v>
      </c>
      <c r="D1480" s="1882"/>
      <c r="E1480" s="1628" t="s">
        <v>8339</v>
      </c>
      <c r="F1480" s="1882"/>
      <c r="G1480" s="1882">
        <f>IF('2I'!H26="","##BLANK",'2I'!H26)</f>
        <v>0</v>
      </c>
      <c r="H1480" s="1882"/>
    </row>
    <row r="1481" spans="2:8">
      <c r="B1481" s="821" t="str">
        <f>+'2I'!BJ27</f>
        <v>A19003RRNH</v>
      </c>
      <c r="D1481" s="1882"/>
      <c r="E1481" s="1628" t="s">
        <v>8339</v>
      </c>
      <c r="F1481" s="1882"/>
      <c r="G1481" s="1882">
        <f>IF('2I'!H27="","##BLANK",'2I'!H27)</f>
        <v>0</v>
      </c>
      <c r="H1481" s="821"/>
    </row>
    <row r="1482" spans="2:8">
      <c r="B1482" s="821" t="str">
        <f>+'2I'!BJ28</f>
        <v>A19039RRNH</v>
      </c>
      <c r="D1482" s="1882"/>
      <c r="E1482" s="1628" t="s">
        <v>8339</v>
      </c>
      <c r="F1482" s="1882"/>
      <c r="G1482" s="1882">
        <f>IF('2I'!H28="","##BLANK",'2I'!H28)</f>
        <v>0</v>
      </c>
      <c r="H1482" s="1882"/>
    </row>
    <row r="1483" spans="2:8">
      <c r="B1483" s="821" t="str">
        <f>+'2I'!BJ29</f>
        <v>A19004RRNH</v>
      </c>
      <c r="D1483" s="1882"/>
      <c r="E1483" s="1628" t="s">
        <v>8339</v>
      </c>
      <c r="F1483" s="1882"/>
      <c r="G1483" s="1882">
        <f>IF('2I'!H29="","##BLANK",'2I'!H29)</f>
        <v>0</v>
      </c>
      <c r="H1483" s="1882"/>
    </row>
    <row r="1484" spans="2:8">
      <c r="B1484" s="821" t="str">
        <f>+'2I'!BJ44</f>
        <v>BR689PC</v>
      </c>
      <c r="D1484" s="1882"/>
      <c r="E1484" s="1628" t="s">
        <v>8339</v>
      </c>
      <c r="F1484" s="1882"/>
      <c r="G1484" s="1882">
        <f>IF('2I'!H44="","##BLANK",'2I'!H44)</f>
        <v>0</v>
      </c>
      <c r="H1484" s="1882"/>
    </row>
    <row r="1485" spans="2:8">
      <c r="B1485" s="821" t="str">
        <f>+'2I'!BJ45</f>
        <v>BC11374</v>
      </c>
      <c r="D1485" s="1882"/>
      <c r="E1485" s="1628" t="s">
        <v>8339</v>
      </c>
      <c r="F1485" s="1882"/>
      <c r="G1485" s="1882" t="str">
        <f>IF('2I'!H45="","##BLANK",'2I'!H45)</f>
        <v>##BLANK</v>
      </c>
      <c r="H1485" s="1882"/>
    </row>
    <row r="1486" spans="2:8">
      <c r="B1486" s="821" t="str">
        <f>+'2I'!BJ46</f>
        <v>S9014</v>
      </c>
      <c r="D1486" s="1882"/>
      <c r="E1486" s="1628" t="s">
        <v>8339</v>
      </c>
      <c r="F1486" s="1882"/>
      <c r="G1486" s="1882">
        <f>IF('2I'!H46="","##BLANK",'2I'!H46)</f>
        <v>0</v>
      </c>
      <c r="H1486" s="1882"/>
    </row>
    <row r="1487" spans="2:8">
      <c r="B1487" s="821" t="str">
        <f>+'2I'!BJ48</f>
        <v>CRS001</v>
      </c>
      <c r="D1487" s="1882"/>
      <c r="E1487" s="1628" t="s">
        <v>8339</v>
      </c>
      <c r="F1487" s="1882"/>
      <c r="G1487" s="1882" t="str">
        <f>IF('2I'!H48="","##BLANK",'2I'!H48)</f>
        <v>##BLANK</v>
      </c>
      <c r="H1487" s="1882"/>
    </row>
    <row r="1488" spans="2:8">
      <c r="B1488" s="821" t="str">
        <f>+'2I'!BJ49</f>
        <v>CRS008</v>
      </c>
      <c r="D1488" s="1882"/>
      <c r="E1488" s="1628" t="s">
        <v>8339</v>
      </c>
      <c r="F1488" s="1882"/>
      <c r="G1488" s="1882" t="str">
        <f>IF('2I'!H49="","##BLANK",'2I'!H49)</f>
        <v>##BLANK</v>
      </c>
      <c r="H1488" s="821"/>
    </row>
    <row r="1489" spans="2:8">
      <c r="B1489" s="821" t="str">
        <f>+'2I'!BJ50</f>
        <v>CRS009</v>
      </c>
      <c r="D1489" s="1882"/>
      <c r="E1489" s="1628" t="s">
        <v>8339</v>
      </c>
      <c r="F1489" s="1882"/>
      <c r="G1489" s="1882" t="str">
        <f>IF('2I'!H50="","##BLANK",'2I'!H50)</f>
        <v>##BLANK</v>
      </c>
      <c r="H1489" s="821"/>
    </row>
    <row r="1490" spans="2:8">
      <c r="B1490" s="821" t="str">
        <f>+'2I'!BJ51</f>
        <v>CRS010</v>
      </c>
      <c r="D1490" s="1882"/>
      <c r="E1490" s="1628" t="s">
        <v>8339</v>
      </c>
      <c r="F1490" s="1882"/>
      <c r="G1490" s="1882">
        <f>IF('2I'!H51="","##BLANK",'2I'!H51)</f>
        <v>0</v>
      </c>
      <c r="H1490" s="1882"/>
    </row>
    <row r="1491" spans="2:8">
      <c r="B1491" s="821" t="str">
        <f>+'2I'!BJ53</f>
        <v>CRS002</v>
      </c>
      <c r="D1491" s="1882"/>
      <c r="E1491" s="1628" t="s">
        <v>8339</v>
      </c>
      <c r="F1491" s="1882"/>
      <c r="G1491" s="1882">
        <f>IF('2I'!H53="","##BLANK",'2I'!H53)</f>
        <v>0</v>
      </c>
      <c r="H1491" s="1882"/>
    </row>
    <row r="1492" spans="2:8">
      <c r="B1492" s="821" t="str">
        <f>+'2I'!BK6</f>
        <v>CR585</v>
      </c>
      <c r="D1492" s="1882"/>
      <c r="E1492" s="1628" t="s">
        <v>8339</v>
      </c>
      <c r="F1492" s="1882"/>
      <c r="G1492" s="1882">
        <f>IF('2I'!I6="","##BLANK",'2I'!I6)</f>
        <v>41.112000000000002</v>
      </c>
      <c r="H1492" s="1882"/>
    </row>
    <row r="1493" spans="2:8">
      <c r="B1493" s="821" t="str">
        <f>+'2I'!BK7</f>
        <v>CR586</v>
      </c>
      <c r="D1493" s="1882"/>
      <c r="E1493" s="1628" t="s">
        <v>8339</v>
      </c>
      <c r="F1493" s="1882"/>
      <c r="G1493" s="1882">
        <f>IF('2I'!I7="","##BLANK",'2I'!I7)</f>
        <v>66.793999999999997</v>
      </c>
      <c r="H1493" s="1882"/>
    </row>
    <row r="1494" spans="2:8">
      <c r="B1494" s="821" t="str">
        <f>+'2I'!BK8</f>
        <v>W9008WW</v>
      </c>
      <c r="D1494" s="1882"/>
      <c r="E1494" s="1628" t="s">
        <v>8339</v>
      </c>
      <c r="F1494" s="1882"/>
      <c r="G1494" s="1882">
        <f>IF('2I'!I8="","##BLANK",'2I'!I8)</f>
        <v>8.7999999999999995E-2</v>
      </c>
      <c r="H1494" s="1882"/>
    </row>
    <row r="1495" spans="2:8">
      <c r="B1495" s="821" t="str">
        <f>+'2I'!BK9</f>
        <v>BR589</v>
      </c>
      <c r="D1495" s="1882"/>
      <c r="E1495" s="1628" t="s">
        <v>8339</v>
      </c>
      <c r="F1495" s="1882"/>
      <c r="G1495" s="1882">
        <f>IF('2I'!I9="","##BLANK",'2I'!I9)</f>
        <v>107.994</v>
      </c>
      <c r="H1495" s="1882"/>
    </row>
    <row r="1496" spans="2:8">
      <c r="B1496" s="821" t="str">
        <f>+'2I'!BK12</f>
        <v>CR885</v>
      </c>
      <c r="D1496" s="1882"/>
      <c r="E1496" s="1628" t="s">
        <v>8339</v>
      </c>
      <c r="F1496" s="1882"/>
      <c r="G1496" s="1882">
        <f>IF('2I'!I12="","##BLANK",'2I'!I12)</f>
        <v>0</v>
      </c>
      <c r="H1496" s="1882"/>
    </row>
    <row r="1497" spans="2:8">
      <c r="B1497" s="821" t="str">
        <f>+'2I'!BK13</f>
        <v>CR886</v>
      </c>
      <c r="D1497" s="1882"/>
      <c r="E1497" s="1628" t="s">
        <v>8339</v>
      </c>
      <c r="F1497" s="1882"/>
      <c r="G1497" s="1882">
        <f>IF('2I'!I13="","##BLANK",'2I'!I13)</f>
        <v>0</v>
      </c>
      <c r="H1497" s="1882"/>
    </row>
    <row r="1498" spans="2:8">
      <c r="B1498" s="821" t="str">
        <f>+'2I'!BK14</f>
        <v>S9008WS</v>
      </c>
      <c r="D1498" s="1882"/>
      <c r="E1498" s="1628" t="s">
        <v>8339</v>
      </c>
      <c r="F1498" s="1882"/>
      <c r="G1498" s="1882">
        <f>IF('2I'!I14="","##BLANK",'2I'!I14)</f>
        <v>0</v>
      </c>
      <c r="H1498" s="1882"/>
    </row>
    <row r="1499" spans="2:8">
      <c r="B1499" s="821" t="str">
        <f>+'2I'!BK15</f>
        <v>BR689</v>
      </c>
      <c r="D1499" s="1882"/>
      <c r="E1499" s="1628" t="s">
        <v>8339</v>
      </c>
      <c r="F1499" s="1882"/>
      <c r="G1499" s="1882">
        <f>IF('2I'!I15="","##BLANK",'2I'!I15)</f>
        <v>0</v>
      </c>
      <c r="H1499" s="1882"/>
    </row>
    <row r="1500" spans="2:8">
      <c r="B1500" s="821" t="str">
        <f>+'2I'!BK18</f>
        <v>BO1130TTT</v>
      </c>
      <c r="D1500" s="1882"/>
      <c r="E1500" s="1628" t="s">
        <v>8339</v>
      </c>
      <c r="F1500" s="1882"/>
      <c r="G1500" s="1882">
        <f>IF('2I'!I18="","##BLANK",'2I'!I18)</f>
        <v>0</v>
      </c>
      <c r="H1500" s="1882"/>
    </row>
    <row r="1501" spans="2:8">
      <c r="B1501" s="821" t="str">
        <f>+'2I'!BK19</f>
        <v>BO1120TTT</v>
      </c>
      <c r="D1501" s="1882"/>
      <c r="E1501" s="1628" t="s">
        <v>8339</v>
      </c>
      <c r="F1501" s="1882"/>
      <c r="G1501" s="1882">
        <f>IF('2I'!I19="","##BLANK",'2I'!I19)</f>
        <v>0</v>
      </c>
      <c r="H1501" s="1882"/>
    </row>
    <row r="1502" spans="2:8">
      <c r="B1502" s="821" t="str">
        <f>+'2I'!BK20</f>
        <v>S9008WSTTT</v>
      </c>
      <c r="D1502" s="1882"/>
      <c r="E1502" s="1628" t="s">
        <v>8339</v>
      </c>
      <c r="F1502" s="1882"/>
      <c r="G1502" s="1882">
        <f>IF('2I'!I20="","##BLANK",'2I'!I20)</f>
        <v>0</v>
      </c>
      <c r="H1502" s="1882"/>
    </row>
    <row r="1503" spans="2:8">
      <c r="B1503" s="821" t="str">
        <f>+'2I'!BK21</f>
        <v>BR689TTT</v>
      </c>
      <c r="D1503" s="1882"/>
      <c r="E1503" s="1628" t="s">
        <v>8339</v>
      </c>
      <c r="F1503" s="1882"/>
      <c r="G1503" s="1882">
        <f>IF('2I'!I21="","##BLANK",'2I'!I21)</f>
        <v>0</v>
      </c>
      <c r="H1503" s="1882"/>
    </row>
    <row r="1504" spans="2:8">
      <c r="B1504" s="821" t="str">
        <f>+'2I'!BK23</f>
        <v>BR989</v>
      </c>
      <c r="D1504" s="1882"/>
      <c r="E1504" s="1628" t="s">
        <v>8339</v>
      </c>
      <c r="F1504" s="1882"/>
      <c r="G1504" s="1882">
        <f>IF('2I'!I23="","##BLANK",'2I'!I23)</f>
        <v>107.994</v>
      </c>
      <c r="H1504" s="1882"/>
    </row>
    <row r="1505" spans="2:7">
      <c r="B1505" s="821" t="str">
        <f>+'2I'!BK26</f>
        <v>A19002RRA</v>
      </c>
      <c r="D1505" s="1882"/>
      <c r="E1505" s="1628" t="s">
        <v>8339</v>
      </c>
      <c r="F1505" s="1882"/>
      <c r="G1505" s="1882">
        <f>IF('2I'!I26="","##BLANK",'2I'!I26)</f>
        <v>4.3609999999999998</v>
      </c>
    </row>
    <row r="1506" spans="2:7">
      <c r="B1506" s="821" t="str">
        <f>+'2I'!BK27</f>
        <v>A19003RRA</v>
      </c>
      <c r="D1506" s="1882"/>
      <c r="E1506" s="1628" t="s">
        <v>8339</v>
      </c>
      <c r="F1506" s="1882"/>
      <c r="G1506" s="1882">
        <f>IF('2I'!I27="","##BLANK",'2I'!I27)</f>
        <v>7.6189999999999998</v>
      </c>
    </row>
    <row r="1507" spans="2:7">
      <c r="B1507" s="821" t="str">
        <f>+'2I'!BK28</f>
        <v>A19039RRA</v>
      </c>
      <c r="D1507" s="1882"/>
      <c r="E1507" s="1628" t="s">
        <v>8339</v>
      </c>
      <c r="F1507" s="1882"/>
      <c r="G1507" s="1882">
        <f>IF('2I'!I28="","##BLANK",'2I'!I28)</f>
        <v>0</v>
      </c>
    </row>
    <row r="1508" spans="2:7">
      <c r="B1508" s="821" t="str">
        <f>+'2I'!BK29</f>
        <v>A19004RRA</v>
      </c>
      <c r="D1508" s="1882"/>
      <c r="E1508" s="1628" t="s">
        <v>8339</v>
      </c>
      <c r="F1508" s="1882"/>
      <c r="G1508" s="1882">
        <f>IF('2I'!I29="","##BLANK",'2I'!I29)</f>
        <v>11.98</v>
      </c>
    </row>
    <row r="1509" spans="2:7">
      <c r="B1509" s="821" t="str">
        <f>+'2I'!BK32</f>
        <v>BM340NPCW</v>
      </c>
      <c r="D1509" s="1882"/>
      <c r="E1509" s="1628" t="s">
        <v>8339</v>
      </c>
      <c r="F1509" s="1882"/>
      <c r="G1509" s="1882">
        <f>IF('2I'!I32="","##BLANK",'2I'!I32)</f>
        <v>1.2589999999999999</v>
      </c>
    </row>
    <row r="1510" spans="2:7">
      <c r="B1510" s="821" t="str">
        <f>+'2I'!BK33</f>
        <v>BM340NPCWW</v>
      </c>
      <c r="D1510" s="1882"/>
      <c r="E1510" s="1628" t="s">
        <v>8339</v>
      </c>
      <c r="F1510" s="1882"/>
      <c r="G1510" s="1882" t="str">
        <f>IF('2I'!I33="","##BLANK",'2I'!I33)</f>
        <v>##BLANK</v>
      </c>
    </row>
    <row r="1511" spans="2:7">
      <c r="B1511" s="821" t="str">
        <f>+'2I'!BK34</f>
        <v>A19039NPC</v>
      </c>
      <c r="D1511" s="1882"/>
      <c r="E1511" s="1628" t="s">
        <v>8339</v>
      </c>
      <c r="F1511" s="1882"/>
      <c r="G1511" s="1882">
        <f>IF('2I'!I34="","##BLANK",'2I'!I34)</f>
        <v>1.0209999999999999</v>
      </c>
    </row>
    <row r="1512" spans="2:7">
      <c r="B1512" s="821" t="str">
        <f>+'2I'!BK37</f>
        <v>BR973NPC</v>
      </c>
      <c r="D1512" s="1882"/>
      <c r="E1512" s="1628" t="s">
        <v>8339</v>
      </c>
      <c r="F1512" s="1882"/>
      <c r="G1512" s="1882">
        <f>IF('2I'!I37="","##BLANK",'2I'!I37)</f>
        <v>0</v>
      </c>
    </row>
    <row r="1513" spans="2:7">
      <c r="B1513" s="821" t="str">
        <f>+'2I'!BK39</f>
        <v>BO1183</v>
      </c>
      <c r="D1513" s="1882"/>
      <c r="E1513" s="1628" t="s">
        <v>8339</v>
      </c>
      <c r="F1513" s="1882"/>
      <c r="G1513" s="1882">
        <f>IF('2I'!I39="","##BLANK",'2I'!I39)</f>
        <v>122.254</v>
      </c>
    </row>
    <row r="1514" spans="2:7">
      <c r="B1514" s="821" t="str">
        <f>+'2I'!BK44</f>
        <v>BR689TTTPC</v>
      </c>
      <c r="D1514" s="1882"/>
      <c r="E1514" s="1628" t="s">
        <v>8339</v>
      </c>
      <c r="F1514" s="1882"/>
      <c r="G1514" s="1882">
        <f>IF('2I'!I44="","##BLANK",'2I'!I44)</f>
        <v>0</v>
      </c>
    </row>
    <row r="1515" spans="2:7">
      <c r="B1515" s="821" t="str">
        <f>+'2I'!BK45</f>
        <v>BC11374TTT</v>
      </c>
      <c r="D1515" s="1882"/>
      <c r="E1515" s="1628" t="s">
        <v>8339</v>
      </c>
      <c r="F1515" s="1882"/>
      <c r="G1515" s="1882" t="str">
        <f>IF('2I'!I45="","##BLANK",'2I'!I45)</f>
        <v>##BLANK</v>
      </c>
    </row>
    <row r="1516" spans="2:7">
      <c r="B1516" s="821" t="str">
        <f>+'2I'!BK46</f>
        <v>S9014TTT</v>
      </c>
      <c r="D1516" s="1882"/>
      <c r="E1516" s="1628" t="s">
        <v>8339</v>
      </c>
      <c r="F1516" s="1882"/>
      <c r="G1516" s="1882">
        <f>IF('2I'!I46="","##BLANK",'2I'!I46)</f>
        <v>0</v>
      </c>
    </row>
    <row r="1517" spans="2:7">
      <c r="B1517" s="821" t="str">
        <f>+'2I'!BK48</f>
        <v>CRS001TTT</v>
      </c>
      <c r="D1517" s="1882"/>
      <c r="E1517" s="1628" t="s">
        <v>8339</v>
      </c>
      <c r="F1517" s="1882"/>
      <c r="G1517" s="1882" t="str">
        <f>IF('2I'!I48="","##BLANK",'2I'!I48)</f>
        <v>##BLANK</v>
      </c>
    </row>
    <row r="1518" spans="2:7">
      <c r="B1518" s="821" t="str">
        <f>+'2I'!BK49</f>
        <v>CRS008TTT</v>
      </c>
      <c r="D1518" s="1882"/>
      <c r="E1518" s="1628" t="s">
        <v>8339</v>
      </c>
      <c r="F1518" s="1882"/>
      <c r="G1518" s="1882" t="str">
        <f>IF('2I'!I49="","##BLANK",'2I'!I49)</f>
        <v>##BLANK</v>
      </c>
    </row>
    <row r="1519" spans="2:7">
      <c r="B1519" s="821" t="str">
        <f>+'2I'!BK50</f>
        <v>CRS009TTT</v>
      </c>
      <c r="D1519" s="1882"/>
      <c r="E1519" s="1628" t="s">
        <v>8339</v>
      </c>
      <c r="F1519" s="1882"/>
      <c r="G1519" s="1882" t="str">
        <f>IF('2I'!I50="","##BLANK",'2I'!I50)</f>
        <v>##BLANK</v>
      </c>
    </row>
    <row r="1520" spans="2:7">
      <c r="B1520" s="821" t="str">
        <f>+'2I'!BK51</f>
        <v>CRS010TTT</v>
      </c>
      <c r="D1520" s="1882"/>
      <c r="E1520" s="1628" t="s">
        <v>8339</v>
      </c>
      <c r="F1520" s="1882"/>
      <c r="G1520" s="1882">
        <f>IF('2I'!I51="","##BLANK",'2I'!I51)</f>
        <v>0</v>
      </c>
    </row>
    <row r="1521" spans="2:7">
      <c r="B1521" s="821" t="str">
        <f>+'2I'!BK53</f>
        <v>CRS002TTT</v>
      </c>
      <c r="D1521" s="1882"/>
      <c r="E1521" s="1628" t="s">
        <v>8339</v>
      </c>
      <c r="F1521" s="1882"/>
      <c r="G1521" s="1882">
        <f>IF('2I'!I53="","##BLANK",'2I'!I53)</f>
        <v>0</v>
      </c>
    </row>
    <row r="1522" spans="2:7">
      <c r="B1522" s="821" t="str">
        <f>+'2I'!BL44</f>
        <v>BR989PC</v>
      </c>
      <c r="D1522" s="1882"/>
      <c r="E1522" s="1628" t="s">
        <v>8339</v>
      </c>
      <c r="F1522" s="1882"/>
      <c r="G1522" s="1882">
        <f>IF('2I'!J44="","##BLANK",'2I'!J44)</f>
        <v>107.994</v>
      </c>
    </row>
    <row r="1523" spans="2:7">
      <c r="B1523" s="821" t="str">
        <f>+'2I'!BL45</f>
        <v>BC11474</v>
      </c>
      <c r="D1523" s="1882"/>
      <c r="E1523" s="1628" t="s">
        <v>8339</v>
      </c>
      <c r="F1523" s="1882"/>
      <c r="G1523" s="1882">
        <f>IF('2I'!J45="","##BLANK",'2I'!J45)</f>
        <v>3.8250000000000002</v>
      </c>
    </row>
    <row r="1524" spans="2:7">
      <c r="B1524" s="821" t="str">
        <f>+'2I'!BL46</f>
        <v>T9014</v>
      </c>
      <c r="D1524" s="1882"/>
      <c r="E1524" s="1628" t="s">
        <v>8339</v>
      </c>
      <c r="F1524" s="1882"/>
      <c r="G1524" s="1882">
        <f>IF('2I'!J46="","##BLANK",'2I'!J46)</f>
        <v>111.819</v>
      </c>
    </row>
    <row r="1525" spans="2:7">
      <c r="B1525" s="821" t="str">
        <f>+'2I'!BL48</f>
        <v>CRT001</v>
      </c>
      <c r="D1525" s="1882"/>
      <c r="E1525" s="1628" t="s">
        <v>8339</v>
      </c>
      <c r="F1525" s="1882"/>
      <c r="G1525" s="1882">
        <f>IF('2I'!J48="","##BLANK",'2I'!J48)</f>
        <v>112.16200000000001</v>
      </c>
    </row>
    <row r="1526" spans="2:7">
      <c r="B1526" s="821" t="str">
        <f>+'2I'!BL49</f>
        <v>CRT008</v>
      </c>
      <c r="D1526" s="1882"/>
      <c r="E1526" s="1628" t="s">
        <v>8339</v>
      </c>
      <c r="F1526" s="1882"/>
      <c r="G1526" s="1882">
        <f>IF('2I'!J49="","##BLANK",'2I'!J49)</f>
        <v>0</v>
      </c>
    </row>
    <row r="1527" spans="2:7">
      <c r="B1527" s="821" t="str">
        <f>+'2I'!BL50</f>
        <v>CRT009</v>
      </c>
      <c r="D1527" s="1882"/>
      <c r="E1527" s="1628" t="s">
        <v>8339</v>
      </c>
      <c r="F1527" s="1882"/>
      <c r="G1527" s="1882">
        <f>IF('2I'!J50="","##BLANK",'2I'!J50)</f>
        <v>1.2</v>
      </c>
    </row>
    <row r="1528" spans="2:7">
      <c r="B1528" s="821" t="str">
        <f>+'2I'!BL51</f>
        <v>CRT010</v>
      </c>
      <c r="D1528" s="1882"/>
      <c r="E1528" s="1628" t="s">
        <v>8339</v>
      </c>
      <c r="F1528" s="1882"/>
      <c r="G1528" s="1882">
        <f>IF('2I'!J51="","##BLANK",'2I'!J51)</f>
        <v>113.36200000000001</v>
      </c>
    </row>
    <row r="1529" spans="2:7">
      <c r="B1529" s="821" t="str">
        <f>+'2I'!BL53</f>
        <v>CRT002</v>
      </c>
      <c r="D1529" s="1882"/>
      <c r="E1529" s="1628" t="s">
        <v>8339</v>
      </c>
      <c r="F1529" s="1882"/>
      <c r="G1529" s="1882">
        <f>IF('2I'!J53="","##BLANK",'2I'!J53)</f>
        <v>-1.5430000000000064</v>
      </c>
    </row>
    <row r="1530" spans="2:7">
      <c r="B1530" s="821" t="str">
        <f>+'2J'!AF6</f>
        <v>BC30449DT</v>
      </c>
      <c r="D1530" s="1882"/>
      <c r="E1530" s="1628" t="s">
        <v>8339</v>
      </c>
      <c r="F1530" s="1882"/>
      <c r="G1530" s="1882">
        <f>IF('2J'!G6="","##BLANK",'2J'!G6)</f>
        <v>0.79700000000000004</v>
      </c>
    </row>
    <row r="1531" spans="2:7">
      <c r="B1531" s="821" t="str">
        <f>+'2J'!AF7</f>
        <v>BC30449PS</v>
      </c>
      <c r="D1531" s="1882"/>
      <c r="E1531" s="1628" t="s">
        <v>8339</v>
      </c>
      <c r="F1531" s="1882"/>
      <c r="G1531" s="1882">
        <f>IF('2J'!G7="","##BLANK",'2J'!G7)</f>
        <v>0.32900000000000001</v>
      </c>
    </row>
    <row r="1532" spans="2:7">
      <c r="B1532" s="821" t="str">
        <f>+'2J'!AF8</f>
        <v>BC30449O</v>
      </c>
      <c r="D1532" s="1882"/>
      <c r="E1532" s="1628" t="s">
        <v>8339</v>
      </c>
      <c r="F1532" s="1882"/>
      <c r="G1532" s="1882">
        <f>IF('2J'!G8="","##BLANK",'2J'!G8)</f>
        <v>0</v>
      </c>
    </row>
    <row r="1533" spans="2:7">
      <c r="B1533" s="821" t="str">
        <f>+'2J'!AF9</f>
        <v>BC30449TWDT</v>
      </c>
      <c r="D1533" s="1882"/>
      <c r="E1533" s="1628" t="s">
        <v>8339</v>
      </c>
      <c r="F1533" s="1882"/>
      <c r="G1533" s="1882">
        <f>IF('2J'!G9="","##BLANK",'2J'!G9)</f>
        <v>1.1260000000000001</v>
      </c>
    </row>
    <row r="1534" spans="2:7">
      <c r="B1534" s="821" t="str">
        <f>+'2J'!AF12</f>
        <v>BC30849FC</v>
      </c>
      <c r="D1534" s="1882"/>
      <c r="E1534" s="1628" t="s">
        <v>8339</v>
      </c>
      <c r="F1534" s="1882"/>
      <c r="G1534" s="1882" t="str">
        <f>IF('2J'!G12="","##BLANK",'2J'!G12)</f>
        <v>##BLANK</v>
      </c>
    </row>
    <row r="1535" spans="2:7">
      <c r="B1535" s="821" t="str">
        <f>+'2J'!AF13</f>
        <v>BC30849SW</v>
      </c>
      <c r="D1535" s="1882"/>
      <c r="E1535" s="1628" t="s">
        <v>8339</v>
      </c>
      <c r="F1535" s="1882"/>
      <c r="G1535" s="1882" t="str">
        <f>IF('2J'!G13="","##BLANK",'2J'!G13)</f>
        <v>##BLANK</v>
      </c>
    </row>
    <row r="1536" spans="2:7">
      <c r="B1536" s="821" t="str">
        <f>+'2J'!AF14</f>
        <v>BC30849PS</v>
      </c>
      <c r="D1536" s="1882"/>
      <c r="E1536" s="1628" t="s">
        <v>8339</v>
      </c>
      <c r="F1536" s="1882"/>
      <c r="G1536" s="1882" t="str">
        <f>IF('2J'!G14="","##BLANK",'2J'!G14)</f>
        <v>##BLANK</v>
      </c>
    </row>
    <row r="1537" spans="2:7">
      <c r="B1537" s="821" t="str">
        <f>+'2J'!AF15</f>
        <v>BC30849O</v>
      </c>
      <c r="D1537" s="1882"/>
      <c r="E1537" s="1628" t="s">
        <v>8339</v>
      </c>
      <c r="F1537" s="1882"/>
      <c r="G1537" s="1882" t="str">
        <f>IF('2J'!G15="","##BLANK",'2J'!G15)</f>
        <v>##BLANK</v>
      </c>
    </row>
    <row r="1538" spans="2:7">
      <c r="B1538" s="821" t="str">
        <f>+'2J'!AF16</f>
        <v>BC30849SCT</v>
      </c>
      <c r="D1538" s="1882"/>
      <c r="E1538" s="1628" t="s">
        <v>8339</v>
      </c>
      <c r="F1538" s="1882"/>
      <c r="G1538" s="1882">
        <f>IF('2J'!G16="","##BLANK",'2J'!G16)</f>
        <v>0</v>
      </c>
    </row>
    <row r="1539" spans="2:7">
      <c r="B1539" s="821" t="str">
        <f>+'2J'!AG6</f>
        <v>BC30449DTM</v>
      </c>
      <c r="D1539" s="1882"/>
      <c r="E1539" s="1628" t="s">
        <v>8339</v>
      </c>
      <c r="F1539" s="1882"/>
      <c r="G1539" s="1882">
        <f>IF('2J'!H6="","##BLANK",'2J'!H6)</f>
        <v>0</v>
      </c>
    </row>
    <row r="1540" spans="2:7">
      <c r="B1540" s="821" t="str">
        <f>+'2J'!AG7</f>
        <v>BC30449PSM</v>
      </c>
      <c r="D1540" s="1882"/>
      <c r="E1540" s="1628" t="s">
        <v>8339</v>
      </c>
      <c r="F1540" s="1882"/>
      <c r="G1540" s="1882">
        <f>IF('2J'!H7="","##BLANK",'2J'!H7)</f>
        <v>0</v>
      </c>
    </row>
    <row r="1541" spans="2:7">
      <c r="B1541" s="821" t="str">
        <f>+'2J'!AG8</f>
        <v>BC30449OM</v>
      </c>
      <c r="D1541" s="1882"/>
      <c r="E1541" s="1628" t="s">
        <v>8339</v>
      </c>
      <c r="F1541" s="1882"/>
      <c r="G1541" s="1882">
        <f>IF('2J'!H8="","##BLANK",'2J'!H8)</f>
        <v>0</v>
      </c>
    </row>
    <row r="1542" spans="2:7">
      <c r="B1542" s="821" t="str">
        <f>+'2J'!AG9</f>
        <v>BC30449TM</v>
      </c>
      <c r="D1542" s="1882"/>
      <c r="E1542" s="1628" t="s">
        <v>8339</v>
      </c>
      <c r="F1542" s="1882"/>
      <c r="G1542" s="1882">
        <f>IF('2J'!H9="","##BLANK",'2J'!H9)</f>
        <v>0</v>
      </c>
    </row>
    <row r="1543" spans="2:7">
      <c r="B1543" s="821" t="str">
        <f>+'2J'!AG12</f>
        <v>BC30849FCM</v>
      </c>
      <c r="D1543" s="1882"/>
      <c r="E1543" s="1628" t="s">
        <v>8339</v>
      </c>
      <c r="F1543" s="1882"/>
      <c r="G1543" s="1882" t="str">
        <f>IF('2J'!H12="","##BLANK",'2J'!H12)</f>
        <v>##BLANK</v>
      </c>
    </row>
    <row r="1544" spans="2:7">
      <c r="B1544" s="821" t="str">
        <f>+'2J'!AG13</f>
        <v>BC30849SWM</v>
      </c>
      <c r="D1544" s="1882"/>
      <c r="E1544" s="1628" t="s">
        <v>8339</v>
      </c>
      <c r="F1544" s="1882"/>
      <c r="G1544" s="1882" t="str">
        <f>IF('2J'!H13="","##BLANK",'2J'!H13)</f>
        <v>##BLANK</v>
      </c>
    </row>
    <row r="1545" spans="2:7">
      <c r="B1545" s="821" t="str">
        <f>+'2J'!AG14</f>
        <v>BC30849PSM</v>
      </c>
      <c r="D1545" s="1882"/>
      <c r="E1545" s="1628" t="s">
        <v>8339</v>
      </c>
      <c r="F1545" s="1882"/>
      <c r="G1545" s="1882" t="str">
        <f>IF('2J'!H14="","##BLANK",'2J'!H14)</f>
        <v>##BLANK</v>
      </c>
    </row>
    <row r="1546" spans="2:7">
      <c r="B1546" s="821" t="str">
        <f>+'2J'!AG15</f>
        <v>BC30849OM</v>
      </c>
      <c r="D1546" s="1882"/>
      <c r="E1546" s="1628" t="s">
        <v>8339</v>
      </c>
      <c r="F1546" s="1882"/>
      <c r="G1546" s="1882" t="str">
        <f>IF('2J'!H15="","##BLANK",'2J'!H15)</f>
        <v>##BLANK</v>
      </c>
    </row>
    <row r="1547" spans="2:7">
      <c r="B1547" s="821" t="str">
        <f>+'2J'!AG16</f>
        <v>BC30849SCTM</v>
      </c>
      <c r="D1547" s="1882"/>
      <c r="E1547" s="1628" t="s">
        <v>8339</v>
      </c>
      <c r="F1547" s="1882"/>
      <c r="G1547" s="1882">
        <f>IF('2J'!H16="","##BLANK",'2J'!H16)</f>
        <v>0</v>
      </c>
    </row>
    <row r="1548" spans="2:7">
      <c r="B1548" s="821" t="str">
        <f>+'2K'!Z7</f>
        <v>BC11270DIS</v>
      </c>
      <c r="D1548" s="1882"/>
      <c r="E1548" s="1628" t="s">
        <v>8339</v>
      </c>
      <c r="F1548" s="1882"/>
      <c r="G1548" s="1882">
        <f>IF('2K'!G7="","##BLANK",'2K'!G7)</f>
        <v>0</v>
      </c>
    </row>
    <row r="1549" spans="2:7">
      <c r="B1549" s="821" t="str">
        <f>+'2K'!Z8</f>
        <v>BC11270GROSS</v>
      </c>
      <c r="D1549" s="1882"/>
      <c r="E1549" s="1628" t="s">
        <v>8339</v>
      </c>
      <c r="F1549" s="1882"/>
      <c r="G1549" s="1882">
        <f>IF('2K'!G8="","##BLANK",'2K'!G8)</f>
        <v>1.4279999999999999</v>
      </c>
    </row>
    <row r="1550" spans="2:7">
      <c r="B1550" s="821" t="str">
        <f>+'2K'!Z14</f>
        <v>BC11270VARCFWD</v>
      </c>
      <c r="D1550" s="1882"/>
      <c r="E1550" s="1628" t="s">
        <v>8339</v>
      </c>
      <c r="F1550" s="1882"/>
      <c r="G1550" s="1882">
        <f>IF('2K'!G14="","##BLANK",'2K'!G14)</f>
        <v>0.30199999999999982</v>
      </c>
    </row>
    <row r="1551" spans="2:7">
      <c r="B1551" s="821" t="str">
        <f>+'2K'!AA7</f>
        <v>BC11370DIS</v>
      </c>
      <c r="D1551" s="1882"/>
      <c r="E1551" s="1628" t="s">
        <v>8339</v>
      </c>
      <c r="F1551" s="1882"/>
      <c r="G1551" s="1882">
        <f>IF('2K'!H7="","##BLANK",'2K'!H7)</f>
        <v>0</v>
      </c>
    </row>
    <row r="1552" spans="2:7">
      <c r="B1552" s="821" t="str">
        <f>+'2K'!AA8</f>
        <v>BC11370GROSS</v>
      </c>
      <c r="D1552" s="1882"/>
      <c r="E1552" s="1628" t="s">
        <v>8339</v>
      </c>
      <c r="F1552" s="1882"/>
      <c r="G1552" s="1882">
        <f>IF('2K'!H8="","##BLANK",'2K'!H8)</f>
        <v>0</v>
      </c>
    </row>
    <row r="1553" spans="2:7">
      <c r="B1553" s="821" t="str">
        <f>+'2K'!AA14</f>
        <v>BC11370VARCFWD</v>
      </c>
      <c r="D1553" s="1882"/>
      <c r="E1553" s="1628" t="s">
        <v>8339</v>
      </c>
      <c r="F1553" s="1882"/>
      <c r="G1553" s="1882">
        <f>IF('2K'!H14="","##BLANK",'2K'!H14)</f>
        <v>0</v>
      </c>
    </row>
    <row r="1554" spans="2:7" s="1882" customFormat="1">
      <c r="B1554" s="1722" t="str">
        <f>+'2K'!AB6</f>
        <v>BC11470</v>
      </c>
      <c r="C1554" s="1293"/>
      <c r="E1554" s="1628" t="s">
        <v>8339</v>
      </c>
      <c r="G1554" s="1882">
        <f>IF('2K'!I6="","##BLANK",'2K'!I6)</f>
        <v>1.4279999999999999</v>
      </c>
    </row>
    <row r="1555" spans="2:7">
      <c r="B1555" s="1722" t="str">
        <f>+'2K'!AB7</f>
        <v>BC11470DIS</v>
      </c>
      <c r="D1555" s="1882"/>
      <c r="E1555" s="1628" t="s">
        <v>8339</v>
      </c>
      <c r="F1555" s="1882"/>
      <c r="G1555" s="1882">
        <f>IF('2K'!I7="","##BLANK",'2K'!I7)</f>
        <v>0</v>
      </c>
    </row>
    <row r="1556" spans="2:7">
      <c r="B1556" s="1722" t="str">
        <f>+'2K'!AB8</f>
        <v>BC11470GROSS</v>
      </c>
      <c r="D1556" s="1882"/>
      <c r="E1556" s="1628" t="s">
        <v>8339</v>
      </c>
      <c r="F1556" s="1882"/>
      <c r="G1556" s="1882">
        <f>IF('2K'!I8="","##BLANK",'2K'!I8)</f>
        <v>1.4279999999999999</v>
      </c>
    </row>
    <row r="1557" spans="2:7">
      <c r="B1557" s="1722" t="str">
        <f>+'2K'!AB11</f>
        <v>BC11470VARBFWD</v>
      </c>
      <c r="D1557" s="1882"/>
      <c r="E1557" s="1628" t="s">
        <v>8339</v>
      </c>
      <c r="F1557" s="1882"/>
      <c r="G1557" s="1882">
        <f>IF('2K'!I11="","##BLANK",'2K'!I11)</f>
        <v>0.44500000000000001</v>
      </c>
    </row>
    <row r="1558" spans="2:7">
      <c r="B1558" s="1722" t="str">
        <f>+'2K'!AB13</f>
        <v>BC11470NRC</v>
      </c>
      <c r="D1558" s="1882"/>
      <c r="E1558" s="1628" t="s">
        <v>8339</v>
      </c>
      <c r="F1558" s="1882"/>
      <c r="G1558" s="1882">
        <f>IF('2K'!I13="","##BLANK",'2K'!I13)</f>
        <v>-1.1260000000000001</v>
      </c>
    </row>
    <row r="1559" spans="2:7">
      <c r="B1559" s="1722" t="str">
        <f>+'2K'!AB14</f>
        <v>BC11470VARCFWD</v>
      </c>
      <c r="D1559" s="1882"/>
      <c r="E1559" s="1628" t="s">
        <v>8339</v>
      </c>
      <c r="F1559" s="1882"/>
      <c r="G1559" s="1882">
        <f>IF('2K'!I14="","##BLANK",'2K'!I14)</f>
        <v>0.74699999999999989</v>
      </c>
    </row>
    <row r="1560" spans="2:7">
      <c r="B1560" s="2029" t="str">
        <f>'3D'!AE7</f>
        <v>SIMAMP6_QL1</v>
      </c>
      <c r="D1560" s="1882"/>
      <c r="E1560" s="1628" t="s">
        <v>8339</v>
      </c>
      <c r="F1560" s="1882"/>
      <c r="G1560" s="1882">
        <f>IF('3D'!F7="","##BLANK",'3D'!F7)</f>
        <v>4.29</v>
      </c>
    </row>
    <row r="1561" spans="2:7">
      <c r="B1561" s="2029" t="str">
        <f>'3D'!AE8</f>
        <v>SIMAMP6_QL2</v>
      </c>
      <c r="D1561" s="1882"/>
      <c r="E1561" s="1628" t="s">
        <v>8339</v>
      </c>
      <c r="F1561" s="1882"/>
      <c r="G1561" s="1882">
        <f>IF('3D'!F8="","##BLANK",'3D'!F8)</f>
        <v>4.34</v>
      </c>
    </row>
    <row r="1562" spans="2:7">
      <c r="B1562" s="2029" t="str">
        <f>'3D'!AE9</f>
        <v>SIMAMP6_QL3</v>
      </c>
      <c r="D1562" s="1882"/>
      <c r="E1562" s="1628" t="s">
        <v>8339</v>
      </c>
      <c r="F1562" s="1882"/>
      <c r="G1562" s="1882">
        <f>IF('3D'!F9="","##BLANK",'3D'!F9)</f>
        <v>4.37</v>
      </c>
    </row>
    <row r="1563" spans="2:7">
      <c r="B1563" s="2029" t="str">
        <f>'3D'!AE10</f>
        <v>SIMAMP6_QL4</v>
      </c>
      <c r="D1563" s="1882"/>
      <c r="E1563" s="1628" t="s">
        <v>8339</v>
      </c>
      <c r="F1563" s="1882"/>
      <c r="G1563" s="1882">
        <f>IF('3D'!F10="","##BLANK",'3D'!F10)</f>
        <v>4.33</v>
      </c>
    </row>
    <row r="1564" spans="2:7">
      <c r="B1564" s="2029" t="str">
        <f>'3D'!AE11</f>
        <v>SIMAMP6_QLS</v>
      </c>
      <c r="D1564" s="1882"/>
      <c r="E1564" s="1628" t="s">
        <v>8339</v>
      </c>
      <c r="F1564" s="1882"/>
      <c r="G1564" s="1882">
        <f>IF('3D'!F11="","##BLANK",'3D'!F11)</f>
        <v>62.51</v>
      </c>
    </row>
    <row r="1565" spans="2:7">
      <c r="B1565" s="2029" t="str">
        <f>'3D'!AE12</f>
        <v>SIMAMP6_CS</v>
      </c>
      <c r="D1565" s="1882"/>
      <c r="E1565" s="1628" t="s">
        <v>8339</v>
      </c>
      <c r="F1565" s="1882"/>
      <c r="G1565" s="1882">
        <f>IF('3D'!F12="","##BLANK",'3D'!F12)</f>
        <v>14.91</v>
      </c>
    </row>
    <row r="1566" spans="2:7">
      <c r="B1566" s="2029" t="str">
        <f>'3D'!AE13</f>
        <v>SIMAMP6_QNS</v>
      </c>
      <c r="D1566" s="1882"/>
      <c r="E1566" s="1628" t="s">
        <v>8339</v>
      </c>
      <c r="F1566" s="1882"/>
      <c r="G1566" s="1882">
        <f>IF('3D'!F13="","##BLANK",'3D'!F13)</f>
        <v>20.03</v>
      </c>
    </row>
    <row r="1567" spans="2:7">
      <c r="B1567" s="2029" t="str">
        <f>'3D'!AE14</f>
        <v>KI001U</v>
      </c>
      <c r="D1567" s="1882"/>
      <c r="E1567" s="1628" t="s">
        <v>8339</v>
      </c>
      <c r="F1567" s="1882"/>
      <c r="G1567" s="1882">
        <f>IF('3D'!F14="","##BLANK",'3D'!F14)</f>
        <v>82.539999999999992</v>
      </c>
    </row>
    <row r="1568" spans="2:7">
      <c r="B1568" s="821" t="str">
        <f>+'4A'!AF8</f>
        <v>WHV001U</v>
      </c>
      <c r="D1568" s="1882"/>
      <c r="E1568" s="1628" t="s">
        <v>8339</v>
      </c>
      <c r="F1568" s="1882"/>
      <c r="G1568" s="1882">
        <f>IF('4A'!G8="","##BLANK",'4A'!G8)</f>
        <v>6.1609999999999996</v>
      </c>
    </row>
    <row r="1569" spans="2:8">
      <c r="B1569" s="821" t="str">
        <f>+'4A'!AF9</f>
        <v>BN2304</v>
      </c>
      <c r="D1569" s="1882"/>
      <c r="E1569" s="1628" t="s">
        <v>8339</v>
      </c>
      <c r="F1569" s="1882"/>
      <c r="G1569" s="1882">
        <f>IF('4A'!G9="","##BLANK",'4A'!G9)</f>
        <v>162.19999999999999</v>
      </c>
      <c r="H1569" s="1882"/>
    </row>
    <row r="1570" spans="2:8">
      <c r="B1570" s="821" t="str">
        <f>+'4A'!AF15</f>
        <v>BN2370</v>
      </c>
      <c r="D1570" s="1882"/>
      <c r="E1570" s="1628" t="s">
        <v>8339</v>
      </c>
      <c r="F1570" s="1882"/>
      <c r="G1570" s="1882">
        <f>IF('4A'!G15="","##BLANK",'4A'!G15)</f>
        <v>7.5720000000000001</v>
      </c>
      <c r="H1570" s="1882"/>
    </row>
    <row r="1571" spans="2:8">
      <c r="B1571" s="821" t="str">
        <f>+'4A'!AF16</f>
        <v>BN2360</v>
      </c>
      <c r="D1571" s="1882"/>
      <c r="E1571" s="1628" t="s">
        <v>8339</v>
      </c>
      <c r="F1571" s="1882"/>
      <c r="G1571" s="1882">
        <f>IF('4A'!G16="","##BLANK",'4A'!G16)</f>
        <v>0.79600000000000004</v>
      </c>
      <c r="H1571" s="1882"/>
    </row>
    <row r="1572" spans="2:8">
      <c r="B1572" s="821" t="str">
        <f>+'4A'!AF17</f>
        <v>BN1000</v>
      </c>
      <c r="C1572" s="821"/>
      <c r="D1572" s="1882"/>
      <c r="E1572" s="1628" t="s">
        <v>8339</v>
      </c>
      <c r="F1572" s="1882"/>
      <c r="G1572" s="1882">
        <f>IF('4A'!G17="","##BLANK",'4A'!G17)</f>
        <v>270.654</v>
      </c>
      <c r="H1572" s="821"/>
    </row>
    <row r="1573" spans="2:8">
      <c r="B1573" s="821" t="str">
        <f>+'4A'!AG8</f>
        <v>WHV001M</v>
      </c>
      <c r="D1573" s="1882"/>
      <c r="E1573" s="1628" t="s">
        <v>8339</v>
      </c>
      <c r="F1573" s="1882"/>
      <c r="G1573" s="1882">
        <f>IF('4A'!H8="","##BLANK",'4A'!H8)</f>
        <v>6.7990000000000004</v>
      </c>
      <c r="H1573" s="1882"/>
    </row>
    <row r="1574" spans="2:8">
      <c r="B1574" s="821" t="str">
        <f>+'4A'!AG9</f>
        <v>BN2305</v>
      </c>
      <c r="D1574" s="1882"/>
      <c r="E1574" s="1628" t="s">
        <v>8339</v>
      </c>
      <c r="F1574" s="1882"/>
      <c r="G1574" s="1882">
        <f>IF('4A'!H9="","##BLANK",'4A'!H9)</f>
        <v>131.80000000000001</v>
      </c>
      <c r="H1574" s="1882"/>
    </row>
    <row r="1575" spans="2:8">
      <c r="B1575" s="821" t="str">
        <f>+'4A'!AG15</f>
        <v>BN2370S</v>
      </c>
      <c r="D1575" s="1882"/>
      <c r="E1575" s="1628" t="s">
        <v>8339</v>
      </c>
      <c r="F1575" s="1882"/>
      <c r="G1575" s="1882" t="str">
        <f>IF('4A'!H15="","##BLANK",'4A'!H15)</f>
        <v>##BLANK</v>
      </c>
      <c r="H1575" s="1882"/>
    </row>
    <row r="1576" spans="2:8">
      <c r="B1576" s="821" t="str">
        <f>+'4A'!AG16</f>
        <v>BN2360S</v>
      </c>
      <c r="D1576" s="1882"/>
      <c r="E1576" s="1628" t="s">
        <v>8339</v>
      </c>
      <c r="F1576" s="1882"/>
      <c r="G1576" s="1882" t="str">
        <f>IF('4A'!H16="","##BLANK",'4A'!H16)</f>
        <v>##BLANK</v>
      </c>
      <c r="H1576" s="1882"/>
    </row>
    <row r="1577" spans="2:8">
      <c r="B1577" s="821" t="str">
        <f>+'4B'!AJ7</f>
        <v>W3026MT</v>
      </c>
      <c r="D1577" s="1882"/>
      <c r="E1577" s="1628" t="s">
        <v>8339</v>
      </c>
      <c r="F1577" s="1882"/>
      <c r="G1577" s="1882">
        <f>IF('4B'!G7="","##BLANK",'4B'!G7)</f>
        <v>128.08275499334457</v>
      </c>
      <c r="H1577" s="1882"/>
    </row>
    <row r="1578" spans="2:8">
      <c r="B1578" s="821" t="str">
        <f>+'4B'!AJ10</f>
        <v>CRW004</v>
      </c>
      <c r="D1578" s="1882"/>
      <c r="E1578" s="1628" t="s">
        <v>8339</v>
      </c>
      <c r="F1578" s="1882"/>
      <c r="G1578" s="1882">
        <f>IF('4B'!G10="","##BLANK",'4B'!G10)</f>
        <v>1.601</v>
      </c>
      <c r="H1578" s="1882"/>
    </row>
    <row r="1579" spans="2:8">
      <c r="B1579" s="821" t="str">
        <f>+'4B'!AJ11</f>
        <v>CRW003</v>
      </c>
      <c r="D1579" s="1882"/>
      <c r="E1579" s="1628" t="s">
        <v>8339</v>
      </c>
      <c r="F1579" s="1882"/>
      <c r="G1579" s="1882">
        <f>IF('4B'!G11="","##BLANK",'4B'!G11)</f>
        <v>0</v>
      </c>
      <c r="H1579" s="1882"/>
    </row>
    <row r="1580" spans="2:8">
      <c r="B1580" s="821" t="str">
        <f>+'4B'!AJ12</f>
        <v>CRW005</v>
      </c>
      <c r="D1580" s="1882"/>
      <c r="E1580" s="1628" t="s">
        <v>8339</v>
      </c>
      <c r="F1580" s="1882"/>
      <c r="G1580" s="1882">
        <f>IF('4B'!G12="","##BLANK",'4B'!G12)</f>
        <v>3.8650000000000002</v>
      </c>
      <c r="H1580" s="1882"/>
    </row>
    <row r="1581" spans="2:8">
      <c r="B1581" s="821" t="str">
        <f>+'4B'!AJ13</f>
        <v>CRW006</v>
      </c>
      <c r="D1581" s="1882"/>
      <c r="E1581" s="1628" t="s">
        <v>8339</v>
      </c>
      <c r="F1581" s="1882"/>
      <c r="G1581" s="1882">
        <f>IF('4B'!G13="","##BLANK",'4B'!G13)</f>
        <v>5.4660000000000002</v>
      </c>
      <c r="H1581" s="1882"/>
    </row>
    <row r="1582" spans="2:8">
      <c r="B1582" s="821" t="str">
        <f>+'4B'!AJ16</f>
        <v>CRW011</v>
      </c>
      <c r="D1582" s="1882"/>
      <c r="E1582" s="1628" t="s">
        <v>8339</v>
      </c>
      <c r="F1582" s="1882"/>
      <c r="G1582" s="1882">
        <f>IF('4B'!G16="","##BLANK",'4B'!G16)</f>
        <v>0</v>
      </c>
      <c r="H1582" s="1882"/>
    </row>
    <row r="1583" spans="2:8">
      <c r="B1583" s="821" t="str">
        <f>+'4B'!AJ19</f>
        <v>CRW012</v>
      </c>
      <c r="D1583" s="1882"/>
      <c r="E1583" s="1628" t="s">
        <v>8339</v>
      </c>
      <c r="F1583" s="1882"/>
      <c r="G1583" s="1882">
        <f>IF('4B'!G19="","##BLANK",'4B'!G19)</f>
        <v>122.61675499334457</v>
      </c>
      <c r="H1583" s="1882"/>
    </row>
    <row r="1584" spans="2:8">
      <c r="B1584" s="821" t="str">
        <f>+'4B'!AJ20</f>
        <v>CRW013</v>
      </c>
      <c r="D1584" s="1882"/>
      <c r="E1584" s="1628" t="s">
        <v>8339</v>
      </c>
      <c r="F1584" s="1882"/>
      <c r="G1584" s="1882">
        <f>IF('4B'!G20="","##BLANK",'4B'!G20)</f>
        <v>103.25</v>
      </c>
      <c r="H1584" s="1882"/>
    </row>
    <row r="1585" spans="2:7">
      <c r="B1585" s="821" t="str">
        <f>+'4B'!AJ23</f>
        <v>CRW014</v>
      </c>
      <c r="D1585" s="1882"/>
      <c r="E1585" s="1628" t="s">
        <v>8339</v>
      </c>
      <c r="F1585" s="1882"/>
      <c r="G1585" s="1882">
        <f>IF('4B'!G23="","##BLANK",'4B'!G23)</f>
        <v>84.331999999999994</v>
      </c>
    </row>
    <row r="1586" spans="2:7">
      <c r="B1586" s="821" t="str">
        <f>+'4B'!AK7</f>
        <v>S3040MT</v>
      </c>
      <c r="D1586" s="1882"/>
      <c r="E1586" s="1628" t="s">
        <v>8339</v>
      </c>
      <c r="F1586" s="1882"/>
      <c r="G1586" s="1882">
        <f>IF('4B'!H7="","##BLANK",'4B'!H7)</f>
        <v>0</v>
      </c>
    </row>
    <row r="1587" spans="2:7">
      <c r="B1587" s="821" t="str">
        <f>+'4B'!AK10</f>
        <v>CRS004</v>
      </c>
      <c r="D1587" s="1882"/>
      <c r="E1587" s="1628" t="s">
        <v>8339</v>
      </c>
      <c r="F1587" s="1882"/>
      <c r="G1587" s="1882" t="str">
        <f>IF('4B'!H10="","##BLANK",'4B'!H10)</f>
        <v>##BLANK</v>
      </c>
    </row>
    <row r="1588" spans="2:7">
      <c r="B1588" s="821" t="str">
        <f>+'4B'!AK11</f>
        <v>CRS003</v>
      </c>
      <c r="D1588" s="1882"/>
      <c r="E1588" s="1628" t="s">
        <v>8339</v>
      </c>
      <c r="F1588" s="1882"/>
      <c r="G1588" s="1882" t="str">
        <f>IF('4B'!H11="","##BLANK",'4B'!H11)</f>
        <v>##BLANK</v>
      </c>
    </row>
    <row r="1589" spans="2:7">
      <c r="B1589" s="821" t="str">
        <f>+'4B'!AK12</f>
        <v>CRS005</v>
      </c>
      <c r="D1589" s="1882"/>
      <c r="E1589" s="1628" t="s">
        <v>8339</v>
      </c>
      <c r="F1589" s="1882"/>
      <c r="G1589" s="1882" t="str">
        <f>IF('4B'!H12="","##BLANK",'4B'!H12)</f>
        <v>##BLANK</v>
      </c>
    </row>
    <row r="1590" spans="2:7">
      <c r="B1590" s="821" t="str">
        <f>+'4B'!AK13</f>
        <v>CRS006</v>
      </c>
      <c r="D1590" s="1882"/>
      <c r="E1590" s="1628" t="s">
        <v>8339</v>
      </c>
      <c r="F1590" s="1882"/>
      <c r="G1590" s="1882">
        <f>IF('4B'!H13="","##BLANK",'4B'!H13)</f>
        <v>0</v>
      </c>
    </row>
    <row r="1591" spans="2:7">
      <c r="B1591" s="821" t="str">
        <f>+'4B'!AK16</f>
        <v>CRS011</v>
      </c>
      <c r="D1591" s="1882"/>
      <c r="E1591" s="1628" t="s">
        <v>8339</v>
      </c>
      <c r="F1591" s="1882"/>
      <c r="G1591" s="1882" t="str">
        <f>IF('4B'!H16="","##BLANK",'4B'!H16)</f>
        <v>##BLANK</v>
      </c>
    </row>
    <row r="1592" spans="2:7">
      <c r="B1592" s="821" t="str">
        <f>+'4B'!AK19</f>
        <v>CRS012</v>
      </c>
      <c r="D1592" s="1882"/>
      <c r="E1592" s="1628" t="s">
        <v>8339</v>
      </c>
      <c r="F1592" s="1882"/>
      <c r="G1592" s="1882">
        <f>IF('4B'!H19="","##BLANK",'4B'!H19)</f>
        <v>0</v>
      </c>
    </row>
    <row r="1593" spans="2:7">
      <c r="B1593" s="821" t="str">
        <f>+'4B'!AK20</f>
        <v>CRS013</v>
      </c>
      <c r="D1593" s="1882"/>
      <c r="E1593" s="1628" t="s">
        <v>8339</v>
      </c>
      <c r="F1593" s="1882"/>
      <c r="G1593" s="1882" t="str">
        <f>IF('4B'!H20="","##BLANK",'4B'!H20)</f>
        <v>##BLANK</v>
      </c>
    </row>
    <row r="1594" spans="2:7">
      <c r="B1594" s="821" t="str">
        <f>+'4B'!AK23</f>
        <v>CRS014</v>
      </c>
      <c r="D1594" s="1882"/>
      <c r="E1594" s="1628" t="s">
        <v>8339</v>
      </c>
      <c r="F1594" s="1882"/>
      <c r="G1594" s="1882" t="str">
        <f>IF('4B'!H23="","##BLANK",'4B'!H23)</f>
        <v>##BLANK</v>
      </c>
    </row>
    <row r="1595" spans="2:7">
      <c r="B1595" s="821" t="str">
        <f>+'4B'!AL10</f>
        <v>CRS004TTT</v>
      </c>
      <c r="D1595" s="1882"/>
      <c r="E1595" s="1628" t="s">
        <v>8339</v>
      </c>
      <c r="F1595" s="1882"/>
      <c r="G1595" s="1882" t="str">
        <f>IF('4B'!I10="","##BLANK",'4B'!I10)</f>
        <v>##BLANK</v>
      </c>
    </row>
    <row r="1596" spans="2:7">
      <c r="B1596" s="821" t="str">
        <f>+'4B'!AL11</f>
        <v>CRS003TTT</v>
      </c>
      <c r="D1596" s="1882"/>
      <c r="E1596" s="1628" t="s">
        <v>8339</v>
      </c>
      <c r="F1596" s="1882"/>
      <c r="G1596" s="1882" t="str">
        <f>IF('4B'!I11="","##BLANK",'4B'!I11)</f>
        <v>##BLANK</v>
      </c>
    </row>
    <row r="1597" spans="2:7">
      <c r="B1597" s="821" t="str">
        <f>+'4B'!AL12</f>
        <v>CRS005TTT</v>
      </c>
      <c r="D1597" s="1882"/>
      <c r="E1597" s="1628" t="s">
        <v>8339</v>
      </c>
      <c r="F1597" s="1882"/>
      <c r="G1597" s="1882" t="str">
        <f>IF('4B'!I12="","##BLANK",'4B'!I12)</f>
        <v>##BLANK</v>
      </c>
    </row>
    <row r="1598" spans="2:7">
      <c r="B1598" s="821" t="str">
        <f>+'4B'!AL13</f>
        <v>CRS006TTT</v>
      </c>
      <c r="D1598" s="1882"/>
      <c r="E1598" s="1628" t="s">
        <v>8339</v>
      </c>
      <c r="F1598" s="1882"/>
      <c r="G1598" s="1882">
        <f>IF('4B'!I13="","##BLANK",'4B'!I13)</f>
        <v>0</v>
      </c>
    </row>
    <row r="1599" spans="2:7">
      <c r="B1599" s="821" t="str">
        <f>+'4B'!AL16</f>
        <v>CRS011TTT</v>
      </c>
      <c r="D1599" s="1882"/>
      <c r="E1599" s="1628" t="s">
        <v>8339</v>
      </c>
      <c r="F1599" s="1882"/>
      <c r="G1599" s="1882" t="str">
        <f>IF('4B'!I16="","##BLANK",'4B'!I16)</f>
        <v>##BLANK</v>
      </c>
    </row>
    <row r="1600" spans="2:7">
      <c r="B1600" s="821" t="str">
        <f>+'4B'!AL19</f>
        <v>CRS012TTT</v>
      </c>
      <c r="D1600" s="1882"/>
      <c r="E1600" s="1628" t="s">
        <v>8339</v>
      </c>
      <c r="F1600" s="1882"/>
      <c r="G1600" s="1882">
        <f>IF('4B'!I19="","##BLANK",'4B'!I19)</f>
        <v>0</v>
      </c>
    </row>
    <row r="1601" spans="2:7">
      <c r="B1601" s="821" t="str">
        <f>+'4B'!AL20</f>
        <v>CRS013TTT</v>
      </c>
      <c r="D1601" s="1882"/>
      <c r="E1601" s="1628" t="s">
        <v>8339</v>
      </c>
      <c r="F1601" s="1882"/>
      <c r="G1601" s="1882" t="str">
        <f>IF('4B'!I20="","##BLANK",'4B'!I20)</f>
        <v>##BLANK</v>
      </c>
    </row>
    <row r="1602" spans="2:7">
      <c r="B1602" s="821" t="str">
        <f>+'4B'!AL23</f>
        <v>CRS014TTT</v>
      </c>
      <c r="D1602" s="1882"/>
      <c r="E1602" s="1628" t="s">
        <v>8339</v>
      </c>
      <c r="F1602" s="1882"/>
      <c r="G1602" s="1882" t="str">
        <f>IF('4B'!I23="","##BLANK",'4B'!I23)</f>
        <v>##BLANK</v>
      </c>
    </row>
    <row r="1603" spans="2:7">
      <c r="B1603" s="821" t="str">
        <f>+'4B'!AM7</f>
        <v>W3026MTCUM</v>
      </c>
      <c r="D1603" s="1882"/>
      <c r="E1603" s="1628" t="s">
        <v>8339</v>
      </c>
      <c r="F1603" s="1882"/>
      <c r="G1603" s="648">
        <f>IF('4B'!J7="","##BLANK",'4B'!J7)</f>
        <v>494.024</v>
      </c>
    </row>
    <row r="1604" spans="2:7">
      <c r="B1604" s="821" t="str">
        <f>+'4B'!AM10</f>
        <v>CRW004CUM</v>
      </c>
      <c r="D1604" s="1882"/>
      <c r="E1604" s="1628" t="s">
        <v>8339</v>
      </c>
      <c r="F1604" s="1882"/>
      <c r="G1604" s="1882">
        <f>IF('4B'!J10="","##BLANK",'4B'!J10)</f>
        <v>7.34</v>
      </c>
    </row>
    <row r="1605" spans="2:7">
      <c r="B1605" s="821" t="str">
        <f>+'4B'!AM11</f>
        <v>CRW003CUM</v>
      </c>
      <c r="D1605" s="1882"/>
      <c r="E1605" s="1628" t="s">
        <v>8339</v>
      </c>
      <c r="F1605" s="1882"/>
      <c r="G1605" s="1882">
        <f>IF('4B'!J11="","##BLANK",'4B'!J11)</f>
        <v>0.43499999999999994</v>
      </c>
    </row>
    <row r="1606" spans="2:7">
      <c r="B1606" s="821" t="str">
        <f>+'4B'!AM12</f>
        <v>CRW005CUM</v>
      </c>
      <c r="D1606" s="1882"/>
      <c r="E1606" s="1628" t="s">
        <v>8339</v>
      </c>
      <c r="F1606" s="1882"/>
      <c r="G1606" s="1882">
        <f>IF('4B'!J12="","##BLANK",'4B'!J12)</f>
        <v>4.9800000000000004</v>
      </c>
    </row>
    <row r="1607" spans="2:7">
      <c r="B1607" s="821" t="str">
        <f>+'4B'!AM13</f>
        <v>CRW006CUM</v>
      </c>
      <c r="D1607" s="1882"/>
      <c r="E1607" s="1628" t="s">
        <v>8339</v>
      </c>
      <c r="F1607" s="1882"/>
      <c r="G1607" s="1882">
        <f>IF('4B'!J13="","##BLANK",'4B'!J13)</f>
        <v>12.754999999999999</v>
      </c>
    </row>
    <row r="1608" spans="2:7">
      <c r="B1608" s="821" t="str">
        <f>+'4B'!AM16</f>
        <v>CRW011CUM</v>
      </c>
      <c r="D1608" s="1882"/>
      <c r="E1608" s="1628" t="s">
        <v>8339</v>
      </c>
      <c r="F1608" s="1882"/>
      <c r="G1608" s="1882">
        <f>IF('4B'!J16="","##BLANK",'4B'!J16)</f>
        <v>0.68500000000000005</v>
      </c>
    </row>
    <row r="1609" spans="2:7">
      <c r="B1609" s="821" t="str">
        <f>+'4B'!AM19</f>
        <v>CRW012CUM</v>
      </c>
      <c r="D1609" s="1882"/>
      <c r="E1609" s="1628" t="s">
        <v>8339</v>
      </c>
      <c r="F1609" s="1882"/>
      <c r="G1609" s="1882">
        <f>IF('4B'!J19="","##BLANK",'4B'!J19)</f>
        <v>481.95400000000001</v>
      </c>
    </row>
    <row r="1610" spans="2:7">
      <c r="B1610" s="821" t="str">
        <f>+'4B'!AM20</f>
        <v>CRW013CUM</v>
      </c>
      <c r="D1610" s="1882"/>
      <c r="E1610" s="1628" t="s">
        <v>8339</v>
      </c>
      <c r="F1610" s="1882"/>
      <c r="G1610" s="1882">
        <f>IF('4B'!J20="","##BLANK",'4B'!J20)</f>
        <v>426.59100000000001</v>
      </c>
    </row>
    <row r="1611" spans="2:7">
      <c r="B1611" s="821" t="str">
        <f>+'4B'!AM23</f>
        <v>CRW014CUM</v>
      </c>
      <c r="D1611" s="1882"/>
      <c r="E1611" s="1628" t="s">
        <v>8339</v>
      </c>
      <c r="F1611" s="1882"/>
      <c r="G1611" s="1882">
        <f>IF('4B'!J23="","##BLANK",'4B'!J23)</f>
        <v>421.88499999999999</v>
      </c>
    </row>
    <row r="1612" spans="2:7">
      <c r="B1612" s="821" t="str">
        <f>+'4B'!AN7</f>
        <v>S3040MTCUM</v>
      </c>
      <c r="D1612" s="1882"/>
      <c r="E1612" s="1628" t="s">
        <v>8339</v>
      </c>
      <c r="F1612" s="1882"/>
      <c r="G1612" s="1882" t="str">
        <f>IF('4B'!K7="","##BLANK",'4B'!K7)</f>
        <v>##BLANK</v>
      </c>
    </row>
    <row r="1613" spans="2:7">
      <c r="B1613" s="821" t="str">
        <f>+'4B'!AN10</f>
        <v>CRS004CUM</v>
      </c>
      <c r="D1613" s="1882"/>
      <c r="E1613" s="1628" t="s">
        <v>8339</v>
      </c>
      <c r="F1613" s="1882"/>
      <c r="G1613" s="1882" t="str">
        <f>IF('4B'!K10="","##BLANK",'4B'!K10)</f>
        <v>##BLANK</v>
      </c>
    </row>
    <row r="1614" spans="2:7">
      <c r="B1614" s="821" t="str">
        <f>+'4B'!AN11</f>
        <v>CRS003CUM</v>
      </c>
      <c r="D1614" s="1882"/>
      <c r="E1614" s="1628" t="s">
        <v>8339</v>
      </c>
      <c r="F1614" s="1882"/>
      <c r="G1614" s="1882" t="str">
        <f>IF('4B'!K11="","##BLANK",'4B'!K11)</f>
        <v>##BLANK</v>
      </c>
    </row>
    <row r="1615" spans="2:7">
      <c r="B1615" s="821" t="str">
        <f>+'4B'!AN12</f>
        <v>CRS005CUM</v>
      </c>
      <c r="D1615" s="1882"/>
      <c r="E1615" s="1628" t="s">
        <v>8339</v>
      </c>
      <c r="F1615" s="1882"/>
      <c r="G1615" s="1882" t="str">
        <f>IF('4B'!K12="","##BLANK",'4B'!K12)</f>
        <v>##BLANK</v>
      </c>
    </row>
    <row r="1616" spans="2:7">
      <c r="B1616" s="821" t="str">
        <f>+'4B'!AN13</f>
        <v>CRS006CUM</v>
      </c>
      <c r="D1616" s="1882"/>
      <c r="E1616" s="1628" t="s">
        <v>8339</v>
      </c>
      <c r="F1616" s="1882"/>
      <c r="G1616" s="1882">
        <f>IF('4B'!K13="","##BLANK",'4B'!K13)</f>
        <v>0</v>
      </c>
    </row>
    <row r="1617" spans="2:7">
      <c r="B1617" s="821" t="str">
        <f>+'4B'!AN16</f>
        <v>CRS011CUM</v>
      </c>
      <c r="D1617" s="1882"/>
      <c r="E1617" s="1628" t="s">
        <v>8339</v>
      </c>
      <c r="F1617" s="1882"/>
      <c r="G1617" s="1882" t="str">
        <f>IF('4B'!K16="","##BLANK",'4B'!K16)</f>
        <v>##BLANK</v>
      </c>
    </row>
    <row r="1618" spans="2:7">
      <c r="B1618" s="821" t="str">
        <f>+'4B'!AN19</f>
        <v>CRS012CUM</v>
      </c>
      <c r="D1618" s="1882"/>
      <c r="E1618" s="1628" t="s">
        <v>8339</v>
      </c>
      <c r="F1618" s="1882"/>
      <c r="G1618" s="1882">
        <f>IF('4B'!K19="","##BLANK",'4B'!K19)</f>
        <v>0</v>
      </c>
    </row>
    <row r="1619" spans="2:7">
      <c r="B1619" s="821" t="str">
        <f>+'4B'!AN20</f>
        <v>CRS013CUM</v>
      </c>
      <c r="D1619" s="1882"/>
      <c r="E1619" s="1628" t="s">
        <v>8339</v>
      </c>
      <c r="F1619" s="1882"/>
      <c r="G1619" s="1882" t="str">
        <f>IF('4B'!K20="","##BLANK",'4B'!K20)</f>
        <v>##BLANK</v>
      </c>
    </row>
    <row r="1620" spans="2:7">
      <c r="B1620" s="821" t="str">
        <f>+'4B'!AN23</f>
        <v>CRS014CUM</v>
      </c>
      <c r="D1620" s="1882"/>
      <c r="E1620" s="1628" t="s">
        <v>8339</v>
      </c>
      <c r="F1620" s="1882"/>
      <c r="G1620" s="1882" t="str">
        <f>IF('4B'!K23="","##BLANK",'4B'!K23)</f>
        <v>##BLANK</v>
      </c>
    </row>
    <row r="1621" spans="2:7">
      <c r="B1621" s="821" t="str">
        <f>+'4B'!AO7</f>
        <v>S3040TOTTTTCUM</v>
      </c>
      <c r="D1621" s="1882"/>
      <c r="E1621" s="1628" t="s">
        <v>8339</v>
      </c>
      <c r="F1621" s="1882"/>
      <c r="G1621" s="1882" t="str">
        <f>IF('4B'!L7="","##BLANK",'4B'!L7)</f>
        <v>##BLANK</v>
      </c>
    </row>
    <row r="1622" spans="2:7">
      <c r="B1622" s="821" t="str">
        <f>+'4B'!AO10</f>
        <v>CRS004TTTCUM</v>
      </c>
      <c r="D1622" s="1882"/>
      <c r="E1622" s="1628" t="s">
        <v>8339</v>
      </c>
      <c r="F1622" s="1882"/>
      <c r="G1622" s="1882" t="str">
        <f>IF('4B'!L10="","##BLANK",'4B'!L10)</f>
        <v>##BLANK</v>
      </c>
    </row>
    <row r="1623" spans="2:7">
      <c r="B1623" s="821" t="str">
        <f>+'4B'!AO11</f>
        <v>CRS003TTTCUM</v>
      </c>
      <c r="D1623" s="1882"/>
      <c r="E1623" s="1628" t="s">
        <v>8339</v>
      </c>
      <c r="F1623" s="1882"/>
      <c r="G1623" s="1882" t="str">
        <f>IF('4B'!L11="","##BLANK",'4B'!L11)</f>
        <v>##BLANK</v>
      </c>
    </row>
    <row r="1624" spans="2:7">
      <c r="B1624" s="821" t="str">
        <f>+'4B'!AO12</f>
        <v>CRS005TTTCUM</v>
      </c>
      <c r="D1624" s="1882"/>
      <c r="E1624" s="1628" t="s">
        <v>8339</v>
      </c>
      <c r="F1624" s="1882"/>
      <c r="G1624" s="1882" t="str">
        <f>IF('4B'!L12="","##BLANK",'4B'!L12)</f>
        <v>##BLANK</v>
      </c>
    </row>
    <row r="1625" spans="2:7">
      <c r="B1625" s="821" t="str">
        <f>+'4B'!AO13</f>
        <v>CRS006TTTCUM</v>
      </c>
      <c r="D1625" s="1882"/>
      <c r="E1625" s="1628" t="s">
        <v>8339</v>
      </c>
      <c r="F1625" s="1882"/>
      <c r="G1625" s="1882">
        <f>IF('4B'!L13="","##BLANK",'4B'!L13)</f>
        <v>0</v>
      </c>
    </row>
    <row r="1626" spans="2:7">
      <c r="B1626" s="821" t="str">
        <f>+'4B'!AO16</f>
        <v>CRS011TTTCUM</v>
      </c>
      <c r="D1626" s="1882"/>
      <c r="E1626" s="1628" t="s">
        <v>8339</v>
      </c>
      <c r="F1626" s="1882"/>
      <c r="G1626" s="1882" t="str">
        <f>IF('4B'!L16="","##BLANK",'4B'!L16)</f>
        <v>##BLANK</v>
      </c>
    </row>
    <row r="1627" spans="2:7">
      <c r="B1627" s="821" t="str">
        <f>+'4B'!AO19</f>
        <v>CRS012TTTCUM</v>
      </c>
      <c r="D1627" s="1882"/>
      <c r="E1627" s="1628" t="s">
        <v>8339</v>
      </c>
      <c r="F1627" s="1882"/>
      <c r="G1627" s="1882">
        <f>IF('4B'!L19="","##BLANK",'4B'!L19)</f>
        <v>0</v>
      </c>
    </row>
    <row r="1628" spans="2:7">
      <c r="B1628" s="821" t="str">
        <f>+'4B'!AO20</f>
        <v>CRS013TTTCUM</v>
      </c>
      <c r="D1628" s="1882"/>
      <c r="E1628" s="1628" t="s">
        <v>8339</v>
      </c>
      <c r="F1628" s="1882"/>
      <c r="G1628" s="1882" t="str">
        <f>IF('4B'!L20="","##BLANK",'4B'!L20)</f>
        <v>##BLANK</v>
      </c>
    </row>
    <row r="1629" spans="2:7">
      <c r="B1629" s="821" t="str">
        <f>+'4B'!AO23</f>
        <v>CRS014TTTCUM</v>
      </c>
      <c r="D1629" s="1882"/>
      <c r="E1629" s="1628" t="s">
        <v>8339</v>
      </c>
      <c r="F1629" s="1882"/>
      <c r="G1629" s="1882" t="str">
        <f>IF('4B'!L23="","##BLANK",'4B'!L23)</f>
        <v>##BLANK</v>
      </c>
    </row>
    <row r="1630" spans="2:7">
      <c r="B1630" s="821" t="str">
        <f>+'4C'!AH6</f>
        <v>RCT00587WT</v>
      </c>
      <c r="D1630" s="1882"/>
      <c r="E1630" s="1628" t="s">
        <v>8339</v>
      </c>
      <c r="F1630" s="1882"/>
      <c r="G1630" s="1882">
        <f>IF('4C'!G6="","##BLANK",'4C'!G6)</f>
        <v>10.058</v>
      </c>
    </row>
    <row r="1631" spans="2:7">
      <c r="B1631" s="821" t="str">
        <f>+'4C'!AH7</f>
        <v>RCT00587WTC</v>
      </c>
      <c r="D1631" s="1882"/>
      <c r="E1631" s="1628" t="s">
        <v>8339</v>
      </c>
      <c r="F1631" s="1882"/>
      <c r="G1631" s="1882">
        <f>IF('4C'!G7="","##BLANK",'4C'!G7)</f>
        <v>-2.2250000000000001</v>
      </c>
    </row>
    <row r="1632" spans="2:7">
      <c r="B1632" s="821" t="str">
        <f>+'4C'!AH8</f>
        <v>RCT00587WTCR</v>
      </c>
      <c r="D1632" s="1882"/>
      <c r="E1632" s="1628" t="s">
        <v>8339</v>
      </c>
      <c r="F1632" s="1882"/>
      <c r="G1632" s="1882">
        <f>IF('4C'!G8="","##BLANK",'4C'!G8)</f>
        <v>2.57</v>
      </c>
    </row>
    <row r="1633" spans="2:7">
      <c r="B1633" s="821" t="str">
        <f>+'4C'!AH9</f>
        <v>RCT00588W</v>
      </c>
      <c r="D1633" s="1882"/>
      <c r="E1633" s="1628" t="s">
        <v>8339</v>
      </c>
      <c r="F1633" s="1882"/>
      <c r="G1633" s="1882">
        <f>IF('4C'!G9="","##BLANK",'4C'!G9)</f>
        <v>-0.81299999999999994</v>
      </c>
    </row>
    <row r="1634" spans="2:7">
      <c r="B1634" s="821" t="str">
        <f>+'4C'!AH10</f>
        <v>RCT00586W</v>
      </c>
      <c r="D1634" s="1882"/>
      <c r="E1634" s="1628" t="s">
        <v>8339</v>
      </c>
      <c r="F1634" s="1882"/>
      <c r="G1634" s="1882">
        <f>IF('4C'!G10="","##BLANK",'4C'!G10)</f>
        <v>560.85</v>
      </c>
    </row>
    <row r="1635" spans="2:7">
      <c r="B1635" s="821" t="str">
        <f>+'4C'!AH11</f>
        <v>RCT00589W</v>
      </c>
      <c r="D1635" s="1882"/>
      <c r="E1635" s="1628" t="s">
        <v>8339</v>
      </c>
      <c r="F1635" s="1882"/>
      <c r="G1635" s="1882">
        <f>IF('4C'!G11="","##BLANK",'4C'!G11)</f>
        <v>562.60699999999997</v>
      </c>
    </row>
    <row r="1636" spans="2:7">
      <c r="B1636" s="821" t="str">
        <f>+'4C'!AI6</f>
        <v>RCT00587WWT</v>
      </c>
      <c r="D1636" s="1882"/>
      <c r="E1636" s="1628" t="s">
        <v>8339</v>
      </c>
      <c r="F1636" s="1882"/>
      <c r="G1636" s="1882" t="str">
        <f>IF('4C'!H6="","##BLANK",'4C'!H6)</f>
        <v>##BLANK</v>
      </c>
    </row>
    <row r="1637" spans="2:7">
      <c r="B1637" s="821" t="str">
        <f>+'4C'!AI7</f>
        <v>RCT00587WWTC</v>
      </c>
      <c r="D1637" s="1882"/>
      <c r="E1637" s="1628" t="s">
        <v>8339</v>
      </c>
      <c r="F1637" s="1882"/>
      <c r="G1637" s="1882" t="str">
        <f>IF('4C'!H7="","##BLANK",'4C'!H7)</f>
        <v>##BLANK</v>
      </c>
    </row>
    <row r="1638" spans="2:7">
      <c r="B1638" s="821" t="str">
        <f>+'4C'!AI8</f>
        <v>RCT00587WWTCR</v>
      </c>
      <c r="D1638" s="1882"/>
      <c r="E1638" s="1628" t="s">
        <v>8339</v>
      </c>
      <c r="F1638" s="1882"/>
      <c r="G1638" s="1882" t="str">
        <f>IF('4C'!H8="","##BLANK",'4C'!H8)</f>
        <v>##BLANK</v>
      </c>
    </row>
    <row r="1639" spans="2:7">
      <c r="B1639" s="821" t="str">
        <f>+'4C'!AI9</f>
        <v>RCT00588WW</v>
      </c>
      <c r="D1639" s="1882"/>
      <c r="E1639" s="1628" t="s">
        <v>8339</v>
      </c>
      <c r="F1639" s="1882"/>
      <c r="G1639" s="1882" t="str">
        <f>IF('4C'!H9="","##BLANK",'4C'!H9)</f>
        <v>##BLANK</v>
      </c>
    </row>
    <row r="1640" spans="2:7">
      <c r="B1640" s="821" t="str">
        <f>+'4C'!AI10</f>
        <v>RCT00586WW</v>
      </c>
      <c r="D1640" s="1882"/>
      <c r="E1640" s="1628" t="s">
        <v>8339</v>
      </c>
      <c r="F1640" s="1882"/>
      <c r="G1640" s="1882" t="str">
        <f>IF('4C'!H10="","##BLANK",'4C'!H10)</f>
        <v>##BLANK</v>
      </c>
    </row>
    <row r="1641" spans="2:7">
      <c r="B1641" s="821" t="str">
        <f>+'4C'!AI11</f>
        <v>RCT00589WW</v>
      </c>
      <c r="D1641" s="1882"/>
      <c r="E1641" s="1628" t="s">
        <v>8339</v>
      </c>
      <c r="F1641" s="1882"/>
      <c r="G1641" s="1882">
        <f>IF('4C'!H11="","##BLANK",'4C'!H11)</f>
        <v>0</v>
      </c>
    </row>
    <row r="1642" spans="2:7">
      <c r="B1642" s="821" t="str">
        <f>+'4C'!AJ6</f>
        <v>RCT00587TTTT</v>
      </c>
      <c r="D1642" s="1882"/>
      <c r="E1642" s="1628" t="s">
        <v>8339</v>
      </c>
      <c r="F1642" s="1882"/>
      <c r="G1642" s="1882" t="str">
        <f>IF('4C'!I6="","##BLANK",'4C'!I6)</f>
        <v>##BLANK</v>
      </c>
    </row>
    <row r="1643" spans="2:7">
      <c r="B1643" s="821" t="str">
        <f>+'4C'!AJ7</f>
        <v>RCT00587TTTTC</v>
      </c>
      <c r="D1643" s="1882"/>
      <c r="E1643" s="1628" t="s">
        <v>8339</v>
      </c>
      <c r="F1643" s="1882"/>
      <c r="G1643" s="1882" t="str">
        <f>IF('4C'!I7="","##BLANK",'4C'!I7)</f>
        <v>##BLANK</v>
      </c>
    </row>
    <row r="1644" spans="2:7">
      <c r="B1644" s="821" t="str">
        <f>+'4C'!AJ8</f>
        <v>RCT00587TTTTCR</v>
      </c>
      <c r="D1644" s="1882"/>
      <c r="E1644" s="1628" t="s">
        <v>8339</v>
      </c>
      <c r="F1644" s="1882"/>
      <c r="G1644" s="1882" t="str">
        <f>IF('4C'!I8="","##BLANK",'4C'!I8)</f>
        <v>##BLANK</v>
      </c>
    </row>
    <row r="1645" spans="2:7">
      <c r="B1645" s="821" t="str">
        <f>+'4C'!AJ9</f>
        <v>RCT00588TTT</v>
      </c>
      <c r="D1645" s="1882"/>
      <c r="E1645" s="1628" t="s">
        <v>8339</v>
      </c>
      <c r="F1645" s="1882"/>
      <c r="G1645" s="1882" t="str">
        <f>IF('4C'!I9="","##BLANK",'4C'!I9)</f>
        <v>##BLANK</v>
      </c>
    </row>
    <row r="1646" spans="2:7">
      <c r="B1646" s="821" t="str">
        <f>+'4C'!AJ10</f>
        <v>RCT00586TTT</v>
      </c>
      <c r="D1646" s="1882"/>
      <c r="E1646" s="1628" t="s">
        <v>8339</v>
      </c>
      <c r="F1646" s="1882"/>
      <c r="G1646" s="1882" t="str">
        <f>IF('4C'!I10="","##BLANK",'4C'!I10)</f>
        <v>##BLANK</v>
      </c>
    </row>
    <row r="1647" spans="2:7">
      <c r="B1647" s="821" t="str">
        <f>+'4C'!AJ11</f>
        <v>RCT00589TTT</v>
      </c>
      <c r="D1647" s="1882"/>
      <c r="E1647" s="1628" t="s">
        <v>8339</v>
      </c>
      <c r="F1647" s="1882"/>
      <c r="G1647" s="1882">
        <f>IF('4C'!I11="","##BLANK",'4C'!I11)</f>
        <v>0</v>
      </c>
    </row>
    <row r="1648" spans="2:7">
      <c r="B1648" s="821" t="str">
        <f>+'4D'!BF7</f>
        <v>BM102AL</v>
      </c>
      <c r="D1648" s="1882"/>
      <c r="E1648" s="1628" t="s">
        <v>8339</v>
      </c>
      <c r="F1648" s="1882"/>
      <c r="G1648" s="1882">
        <f>IF('4D'!G7="","##BLANK",'4D'!G7)</f>
        <v>0</v>
      </c>
    </row>
    <row r="1649" spans="2:7">
      <c r="B1649" s="821" t="str">
        <f>+'4D'!BF8</f>
        <v>BM336AL</v>
      </c>
      <c r="D1649" s="1882"/>
      <c r="E1649" s="1628" t="s">
        <v>8339</v>
      </c>
      <c r="F1649" s="1882"/>
      <c r="G1649" s="1882">
        <f>IF('4D'!G8="","##BLANK",'4D'!G8)</f>
        <v>0</v>
      </c>
    </row>
    <row r="1650" spans="2:7">
      <c r="B1650" s="821" t="str">
        <f>+'4D'!BF9</f>
        <v>BM131AL</v>
      </c>
      <c r="D1650" s="1882"/>
      <c r="E1650" s="1628" t="s">
        <v>8339</v>
      </c>
      <c r="F1650" s="1882"/>
      <c r="G1650" s="1882">
        <f>IF('4D'!G9="","##BLANK",'4D'!G9)</f>
        <v>2.72</v>
      </c>
    </row>
    <row r="1651" spans="2:7">
      <c r="B1651" s="821" t="str">
        <f>+'4D'!BF10</f>
        <v>BM140AL</v>
      </c>
      <c r="D1651" s="1882"/>
      <c r="E1651" s="1628" t="s">
        <v>8339</v>
      </c>
      <c r="F1651" s="1882"/>
      <c r="G1651" s="1882">
        <f>IF('4D'!G10="","##BLANK",'4D'!G10)</f>
        <v>4.0000000000000001E-3</v>
      </c>
    </row>
    <row r="1652" spans="2:7">
      <c r="B1652" s="821" t="str">
        <f>+'4D'!BF11</f>
        <v>BM339ALIR</v>
      </c>
      <c r="D1652" s="1882"/>
      <c r="E1652" s="1628" t="s">
        <v>8339</v>
      </c>
      <c r="F1652" s="1882"/>
      <c r="G1652" s="1882">
        <f>IF('4D'!G11="","##BLANK",'4D'!G11)</f>
        <v>0</v>
      </c>
    </row>
    <row r="1653" spans="2:7">
      <c r="B1653" s="821" t="str">
        <f>+'4D'!BF12</f>
        <v>BM339ALNIR</v>
      </c>
      <c r="D1653" s="1882"/>
      <c r="E1653" s="1628" t="s">
        <v>8339</v>
      </c>
      <c r="F1653" s="1882"/>
      <c r="G1653" s="1882">
        <f>IF('4D'!G12="","##BLANK",'4D'!G12)</f>
        <v>0</v>
      </c>
    </row>
    <row r="1654" spans="2:7">
      <c r="B1654" s="821" t="str">
        <f>+'4D'!BF13</f>
        <v>BM339ALER</v>
      </c>
      <c r="D1654" s="1882"/>
      <c r="E1654" s="1628" t="s">
        <v>8339</v>
      </c>
      <c r="F1654" s="1882"/>
      <c r="G1654" s="1882">
        <f>IF('4D'!G13="","##BLANK",'4D'!G13)</f>
        <v>2.4740000000000002</v>
      </c>
    </row>
    <row r="1655" spans="2:7">
      <c r="B1655" s="821" t="str">
        <f>+'4D'!BF14</f>
        <v>BM317AL</v>
      </c>
      <c r="D1655" s="1882"/>
      <c r="E1655" s="1628" t="s">
        <v>8339</v>
      </c>
      <c r="F1655" s="1882"/>
      <c r="G1655" s="1882">
        <f>IF('4D'!G14="","##BLANK",'4D'!G14)</f>
        <v>0</v>
      </c>
    </row>
    <row r="1656" spans="2:7">
      <c r="B1656" s="821" t="str">
        <f>+'4D'!BF15</f>
        <v>BM319AL</v>
      </c>
      <c r="D1656" s="1882"/>
      <c r="E1656" s="1628" t="s">
        <v>8339</v>
      </c>
      <c r="F1656" s="1882"/>
      <c r="G1656" s="1882">
        <f>IF('4D'!G15="","##BLANK",'4D'!G15)</f>
        <v>5.1980000000000004</v>
      </c>
    </row>
    <row r="1657" spans="2:7">
      <c r="B1657" s="821" t="str">
        <f>+'4D'!BF17</f>
        <v>BM323AL</v>
      </c>
      <c r="D1657" s="1882"/>
      <c r="E1657" s="1628" t="s">
        <v>8339</v>
      </c>
      <c r="F1657" s="1882"/>
      <c r="G1657" s="1882">
        <f>IF('4D'!G17="","##BLANK",'4D'!G17)</f>
        <v>9.5000000000000001E-2</v>
      </c>
    </row>
    <row r="1658" spans="2:7">
      <c r="B1658" s="821" t="str">
        <f>+'4D'!BF18</f>
        <v>BM351AL</v>
      </c>
      <c r="D1658" s="1882"/>
      <c r="E1658" s="1628" t="s">
        <v>8339</v>
      </c>
      <c r="F1658" s="1882"/>
      <c r="G1658" s="1882">
        <f>IF('4D'!G18="","##BLANK",'4D'!G18)</f>
        <v>5.2930000000000001</v>
      </c>
    </row>
    <row r="1659" spans="2:7">
      <c r="B1659" s="821" t="str">
        <f>+'4D'!BF21</f>
        <v>BC30445AL</v>
      </c>
      <c r="D1659" s="1882"/>
      <c r="E1659" s="1628" t="s">
        <v>8339</v>
      </c>
      <c r="F1659" s="1882"/>
      <c r="G1659" s="1882">
        <f>IF('4D'!G21="","##BLANK",'4D'!G21)</f>
        <v>0</v>
      </c>
    </row>
    <row r="1660" spans="2:7">
      <c r="B1660" s="821" t="str">
        <f>+'4D'!BF22</f>
        <v>CW00036AL</v>
      </c>
      <c r="D1660" s="1882"/>
      <c r="E1660" s="1628" t="s">
        <v>8339</v>
      </c>
      <c r="F1660" s="1882"/>
      <c r="G1660" s="1882">
        <f>IF('4D'!G22="","##BLANK",'4D'!G22)</f>
        <v>0</v>
      </c>
    </row>
    <row r="1661" spans="2:7">
      <c r="B1661" s="821" t="str">
        <f>+'4D'!BF23</f>
        <v>BC30444AL</v>
      </c>
      <c r="D1661" s="1882"/>
      <c r="E1661" s="1628" t="s">
        <v>8339</v>
      </c>
      <c r="F1661" s="1882"/>
      <c r="G1661" s="1882">
        <f>IF('4D'!G23="","##BLANK",'4D'!G23)</f>
        <v>0</v>
      </c>
    </row>
    <row r="1662" spans="2:7">
      <c r="B1662" s="821" t="str">
        <f>+'4D'!BF24</f>
        <v>CW00037AL</v>
      </c>
      <c r="D1662" s="1882"/>
      <c r="E1662" s="1628" t="s">
        <v>8339</v>
      </c>
      <c r="F1662" s="1882"/>
      <c r="G1662" s="1882">
        <f>IF('4D'!G24="","##BLANK",'4D'!G24)</f>
        <v>0</v>
      </c>
    </row>
    <row r="1663" spans="2:7">
      <c r="B1663" s="821" t="str">
        <f>+'4D'!BF25</f>
        <v>BC30449AL</v>
      </c>
      <c r="D1663" s="1882"/>
      <c r="E1663" s="1628" t="s">
        <v>8339</v>
      </c>
      <c r="F1663" s="1882"/>
      <c r="G1663" s="1882">
        <f>IF('4D'!G25="","##BLANK",'4D'!G25)</f>
        <v>0</v>
      </c>
    </row>
    <row r="1664" spans="2:7">
      <c r="B1664" s="821" t="str">
        <f>+'4D'!BF26</f>
        <v>BC30498AL</v>
      </c>
      <c r="D1664" s="1882"/>
      <c r="E1664" s="1628" t="s">
        <v>8339</v>
      </c>
      <c r="F1664" s="1882"/>
      <c r="G1664" s="1882">
        <f>IF('4D'!G26="","##BLANK",'4D'!G26)</f>
        <v>0</v>
      </c>
    </row>
    <row r="1665" spans="2:7">
      <c r="B1665" s="821" t="str">
        <f>+'4D'!BF27</f>
        <v>BM333AL</v>
      </c>
      <c r="D1665" s="1882"/>
      <c r="E1665" s="1628" t="s">
        <v>8339</v>
      </c>
      <c r="F1665" s="1882"/>
      <c r="G1665" s="1882">
        <f>IF('4D'!G27="","##BLANK",'4D'!G27)</f>
        <v>0</v>
      </c>
    </row>
    <row r="1666" spans="2:7">
      <c r="B1666" s="821" t="str">
        <f>+'4D'!BF28</f>
        <v>BA1070AL</v>
      </c>
      <c r="D1666" s="1882"/>
      <c r="E1666" s="1628" t="s">
        <v>8339</v>
      </c>
      <c r="F1666" s="1882"/>
      <c r="G1666" s="1882">
        <f>IF('4D'!G28="","##BLANK",'4D'!G28)</f>
        <v>0</v>
      </c>
    </row>
    <row r="1667" spans="2:7">
      <c r="B1667" s="821" t="str">
        <f>+'4D'!BF31</f>
        <v>BA1071AL</v>
      </c>
      <c r="D1667" s="1882"/>
      <c r="E1667" s="1628" t="s">
        <v>8339</v>
      </c>
      <c r="F1667" s="1882"/>
      <c r="G1667" s="1882">
        <f>IF('4D'!G31="","##BLANK",'4D'!G31)</f>
        <v>0</v>
      </c>
    </row>
    <row r="1668" spans="2:7">
      <c r="B1668" s="821" t="str">
        <f>+'4D'!BF33</f>
        <v>BM325AL</v>
      </c>
      <c r="D1668" s="1882"/>
      <c r="E1668" s="1628" t="s">
        <v>8339</v>
      </c>
      <c r="F1668" s="1882"/>
      <c r="G1668" s="1882">
        <f>IF('4D'!G33="","##BLANK",'4D'!G33)</f>
        <v>5.2930000000000001</v>
      </c>
    </row>
    <row r="1669" spans="2:7">
      <c r="B1669" s="821" t="str">
        <f>+'4D'!BF36</f>
        <v>CR00558AL</v>
      </c>
      <c r="D1669" s="1882"/>
      <c r="E1669" s="1628" t="s">
        <v>8339</v>
      </c>
      <c r="F1669" s="1882"/>
      <c r="G1669" s="1882">
        <f>IF('4D'!G36="","##BLANK",'4D'!G36)</f>
        <v>0</v>
      </c>
    </row>
    <row r="1670" spans="2:7">
      <c r="B1670" s="821" t="str">
        <f>+'4D'!BF37</f>
        <v>CR00561AL</v>
      </c>
      <c r="D1670" s="1882"/>
      <c r="E1670" s="1628" t="s">
        <v>8339</v>
      </c>
      <c r="F1670" s="1882"/>
      <c r="G1670" s="1882">
        <f>IF('4D'!G37="","##BLANK",'4D'!G37)</f>
        <v>0</v>
      </c>
    </row>
    <row r="1671" spans="2:7">
      <c r="B1671" s="821" t="str">
        <f>+'4D'!BF39</f>
        <v>W3026AL</v>
      </c>
      <c r="D1671" s="1882"/>
      <c r="E1671" s="1628" t="s">
        <v>8339</v>
      </c>
      <c r="F1671" s="1882"/>
      <c r="G1671" s="1882">
        <f>IF('4D'!G39="","##BLANK",'4D'!G39)</f>
        <v>5.2930000000000001</v>
      </c>
    </row>
    <row r="1672" spans="2:7">
      <c r="B1672" s="821" t="str">
        <f>+'4D'!BF42</f>
        <v>CRASAL005</v>
      </c>
      <c r="D1672" s="1882"/>
      <c r="E1672" s="1628" t="s">
        <v>8339</v>
      </c>
      <c r="F1672" s="1882"/>
      <c r="G1672" s="1882">
        <f>IF('4D'!G42="","##BLANK",'4D'!G42)</f>
        <v>176692</v>
      </c>
    </row>
    <row r="1673" spans="2:7">
      <c r="B1673" s="821" t="str">
        <f>+'4D'!BF48</f>
        <v>CRASAL006</v>
      </c>
      <c r="D1673" s="1882"/>
      <c r="E1673" s="1628" t="s">
        <v>8339</v>
      </c>
      <c r="F1673" s="1882"/>
      <c r="G1673" s="1882">
        <f>IF('4D'!G48="","##BLANK",'4D'!G48)</f>
        <v>29.956081769406651</v>
      </c>
    </row>
    <row r="1674" spans="2:7">
      <c r="B1674" s="821" t="str">
        <f>+'4D'!BF49</f>
        <v>BN2590AL</v>
      </c>
      <c r="D1674" s="1882"/>
      <c r="E1674" s="1628" t="s">
        <v>8339</v>
      </c>
      <c r="F1674" s="1882"/>
      <c r="G1674" s="1882">
        <f>IF('4D'!G49="","##BLANK",'4D'!G49)</f>
        <v>1227.0360000000001</v>
      </c>
    </row>
    <row r="1675" spans="2:7">
      <c r="B1675" s="821" t="str">
        <f>+'4D'!BF50</f>
        <v>BN2591AL</v>
      </c>
      <c r="D1675" s="1882"/>
      <c r="E1675" s="1628" t="s">
        <v>8339</v>
      </c>
      <c r="F1675" s="1882"/>
      <c r="G1675" s="1882">
        <f>IF('4D'!G50="","##BLANK",'4D'!G50)</f>
        <v>4.3136468693665053</v>
      </c>
    </row>
    <row r="1676" spans="2:7">
      <c r="B1676" s="821" t="str">
        <f>+'4D'!BG7</f>
        <v>BM102RWA</v>
      </c>
      <c r="D1676" s="1882"/>
      <c r="E1676" s="1628" t="s">
        <v>8339</v>
      </c>
      <c r="F1676" s="1882"/>
      <c r="G1676" s="1882">
        <f>IF('4D'!H7="","##BLANK",'4D'!H7)</f>
        <v>1.6850000000000001</v>
      </c>
    </row>
    <row r="1677" spans="2:7">
      <c r="B1677" s="821" t="str">
        <f>+'4D'!BG8</f>
        <v>BM336RWA</v>
      </c>
      <c r="D1677" s="1882"/>
      <c r="E1677" s="1628" t="s">
        <v>8339</v>
      </c>
      <c r="F1677" s="1882"/>
      <c r="G1677" s="1882">
        <f>IF('4D'!H8="","##BLANK",'4D'!H8)</f>
        <v>0</v>
      </c>
    </row>
    <row r="1678" spans="2:7">
      <c r="B1678" s="821" t="str">
        <f>+'4D'!BG9</f>
        <v>BM131RWA</v>
      </c>
      <c r="D1678" s="1882"/>
      <c r="E1678" s="1628" t="s">
        <v>8339</v>
      </c>
      <c r="F1678" s="1882"/>
      <c r="G1678" s="1882">
        <f>IF('4D'!H9="","##BLANK",'4D'!H9)</f>
        <v>0</v>
      </c>
    </row>
    <row r="1679" spans="2:7">
      <c r="B1679" s="821" t="str">
        <f>+'4D'!BG10</f>
        <v>BM140RWA</v>
      </c>
      <c r="D1679" s="1882"/>
      <c r="E1679" s="1628" t="s">
        <v>8339</v>
      </c>
      <c r="F1679" s="1882"/>
      <c r="G1679" s="1882">
        <f>IF('4D'!H10="","##BLANK",'4D'!H10)</f>
        <v>1.2E-2</v>
      </c>
    </row>
    <row r="1680" spans="2:7">
      <c r="B1680" s="821" t="str">
        <f>+'4D'!BG11</f>
        <v>BM339RWAIR</v>
      </c>
      <c r="D1680" s="1882"/>
      <c r="E1680" s="1628" t="s">
        <v>8339</v>
      </c>
      <c r="F1680" s="1882"/>
      <c r="G1680" s="1882">
        <f>IF('4D'!H11="","##BLANK",'4D'!H11)</f>
        <v>0.11799999999999999</v>
      </c>
    </row>
    <row r="1681" spans="2:7">
      <c r="B1681" s="821" t="str">
        <f>+'4D'!BG12</f>
        <v>BM339RWANIR</v>
      </c>
      <c r="D1681" s="1882"/>
      <c r="E1681" s="1628" t="s">
        <v>8339</v>
      </c>
      <c r="F1681" s="1882"/>
      <c r="G1681" s="1882">
        <f>IF('4D'!H12="","##BLANK",'4D'!H12)</f>
        <v>0</v>
      </c>
    </row>
    <row r="1682" spans="2:7">
      <c r="B1682" s="821" t="str">
        <f>+'4D'!BG13</f>
        <v>BM339RWAER</v>
      </c>
      <c r="D1682" s="1882"/>
      <c r="E1682" s="1628" t="s">
        <v>8339</v>
      </c>
      <c r="F1682" s="1882"/>
      <c r="G1682" s="1882">
        <f>IF('4D'!H13="","##BLANK",'4D'!H13)</f>
        <v>7.4779999999999998</v>
      </c>
    </row>
    <row r="1683" spans="2:7">
      <c r="B1683" s="821" t="str">
        <f>+'4D'!BG14</f>
        <v>BM317RWA</v>
      </c>
      <c r="D1683" s="1882"/>
      <c r="E1683" s="1628" t="s">
        <v>8339</v>
      </c>
      <c r="F1683" s="1882"/>
      <c r="G1683" s="1882">
        <f>IF('4D'!H14="","##BLANK",'4D'!H14)</f>
        <v>1.292</v>
      </c>
    </row>
    <row r="1684" spans="2:7">
      <c r="B1684" s="821" t="str">
        <f>+'4D'!BG15</f>
        <v>BM319RWA</v>
      </c>
      <c r="D1684" s="1882"/>
      <c r="E1684" s="1628" t="s">
        <v>8339</v>
      </c>
      <c r="F1684" s="1882"/>
      <c r="G1684" s="1882">
        <f>IF('4D'!H15="","##BLANK",'4D'!H15)</f>
        <v>10.584999999999999</v>
      </c>
    </row>
    <row r="1685" spans="2:7">
      <c r="B1685" s="821" t="str">
        <f>+'4D'!BG17</f>
        <v>BM323RWA</v>
      </c>
      <c r="D1685" s="1882"/>
      <c r="E1685" s="1628" t="s">
        <v>8339</v>
      </c>
      <c r="F1685" s="1882"/>
      <c r="G1685" s="1882">
        <f>IF('4D'!H17="","##BLANK",'4D'!H17)</f>
        <v>0.16300000000000001</v>
      </c>
    </row>
    <row r="1686" spans="2:7">
      <c r="B1686" s="821" t="str">
        <f>+'4D'!BG18</f>
        <v>BM351RWA</v>
      </c>
      <c r="D1686" s="1882"/>
      <c r="E1686" s="1628" t="s">
        <v>8339</v>
      </c>
      <c r="F1686" s="1882"/>
      <c r="G1686" s="1882">
        <f>IF('4D'!H18="","##BLANK",'4D'!H18)</f>
        <v>10.747999999999999</v>
      </c>
    </row>
    <row r="1687" spans="2:7">
      <c r="B1687" s="821" t="str">
        <f>+'4D'!BG21</f>
        <v>BC30445RWA</v>
      </c>
      <c r="D1687" s="1882"/>
      <c r="E1687" s="1628" t="s">
        <v>8339</v>
      </c>
      <c r="F1687" s="1882"/>
      <c r="G1687" s="1882">
        <f>IF('4D'!H21="","##BLANK",'4D'!H21)</f>
        <v>0.68243299999999996</v>
      </c>
    </row>
    <row r="1688" spans="2:7">
      <c r="B1688" s="821" t="str">
        <f>+'4D'!BG22</f>
        <v>CW00036RWA</v>
      </c>
      <c r="D1688" s="1882"/>
      <c r="E1688" s="1628" t="s">
        <v>8339</v>
      </c>
      <c r="F1688" s="1882"/>
      <c r="G1688" s="1882">
        <f>IF('4D'!H22="","##BLANK",'4D'!H22)</f>
        <v>1.4641093631228497</v>
      </c>
    </row>
    <row r="1689" spans="2:7">
      <c r="B1689" s="821" t="str">
        <f>+'4D'!BG23</f>
        <v>BC30444RWA</v>
      </c>
      <c r="D1689" s="1882"/>
      <c r="E1689" s="1628" t="s">
        <v>8339</v>
      </c>
      <c r="F1689" s="1882"/>
      <c r="G1689" s="1882">
        <f>IF('4D'!H23="","##BLANK",'4D'!H23)</f>
        <v>0</v>
      </c>
    </row>
    <row r="1690" spans="2:7">
      <c r="B1690" s="821" t="str">
        <f>+'4D'!BG24</f>
        <v>CW00037RWA</v>
      </c>
      <c r="D1690" s="1882"/>
      <c r="E1690" s="1628" t="s">
        <v>8339</v>
      </c>
      <c r="F1690" s="1882"/>
      <c r="G1690" s="1882">
        <f>IF('4D'!H24="","##BLANK",'4D'!H24)</f>
        <v>1.0701603409919898</v>
      </c>
    </row>
    <row r="1691" spans="2:7">
      <c r="B1691" s="821" t="str">
        <f>+'4D'!BG25</f>
        <v>BC30449RWA</v>
      </c>
      <c r="D1691" s="1882"/>
      <c r="E1691" s="1628" t="s">
        <v>8339</v>
      </c>
      <c r="F1691" s="1882"/>
      <c r="G1691" s="1882">
        <f>IF('4D'!H25="","##BLANK",'4D'!H25)</f>
        <v>0</v>
      </c>
    </row>
    <row r="1692" spans="2:7">
      <c r="B1692" s="821" t="str">
        <f>+'4D'!BG26</f>
        <v>BC30498RWA</v>
      </c>
      <c r="D1692" s="1882"/>
      <c r="E1692" s="1628" t="s">
        <v>8339</v>
      </c>
      <c r="F1692" s="1882"/>
      <c r="G1692" s="1882">
        <f>IF('4D'!H26="","##BLANK",'4D'!H26)</f>
        <v>3.2167027041148395</v>
      </c>
    </row>
    <row r="1693" spans="2:7">
      <c r="B1693" s="821" t="str">
        <f>+'4D'!BG27</f>
        <v>BM333RWA</v>
      </c>
      <c r="D1693" s="1882"/>
      <c r="E1693" s="1628" t="s">
        <v>8339</v>
      </c>
      <c r="F1693" s="1882"/>
      <c r="G1693" s="1882">
        <f>IF('4D'!H27="","##BLANK",'4D'!H27)</f>
        <v>6.9999999999999999E-4</v>
      </c>
    </row>
    <row r="1694" spans="2:7">
      <c r="B1694" s="821" t="str">
        <f>+'4D'!BG28</f>
        <v>BA1070RWA</v>
      </c>
      <c r="D1694" s="1882"/>
      <c r="E1694" s="1628" t="s">
        <v>8339</v>
      </c>
      <c r="F1694" s="1882"/>
      <c r="G1694" s="1882">
        <f>IF('4D'!H28="","##BLANK",'4D'!H28)</f>
        <v>3.2174027041148396</v>
      </c>
    </row>
    <row r="1695" spans="2:7">
      <c r="B1695" s="821" t="str">
        <f>+'4D'!BG31</f>
        <v>BA1071RWA</v>
      </c>
      <c r="D1695" s="1882"/>
      <c r="E1695" s="1628" t="s">
        <v>8339</v>
      </c>
      <c r="F1695" s="1882"/>
      <c r="G1695" s="1882">
        <f>IF('4D'!H31="","##BLANK",'4D'!H31)</f>
        <v>0</v>
      </c>
    </row>
    <row r="1696" spans="2:7">
      <c r="B1696" s="821" t="str">
        <f>+'4D'!BG33</f>
        <v>BM325RWA</v>
      </c>
      <c r="D1696" s="1882"/>
      <c r="E1696" s="1628" t="s">
        <v>8339</v>
      </c>
      <c r="F1696" s="1882"/>
      <c r="G1696" s="1882">
        <f>IF('4D'!H33="","##BLANK",'4D'!H33)</f>
        <v>13.965402704114839</v>
      </c>
    </row>
    <row r="1697" spans="2:7">
      <c r="B1697" s="821" t="str">
        <f>+'4D'!BG36</f>
        <v>CR00558RWA</v>
      </c>
      <c r="D1697" s="1882"/>
      <c r="E1697" s="1628" t="s">
        <v>8339</v>
      </c>
      <c r="F1697" s="1882"/>
      <c r="G1697" s="1882">
        <f>IF('4D'!H36="","##BLANK",'4D'!H36)</f>
        <v>0</v>
      </c>
    </row>
    <row r="1698" spans="2:7">
      <c r="B1698" s="821" t="str">
        <f>+'4D'!BG37</f>
        <v>CR00561RWA</v>
      </c>
      <c r="D1698" s="1882"/>
      <c r="E1698" s="1628" t="s">
        <v>8339</v>
      </c>
      <c r="F1698" s="1882"/>
      <c r="G1698" s="1882">
        <f>IF('4D'!H37="","##BLANK",'4D'!H37)</f>
        <v>0</v>
      </c>
    </row>
    <row r="1699" spans="2:7">
      <c r="B1699" s="821" t="str">
        <f>+'4D'!BG39</f>
        <v>W3026RWA</v>
      </c>
      <c r="D1699" s="1882"/>
      <c r="E1699" s="1628" t="s">
        <v>8339</v>
      </c>
      <c r="F1699" s="1882"/>
      <c r="G1699" s="1882">
        <f>IF('4D'!H39="","##BLANK",'4D'!H39)</f>
        <v>13.965402704114839</v>
      </c>
    </row>
    <row r="1700" spans="2:7">
      <c r="B1700" s="821" t="str">
        <f>+'4D'!BG43</f>
        <v>CRASREA005</v>
      </c>
      <c r="D1700" s="1882"/>
      <c r="E1700" s="1628" t="s">
        <v>8339</v>
      </c>
      <c r="F1700" s="1882"/>
      <c r="G1700" s="1882">
        <f>IF('4D'!H43="","##BLANK",'4D'!H43)</f>
        <v>98699</v>
      </c>
    </row>
    <row r="1701" spans="2:7">
      <c r="B1701" s="821" t="str">
        <f>+'4D'!BG48</f>
        <v>CRASRWA006</v>
      </c>
      <c r="D1701" s="1882"/>
      <c r="E1701" s="1628" t="s">
        <v>8339</v>
      </c>
      <c r="F1701" s="1882"/>
      <c r="G1701" s="1882">
        <f>IF('4D'!H48="","##BLANK",'4D'!H48)</f>
        <v>108.89674667423175</v>
      </c>
    </row>
    <row r="1702" spans="2:7">
      <c r="B1702" s="821" t="str">
        <f>+'4D'!BG49</f>
        <v>BN2590RWA</v>
      </c>
      <c r="D1702" s="1882"/>
      <c r="E1702" s="1628" t="s">
        <v>8339</v>
      </c>
      <c r="F1702" s="1882"/>
      <c r="G1702" s="1882">
        <f>IF('4D'!H49="","##BLANK",'4D'!H49)</f>
        <v>1227.0360000000001</v>
      </c>
    </row>
    <row r="1703" spans="2:7">
      <c r="B1703" s="821" t="str">
        <f>+'4D'!BG50</f>
        <v>BN2591RWA</v>
      </c>
      <c r="D1703" s="1882"/>
      <c r="E1703" s="1628" t="s">
        <v>8339</v>
      </c>
      <c r="F1703" s="1882"/>
      <c r="G1703" s="1882">
        <f>IF('4D'!H50="","##BLANK",'4D'!H50)</f>
        <v>8.7593192049785014</v>
      </c>
    </row>
    <row r="1704" spans="2:7">
      <c r="B1704" s="821" t="str">
        <f>+'4D'!BH7</f>
        <v>BM202RWT</v>
      </c>
      <c r="D1704" s="1882"/>
      <c r="E1704" s="1628" t="s">
        <v>8339</v>
      </c>
      <c r="F1704" s="1882"/>
      <c r="G1704" s="1882">
        <f>IF('4D'!I7="","##BLANK",'4D'!I7)</f>
        <v>3.1E-2</v>
      </c>
    </row>
    <row r="1705" spans="2:7">
      <c r="B1705" s="821" t="str">
        <f>+'4D'!BH8</f>
        <v>BM336RWT</v>
      </c>
      <c r="D1705" s="1882"/>
      <c r="E1705" s="1628" t="s">
        <v>8339</v>
      </c>
      <c r="F1705" s="1882"/>
      <c r="G1705" s="1882">
        <f>IF('4D'!I8="","##BLANK",'4D'!I8)</f>
        <v>0</v>
      </c>
    </row>
    <row r="1706" spans="2:7">
      <c r="B1706" s="821" t="str">
        <f>+'4D'!BH9</f>
        <v>BM231RWT</v>
      </c>
      <c r="D1706" s="1882"/>
      <c r="E1706" s="1628" t="s">
        <v>8339</v>
      </c>
      <c r="F1706" s="1882"/>
      <c r="G1706" s="1882">
        <f>IF('4D'!I9="","##BLANK",'4D'!I9)</f>
        <v>6.0000000000000001E-3</v>
      </c>
    </row>
    <row r="1707" spans="2:7">
      <c r="B1707" s="821" t="str">
        <f>+'4D'!BH10</f>
        <v>BM240RWT</v>
      </c>
      <c r="D1707" s="1882"/>
      <c r="E1707" s="1628" t="s">
        <v>8339</v>
      </c>
      <c r="F1707" s="1882"/>
      <c r="G1707" s="1882">
        <f>IF('4D'!I10="","##BLANK",'4D'!I10)</f>
        <v>0</v>
      </c>
    </row>
    <row r="1708" spans="2:7">
      <c r="B1708" s="821" t="str">
        <f>+'4D'!BH11</f>
        <v>BM339RWTIR</v>
      </c>
      <c r="D1708" s="1882"/>
      <c r="E1708" s="1628" t="s">
        <v>8339</v>
      </c>
      <c r="F1708" s="1882"/>
      <c r="G1708" s="1882">
        <f>IF('4D'!I11="","##BLANK",'4D'!I11)</f>
        <v>2.8000000000000001E-2</v>
      </c>
    </row>
    <row r="1709" spans="2:7">
      <c r="B1709" s="821" t="str">
        <f>+'4D'!BH12</f>
        <v>BM339RWTNIR</v>
      </c>
      <c r="D1709" s="1882"/>
      <c r="E1709" s="1628" t="s">
        <v>8339</v>
      </c>
      <c r="F1709" s="1882"/>
      <c r="G1709" s="1882">
        <f>IF('4D'!I12="","##BLANK",'4D'!I12)</f>
        <v>0</v>
      </c>
    </row>
    <row r="1710" spans="2:7">
      <c r="B1710" s="821" t="str">
        <f>+'4D'!BH13</f>
        <v>BM339RWTER</v>
      </c>
      <c r="D1710" s="1882"/>
      <c r="E1710" s="1628" t="s">
        <v>8339</v>
      </c>
      <c r="F1710" s="1882"/>
      <c r="G1710" s="1882">
        <f>IF('4D'!I13="","##BLANK",'4D'!I13)</f>
        <v>0.85</v>
      </c>
    </row>
    <row r="1711" spans="2:7">
      <c r="B1711" s="821" t="str">
        <f>+'4D'!BH14</f>
        <v>BM317RWT</v>
      </c>
      <c r="D1711" s="1882"/>
      <c r="E1711" s="1628" t="s">
        <v>8339</v>
      </c>
      <c r="F1711" s="1882"/>
      <c r="G1711" s="1882">
        <f>IF('4D'!I14="","##BLANK",'4D'!I14)</f>
        <v>0.16900000000000001</v>
      </c>
    </row>
    <row r="1712" spans="2:7">
      <c r="B1712" s="821" t="str">
        <f>+'4D'!BH15</f>
        <v>BM319RWT</v>
      </c>
      <c r="D1712" s="1882"/>
      <c r="E1712" s="1628" t="s">
        <v>8339</v>
      </c>
      <c r="F1712" s="1882"/>
      <c r="G1712" s="1882">
        <f>IF('4D'!I15="","##BLANK",'4D'!I15)</f>
        <v>1.0840000000000001</v>
      </c>
    </row>
    <row r="1713" spans="2:7">
      <c r="B1713" s="821" t="str">
        <f>+'4D'!BH17</f>
        <v>BM323RWT</v>
      </c>
      <c r="D1713" s="1882"/>
      <c r="E1713" s="1628" t="s">
        <v>8339</v>
      </c>
      <c r="F1713" s="1882"/>
      <c r="G1713" s="1882">
        <f>IF('4D'!I17="","##BLANK",'4D'!I17)</f>
        <v>0</v>
      </c>
    </row>
    <row r="1714" spans="2:7">
      <c r="B1714" s="821" t="str">
        <f>+'4D'!BH18</f>
        <v>BM351RWT</v>
      </c>
      <c r="D1714" s="1882"/>
      <c r="E1714" s="1628" t="s">
        <v>8339</v>
      </c>
      <c r="F1714" s="1882"/>
      <c r="G1714" s="1882">
        <f>IF('4D'!I18="","##BLANK",'4D'!I18)</f>
        <v>1.0840000000000001</v>
      </c>
    </row>
    <row r="1715" spans="2:7">
      <c r="B1715" s="821" t="str">
        <f>+'4D'!BH21</f>
        <v>BC30445RWT</v>
      </c>
      <c r="D1715" s="1882"/>
      <c r="E1715" s="1628" t="s">
        <v>8339</v>
      </c>
      <c r="F1715" s="1882"/>
      <c r="G1715" s="1882">
        <f>IF('4D'!I21="","##BLANK",'4D'!I21)</f>
        <v>0</v>
      </c>
    </row>
    <row r="1716" spans="2:7">
      <c r="B1716" s="821" t="str">
        <f>+'4D'!BH22</f>
        <v>CW00036RWT</v>
      </c>
      <c r="D1716" s="1882"/>
      <c r="E1716" s="1628" t="s">
        <v>8339</v>
      </c>
      <c r="F1716" s="1882"/>
      <c r="G1716" s="1882">
        <f>IF('4D'!I22="","##BLANK",'4D'!I22)</f>
        <v>6.7342240602281778E-2</v>
      </c>
    </row>
    <row r="1717" spans="2:7">
      <c r="B1717" s="821" t="str">
        <f>+'4D'!BH23</f>
        <v>BC30444RWT</v>
      </c>
      <c r="D1717" s="1882"/>
      <c r="E1717" s="1628" t="s">
        <v>8339</v>
      </c>
      <c r="F1717" s="1882"/>
      <c r="G1717" s="1882">
        <f>IF('4D'!I23="","##BLANK",'4D'!I23)</f>
        <v>0</v>
      </c>
    </row>
    <row r="1718" spans="2:7">
      <c r="B1718" s="821" t="str">
        <f>+'4D'!BH24</f>
        <v>CW00037RWT</v>
      </c>
      <c r="D1718" s="1882"/>
      <c r="E1718" s="1628" t="s">
        <v>8339</v>
      </c>
      <c r="F1718" s="1882"/>
      <c r="G1718" s="1882">
        <f>IF('4D'!I24="","##BLANK",'4D'!I24)</f>
        <v>9.1184843960956505E-4</v>
      </c>
    </row>
    <row r="1719" spans="2:7">
      <c r="B1719" s="821" t="str">
        <f>+'4D'!BH25</f>
        <v>BC30449RWT</v>
      </c>
      <c r="D1719" s="1882"/>
      <c r="E1719" s="1628" t="s">
        <v>8339</v>
      </c>
      <c r="F1719" s="1882"/>
      <c r="G1719" s="1882">
        <f>IF('4D'!I25="","##BLANK",'4D'!I25)</f>
        <v>0</v>
      </c>
    </row>
    <row r="1720" spans="2:7">
      <c r="B1720" s="821" t="str">
        <f>+'4D'!BH26</f>
        <v>BC30498RWT</v>
      </c>
      <c r="D1720" s="1882"/>
      <c r="E1720" s="1628" t="s">
        <v>8339</v>
      </c>
      <c r="F1720" s="1882"/>
      <c r="G1720" s="1882">
        <f>IF('4D'!I26="","##BLANK",'4D'!I26)</f>
        <v>6.8254089041891342E-2</v>
      </c>
    </row>
    <row r="1721" spans="2:7">
      <c r="B1721" s="821" t="str">
        <f>+'4D'!BH27</f>
        <v>BM333RWT</v>
      </c>
      <c r="D1721" s="1882"/>
      <c r="E1721" s="1628" t="s">
        <v>8339</v>
      </c>
      <c r="F1721" s="1882"/>
      <c r="G1721" s="1882">
        <f>IF('4D'!I27="","##BLANK",'4D'!I27)</f>
        <v>0</v>
      </c>
    </row>
    <row r="1722" spans="2:7">
      <c r="B1722" s="821" t="str">
        <f>+'4D'!BH28</f>
        <v>BA1070RWT</v>
      </c>
      <c r="D1722" s="1882"/>
      <c r="E1722" s="1628" t="s">
        <v>8339</v>
      </c>
      <c r="F1722" s="1882"/>
      <c r="G1722" s="1882">
        <f>IF('4D'!I28="","##BLANK",'4D'!I28)</f>
        <v>6.8254089041891342E-2</v>
      </c>
    </row>
    <row r="1723" spans="2:7">
      <c r="B1723" s="821" t="str">
        <f>+'4D'!BH31</f>
        <v>BA1071RWT</v>
      </c>
      <c r="D1723" s="1882"/>
      <c r="E1723" s="1628" t="s">
        <v>8339</v>
      </c>
      <c r="F1723" s="1882"/>
      <c r="G1723" s="1882">
        <f>IF('4D'!I31="","##BLANK",'4D'!I31)</f>
        <v>0</v>
      </c>
    </row>
    <row r="1724" spans="2:7">
      <c r="B1724" s="821" t="str">
        <f>+'4D'!BH33</f>
        <v>BM325RWT</v>
      </c>
      <c r="D1724" s="1882"/>
      <c r="E1724" s="1628" t="s">
        <v>8339</v>
      </c>
      <c r="F1724" s="1882"/>
      <c r="G1724" s="1882">
        <f>IF('4D'!I33="","##BLANK",'4D'!I33)</f>
        <v>1.1522540890418913</v>
      </c>
    </row>
    <row r="1725" spans="2:7">
      <c r="B1725" s="821" t="str">
        <f>+'4D'!BH36</f>
        <v>CR00558RWT</v>
      </c>
      <c r="D1725" s="1882"/>
      <c r="E1725" s="1628" t="s">
        <v>8339</v>
      </c>
      <c r="F1725" s="1882"/>
      <c r="G1725" s="1882">
        <f>IF('4D'!I36="","##BLANK",'4D'!I36)</f>
        <v>0</v>
      </c>
    </row>
    <row r="1726" spans="2:7">
      <c r="B1726" s="821" t="str">
        <f>+'4D'!BH37</f>
        <v>CR00561RWT</v>
      </c>
      <c r="D1726" s="1882"/>
      <c r="E1726" s="1628" t="s">
        <v>8339</v>
      </c>
      <c r="F1726" s="1882"/>
      <c r="G1726" s="1882">
        <f>IF('4D'!I37="","##BLANK",'4D'!I37)</f>
        <v>0</v>
      </c>
    </row>
    <row r="1727" spans="2:7">
      <c r="B1727" s="821" t="str">
        <f>+'4D'!BH39</f>
        <v>W3026RWT</v>
      </c>
      <c r="D1727" s="1882"/>
      <c r="E1727" s="1628" t="s">
        <v>8339</v>
      </c>
      <c r="F1727" s="1882"/>
      <c r="G1727" s="1882">
        <f>IF('4D'!I39="","##BLANK",'4D'!I39)</f>
        <v>1.1522540890418913</v>
      </c>
    </row>
    <row r="1728" spans="2:7">
      <c r="B1728" s="821" t="str">
        <f>+'4D'!BH44</f>
        <v>CRASRWT005</v>
      </c>
      <c r="D1728" s="1882"/>
      <c r="E1728" s="1628" t="s">
        <v>8339</v>
      </c>
      <c r="F1728" s="1882"/>
      <c r="G1728" s="1882">
        <f>IF('4D'!I44="","##BLANK",'4D'!I44)</f>
        <v>95548.5</v>
      </c>
    </row>
    <row r="1729" spans="2:7">
      <c r="B1729" s="821" t="str">
        <f>+'4D'!BH48</f>
        <v>CRASRWT006</v>
      </c>
      <c r="D1729" s="1882"/>
      <c r="E1729" s="1628" t="s">
        <v>8339</v>
      </c>
      <c r="F1729" s="1882"/>
      <c r="G1729" s="1882">
        <f>IF('4D'!I48="","##BLANK",'4D'!I48)</f>
        <v>11.345023731403423</v>
      </c>
    </row>
    <row r="1730" spans="2:7">
      <c r="B1730" s="821" t="str">
        <f>+'4D'!BH49</f>
        <v>BN2590RWT</v>
      </c>
      <c r="D1730" s="1882"/>
      <c r="E1730" s="1628" t="s">
        <v>8339</v>
      </c>
      <c r="F1730" s="1882"/>
      <c r="G1730" s="1882">
        <f>IF('4D'!I49="","##BLANK",'4D'!I49)</f>
        <v>1227.0360000000001</v>
      </c>
    </row>
    <row r="1731" spans="2:7">
      <c r="B1731" s="821" t="str">
        <f>+'4D'!BH50</f>
        <v>BN2591RWT</v>
      </c>
      <c r="D1731" s="1882"/>
      <c r="E1731" s="1628" t="s">
        <v>8339</v>
      </c>
      <c r="F1731" s="1882"/>
      <c r="G1731" s="1882">
        <f>IF('4D'!I50="","##BLANK",'4D'!I50)</f>
        <v>0.88342966302537163</v>
      </c>
    </row>
    <row r="1732" spans="2:7">
      <c r="B1732" s="821" t="str">
        <f>+'4D'!BI7</f>
        <v>BM202RWS</v>
      </c>
      <c r="D1732" s="1882"/>
      <c r="E1732" s="1628" t="s">
        <v>8339</v>
      </c>
      <c r="F1732" s="1882"/>
      <c r="G1732" s="1882">
        <f>IF('4D'!J7="","##BLANK",'4D'!J7)</f>
        <v>0</v>
      </c>
    </row>
    <row r="1733" spans="2:7">
      <c r="B1733" s="821" t="str">
        <f>+'4D'!BI8</f>
        <v>BM336RWS</v>
      </c>
      <c r="D1733" s="1882"/>
      <c r="E1733" s="1628" t="s">
        <v>8339</v>
      </c>
      <c r="F1733" s="1882"/>
      <c r="G1733" s="1882">
        <f>IF('4D'!J8="","##BLANK",'4D'!J8)</f>
        <v>0</v>
      </c>
    </row>
    <row r="1734" spans="2:7">
      <c r="B1734" s="821" t="str">
        <f>+'4D'!BI9</f>
        <v>BM231RWS</v>
      </c>
      <c r="D1734" s="1882"/>
      <c r="E1734" s="1628" t="s">
        <v>8339</v>
      </c>
      <c r="F1734" s="1882"/>
      <c r="G1734" s="1882">
        <f>IF('4D'!J9="","##BLANK",'4D'!J9)</f>
        <v>0</v>
      </c>
    </row>
    <row r="1735" spans="2:7">
      <c r="B1735" s="821" t="str">
        <f>+'4D'!BI10</f>
        <v>BM240RWS</v>
      </c>
      <c r="D1735" s="1882"/>
      <c r="E1735" s="1628" t="s">
        <v>8339</v>
      </c>
      <c r="F1735" s="1882"/>
      <c r="G1735" s="1882">
        <f>IF('4D'!J10="","##BLANK",'4D'!J10)</f>
        <v>0</v>
      </c>
    </row>
    <row r="1736" spans="2:7">
      <c r="B1736" s="821" t="str">
        <f>+'4D'!BI11</f>
        <v>BM339RWSIR</v>
      </c>
      <c r="D1736" s="1882"/>
      <c r="E1736" s="1628" t="s">
        <v>8339</v>
      </c>
      <c r="F1736" s="1882"/>
      <c r="G1736" s="1882">
        <f>IF('4D'!J11="","##BLANK",'4D'!J11)</f>
        <v>0</v>
      </c>
    </row>
    <row r="1737" spans="2:7">
      <c r="B1737" s="821" t="str">
        <f>+'4D'!BI12</f>
        <v>BM339RWSNIR</v>
      </c>
      <c r="D1737" s="1882"/>
      <c r="E1737" s="1628" t="s">
        <v>8339</v>
      </c>
      <c r="F1737" s="1882"/>
      <c r="G1737" s="1882">
        <f>IF('4D'!J12="","##BLANK",'4D'!J12)</f>
        <v>0</v>
      </c>
    </row>
    <row r="1738" spans="2:7">
      <c r="B1738" s="821" t="str">
        <f>+'4D'!BI13</f>
        <v>BM339RWSER</v>
      </c>
      <c r="D1738" s="1882"/>
      <c r="E1738" s="1628" t="s">
        <v>8339</v>
      </c>
      <c r="F1738" s="1882"/>
      <c r="G1738" s="1882">
        <f>IF('4D'!J13="","##BLANK",'4D'!J13)</f>
        <v>0</v>
      </c>
    </row>
    <row r="1739" spans="2:7">
      <c r="B1739" s="821" t="str">
        <f>+'4D'!BI14</f>
        <v>BM317RWS</v>
      </c>
      <c r="D1739" s="1882"/>
      <c r="E1739" s="1628" t="s">
        <v>8339</v>
      </c>
      <c r="F1739" s="1882"/>
      <c r="G1739" s="1882">
        <f>IF('4D'!J14="","##BLANK",'4D'!J14)</f>
        <v>0</v>
      </c>
    </row>
    <row r="1740" spans="2:7">
      <c r="B1740" s="821" t="str">
        <f>+'4D'!BI15</f>
        <v>BM319RWS</v>
      </c>
      <c r="D1740" s="1882"/>
      <c r="E1740" s="1628" t="s">
        <v>8339</v>
      </c>
      <c r="F1740" s="1882"/>
      <c r="G1740" s="1882">
        <f>IF('4D'!J15="","##BLANK",'4D'!J15)</f>
        <v>0</v>
      </c>
    </row>
    <row r="1741" spans="2:7">
      <c r="B1741" s="821" t="str">
        <f>+'4D'!BI17</f>
        <v>BM323RWS</v>
      </c>
      <c r="D1741" s="1882"/>
      <c r="E1741" s="1628" t="s">
        <v>8339</v>
      </c>
      <c r="F1741" s="1882"/>
      <c r="G1741" s="1882">
        <f>IF('4D'!J17="","##BLANK",'4D'!J17)</f>
        <v>0</v>
      </c>
    </row>
    <row r="1742" spans="2:7">
      <c r="B1742" s="821" t="str">
        <f>+'4D'!BI18</f>
        <v>BM351RWS</v>
      </c>
      <c r="D1742" s="1882"/>
      <c r="E1742" s="1628" t="s">
        <v>8339</v>
      </c>
      <c r="F1742" s="1882"/>
      <c r="G1742" s="1882">
        <f>IF('4D'!J18="","##BLANK",'4D'!J18)</f>
        <v>0</v>
      </c>
    </row>
    <row r="1743" spans="2:7">
      <c r="B1743" s="821" t="str">
        <f>+'4D'!BI21</f>
        <v>BC30445RWS</v>
      </c>
      <c r="D1743" s="1882"/>
      <c r="E1743" s="1628" t="s">
        <v>8339</v>
      </c>
      <c r="F1743" s="1882"/>
      <c r="G1743" s="1882">
        <f>IF('4D'!J21="","##BLANK",'4D'!J21)</f>
        <v>1.1755</v>
      </c>
    </row>
    <row r="1744" spans="2:7">
      <c r="B1744" s="821" t="str">
        <f>+'4D'!BI22</f>
        <v>CW00036RWS</v>
      </c>
      <c r="D1744" s="1882"/>
      <c r="E1744" s="1628" t="s">
        <v>8339</v>
      </c>
      <c r="F1744" s="1882"/>
      <c r="G1744" s="1882">
        <f>IF('4D'!J22="","##BLANK",'4D'!J22)</f>
        <v>8.4159617957304533E-2</v>
      </c>
    </row>
    <row r="1745" spans="2:7">
      <c r="B1745" s="821" t="str">
        <f>+'4D'!BI23</f>
        <v>BC30444RWS</v>
      </c>
      <c r="D1745" s="1882"/>
      <c r="E1745" s="1628" t="s">
        <v>8339</v>
      </c>
      <c r="F1745" s="1882"/>
      <c r="G1745" s="1882">
        <f>IF('4D'!J23="","##BLANK",'4D'!J23)</f>
        <v>0</v>
      </c>
    </row>
    <row r="1746" spans="2:7">
      <c r="B1746" s="821" t="str">
        <f>+'4D'!BI24</f>
        <v>CW00037RWS</v>
      </c>
      <c r="D1746" s="1882"/>
      <c r="E1746" s="1628" t="s">
        <v>8339</v>
      </c>
      <c r="F1746" s="1882"/>
      <c r="G1746" s="1882">
        <f>IF('4D'!J24="","##BLANK",'4D'!J24)</f>
        <v>0</v>
      </c>
    </row>
    <row r="1747" spans="2:7">
      <c r="B1747" s="821" t="str">
        <f>+'4D'!BI25</f>
        <v>BC30449RWS</v>
      </c>
      <c r="D1747" s="1882"/>
      <c r="E1747" s="1628" t="s">
        <v>8339</v>
      </c>
      <c r="F1747" s="1882"/>
      <c r="G1747" s="1882">
        <f>IF('4D'!J25="","##BLANK",'4D'!J25)</f>
        <v>0</v>
      </c>
    </row>
    <row r="1748" spans="2:7">
      <c r="B1748" s="821" t="str">
        <f>+'4D'!BI26</f>
        <v>BC30498RWS</v>
      </c>
      <c r="D1748" s="1882"/>
      <c r="E1748" s="1628" t="s">
        <v>8339</v>
      </c>
      <c r="F1748" s="1882"/>
      <c r="G1748" s="1882">
        <f>IF('4D'!J26="","##BLANK",'4D'!J26)</f>
        <v>1.2596596179573045</v>
      </c>
    </row>
    <row r="1749" spans="2:7">
      <c r="B1749" s="821" t="str">
        <f>+'4D'!BI27</f>
        <v>BM333RWS</v>
      </c>
      <c r="D1749" s="1882"/>
      <c r="E1749" s="1628" t="s">
        <v>8339</v>
      </c>
      <c r="F1749" s="1882"/>
      <c r="G1749" s="1882">
        <f>IF('4D'!J27="","##BLANK",'4D'!J27)</f>
        <v>8.6999999999999994E-2</v>
      </c>
    </row>
    <row r="1750" spans="2:7">
      <c r="B1750" s="821" t="str">
        <f>+'4D'!BI28</f>
        <v>BA1070RWS</v>
      </c>
      <c r="D1750" s="1882"/>
      <c r="E1750" s="1628" t="s">
        <v>8339</v>
      </c>
      <c r="F1750" s="1882"/>
      <c r="G1750" s="1882">
        <f>IF('4D'!J28="","##BLANK",'4D'!J28)</f>
        <v>1.3466596179573045</v>
      </c>
    </row>
    <row r="1751" spans="2:7">
      <c r="B1751" s="821" t="str">
        <f>+'4D'!BI31</f>
        <v>BA1071RWS</v>
      </c>
      <c r="D1751" s="1882"/>
      <c r="E1751" s="1628" t="s">
        <v>8339</v>
      </c>
      <c r="F1751" s="1882"/>
      <c r="G1751" s="1882">
        <f>IF('4D'!J31="","##BLANK",'4D'!J31)</f>
        <v>0</v>
      </c>
    </row>
    <row r="1752" spans="2:7">
      <c r="B1752" s="821" t="str">
        <f>+'4D'!BI33</f>
        <v>BM325RWS</v>
      </c>
      <c r="D1752" s="1882"/>
      <c r="E1752" s="1628" t="s">
        <v>8339</v>
      </c>
      <c r="F1752" s="1882"/>
      <c r="G1752" s="1882">
        <f>IF('4D'!J33="","##BLANK",'4D'!J33)</f>
        <v>1.3466596179573045</v>
      </c>
    </row>
    <row r="1753" spans="2:7">
      <c r="B1753" s="821" t="str">
        <f>+'4D'!BI36</f>
        <v>CR00558RWS</v>
      </c>
      <c r="D1753" s="1882"/>
      <c r="E1753" s="1628" t="s">
        <v>8339</v>
      </c>
      <c r="F1753" s="1882"/>
      <c r="G1753" s="1882">
        <f>IF('4D'!J36="","##BLANK",'4D'!J36)</f>
        <v>0</v>
      </c>
    </row>
    <row r="1754" spans="2:7">
      <c r="B1754" s="821" t="str">
        <f>+'4D'!BI37</f>
        <v>CR00561RWS</v>
      </c>
      <c r="D1754" s="1882"/>
      <c r="E1754" s="1628" t="s">
        <v>8339</v>
      </c>
      <c r="F1754" s="1882"/>
      <c r="G1754" s="1882">
        <f>IF('4D'!J37="","##BLANK",'4D'!J37)</f>
        <v>0</v>
      </c>
    </row>
    <row r="1755" spans="2:7">
      <c r="B1755" s="821" t="str">
        <f>+'4D'!BI39</f>
        <v>W3026RWS</v>
      </c>
      <c r="D1755" s="1882"/>
      <c r="E1755" s="1628" t="s">
        <v>8339</v>
      </c>
      <c r="F1755" s="1882"/>
      <c r="G1755" s="1882">
        <f>IF('4D'!J39="","##BLANK",'4D'!J39)</f>
        <v>1.3466596179573045</v>
      </c>
    </row>
    <row r="1756" spans="2:7">
      <c r="B1756" s="821" t="str">
        <f>+'4D'!BI45</f>
        <v>CRASRWS005</v>
      </c>
      <c r="D1756" s="1882"/>
      <c r="E1756" s="1628" t="s">
        <v>8339</v>
      </c>
      <c r="F1756" s="1882"/>
      <c r="G1756" s="1882">
        <f>IF('4D'!J45="","##BLANK",'4D'!J45)</f>
        <v>34645</v>
      </c>
    </row>
    <row r="1757" spans="2:7">
      <c r="B1757" s="821" t="str">
        <f>+'4D'!BI48</f>
        <v>CRASRWS006</v>
      </c>
      <c r="D1757" s="1882"/>
      <c r="E1757" s="1628" t="s">
        <v>8339</v>
      </c>
      <c r="F1757" s="1882"/>
      <c r="G1757" s="1882">
        <f>IF('4D'!J48="","##BLANK",'4D'!J48)</f>
        <v>0</v>
      </c>
    </row>
    <row r="1758" spans="2:7">
      <c r="B1758" s="821" t="str">
        <f>+'4D'!BI49</f>
        <v>BN2590RWS</v>
      </c>
      <c r="D1758" s="1882"/>
      <c r="E1758" s="1628" t="s">
        <v>8339</v>
      </c>
      <c r="F1758" s="1882"/>
      <c r="G1758" s="1882">
        <f>IF('4D'!J49="","##BLANK",'4D'!J49)</f>
        <v>1227.0360000000001</v>
      </c>
    </row>
    <row r="1759" spans="2:7">
      <c r="B1759" s="821" t="str">
        <f>+'4D'!BI50</f>
        <v>BN2591RWS</v>
      </c>
      <c r="D1759" s="1882"/>
      <c r="E1759" s="1628" t="s">
        <v>8339</v>
      </c>
      <c r="F1759" s="1882"/>
      <c r="G1759" s="1882">
        <f>IF('4D'!J50="","##BLANK",'4D'!J50)</f>
        <v>0</v>
      </c>
    </row>
    <row r="1760" spans="2:7">
      <c r="B1760" s="821" t="str">
        <f>+'4D'!BJ7</f>
        <v>BM102WT</v>
      </c>
      <c r="D1760" s="1882"/>
      <c r="E1760" s="1628" t="s">
        <v>8339</v>
      </c>
      <c r="F1760" s="1882"/>
      <c r="G1760" s="1882">
        <f>IF('4D'!K7="","##BLANK",'4D'!K7)</f>
        <v>2.6970000000000001</v>
      </c>
    </row>
    <row r="1761" spans="2:7">
      <c r="B1761" s="821" t="str">
        <f>+'4D'!BJ8</f>
        <v>BM336WT</v>
      </c>
      <c r="D1761" s="1882"/>
      <c r="E1761" s="1628" t="s">
        <v>8339</v>
      </c>
      <c r="F1761" s="1882"/>
      <c r="G1761" s="1882">
        <f>IF('4D'!K8="","##BLANK",'4D'!K8)</f>
        <v>0</v>
      </c>
    </row>
    <row r="1762" spans="2:7">
      <c r="B1762" s="821" t="str">
        <f>+'4D'!BJ9</f>
        <v>BM131WT</v>
      </c>
      <c r="D1762" s="1882"/>
      <c r="E1762" s="1628" t="s">
        <v>8339</v>
      </c>
      <c r="F1762" s="1882"/>
      <c r="G1762" s="1882">
        <f>IF('4D'!K9="","##BLANK",'4D'!K9)</f>
        <v>9.4E-2</v>
      </c>
    </row>
    <row r="1763" spans="2:7">
      <c r="B1763" s="821" t="str">
        <f>+'4D'!BJ10</f>
        <v>BM140WT</v>
      </c>
      <c r="D1763" s="1882"/>
      <c r="E1763" s="1628" t="s">
        <v>8339</v>
      </c>
      <c r="F1763" s="1882"/>
      <c r="G1763" s="1882">
        <f>IF('4D'!K10="","##BLANK",'4D'!K10)</f>
        <v>3.4000000000000002E-2</v>
      </c>
    </row>
    <row r="1764" spans="2:7">
      <c r="B1764" s="821" t="str">
        <f>+'4D'!BJ11</f>
        <v>BM339WTIR</v>
      </c>
      <c r="D1764" s="1882"/>
      <c r="E1764" s="1628" t="s">
        <v>8339</v>
      </c>
      <c r="F1764" s="1882"/>
      <c r="G1764" s="1882">
        <f>IF('4D'!K11="","##BLANK",'4D'!K11)</f>
        <v>3.0000000000000001E-3</v>
      </c>
    </row>
    <row r="1765" spans="2:7">
      <c r="B1765" s="821" t="str">
        <f>+'4D'!BJ12</f>
        <v>BM339WTNIR</v>
      </c>
      <c r="D1765" s="1882"/>
      <c r="E1765" s="1628" t="s">
        <v>8339</v>
      </c>
      <c r="F1765" s="1882"/>
      <c r="G1765" s="1882">
        <f>IF('4D'!K12="","##BLANK",'4D'!K12)</f>
        <v>0</v>
      </c>
    </row>
    <row r="1766" spans="2:7">
      <c r="B1766" s="821" t="str">
        <f>+'4D'!BJ13</f>
        <v>BM339WTER</v>
      </c>
      <c r="D1766" s="1882"/>
      <c r="E1766" s="1628" t="s">
        <v>8339</v>
      </c>
      <c r="F1766" s="1882"/>
      <c r="G1766" s="1882">
        <f>IF('4D'!K13="","##BLANK",'4D'!K13)</f>
        <v>12.093999999999999</v>
      </c>
    </row>
    <row r="1767" spans="2:7">
      <c r="B1767" s="821" t="str">
        <f>+'4D'!BJ14</f>
        <v>BM317WT</v>
      </c>
      <c r="D1767" s="1882"/>
      <c r="E1767" s="1628" t="s">
        <v>8339</v>
      </c>
      <c r="F1767" s="1882"/>
      <c r="G1767" s="1882">
        <f>IF('4D'!K14="","##BLANK",'4D'!K14)</f>
        <v>0.314</v>
      </c>
    </row>
    <row r="1768" spans="2:7">
      <c r="B1768" s="821" t="str">
        <f>+'4D'!BJ15</f>
        <v>BM319WT</v>
      </c>
      <c r="D1768" s="1882"/>
      <c r="E1768" s="1628" t="s">
        <v>8339</v>
      </c>
      <c r="F1768" s="1882"/>
      <c r="G1768" s="1882">
        <f>IF('4D'!K15="","##BLANK",'4D'!K15)</f>
        <v>15.235999999999999</v>
      </c>
    </row>
    <row r="1769" spans="2:7">
      <c r="B1769" s="821" t="str">
        <f>+'4D'!BJ17</f>
        <v>BM323WT</v>
      </c>
      <c r="D1769" s="1882"/>
      <c r="E1769" s="1628" t="s">
        <v>8339</v>
      </c>
      <c r="F1769" s="1882"/>
      <c r="G1769" s="1882">
        <f>IF('4D'!K17="","##BLANK",'4D'!K17)</f>
        <v>0.309</v>
      </c>
    </row>
    <row r="1770" spans="2:7">
      <c r="B1770" s="821" t="str">
        <f>+'4D'!BJ18</f>
        <v>BM351WT</v>
      </c>
      <c r="D1770" s="1882"/>
      <c r="E1770" s="1628" t="s">
        <v>8339</v>
      </c>
      <c r="F1770" s="1882"/>
      <c r="G1770" s="1882">
        <f>IF('4D'!K18="","##BLANK",'4D'!K18)</f>
        <v>15.544999999999998</v>
      </c>
    </row>
    <row r="1771" spans="2:7">
      <c r="B1771" s="821" t="str">
        <f>+'4D'!BJ21</f>
        <v>BC30445WT</v>
      </c>
      <c r="D1771" s="1882"/>
      <c r="E1771" s="1628" t="s">
        <v>8339</v>
      </c>
      <c r="F1771" s="1882"/>
      <c r="G1771" s="1882">
        <f>IF('4D'!K21="","##BLANK",'4D'!K21)</f>
        <v>0</v>
      </c>
    </row>
    <row r="1772" spans="2:7">
      <c r="B1772" s="821" t="str">
        <f>+'4D'!BJ22</f>
        <v>CW00036WT</v>
      </c>
      <c r="D1772" s="1882"/>
      <c r="E1772" s="1628" t="s">
        <v>8339</v>
      </c>
      <c r="F1772" s="1882"/>
      <c r="G1772" s="1882">
        <f>IF('4D'!K22="","##BLANK",'4D'!K22)</f>
        <v>8.4015495241730473</v>
      </c>
    </row>
    <row r="1773" spans="2:7">
      <c r="B1773" s="821" t="str">
        <f>+'4D'!BJ23</f>
        <v>BC30444WT</v>
      </c>
      <c r="D1773" s="1882"/>
      <c r="E1773" s="1628" t="s">
        <v>8339</v>
      </c>
      <c r="F1773" s="1882"/>
      <c r="G1773" s="1882">
        <f>IF('4D'!K23="","##BLANK",'4D'!K23)</f>
        <v>0</v>
      </c>
    </row>
    <row r="1774" spans="2:7">
      <c r="B1774" s="821" t="str">
        <f>+'4D'!BJ24</f>
        <v>CW00037WT</v>
      </c>
      <c r="D1774" s="1882"/>
      <c r="E1774" s="1628" t="s">
        <v>8339</v>
      </c>
      <c r="F1774" s="1882"/>
      <c r="G1774" s="1882">
        <f>IF('4D'!K24="","##BLANK",'4D'!K24)</f>
        <v>0.36069720525027521</v>
      </c>
    </row>
    <row r="1775" spans="2:7">
      <c r="B1775" s="821" t="str">
        <f>+'4D'!BJ25</f>
        <v>BC30449WT</v>
      </c>
      <c r="D1775" s="1882"/>
      <c r="E1775" s="1628" t="s">
        <v>8339</v>
      </c>
      <c r="F1775" s="1882"/>
      <c r="G1775" s="1882">
        <f>IF('4D'!K25="","##BLANK",'4D'!K25)</f>
        <v>0</v>
      </c>
    </row>
    <row r="1776" spans="2:7">
      <c r="B1776" s="821" t="str">
        <f>+'4D'!BJ26</f>
        <v>BC30498WT</v>
      </c>
      <c r="D1776" s="1882"/>
      <c r="E1776" s="1628" t="s">
        <v>8339</v>
      </c>
      <c r="F1776" s="1882"/>
      <c r="G1776" s="1882">
        <f>IF('4D'!K26="","##BLANK",'4D'!K26)</f>
        <v>8.7622467294233228</v>
      </c>
    </row>
    <row r="1777" spans="2:7">
      <c r="B1777" s="821" t="str">
        <f>+'4D'!BJ27</f>
        <v>BM333WT</v>
      </c>
      <c r="D1777" s="1882"/>
      <c r="E1777" s="1628" t="s">
        <v>8339</v>
      </c>
      <c r="F1777" s="1882"/>
      <c r="G1777" s="1882">
        <f>IF('4D'!K27="","##BLANK",'4D'!K27)</f>
        <v>0.26196000000000003</v>
      </c>
    </row>
    <row r="1778" spans="2:7">
      <c r="B1778" s="821" t="str">
        <f>+'4D'!BJ28</f>
        <v>BA1070WT</v>
      </c>
      <c r="D1778" s="1882"/>
      <c r="E1778" s="1628" t="s">
        <v>8339</v>
      </c>
      <c r="F1778" s="1882"/>
      <c r="G1778" s="1882">
        <f>IF('4D'!K28="","##BLANK",'4D'!K28)</f>
        <v>9.024206729423323</v>
      </c>
    </row>
    <row r="1779" spans="2:7">
      <c r="B1779" s="821" t="str">
        <f>+'4D'!BJ31</f>
        <v>BA1071WT</v>
      </c>
      <c r="D1779" s="1882"/>
      <c r="E1779" s="1628" t="s">
        <v>8339</v>
      </c>
      <c r="F1779" s="1882"/>
      <c r="G1779" s="1882">
        <f>IF('4D'!K31="","##BLANK",'4D'!K31)</f>
        <v>0</v>
      </c>
    </row>
    <row r="1780" spans="2:7">
      <c r="B1780" s="821" t="str">
        <f>+'4D'!BJ33</f>
        <v>BM325WT</v>
      </c>
      <c r="D1780" s="1882"/>
      <c r="E1780" s="1628" t="s">
        <v>8339</v>
      </c>
      <c r="F1780" s="1882"/>
      <c r="G1780" s="1882">
        <f>IF('4D'!K33="","##BLANK",'4D'!K33)</f>
        <v>24.569206729423321</v>
      </c>
    </row>
    <row r="1781" spans="2:7">
      <c r="B1781" s="821" t="str">
        <f>+'4D'!BJ36</f>
        <v>CR00558WT</v>
      </c>
      <c r="D1781" s="1882"/>
      <c r="E1781" s="1628" t="s">
        <v>8339</v>
      </c>
      <c r="F1781" s="1882"/>
      <c r="G1781" s="1882">
        <f>IF('4D'!K36="","##BLANK",'4D'!K36)</f>
        <v>0</v>
      </c>
    </row>
    <row r="1782" spans="2:7">
      <c r="B1782" s="821" t="str">
        <f>+'4D'!BJ37</f>
        <v>CR00561WT</v>
      </c>
      <c r="D1782" s="1882"/>
      <c r="E1782" s="1628" t="s">
        <v>8339</v>
      </c>
      <c r="F1782" s="1882"/>
      <c r="G1782" s="1882">
        <f>IF('4D'!K37="","##BLANK",'4D'!K37)</f>
        <v>0</v>
      </c>
    </row>
    <row r="1783" spans="2:7">
      <c r="B1783" s="821" t="str">
        <f>+'4D'!BJ39</f>
        <v>W3026WT</v>
      </c>
      <c r="D1783" s="1882"/>
      <c r="E1783" s="1628" t="s">
        <v>8339</v>
      </c>
      <c r="F1783" s="1882"/>
      <c r="G1783" s="1882">
        <f>IF('4D'!K39="","##BLANK",'4D'!K39)</f>
        <v>24.569206729423321</v>
      </c>
    </row>
    <row r="1784" spans="2:7">
      <c r="B1784" s="821" t="str">
        <f>+'4D'!BJ46</f>
        <v>CRASWT001D</v>
      </c>
      <c r="D1784" s="1882"/>
      <c r="E1784" s="1628" t="s">
        <v>8339</v>
      </c>
      <c r="F1784" s="1882"/>
      <c r="G1784" s="1882">
        <f>IF('4D'!K46="","##BLANK",'4D'!K46)</f>
        <v>99178.68</v>
      </c>
    </row>
    <row r="1785" spans="2:7">
      <c r="B1785" s="821" t="str">
        <f>+'4D'!BJ48</f>
        <v>CRASWT001C</v>
      </c>
      <c r="D1785" s="1882"/>
      <c r="E1785" s="1628" t="s">
        <v>8339</v>
      </c>
      <c r="F1785" s="1882"/>
      <c r="G1785" s="1882">
        <f>IF('4D'!K48="","##BLANK",'4D'!K48)</f>
        <v>156.7373149148587</v>
      </c>
    </row>
    <row r="1786" spans="2:7">
      <c r="B1786" s="821" t="str">
        <f>+'4D'!BJ49</f>
        <v>BN2590WT</v>
      </c>
      <c r="D1786" s="1882"/>
      <c r="E1786" s="1628" t="s">
        <v>8339</v>
      </c>
      <c r="F1786" s="1882"/>
      <c r="G1786" s="1882">
        <f>IF('4D'!K49="","##BLANK",'4D'!K49)</f>
        <v>1227.0360000000001</v>
      </c>
    </row>
    <row r="1787" spans="2:7">
      <c r="B1787" s="821" t="str">
        <f>+'4D'!BJ50</f>
        <v>BN2591WT</v>
      </c>
      <c r="D1787" s="1882"/>
      <c r="E1787" s="1628" t="s">
        <v>8339</v>
      </c>
      <c r="F1787" s="1882"/>
      <c r="G1787" s="1882">
        <f>IF('4D'!K50="","##BLANK",'4D'!K50)</f>
        <v>12.668739955469928</v>
      </c>
    </row>
    <row r="1788" spans="2:7">
      <c r="B1788" s="821" t="str">
        <f>+'4D'!BK7</f>
        <v>BM202TWD</v>
      </c>
      <c r="D1788" s="1882"/>
      <c r="E1788" s="1628" t="s">
        <v>8339</v>
      </c>
      <c r="F1788" s="1882"/>
      <c r="G1788" s="1882">
        <f>IF('4D'!L7="","##BLANK",'4D'!L7)</f>
        <v>4.0510000000000002</v>
      </c>
    </row>
    <row r="1789" spans="2:7">
      <c r="B1789" s="821" t="str">
        <f>+'4D'!BK8</f>
        <v>BM336TWD</v>
      </c>
      <c r="D1789" s="1882"/>
      <c r="E1789" s="1628" t="s">
        <v>8339</v>
      </c>
      <c r="F1789" s="1882"/>
      <c r="G1789" s="1882">
        <f>IF('4D'!L8="","##BLANK",'4D'!L8)</f>
        <v>0</v>
      </c>
    </row>
    <row r="1790" spans="2:7">
      <c r="B1790" s="821" t="str">
        <f>+'4D'!BK9</f>
        <v>BM231TWD</v>
      </c>
      <c r="D1790" s="1882"/>
      <c r="E1790" s="1628" t="s">
        <v>8339</v>
      </c>
      <c r="F1790" s="1882"/>
      <c r="G1790" s="1882">
        <f>IF('4D'!L9="","##BLANK",'4D'!L9)</f>
        <v>1E-3</v>
      </c>
    </row>
    <row r="1791" spans="2:7">
      <c r="B1791" s="821" t="str">
        <f>+'4D'!BK10</f>
        <v>BM240TWD</v>
      </c>
      <c r="D1791" s="1882"/>
      <c r="E1791" s="1628" t="s">
        <v>8339</v>
      </c>
      <c r="F1791" s="1882"/>
      <c r="G1791" s="1882">
        <f>IF('4D'!L10="","##BLANK",'4D'!L10)</f>
        <v>0.08</v>
      </c>
    </row>
    <row r="1792" spans="2:7">
      <c r="B1792" s="821" t="str">
        <f>+'4D'!BK11</f>
        <v>BM339TWDIR</v>
      </c>
      <c r="D1792" s="1882"/>
      <c r="E1792" s="1628" t="s">
        <v>8339</v>
      </c>
      <c r="F1792" s="1882"/>
      <c r="G1792" s="1882">
        <f>IF('4D'!L11="","##BLANK",'4D'!L11)</f>
        <v>1.7350000000000001</v>
      </c>
    </row>
    <row r="1793" spans="2:7">
      <c r="B1793" s="821" t="str">
        <f>+'4D'!BK12</f>
        <v>BM339TWDNIR</v>
      </c>
      <c r="D1793" s="1882"/>
      <c r="E1793" s="1628" t="s">
        <v>8339</v>
      </c>
      <c r="F1793" s="1882"/>
      <c r="G1793" s="1882">
        <f>IF('4D'!L12="","##BLANK",'4D'!L12)</f>
        <v>0</v>
      </c>
    </row>
    <row r="1794" spans="2:7">
      <c r="B1794" s="821" t="str">
        <f>+'4D'!BK13</f>
        <v>BM339TWDER</v>
      </c>
      <c r="D1794" s="1882"/>
      <c r="E1794" s="1628" t="s">
        <v>8339</v>
      </c>
      <c r="F1794" s="1882"/>
      <c r="G1794" s="1882">
        <f>IF('4D'!L13="","##BLANK",'4D'!L13)</f>
        <v>21.78</v>
      </c>
    </row>
    <row r="1795" spans="2:7">
      <c r="B1795" s="821" t="str">
        <f>+'4D'!BK14</f>
        <v>BM317TWD</v>
      </c>
      <c r="D1795" s="1882"/>
      <c r="E1795" s="1628" t="s">
        <v>8339</v>
      </c>
      <c r="F1795" s="1882"/>
      <c r="G1795" s="1882">
        <f>IF('4D'!L14="","##BLANK",'4D'!L14)</f>
        <v>3.2349999999999999</v>
      </c>
    </row>
    <row r="1796" spans="2:7">
      <c r="B1796" s="821" t="str">
        <f>+'4D'!BK15</f>
        <v>BM319TWD</v>
      </c>
      <c r="D1796" s="1882"/>
      <c r="E1796" s="1628" t="s">
        <v>8339</v>
      </c>
      <c r="F1796" s="1882"/>
      <c r="G1796" s="1882">
        <f>IF('4D'!L15="","##BLANK",'4D'!L15)</f>
        <v>30.882000000000001</v>
      </c>
    </row>
    <row r="1797" spans="2:7">
      <c r="B1797" s="821" t="str">
        <f>+'4D'!BK17</f>
        <v>BM323TWD</v>
      </c>
      <c r="D1797" s="1882"/>
      <c r="E1797" s="1628" t="s">
        <v>8339</v>
      </c>
      <c r="F1797" s="1882"/>
      <c r="G1797" s="1882">
        <f>IF('4D'!L17="","##BLANK",'4D'!L17)</f>
        <v>0.65800000000000003</v>
      </c>
    </row>
    <row r="1798" spans="2:7">
      <c r="B1798" s="821" t="str">
        <f>+'4D'!BK18</f>
        <v>BM351TWD</v>
      </c>
      <c r="D1798" s="1882"/>
      <c r="E1798" s="1628" t="s">
        <v>8339</v>
      </c>
      <c r="F1798" s="1882"/>
      <c r="G1798" s="1882">
        <f>IF('4D'!L18="","##BLANK",'4D'!L18)</f>
        <v>31.540000000000003</v>
      </c>
    </row>
    <row r="1799" spans="2:7">
      <c r="B1799" s="821" t="str">
        <f>+'4D'!BK21</f>
        <v>BC30445TWD</v>
      </c>
      <c r="D1799" s="1882"/>
      <c r="E1799" s="1628" t="s">
        <v>8339</v>
      </c>
      <c r="F1799" s="1882"/>
      <c r="G1799" s="1882">
        <f>IF('4D'!L21="","##BLANK",'4D'!L21)</f>
        <v>25.143280000000001</v>
      </c>
    </row>
    <row r="1800" spans="2:7">
      <c r="B1800" s="821" t="str">
        <f>+'4D'!BK22</f>
        <v>CW00036TWD</v>
      </c>
      <c r="D1800" s="1882"/>
      <c r="E1800" s="1628" t="s">
        <v>8339</v>
      </c>
      <c r="F1800" s="1882"/>
      <c r="G1800" s="1882">
        <f>IF('4D'!L22="","##BLANK",'4D'!L22)</f>
        <v>12.5365</v>
      </c>
    </row>
    <row r="1801" spans="2:7">
      <c r="B1801" s="821" t="str">
        <f>+'4D'!BK23</f>
        <v>BC30444TWD</v>
      </c>
      <c r="D1801" s="1882"/>
      <c r="E1801" s="1628" t="s">
        <v>8339</v>
      </c>
      <c r="F1801" s="1882"/>
      <c r="G1801" s="1882">
        <f>IF('4D'!L23="","##BLANK",'4D'!L23)</f>
        <v>10.2643</v>
      </c>
    </row>
    <row r="1802" spans="2:7">
      <c r="B1802" s="821" t="str">
        <f>+'4D'!BK24</f>
        <v>CW00037TWD</v>
      </c>
      <c r="D1802" s="1882"/>
      <c r="E1802" s="1628" t="s">
        <v>8339</v>
      </c>
      <c r="F1802" s="1882"/>
      <c r="G1802" s="1882">
        <f>IF('4D'!L24="","##BLANK",'4D'!L24)</f>
        <v>5.5111518528072203</v>
      </c>
    </row>
    <row r="1803" spans="2:7">
      <c r="B1803" s="821" t="str">
        <f>+'4D'!BK25</f>
        <v>BC30449TWD</v>
      </c>
      <c r="D1803" s="1882"/>
      <c r="E1803" s="1628" t="s">
        <v>8339</v>
      </c>
      <c r="F1803" s="1882"/>
      <c r="G1803" s="1882">
        <f>IF('4D'!L25="","##BLANK",'4D'!L25)</f>
        <v>1.1260000000000001</v>
      </c>
    </row>
    <row r="1804" spans="2:7">
      <c r="B1804" s="821" t="str">
        <f>+'4D'!BK26</f>
        <v>BC30498TWD</v>
      </c>
      <c r="D1804" s="1882"/>
      <c r="E1804" s="1628" t="s">
        <v>8339</v>
      </c>
      <c r="F1804" s="1882"/>
      <c r="G1804" s="1882">
        <f>IF('4D'!L26="","##BLANK",'4D'!L26)</f>
        <v>54.581231852807214</v>
      </c>
    </row>
    <row r="1805" spans="2:7">
      <c r="B1805" s="821" t="str">
        <f>+'4D'!BK27</f>
        <v>BM333TWD</v>
      </c>
      <c r="D1805" s="1882"/>
      <c r="E1805" s="1628" t="s">
        <v>8339</v>
      </c>
      <c r="F1805" s="1882"/>
      <c r="G1805" s="1882">
        <f>IF('4D'!L27="","##BLANK",'4D'!L27)</f>
        <v>2.5999999999999999E-2</v>
      </c>
    </row>
    <row r="1806" spans="2:7">
      <c r="B1806" s="821" t="str">
        <f>+'4D'!BK28</f>
        <v>BA1070TWD</v>
      </c>
      <c r="D1806" s="1882"/>
      <c r="E1806" s="1628" t="s">
        <v>8339</v>
      </c>
      <c r="F1806" s="1882"/>
      <c r="G1806" s="1882">
        <f>IF('4D'!L28="","##BLANK",'4D'!L28)</f>
        <v>54.607231852807217</v>
      </c>
    </row>
    <row r="1807" spans="2:7">
      <c r="B1807" s="821" t="str">
        <f>+'4D'!BK31</f>
        <v>BA1071TWD</v>
      </c>
      <c r="D1807" s="1882"/>
      <c r="E1807" s="1628" t="s">
        <v>8339</v>
      </c>
      <c r="F1807" s="1882"/>
      <c r="G1807" s="1882">
        <f>IF('4D'!L31="","##BLANK",'4D'!L31)</f>
        <v>4.391</v>
      </c>
    </row>
    <row r="1808" spans="2:7">
      <c r="B1808" s="821" t="str">
        <f>+'4D'!BK33</f>
        <v>BM325TWD</v>
      </c>
      <c r="D1808" s="1882"/>
      <c r="E1808" s="1628" t="s">
        <v>8339</v>
      </c>
      <c r="F1808" s="1882"/>
      <c r="G1808" s="1882">
        <f>IF('4D'!L33="","##BLANK",'4D'!L33)</f>
        <v>81.756231852807218</v>
      </c>
    </row>
    <row r="1809" spans="2:7">
      <c r="B1809" s="821" t="str">
        <f>+'4D'!BK36</f>
        <v>CR00558TWD</v>
      </c>
      <c r="D1809" s="1882"/>
      <c r="E1809" s="1628" t="s">
        <v>8339</v>
      </c>
      <c r="F1809" s="1882"/>
      <c r="G1809" s="1882">
        <f>IF('4D'!L36="","##BLANK",'4D'!L36)</f>
        <v>0</v>
      </c>
    </row>
    <row r="1810" spans="2:7">
      <c r="B1810" s="821" t="str">
        <f>+'4D'!BK37</f>
        <v>CR00561TWD</v>
      </c>
      <c r="D1810" s="1882"/>
      <c r="E1810" s="1628" t="s">
        <v>8339</v>
      </c>
      <c r="F1810" s="1882"/>
      <c r="G1810" s="1882">
        <f>IF('4D'!L37="","##BLANK",'4D'!L37)</f>
        <v>0</v>
      </c>
    </row>
    <row r="1811" spans="2:7">
      <c r="B1811" s="821" t="str">
        <f>+'4D'!BK39</f>
        <v>W3026TWD</v>
      </c>
      <c r="D1811" s="1882"/>
      <c r="E1811" s="1628" t="s">
        <v>8339</v>
      </c>
      <c r="F1811" s="1882"/>
      <c r="G1811" s="1882">
        <f>IF('4D'!L39="","##BLANK",'4D'!L39)</f>
        <v>81.756231852807218</v>
      </c>
    </row>
    <row r="1812" spans="2:7">
      <c r="B1812" s="821" t="str">
        <f>+'4D'!BK47</f>
        <v>CRASTWD005</v>
      </c>
      <c r="D1812" s="1882"/>
      <c r="E1812" s="1628" t="s">
        <v>8339</v>
      </c>
      <c r="F1812" s="1882"/>
      <c r="G1812" s="1882">
        <f>IF('4D'!L47="","##BLANK",'4D'!L47)</f>
        <v>99178.68</v>
      </c>
    </row>
    <row r="1813" spans="2:7">
      <c r="B1813" s="821" t="str">
        <f>+'4D'!BK48</f>
        <v>CRASTWD006</v>
      </c>
      <c r="D1813" s="1882"/>
      <c r="E1813" s="1628" t="s">
        <v>8339</v>
      </c>
      <c r="F1813" s="1882"/>
      <c r="G1813" s="1882">
        <f>IF('4D'!L48="","##BLANK",'4D'!L48)</f>
        <v>318.01189529846539</v>
      </c>
    </row>
    <row r="1814" spans="2:7">
      <c r="B1814" s="821" t="str">
        <f>+'4D'!BK49</f>
        <v>BN2590TWD</v>
      </c>
      <c r="D1814" s="1882"/>
      <c r="E1814" s="1628" t="s">
        <v>8339</v>
      </c>
      <c r="F1814" s="1882"/>
      <c r="G1814" s="1882">
        <f>IF('4D'!L49="","##BLANK",'4D'!L49)</f>
        <v>1227.0360000000001</v>
      </c>
    </row>
    <row r="1815" spans="2:7">
      <c r="B1815" s="821" t="str">
        <f>+'4D'!BK50</f>
        <v>BN2591TWD</v>
      </c>
      <c r="D1815" s="1882"/>
      <c r="E1815" s="1628" t="s">
        <v>8339</v>
      </c>
      <c r="F1815" s="1882"/>
      <c r="G1815" s="1882">
        <f>IF('4D'!L50="","##BLANK",'4D'!L50)</f>
        <v>25.704217317177331</v>
      </c>
    </row>
    <row r="1816" spans="2:7">
      <c r="B1816" s="821" t="str">
        <f>+'4D'!BL7</f>
        <v>BM302TAS</v>
      </c>
      <c r="D1816" s="1882"/>
      <c r="E1816" s="1628" t="s">
        <v>8339</v>
      </c>
      <c r="F1816" s="1882"/>
      <c r="G1816" s="1882">
        <f>IF('4D'!M7="","##BLANK",'4D'!M7)</f>
        <v>8.4640000000000004</v>
      </c>
    </row>
    <row r="1817" spans="2:7">
      <c r="B1817" s="821" t="str">
        <f>+'4D'!BL8</f>
        <v>BM336TAS</v>
      </c>
      <c r="D1817" s="1882"/>
      <c r="E1817" s="1628" t="s">
        <v>8339</v>
      </c>
      <c r="F1817" s="1882"/>
      <c r="G1817" s="1882">
        <f>IF('4D'!M8="","##BLANK",'4D'!M8)</f>
        <v>0</v>
      </c>
    </row>
    <row r="1818" spans="2:7">
      <c r="B1818" s="821" t="str">
        <f>+'4D'!BL9</f>
        <v>BM331TAS</v>
      </c>
      <c r="D1818" s="1882"/>
      <c r="E1818" s="1628" t="s">
        <v>8339</v>
      </c>
      <c r="F1818" s="1882"/>
      <c r="G1818" s="1882">
        <f>IF('4D'!M9="","##BLANK",'4D'!M9)</f>
        <v>2.8209999999999997</v>
      </c>
    </row>
    <row r="1819" spans="2:7">
      <c r="B1819" s="821" t="str">
        <f>+'4D'!BL10</f>
        <v>BM340TAS</v>
      </c>
      <c r="D1819" s="1882"/>
      <c r="E1819" s="1628" t="s">
        <v>8339</v>
      </c>
      <c r="F1819" s="1882"/>
      <c r="G1819" s="1882">
        <f>IF('4D'!M10="","##BLANK",'4D'!M10)</f>
        <v>0.13</v>
      </c>
    </row>
    <row r="1820" spans="2:7">
      <c r="B1820" s="821" t="str">
        <f>+'4D'!BL11</f>
        <v>BM339TASIR</v>
      </c>
      <c r="D1820" s="1882"/>
      <c r="E1820" s="1628" t="s">
        <v>8339</v>
      </c>
      <c r="F1820" s="1882"/>
      <c r="G1820" s="1882">
        <f>IF('4D'!M11="","##BLANK",'4D'!M11)</f>
        <v>1.8840000000000001</v>
      </c>
    </row>
    <row r="1821" spans="2:7">
      <c r="B1821" s="821" t="str">
        <f>+'4D'!BL12</f>
        <v>BM339TASNIR</v>
      </c>
      <c r="D1821" s="1882"/>
      <c r="E1821" s="1628" t="s">
        <v>8339</v>
      </c>
      <c r="F1821" s="1882"/>
      <c r="G1821" s="1882">
        <f>IF('4D'!M12="","##BLANK",'4D'!M12)</f>
        <v>0</v>
      </c>
    </row>
    <row r="1822" spans="2:7">
      <c r="B1822" s="821" t="str">
        <f>+'4D'!BL13</f>
        <v>BM339TASER</v>
      </c>
      <c r="D1822" s="1882"/>
      <c r="E1822" s="1628" t="s">
        <v>8339</v>
      </c>
      <c r="F1822" s="1882"/>
      <c r="G1822" s="1882">
        <f>IF('4D'!M13="","##BLANK",'4D'!M13)</f>
        <v>44.676000000000002</v>
      </c>
    </row>
    <row r="1823" spans="2:7">
      <c r="B1823" s="821" t="str">
        <f>+'4D'!BL14</f>
        <v>BM317TAS</v>
      </c>
      <c r="D1823" s="1882"/>
      <c r="E1823" s="1628" t="s">
        <v>8339</v>
      </c>
      <c r="F1823" s="1882"/>
      <c r="G1823" s="1882">
        <f>IF('4D'!M14="","##BLANK",'4D'!M14)</f>
        <v>5.01</v>
      </c>
    </row>
    <row r="1824" spans="2:7">
      <c r="B1824" s="821" t="str">
        <f>+'4D'!BL15</f>
        <v>BM319TAS</v>
      </c>
      <c r="D1824" s="1882"/>
      <c r="E1824" s="1628" t="s">
        <v>8339</v>
      </c>
      <c r="F1824" s="1882"/>
      <c r="G1824" s="1882">
        <f>IF('4D'!M15="","##BLANK",'4D'!M15)</f>
        <v>62.984999999999999</v>
      </c>
    </row>
    <row r="1825" spans="2:7">
      <c r="B1825" s="821" t="str">
        <f>+'4D'!BL17</f>
        <v>BM323TAS</v>
      </c>
      <c r="D1825" s="1882"/>
      <c r="E1825" s="1628" t="s">
        <v>8339</v>
      </c>
      <c r="F1825" s="1882"/>
      <c r="G1825" s="1882">
        <f>IF('4D'!M17="","##BLANK",'4D'!M17)</f>
        <v>1.2250000000000001</v>
      </c>
    </row>
    <row r="1826" spans="2:7">
      <c r="B1826" s="821" t="str">
        <f>+'4D'!BL18</f>
        <v>BM351TAS</v>
      </c>
      <c r="D1826" s="1882"/>
      <c r="E1826" s="1628" t="s">
        <v>8339</v>
      </c>
      <c r="F1826" s="1882"/>
      <c r="G1826" s="1882">
        <f>IF('4D'!M18="","##BLANK",'4D'!M18)</f>
        <v>64.210000000000008</v>
      </c>
    </row>
    <row r="1827" spans="2:7">
      <c r="B1827" s="821" t="str">
        <f>+'4D'!BL21</f>
        <v>BC30445</v>
      </c>
      <c r="D1827" s="1882"/>
      <c r="E1827" s="1628" t="s">
        <v>8339</v>
      </c>
      <c r="F1827" s="1882"/>
      <c r="G1827" s="1882">
        <f>IF('4D'!M21="","##BLANK",'4D'!M21)</f>
        <v>27.001213</v>
      </c>
    </row>
    <row r="1828" spans="2:7">
      <c r="B1828" s="821" t="str">
        <f>+'4D'!BL22</f>
        <v>CW00036</v>
      </c>
      <c r="D1828" s="1882"/>
      <c r="E1828" s="1628" t="s">
        <v>8339</v>
      </c>
      <c r="F1828" s="1882"/>
      <c r="G1828" s="1882">
        <f>IF('4D'!M22="","##BLANK",'4D'!M22)</f>
        <v>22.553660745855481</v>
      </c>
    </row>
    <row r="1829" spans="2:7">
      <c r="B1829" s="821" t="str">
        <f>+'4D'!BL23</f>
        <v>BC30444TAS</v>
      </c>
      <c r="D1829" s="1882"/>
      <c r="E1829" s="1628" t="s">
        <v>8339</v>
      </c>
      <c r="F1829" s="1882"/>
      <c r="G1829" s="1882">
        <f>IF('4D'!M23="","##BLANK",'4D'!M23)</f>
        <v>10.2643</v>
      </c>
    </row>
    <row r="1830" spans="2:7">
      <c r="B1830" s="821" t="str">
        <f>+'4D'!BL24</f>
        <v>CW00037TAS</v>
      </c>
      <c r="D1830" s="1882"/>
      <c r="E1830" s="1628" t="s">
        <v>8339</v>
      </c>
      <c r="F1830" s="1882"/>
      <c r="G1830" s="1882">
        <f>IF('4D'!M24="","##BLANK",'4D'!M24)</f>
        <v>6.9429212474890951</v>
      </c>
    </row>
    <row r="1831" spans="2:7">
      <c r="B1831" s="821" t="str">
        <f>+'4D'!BL25</f>
        <v>BC30449</v>
      </c>
      <c r="D1831" s="1882"/>
      <c r="E1831" s="1628" t="s">
        <v>8339</v>
      </c>
      <c r="F1831" s="1882"/>
      <c r="G1831" s="1882">
        <f>IF('4D'!M25="","##BLANK",'4D'!M25)</f>
        <v>1.1260000000000001</v>
      </c>
    </row>
    <row r="1832" spans="2:7">
      <c r="B1832" s="821" t="str">
        <f>+'4D'!BL26</f>
        <v>BC30498TAS</v>
      </c>
      <c r="D1832" s="1882"/>
      <c r="E1832" s="1628" t="s">
        <v>8339</v>
      </c>
      <c r="F1832" s="1882"/>
      <c r="G1832" s="1882">
        <f>IF('4D'!M26="","##BLANK",'4D'!M26)</f>
        <v>67.888094993344566</v>
      </c>
    </row>
    <row r="1833" spans="2:7">
      <c r="B1833" s="821" t="str">
        <f>+'4D'!BL27</f>
        <v>BM333TAS</v>
      </c>
      <c r="D1833" s="1882"/>
      <c r="E1833" s="1628" t="s">
        <v>8339</v>
      </c>
      <c r="F1833" s="1882"/>
      <c r="G1833" s="1882">
        <f>IF('4D'!M27="","##BLANK",'4D'!M27)</f>
        <v>0.37566000000000005</v>
      </c>
    </row>
    <row r="1834" spans="2:7">
      <c r="B1834" s="821" t="str">
        <f>+'4D'!BL28</f>
        <v>BA1070TAS</v>
      </c>
      <c r="D1834" s="1882"/>
      <c r="E1834" s="1628" t="s">
        <v>8339</v>
      </c>
      <c r="F1834" s="1882"/>
      <c r="G1834" s="1882">
        <f>IF('4D'!M28="","##BLANK",'4D'!M28)</f>
        <v>68.263754993344577</v>
      </c>
    </row>
    <row r="1835" spans="2:7">
      <c r="B1835" s="821" t="str">
        <f>+'4D'!BL31</f>
        <v>BA1071TAS</v>
      </c>
      <c r="D1835" s="1882"/>
      <c r="E1835" s="1628" t="s">
        <v>8339</v>
      </c>
      <c r="F1835" s="1882"/>
      <c r="G1835" s="1882">
        <f>IF('4D'!M31="","##BLANK",'4D'!M31)</f>
        <v>4.391</v>
      </c>
    </row>
    <row r="1836" spans="2:7">
      <c r="B1836" s="821" t="str">
        <f>+'4D'!BL33</f>
        <v>BM325TAS</v>
      </c>
      <c r="D1836" s="1882"/>
      <c r="E1836" s="1628" t="s">
        <v>8339</v>
      </c>
      <c r="F1836" s="1882"/>
      <c r="G1836" s="1882">
        <f>IF('4D'!M33="","##BLANK",'4D'!M33)</f>
        <v>128.08275499334457</v>
      </c>
    </row>
    <row r="1837" spans="2:7">
      <c r="B1837" s="821" t="str">
        <f>+'4D'!BL36</f>
        <v>CR00558TOT</v>
      </c>
      <c r="D1837" s="1882"/>
      <c r="E1837" s="1628" t="s">
        <v>8339</v>
      </c>
      <c r="F1837" s="1882"/>
      <c r="G1837" s="1882">
        <f>IF('4D'!M36="","##BLANK",'4D'!M36)</f>
        <v>0</v>
      </c>
    </row>
    <row r="1838" spans="2:7">
      <c r="B1838" s="821" t="str">
        <f>+'4D'!BL37</f>
        <v>CR00561TOT</v>
      </c>
      <c r="D1838" s="1882"/>
      <c r="E1838" s="1628" t="s">
        <v>8339</v>
      </c>
      <c r="F1838" s="1882"/>
      <c r="G1838" s="1882">
        <f>IF('4D'!M37="","##BLANK",'4D'!M37)</f>
        <v>0</v>
      </c>
    </row>
    <row r="1839" spans="2:7">
      <c r="B1839" s="821" t="str">
        <f>+'4D'!BL39</f>
        <v>W3026TOT</v>
      </c>
      <c r="D1839" s="1882"/>
      <c r="E1839" s="1628" t="s">
        <v>8339</v>
      </c>
      <c r="F1839" s="1882"/>
      <c r="G1839" s="1882">
        <f>IF('4D'!M39="","##BLANK",'4D'!M39)</f>
        <v>128.08275499334457</v>
      </c>
    </row>
    <row r="1840" spans="2:7">
      <c r="B1840" s="821" t="str">
        <f>+'4E'!BF7</f>
        <v>BM402F</v>
      </c>
      <c r="D1840" s="1882"/>
      <c r="E1840" s="1628" t="s">
        <v>8339</v>
      </c>
      <c r="F1840" s="1882"/>
      <c r="G1840" s="1882" t="str">
        <f>IF('4E'!G7="","##BLANK",'4E'!G7)</f>
        <v>##BLANK</v>
      </c>
    </row>
    <row r="1841" spans="2:7">
      <c r="B1841" s="821" t="str">
        <f>+'4E'!BF8</f>
        <v>BM836F</v>
      </c>
      <c r="D1841" s="1882"/>
      <c r="E1841" s="1628" t="s">
        <v>8339</v>
      </c>
      <c r="F1841" s="1882"/>
      <c r="G1841" s="1882" t="str">
        <f>IF('4E'!G8="","##BLANK",'4E'!G8)</f>
        <v>##BLANK</v>
      </c>
    </row>
    <row r="1842" spans="2:7">
      <c r="B1842" s="821" t="str">
        <f>+'4E'!BF9</f>
        <v>BM131F</v>
      </c>
      <c r="D1842" s="1882"/>
      <c r="E1842" s="1628" t="s">
        <v>8339</v>
      </c>
      <c r="F1842" s="1882"/>
      <c r="G1842" s="1882" t="str">
        <f>IF('4E'!G9="","##BLANK",'4E'!G9)</f>
        <v>##BLANK</v>
      </c>
    </row>
    <row r="1843" spans="2:7">
      <c r="B1843" s="821" t="str">
        <f>+'4E'!BF10</f>
        <v>BM140F</v>
      </c>
      <c r="D1843" s="1882"/>
      <c r="E1843" s="1628" t="s">
        <v>8339</v>
      </c>
      <c r="F1843" s="1882"/>
      <c r="G1843" s="1882" t="str">
        <f>IF('4E'!G10="","##BLANK",'4E'!G10)</f>
        <v>##BLANK</v>
      </c>
    </row>
    <row r="1844" spans="2:7">
      <c r="B1844" s="821" t="str">
        <f>+'4E'!BF11</f>
        <v>BM839FIR</v>
      </c>
      <c r="D1844" s="1882"/>
      <c r="E1844" s="1628" t="s">
        <v>8339</v>
      </c>
      <c r="F1844" s="1882"/>
      <c r="G1844" s="1882" t="str">
        <f>IF('4E'!G11="","##BLANK",'4E'!G11)</f>
        <v>##BLANK</v>
      </c>
    </row>
    <row r="1845" spans="2:7">
      <c r="B1845" s="821" t="str">
        <f>+'4E'!BF12</f>
        <v>BM839FNIR</v>
      </c>
      <c r="D1845" s="1882"/>
      <c r="E1845" s="1628" t="s">
        <v>8339</v>
      </c>
      <c r="F1845" s="1882"/>
      <c r="G1845" s="1882" t="str">
        <f>IF('4E'!G12="","##BLANK",'4E'!G12)</f>
        <v>##BLANK</v>
      </c>
    </row>
    <row r="1846" spans="2:7">
      <c r="B1846" s="821" t="str">
        <f>+'4E'!BF13</f>
        <v>BM839FER</v>
      </c>
      <c r="D1846" s="1882"/>
      <c r="E1846" s="1628" t="s">
        <v>8339</v>
      </c>
      <c r="F1846" s="1882"/>
      <c r="G1846" s="1882" t="str">
        <f>IF('4E'!G13="","##BLANK",'4E'!G13)</f>
        <v>##BLANK</v>
      </c>
    </row>
    <row r="1847" spans="2:7">
      <c r="B1847" s="821" t="str">
        <f>+'4E'!BF14</f>
        <v>BM817F</v>
      </c>
      <c r="D1847" s="1882"/>
      <c r="E1847" s="1628" t="s">
        <v>8339</v>
      </c>
      <c r="F1847" s="1882"/>
      <c r="G1847" s="1882" t="str">
        <f>IF('4E'!G14="","##BLANK",'4E'!G14)</f>
        <v>##BLANK</v>
      </c>
    </row>
    <row r="1848" spans="2:7">
      <c r="B1848" s="821" t="str">
        <f>+'4E'!BF15</f>
        <v>BM844F</v>
      </c>
      <c r="D1848" s="1882"/>
      <c r="E1848" s="1628" t="s">
        <v>8339</v>
      </c>
      <c r="F1848" s="1882"/>
      <c r="G1848" s="1882">
        <f>IF('4E'!G15="","##BLANK",'4E'!G15)</f>
        <v>0</v>
      </c>
    </row>
    <row r="1849" spans="2:7">
      <c r="B1849" s="821" t="str">
        <f>+'4E'!BF17</f>
        <v>BM823F</v>
      </c>
      <c r="D1849" s="1882"/>
      <c r="E1849" s="1628" t="s">
        <v>8339</v>
      </c>
      <c r="F1849" s="1882"/>
      <c r="G1849" s="1882" t="str">
        <f>IF('4E'!G17="","##BLANK",'4E'!G17)</f>
        <v>##BLANK</v>
      </c>
    </row>
    <row r="1850" spans="2:7">
      <c r="B1850" s="821" t="str">
        <f>+'4E'!BF18</f>
        <v>BM850F</v>
      </c>
      <c r="D1850" s="1882"/>
      <c r="E1850" s="1628" t="s">
        <v>8339</v>
      </c>
      <c r="F1850" s="1882"/>
      <c r="G1850" s="1882">
        <f>IF('4E'!G18="","##BLANK",'4E'!G18)</f>
        <v>0</v>
      </c>
    </row>
    <row r="1851" spans="2:7">
      <c r="B1851" s="821" t="str">
        <f>+'4E'!BF21</f>
        <v>BC30945F</v>
      </c>
      <c r="D1851" s="1882"/>
      <c r="E1851" s="1628" t="s">
        <v>8339</v>
      </c>
      <c r="F1851" s="1882"/>
      <c r="G1851" s="1882" t="str">
        <f>IF('4E'!G21="","##BLANK",'4E'!G21)</f>
        <v>##BLANK</v>
      </c>
    </row>
    <row r="1852" spans="2:7">
      <c r="B1852" s="821" t="str">
        <f>+'4E'!BF22</f>
        <v>CS00036F</v>
      </c>
      <c r="D1852" s="1882"/>
      <c r="E1852" s="1628" t="s">
        <v>8339</v>
      </c>
      <c r="F1852" s="1882"/>
      <c r="G1852" s="1882" t="str">
        <f>IF('4E'!G22="","##BLANK",'4E'!G22)</f>
        <v>##BLANK</v>
      </c>
    </row>
    <row r="1853" spans="2:7">
      <c r="B1853" s="821" t="str">
        <f>+'4E'!BF23</f>
        <v>BC30944F</v>
      </c>
      <c r="D1853" s="1882"/>
      <c r="E1853" s="1628" t="s">
        <v>8339</v>
      </c>
      <c r="F1853" s="1882"/>
      <c r="G1853" s="1882" t="str">
        <f>IF('4E'!G23="","##BLANK",'4E'!G23)</f>
        <v>##BLANK</v>
      </c>
    </row>
    <row r="1854" spans="2:7">
      <c r="B1854" s="821" t="str">
        <f>+'4E'!BF24</f>
        <v>CS00037F</v>
      </c>
      <c r="D1854" s="1882"/>
      <c r="E1854" s="1628" t="s">
        <v>8339</v>
      </c>
      <c r="F1854" s="1882"/>
      <c r="G1854" s="1882" t="str">
        <f>IF('4E'!G24="","##BLANK",'4E'!G24)</f>
        <v>##BLANK</v>
      </c>
    </row>
    <row r="1855" spans="2:7">
      <c r="B1855" s="821" t="str">
        <f>+'4E'!BF25</f>
        <v>BC30849F</v>
      </c>
      <c r="D1855" s="1882"/>
      <c r="E1855" s="1628" t="s">
        <v>8339</v>
      </c>
      <c r="F1855" s="1882"/>
      <c r="G1855" s="1882" t="str">
        <f>IF('4E'!G25="","##BLANK",'4E'!G25)</f>
        <v>##BLANK</v>
      </c>
    </row>
    <row r="1856" spans="2:7">
      <c r="B1856" s="821" t="str">
        <f>+'4E'!BF26</f>
        <v>BC30998F</v>
      </c>
      <c r="D1856" s="1882"/>
      <c r="E1856" s="1628" t="s">
        <v>8339</v>
      </c>
      <c r="F1856" s="1882"/>
      <c r="G1856" s="1882">
        <f>IF('4E'!G26="","##BLANK",'4E'!G26)</f>
        <v>0</v>
      </c>
    </row>
    <row r="1857" spans="2:7">
      <c r="B1857" s="821" t="str">
        <f>+'4E'!BF27</f>
        <v>BM833F</v>
      </c>
      <c r="D1857" s="1882"/>
      <c r="E1857" s="1628" t="s">
        <v>8339</v>
      </c>
      <c r="F1857" s="1882"/>
      <c r="G1857" s="1882" t="str">
        <f>IF('4E'!G27="","##BLANK",'4E'!G27)</f>
        <v>##BLANK</v>
      </c>
    </row>
    <row r="1858" spans="2:7">
      <c r="B1858" s="821" t="str">
        <f>+'4E'!BF28</f>
        <v>BA2120F</v>
      </c>
      <c r="D1858" s="1882"/>
      <c r="E1858" s="1628" t="s">
        <v>8339</v>
      </c>
      <c r="F1858" s="1882"/>
      <c r="G1858" s="1882">
        <f>IF('4E'!G28="","##BLANK",'4E'!G28)</f>
        <v>0</v>
      </c>
    </row>
    <row r="1859" spans="2:7">
      <c r="B1859" s="821" t="str">
        <f>+'4E'!BF31</f>
        <v>BA2121F</v>
      </c>
      <c r="D1859" s="1882"/>
      <c r="E1859" s="1628" t="s">
        <v>8339</v>
      </c>
      <c r="F1859" s="1882"/>
      <c r="G1859" s="1882" t="str">
        <f>IF('4E'!G31="","##BLANK",'4E'!G31)</f>
        <v>##BLANK</v>
      </c>
    </row>
    <row r="1860" spans="2:7">
      <c r="B1860" s="821" t="str">
        <f>+'4E'!BF33</f>
        <v>BM825F</v>
      </c>
      <c r="D1860" s="1882"/>
      <c r="E1860" s="1628" t="s">
        <v>8339</v>
      </c>
      <c r="F1860" s="1882"/>
      <c r="G1860" s="1882">
        <f>IF('4E'!G33="","##BLANK",'4E'!G33)</f>
        <v>0</v>
      </c>
    </row>
    <row r="1861" spans="2:7">
      <c r="B1861" s="821" t="str">
        <f>+'4E'!BF36</f>
        <v>CR00559F</v>
      </c>
      <c r="D1861" s="1882"/>
      <c r="E1861" s="1628" t="s">
        <v>8339</v>
      </c>
      <c r="F1861" s="1882"/>
      <c r="G1861" s="1882" t="str">
        <f>IF('4E'!G36="","##BLANK",'4E'!G36)</f>
        <v>##BLANK</v>
      </c>
    </row>
    <row r="1862" spans="2:7">
      <c r="B1862" s="821" t="str">
        <f>+'4E'!BF37</f>
        <v>CR00562F</v>
      </c>
      <c r="D1862" s="1882"/>
      <c r="E1862" s="1628" t="s">
        <v>8339</v>
      </c>
      <c r="F1862" s="1882"/>
      <c r="G1862" s="1882" t="str">
        <f>IF('4E'!G37="","##BLANK",'4E'!G37)</f>
        <v>##BLANK</v>
      </c>
    </row>
    <row r="1863" spans="2:7">
      <c r="B1863" s="821" t="str">
        <f>+'4E'!BF39</f>
        <v>S3040F</v>
      </c>
      <c r="D1863" s="1882"/>
      <c r="E1863" s="1628" t="s">
        <v>8339</v>
      </c>
      <c r="F1863" s="1882"/>
      <c r="G1863" s="1882">
        <f>IF('4E'!G39="","##BLANK",'4E'!G39)</f>
        <v>0</v>
      </c>
    </row>
    <row r="1864" spans="2:7">
      <c r="B1864" s="821" t="str">
        <f>+'4E'!BF42</f>
        <v>CRASF005</v>
      </c>
      <c r="D1864" s="1882"/>
      <c r="E1864" s="1628" t="s">
        <v>8339</v>
      </c>
      <c r="F1864" s="1882"/>
      <c r="G1864" s="1882" t="str">
        <f>IF('4E'!G42="","##BLANK",'4E'!G42)</f>
        <v>##BLANK</v>
      </c>
    </row>
    <row r="1865" spans="2:7">
      <c r="B1865" s="821" t="str">
        <f>+'4E'!BF50</f>
        <v>CRASF006</v>
      </c>
      <c r="D1865" s="1882"/>
      <c r="E1865" s="1628" t="s">
        <v>8339</v>
      </c>
      <c r="F1865" s="1882"/>
      <c r="G1865" s="1882">
        <f>IF('4E'!G50="","##BLANK",'4E'!G50)</f>
        <v>0</v>
      </c>
    </row>
    <row r="1866" spans="2:7">
      <c r="B1866" s="821" t="str">
        <f>+'4E'!BF51</f>
        <v>BN2630F</v>
      </c>
      <c r="D1866" s="1882"/>
      <c r="E1866" s="1628" t="s">
        <v>8339</v>
      </c>
      <c r="F1866" s="1882"/>
      <c r="G1866" s="1882" t="str">
        <f>IF('4E'!G51="","##BLANK",'4E'!G51)</f>
        <v>##BLANK</v>
      </c>
    </row>
    <row r="1867" spans="2:7">
      <c r="B1867" s="821" t="str">
        <f>+'4E'!BF52</f>
        <v>BN2631F</v>
      </c>
      <c r="D1867" s="1882"/>
      <c r="E1867" s="1628" t="s">
        <v>8339</v>
      </c>
      <c r="F1867" s="1882"/>
      <c r="G1867" s="1882">
        <f>IF('4E'!G52="","##BLANK",'4E'!G52)</f>
        <v>0</v>
      </c>
    </row>
    <row r="1868" spans="2:7">
      <c r="B1868" s="821" t="str">
        <f>+'4E'!BG7</f>
        <v>BM402SWD</v>
      </c>
      <c r="D1868" s="1882"/>
      <c r="E1868" s="1628" t="s">
        <v>8339</v>
      </c>
      <c r="F1868" s="1882"/>
      <c r="G1868" s="1882" t="str">
        <f>IF('4E'!H7="","##BLANK",'4E'!H7)</f>
        <v>##BLANK</v>
      </c>
    </row>
    <row r="1869" spans="2:7">
      <c r="B1869" s="821" t="str">
        <f>+'4E'!BG8</f>
        <v>BM836SWD</v>
      </c>
      <c r="D1869" s="1882"/>
      <c r="E1869" s="1628" t="s">
        <v>8339</v>
      </c>
      <c r="F1869" s="1882"/>
      <c r="G1869" s="1882" t="str">
        <f>IF('4E'!H8="","##BLANK",'4E'!H8)</f>
        <v>##BLANK</v>
      </c>
    </row>
    <row r="1870" spans="2:7">
      <c r="B1870" s="821" t="str">
        <f>+'4E'!BG9</f>
        <v>BM131SWD</v>
      </c>
      <c r="D1870" s="1882"/>
      <c r="E1870" s="1628" t="s">
        <v>8339</v>
      </c>
      <c r="F1870" s="1882"/>
      <c r="G1870" s="1882" t="str">
        <f>IF('4E'!H9="","##BLANK",'4E'!H9)</f>
        <v>##BLANK</v>
      </c>
    </row>
    <row r="1871" spans="2:7">
      <c r="B1871" s="821" t="str">
        <f>+'4E'!BG10</f>
        <v>BM140SWD</v>
      </c>
      <c r="D1871" s="1882"/>
      <c r="E1871" s="1628" t="s">
        <v>8339</v>
      </c>
      <c r="F1871" s="1882"/>
      <c r="G1871" s="1882" t="str">
        <f>IF('4E'!H10="","##BLANK",'4E'!H10)</f>
        <v>##BLANK</v>
      </c>
    </row>
    <row r="1872" spans="2:7">
      <c r="B1872" s="821" t="str">
        <f>+'4E'!BG11</f>
        <v>BM839SWDIR</v>
      </c>
      <c r="D1872" s="1882"/>
      <c r="E1872" s="1628" t="s">
        <v>8339</v>
      </c>
      <c r="F1872" s="1882"/>
      <c r="G1872" s="1882" t="str">
        <f>IF('4E'!H11="","##BLANK",'4E'!H11)</f>
        <v>##BLANK</v>
      </c>
    </row>
    <row r="1873" spans="2:7">
      <c r="B1873" s="821" t="str">
        <f>+'4E'!BG12</f>
        <v>BM839SWDNIR</v>
      </c>
      <c r="D1873" s="1882"/>
      <c r="E1873" s="1628" t="s">
        <v>8339</v>
      </c>
      <c r="F1873" s="1882"/>
      <c r="G1873" s="1882" t="str">
        <f>IF('4E'!H12="","##BLANK",'4E'!H12)</f>
        <v>##BLANK</v>
      </c>
    </row>
    <row r="1874" spans="2:7">
      <c r="B1874" s="821" t="str">
        <f>+'4E'!BG13</f>
        <v>BM839SWDER</v>
      </c>
      <c r="D1874" s="1882"/>
      <c r="E1874" s="1628" t="s">
        <v>8339</v>
      </c>
      <c r="F1874" s="1882"/>
      <c r="G1874" s="1882" t="str">
        <f>IF('4E'!H13="","##BLANK",'4E'!H13)</f>
        <v>##BLANK</v>
      </c>
    </row>
    <row r="1875" spans="2:7">
      <c r="B1875" s="821" t="str">
        <f>+'4E'!BG14</f>
        <v>BM817SWD</v>
      </c>
      <c r="D1875" s="1882"/>
      <c r="E1875" s="1628" t="s">
        <v>8339</v>
      </c>
      <c r="F1875" s="1882"/>
      <c r="G1875" s="1882" t="str">
        <f>IF('4E'!H14="","##BLANK",'4E'!H14)</f>
        <v>##BLANK</v>
      </c>
    </row>
    <row r="1876" spans="2:7">
      <c r="B1876" s="821" t="str">
        <f>+'4E'!BG15</f>
        <v>BM844SWD</v>
      </c>
      <c r="D1876" s="1882"/>
      <c r="E1876" s="1628" t="s">
        <v>8339</v>
      </c>
      <c r="F1876" s="1882"/>
      <c r="G1876" s="1882">
        <f>IF('4E'!H15="","##BLANK",'4E'!H15)</f>
        <v>0</v>
      </c>
    </row>
    <row r="1877" spans="2:7">
      <c r="B1877" s="821" t="str">
        <f>+'4E'!BG17</f>
        <v>BM823SWD</v>
      </c>
      <c r="D1877" s="1882"/>
      <c r="E1877" s="1628" t="s">
        <v>8339</v>
      </c>
      <c r="F1877" s="1882"/>
      <c r="G1877" s="1882" t="str">
        <f>IF('4E'!H17="","##BLANK",'4E'!H17)</f>
        <v>##BLANK</v>
      </c>
    </row>
    <row r="1878" spans="2:7">
      <c r="B1878" s="821" t="str">
        <f>+'4E'!BG18</f>
        <v>BM850SWD</v>
      </c>
      <c r="D1878" s="1882"/>
      <c r="E1878" s="1628" t="s">
        <v>8339</v>
      </c>
      <c r="F1878" s="1882"/>
      <c r="G1878" s="1882">
        <f>IF('4E'!H18="","##BLANK",'4E'!H18)</f>
        <v>0</v>
      </c>
    </row>
    <row r="1879" spans="2:7">
      <c r="B1879" s="821" t="str">
        <f>+'4E'!BG21</f>
        <v>BC30945SWD</v>
      </c>
      <c r="D1879" s="1882"/>
      <c r="E1879" s="1628" t="s">
        <v>8339</v>
      </c>
      <c r="F1879" s="1882"/>
      <c r="G1879" s="1882" t="str">
        <f>IF('4E'!H21="","##BLANK",'4E'!H21)</f>
        <v>##BLANK</v>
      </c>
    </row>
    <row r="1880" spans="2:7">
      <c r="B1880" s="821" t="str">
        <f>+'4E'!BG22</f>
        <v>CS00036SWD</v>
      </c>
      <c r="D1880" s="1882"/>
      <c r="E1880" s="1628" t="s">
        <v>8339</v>
      </c>
      <c r="F1880" s="1882"/>
      <c r="G1880" s="1882" t="str">
        <f>IF('4E'!H22="","##BLANK",'4E'!H22)</f>
        <v>##BLANK</v>
      </c>
    </row>
    <row r="1881" spans="2:7">
      <c r="B1881" s="821" t="str">
        <f>+'4E'!BG23</f>
        <v>BC30944SWD</v>
      </c>
      <c r="D1881" s="1882"/>
      <c r="E1881" s="1628" t="s">
        <v>8339</v>
      </c>
      <c r="F1881" s="1882"/>
      <c r="G1881" s="1882" t="str">
        <f>IF('4E'!H23="","##BLANK",'4E'!H23)</f>
        <v>##BLANK</v>
      </c>
    </row>
    <row r="1882" spans="2:7">
      <c r="B1882" s="821" t="str">
        <f>+'4E'!BG24</f>
        <v>CS00037SWD</v>
      </c>
      <c r="D1882" s="1882"/>
      <c r="E1882" s="1628" t="s">
        <v>8339</v>
      </c>
      <c r="F1882" s="1882"/>
      <c r="G1882" s="1882" t="str">
        <f>IF('4E'!H24="","##BLANK",'4E'!H24)</f>
        <v>##BLANK</v>
      </c>
    </row>
    <row r="1883" spans="2:7">
      <c r="B1883" s="821" t="str">
        <f>+'4E'!BG25</f>
        <v>BC30849SWD</v>
      </c>
      <c r="D1883" s="1882"/>
      <c r="E1883" s="1628" t="s">
        <v>8339</v>
      </c>
      <c r="F1883" s="1882"/>
      <c r="G1883" s="1882" t="str">
        <f>IF('4E'!H25="","##BLANK",'4E'!H25)</f>
        <v>##BLANK</v>
      </c>
    </row>
    <row r="1884" spans="2:7">
      <c r="B1884" s="821" t="str">
        <f>+'4E'!BG26</f>
        <v>BC30998SWD</v>
      </c>
      <c r="D1884" s="1882"/>
      <c r="E1884" s="1628" t="s">
        <v>8339</v>
      </c>
      <c r="F1884" s="1882"/>
      <c r="G1884" s="1882">
        <f>IF('4E'!H26="","##BLANK",'4E'!H26)</f>
        <v>0</v>
      </c>
    </row>
    <row r="1885" spans="2:7">
      <c r="B1885" s="821" t="str">
        <f>+'4E'!BG27</f>
        <v>BM833SWD</v>
      </c>
      <c r="D1885" s="1882"/>
      <c r="E1885" s="1628" t="s">
        <v>8339</v>
      </c>
      <c r="F1885" s="1882"/>
      <c r="G1885" s="1882" t="str">
        <f>IF('4E'!H27="","##BLANK",'4E'!H27)</f>
        <v>##BLANK</v>
      </c>
    </row>
    <row r="1886" spans="2:7">
      <c r="B1886" s="821" t="str">
        <f>+'4E'!BG28</f>
        <v>BA2120SWD</v>
      </c>
      <c r="D1886" s="1882"/>
      <c r="E1886" s="1628" t="s">
        <v>8339</v>
      </c>
      <c r="F1886" s="1882"/>
      <c r="G1886" s="1882">
        <f>IF('4E'!H28="","##BLANK",'4E'!H28)</f>
        <v>0</v>
      </c>
    </row>
    <row r="1887" spans="2:7">
      <c r="B1887" s="821" t="str">
        <f>+'4E'!BG31</f>
        <v>BA2121SWD</v>
      </c>
      <c r="D1887" s="1882"/>
      <c r="E1887" s="1628" t="s">
        <v>8339</v>
      </c>
      <c r="F1887" s="1882"/>
      <c r="G1887" s="1882" t="str">
        <f>IF('4E'!H31="","##BLANK",'4E'!H31)</f>
        <v>##BLANK</v>
      </c>
    </row>
    <row r="1888" spans="2:7">
      <c r="B1888" s="821" t="str">
        <f>+'4E'!BG33</f>
        <v>BM825SWD</v>
      </c>
      <c r="D1888" s="1882"/>
      <c r="E1888" s="1628" t="s">
        <v>8339</v>
      </c>
      <c r="F1888" s="1882"/>
      <c r="G1888" s="1882">
        <f>IF('4E'!H33="","##BLANK",'4E'!H33)</f>
        <v>0</v>
      </c>
    </row>
    <row r="1889" spans="2:7">
      <c r="B1889" s="821" t="str">
        <f>+'4E'!BG36</f>
        <v>CR00559SWD</v>
      </c>
      <c r="D1889" s="1882"/>
      <c r="E1889" s="1628" t="s">
        <v>8339</v>
      </c>
      <c r="F1889" s="1882"/>
      <c r="G1889" s="1882" t="str">
        <f>IF('4E'!H36="","##BLANK",'4E'!H36)</f>
        <v>##BLANK</v>
      </c>
    </row>
    <row r="1890" spans="2:7">
      <c r="B1890" s="821" t="str">
        <f>+'4E'!BG37</f>
        <v>CR00562SWD</v>
      </c>
      <c r="D1890" s="1882"/>
      <c r="E1890" s="1628" t="s">
        <v>8339</v>
      </c>
      <c r="F1890" s="1882"/>
      <c r="G1890" s="1882" t="str">
        <f>IF('4E'!H37="","##BLANK",'4E'!H37)</f>
        <v>##BLANK</v>
      </c>
    </row>
    <row r="1891" spans="2:7">
      <c r="B1891" s="821" t="str">
        <f>+'4E'!BG39</f>
        <v>S3040SWD</v>
      </c>
      <c r="D1891" s="1882"/>
      <c r="E1891" s="1628" t="s">
        <v>8339</v>
      </c>
      <c r="F1891" s="1882"/>
      <c r="G1891" s="1882">
        <f>IF('4E'!H39="","##BLANK",'4E'!H39)</f>
        <v>0</v>
      </c>
    </row>
    <row r="1892" spans="2:7">
      <c r="B1892" s="821" t="str">
        <f>+'4E'!BG43</f>
        <v>CRASSWD005</v>
      </c>
      <c r="D1892" s="1882"/>
      <c r="E1892" s="1628" t="s">
        <v>8339</v>
      </c>
      <c r="F1892" s="1882"/>
      <c r="G1892" s="1882" t="str">
        <f>IF('4E'!H43="","##BLANK",'4E'!H43)</f>
        <v>##BLANK</v>
      </c>
    </row>
    <row r="1893" spans="2:7">
      <c r="B1893" s="821" t="str">
        <f>+'4E'!BG50</f>
        <v>CRASSWD006</v>
      </c>
      <c r="D1893" s="1882"/>
      <c r="E1893" s="1628" t="s">
        <v>8339</v>
      </c>
      <c r="F1893" s="1882"/>
      <c r="G1893" s="1882">
        <f>IF('4E'!H50="","##BLANK",'4E'!H50)</f>
        <v>0</v>
      </c>
    </row>
    <row r="1894" spans="2:7">
      <c r="B1894" s="821" t="str">
        <f>+'4E'!BG51</f>
        <v>BN2630SWD</v>
      </c>
      <c r="D1894" s="1882"/>
      <c r="E1894" s="1628" t="s">
        <v>8339</v>
      </c>
      <c r="F1894" s="1882"/>
      <c r="G1894" s="1882" t="str">
        <f>IF('4E'!H51="","##BLANK",'4E'!H51)</f>
        <v>##BLANK</v>
      </c>
    </row>
    <row r="1895" spans="2:7">
      <c r="B1895" s="821" t="str">
        <f>+'4E'!BG52</f>
        <v>BN2631SWD</v>
      </c>
      <c r="D1895" s="1882"/>
      <c r="E1895" s="1628" t="s">
        <v>8339</v>
      </c>
      <c r="F1895" s="1882"/>
      <c r="G1895" s="1882">
        <f>IF('4E'!H52="","##BLANK",'4E'!H52)</f>
        <v>0</v>
      </c>
    </row>
    <row r="1896" spans="2:7">
      <c r="B1896" s="821" t="str">
        <f>+'4E'!BH7</f>
        <v>BM402HD</v>
      </c>
      <c r="D1896" s="1882"/>
      <c r="E1896" s="1628" t="s">
        <v>8339</v>
      </c>
      <c r="F1896" s="1882"/>
      <c r="G1896" s="1882" t="str">
        <f>IF('4E'!I7="","##BLANK",'4E'!I7)</f>
        <v>##BLANK</v>
      </c>
    </row>
    <row r="1897" spans="2:7">
      <c r="B1897" s="821" t="str">
        <f>+'4E'!BH8</f>
        <v>BM836HD</v>
      </c>
      <c r="D1897" s="1882"/>
      <c r="E1897" s="1628" t="s">
        <v>8339</v>
      </c>
      <c r="F1897" s="1882"/>
      <c r="G1897" s="1882" t="str">
        <f>IF('4E'!I8="","##BLANK",'4E'!I8)</f>
        <v>##BLANK</v>
      </c>
    </row>
    <row r="1898" spans="2:7">
      <c r="B1898" s="821" t="str">
        <f>+'4E'!BH9</f>
        <v>BM131HD</v>
      </c>
      <c r="D1898" s="1882"/>
      <c r="E1898" s="1628" t="s">
        <v>8339</v>
      </c>
      <c r="F1898" s="1882"/>
      <c r="G1898" s="1882" t="str">
        <f>IF('4E'!I9="","##BLANK",'4E'!I9)</f>
        <v>##BLANK</v>
      </c>
    </row>
    <row r="1899" spans="2:7">
      <c r="B1899" s="821" t="str">
        <f>+'4E'!BH10</f>
        <v>BM140HD</v>
      </c>
      <c r="D1899" s="1882"/>
      <c r="E1899" s="1628" t="s">
        <v>8339</v>
      </c>
      <c r="F1899" s="1882"/>
      <c r="G1899" s="1882" t="str">
        <f>IF('4E'!I10="","##BLANK",'4E'!I10)</f>
        <v>##BLANK</v>
      </c>
    </row>
    <row r="1900" spans="2:7">
      <c r="B1900" s="821" t="str">
        <f>+'4E'!BH11</f>
        <v>BM839HDIR</v>
      </c>
      <c r="D1900" s="1882"/>
      <c r="E1900" s="1628" t="s">
        <v>8339</v>
      </c>
      <c r="F1900" s="1882"/>
      <c r="G1900" s="1882" t="str">
        <f>IF('4E'!I11="","##BLANK",'4E'!I11)</f>
        <v>##BLANK</v>
      </c>
    </row>
    <row r="1901" spans="2:7">
      <c r="B1901" s="821" t="str">
        <f>+'4E'!BH12</f>
        <v>BM839HDNIR</v>
      </c>
      <c r="D1901" s="1882"/>
      <c r="E1901" s="1628" t="s">
        <v>8339</v>
      </c>
      <c r="F1901" s="1882"/>
      <c r="G1901" s="1882" t="str">
        <f>IF('4E'!I12="","##BLANK",'4E'!I12)</f>
        <v>##BLANK</v>
      </c>
    </row>
    <row r="1902" spans="2:7">
      <c r="B1902" s="821" t="str">
        <f>+'4E'!BH13</f>
        <v>BM839HDER</v>
      </c>
      <c r="D1902" s="1882"/>
      <c r="E1902" s="1628" t="s">
        <v>8339</v>
      </c>
      <c r="F1902" s="1882"/>
      <c r="G1902" s="1882" t="str">
        <f>IF('4E'!I13="","##BLANK",'4E'!I13)</f>
        <v>##BLANK</v>
      </c>
    </row>
    <row r="1903" spans="2:7">
      <c r="B1903" s="821" t="str">
        <f>+'4E'!BH14</f>
        <v>BM817HD</v>
      </c>
      <c r="D1903" s="1882"/>
      <c r="E1903" s="1628" t="s">
        <v>8339</v>
      </c>
      <c r="F1903" s="1882"/>
      <c r="G1903" s="1882" t="str">
        <f>IF('4E'!I14="","##BLANK",'4E'!I14)</f>
        <v>##BLANK</v>
      </c>
    </row>
    <row r="1904" spans="2:7">
      <c r="B1904" s="821" t="str">
        <f>+'4E'!BH15</f>
        <v>BM844HD</v>
      </c>
      <c r="D1904" s="1882"/>
      <c r="E1904" s="1628" t="s">
        <v>8339</v>
      </c>
      <c r="F1904" s="1882"/>
      <c r="G1904" s="1882">
        <f>IF('4E'!I15="","##BLANK",'4E'!I15)</f>
        <v>0</v>
      </c>
    </row>
    <row r="1905" spans="2:7">
      <c r="B1905" s="821" t="str">
        <f>+'4E'!BH17</f>
        <v>BM823HD</v>
      </c>
      <c r="D1905" s="1882"/>
      <c r="E1905" s="1628" t="s">
        <v>8339</v>
      </c>
      <c r="F1905" s="1882"/>
      <c r="G1905" s="1882" t="str">
        <f>IF('4E'!I17="","##BLANK",'4E'!I17)</f>
        <v>##BLANK</v>
      </c>
    </row>
    <row r="1906" spans="2:7">
      <c r="B1906" s="821" t="str">
        <f>+'4E'!BH18</f>
        <v>BM850HD</v>
      </c>
      <c r="D1906" s="1882"/>
      <c r="E1906" s="1628" t="s">
        <v>8339</v>
      </c>
      <c r="F1906" s="1882"/>
      <c r="G1906" s="1882">
        <f>IF('4E'!I18="","##BLANK",'4E'!I18)</f>
        <v>0</v>
      </c>
    </row>
    <row r="1907" spans="2:7">
      <c r="B1907" s="821" t="str">
        <f>+'4E'!BH21</f>
        <v>BC30945HD</v>
      </c>
      <c r="D1907" s="1882"/>
      <c r="E1907" s="1628" t="s">
        <v>8339</v>
      </c>
      <c r="F1907" s="1882"/>
      <c r="G1907" s="1882" t="str">
        <f>IF('4E'!I21="","##BLANK",'4E'!I21)</f>
        <v>##BLANK</v>
      </c>
    </row>
    <row r="1908" spans="2:7">
      <c r="B1908" s="821" t="str">
        <f>+'4E'!BH22</f>
        <v>CS00036HD</v>
      </c>
      <c r="D1908" s="1882"/>
      <c r="E1908" s="1628" t="s">
        <v>8339</v>
      </c>
      <c r="F1908" s="1882"/>
      <c r="G1908" s="1882" t="str">
        <f>IF('4E'!I22="","##BLANK",'4E'!I22)</f>
        <v>##BLANK</v>
      </c>
    </row>
    <row r="1909" spans="2:7">
      <c r="B1909" s="821" t="str">
        <f>+'4E'!BH23</f>
        <v>BC30944HD</v>
      </c>
      <c r="D1909" s="1882"/>
      <c r="E1909" s="1628" t="s">
        <v>8339</v>
      </c>
      <c r="F1909" s="1882"/>
      <c r="G1909" s="1882" t="str">
        <f>IF('4E'!I23="","##BLANK",'4E'!I23)</f>
        <v>##BLANK</v>
      </c>
    </row>
    <row r="1910" spans="2:7">
      <c r="B1910" s="821" t="str">
        <f>+'4E'!BH24</f>
        <v>CS00037HD</v>
      </c>
      <c r="D1910" s="1882"/>
      <c r="E1910" s="1628" t="s">
        <v>8339</v>
      </c>
      <c r="F1910" s="1882"/>
      <c r="G1910" s="1882" t="str">
        <f>IF('4E'!I24="","##BLANK",'4E'!I24)</f>
        <v>##BLANK</v>
      </c>
    </row>
    <row r="1911" spans="2:7">
      <c r="B1911" s="821" t="str">
        <f>+'4E'!BH25</f>
        <v>BC30849HD</v>
      </c>
      <c r="D1911" s="1882"/>
      <c r="E1911" s="1628" t="s">
        <v>8339</v>
      </c>
      <c r="F1911" s="1882"/>
      <c r="G1911" s="1882" t="str">
        <f>IF('4E'!I25="","##BLANK",'4E'!I25)</f>
        <v>##BLANK</v>
      </c>
    </row>
    <row r="1912" spans="2:7">
      <c r="B1912" s="821" t="str">
        <f>+'4E'!BH26</f>
        <v>BC30998HD</v>
      </c>
      <c r="D1912" s="1882"/>
      <c r="E1912" s="1628" t="s">
        <v>8339</v>
      </c>
      <c r="F1912" s="1882"/>
      <c r="G1912" s="1882">
        <f>IF('4E'!I26="","##BLANK",'4E'!I26)</f>
        <v>0</v>
      </c>
    </row>
    <row r="1913" spans="2:7">
      <c r="B1913" s="821" t="str">
        <f>+'4E'!BH27</f>
        <v>BM833HD</v>
      </c>
      <c r="D1913" s="1882"/>
      <c r="E1913" s="1628" t="s">
        <v>8339</v>
      </c>
      <c r="F1913" s="1882"/>
      <c r="G1913" s="1882" t="str">
        <f>IF('4E'!I27="","##BLANK",'4E'!I27)</f>
        <v>##BLANK</v>
      </c>
    </row>
    <row r="1914" spans="2:7">
      <c r="B1914" s="821" t="str">
        <f>+'4E'!BH28</f>
        <v>BA2120HD</v>
      </c>
      <c r="D1914" s="1882"/>
      <c r="E1914" s="1628" t="s">
        <v>8339</v>
      </c>
      <c r="F1914" s="1882"/>
      <c r="G1914" s="1882">
        <f>IF('4E'!I28="","##BLANK",'4E'!I28)</f>
        <v>0</v>
      </c>
    </row>
    <row r="1915" spans="2:7">
      <c r="B1915" s="821" t="str">
        <f>+'4E'!BH31</f>
        <v>BA2121HD</v>
      </c>
      <c r="D1915" s="1882"/>
      <c r="E1915" s="1628" t="s">
        <v>8339</v>
      </c>
      <c r="F1915" s="1882"/>
      <c r="G1915" s="1882" t="str">
        <f>IF('4E'!I31="","##BLANK",'4E'!I31)</f>
        <v>##BLANK</v>
      </c>
    </row>
    <row r="1916" spans="2:7">
      <c r="B1916" s="821" t="str">
        <f>+'4E'!BH33</f>
        <v>BM825HD</v>
      </c>
      <c r="D1916" s="1882"/>
      <c r="E1916" s="1628" t="s">
        <v>8339</v>
      </c>
      <c r="F1916" s="1882"/>
      <c r="G1916" s="1882">
        <f>IF('4E'!I33="","##BLANK",'4E'!I33)</f>
        <v>0</v>
      </c>
    </row>
    <row r="1917" spans="2:7">
      <c r="B1917" s="821" t="str">
        <f>+'4E'!BH36</f>
        <v>CR00559HD</v>
      </c>
      <c r="D1917" s="1882"/>
      <c r="E1917" s="1628" t="s">
        <v>8339</v>
      </c>
      <c r="F1917" s="1882"/>
      <c r="G1917" s="1882" t="str">
        <f>IF('4E'!I36="","##BLANK",'4E'!I36)</f>
        <v>##BLANK</v>
      </c>
    </row>
    <row r="1918" spans="2:7">
      <c r="B1918" s="821" t="str">
        <f>+'4E'!BH37</f>
        <v>CR00562HD</v>
      </c>
      <c r="D1918" s="1882"/>
      <c r="E1918" s="1628" t="s">
        <v>8339</v>
      </c>
      <c r="F1918" s="1882"/>
      <c r="G1918" s="1882" t="str">
        <f>IF('4E'!I37="","##BLANK",'4E'!I37)</f>
        <v>##BLANK</v>
      </c>
    </row>
    <row r="1919" spans="2:7">
      <c r="B1919" s="821" t="str">
        <f>+'4E'!BH39</f>
        <v>S3040HD</v>
      </c>
      <c r="D1919" s="1882"/>
      <c r="E1919" s="1628" t="s">
        <v>8339</v>
      </c>
      <c r="F1919" s="1882"/>
      <c r="G1919" s="1882">
        <f>IF('4E'!I39="","##BLANK",'4E'!I39)</f>
        <v>0</v>
      </c>
    </row>
    <row r="1920" spans="2:7">
      <c r="B1920" s="821" t="str">
        <f>+'4E'!BH44</f>
        <v>CRASHD005</v>
      </c>
      <c r="D1920" s="1882"/>
      <c r="E1920" s="1628" t="s">
        <v>8339</v>
      </c>
      <c r="F1920" s="1882"/>
      <c r="G1920" s="1882" t="str">
        <f>IF('4E'!I44="","##BLANK",'4E'!I44)</f>
        <v>##BLANK</v>
      </c>
    </row>
    <row r="1921" spans="2:7">
      <c r="B1921" s="821" t="str">
        <f>+'4E'!BH50</f>
        <v>CRASHD006</v>
      </c>
      <c r="D1921" s="1882"/>
      <c r="E1921" s="1628" t="s">
        <v>8339</v>
      </c>
      <c r="F1921" s="1882"/>
      <c r="G1921" s="1882">
        <f>IF('4E'!I50="","##BLANK",'4E'!I50)</f>
        <v>0</v>
      </c>
    </row>
    <row r="1922" spans="2:7">
      <c r="B1922" s="821" t="str">
        <f>+'4E'!BH51</f>
        <v>BN2630HD</v>
      </c>
      <c r="D1922" s="1882"/>
      <c r="E1922" s="1628" t="s">
        <v>8339</v>
      </c>
      <c r="F1922" s="1882"/>
      <c r="G1922" s="1882" t="str">
        <f>IF('4E'!I51="","##BLANK",'4E'!I51)</f>
        <v>##BLANK</v>
      </c>
    </row>
    <row r="1923" spans="2:7">
      <c r="B1923" s="821" t="str">
        <f>+'4E'!BH52</f>
        <v>BN2631HD</v>
      </c>
      <c r="D1923" s="1882"/>
      <c r="E1923" s="1628" t="s">
        <v>8339</v>
      </c>
      <c r="F1923" s="1882"/>
      <c r="G1923" s="1882">
        <f>IF('4E'!I52="","##BLANK",'4E'!I52)</f>
        <v>0</v>
      </c>
    </row>
    <row r="1924" spans="2:7">
      <c r="B1924" s="821" t="str">
        <f>+'4E'!BI7</f>
        <v>BM502STD</v>
      </c>
      <c r="D1924" s="1882"/>
      <c r="E1924" s="1628" t="s">
        <v>8339</v>
      </c>
      <c r="F1924" s="1882"/>
      <c r="G1924" s="1882" t="str">
        <f>IF('4E'!J7="","##BLANK",'4E'!J7)</f>
        <v>##BLANK</v>
      </c>
    </row>
    <row r="1925" spans="2:7">
      <c r="B1925" s="821" t="str">
        <f>+'4E'!BI8</f>
        <v>BM836STD</v>
      </c>
      <c r="D1925" s="1882"/>
      <c r="E1925" s="1628" t="s">
        <v>8339</v>
      </c>
      <c r="F1925" s="1882"/>
      <c r="G1925" s="1882" t="str">
        <f>IF('4E'!J8="","##BLANK",'4E'!J8)</f>
        <v>##BLANK</v>
      </c>
    </row>
    <row r="1926" spans="2:7">
      <c r="B1926" s="821" t="str">
        <f>+'4E'!BI9</f>
        <v>BM231STD</v>
      </c>
      <c r="D1926" s="1882"/>
      <c r="E1926" s="1628" t="s">
        <v>8339</v>
      </c>
      <c r="F1926" s="1882"/>
      <c r="G1926" s="1882" t="str">
        <f>IF('4E'!J9="","##BLANK",'4E'!J9)</f>
        <v>##BLANK</v>
      </c>
    </row>
    <row r="1927" spans="2:7">
      <c r="B1927" s="821" t="str">
        <f>+'4E'!BI10</f>
        <v>BM140STD</v>
      </c>
      <c r="D1927" s="1882"/>
      <c r="E1927" s="1628" t="s">
        <v>8339</v>
      </c>
      <c r="F1927" s="1882"/>
      <c r="G1927" s="1882" t="str">
        <f>IF('4E'!J10="","##BLANK",'4E'!J10)</f>
        <v>##BLANK</v>
      </c>
    </row>
    <row r="1928" spans="2:7">
      <c r="B1928" s="821" t="str">
        <f>+'4E'!BI11</f>
        <v>BM839STDIR</v>
      </c>
      <c r="D1928" s="1882"/>
      <c r="E1928" s="1628" t="s">
        <v>8339</v>
      </c>
      <c r="F1928" s="1882"/>
      <c r="G1928" s="1882" t="str">
        <f>IF('4E'!J11="","##BLANK",'4E'!J11)</f>
        <v>##BLANK</v>
      </c>
    </row>
    <row r="1929" spans="2:7">
      <c r="B1929" s="821" t="str">
        <f>+'4E'!BI12</f>
        <v>BM839STDNIR</v>
      </c>
      <c r="D1929" s="1882"/>
      <c r="E1929" s="1628" t="s">
        <v>8339</v>
      </c>
      <c r="F1929" s="1882"/>
      <c r="G1929" s="1882" t="str">
        <f>IF('4E'!J12="","##BLANK",'4E'!J12)</f>
        <v>##BLANK</v>
      </c>
    </row>
    <row r="1930" spans="2:7">
      <c r="B1930" s="821" t="str">
        <f>+'4E'!BI13</f>
        <v>BM839STDER</v>
      </c>
      <c r="D1930" s="1882"/>
      <c r="E1930" s="1628" t="s">
        <v>8339</v>
      </c>
      <c r="F1930" s="1882"/>
      <c r="G1930" s="1882" t="str">
        <f>IF('4E'!J13="","##BLANK",'4E'!J13)</f>
        <v>##BLANK</v>
      </c>
    </row>
    <row r="1931" spans="2:7">
      <c r="B1931" s="821" t="str">
        <f>+'4E'!BI14</f>
        <v>BM817STD</v>
      </c>
      <c r="D1931" s="1882"/>
      <c r="E1931" s="1628" t="s">
        <v>8339</v>
      </c>
      <c r="F1931" s="1882"/>
      <c r="G1931" s="1882" t="str">
        <f>IF('4E'!J14="","##BLANK",'4E'!J14)</f>
        <v>##BLANK</v>
      </c>
    </row>
    <row r="1932" spans="2:7">
      <c r="B1932" s="821" t="str">
        <f>+'4E'!BI15</f>
        <v>BM844STD</v>
      </c>
      <c r="D1932" s="1882"/>
      <c r="E1932" s="1628" t="s">
        <v>8339</v>
      </c>
      <c r="F1932" s="1882"/>
      <c r="G1932" s="1882">
        <f>IF('4E'!J15="","##BLANK",'4E'!J15)</f>
        <v>0</v>
      </c>
    </row>
    <row r="1933" spans="2:7">
      <c r="B1933" s="821" t="str">
        <f>+'4E'!BI17</f>
        <v>BM823STD</v>
      </c>
      <c r="D1933" s="1882"/>
      <c r="E1933" s="1628" t="s">
        <v>8339</v>
      </c>
      <c r="F1933" s="1882"/>
      <c r="G1933" s="1882" t="str">
        <f>IF('4E'!J17="","##BLANK",'4E'!J17)</f>
        <v>##BLANK</v>
      </c>
    </row>
    <row r="1934" spans="2:7">
      <c r="B1934" s="821" t="str">
        <f>+'4E'!BI18</f>
        <v>BM850STD</v>
      </c>
      <c r="D1934" s="1882"/>
      <c r="E1934" s="1628" t="s">
        <v>8339</v>
      </c>
      <c r="F1934" s="1882"/>
      <c r="G1934" s="1882">
        <f>IF('4E'!J18="","##BLANK",'4E'!J18)</f>
        <v>0</v>
      </c>
    </row>
    <row r="1935" spans="2:7">
      <c r="B1935" s="821" t="str">
        <f>+'4E'!BI21</f>
        <v>BC30945STD</v>
      </c>
      <c r="D1935" s="1882"/>
      <c r="E1935" s="1628" t="s">
        <v>8339</v>
      </c>
      <c r="F1935" s="1882"/>
      <c r="G1935" s="1882" t="str">
        <f>IF('4E'!J21="","##BLANK",'4E'!J21)</f>
        <v>##BLANK</v>
      </c>
    </row>
    <row r="1936" spans="2:7">
      <c r="B1936" s="821" t="str">
        <f>+'4E'!BI22</f>
        <v>CS00036STD</v>
      </c>
      <c r="D1936" s="1882"/>
      <c r="E1936" s="1628" t="s">
        <v>8339</v>
      </c>
      <c r="F1936" s="1882"/>
      <c r="G1936" s="1882" t="str">
        <f>IF('4E'!J22="","##BLANK",'4E'!J22)</f>
        <v>##BLANK</v>
      </c>
    </row>
    <row r="1937" spans="2:7">
      <c r="B1937" s="821" t="str">
        <f>+'4E'!BI23</f>
        <v>BC30944STD</v>
      </c>
      <c r="D1937" s="1882"/>
      <c r="E1937" s="1628" t="s">
        <v>8339</v>
      </c>
      <c r="F1937" s="1882"/>
      <c r="G1937" s="1882" t="str">
        <f>IF('4E'!J23="","##BLANK",'4E'!J23)</f>
        <v>##BLANK</v>
      </c>
    </row>
    <row r="1938" spans="2:7">
      <c r="B1938" s="821" t="str">
        <f>+'4E'!BI24</f>
        <v>CS00037STD</v>
      </c>
      <c r="D1938" s="1882"/>
      <c r="E1938" s="1628" t="s">
        <v>8339</v>
      </c>
      <c r="F1938" s="1882"/>
      <c r="G1938" s="1882" t="str">
        <f>IF('4E'!J24="","##BLANK",'4E'!J24)</f>
        <v>##BLANK</v>
      </c>
    </row>
    <row r="1939" spans="2:7">
      <c r="B1939" s="821" t="str">
        <f>+'4E'!BI25</f>
        <v>BC30849STD</v>
      </c>
      <c r="D1939" s="1882"/>
      <c r="E1939" s="1628" t="s">
        <v>8339</v>
      </c>
      <c r="F1939" s="1882"/>
      <c r="G1939" s="1882" t="str">
        <f>IF('4E'!J25="","##BLANK",'4E'!J25)</f>
        <v>##BLANK</v>
      </c>
    </row>
    <row r="1940" spans="2:7">
      <c r="B1940" s="821" t="str">
        <f>+'4E'!BI26</f>
        <v>BC30998STD</v>
      </c>
      <c r="D1940" s="1882"/>
      <c r="E1940" s="1628" t="s">
        <v>8339</v>
      </c>
      <c r="F1940" s="1882"/>
      <c r="G1940" s="1882">
        <f>IF('4E'!J26="","##BLANK",'4E'!J26)</f>
        <v>0</v>
      </c>
    </row>
    <row r="1941" spans="2:7">
      <c r="B1941" s="821" t="str">
        <f>+'4E'!BI27</f>
        <v>BM833STD</v>
      </c>
      <c r="D1941" s="1882"/>
      <c r="E1941" s="1628" t="s">
        <v>8339</v>
      </c>
      <c r="F1941" s="1882"/>
      <c r="G1941" s="1882" t="str">
        <f>IF('4E'!J27="","##BLANK",'4E'!J27)</f>
        <v>##BLANK</v>
      </c>
    </row>
    <row r="1942" spans="2:7">
      <c r="B1942" s="821" t="str">
        <f>+'4E'!BI28</f>
        <v>BA2120STD</v>
      </c>
      <c r="D1942" s="1882"/>
      <c r="E1942" s="1628" t="s">
        <v>8339</v>
      </c>
      <c r="F1942" s="1882"/>
      <c r="G1942" s="1882">
        <f>IF('4E'!J28="","##BLANK",'4E'!J28)</f>
        <v>0</v>
      </c>
    </row>
    <row r="1943" spans="2:7">
      <c r="B1943" s="821" t="str">
        <f>+'4E'!BI31</f>
        <v>BA2121STD</v>
      </c>
      <c r="D1943" s="1882"/>
      <c r="E1943" s="1628" t="s">
        <v>8339</v>
      </c>
      <c r="F1943" s="1882"/>
      <c r="G1943" s="1882" t="str">
        <f>IF('4E'!J31="","##BLANK",'4E'!J31)</f>
        <v>##BLANK</v>
      </c>
    </row>
    <row r="1944" spans="2:7">
      <c r="B1944" s="821" t="str">
        <f>+'4E'!BI33</f>
        <v>BM825STD</v>
      </c>
      <c r="D1944" s="1882"/>
      <c r="E1944" s="1628" t="s">
        <v>8339</v>
      </c>
      <c r="F1944" s="1882"/>
      <c r="G1944" s="1882">
        <f>IF('4E'!J33="","##BLANK",'4E'!J33)</f>
        <v>0</v>
      </c>
    </row>
    <row r="1945" spans="2:7">
      <c r="B1945" s="821" t="str">
        <f>+'4E'!BI36</f>
        <v>CR00559STD</v>
      </c>
      <c r="D1945" s="1882"/>
      <c r="E1945" s="1628" t="s">
        <v>8339</v>
      </c>
      <c r="F1945" s="1882"/>
      <c r="G1945" s="1882" t="str">
        <f>IF('4E'!J36="","##BLANK",'4E'!J36)</f>
        <v>##BLANK</v>
      </c>
    </row>
    <row r="1946" spans="2:7">
      <c r="B1946" s="821" t="str">
        <f>+'4E'!BI37</f>
        <v>CR00562STD</v>
      </c>
      <c r="D1946" s="1882"/>
      <c r="E1946" s="1628" t="s">
        <v>8339</v>
      </c>
      <c r="F1946" s="1882"/>
      <c r="G1946" s="1882" t="str">
        <f>IF('4E'!J37="","##BLANK",'4E'!J37)</f>
        <v>##BLANK</v>
      </c>
    </row>
    <row r="1947" spans="2:7">
      <c r="B1947" s="821" t="str">
        <f>+'4E'!BI39</f>
        <v>S3040STD</v>
      </c>
      <c r="D1947" s="1882"/>
      <c r="E1947" s="1628" t="s">
        <v>8339</v>
      </c>
      <c r="F1947" s="1882"/>
      <c r="G1947" s="1882">
        <f>IF('4E'!J39="","##BLANK",'4E'!J39)</f>
        <v>0</v>
      </c>
    </row>
    <row r="1948" spans="2:7">
      <c r="B1948" s="821" t="str">
        <f>+'4E'!BI45</f>
        <v>CRSTSERV01D</v>
      </c>
      <c r="D1948" s="1882"/>
      <c r="E1948" s="1628" t="s">
        <v>8339</v>
      </c>
      <c r="F1948" s="1882"/>
      <c r="G1948" s="1882" t="str">
        <f>IF('4E'!J45="","##BLANK",'4E'!J45)</f>
        <v>##BLANK</v>
      </c>
    </row>
    <row r="1949" spans="2:7">
      <c r="B1949" s="821" t="str">
        <f>+'4E'!BI50</f>
        <v>CRSTSERV01C</v>
      </c>
      <c r="D1949" s="1882"/>
      <c r="E1949" s="1628" t="s">
        <v>8339</v>
      </c>
      <c r="F1949" s="1882"/>
      <c r="G1949" s="1882">
        <f>IF('4E'!J50="","##BLANK",'4E'!J50)</f>
        <v>0</v>
      </c>
    </row>
    <row r="1950" spans="2:7">
      <c r="B1950" s="821" t="str">
        <f>+'4E'!BI51</f>
        <v>BN2630STD</v>
      </c>
      <c r="D1950" s="1882"/>
      <c r="E1950" s="1628" t="s">
        <v>8339</v>
      </c>
      <c r="F1950" s="1882"/>
      <c r="G1950" s="1882" t="str">
        <f>IF('4E'!J51="","##BLANK",'4E'!J51)</f>
        <v>##BLANK</v>
      </c>
    </row>
    <row r="1951" spans="2:7">
      <c r="B1951" s="821" t="str">
        <f>+'4E'!BI52</f>
        <v>BN2631STD</v>
      </c>
      <c r="D1951" s="1882"/>
      <c r="E1951" s="1628" t="s">
        <v>8339</v>
      </c>
      <c r="F1951" s="1882"/>
      <c r="G1951" s="1882">
        <f>IF('4E'!J52="","##BLANK",'4E'!J52)</f>
        <v>0</v>
      </c>
    </row>
    <row r="1952" spans="2:7">
      <c r="B1952" s="821" t="str">
        <f>+'4E'!BJ7</f>
        <v>BM502SLT</v>
      </c>
      <c r="D1952" s="1882"/>
      <c r="E1952" s="1628" t="s">
        <v>8339</v>
      </c>
      <c r="F1952" s="1882"/>
      <c r="G1952" s="1882" t="str">
        <f>IF('4E'!K7="","##BLANK",'4E'!K7)</f>
        <v>##BLANK</v>
      </c>
    </row>
    <row r="1953" spans="2:7">
      <c r="B1953" s="821" t="str">
        <f>+'4E'!BJ8</f>
        <v>BM836SLT</v>
      </c>
      <c r="D1953" s="1882"/>
      <c r="E1953" s="1628" t="s">
        <v>8339</v>
      </c>
      <c r="F1953" s="1882"/>
      <c r="G1953" s="1882" t="str">
        <f>IF('4E'!K8="","##BLANK",'4E'!K8)</f>
        <v>##BLANK</v>
      </c>
    </row>
    <row r="1954" spans="2:7">
      <c r="B1954" s="821" t="str">
        <f>+'4E'!BJ9</f>
        <v>BM231SLT</v>
      </c>
      <c r="D1954" s="1882"/>
      <c r="E1954" s="1628" t="s">
        <v>8339</v>
      </c>
      <c r="F1954" s="1882"/>
      <c r="G1954" s="1882" t="str">
        <f>IF('4E'!K9="","##BLANK",'4E'!K9)</f>
        <v>##BLANK</v>
      </c>
    </row>
    <row r="1955" spans="2:7">
      <c r="B1955" s="821" t="str">
        <f>+'4E'!BJ10</f>
        <v>BM140SLT</v>
      </c>
      <c r="D1955" s="1882"/>
      <c r="E1955" s="1628" t="s">
        <v>8339</v>
      </c>
      <c r="F1955" s="1882"/>
      <c r="G1955" s="1882" t="str">
        <f>IF('4E'!K10="","##BLANK",'4E'!K10)</f>
        <v>##BLANK</v>
      </c>
    </row>
    <row r="1956" spans="2:7">
      <c r="B1956" s="821" t="str">
        <f>+'4E'!BJ11</f>
        <v>BM839SLTIR</v>
      </c>
      <c r="D1956" s="1882"/>
      <c r="E1956" s="1628" t="s">
        <v>8339</v>
      </c>
      <c r="F1956" s="1882"/>
      <c r="G1956" s="1882" t="str">
        <f>IF('4E'!K11="","##BLANK",'4E'!K11)</f>
        <v>##BLANK</v>
      </c>
    </row>
    <row r="1957" spans="2:7">
      <c r="B1957" s="821" t="str">
        <f>+'4E'!BJ12</f>
        <v>BM839SLTNIR</v>
      </c>
      <c r="D1957" s="1882"/>
      <c r="E1957" s="1628" t="s">
        <v>8339</v>
      </c>
      <c r="F1957" s="1882"/>
      <c r="G1957" s="1882" t="str">
        <f>IF('4E'!K12="","##BLANK",'4E'!K12)</f>
        <v>##BLANK</v>
      </c>
    </row>
    <row r="1958" spans="2:7">
      <c r="B1958" s="821" t="str">
        <f>+'4E'!BJ13</f>
        <v>BM839SLTER</v>
      </c>
      <c r="D1958" s="1882"/>
      <c r="E1958" s="1628" t="s">
        <v>8339</v>
      </c>
      <c r="F1958" s="1882"/>
      <c r="G1958" s="1882" t="str">
        <f>IF('4E'!K13="","##BLANK",'4E'!K13)</f>
        <v>##BLANK</v>
      </c>
    </row>
    <row r="1959" spans="2:7">
      <c r="B1959" s="821" t="str">
        <f>+'4E'!BJ14</f>
        <v>BM817SLT</v>
      </c>
      <c r="D1959" s="1882"/>
      <c r="E1959" s="1628" t="s">
        <v>8339</v>
      </c>
      <c r="F1959" s="1882"/>
      <c r="G1959" s="1882" t="str">
        <f>IF('4E'!K14="","##BLANK",'4E'!K14)</f>
        <v>##BLANK</v>
      </c>
    </row>
    <row r="1960" spans="2:7">
      <c r="B1960" s="821" t="str">
        <f>+'4E'!BJ15</f>
        <v>BM844SLT</v>
      </c>
      <c r="D1960" s="1882"/>
      <c r="E1960" s="1628" t="s">
        <v>8339</v>
      </c>
      <c r="F1960" s="1882"/>
      <c r="G1960" s="1882">
        <f>IF('4E'!K15="","##BLANK",'4E'!K15)</f>
        <v>0</v>
      </c>
    </row>
    <row r="1961" spans="2:7">
      <c r="B1961" s="821" t="str">
        <f>+'4E'!BJ17</f>
        <v>BM823SLT</v>
      </c>
      <c r="D1961" s="1882"/>
      <c r="E1961" s="1628" t="s">
        <v>8339</v>
      </c>
      <c r="F1961" s="1882"/>
      <c r="G1961" s="1882" t="str">
        <f>IF('4E'!K17="","##BLANK",'4E'!K17)</f>
        <v>##BLANK</v>
      </c>
    </row>
    <row r="1962" spans="2:7">
      <c r="B1962" s="821" t="str">
        <f>+'4E'!BJ18</f>
        <v>BM850SLT</v>
      </c>
      <c r="D1962" s="1882"/>
      <c r="E1962" s="1628" t="s">
        <v>8339</v>
      </c>
      <c r="F1962" s="1882"/>
      <c r="G1962" s="1882">
        <f>IF('4E'!K18="","##BLANK",'4E'!K18)</f>
        <v>0</v>
      </c>
    </row>
    <row r="1963" spans="2:7">
      <c r="B1963" s="821" t="str">
        <f>+'4E'!BJ21</f>
        <v>BC30945SLT</v>
      </c>
      <c r="D1963" s="1882"/>
      <c r="E1963" s="1628" t="s">
        <v>8339</v>
      </c>
      <c r="F1963" s="1882"/>
      <c r="G1963" s="1882" t="str">
        <f>IF('4E'!K21="","##BLANK",'4E'!K21)</f>
        <v>##BLANK</v>
      </c>
    </row>
    <row r="1964" spans="2:7">
      <c r="B1964" s="821" t="str">
        <f>+'4E'!BJ22</f>
        <v>CS00036SLT</v>
      </c>
      <c r="D1964" s="1882"/>
      <c r="E1964" s="1628" t="s">
        <v>8339</v>
      </c>
      <c r="F1964" s="1882"/>
      <c r="G1964" s="1882" t="str">
        <f>IF('4E'!K22="","##BLANK",'4E'!K22)</f>
        <v>##BLANK</v>
      </c>
    </row>
    <row r="1965" spans="2:7">
      <c r="B1965" s="821" t="str">
        <f>+'4E'!BJ23</f>
        <v>BC30944SLT</v>
      </c>
      <c r="D1965" s="1882"/>
      <c r="E1965" s="1628" t="s">
        <v>8339</v>
      </c>
      <c r="F1965" s="1882"/>
      <c r="G1965" s="1882" t="str">
        <f>IF('4E'!K23="","##BLANK",'4E'!K23)</f>
        <v>##BLANK</v>
      </c>
    </row>
    <row r="1966" spans="2:7">
      <c r="B1966" s="821" t="str">
        <f>+'4E'!BJ24</f>
        <v>CS00037SLT</v>
      </c>
      <c r="D1966" s="1882"/>
      <c r="E1966" s="1628" t="s">
        <v>8339</v>
      </c>
      <c r="F1966" s="1882"/>
      <c r="G1966" s="1882" t="str">
        <f>IF('4E'!K24="","##BLANK",'4E'!K24)</f>
        <v>##BLANK</v>
      </c>
    </row>
    <row r="1967" spans="2:7">
      <c r="B1967" s="821" t="str">
        <f>+'4E'!BJ25</f>
        <v>BC30849SLT</v>
      </c>
      <c r="D1967" s="1882"/>
      <c r="E1967" s="1628" t="s">
        <v>8339</v>
      </c>
      <c r="F1967" s="1882"/>
      <c r="G1967" s="1882" t="str">
        <f>IF('4E'!K25="","##BLANK",'4E'!K25)</f>
        <v>##BLANK</v>
      </c>
    </row>
    <row r="1968" spans="2:7">
      <c r="B1968" s="821" t="str">
        <f>+'4E'!BJ26</f>
        <v>BC30998SLT</v>
      </c>
      <c r="D1968" s="1882"/>
      <c r="E1968" s="1628" t="s">
        <v>8339</v>
      </c>
      <c r="F1968" s="1882"/>
      <c r="G1968" s="1882">
        <f>IF('4E'!K26="","##BLANK",'4E'!K26)</f>
        <v>0</v>
      </c>
    </row>
    <row r="1969" spans="2:7">
      <c r="B1969" s="821" t="str">
        <f>+'4E'!BJ27</f>
        <v>BM833SLT</v>
      </c>
      <c r="D1969" s="1882"/>
      <c r="E1969" s="1628" t="s">
        <v>8339</v>
      </c>
      <c r="F1969" s="1882"/>
      <c r="G1969" s="1882" t="str">
        <f>IF('4E'!K27="","##BLANK",'4E'!K27)</f>
        <v>##BLANK</v>
      </c>
    </row>
    <row r="1970" spans="2:7">
      <c r="B1970" s="821" t="str">
        <f>+'4E'!BJ28</f>
        <v>BA2120SLT</v>
      </c>
      <c r="D1970" s="1882"/>
      <c r="E1970" s="1628" t="s">
        <v>8339</v>
      </c>
      <c r="F1970" s="1882"/>
      <c r="G1970" s="1882">
        <f>IF('4E'!K28="","##BLANK",'4E'!K28)</f>
        <v>0</v>
      </c>
    </row>
    <row r="1971" spans="2:7">
      <c r="B1971" s="821" t="str">
        <f>+'4E'!BJ31</f>
        <v>BA2121SLT</v>
      </c>
      <c r="D1971" s="1882"/>
      <c r="E1971" s="1628" t="s">
        <v>8339</v>
      </c>
      <c r="F1971" s="1882"/>
      <c r="G1971" s="1882" t="str">
        <f>IF('4E'!K31="","##BLANK",'4E'!K31)</f>
        <v>##BLANK</v>
      </c>
    </row>
    <row r="1972" spans="2:7">
      <c r="B1972" s="821" t="str">
        <f>+'4E'!BJ33</f>
        <v>BM825SLT</v>
      </c>
      <c r="D1972" s="1882"/>
      <c r="E1972" s="1628" t="s">
        <v>8339</v>
      </c>
      <c r="F1972" s="1882"/>
      <c r="G1972" s="1882">
        <f>IF('4E'!K33="","##BLANK",'4E'!K33)</f>
        <v>0</v>
      </c>
    </row>
    <row r="1973" spans="2:7">
      <c r="B1973" s="821" t="str">
        <f>+'4E'!BJ36</f>
        <v>CR00559SLT</v>
      </c>
      <c r="D1973" s="1882"/>
      <c r="E1973" s="1628" t="s">
        <v>8339</v>
      </c>
      <c r="F1973" s="1882"/>
      <c r="G1973" s="1882" t="str">
        <f>IF('4E'!K36="","##BLANK",'4E'!K36)</f>
        <v>##BLANK</v>
      </c>
    </row>
    <row r="1974" spans="2:7">
      <c r="B1974" s="821" t="str">
        <f>+'4E'!BJ37</f>
        <v>CR00562SLT</v>
      </c>
      <c r="D1974" s="1882"/>
      <c r="E1974" s="1628" t="s">
        <v>8339</v>
      </c>
      <c r="F1974" s="1882"/>
      <c r="G1974" s="1882" t="str">
        <f>IF('4E'!K37="","##BLANK",'4E'!K37)</f>
        <v>##BLANK</v>
      </c>
    </row>
    <row r="1975" spans="2:7">
      <c r="B1975" s="821" t="str">
        <f>+'4E'!BJ39</f>
        <v>S3040SLT</v>
      </c>
      <c r="D1975" s="1882"/>
      <c r="E1975" s="1628" t="s">
        <v>8339</v>
      </c>
      <c r="F1975" s="1882"/>
      <c r="G1975" s="1882">
        <f>IF('4E'!K39="","##BLANK",'4E'!K39)</f>
        <v>0</v>
      </c>
    </row>
    <row r="1976" spans="2:7">
      <c r="B1976" s="821" t="str">
        <f>+'4E'!BJ46</f>
        <v>CRASLT005</v>
      </c>
      <c r="D1976" s="1882"/>
      <c r="E1976" s="1628" t="s">
        <v>8339</v>
      </c>
      <c r="F1976" s="1882"/>
      <c r="G1976" s="1882" t="str">
        <f>IF('4E'!K46="","##BLANK",'4E'!K46)</f>
        <v>##BLANK</v>
      </c>
    </row>
    <row r="1977" spans="2:7">
      <c r="B1977" s="821" t="str">
        <f>+'4E'!BJ50</f>
        <v>CRASLT006</v>
      </c>
      <c r="D1977" s="1882"/>
      <c r="E1977" s="1628" t="s">
        <v>8339</v>
      </c>
      <c r="F1977" s="1882"/>
      <c r="G1977" s="1882">
        <f>IF('4E'!K50="","##BLANK",'4E'!K50)</f>
        <v>0</v>
      </c>
    </row>
    <row r="1978" spans="2:7">
      <c r="B1978" s="821" t="str">
        <f>+'4E'!BJ51</f>
        <v>BN2630SLT</v>
      </c>
      <c r="D1978" s="1882"/>
      <c r="E1978" s="1628" t="s">
        <v>8339</v>
      </c>
      <c r="F1978" s="1882"/>
      <c r="G1978" s="1882" t="str">
        <f>IF('4E'!K51="","##BLANK",'4E'!K51)</f>
        <v>##BLANK</v>
      </c>
    </row>
    <row r="1979" spans="2:7">
      <c r="B1979" s="821" t="str">
        <f>+'4E'!BJ52</f>
        <v>BN2631SLT</v>
      </c>
      <c r="D1979" s="1882"/>
      <c r="E1979" s="1628" t="s">
        <v>8339</v>
      </c>
      <c r="F1979" s="1882"/>
      <c r="G1979" s="1882">
        <f>IF('4E'!K52="","##BLANK",'4E'!K52)</f>
        <v>0</v>
      </c>
    </row>
    <row r="1980" spans="2:7">
      <c r="B1980" s="821" t="str">
        <f>+'4E'!BK7</f>
        <v>BM602STP</v>
      </c>
      <c r="D1980" s="1882"/>
      <c r="E1980" s="1628" t="s">
        <v>8339</v>
      </c>
      <c r="F1980" s="1882"/>
      <c r="G1980" s="1882" t="str">
        <f>IF('4E'!L7="","##BLANK",'4E'!L7)</f>
        <v>##BLANK</v>
      </c>
    </row>
    <row r="1981" spans="2:7">
      <c r="B1981" s="821" t="str">
        <f>+'4E'!BK8</f>
        <v>BM836STP</v>
      </c>
      <c r="D1981" s="1882"/>
      <c r="E1981" s="1628" t="s">
        <v>8339</v>
      </c>
      <c r="F1981" s="1882"/>
      <c r="G1981" s="1882" t="str">
        <f>IF('4E'!L8="","##BLANK",'4E'!L8)</f>
        <v>##BLANK</v>
      </c>
    </row>
    <row r="1982" spans="2:7">
      <c r="B1982" s="821" t="str">
        <f>+'4E'!BK9</f>
        <v>BM631STP</v>
      </c>
      <c r="D1982" s="1882"/>
      <c r="E1982" s="1628" t="s">
        <v>8339</v>
      </c>
      <c r="F1982" s="1882"/>
      <c r="G1982" s="1882" t="str">
        <f>IF('4E'!L9="","##BLANK",'4E'!L9)</f>
        <v>##BLANK</v>
      </c>
    </row>
    <row r="1983" spans="2:7">
      <c r="B1983" s="821" t="str">
        <f>+'4E'!BK10</f>
        <v>BM140STP</v>
      </c>
      <c r="D1983" s="1882"/>
      <c r="E1983" s="1628" t="s">
        <v>8339</v>
      </c>
      <c r="F1983" s="1882"/>
      <c r="G1983" s="1882" t="str">
        <f>IF('4E'!L10="","##BLANK",'4E'!L10)</f>
        <v>##BLANK</v>
      </c>
    </row>
    <row r="1984" spans="2:7">
      <c r="B1984" s="821" t="str">
        <f>+'4E'!BK11</f>
        <v>BM839STPIR</v>
      </c>
      <c r="D1984" s="1882"/>
      <c r="E1984" s="1628" t="s">
        <v>8339</v>
      </c>
      <c r="F1984" s="1882"/>
      <c r="G1984" s="1882" t="str">
        <f>IF('4E'!L11="","##BLANK",'4E'!L11)</f>
        <v>##BLANK</v>
      </c>
    </row>
    <row r="1985" spans="2:7">
      <c r="B1985" s="821" t="str">
        <f>+'4E'!BK12</f>
        <v>BM839STPNIR</v>
      </c>
      <c r="D1985" s="1882"/>
      <c r="E1985" s="1628" t="s">
        <v>8339</v>
      </c>
      <c r="F1985" s="1882"/>
      <c r="G1985" s="1882" t="str">
        <f>IF('4E'!L12="","##BLANK",'4E'!L12)</f>
        <v>##BLANK</v>
      </c>
    </row>
    <row r="1986" spans="2:7">
      <c r="B1986" s="821" t="str">
        <f>+'4E'!BK13</f>
        <v>BM839STPER</v>
      </c>
      <c r="D1986" s="1882"/>
      <c r="E1986" s="1628" t="s">
        <v>8339</v>
      </c>
      <c r="F1986" s="1882"/>
      <c r="G1986" s="1882" t="str">
        <f>IF('4E'!L13="","##BLANK",'4E'!L13)</f>
        <v>##BLANK</v>
      </c>
    </row>
    <row r="1987" spans="2:7">
      <c r="B1987" s="821" t="str">
        <f>+'4E'!BK14</f>
        <v>BM817STP</v>
      </c>
      <c r="D1987" s="1882"/>
      <c r="E1987" s="1628" t="s">
        <v>8339</v>
      </c>
      <c r="F1987" s="1882"/>
      <c r="G1987" s="1882" t="str">
        <f>IF('4E'!L14="","##BLANK",'4E'!L14)</f>
        <v>##BLANK</v>
      </c>
    </row>
    <row r="1988" spans="2:7">
      <c r="B1988" s="821" t="str">
        <f>+'4E'!BK15</f>
        <v>BM844STP</v>
      </c>
      <c r="D1988" s="1882"/>
      <c r="E1988" s="1628" t="s">
        <v>8339</v>
      </c>
      <c r="F1988" s="1882"/>
      <c r="G1988" s="1882">
        <f>IF('4E'!L15="","##BLANK",'4E'!L15)</f>
        <v>0</v>
      </c>
    </row>
    <row r="1989" spans="2:7">
      <c r="B1989" s="821" t="str">
        <f>+'4E'!BK17</f>
        <v>BM823STP</v>
      </c>
      <c r="D1989" s="1882"/>
      <c r="E1989" s="1628" t="s">
        <v>8339</v>
      </c>
      <c r="F1989" s="1882"/>
      <c r="G1989" s="1882" t="str">
        <f>IF('4E'!L17="","##BLANK",'4E'!L17)</f>
        <v>##BLANK</v>
      </c>
    </row>
    <row r="1990" spans="2:7">
      <c r="B1990" s="821" t="str">
        <f>+'4E'!BK18</f>
        <v>BM850STP</v>
      </c>
      <c r="D1990" s="1882"/>
      <c r="E1990" s="1628" t="s">
        <v>8339</v>
      </c>
      <c r="F1990" s="1882"/>
      <c r="G1990" s="1882">
        <f>IF('4E'!L18="","##BLANK",'4E'!L18)</f>
        <v>0</v>
      </c>
    </row>
    <row r="1991" spans="2:7">
      <c r="B1991" s="821" t="str">
        <f>+'4E'!BK21</f>
        <v>BC30945STP</v>
      </c>
      <c r="D1991" s="1882"/>
      <c r="E1991" s="1628" t="s">
        <v>8339</v>
      </c>
      <c r="F1991" s="1882"/>
      <c r="G1991" s="1882" t="str">
        <f>IF('4E'!L21="","##BLANK",'4E'!L21)</f>
        <v>##BLANK</v>
      </c>
    </row>
    <row r="1992" spans="2:7">
      <c r="B1992" s="821" t="str">
        <f>+'4E'!BK22</f>
        <v>CS00036STP</v>
      </c>
      <c r="D1992" s="1882"/>
      <c r="E1992" s="1628" t="s">
        <v>8339</v>
      </c>
      <c r="F1992" s="1882"/>
      <c r="G1992" s="1882" t="str">
        <f>IF('4E'!L22="","##BLANK",'4E'!L22)</f>
        <v>##BLANK</v>
      </c>
    </row>
    <row r="1993" spans="2:7">
      <c r="B1993" s="821" t="str">
        <f>+'4E'!BK23</f>
        <v>BC30944STP</v>
      </c>
      <c r="D1993" s="1882"/>
      <c r="E1993" s="1628" t="s">
        <v>8339</v>
      </c>
      <c r="F1993" s="1882"/>
      <c r="G1993" s="1882" t="str">
        <f>IF('4E'!L23="","##BLANK",'4E'!L23)</f>
        <v>##BLANK</v>
      </c>
    </row>
    <row r="1994" spans="2:7">
      <c r="B1994" s="821" t="str">
        <f>+'4E'!BK24</f>
        <v>CS00037STP</v>
      </c>
      <c r="D1994" s="1882"/>
      <c r="E1994" s="1628" t="s">
        <v>8339</v>
      </c>
      <c r="F1994" s="1882"/>
      <c r="G1994" s="1882" t="str">
        <f>IF('4E'!L24="","##BLANK",'4E'!L24)</f>
        <v>##BLANK</v>
      </c>
    </row>
    <row r="1995" spans="2:7">
      <c r="B1995" s="821" t="str">
        <f>+'4E'!BK25</f>
        <v>BC30849STP</v>
      </c>
      <c r="D1995" s="1882"/>
      <c r="E1995" s="1628" t="s">
        <v>8339</v>
      </c>
      <c r="F1995" s="1882"/>
      <c r="G1995" s="1882" t="str">
        <f>IF('4E'!L25="","##BLANK",'4E'!L25)</f>
        <v>##BLANK</v>
      </c>
    </row>
    <row r="1996" spans="2:7">
      <c r="B1996" s="821" t="str">
        <f>+'4E'!BK26</f>
        <v>BC30998STP</v>
      </c>
      <c r="D1996" s="1882"/>
      <c r="E1996" s="1628" t="s">
        <v>8339</v>
      </c>
      <c r="F1996" s="1882"/>
      <c r="G1996" s="1882">
        <f>IF('4E'!L26="","##BLANK",'4E'!L26)</f>
        <v>0</v>
      </c>
    </row>
    <row r="1997" spans="2:7">
      <c r="B1997" s="821" t="str">
        <f>+'4E'!BK27</f>
        <v>BM833STP</v>
      </c>
      <c r="D1997" s="1882"/>
      <c r="E1997" s="1628" t="s">
        <v>8339</v>
      </c>
      <c r="F1997" s="1882"/>
      <c r="G1997" s="1882" t="str">
        <f>IF('4E'!L27="","##BLANK",'4E'!L27)</f>
        <v>##BLANK</v>
      </c>
    </row>
    <row r="1998" spans="2:7">
      <c r="B1998" s="821" t="str">
        <f>+'4E'!BK28</f>
        <v>BA2120STP</v>
      </c>
      <c r="D1998" s="1882"/>
      <c r="E1998" s="1628" t="s">
        <v>8339</v>
      </c>
      <c r="F1998" s="1882"/>
      <c r="G1998" s="1882">
        <f>IF('4E'!L28="","##BLANK",'4E'!L28)</f>
        <v>0</v>
      </c>
    </row>
    <row r="1999" spans="2:7">
      <c r="B1999" s="821" t="str">
        <f>+'4E'!BK31</f>
        <v>BA2121STP</v>
      </c>
      <c r="D1999" s="1882"/>
      <c r="E1999" s="1628" t="s">
        <v>8339</v>
      </c>
      <c r="F1999" s="1882"/>
      <c r="G1999" s="1882" t="str">
        <f>IF('4E'!L31="","##BLANK",'4E'!L31)</f>
        <v>##BLANK</v>
      </c>
    </row>
    <row r="2000" spans="2:7">
      <c r="B2000" s="821" t="str">
        <f>+'4E'!BK33</f>
        <v>BM825STP</v>
      </c>
      <c r="D2000" s="1882"/>
      <c r="E2000" s="1628" t="s">
        <v>8339</v>
      </c>
      <c r="F2000" s="1882"/>
      <c r="G2000" s="1882">
        <f>IF('4E'!L33="","##BLANK",'4E'!L33)</f>
        <v>0</v>
      </c>
    </row>
    <row r="2001" spans="2:7">
      <c r="B2001" s="821" t="str">
        <f>+'4E'!BK36</f>
        <v>CR00559STP</v>
      </c>
      <c r="D2001" s="1882"/>
      <c r="E2001" s="1628" t="s">
        <v>8339</v>
      </c>
      <c r="F2001" s="1882"/>
      <c r="G2001" s="1882" t="str">
        <f>IF('4E'!L36="","##BLANK",'4E'!L36)</f>
        <v>##BLANK</v>
      </c>
    </row>
    <row r="2002" spans="2:7">
      <c r="B2002" s="821" t="str">
        <f>+'4E'!BK37</f>
        <v>CR00562STP</v>
      </c>
      <c r="D2002" s="1882"/>
      <c r="E2002" s="1628" t="s">
        <v>8339</v>
      </c>
      <c r="F2002" s="1882"/>
      <c r="G2002" s="1882" t="str">
        <f>IF('4E'!L37="","##BLANK",'4E'!L37)</f>
        <v>##BLANK</v>
      </c>
    </row>
    <row r="2003" spans="2:7">
      <c r="B2003" s="821" t="str">
        <f>+'4E'!BK39</f>
        <v>S3040STP</v>
      </c>
      <c r="D2003" s="1882"/>
      <c r="E2003" s="1628" t="s">
        <v>8339</v>
      </c>
      <c r="F2003" s="1882"/>
      <c r="G2003" s="1882">
        <f>IF('4E'!L39="","##BLANK",'4E'!L39)</f>
        <v>0</v>
      </c>
    </row>
    <row r="2004" spans="2:7">
      <c r="B2004" s="821" t="str">
        <f>+'4E'!BK47</f>
        <v>CRASST005</v>
      </c>
      <c r="D2004" s="1882"/>
      <c r="E2004" s="1628" t="s">
        <v>8339</v>
      </c>
      <c r="F2004" s="1882"/>
      <c r="G2004" s="1882" t="str">
        <f>IF('4E'!L47="","##BLANK",'4E'!L47)</f>
        <v>##BLANK</v>
      </c>
    </row>
    <row r="2005" spans="2:7">
      <c r="B2005" s="821" t="str">
        <f>+'4E'!BK50</f>
        <v>CRASST006</v>
      </c>
      <c r="D2005" s="1882"/>
      <c r="E2005" s="1628" t="s">
        <v>8339</v>
      </c>
      <c r="F2005" s="1882"/>
      <c r="G2005" s="1882">
        <f>IF('4E'!L50="","##BLANK",'4E'!L50)</f>
        <v>0</v>
      </c>
    </row>
    <row r="2006" spans="2:7">
      <c r="B2006" s="821" t="str">
        <f>+'4E'!BK51</f>
        <v>BN2630STP</v>
      </c>
      <c r="D2006" s="1882"/>
      <c r="E2006" s="1628" t="s">
        <v>8339</v>
      </c>
      <c r="F2006" s="1882"/>
      <c r="G2006" s="1882" t="str">
        <f>IF('4E'!L51="","##BLANK",'4E'!L51)</f>
        <v>##BLANK</v>
      </c>
    </row>
    <row r="2007" spans="2:7">
      <c r="B2007" s="821" t="str">
        <f>+'4E'!BK52</f>
        <v>BN2631STP</v>
      </c>
      <c r="D2007" s="1882"/>
      <c r="E2007" s="1628" t="s">
        <v>8339</v>
      </c>
      <c r="F2007" s="1882"/>
      <c r="G2007" s="1882">
        <f>IF('4E'!L52="","##BLANK",'4E'!L52)</f>
        <v>0</v>
      </c>
    </row>
    <row r="2008" spans="2:7">
      <c r="B2008" s="821" t="str">
        <f>+'4E'!BL7</f>
        <v>BM602SDT</v>
      </c>
      <c r="D2008" s="1882"/>
      <c r="E2008" s="1628" t="s">
        <v>8339</v>
      </c>
      <c r="F2008" s="1882"/>
      <c r="G2008" s="1882" t="str">
        <f>IF('4E'!M7="","##BLANK",'4E'!M7)</f>
        <v>##BLANK</v>
      </c>
    </row>
    <row r="2009" spans="2:7">
      <c r="B2009" s="821" t="str">
        <f>+'4E'!BL8</f>
        <v>BM836SDT</v>
      </c>
      <c r="D2009" s="1882"/>
      <c r="E2009" s="1628" t="s">
        <v>8339</v>
      </c>
      <c r="F2009" s="1882"/>
      <c r="G2009" s="1882" t="str">
        <f>IF('4E'!M8="","##BLANK",'4E'!M8)</f>
        <v>##BLANK</v>
      </c>
    </row>
    <row r="2010" spans="2:7">
      <c r="B2010" s="821" t="str">
        <f>+'4E'!BL9</f>
        <v>BM631SDT</v>
      </c>
      <c r="D2010" s="1882"/>
      <c r="E2010" s="1628" t="s">
        <v>8339</v>
      </c>
      <c r="F2010" s="1882"/>
      <c r="G2010" s="1882" t="str">
        <f>IF('4E'!M9="","##BLANK",'4E'!M9)</f>
        <v>##BLANK</v>
      </c>
    </row>
    <row r="2011" spans="2:7">
      <c r="B2011" s="821" t="str">
        <f>+'4E'!BL10</f>
        <v>BM140SDT</v>
      </c>
      <c r="D2011" s="1882"/>
      <c r="E2011" s="1628" t="s">
        <v>8339</v>
      </c>
      <c r="F2011" s="1882"/>
      <c r="G2011" s="1882" t="str">
        <f>IF('4E'!M10="","##BLANK",'4E'!M10)</f>
        <v>##BLANK</v>
      </c>
    </row>
    <row r="2012" spans="2:7">
      <c r="B2012" s="821" t="str">
        <f>+'4E'!BL11</f>
        <v>BM839SDTIR</v>
      </c>
      <c r="D2012" s="1882"/>
      <c r="E2012" s="1628" t="s">
        <v>8339</v>
      </c>
      <c r="F2012" s="1882"/>
      <c r="G2012" s="1882" t="str">
        <f>IF('4E'!M11="","##BLANK",'4E'!M11)</f>
        <v>##BLANK</v>
      </c>
    </row>
    <row r="2013" spans="2:7">
      <c r="B2013" s="821" t="str">
        <f>+'4E'!BL12</f>
        <v>BM839SDTNIR</v>
      </c>
      <c r="D2013" s="1882"/>
      <c r="E2013" s="1628" t="s">
        <v>8339</v>
      </c>
      <c r="F2013" s="1882"/>
      <c r="G2013" s="1882" t="str">
        <f>IF('4E'!M12="","##BLANK",'4E'!M12)</f>
        <v>##BLANK</v>
      </c>
    </row>
    <row r="2014" spans="2:7">
      <c r="B2014" s="821" t="str">
        <f>+'4E'!BL13</f>
        <v>BM839SDTER</v>
      </c>
      <c r="D2014" s="1882"/>
      <c r="E2014" s="1628" t="s">
        <v>8339</v>
      </c>
      <c r="F2014" s="1882"/>
      <c r="G2014" s="1882" t="str">
        <f>IF('4E'!M13="","##BLANK",'4E'!M13)</f>
        <v>##BLANK</v>
      </c>
    </row>
    <row r="2015" spans="2:7">
      <c r="B2015" s="821" t="str">
        <f>+'4E'!BL14</f>
        <v>BM817SDT</v>
      </c>
      <c r="D2015" s="1882"/>
      <c r="E2015" s="1628" t="s">
        <v>8339</v>
      </c>
      <c r="F2015" s="1882"/>
      <c r="G2015" s="1882" t="str">
        <f>IF('4E'!M14="","##BLANK",'4E'!M14)</f>
        <v>##BLANK</v>
      </c>
    </row>
    <row r="2016" spans="2:7">
      <c r="B2016" s="821" t="str">
        <f>+'4E'!BL15</f>
        <v>BM844SDT</v>
      </c>
      <c r="D2016" s="1882"/>
      <c r="E2016" s="1628" t="s">
        <v>8339</v>
      </c>
      <c r="F2016" s="1882"/>
      <c r="G2016" s="1882">
        <f>IF('4E'!M15="","##BLANK",'4E'!M15)</f>
        <v>0</v>
      </c>
    </row>
    <row r="2017" spans="2:7">
      <c r="B2017" s="821" t="str">
        <f>+'4E'!BL17</f>
        <v>BM823SDT</v>
      </c>
      <c r="D2017" s="1882"/>
      <c r="E2017" s="1628" t="s">
        <v>8339</v>
      </c>
      <c r="F2017" s="1882"/>
      <c r="G2017" s="1882" t="str">
        <f>IF('4E'!M17="","##BLANK",'4E'!M17)</f>
        <v>##BLANK</v>
      </c>
    </row>
    <row r="2018" spans="2:7">
      <c r="B2018" s="821" t="str">
        <f>+'4E'!BL18</f>
        <v>BM850SDT</v>
      </c>
      <c r="D2018" s="1882"/>
      <c r="E2018" s="1628" t="s">
        <v>8339</v>
      </c>
      <c r="F2018" s="1882"/>
      <c r="G2018" s="1882">
        <f>IF('4E'!M18="","##BLANK",'4E'!M18)</f>
        <v>0</v>
      </c>
    </row>
    <row r="2019" spans="2:7">
      <c r="B2019" s="821" t="str">
        <f>+'4E'!BL21</f>
        <v>BC30945SDT</v>
      </c>
      <c r="D2019" s="1882"/>
      <c r="E2019" s="1628" t="s">
        <v>8339</v>
      </c>
      <c r="F2019" s="1882"/>
      <c r="G2019" s="1882" t="str">
        <f>IF('4E'!M21="","##BLANK",'4E'!M21)</f>
        <v>##BLANK</v>
      </c>
    </row>
    <row r="2020" spans="2:7">
      <c r="B2020" s="821" t="str">
        <f>+'4E'!BL22</f>
        <v>CS00036SDT</v>
      </c>
      <c r="D2020" s="1882"/>
      <c r="E2020" s="1628" t="s">
        <v>8339</v>
      </c>
      <c r="F2020" s="1882"/>
      <c r="G2020" s="1882" t="str">
        <f>IF('4E'!M22="","##BLANK",'4E'!M22)</f>
        <v>##BLANK</v>
      </c>
    </row>
    <row r="2021" spans="2:7">
      <c r="B2021" s="821" t="str">
        <f>+'4E'!BL23</f>
        <v>BC30944SDT</v>
      </c>
      <c r="D2021" s="1882"/>
      <c r="E2021" s="1628" t="s">
        <v>8339</v>
      </c>
      <c r="F2021" s="1882"/>
      <c r="G2021" s="1882" t="str">
        <f>IF('4E'!M23="","##BLANK",'4E'!M23)</f>
        <v>##BLANK</v>
      </c>
    </row>
    <row r="2022" spans="2:7">
      <c r="B2022" s="821" t="str">
        <f>+'4E'!BL24</f>
        <v>CS00037SDT</v>
      </c>
      <c r="D2022" s="1882"/>
      <c r="E2022" s="1628" t="s">
        <v>8339</v>
      </c>
      <c r="F2022" s="1882"/>
      <c r="G2022" s="1882" t="str">
        <f>IF('4E'!M24="","##BLANK",'4E'!M24)</f>
        <v>##BLANK</v>
      </c>
    </row>
    <row r="2023" spans="2:7">
      <c r="B2023" s="821" t="str">
        <f>+'4E'!BL25</f>
        <v>BC30849SDT</v>
      </c>
      <c r="D2023" s="1882"/>
      <c r="E2023" s="1628" t="s">
        <v>8339</v>
      </c>
      <c r="F2023" s="1882"/>
      <c r="G2023" s="1882" t="str">
        <f>IF('4E'!M25="","##BLANK",'4E'!M25)</f>
        <v>##BLANK</v>
      </c>
    </row>
    <row r="2024" spans="2:7">
      <c r="B2024" s="821" t="str">
        <f>+'4E'!BL26</f>
        <v>BC30998SDT</v>
      </c>
      <c r="D2024" s="1882"/>
      <c r="E2024" s="1628" t="s">
        <v>8339</v>
      </c>
      <c r="F2024" s="1882"/>
      <c r="G2024" s="1882">
        <f>IF('4E'!M26="","##BLANK",'4E'!M26)</f>
        <v>0</v>
      </c>
    </row>
    <row r="2025" spans="2:7">
      <c r="B2025" s="821" t="str">
        <f>+'4E'!BL27</f>
        <v>BM833SDT</v>
      </c>
      <c r="D2025" s="1882"/>
      <c r="E2025" s="1628" t="s">
        <v>8339</v>
      </c>
      <c r="F2025" s="1882"/>
      <c r="G2025" s="1882" t="str">
        <f>IF('4E'!M27="","##BLANK",'4E'!M27)</f>
        <v>##BLANK</v>
      </c>
    </row>
    <row r="2026" spans="2:7">
      <c r="B2026" s="821" t="str">
        <f>+'4E'!BL28</f>
        <v>BA2120SDT</v>
      </c>
      <c r="D2026" s="1882"/>
      <c r="E2026" s="1628" t="s">
        <v>8339</v>
      </c>
      <c r="F2026" s="1882"/>
      <c r="G2026" s="1882">
        <f>IF('4E'!M28="","##BLANK",'4E'!M28)</f>
        <v>0</v>
      </c>
    </row>
    <row r="2027" spans="2:7">
      <c r="B2027" s="821" t="str">
        <f>+'4E'!BL31</f>
        <v>BA2121SDT</v>
      </c>
      <c r="D2027" s="1882"/>
      <c r="E2027" s="1628" t="s">
        <v>8339</v>
      </c>
      <c r="F2027" s="1882"/>
      <c r="G2027" s="1882" t="str">
        <f>IF('4E'!M31="","##BLANK",'4E'!M31)</f>
        <v>##BLANK</v>
      </c>
    </row>
    <row r="2028" spans="2:7">
      <c r="B2028" s="821" t="str">
        <f>+'4E'!BL33</f>
        <v>BM825SDT</v>
      </c>
      <c r="D2028" s="1882"/>
      <c r="E2028" s="1628" t="s">
        <v>8339</v>
      </c>
      <c r="F2028" s="1882"/>
      <c r="G2028" s="1882">
        <f>IF('4E'!M33="","##BLANK",'4E'!M33)</f>
        <v>0</v>
      </c>
    </row>
    <row r="2029" spans="2:7">
      <c r="B2029" s="821" t="str">
        <f>+'4E'!BL36</f>
        <v>CR00559SDT</v>
      </c>
      <c r="D2029" s="1882"/>
      <c r="E2029" s="1628" t="s">
        <v>8339</v>
      </c>
      <c r="F2029" s="1882"/>
      <c r="G2029" s="1882" t="str">
        <f>IF('4E'!M36="","##BLANK",'4E'!M36)</f>
        <v>##BLANK</v>
      </c>
    </row>
    <row r="2030" spans="2:7">
      <c r="B2030" s="821" t="str">
        <f>+'4E'!BL37</f>
        <v>CR00562SDT</v>
      </c>
      <c r="D2030" s="1882"/>
      <c r="E2030" s="1628" t="s">
        <v>8339</v>
      </c>
      <c r="F2030" s="1882"/>
      <c r="G2030" s="1882" t="str">
        <f>IF('4E'!M37="","##BLANK",'4E'!M37)</f>
        <v>##BLANK</v>
      </c>
    </row>
    <row r="2031" spans="2:7">
      <c r="B2031" s="821" t="str">
        <f>+'4E'!BL39</f>
        <v>S3040SDT</v>
      </c>
      <c r="D2031" s="1882"/>
      <c r="E2031" s="1628" t="s">
        <v>8339</v>
      </c>
      <c r="F2031" s="1882"/>
      <c r="G2031" s="1882">
        <f>IF('4E'!M39="","##BLANK",'4E'!M39)</f>
        <v>0</v>
      </c>
    </row>
    <row r="2032" spans="2:7">
      <c r="B2032" s="821" t="str">
        <f>+'4E'!BL48</f>
        <v>CRASSTS005</v>
      </c>
      <c r="D2032" s="1882"/>
      <c r="E2032" s="1628" t="s">
        <v>8339</v>
      </c>
      <c r="F2032" s="1882"/>
      <c r="G2032" s="1882" t="str">
        <f>IF('4E'!M48="","##BLANK",'4E'!M48)</f>
        <v>##BLANK</v>
      </c>
    </row>
    <row r="2033" spans="2:7">
      <c r="B2033" s="821" t="str">
        <f>+'4E'!BL50</f>
        <v>CRASSTS006</v>
      </c>
      <c r="D2033" s="1882"/>
      <c r="E2033" s="1628" t="s">
        <v>8339</v>
      </c>
      <c r="F2033" s="1882"/>
      <c r="G2033" s="1882">
        <f>IF('4E'!M50="","##BLANK",'4E'!M50)</f>
        <v>0</v>
      </c>
    </row>
    <row r="2034" spans="2:7">
      <c r="B2034" s="821" t="str">
        <f>+'4E'!BL51</f>
        <v>BN2630SDT</v>
      </c>
      <c r="D2034" s="1882"/>
      <c r="E2034" s="1628" t="s">
        <v>8339</v>
      </c>
      <c r="F2034" s="1882"/>
      <c r="G2034" s="1882" t="str">
        <f>IF('4E'!M51="","##BLANK",'4E'!M51)</f>
        <v>##BLANK</v>
      </c>
    </row>
    <row r="2035" spans="2:7">
      <c r="B2035" s="821" t="str">
        <f>+'4E'!BL52</f>
        <v>BN2631SDT</v>
      </c>
      <c r="D2035" s="1882"/>
      <c r="E2035" s="1628" t="s">
        <v>8339</v>
      </c>
      <c r="F2035" s="1882"/>
      <c r="G2035" s="1882">
        <f>IF('4E'!M52="","##BLANK",'4E'!M52)</f>
        <v>0</v>
      </c>
    </row>
    <row r="2036" spans="2:7">
      <c r="B2036" s="821" t="str">
        <f>+'4E'!BM7</f>
        <v>BM602SDD</v>
      </c>
      <c r="D2036" s="1882"/>
      <c r="E2036" s="1628" t="s">
        <v>8339</v>
      </c>
      <c r="F2036" s="1882"/>
      <c r="G2036" s="1882" t="str">
        <f>IF('4E'!N7="","##BLANK",'4E'!N7)</f>
        <v>##BLANK</v>
      </c>
    </row>
    <row r="2037" spans="2:7">
      <c r="B2037" s="821" t="str">
        <f>+'4E'!BM8</f>
        <v>BM836SDD</v>
      </c>
      <c r="D2037" s="1882"/>
      <c r="E2037" s="1628" t="s">
        <v>8339</v>
      </c>
      <c r="F2037" s="1882"/>
      <c r="G2037" s="1882" t="str">
        <f>IF('4E'!N8="","##BLANK",'4E'!N8)</f>
        <v>##BLANK</v>
      </c>
    </row>
    <row r="2038" spans="2:7">
      <c r="B2038" s="821" t="str">
        <f>+'4E'!BM9</f>
        <v>BM631SDD</v>
      </c>
      <c r="D2038" s="1882"/>
      <c r="E2038" s="1628" t="s">
        <v>8339</v>
      </c>
      <c r="F2038" s="1882"/>
      <c r="G2038" s="1882" t="str">
        <f>IF('4E'!N9="","##BLANK",'4E'!N9)</f>
        <v>##BLANK</v>
      </c>
    </row>
    <row r="2039" spans="2:7">
      <c r="B2039" s="821" t="str">
        <f>+'4E'!BM10</f>
        <v>BM140SDD</v>
      </c>
      <c r="D2039" s="1882"/>
      <c r="E2039" s="1628" t="s">
        <v>8339</v>
      </c>
      <c r="F2039" s="1882"/>
      <c r="G2039" s="1882" t="str">
        <f>IF('4E'!N10="","##BLANK",'4E'!N10)</f>
        <v>##BLANK</v>
      </c>
    </row>
    <row r="2040" spans="2:7">
      <c r="B2040" s="821" t="str">
        <f>+'4E'!BM11</f>
        <v>BM839SDDIR</v>
      </c>
      <c r="D2040" s="1882"/>
      <c r="E2040" s="1628" t="s">
        <v>8339</v>
      </c>
      <c r="F2040" s="1882"/>
      <c r="G2040" s="1882" t="str">
        <f>IF('4E'!N11="","##BLANK",'4E'!N11)</f>
        <v>##BLANK</v>
      </c>
    </row>
    <row r="2041" spans="2:7">
      <c r="B2041" s="821" t="str">
        <f>+'4E'!BM12</f>
        <v>BM839SDDNIR</v>
      </c>
      <c r="D2041" s="1882"/>
      <c r="E2041" s="1628" t="s">
        <v>8339</v>
      </c>
      <c r="F2041" s="1882"/>
      <c r="G2041" s="1882" t="str">
        <f>IF('4E'!N12="","##BLANK",'4E'!N12)</f>
        <v>##BLANK</v>
      </c>
    </row>
    <row r="2042" spans="2:7">
      <c r="B2042" s="821" t="str">
        <f>+'4E'!BM13</f>
        <v>BM839SDDER</v>
      </c>
      <c r="D2042" s="1882"/>
      <c r="E2042" s="1628" t="s">
        <v>8339</v>
      </c>
      <c r="F2042" s="1882"/>
      <c r="G2042" s="1882" t="str">
        <f>IF('4E'!N13="","##BLANK",'4E'!N13)</f>
        <v>##BLANK</v>
      </c>
    </row>
    <row r="2043" spans="2:7">
      <c r="B2043" s="821" t="str">
        <f>+'4E'!BM14</f>
        <v>BM817SDD</v>
      </c>
      <c r="D2043" s="1882"/>
      <c r="E2043" s="1628" t="s">
        <v>8339</v>
      </c>
      <c r="F2043" s="1882"/>
      <c r="G2043" s="1882" t="str">
        <f>IF('4E'!N14="","##BLANK",'4E'!N14)</f>
        <v>##BLANK</v>
      </c>
    </row>
    <row r="2044" spans="2:7">
      <c r="B2044" s="821" t="str">
        <f>+'4E'!BM15</f>
        <v>BM844SDD</v>
      </c>
      <c r="D2044" s="1882"/>
      <c r="E2044" s="1628" t="s">
        <v>8339</v>
      </c>
      <c r="F2044" s="1882"/>
      <c r="G2044" s="1882">
        <f>IF('4E'!N15="","##BLANK",'4E'!N15)</f>
        <v>0</v>
      </c>
    </row>
    <row r="2045" spans="2:7">
      <c r="B2045" s="821" t="str">
        <f>+'4E'!BM17</f>
        <v>BM823SDD</v>
      </c>
      <c r="D2045" s="1882"/>
      <c r="E2045" s="1628" t="s">
        <v>8339</v>
      </c>
      <c r="F2045" s="1882"/>
      <c r="G2045" s="1882" t="str">
        <f>IF('4E'!N17="","##BLANK",'4E'!N17)</f>
        <v>##BLANK</v>
      </c>
    </row>
    <row r="2046" spans="2:7">
      <c r="B2046" s="821" t="str">
        <f>+'4E'!BM18</f>
        <v>BM850SDD</v>
      </c>
      <c r="D2046" s="1882"/>
      <c r="E2046" s="1628" t="s">
        <v>8339</v>
      </c>
      <c r="F2046" s="1882"/>
      <c r="G2046" s="1882">
        <f>IF('4E'!N18="","##BLANK",'4E'!N18)</f>
        <v>0</v>
      </c>
    </row>
    <row r="2047" spans="2:7">
      <c r="B2047" s="821" t="str">
        <f>+'4E'!BM21</f>
        <v>BC30945SDD</v>
      </c>
      <c r="D2047" s="1882"/>
      <c r="E2047" s="1628" t="s">
        <v>8339</v>
      </c>
      <c r="F2047" s="1882"/>
      <c r="G2047" s="1882" t="str">
        <f>IF('4E'!N21="","##BLANK",'4E'!N21)</f>
        <v>##BLANK</v>
      </c>
    </row>
    <row r="2048" spans="2:7">
      <c r="B2048" s="821" t="str">
        <f>+'4E'!BM22</f>
        <v>CS00036SDD</v>
      </c>
      <c r="D2048" s="1882"/>
      <c r="E2048" s="1628" t="s">
        <v>8339</v>
      </c>
      <c r="F2048" s="1882"/>
      <c r="G2048" s="1882" t="str">
        <f>IF('4E'!N22="","##BLANK",'4E'!N22)</f>
        <v>##BLANK</v>
      </c>
    </row>
    <row r="2049" spans="2:7">
      <c r="B2049" s="821" t="str">
        <f>+'4E'!BM23</f>
        <v>BC30944SDD</v>
      </c>
      <c r="D2049" s="1882"/>
      <c r="E2049" s="1628" t="s">
        <v>8339</v>
      </c>
      <c r="F2049" s="1882"/>
      <c r="G2049" s="1882" t="str">
        <f>IF('4E'!N23="","##BLANK",'4E'!N23)</f>
        <v>##BLANK</v>
      </c>
    </row>
    <row r="2050" spans="2:7">
      <c r="B2050" s="821" t="str">
        <f>+'4E'!BM24</f>
        <v>CS00037SDD</v>
      </c>
      <c r="D2050" s="1882"/>
      <c r="E2050" s="1628" t="s">
        <v>8339</v>
      </c>
      <c r="F2050" s="1882"/>
      <c r="G2050" s="1882" t="str">
        <f>IF('4E'!N24="","##BLANK",'4E'!N24)</f>
        <v>##BLANK</v>
      </c>
    </row>
    <row r="2051" spans="2:7">
      <c r="B2051" s="821" t="str">
        <f>+'4E'!BM25</f>
        <v>BC30849SDD</v>
      </c>
      <c r="D2051" s="1882"/>
      <c r="E2051" s="1628" t="s">
        <v>8339</v>
      </c>
      <c r="F2051" s="1882"/>
      <c r="G2051" s="1882" t="str">
        <f>IF('4E'!N25="","##BLANK",'4E'!N25)</f>
        <v>##BLANK</v>
      </c>
    </row>
    <row r="2052" spans="2:7">
      <c r="B2052" s="821" t="str">
        <f>+'4E'!BM26</f>
        <v>BC30998SDD</v>
      </c>
      <c r="D2052" s="1882"/>
      <c r="E2052" s="1628" t="s">
        <v>8339</v>
      </c>
      <c r="F2052" s="1882"/>
      <c r="G2052" s="1882">
        <f>IF('4E'!N26="","##BLANK",'4E'!N26)</f>
        <v>0</v>
      </c>
    </row>
    <row r="2053" spans="2:7">
      <c r="B2053" s="821" t="str">
        <f>+'4E'!BM27</f>
        <v>BM833SDD</v>
      </c>
      <c r="D2053" s="1882"/>
      <c r="E2053" s="1628" t="s">
        <v>8339</v>
      </c>
      <c r="F2053" s="1882"/>
      <c r="G2053" s="1882" t="str">
        <f>IF('4E'!N27="","##BLANK",'4E'!N27)</f>
        <v>##BLANK</v>
      </c>
    </row>
    <row r="2054" spans="2:7">
      <c r="B2054" s="821" t="str">
        <f>+'4E'!BM28</f>
        <v>BA2120SDD</v>
      </c>
      <c r="D2054" s="1882"/>
      <c r="E2054" s="1628" t="s">
        <v>8339</v>
      </c>
      <c r="F2054" s="1882"/>
      <c r="G2054" s="1882">
        <f>IF('4E'!N28="","##BLANK",'4E'!N28)</f>
        <v>0</v>
      </c>
    </row>
    <row r="2055" spans="2:7">
      <c r="B2055" s="821" t="str">
        <f>+'4E'!BM31</f>
        <v>BA2121SDD</v>
      </c>
      <c r="D2055" s="1882"/>
      <c r="E2055" s="1628" t="s">
        <v>8339</v>
      </c>
      <c r="F2055" s="1882"/>
      <c r="G2055" s="1882" t="str">
        <f>IF('4E'!N31="","##BLANK",'4E'!N31)</f>
        <v>##BLANK</v>
      </c>
    </row>
    <row r="2056" spans="2:7">
      <c r="B2056" s="821" t="str">
        <f>+'4E'!BM33</f>
        <v>BM825SDD</v>
      </c>
      <c r="D2056" s="1882"/>
      <c r="E2056" s="1628" t="s">
        <v>8339</v>
      </c>
      <c r="F2056" s="1882"/>
      <c r="G2056" s="1882">
        <f>IF('4E'!N33="","##BLANK",'4E'!N33)</f>
        <v>0</v>
      </c>
    </row>
    <row r="2057" spans="2:7">
      <c r="B2057" s="821" t="str">
        <f>+'4E'!BM36</f>
        <v>CR00559SDD</v>
      </c>
      <c r="D2057" s="1882"/>
      <c r="E2057" s="1628" t="s">
        <v>8339</v>
      </c>
      <c r="F2057" s="1882"/>
      <c r="G2057" s="1882" t="str">
        <f>IF('4E'!N36="","##BLANK",'4E'!N36)</f>
        <v>##BLANK</v>
      </c>
    </row>
    <row r="2058" spans="2:7">
      <c r="B2058" s="821" t="str">
        <f>+'4E'!BM37</f>
        <v>CR00562SDD</v>
      </c>
      <c r="D2058" s="1882"/>
      <c r="E2058" s="1628" t="s">
        <v>8339</v>
      </c>
      <c r="F2058" s="1882"/>
      <c r="G2058" s="1882" t="str">
        <f>IF('4E'!N37="","##BLANK",'4E'!N37)</f>
        <v>##BLANK</v>
      </c>
    </row>
    <row r="2059" spans="2:7">
      <c r="B2059" s="821" t="str">
        <f>+'4E'!BM39</f>
        <v>S3040SDD</v>
      </c>
      <c r="D2059" s="1882"/>
      <c r="E2059" s="1628" t="s">
        <v>8339</v>
      </c>
      <c r="F2059" s="1882"/>
      <c r="G2059" s="1882">
        <f>IF('4E'!N39="","##BLANK",'4E'!N39)</f>
        <v>0</v>
      </c>
    </row>
    <row r="2060" spans="2:7">
      <c r="B2060" s="821" t="str">
        <f>+'4E'!BM49</f>
        <v>CRSDSERV01D</v>
      </c>
      <c r="D2060" s="1882"/>
      <c r="E2060" s="1628" t="s">
        <v>8339</v>
      </c>
      <c r="F2060" s="1882"/>
      <c r="G2060" s="1882" t="str">
        <f>IF('4E'!N49="","##BLANK",'4E'!N49)</f>
        <v>##BLANK</v>
      </c>
    </row>
    <row r="2061" spans="2:7">
      <c r="B2061" s="821" t="str">
        <f>+'4E'!BM50</f>
        <v>CRSDSERV01C</v>
      </c>
      <c r="D2061" s="1882"/>
      <c r="E2061" s="1628" t="s">
        <v>8339</v>
      </c>
      <c r="F2061" s="1882"/>
      <c r="G2061" s="1882">
        <f>IF('4E'!N50="","##BLANK",'4E'!N50)</f>
        <v>0</v>
      </c>
    </row>
    <row r="2062" spans="2:7">
      <c r="B2062" s="821" t="str">
        <f>+'4E'!BM51</f>
        <v>BN2630SDD</v>
      </c>
      <c r="D2062" s="1882"/>
      <c r="E2062" s="1628" t="s">
        <v>8339</v>
      </c>
      <c r="F2062" s="1882"/>
      <c r="G2062" s="1882" t="str">
        <f>IF('4E'!N51="","##BLANK",'4E'!N51)</f>
        <v>##BLANK</v>
      </c>
    </row>
    <row r="2063" spans="2:7">
      <c r="B2063" s="821" t="str">
        <f>+'4E'!BM52</f>
        <v>BN2631SDD</v>
      </c>
      <c r="D2063" s="1882"/>
      <c r="E2063" s="1628" t="s">
        <v>8339</v>
      </c>
      <c r="F2063" s="1882"/>
      <c r="G2063" s="1882">
        <f>IF('4E'!N52="","##BLANK",'4E'!N52)</f>
        <v>0</v>
      </c>
    </row>
    <row r="2064" spans="2:7">
      <c r="B2064" s="821" t="str">
        <f>+'4E'!BN7</f>
        <v>BM802TAS</v>
      </c>
      <c r="D2064" s="1882"/>
      <c r="E2064" s="1628" t="s">
        <v>8339</v>
      </c>
      <c r="F2064" s="1882"/>
      <c r="G2064" s="1882">
        <f>IF('4E'!O7="","##BLANK",'4E'!O7)</f>
        <v>0</v>
      </c>
    </row>
    <row r="2065" spans="2:7">
      <c r="B2065" s="821" t="str">
        <f>+'4E'!BN8</f>
        <v>BM836TAS</v>
      </c>
      <c r="D2065" s="1882"/>
      <c r="E2065" s="1628" t="s">
        <v>8339</v>
      </c>
      <c r="F2065" s="1882"/>
      <c r="G2065" s="1882">
        <f>IF('4E'!O8="","##BLANK",'4E'!O8)</f>
        <v>0</v>
      </c>
    </row>
    <row r="2066" spans="2:7">
      <c r="B2066" s="821" t="str">
        <f>+'4E'!BN9</f>
        <v>BM831TAS</v>
      </c>
      <c r="D2066" s="1882"/>
      <c r="E2066" s="1628" t="s">
        <v>8339</v>
      </c>
      <c r="F2066" s="1882"/>
      <c r="G2066" s="1882">
        <f>IF('4E'!O9="","##BLANK",'4E'!O9)</f>
        <v>0</v>
      </c>
    </row>
    <row r="2067" spans="2:7">
      <c r="B2067" s="821" t="str">
        <f>+'4E'!BN10</f>
        <v>BM140TAS</v>
      </c>
      <c r="D2067" s="1882"/>
      <c r="E2067" s="1628" t="s">
        <v>8339</v>
      </c>
      <c r="F2067" s="1882"/>
      <c r="G2067" s="1882">
        <f>IF('4E'!O10="","##BLANK",'4E'!O10)</f>
        <v>0</v>
      </c>
    </row>
    <row r="2068" spans="2:7">
      <c r="B2068" s="821" t="str">
        <f>+'4E'!BN11</f>
        <v>BM839TASIR</v>
      </c>
      <c r="D2068" s="1882"/>
      <c r="E2068" s="1628" t="s">
        <v>8339</v>
      </c>
      <c r="F2068" s="1882"/>
      <c r="G2068" s="1882">
        <f>IF('4E'!O11="","##BLANK",'4E'!O11)</f>
        <v>0</v>
      </c>
    </row>
    <row r="2069" spans="2:7">
      <c r="B2069" s="821" t="str">
        <f>+'4E'!BN12</f>
        <v>BM839TASNIR</v>
      </c>
      <c r="D2069" s="1882"/>
      <c r="E2069" s="1628" t="s">
        <v>8339</v>
      </c>
      <c r="F2069" s="1882"/>
      <c r="G2069" s="1882">
        <f>IF('4E'!O12="","##BLANK",'4E'!O12)</f>
        <v>0</v>
      </c>
    </row>
    <row r="2070" spans="2:7">
      <c r="B2070" s="821" t="str">
        <f>+'4E'!BN13</f>
        <v>BM839TASER</v>
      </c>
      <c r="D2070" s="1882"/>
      <c r="E2070" s="1628" t="s">
        <v>8339</v>
      </c>
      <c r="F2070" s="1882"/>
      <c r="G2070" s="1882">
        <f>IF('4E'!O13="","##BLANK",'4E'!O13)</f>
        <v>0</v>
      </c>
    </row>
    <row r="2071" spans="2:7">
      <c r="B2071" s="821" t="str">
        <f>+'4E'!BN14</f>
        <v>BM817TAS</v>
      </c>
      <c r="D2071" s="1882"/>
      <c r="E2071" s="1628" t="s">
        <v>8339</v>
      </c>
      <c r="F2071" s="1882"/>
      <c r="G2071" s="1882">
        <f>IF('4E'!O14="","##BLANK",'4E'!O14)</f>
        <v>0</v>
      </c>
    </row>
    <row r="2072" spans="2:7">
      <c r="B2072" s="821" t="str">
        <f>+'4E'!BN15</f>
        <v>BM844TAS</v>
      </c>
      <c r="D2072" s="1882"/>
      <c r="E2072" s="1628" t="s">
        <v>8339</v>
      </c>
      <c r="F2072" s="1882"/>
      <c r="G2072" s="1882">
        <f>IF('4E'!O15="","##BLANK",'4E'!O15)</f>
        <v>0</v>
      </c>
    </row>
    <row r="2073" spans="2:7">
      <c r="B2073" s="821" t="str">
        <f>+'4E'!BN17</f>
        <v>BM823TAS</v>
      </c>
      <c r="D2073" s="1882"/>
      <c r="E2073" s="1628" t="s">
        <v>8339</v>
      </c>
      <c r="F2073" s="1882"/>
      <c r="G2073" s="1882">
        <f>IF('4E'!O17="","##BLANK",'4E'!O17)</f>
        <v>0</v>
      </c>
    </row>
    <row r="2074" spans="2:7">
      <c r="B2074" s="821" t="str">
        <f>+'4E'!BN18</f>
        <v>BM850TAS</v>
      </c>
      <c r="D2074" s="1882"/>
      <c r="E2074" s="1628" t="s">
        <v>8339</v>
      </c>
      <c r="F2074" s="1882"/>
      <c r="G2074" s="1882">
        <f>IF('4E'!O18="","##BLANK",'4E'!O18)</f>
        <v>0</v>
      </c>
    </row>
    <row r="2075" spans="2:7">
      <c r="B2075" s="821" t="str">
        <f>+'4E'!BN21</f>
        <v>BC30945</v>
      </c>
      <c r="D2075" s="1882"/>
      <c r="E2075" s="1628" t="s">
        <v>8339</v>
      </c>
      <c r="F2075" s="1882"/>
      <c r="G2075" s="1882">
        <f>IF('4E'!O21="","##BLANK",'4E'!O21)</f>
        <v>0</v>
      </c>
    </row>
    <row r="2076" spans="2:7">
      <c r="B2076" s="821" t="str">
        <f>+'4E'!BN22</f>
        <v>CS00036</v>
      </c>
      <c r="D2076" s="1882"/>
      <c r="E2076" s="1628" t="s">
        <v>8339</v>
      </c>
      <c r="F2076" s="1882"/>
      <c r="G2076" s="1882">
        <f>IF('4E'!O22="","##BLANK",'4E'!O22)</f>
        <v>0</v>
      </c>
    </row>
    <row r="2077" spans="2:7">
      <c r="B2077" s="821" t="str">
        <f>+'4E'!BN23</f>
        <v>BC30944TAS</v>
      </c>
      <c r="D2077" s="1882"/>
      <c r="E2077" s="1628" t="s">
        <v>8339</v>
      </c>
      <c r="F2077" s="1882"/>
      <c r="G2077" s="1882">
        <f>IF('4E'!O23="","##BLANK",'4E'!O23)</f>
        <v>0</v>
      </c>
    </row>
    <row r="2078" spans="2:7">
      <c r="B2078" s="821" t="str">
        <f>+'4E'!BN24</f>
        <v>CS00037TAS</v>
      </c>
      <c r="D2078" s="1882"/>
      <c r="E2078" s="1628" t="s">
        <v>8339</v>
      </c>
      <c r="F2078" s="1882"/>
      <c r="G2078" s="1882">
        <f>IF('4E'!O24="","##BLANK",'4E'!O24)</f>
        <v>0</v>
      </c>
    </row>
    <row r="2079" spans="2:7">
      <c r="B2079" s="821" t="str">
        <f>+'4E'!BN25</f>
        <v>BC30849</v>
      </c>
      <c r="D2079" s="1882"/>
      <c r="E2079" s="1628" t="s">
        <v>8339</v>
      </c>
      <c r="F2079" s="1882"/>
      <c r="G2079" s="1882">
        <f>IF('4E'!O25="","##BLANK",'4E'!O25)</f>
        <v>0</v>
      </c>
    </row>
    <row r="2080" spans="2:7">
      <c r="B2080" s="821" t="str">
        <f>+'4E'!BN26</f>
        <v>BC30998TAS</v>
      </c>
      <c r="D2080" s="1882"/>
      <c r="E2080" s="1628" t="s">
        <v>8339</v>
      </c>
      <c r="F2080" s="1882"/>
      <c r="G2080" s="1882">
        <f>IF('4E'!O26="","##BLANK",'4E'!O26)</f>
        <v>0</v>
      </c>
    </row>
    <row r="2081" spans="2:7">
      <c r="B2081" s="821" t="str">
        <f>+'4E'!BN27</f>
        <v>BM833TAS</v>
      </c>
      <c r="D2081" s="1882"/>
      <c r="E2081" s="1628" t="s">
        <v>8339</v>
      </c>
      <c r="F2081" s="1882"/>
      <c r="G2081" s="1882">
        <f>IF('4E'!O27="","##BLANK",'4E'!O27)</f>
        <v>0</v>
      </c>
    </row>
    <row r="2082" spans="2:7">
      <c r="B2082" s="821" t="str">
        <f>+'4E'!BN28</f>
        <v>BA2120TAS</v>
      </c>
      <c r="D2082" s="1882"/>
      <c r="E2082" s="1628" t="s">
        <v>8339</v>
      </c>
      <c r="F2082" s="1882"/>
      <c r="G2082" s="1882">
        <f>IF('4E'!O28="","##BLANK",'4E'!O28)</f>
        <v>0</v>
      </c>
    </row>
    <row r="2083" spans="2:7">
      <c r="B2083" s="821" t="str">
        <f>+'4E'!BN31</f>
        <v>BA2121TAS</v>
      </c>
      <c r="D2083" s="1882"/>
      <c r="E2083" s="1628" t="s">
        <v>8339</v>
      </c>
      <c r="F2083" s="1882"/>
      <c r="G2083" s="1882">
        <f>IF('4E'!O31="","##BLANK",'4E'!O31)</f>
        <v>0</v>
      </c>
    </row>
    <row r="2084" spans="2:7">
      <c r="B2084" s="821" t="str">
        <f>+'4E'!BN33</f>
        <v>BM825TAS</v>
      </c>
      <c r="D2084" s="1882"/>
      <c r="E2084" s="1628" t="s">
        <v>8339</v>
      </c>
      <c r="F2084" s="1882"/>
      <c r="G2084" s="1882">
        <f>IF('4E'!O33="","##BLANK",'4E'!O33)</f>
        <v>0</v>
      </c>
    </row>
    <row r="2085" spans="2:7">
      <c r="B2085" s="821" t="str">
        <f>+'4E'!BN36</f>
        <v>CR00559TOT</v>
      </c>
      <c r="D2085" s="1882"/>
      <c r="E2085" s="1628" t="s">
        <v>8339</v>
      </c>
      <c r="F2085" s="1882"/>
      <c r="G2085" s="1882">
        <f>IF('4E'!O36="","##BLANK",'4E'!O36)</f>
        <v>0</v>
      </c>
    </row>
    <row r="2086" spans="2:7">
      <c r="B2086" s="821" t="str">
        <f>+'4E'!BN37</f>
        <v>CR00562TOT</v>
      </c>
      <c r="D2086" s="1882"/>
      <c r="E2086" s="1628" t="s">
        <v>8339</v>
      </c>
      <c r="F2086" s="1882"/>
      <c r="G2086" s="1882">
        <f>IF('4E'!O37="","##BLANK",'4E'!O37)</f>
        <v>0</v>
      </c>
    </row>
    <row r="2087" spans="2:7">
      <c r="B2087" s="821" t="str">
        <f>+'4E'!BN39</f>
        <v>S3040TOT</v>
      </c>
      <c r="D2087" s="1882"/>
      <c r="E2087" s="1628" t="s">
        <v>8339</v>
      </c>
      <c r="F2087" s="1882"/>
      <c r="G2087" s="1882">
        <f>IF('4E'!O39="","##BLANK",'4E'!O39)</f>
        <v>0</v>
      </c>
    </row>
    <row r="2088" spans="2:7">
      <c r="B2088" s="821" t="str">
        <f>+'4F'!BF7</f>
        <v>BM9030UWO</v>
      </c>
      <c r="D2088" s="1882"/>
      <c r="E2088" s="1628" t="s">
        <v>8339</v>
      </c>
      <c r="F2088" s="1882"/>
      <c r="G2088" s="1882">
        <f>IF('4F'!G7="","##BLANK",'4F'!G7)</f>
        <v>1.2589999999999999</v>
      </c>
    </row>
    <row r="2089" spans="2:7">
      <c r="B2089" s="821" t="str">
        <f>+'4F'!BF8</f>
        <v>BM9002UWO</v>
      </c>
      <c r="D2089" s="1882"/>
      <c r="E2089" s="1628" t="s">
        <v>8339</v>
      </c>
      <c r="F2089" s="1882"/>
      <c r="G2089" s="1882">
        <f>IF('4F'!G8="","##BLANK",'4F'!G8)</f>
        <v>0.182</v>
      </c>
    </row>
    <row r="2090" spans="2:7">
      <c r="B2090" s="821" t="str">
        <f>+'4F'!BF9</f>
        <v>BM9003UWO</v>
      </c>
      <c r="D2090" s="1882"/>
      <c r="E2090" s="1628" t="s">
        <v>8339</v>
      </c>
      <c r="F2090" s="1882"/>
      <c r="G2090" s="1882">
        <f>IF('4F'!G9="","##BLANK",'4F'!G9)</f>
        <v>2.0390000000000001</v>
      </c>
    </row>
    <row r="2091" spans="2:7">
      <c r="B2091" s="821" t="str">
        <f>+'4F'!BF11</f>
        <v>BM9033UWO</v>
      </c>
      <c r="D2091" s="1882"/>
      <c r="E2091" s="1628" t="s">
        <v>8339</v>
      </c>
      <c r="F2091" s="1882"/>
      <c r="G2091" s="1882">
        <f>IF('4F'!G11="","##BLANK",'4F'!G11)</f>
        <v>1.917</v>
      </c>
    </row>
    <row r="2092" spans="2:7">
      <c r="B2092" s="821" t="str">
        <f>+'4F'!BF12</f>
        <v>BM9021UWO</v>
      </c>
      <c r="D2092" s="1882"/>
      <c r="E2092" s="1628" t="s">
        <v>8339</v>
      </c>
      <c r="F2092" s="1882"/>
      <c r="G2092" s="1882">
        <f>IF('4F'!G12="","##BLANK",'4F'!G12)</f>
        <v>5.3970000000000002</v>
      </c>
    </row>
    <row r="2093" spans="2:7">
      <c r="B2093" s="821" t="str">
        <f>+'4F'!BF14</f>
        <v>BM9022UWO</v>
      </c>
      <c r="D2093" s="1882"/>
      <c r="E2093" s="1628" t="s">
        <v>8339</v>
      </c>
      <c r="F2093" s="1882"/>
      <c r="G2093" s="1882">
        <f>IF('4F'!G14="","##BLANK",'4F'!G14)</f>
        <v>0</v>
      </c>
    </row>
    <row r="2094" spans="2:7">
      <c r="B2094" s="821" t="str">
        <f>+'4F'!BF15</f>
        <v>BM9023UWO</v>
      </c>
      <c r="D2094" s="1882"/>
      <c r="E2094" s="1628" t="s">
        <v>8339</v>
      </c>
      <c r="F2094" s="1882"/>
      <c r="G2094" s="1882">
        <f>IF('4F'!G15="","##BLANK",'4F'!G15)</f>
        <v>5.3970000000000002</v>
      </c>
    </row>
    <row r="2095" spans="2:7">
      <c r="B2095" s="821" t="str">
        <f>+'4F'!BF17</f>
        <v>BM4290EXUWO</v>
      </c>
      <c r="D2095" s="1882"/>
      <c r="E2095" s="1628" t="s">
        <v>8339</v>
      </c>
      <c r="F2095" s="1882"/>
      <c r="G2095" s="1882">
        <f>IF('4F'!G17="","##BLANK",'4F'!G17)</f>
        <v>3.8119080607436692E-4</v>
      </c>
    </row>
    <row r="2096" spans="2:7">
      <c r="B2096" s="821" t="str">
        <f>+'4F'!BF18</f>
        <v>BM4290AQUWO</v>
      </c>
      <c r="D2096" s="1882"/>
      <c r="E2096" s="1628" t="s">
        <v>8339</v>
      </c>
      <c r="F2096" s="1882"/>
      <c r="G2096" s="1882">
        <f>IF('4F'!G18="","##BLANK",'4F'!G18)</f>
        <v>4.0133388604468294E-2</v>
      </c>
    </row>
    <row r="2097" spans="2:7">
      <c r="B2097" s="821" t="str">
        <f>+'4F'!BF19</f>
        <v>BM9027EXUWO</v>
      </c>
      <c r="D2097" s="1882"/>
      <c r="E2097" s="1628" t="s">
        <v>8339</v>
      </c>
      <c r="F2097" s="1882"/>
      <c r="G2097" s="1882">
        <f>IF('4F'!G19="","##BLANK",'4F'!G19)</f>
        <v>9.9368043305707345E-3</v>
      </c>
    </row>
    <row r="2098" spans="2:7">
      <c r="B2098" s="821" t="str">
        <f>+'4F'!BF20</f>
        <v>BM9027AQUWO</v>
      </c>
      <c r="D2098" s="1882"/>
      <c r="E2098" s="1628" t="s">
        <v>8339</v>
      </c>
      <c r="F2098" s="1882"/>
      <c r="G2098" s="1882">
        <f>IF('4F'!G20="","##BLANK",'4F'!G20)</f>
        <v>7.083447179554217E-2</v>
      </c>
    </row>
    <row r="2099" spans="2:7">
      <c r="B2099" s="821" t="str">
        <f>+'4F'!BF21</f>
        <v>BM9029UWO</v>
      </c>
      <c r="D2099" s="1882"/>
      <c r="E2099" s="1628" t="s">
        <v>8339</v>
      </c>
      <c r="F2099" s="1882"/>
      <c r="G2099" s="1882">
        <f>IF('4F'!G21="","##BLANK",'4F'!G21)</f>
        <v>5.5182858555366554</v>
      </c>
    </row>
    <row r="2100" spans="2:7">
      <c r="B2100" s="821" t="str">
        <f>+'4F'!BF23</f>
        <v>BM4017UWO</v>
      </c>
      <c r="D2100" s="1882"/>
      <c r="E2100" s="1628" t="s">
        <v>8339</v>
      </c>
      <c r="F2100" s="1882"/>
      <c r="G2100" s="1882">
        <f>IF('4F'!G23="","##BLANK",'4F'!G23)</f>
        <v>0.66163389218622093</v>
      </c>
    </row>
    <row r="2101" spans="2:7">
      <c r="B2101" s="821" t="str">
        <f>+'4F'!BG7</f>
        <v>BM9030USO</v>
      </c>
      <c r="D2101" s="1882"/>
      <c r="E2101" s="1628" t="s">
        <v>8339</v>
      </c>
      <c r="F2101" s="1882"/>
      <c r="G2101" s="1882" t="str">
        <f>IF('4F'!H7="","##BLANK",'4F'!H7)</f>
        <v>##BLANK</v>
      </c>
    </row>
    <row r="2102" spans="2:7">
      <c r="B2102" s="821" t="str">
        <f>+'4F'!BG8</f>
        <v>BM9002USO</v>
      </c>
      <c r="D2102" s="1882"/>
      <c r="E2102" s="1628" t="s">
        <v>8339</v>
      </c>
      <c r="F2102" s="1882"/>
      <c r="G2102" s="1882" t="str">
        <f>IF('4F'!H8="","##BLANK",'4F'!H8)</f>
        <v>##BLANK</v>
      </c>
    </row>
    <row r="2103" spans="2:7">
      <c r="B2103" s="821" t="str">
        <f>+'4F'!BG9</f>
        <v>BM9003USO</v>
      </c>
      <c r="D2103" s="1882"/>
      <c r="E2103" s="1628" t="s">
        <v>8339</v>
      </c>
      <c r="F2103" s="1882"/>
      <c r="G2103" s="1882" t="str">
        <f>IF('4F'!H9="","##BLANK",'4F'!H9)</f>
        <v>##BLANK</v>
      </c>
    </row>
    <row r="2104" spans="2:7">
      <c r="B2104" s="821" t="str">
        <f>+'4F'!BG11</f>
        <v>BM9033USO</v>
      </c>
      <c r="D2104" s="1882"/>
      <c r="E2104" s="1628" t="s">
        <v>8339</v>
      </c>
      <c r="F2104" s="1882"/>
      <c r="G2104" s="1882" t="str">
        <f>IF('4F'!H11="","##BLANK",'4F'!H11)</f>
        <v>##BLANK</v>
      </c>
    </row>
    <row r="2105" spans="2:7">
      <c r="B2105" s="821" t="str">
        <f>+'4F'!BG12</f>
        <v>BM9021USO</v>
      </c>
      <c r="D2105" s="1882"/>
      <c r="E2105" s="1628" t="s">
        <v>8339</v>
      </c>
      <c r="F2105" s="1882"/>
      <c r="G2105" s="1882">
        <f>IF('4F'!H12="","##BLANK",'4F'!H12)</f>
        <v>0</v>
      </c>
    </row>
    <row r="2106" spans="2:7">
      <c r="B2106" s="821" t="str">
        <f>+'4F'!BG14</f>
        <v>BM9022USO</v>
      </c>
      <c r="D2106" s="1882"/>
      <c r="E2106" s="1628" t="s">
        <v>8339</v>
      </c>
      <c r="F2106" s="1882"/>
      <c r="G2106" s="1882" t="str">
        <f>IF('4F'!H14="","##BLANK",'4F'!H14)</f>
        <v>##BLANK</v>
      </c>
    </row>
    <row r="2107" spans="2:7">
      <c r="B2107" s="821" t="str">
        <f>+'4F'!BG15</f>
        <v>BM9023USO</v>
      </c>
      <c r="D2107" s="1882"/>
      <c r="E2107" s="1628" t="s">
        <v>8339</v>
      </c>
      <c r="F2107" s="1882"/>
      <c r="G2107" s="1882">
        <f>IF('4F'!H15="","##BLANK",'4F'!H15)</f>
        <v>0</v>
      </c>
    </row>
    <row r="2108" spans="2:7">
      <c r="B2108" s="821" t="str">
        <f>+'4F'!BG17</f>
        <v>BM4290EXUSO</v>
      </c>
      <c r="D2108" s="1882"/>
      <c r="E2108" s="1628" t="s">
        <v>8339</v>
      </c>
      <c r="F2108" s="1882"/>
      <c r="G2108" s="1882" t="str">
        <f>IF('4F'!H17="","##BLANK",'4F'!H17)</f>
        <v>##BLANK</v>
      </c>
    </row>
    <row r="2109" spans="2:7">
      <c r="B2109" s="821" t="str">
        <f>+'4F'!BG18</f>
        <v>BM4290AQUSO</v>
      </c>
      <c r="D2109" s="1882"/>
      <c r="E2109" s="1628" t="s">
        <v>8339</v>
      </c>
      <c r="F2109" s="1882"/>
      <c r="G2109" s="1882" t="str">
        <f>IF('4F'!H18="","##BLANK",'4F'!H18)</f>
        <v>##BLANK</v>
      </c>
    </row>
    <row r="2110" spans="2:7">
      <c r="B2110" s="821" t="str">
        <f>+'4F'!BG19</f>
        <v>BM9027EXUSO</v>
      </c>
      <c r="D2110" s="1882"/>
      <c r="E2110" s="1628" t="s">
        <v>8339</v>
      </c>
      <c r="F2110" s="1882"/>
      <c r="G2110" s="1882" t="str">
        <f>IF('4F'!H19="","##BLANK",'4F'!H19)</f>
        <v>##BLANK</v>
      </c>
    </row>
    <row r="2111" spans="2:7">
      <c r="B2111" s="821" t="str">
        <f>+'4F'!BG20</f>
        <v>BM9027AQUSO</v>
      </c>
      <c r="D2111" s="1882"/>
      <c r="E2111" s="1628" t="s">
        <v>8339</v>
      </c>
      <c r="F2111" s="1882"/>
      <c r="G2111" s="1882" t="str">
        <f>IF('4F'!H20="","##BLANK",'4F'!H20)</f>
        <v>##BLANK</v>
      </c>
    </row>
    <row r="2112" spans="2:7">
      <c r="B2112" s="821" t="str">
        <f>+'4F'!BG21</f>
        <v>BM9029USO</v>
      </c>
      <c r="D2112" s="1882"/>
      <c r="E2112" s="1628" t="s">
        <v>8339</v>
      </c>
      <c r="F2112" s="1882"/>
      <c r="G2112" s="1882">
        <f>IF('4F'!H21="","##BLANK",'4F'!H21)</f>
        <v>0</v>
      </c>
    </row>
    <row r="2113" spans="2:7">
      <c r="B2113" s="821" t="str">
        <f>+'4F'!BG23</f>
        <v>BM4017USO</v>
      </c>
      <c r="D2113" s="1882"/>
      <c r="E2113" s="1628" t="s">
        <v>8339</v>
      </c>
      <c r="F2113" s="1882"/>
      <c r="G2113" s="1882">
        <f>IF('4F'!H23="","##BLANK",'4F'!H23)</f>
        <v>0</v>
      </c>
    </row>
    <row r="2114" spans="2:7">
      <c r="B2114" s="821" t="str">
        <f>+'4F'!BH7</f>
        <v>BM9030UWS</v>
      </c>
      <c r="D2114" s="1882"/>
      <c r="E2114" s="1628" t="s">
        <v>8339</v>
      </c>
      <c r="F2114" s="1882"/>
      <c r="G2114" s="1882" t="str">
        <f>IF('4F'!I7="","##BLANK",'4F'!I7)</f>
        <v>##BLANK</v>
      </c>
    </row>
    <row r="2115" spans="2:7">
      <c r="B2115" s="821" t="str">
        <f>+'4F'!BH8</f>
        <v>BM9002UWS</v>
      </c>
      <c r="D2115" s="1882"/>
      <c r="E2115" s="1628" t="s">
        <v>8339</v>
      </c>
      <c r="F2115" s="1882"/>
      <c r="G2115" s="1882" t="str">
        <f>IF('4F'!I8="","##BLANK",'4F'!I8)</f>
        <v>##BLANK</v>
      </c>
    </row>
    <row r="2116" spans="2:7">
      <c r="B2116" s="821" t="str">
        <f>+'4F'!BH9</f>
        <v>BM9003UWS</v>
      </c>
      <c r="D2116" s="1882"/>
      <c r="E2116" s="1628" t="s">
        <v>8339</v>
      </c>
      <c r="F2116" s="1882"/>
      <c r="G2116" s="1882" t="str">
        <f>IF('4F'!I9="","##BLANK",'4F'!I9)</f>
        <v>##BLANK</v>
      </c>
    </row>
    <row r="2117" spans="2:7">
      <c r="B2117" s="821" t="str">
        <f>+'4F'!BH11</f>
        <v>BM9033UWS</v>
      </c>
      <c r="D2117" s="1882"/>
      <c r="E2117" s="1628" t="s">
        <v>8339</v>
      </c>
      <c r="F2117" s="1882"/>
      <c r="G2117" s="1882" t="str">
        <f>IF('4F'!I11="","##BLANK",'4F'!I11)</f>
        <v>##BLANK</v>
      </c>
    </row>
    <row r="2118" spans="2:7">
      <c r="B2118" s="821" t="str">
        <f>+'4F'!BH12</f>
        <v>BM9021UWS</v>
      </c>
      <c r="D2118" s="1882"/>
      <c r="E2118" s="1628" t="s">
        <v>8339</v>
      </c>
      <c r="F2118" s="1882"/>
      <c r="G2118" s="1882">
        <f>IF('4F'!I12="","##BLANK",'4F'!I12)</f>
        <v>0</v>
      </c>
    </row>
    <row r="2119" spans="2:7">
      <c r="B2119" s="821" t="str">
        <f>+'4F'!BH14</f>
        <v>BM9022UWS</v>
      </c>
      <c r="D2119" s="1882"/>
      <c r="E2119" s="1628" t="s">
        <v>8339</v>
      </c>
      <c r="F2119" s="1882"/>
      <c r="G2119" s="1882" t="str">
        <f>IF('4F'!I14="","##BLANK",'4F'!I14)</f>
        <v>##BLANK</v>
      </c>
    </row>
    <row r="2120" spans="2:7">
      <c r="B2120" s="821" t="str">
        <f>+'4F'!BH15</f>
        <v>BM9023UWS</v>
      </c>
      <c r="D2120" s="1882"/>
      <c r="E2120" s="1628" t="s">
        <v>8339</v>
      </c>
      <c r="F2120" s="1882"/>
      <c r="G2120" s="1882">
        <f>IF('4F'!I15="","##BLANK",'4F'!I15)</f>
        <v>0</v>
      </c>
    </row>
    <row r="2121" spans="2:7">
      <c r="B2121" s="821" t="str">
        <f>+'4F'!BH17</f>
        <v>BM4290EXUWS</v>
      </c>
      <c r="D2121" s="1882"/>
      <c r="E2121" s="1628" t="s">
        <v>8339</v>
      </c>
      <c r="F2121" s="1882"/>
      <c r="G2121" s="1882" t="str">
        <f>IF('4F'!I17="","##BLANK",'4F'!I17)</f>
        <v>##BLANK</v>
      </c>
    </row>
    <row r="2122" spans="2:7">
      <c r="B2122" s="821" t="str">
        <f>+'4F'!BH18</f>
        <v>BM4290AQUWS</v>
      </c>
      <c r="D2122" s="1882"/>
      <c r="E2122" s="1628" t="s">
        <v>8339</v>
      </c>
      <c r="F2122" s="1882"/>
      <c r="G2122" s="1882" t="str">
        <f>IF('4F'!I18="","##BLANK",'4F'!I18)</f>
        <v>##BLANK</v>
      </c>
    </row>
    <row r="2123" spans="2:7">
      <c r="B2123" s="821" t="str">
        <f>+'4F'!BH19</f>
        <v>BM9027EXUWS</v>
      </c>
      <c r="D2123" s="1882"/>
      <c r="E2123" s="1628" t="s">
        <v>8339</v>
      </c>
      <c r="F2123" s="1882"/>
      <c r="G2123" s="1882" t="str">
        <f>IF('4F'!I19="","##BLANK",'4F'!I19)</f>
        <v>##BLANK</v>
      </c>
    </row>
    <row r="2124" spans="2:7">
      <c r="B2124" s="821" t="str">
        <f>+'4F'!BH20</f>
        <v>BM9027AQUWS</v>
      </c>
      <c r="D2124" s="1882"/>
      <c r="E2124" s="1628" t="s">
        <v>8339</v>
      </c>
      <c r="F2124" s="1882"/>
      <c r="G2124" s="1882" t="str">
        <f>IF('4F'!I20="","##BLANK",'4F'!I20)</f>
        <v>##BLANK</v>
      </c>
    </row>
    <row r="2125" spans="2:7">
      <c r="B2125" s="821" t="str">
        <f>+'4F'!BH21</f>
        <v>BM9029UWS</v>
      </c>
      <c r="D2125" s="1882"/>
      <c r="E2125" s="1628" t="s">
        <v>8339</v>
      </c>
      <c r="F2125" s="1882"/>
      <c r="G2125" s="1882">
        <f>IF('4F'!I21="","##BLANK",'4F'!I21)</f>
        <v>0</v>
      </c>
    </row>
    <row r="2126" spans="2:7">
      <c r="B2126" s="821" t="str">
        <f>+'4F'!BH23</f>
        <v>BM4017UWS</v>
      </c>
      <c r="D2126" s="1882"/>
      <c r="E2126" s="1628" t="s">
        <v>8339</v>
      </c>
      <c r="F2126" s="1882"/>
      <c r="G2126" s="1882">
        <f>IF('4F'!I23="","##BLANK",'4F'!I23)</f>
        <v>0</v>
      </c>
    </row>
    <row r="2127" spans="2:7">
      <c r="B2127" s="821" t="str">
        <f>+'4F'!BI7</f>
        <v>BM9030UTOT</v>
      </c>
      <c r="D2127" s="1882"/>
      <c r="E2127" s="1628" t="s">
        <v>8339</v>
      </c>
      <c r="F2127" s="1882"/>
      <c r="G2127" s="1882">
        <f>IF('4F'!J7="","##BLANK",'4F'!J7)</f>
        <v>1.2589999999999999</v>
      </c>
    </row>
    <row r="2128" spans="2:7">
      <c r="B2128" s="821" t="str">
        <f>+'4F'!BI8</f>
        <v>BM9002UTOT</v>
      </c>
      <c r="D2128" s="1882"/>
      <c r="E2128" s="1628" t="s">
        <v>8339</v>
      </c>
      <c r="F2128" s="1882"/>
      <c r="G2128" s="1882">
        <f>IF('4F'!J8="","##BLANK",'4F'!J8)</f>
        <v>0.182</v>
      </c>
    </row>
    <row r="2129" spans="2:7">
      <c r="B2129" s="821" t="str">
        <f>+'4F'!BI9</f>
        <v>BM9003UTOT</v>
      </c>
      <c r="D2129" s="1882"/>
      <c r="E2129" s="1628" t="s">
        <v>8339</v>
      </c>
      <c r="F2129" s="1882"/>
      <c r="G2129" s="1882">
        <f>IF('4F'!J9="","##BLANK",'4F'!J9)</f>
        <v>2.0390000000000001</v>
      </c>
    </row>
    <row r="2130" spans="2:7">
      <c r="B2130" s="821" t="str">
        <f>+'4F'!BI11</f>
        <v>BM9033UTOT</v>
      </c>
      <c r="D2130" s="1882"/>
      <c r="E2130" s="1628" t="s">
        <v>8339</v>
      </c>
      <c r="F2130" s="1882"/>
      <c r="G2130" s="1882">
        <f>IF('4F'!J11="","##BLANK",'4F'!J11)</f>
        <v>1.917</v>
      </c>
    </row>
    <row r="2131" spans="2:7">
      <c r="B2131" s="821" t="str">
        <f>+'4F'!BI12</f>
        <v>BM9021UTOT</v>
      </c>
      <c r="D2131" s="1882"/>
      <c r="E2131" s="1628" t="s">
        <v>8339</v>
      </c>
      <c r="F2131" s="1882"/>
      <c r="G2131" s="1882">
        <f>IF('4F'!J12="","##BLANK",'4F'!J12)</f>
        <v>5.3970000000000002</v>
      </c>
    </row>
    <row r="2132" spans="2:7">
      <c r="B2132" s="821" t="str">
        <f>+'4F'!BI14</f>
        <v>BM9022UTOT</v>
      </c>
      <c r="D2132" s="1882"/>
      <c r="E2132" s="1628" t="s">
        <v>8339</v>
      </c>
      <c r="F2132" s="1882"/>
      <c r="G2132" s="1882">
        <f>IF('4F'!J14="","##BLANK",'4F'!J14)</f>
        <v>0</v>
      </c>
    </row>
    <row r="2133" spans="2:7">
      <c r="B2133" s="821" t="str">
        <f>+'4F'!BI15</f>
        <v>BM9023UTOT</v>
      </c>
      <c r="D2133" s="1882"/>
      <c r="E2133" s="1628" t="s">
        <v>8339</v>
      </c>
      <c r="F2133" s="1882"/>
      <c r="G2133" s="1882">
        <f>IF('4F'!J15="","##BLANK",'4F'!J15)</f>
        <v>5.3970000000000002</v>
      </c>
    </row>
    <row r="2134" spans="2:7">
      <c r="B2134" s="821" t="str">
        <f>+'4F'!BI17</f>
        <v>BM4290EXUTOT</v>
      </c>
      <c r="D2134" s="1882"/>
      <c r="E2134" s="1628" t="s">
        <v>8339</v>
      </c>
      <c r="F2134" s="1882"/>
      <c r="G2134" s="1882">
        <f>IF('4F'!J17="","##BLANK",'4F'!J17)</f>
        <v>3.8119080607436692E-4</v>
      </c>
    </row>
    <row r="2135" spans="2:7">
      <c r="B2135" s="821" t="str">
        <f>+'4F'!BI18</f>
        <v>BM4290AQUTOT</v>
      </c>
      <c r="D2135" s="1882"/>
      <c r="E2135" s="1628" t="s">
        <v>8339</v>
      </c>
      <c r="F2135" s="1882"/>
      <c r="G2135" s="1882">
        <f>IF('4F'!J18="","##BLANK",'4F'!J18)</f>
        <v>4.0133388604468294E-2</v>
      </c>
    </row>
    <row r="2136" spans="2:7">
      <c r="B2136" s="821" t="str">
        <f>+'4F'!BI19</f>
        <v>BM9027EXUTOT</v>
      </c>
      <c r="D2136" s="1882"/>
      <c r="E2136" s="1628" t="s">
        <v>8339</v>
      </c>
      <c r="F2136" s="1882"/>
      <c r="G2136" s="1882">
        <f>IF('4F'!J19="","##BLANK",'4F'!J19)</f>
        <v>9.9368043305707345E-3</v>
      </c>
    </row>
    <row r="2137" spans="2:7">
      <c r="B2137" s="821" t="str">
        <f>+'4F'!BI20</f>
        <v>BM9027AQUTOT</v>
      </c>
      <c r="D2137" s="1882"/>
      <c r="E2137" s="1628" t="s">
        <v>8339</v>
      </c>
      <c r="F2137" s="1882"/>
      <c r="G2137" s="1882">
        <f>IF('4F'!J20="","##BLANK",'4F'!J20)</f>
        <v>7.083447179554217E-2</v>
      </c>
    </row>
    <row r="2138" spans="2:7">
      <c r="B2138" s="821" t="str">
        <f>+'4F'!BI21</f>
        <v>BM9029UTOT</v>
      </c>
      <c r="D2138" s="1882"/>
      <c r="E2138" s="1628" t="s">
        <v>8339</v>
      </c>
      <c r="F2138" s="1882"/>
      <c r="G2138" s="1882">
        <f>IF('4F'!J21="","##BLANK",'4F'!J21)</f>
        <v>5.5182858555366554</v>
      </c>
    </row>
    <row r="2139" spans="2:7">
      <c r="B2139" s="821" t="str">
        <f>+'4F'!BI23</f>
        <v>BM4017UTOT</v>
      </c>
      <c r="D2139" s="1882"/>
      <c r="E2139" s="1628" t="s">
        <v>8339</v>
      </c>
      <c r="F2139" s="1882"/>
      <c r="G2139" s="1882">
        <f>IF('4F'!J23="","##BLANK",'4F'!J23)</f>
        <v>0.66163389218622093</v>
      </c>
    </row>
    <row r="2140" spans="2:7">
      <c r="B2140" s="821" t="str">
        <f>+'4F'!BJ7</f>
        <v>BM9030MWO</v>
      </c>
      <c r="D2140" s="1882"/>
      <c r="E2140" s="1628" t="s">
        <v>8339</v>
      </c>
      <c r="F2140" s="1882"/>
      <c r="G2140" s="1882">
        <f>IF('4F'!K7="","##BLANK",'4F'!K7)</f>
        <v>1.609</v>
      </c>
    </row>
    <row r="2141" spans="2:7">
      <c r="B2141" s="821" t="str">
        <f>+'4F'!BJ8</f>
        <v>BM9002MWO</v>
      </c>
      <c r="D2141" s="1882"/>
      <c r="E2141" s="1628" t="s">
        <v>8339</v>
      </c>
      <c r="F2141" s="1882"/>
      <c r="G2141" s="1882">
        <f>IF('4F'!K8="","##BLANK",'4F'!K8)</f>
        <v>0.26800000000000002</v>
      </c>
    </row>
    <row r="2142" spans="2:7">
      <c r="B2142" s="821" t="str">
        <f>+'4F'!BJ9</f>
        <v>BM9003MWO</v>
      </c>
      <c r="D2142" s="1882"/>
      <c r="E2142" s="1628" t="s">
        <v>8339</v>
      </c>
      <c r="F2142" s="1882"/>
      <c r="G2142" s="1882">
        <f>IF('4F'!K9="","##BLANK",'4F'!K9)</f>
        <v>2.496</v>
      </c>
    </row>
    <row r="2143" spans="2:7">
      <c r="B2143" s="821" t="str">
        <f>+'4F'!BJ11</f>
        <v>BM9033MWO</v>
      </c>
      <c r="D2143" s="1882"/>
      <c r="E2143" s="1628" t="s">
        <v>8339</v>
      </c>
      <c r="F2143" s="1882"/>
      <c r="G2143" s="1882">
        <f>IF('4F'!K11="","##BLANK",'4F'!K11)</f>
        <v>2.5049999999999999</v>
      </c>
    </row>
    <row r="2144" spans="2:7">
      <c r="B2144" s="821" t="str">
        <f>+'4F'!BJ12</f>
        <v>BM9021MWO</v>
      </c>
      <c r="D2144" s="1882"/>
      <c r="E2144" s="1628" t="s">
        <v>8339</v>
      </c>
      <c r="F2144" s="1882"/>
      <c r="G2144" s="1882">
        <f>IF('4F'!K12="","##BLANK",'4F'!K12)</f>
        <v>7.1840000000000002</v>
      </c>
    </row>
    <row r="2145" spans="2:7">
      <c r="B2145" s="821" t="str">
        <f>+'4F'!BJ14</f>
        <v>BM9022MWO</v>
      </c>
      <c r="D2145" s="1882"/>
      <c r="E2145" s="1628" t="s">
        <v>8339</v>
      </c>
      <c r="F2145" s="1882"/>
      <c r="G2145" s="1882">
        <f>IF('4F'!K14="","##BLANK",'4F'!K14)</f>
        <v>0</v>
      </c>
    </row>
    <row r="2146" spans="2:7">
      <c r="B2146" s="821" t="str">
        <f>+'4F'!BJ15</f>
        <v>BM9023MWO</v>
      </c>
      <c r="D2146" s="1882"/>
      <c r="E2146" s="1628" t="s">
        <v>8339</v>
      </c>
      <c r="F2146" s="1882"/>
      <c r="G2146" s="1882">
        <f>IF('4F'!K15="","##BLANK",'4F'!K15)</f>
        <v>7.1840000000000002</v>
      </c>
    </row>
    <row r="2147" spans="2:7">
      <c r="B2147" s="821" t="str">
        <f>+'4F'!BJ17</f>
        <v>BM4290EXMWO</v>
      </c>
      <c r="D2147" s="1882"/>
      <c r="E2147" s="1628" t="s">
        <v>8339</v>
      </c>
      <c r="F2147" s="1882"/>
      <c r="G2147" s="1882">
        <f>IF('4F'!K17="","##BLANK",'4F'!K17)</f>
        <v>8.4598919392563315E-4</v>
      </c>
    </row>
    <row r="2148" spans="2:7">
      <c r="B2148" s="821" t="str">
        <f>+'4F'!BJ18</f>
        <v>BM4290AQMWO</v>
      </c>
      <c r="D2148" s="1882"/>
      <c r="E2148" s="1628" t="s">
        <v>8339</v>
      </c>
      <c r="F2148" s="1882"/>
      <c r="G2148" s="1882">
        <f>IF('4F'!K18="","##BLANK",'4F'!K18)</f>
        <v>7.6036481395531708E-2</v>
      </c>
    </row>
    <row r="2149" spans="2:7">
      <c r="B2149" s="821" t="str">
        <f>+'4F'!BJ19</f>
        <v>BM9027EXMWO</v>
      </c>
      <c r="D2149" s="1882"/>
      <c r="E2149" s="1628" t="s">
        <v>8339</v>
      </c>
      <c r="F2149" s="1882"/>
      <c r="G2149" s="1882">
        <f>IF('4F'!K19="","##BLANK",'4F'!K19)</f>
        <v>1.3506225669429267E-2</v>
      </c>
    </row>
    <row r="2150" spans="2:7">
      <c r="B2150" s="821" t="str">
        <f>+'4F'!BJ20</f>
        <v>BM9027AQMWO</v>
      </c>
      <c r="D2150" s="1882"/>
      <c r="E2150" s="1628" t="s">
        <v>8339</v>
      </c>
      <c r="F2150" s="1882"/>
      <c r="G2150" s="1882">
        <f>IF('4F'!K20="","##BLANK",'4F'!K20)</f>
        <v>9.7614668204457813E-2</v>
      </c>
    </row>
    <row r="2151" spans="2:7">
      <c r="B2151" s="821" t="str">
        <f>+'4F'!BJ21</f>
        <v>BM9029MWO</v>
      </c>
      <c r="D2151" s="1882"/>
      <c r="E2151" s="1628" t="s">
        <v>8339</v>
      </c>
      <c r="F2151" s="1882"/>
      <c r="G2151" s="1882">
        <f>IF('4F'!K21="","##BLANK",'4F'!K21)</f>
        <v>7.3720033644633443</v>
      </c>
    </row>
    <row r="2152" spans="2:7">
      <c r="B2152" s="821" t="str">
        <f>+'4F'!BJ23</f>
        <v>BM4017MWO</v>
      </c>
      <c r="D2152" s="1882"/>
      <c r="E2152" s="1628" t="s">
        <v>8339</v>
      </c>
      <c r="F2152" s="1882"/>
      <c r="G2152" s="1882">
        <f>IF('4F'!K23="","##BLANK",'4F'!K23)</f>
        <v>0.899300857813779</v>
      </c>
    </row>
    <row r="2153" spans="2:7">
      <c r="B2153" s="821" t="str">
        <f>+'4F'!BK7</f>
        <v>BM9030MSO</v>
      </c>
      <c r="D2153" s="1882"/>
      <c r="E2153" s="1628" t="s">
        <v>8339</v>
      </c>
      <c r="F2153" s="1882"/>
      <c r="G2153" s="1882" t="str">
        <f>IF('4F'!L7="","##BLANK",'4F'!L7)</f>
        <v>##BLANK</v>
      </c>
    </row>
    <row r="2154" spans="2:7">
      <c r="B2154" s="821" t="str">
        <f>+'4F'!BK8</f>
        <v>BM9002MSO</v>
      </c>
      <c r="D2154" s="1882"/>
      <c r="E2154" s="1628" t="s">
        <v>8339</v>
      </c>
      <c r="F2154" s="1882"/>
      <c r="G2154" s="1882" t="str">
        <f>IF('4F'!L8="","##BLANK",'4F'!L8)</f>
        <v>##BLANK</v>
      </c>
    </row>
    <row r="2155" spans="2:7">
      <c r="B2155" s="821" t="str">
        <f>+'4F'!BK9</f>
        <v>BM9003MSO</v>
      </c>
      <c r="D2155" s="1882"/>
      <c r="E2155" s="1628" t="s">
        <v>8339</v>
      </c>
      <c r="F2155" s="1882"/>
      <c r="G2155" s="1882" t="str">
        <f>IF('4F'!L9="","##BLANK",'4F'!L9)</f>
        <v>##BLANK</v>
      </c>
    </row>
    <row r="2156" spans="2:7">
      <c r="B2156" s="821" t="str">
        <f>+'4F'!BK11</f>
        <v>BM9033MSO</v>
      </c>
      <c r="D2156" s="1882"/>
      <c r="E2156" s="1628" t="s">
        <v>8339</v>
      </c>
      <c r="F2156" s="1882"/>
      <c r="G2156" s="1882" t="str">
        <f>IF('4F'!L11="","##BLANK",'4F'!L11)</f>
        <v>##BLANK</v>
      </c>
    </row>
    <row r="2157" spans="2:7">
      <c r="B2157" s="821" t="str">
        <f>+'4F'!BK12</f>
        <v>BM9021MSO</v>
      </c>
      <c r="D2157" s="1882"/>
      <c r="E2157" s="1628" t="s">
        <v>8339</v>
      </c>
      <c r="F2157" s="1882"/>
      <c r="G2157" s="1882">
        <f>IF('4F'!L12="","##BLANK",'4F'!L12)</f>
        <v>0</v>
      </c>
    </row>
    <row r="2158" spans="2:7">
      <c r="B2158" s="821" t="str">
        <f>+'4F'!BK14</f>
        <v>BM9022MSO</v>
      </c>
      <c r="D2158" s="1882"/>
      <c r="E2158" s="1628" t="s">
        <v>8339</v>
      </c>
      <c r="F2158" s="1882"/>
      <c r="G2158" s="1882" t="str">
        <f>IF('4F'!L14="","##BLANK",'4F'!L14)</f>
        <v>##BLANK</v>
      </c>
    </row>
    <row r="2159" spans="2:7">
      <c r="B2159" s="821" t="str">
        <f>+'4F'!BK15</f>
        <v>BM9023MSO</v>
      </c>
      <c r="D2159" s="1882"/>
      <c r="E2159" s="1628" t="s">
        <v>8339</v>
      </c>
      <c r="F2159" s="1882"/>
      <c r="G2159" s="1882">
        <f>IF('4F'!L15="","##BLANK",'4F'!L15)</f>
        <v>0</v>
      </c>
    </row>
    <row r="2160" spans="2:7">
      <c r="B2160" s="821" t="str">
        <f>+'4F'!BK17</f>
        <v>BM4290EXMSO</v>
      </c>
      <c r="D2160" s="1882"/>
      <c r="E2160" s="1628" t="s">
        <v>8339</v>
      </c>
      <c r="F2160" s="1882"/>
      <c r="G2160" s="1882" t="str">
        <f>IF('4F'!L17="","##BLANK",'4F'!L17)</f>
        <v>##BLANK</v>
      </c>
    </row>
    <row r="2161" spans="2:7">
      <c r="B2161" s="821" t="str">
        <f>+'4F'!BK18</f>
        <v>BM4290AQMSO</v>
      </c>
      <c r="D2161" s="1882"/>
      <c r="E2161" s="1628" t="s">
        <v>8339</v>
      </c>
      <c r="F2161" s="1882"/>
      <c r="G2161" s="1882" t="str">
        <f>IF('4F'!L18="","##BLANK",'4F'!L18)</f>
        <v>##BLANK</v>
      </c>
    </row>
    <row r="2162" spans="2:7">
      <c r="B2162" s="821" t="str">
        <f>+'4F'!BK19</f>
        <v>BM9027EXMSO</v>
      </c>
      <c r="D2162" s="1882"/>
      <c r="E2162" s="1628" t="s">
        <v>8339</v>
      </c>
      <c r="F2162" s="1882"/>
      <c r="G2162" s="1882" t="str">
        <f>IF('4F'!L19="","##BLANK",'4F'!L19)</f>
        <v>##BLANK</v>
      </c>
    </row>
    <row r="2163" spans="2:7">
      <c r="B2163" s="821" t="str">
        <f>+'4F'!BK20</f>
        <v>BM9027AQMSO</v>
      </c>
      <c r="D2163" s="1882"/>
      <c r="E2163" s="1628" t="s">
        <v>8339</v>
      </c>
      <c r="F2163" s="1882"/>
      <c r="G2163" s="1882" t="str">
        <f>IF('4F'!L20="","##BLANK",'4F'!L20)</f>
        <v>##BLANK</v>
      </c>
    </row>
    <row r="2164" spans="2:7">
      <c r="B2164" s="821" t="str">
        <f>+'4F'!BK21</f>
        <v>BM9029MSO</v>
      </c>
      <c r="D2164" s="1882"/>
      <c r="E2164" s="1628" t="s">
        <v>8339</v>
      </c>
      <c r="F2164" s="1882"/>
      <c r="G2164" s="1882">
        <f>IF('4F'!L21="","##BLANK",'4F'!L21)</f>
        <v>0</v>
      </c>
    </row>
    <row r="2165" spans="2:7">
      <c r="B2165" s="821" t="str">
        <f>+'4F'!BK23</f>
        <v>BM4017MSO</v>
      </c>
      <c r="D2165" s="1882"/>
      <c r="E2165" s="1628" t="s">
        <v>8339</v>
      </c>
      <c r="F2165" s="1882"/>
      <c r="G2165" s="1882">
        <f>IF('4F'!L23="","##BLANK",'4F'!L23)</f>
        <v>0</v>
      </c>
    </row>
    <row r="2166" spans="2:7">
      <c r="B2166" s="821" t="str">
        <f>+'4F'!BL7</f>
        <v>BM9030MWS</v>
      </c>
      <c r="D2166" s="1882"/>
      <c r="E2166" s="1628" t="s">
        <v>8339</v>
      </c>
      <c r="F2166" s="1882"/>
      <c r="G2166" s="1882" t="str">
        <f>IF('4F'!M7="","##BLANK",'4F'!M7)</f>
        <v>##BLANK</v>
      </c>
    </row>
    <row r="2167" spans="2:7">
      <c r="B2167" s="821" t="str">
        <f>+'4F'!BL8</f>
        <v>BM9002MWS</v>
      </c>
      <c r="D2167" s="1882"/>
      <c r="E2167" s="1628" t="s">
        <v>8339</v>
      </c>
      <c r="F2167" s="1882"/>
      <c r="G2167" s="1882" t="str">
        <f>IF('4F'!M8="","##BLANK",'4F'!M8)</f>
        <v>##BLANK</v>
      </c>
    </row>
    <row r="2168" spans="2:7">
      <c r="B2168" s="821" t="str">
        <f>+'4F'!BL9</f>
        <v>BM9003MWS</v>
      </c>
      <c r="D2168" s="1882"/>
      <c r="E2168" s="1628" t="s">
        <v>8339</v>
      </c>
      <c r="F2168" s="1882"/>
      <c r="G2168" s="1882" t="str">
        <f>IF('4F'!M9="","##BLANK",'4F'!M9)</f>
        <v>##BLANK</v>
      </c>
    </row>
    <row r="2169" spans="2:7">
      <c r="B2169" s="821" t="str">
        <f>+'4F'!BL11</f>
        <v>BM9033MWS</v>
      </c>
      <c r="D2169" s="1882"/>
      <c r="E2169" s="1628" t="s">
        <v>8339</v>
      </c>
      <c r="F2169" s="1882"/>
      <c r="G2169" s="1882" t="str">
        <f>IF('4F'!M11="","##BLANK",'4F'!M11)</f>
        <v>##BLANK</v>
      </c>
    </row>
    <row r="2170" spans="2:7">
      <c r="B2170" s="821" t="str">
        <f>+'4F'!BL12</f>
        <v>BM9021MWS</v>
      </c>
      <c r="D2170" s="1882"/>
      <c r="E2170" s="1628" t="s">
        <v>8339</v>
      </c>
      <c r="F2170" s="1882"/>
      <c r="G2170" s="1882">
        <f>IF('4F'!M12="","##BLANK",'4F'!M12)</f>
        <v>0</v>
      </c>
    </row>
    <row r="2171" spans="2:7">
      <c r="B2171" s="821" t="str">
        <f>+'4F'!BL14</f>
        <v>BM9022MWS</v>
      </c>
      <c r="D2171" s="1882"/>
      <c r="E2171" s="1628" t="s">
        <v>8339</v>
      </c>
      <c r="F2171" s="1882"/>
      <c r="G2171" s="1882" t="str">
        <f>IF('4F'!M14="","##BLANK",'4F'!M14)</f>
        <v>##BLANK</v>
      </c>
    </row>
    <row r="2172" spans="2:7">
      <c r="B2172" s="821" t="str">
        <f>+'4F'!BL15</f>
        <v>BM9023MWS</v>
      </c>
      <c r="D2172" s="1882"/>
      <c r="E2172" s="1628" t="s">
        <v>8339</v>
      </c>
      <c r="F2172" s="1882"/>
      <c r="G2172" s="1882">
        <f>IF('4F'!M15="","##BLANK",'4F'!M15)</f>
        <v>0</v>
      </c>
    </row>
    <row r="2173" spans="2:7">
      <c r="B2173" s="821" t="str">
        <f>+'4F'!BL17</f>
        <v>BM4290EXMWS</v>
      </c>
      <c r="D2173" s="1882"/>
      <c r="E2173" s="1628" t="s">
        <v>8339</v>
      </c>
      <c r="F2173" s="1882"/>
      <c r="G2173" s="1882" t="str">
        <f>IF('4F'!M17="","##BLANK",'4F'!M17)</f>
        <v>##BLANK</v>
      </c>
    </row>
    <row r="2174" spans="2:7">
      <c r="B2174" s="821" t="str">
        <f>+'4F'!BL18</f>
        <v>BM4290AQMWS</v>
      </c>
      <c r="D2174" s="1882"/>
      <c r="E2174" s="1628" t="s">
        <v>8339</v>
      </c>
      <c r="F2174" s="1882"/>
      <c r="G2174" s="1882" t="str">
        <f>IF('4F'!M18="","##BLANK",'4F'!M18)</f>
        <v>##BLANK</v>
      </c>
    </row>
    <row r="2175" spans="2:7">
      <c r="B2175" s="821" t="str">
        <f>+'4F'!BL19</f>
        <v>BM9027EXMWS</v>
      </c>
      <c r="D2175" s="1882"/>
      <c r="E2175" s="1628" t="s">
        <v>8339</v>
      </c>
      <c r="F2175" s="1882"/>
      <c r="G2175" s="1882" t="str">
        <f>IF('4F'!M19="","##BLANK",'4F'!M19)</f>
        <v>##BLANK</v>
      </c>
    </row>
    <row r="2176" spans="2:7">
      <c r="B2176" s="821" t="str">
        <f>+'4F'!BL20</f>
        <v>BM9027AQMWS</v>
      </c>
      <c r="D2176" s="1882"/>
      <c r="E2176" s="1628" t="s">
        <v>8339</v>
      </c>
      <c r="F2176" s="1882"/>
      <c r="G2176" s="1882" t="str">
        <f>IF('4F'!M20="","##BLANK",'4F'!M20)</f>
        <v>##BLANK</v>
      </c>
    </row>
    <row r="2177" spans="2:7">
      <c r="B2177" s="821" t="str">
        <f>+'4F'!BL21</f>
        <v>BM9029MWS</v>
      </c>
      <c r="D2177" s="1882"/>
      <c r="E2177" s="1628" t="s">
        <v>8339</v>
      </c>
      <c r="F2177" s="1882"/>
      <c r="G2177" s="1882">
        <f>IF('4F'!M21="","##BLANK",'4F'!M21)</f>
        <v>0</v>
      </c>
    </row>
    <row r="2178" spans="2:7">
      <c r="B2178" s="821" t="str">
        <f>+'4F'!BL23</f>
        <v>BM4017MWS</v>
      </c>
      <c r="D2178" s="1882"/>
      <c r="E2178" s="1628" t="s">
        <v>8339</v>
      </c>
      <c r="F2178" s="1882"/>
      <c r="G2178" s="1882">
        <f>IF('4F'!M23="","##BLANK",'4F'!M23)</f>
        <v>0</v>
      </c>
    </row>
    <row r="2179" spans="2:7">
      <c r="B2179" s="821" t="str">
        <f>+'4F'!BM7</f>
        <v>BM9030MTOT</v>
      </c>
      <c r="D2179" s="1882"/>
      <c r="E2179" s="1628" t="s">
        <v>8339</v>
      </c>
      <c r="F2179" s="1882"/>
      <c r="G2179" s="1882">
        <f>IF('4F'!N7="","##BLANK",'4F'!N7)</f>
        <v>1.609</v>
      </c>
    </row>
    <row r="2180" spans="2:7">
      <c r="B2180" s="821" t="str">
        <f>+'4F'!BM8</f>
        <v>BM9002MTOT</v>
      </c>
      <c r="D2180" s="1882"/>
      <c r="E2180" s="1628" t="s">
        <v>8339</v>
      </c>
      <c r="F2180" s="1882"/>
      <c r="G2180" s="1882">
        <f>IF('4F'!N8="","##BLANK",'4F'!N8)</f>
        <v>0.26800000000000002</v>
      </c>
    </row>
    <row r="2181" spans="2:7">
      <c r="B2181" s="821" t="str">
        <f>+'4F'!BM9</f>
        <v>BM9003MTOT</v>
      </c>
      <c r="D2181" s="1882"/>
      <c r="E2181" s="1628" t="s">
        <v>8339</v>
      </c>
      <c r="F2181" s="1882"/>
      <c r="G2181" s="1882">
        <f>IF('4F'!N9="","##BLANK",'4F'!N9)</f>
        <v>2.496</v>
      </c>
    </row>
    <row r="2182" spans="2:7">
      <c r="B2182" s="821" t="str">
        <f>+'4F'!BM11</f>
        <v>BM9033MTOT</v>
      </c>
      <c r="D2182" s="1882"/>
      <c r="E2182" s="1628" t="s">
        <v>8339</v>
      </c>
      <c r="F2182" s="1882"/>
      <c r="G2182" s="1882">
        <f>IF('4F'!N11="","##BLANK",'4F'!N11)</f>
        <v>2.5049999999999999</v>
      </c>
    </row>
    <row r="2183" spans="2:7">
      <c r="B2183" s="821" t="str">
        <f>+'4F'!BM12</f>
        <v>BM9021MTOT</v>
      </c>
      <c r="D2183" s="1882"/>
      <c r="E2183" s="1628" t="s">
        <v>8339</v>
      </c>
      <c r="F2183" s="1882"/>
      <c r="G2183" s="1882">
        <f>IF('4F'!N12="","##BLANK",'4F'!N12)</f>
        <v>7.1840000000000002</v>
      </c>
    </row>
    <row r="2184" spans="2:7">
      <c r="B2184" s="821" t="str">
        <f>+'4F'!BM14</f>
        <v>BM9022MTOT</v>
      </c>
      <c r="D2184" s="1882"/>
      <c r="E2184" s="1628" t="s">
        <v>8339</v>
      </c>
      <c r="F2184" s="1882"/>
      <c r="G2184" s="1882">
        <f>IF('4F'!N14="","##BLANK",'4F'!N14)</f>
        <v>0</v>
      </c>
    </row>
    <row r="2185" spans="2:7">
      <c r="B2185" s="821" t="str">
        <f>+'4F'!BM15</f>
        <v>BM9023MTOT</v>
      </c>
      <c r="D2185" s="1882"/>
      <c r="E2185" s="1628" t="s">
        <v>8339</v>
      </c>
      <c r="F2185" s="1882"/>
      <c r="G2185" s="1882">
        <f>IF('4F'!N15="","##BLANK",'4F'!N15)</f>
        <v>7.1840000000000002</v>
      </c>
    </row>
    <row r="2186" spans="2:7">
      <c r="B2186" s="821" t="str">
        <f>+'4F'!BM17</f>
        <v>BM4290EXMTOT</v>
      </c>
      <c r="D2186" s="1882"/>
      <c r="E2186" s="1628" t="s">
        <v>8339</v>
      </c>
      <c r="F2186" s="1882"/>
      <c r="G2186" s="1882">
        <f>IF('4F'!N17="","##BLANK",'4F'!N17)</f>
        <v>8.4598919392563315E-4</v>
      </c>
    </row>
    <row r="2187" spans="2:7">
      <c r="B2187" s="821" t="str">
        <f>+'4F'!BM18</f>
        <v>BM4290AQMTOT</v>
      </c>
      <c r="D2187" s="1882"/>
      <c r="E2187" s="1628" t="s">
        <v>8339</v>
      </c>
      <c r="F2187" s="1882"/>
      <c r="G2187" s="1882">
        <f>IF('4F'!N18="","##BLANK",'4F'!N18)</f>
        <v>7.6036481395531708E-2</v>
      </c>
    </row>
    <row r="2188" spans="2:7">
      <c r="B2188" s="821" t="str">
        <f>+'4F'!BM19</f>
        <v>BM9027EXMTOT</v>
      </c>
      <c r="D2188" s="1882"/>
      <c r="E2188" s="1628" t="s">
        <v>8339</v>
      </c>
      <c r="F2188" s="1882"/>
      <c r="G2188" s="1882">
        <f>IF('4F'!N19="","##BLANK",'4F'!N19)</f>
        <v>1.3506225669429267E-2</v>
      </c>
    </row>
    <row r="2189" spans="2:7">
      <c r="B2189" s="821" t="str">
        <f>+'4F'!BM20</f>
        <v>BM9027AQMTOT</v>
      </c>
      <c r="D2189" s="1882"/>
      <c r="E2189" s="1628" t="s">
        <v>8339</v>
      </c>
      <c r="F2189" s="1882"/>
      <c r="G2189" s="1882">
        <f>IF('4F'!N20="","##BLANK",'4F'!N20)</f>
        <v>9.7614668204457813E-2</v>
      </c>
    </row>
    <row r="2190" spans="2:7">
      <c r="B2190" s="821" t="str">
        <f>+'4F'!BM21</f>
        <v>BM9029MTOT</v>
      </c>
      <c r="D2190" s="1882"/>
      <c r="E2190" s="1628" t="s">
        <v>8339</v>
      </c>
      <c r="F2190" s="1882"/>
      <c r="G2190" s="1882">
        <f>IF('4F'!N21="","##BLANK",'4F'!N21)</f>
        <v>7.3720033644633443</v>
      </c>
    </row>
    <row r="2191" spans="2:7">
      <c r="B2191" s="821" t="str">
        <f>+'4F'!BM23</f>
        <v>BM4017MTOT</v>
      </c>
      <c r="D2191" s="1882"/>
      <c r="E2191" s="1628" t="s">
        <v>8339</v>
      </c>
      <c r="F2191" s="1882"/>
      <c r="G2191" s="1882">
        <f>IF('4F'!N23="","##BLANK",'4F'!N23)</f>
        <v>0.899300857813779</v>
      </c>
    </row>
    <row r="2192" spans="2:7">
      <c r="B2192" s="821" t="str">
        <f>+'4F'!BN7</f>
        <v>BM9030</v>
      </c>
      <c r="D2192" s="1882"/>
      <c r="E2192" s="1628" t="s">
        <v>8339</v>
      </c>
      <c r="F2192" s="1882"/>
      <c r="G2192" s="1882">
        <f>IF('4F'!O7="","##BLANK",'4F'!O7)</f>
        <v>2.8679999999999999</v>
      </c>
    </row>
    <row r="2193" spans="2:7">
      <c r="B2193" s="821" t="str">
        <f>+'4F'!BN8</f>
        <v>BM9002</v>
      </c>
      <c r="D2193" s="1882"/>
      <c r="E2193" s="1628" t="s">
        <v>8339</v>
      </c>
      <c r="F2193" s="1882"/>
      <c r="G2193" s="1882">
        <f>IF('4F'!O8="","##BLANK",'4F'!O8)</f>
        <v>0.45</v>
      </c>
    </row>
    <row r="2194" spans="2:7">
      <c r="B2194" s="821" t="str">
        <f>+'4F'!BN9</f>
        <v>BM9003</v>
      </c>
      <c r="D2194" s="1882"/>
      <c r="E2194" s="1628" t="s">
        <v>8339</v>
      </c>
      <c r="F2194" s="1882"/>
      <c r="G2194" s="1882">
        <f>IF('4F'!O9="","##BLANK",'4F'!O9)</f>
        <v>4.5350000000000001</v>
      </c>
    </row>
    <row r="2195" spans="2:7">
      <c r="B2195" s="821" t="str">
        <f>+'4F'!BN11</f>
        <v>BM9033</v>
      </c>
      <c r="D2195" s="1882"/>
      <c r="E2195" s="1628" t="s">
        <v>8339</v>
      </c>
      <c r="F2195" s="1882"/>
      <c r="G2195" s="1882">
        <f>IF('4F'!O11="","##BLANK",'4F'!O11)</f>
        <v>4.4219999999999997</v>
      </c>
    </row>
    <row r="2196" spans="2:7">
      <c r="B2196" s="821" t="str">
        <f>+'4F'!BN12</f>
        <v>BM9021</v>
      </c>
      <c r="D2196" s="1882"/>
      <c r="E2196" s="1628" t="s">
        <v>8339</v>
      </c>
      <c r="F2196" s="1882"/>
      <c r="G2196" s="1882">
        <f>IF('4F'!O12="","##BLANK",'4F'!O12)</f>
        <v>12.581</v>
      </c>
    </row>
    <row r="2197" spans="2:7">
      <c r="B2197" s="821" t="str">
        <f>+'4F'!BN14</f>
        <v>BM9022</v>
      </c>
      <c r="D2197" s="1882"/>
      <c r="E2197" s="1628" t="s">
        <v>8339</v>
      </c>
      <c r="F2197" s="1882"/>
      <c r="G2197" s="1882">
        <f>IF('4F'!O14="","##BLANK",'4F'!O14)</f>
        <v>0</v>
      </c>
    </row>
    <row r="2198" spans="2:7">
      <c r="B2198" s="821" t="str">
        <f>+'4F'!BN15</f>
        <v>BM9023</v>
      </c>
      <c r="D2198" s="1882"/>
      <c r="E2198" s="1628" t="s">
        <v>8339</v>
      </c>
      <c r="F2198" s="1882"/>
      <c r="G2198" s="1882">
        <f>IF('4F'!O15="","##BLANK",'4F'!O15)</f>
        <v>12.581</v>
      </c>
    </row>
    <row r="2199" spans="2:7">
      <c r="B2199" s="821" t="str">
        <f>+'4F'!BN17</f>
        <v>BM4290EX</v>
      </c>
      <c r="D2199" s="1882"/>
      <c r="E2199" s="1628" t="s">
        <v>8339</v>
      </c>
      <c r="F2199" s="1882"/>
      <c r="G2199" s="1882">
        <f>IF('4F'!O17="","##BLANK",'4F'!O17)</f>
        <v>1.22718E-3</v>
      </c>
    </row>
    <row r="2200" spans="2:7">
      <c r="B2200" s="821" t="str">
        <f>+'4F'!BN18</f>
        <v>BM4290AQ</v>
      </c>
      <c r="D2200" s="1882"/>
      <c r="E2200" s="1628" t="s">
        <v>8339</v>
      </c>
      <c r="F2200" s="1882"/>
      <c r="G2200" s="1882">
        <f>IF('4F'!O18="","##BLANK",'4F'!O18)</f>
        <v>0.11616987000000001</v>
      </c>
    </row>
    <row r="2201" spans="2:7">
      <c r="B2201" s="821" t="str">
        <f>+'4F'!BN19</f>
        <v>BM9027EX</v>
      </c>
      <c r="D2201" s="1882"/>
      <c r="E2201" s="1628" t="s">
        <v>8339</v>
      </c>
      <c r="F2201" s="1882"/>
      <c r="G2201" s="1882">
        <f>IF('4F'!O19="","##BLANK",'4F'!O19)</f>
        <v>2.3443030000000004E-2</v>
      </c>
    </row>
    <row r="2202" spans="2:7">
      <c r="B2202" s="821" t="str">
        <f>+'4F'!BN20</f>
        <v>BM9027AQ</v>
      </c>
      <c r="D2202" s="1882"/>
      <c r="E2202" s="1628" t="s">
        <v>8339</v>
      </c>
      <c r="F2202" s="1882"/>
      <c r="G2202" s="1882">
        <f>IF('4F'!O20="","##BLANK",'4F'!O20)</f>
        <v>0.16844914</v>
      </c>
    </row>
    <row r="2203" spans="2:7">
      <c r="B2203" s="821" t="str">
        <f>+'4F'!BN21</f>
        <v>BM9029</v>
      </c>
      <c r="D2203" s="1882"/>
      <c r="E2203" s="1628" t="s">
        <v>8339</v>
      </c>
      <c r="F2203" s="1882"/>
      <c r="G2203" s="1882">
        <f>IF('4F'!O21="","##BLANK",'4F'!O21)</f>
        <v>12.89028922</v>
      </c>
    </row>
    <row r="2204" spans="2:7">
      <c r="B2204" s="821" t="str">
        <f>+'4F'!BN23</f>
        <v>BM4017</v>
      </c>
      <c r="D2204" s="1882"/>
      <c r="E2204" s="1628" t="s">
        <v>8339</v>
      </c>
      <c r="F2204" s="1882"/>
      <c r="G2204" s="1882">
        <f>IF('4F'!O23="","##BLANK",'4F'!O23)</f>
        <v>1.5609347499999999</v>
      </c>
    </row>
    <row r="2205" spans="2:7">
      <c r="B2205" s="821" t="str">
        <f>+'4F'!BN26</f>
        <v>R3006</v>
      </c>
      <c r="D2205" s="1882"/>
      <c r="E2205" s="1628" t="s">
        <v>8339</v>
      </c>
      <c r="F2205" s="1882"/>
      <c r="G2205" s="1882">
        <f>IF('4F'!O26="","##BLANK",'4F'!O26)</f>
        <v>2.3E-2</v>
      </c>
    </row>
    <row r="2206" spans="2:7">
      <c r="B2206" s="821" t="str">
        <f>+'4F'!BN27</f>
        <v>R3007</v>
      </c>
      <c r="D2206" s="1882"/>
      <c r="E2206" s="1628" t="s">
        <v>8339</v>
      </c>
      <c r="F2206" s="1882"/>
      <c r="G2206" s="1882">
        <f>IF('4F'!O27="","##BLANK",'4F'!O27)</f>
        <v>2.3E-2</v>
      </c>
    </row>
    <row r="2207" spans="2:7">
      <c r="B2207" s="821" t="str">
        <f>+'4F'!BN28</f>
        <v>R3008</v>
      </c>
      <c r="D2207" s="1882"/>
      <c r="E2207" s="1628" t="s">
        <v>8339</v>
      </c>
      <c r="F2207" s="1882"/>
      <c r="G2207" s="1882">
        <f>IF('4F'!O28="","##BLANK",'4F'!O28)</f>
        <v>0</v>
      </c>
    </row>
    <row r="2208" spans="2:7">
      <c r="B2208" s="821" t="str">
        <f>+'4F'!BN29</f>
        <v>R3009</v>
      </c>
      <c r="D2208" s="1882"/>
      <c r="E2208" s="1628" t="s">
        <v>8339</v>
      </c>
      <c r="F2208" s="1882"/>
      <c r="G2208" s="1882">
        <f>IF('4F'!O29="","##BLANK",'4F'!O29)</f>
        <v>0.25900000000000001</v>
      </c>
    </row>
    <row r="2209" spans="2:7">
      <c r="B2209" s="821" t="str">
        <f>+'4F'!BN30</f>
        <v>R3010</v>
      </c>
      <c r="D2209" s="1882"/>
      <c r="E2209" s="1628" t="s">
        <v>8339</v>
      </c>
      <c r="F2209" s="1882"/>
      <c r="G2209" s="1882">
        <f>IF('4F'!O30="","##BLANK",'4F'!O30)</f>
        <v>0.25900000000000001</v>
      </c>
    </row>
    <row r="2210" spans="2:7">
      <c r="B2210" s="821" t="str">
        <f>+'4F'!BN31</f>
        <v>R3011</v>
      </c>
      <c r="D2210" s="1882"/>
      <c r="E2210" s="1628" t="s">
        <v>8339</v>
      </c>
      <c r="F2210" s="1882"/>
      <c r="G2210" s="1882">
        <f>IF('4F'!O31="","##BLANK",'4F'!O31)</f>
        <v>0</v>
      </c>
    </row>
    <row r="2211" spans="2:7">
      <c r="B2211" s="821" t="str">
        <f>+'4G'!AH5</f>
        <v>W9010</v>
      </c>
      <c r="D2211" s="1882"/>
      <c r="E2211" s="1628" t="s">
        <v>8339</v>
      </c>
      <c r="F2211" s="1882"/>
      <c r="G2211" s="1882">
        <f>IF('4G'!G5="","##BLANK",'4G'!G5)</f>
        <v>110.274</v>
      </c>
    </row>
    <row r="2212" spans="2:7">
      <c r="B2212" s="821" t="str">
        <f>+'4G'!AH6</f>
        <v>BM351TASN</v>
      </c>
      <c r="D2212" s="1882"/>
      <c r="E2212" s="1628" t="s">
        <v>8339</v>
      </c>
      <c r="F2212" s="1882"/>
      <c r="G2212" s="1882">
        <f>IF('4G'!G6="","##BLANK",'4G'!G6)</f>
        <v>-64.209999999999994</v>
      </c>
    </row>
    <row r="2213" spans="2:7">
      <c r="B2213" s="821" t="str">
        <f>+'4G'!AH7</f>
        <v>BM349TAS</v>
      </c>
      <c r="D2213" s="1882"/>
      <c r="E2213" s="1628" t="s">
        <v>8339</v>
      </c>
      <c r="F2213" s="1882"/>
      <c r="G2213" s="1882">
        <f>IF('4G'!G7="","##BLANK",'4G'!G7)</f>
        <v>-39.723999999999997</v>
      </c>
    </row>
    <row r="2214" spans="2:7">
      <c r="B2214" s="821" t="str">
        <f>+'4G'!AH9</f>
        <v>BO3166WPL</v>
      </c>
      <c r="D2214" s="1882"/>
      <c r="E2214" s="1628" t="s">
        <v>8339</v>
      </c>
      <c r="F2214" s="1882"/>
      <c r="G2214" s="1882">
        <f>IF('4G'!G9="","##BLANK",'4G'!G9)</f>
        <v>7.0110000000000108</v>
      </c>
    </row>
    <row r="2215" spans="2:7">
      <c r="B2215" s="821" t="str">
        <f>+'4G'!AH11</f>
        <v>A10007WW</v>
      </c>
      <c r="D2215" s="1882"/>
      <c r="E2215" s="1628" t="s">
        <v>8339</v>
      </c>
      <c r="F2215" s="1882"/>
      <c r="G2215" s="1882">
        <f>IF('4G'!G11="","##BLANK",'4G'!G11)</f>
        <v>0</v>
      </c>
    </row>
    <row r="2216" spans="2:7">
      <c r="B2216" s="821" t="str">
        <f>+'4G'!AH12</f>
        <v>A10008WW</v>
      </c>
      <c r="D2216" s="1882"/>
      <c r="E2216" s="1628" t="s">
        <v>8339</v>
      </c>
      <c r="F2216" s="1882"/>
      <c r="G2216" s="1882">
        <f>IF('4G'!G12="","##BLANK",'4G'!G12)</f>
        <v>4.1130000000000004</v>
      </c>
    </row>
    <row r="2217" spans="2:7">
      <c r="B2217" s="821" t="str">
        <f>+'4G'!AH13</f>
        <v>A10009WW</v>
      </c>
      <c r="D2217" s="1882"/>
      <c r="E2217" s="1628" t="s">
        <v>8339</v>
      </c>
      <c r="F2217" s="1882"/>
      <c r="G2217" s="1882">
        <f>IF('4G'!G13="","##BLANK",'4G'!G13)</f>
        <v>-18.315999999999999</v>
      </c>
    </row>
    <row r="2218" spans="2:7">
      <c r="B2218" s="821" t="str">
        <f>+'4G'!AH14</f>
        <v>A10010WW</v>
      </c>
      <c r="D2218" s="1882"/>
      <c r="E2218" s="1628" t="s">
        <v>8339</v>
      </c>
      <c r="F2218" s="1882"/>
      <c r="G2218" s="1882">
        <f>IF('4G'!G14="","##BLANK",'4G'!G14)</f>
        <v>0.36</v>
      </c>
    </row>
    <row r="2219" spans="2:7">
      <c r="B2219" s="821" t="str">
        <f>+'4G'!AH15</f>
        <v>A10011WW</v>
      </c>
      <c r="D2219" s="1882"/>
      <c r="E2219" s="1628" t="s">
        <v>8339</v>
      </c>
      <c r="F2219" s="1882"/>
      <c r="G2219" s="1882">
        <f>IF('4G'!G15="","##BLANK",'4G'!G15)</f>
        <v>-6.8319999999999892</v>
      </c>
    </row>
    <row r="2220" spans="2:7">
      <c r="B2220" s="821" t="str">
        <f>+'4G'!AH17</f>
        <v>A10012WW</v>
      </c>
      <c r="D2220" s="1882"/>
      <c r="E2220" s="1628" t="s">
        <v>8339</v>
      </c>
      <c r="F2220" s="1882"/>
      <c r="G2220" s="1882">
        <f>IF('4G'!G17="","##BLANK",'4G'!G17)</f>
        <v>0</v>
      </c>
    </row>
    <row r="2221" spans="2:7">
      <c r="B2221" s="821" t="str">
        <f>+'4G'!AH18</f>
        <v>A10013WW</v>
      </c>
      <c r="D2221" s="1882"/>
      <c r="E2221" s="1628" t="s">
        <v>8339</v>
      </c>
      <c r="F2221" s="1882"/>
      <c r="G2221" s="1882">
        <f>IF('4G'!G18="","##BLANK",'4G'!G18)</f>
        <v>-6.8319999999999892</v>
      </c>
    </row>
    <row r="2222" spans="2:7">
      <c r="B2222" s="821" t="str">
        <f>+'4G'!AI5</f>
        <v>S9010</v>
      </c>
      <c r="D2222" s="1882"/>
      <c r="E2222" s="1628" t="s">
        <v>8339</v>
      </c>
      <c r="F2222" s="1882"/>
      <c r="G2222" s="1882">
        <f>IF('4G'!H5="","##BLANK",'4G'!H5)</f>
        <v>0</v>
      </c>
    </row>
    <row r="2223" spans="2:7">
      <c r="B2223" s="821" t="str">
        <f>+'4G'!AI6</f>
        <v>BM850TASN</v>
      </c>
      <c r="D2223" s="1882"/>
      <c r="E2223" s="1628" t="s">
        <v>8339</v>
      </c>
      <c r="F2223" s="1882"/>
      <c r="G2223" s="1882">
        <f>IF('4G'!H6="","##BLANK",'4G'!H6)</f>
        <v>0</v>
      </c>
    </row>
    <row r="2224" spans="2:7">
      <c r="B2224" s="821" t="str">
        <f>+'4G'!AI7</f>
        <v>BM815TAS</v>
      </c>
      <c r="D2224" s="1882"/>
      <c r="E2224" s="1628" t="s">
        <v>8339</v>
      </c>
      <c r="F2224" s="1882"/>
      <c r="G2224" s="1882" t="str">
        <f>IF('4G'!H7="","##BLANK",'4G'!H7)</f>
        <v>##BLANK</v>
      </c>
    </row>
    <row r="2225" spans="2:7">
      <c r="B2225" s="821" t="str">
        <f>+'4G'!AI9</f>
        <v>BO3166SPL</v>
      </c>
      <c r="D2225" s="1882"/>
      <c r="E2225" s="1628" t="s">
        <v>8339</v>
      </c>
      <c r="F2225" s="1882"/>
      <c r="G2225" s="1882">
        <f>IF('4G'!H9="","##BLANK",'4G'!H9)</f>
        <v>0</v>
      </c>
    </row>
    <row r="2226" spans="2:7">
      <c r="B2226" s="821" t="str">
        <f>+'4G'!AI11</f>
        <v>A10007WS</v>
      </c>
      <c r="D2226" s="1882"/>
      <c r="E2226" s="1628" t="s">
        <v>8339</v>
      </c>
      <c r="F2226" s="1882"/>
      <c r="G2226" s="1882" t="str">
        <f>IF('4G'!H11="","##BLANK",'4G'!H11)</f>
        <v>##BLANK</v>
      </c>
    </row>
    <row r="2227" spans="2:7">
      <c r="B2227" s="821" t="str">
        <f>+'4G'!AI12</f>
        <v>A10008WS</v>
      </c>
      <c r="D2227" s="1882"/>
      <c r="E2227" s="1628" t="s">
        <v>8339</v>
      </c>
      <c r="F2227" s="1882"/>
      <c r="G2227" s="1882" t="str">
        <f>IF('4G'!H12="","##BLANK",'4G'!H12)</f>
        <v>##BLANK</v>
      </c>
    </row>
    <row r="2228" spans="2:7">
      <c r="B2228" s="821" t="str">
        <f>+'4G'!AI13</f>
        <v>A10009WS</v>
      </c>
      <c r="D2228" s="1882"/>
      <c r="E2228" s="1628" t="s">
        <v>8339</v>
      </c>
      <c r="F2228" s="1882"/>
      <c r="G2228" s="1882" t="str">
        <f>IF('4G'!H13="","##BLANK",'4G'!H13)</f>
        <v>##BLANK</v>
      </c>
    </row>
    <row r="2229" spans="2:7">
      <c r="B2229" s="821" t="str">
        <f>+'4G'!AI14</f>
        <v>A10010WS</v>
      </c>
      <c r="D2229" s="1882"/>
      <c r="E2229" s="1628" t="s">
        <v>8339</v>
      </c>
      <c r="F2229" s="1882"/>
      <c r="G2229" s="1882" t="str">
        <f>IF('4G'!H14="","##BLANK",'4G'!H14)</f>
        <v>##BLANK</v>
      </c>
    </row>
    <row r="2230" spans="2:7">
      <c r="B2230" s="821" t="str">
        <f>+'4G'!AI15</f>
        <v>A10011WS</v>
      </c>
      <c r="D2230" s="1882"/>
      <c r="E2230" s="1628" t="s">
        <v>8339</v>
      </c>
      <c r="F2230" s="1882"/>
      <c r="G2230" s="1882">
        <f>IF('4G'!H15="","##BLANK",'4G'!H15)</f>
        <v>0</v>
      </c>
    </row>
    <row r="2231" spans="2:7">
      <c r="B2231" s="821" t="str">
        <f>+'4G'!AI17</f>
        <v>A10012WS</v>
      </c>
      <c r="D2231" s="1882"/>
      <c r="E2231" s="1628" t="s">
        <v>8339</v>
      </c>
      <c r="F2231" s="1882"/>
      <c r="G2231" s="1882" t="str">
        <f>IF('4G'!H17="","##BLANK",'4G'!H17)</f>
        <v>##BLANK</v>
      </c>
    </row>
    <row r="2232" spans="2:7">
      <c r="B2232" s="821" t="str">
        <f>+'4G'!AI18</f>
        <v>A10013WS</v>
      </c>
      <c r="D2232" s="1882"/>
      <c r="E2232" s="1628" t="s">
        <v>8339</v>
      </c>
      <c r="F2232" s="1882"/>
      <c r="G2232" s="1882">
        <f>IF('4G'!H18="","##BLANK",'4G'!H18)</f>
        <v>0</v>
      </c>
    </row>
    <row r="2233" spans="2:7">
      <c r="B2233" s="821" t="str">
        <f>+'4G'!AJ5</f>
        <v>S9010TTT</v>
      </c>
      <c r="D2233" s="1882"/>
      <c r="E2233" s="1628" t="s">
        <v>8339</v>
      </c>
      <c r="F2233" s="1882"/>
      <c r="G2233" s="1882">
        <f>IF('4G'!I5="","##BLANK",'4G'!I5)</f>
        <v>0</v>
      </c>
    </row>
    <row r="2234" spans="2:7">
      <c r="B2234" s="821" t="str">
        <f>+'4G'!AJ6</f>
        <v>BM850TTTN</v>
      </c>
      <c r="D2234" s="1882"/>
      <c r="E2234" s="1628" t="s">
        <v>8339</v>
      </c>
      <c r="F2234" s="1882"/>
      <c r="G2234" s="1882">
        <f>IF('4G'!I6="","##BLANK",'4G'!I6)</f>
        <v>0</v>
      </c>
    </row>
    <row r="2235" spans="2:7">
      <c r="B2235" s="821" t="str">
        <f>+'4G'!AJ7</f>
        <v>BM815TASTTT</v>
      </c>
      <c r="D2235" s="1882"/>
      <c r="E2235" s="1628" t="s">
        <v>8339</v>
      </c>
      <c r="F2235" s="1882"/>
      <c r="G2235" s="1882" t="str">
        <f>IF('4G'!I7="","##BLANK",'4G'!I7)</f>
        <v>##BLANK</v>
      </c>
    </row>
    <row r="2236" spans="2:7">
      <c r="B2236" s="821" t="str">
        <f>+'4G'!AJ9</f>
        <v>BO3166SPLTTT</v>
      </c>
      <c r="D2236" s="1882"/>
      <c r="E2236" s="1628" t="s">
        <v>8339</v>
      </c>
      <c r="F2236" s="1882"/>
      <c r="G2236" s="1882">
        <f>IF('4G'!I9="","##BLANK",'4G'!I9)</f>
        <v>0</v>
      </c>
    </row>
    <row r="2237" spans="2:7">
      <c r="B2237" s="821" t="str">
        <f>+'4G'!AJ11</f>
        <v>A10007WSTTT</v>
      </c>
      <c r="D2237" s="1882"/>
      <c r="E2237" s="1628" t="s">
        <v>8339</v>
      </c>
      <c r="F2237" s="1882"/>
      <c r="G2237" s="1882" t="str">
        <f>IF('4G'!I11="","##BLANK",'4G'!I11)</f>
        <v>##BLANK</v>
      </c>
    </row>
    <row r="2238" spans="2:7">
      <c r="B2238" s="821" t="str">
        <f>+'4G'!AJ12</f>
        <v>A10008WSTTT</v>
      </c>
      <c r="D2238" s="1882"/>
      <c r="E2238" s="1628" t="s">
        <v>8339</v>
      </c>
      <c r="F2238" s="1882"/>
      <c r="G2238" s="1882" t="str">
        <f>IF('4G'!I12="","##BLANK",'4G'!I12)</f>
        <v>##BLANK</v>
      </c>
    </row>
    <row r="2239" spans="2:7">
      <c r="B2239" s="821" t="str">
        <f>+'4G'!AJ13</f>
        <v>A10009WSTTT</v>
      </c>
      <c r="D2239" s="1882"/>
      <c r="E2239" s="1628" t="s">
        <v>8339</v>
      </c>
      <c r="F2239" s="1882"/>
      <c r="G2239" s="1882" t="str">
        <f>IF('4G'!I13="","##BLANK",'4G'!I13)</f>
        <v>##BLANK</v>
      </c>
    </row>
    <row r="2240" spans="2:7">
      <c r="B2240" s="821" t="str">
        <f>+'4G'!AJ14</f>
        <v>A10010WSTTT</v>
      </c>
      <c r="D2240" s="1882"/>
      <c r="E2240" s="1628" t="s">
        <v>8339</v>
      </c>
      <c r="F2240" s="1882"/>
      <c r="G2240" s="1882" t="str">
        <f>IF('4G'!I14="","##BLANK",'4G'!I14)</f>
        <v>##BLANK</v>
      </c>
    </row>
    <row r="2241" spans="2:7">
      <c r="B2241" s="821" t="str">
        <f>+'4G'!AJ15</f>
        <v>A10011WSTTT</v>
      </c>
      <c r="D2241" s="1882"/>
      <c r="E2241" s="1628" t="s">
        <v>8339</v>
      </c>
      <c r="F2241" s="1882"/>
      <c r="G2241" s="1882">
        <f>IF('4G'!I15="","##BLANK",'4G'!I15)</f>
        <v>0</v>
      </c>
    </row>
    <row r="2242" spans="2:7">
      <c r="B2242" s="821" t="str">
        <f>+'4G'!AJ17</f>
        <v>A10012WSTTT</v>
      </c>
      <c r="D2242" s="1882"/>
      <c r="E2242" s="1628" t="s">
        <v>8339</v>
      </c>
      <c r="F2242" s="1882"/>
      <c r="G2242" s="1882" t="str">
        <f>IF('4G'!I17="","##BLANK",'4G'!I17)</f>
        <v>##BLANK</v>
      </c>
    </row>
    <row r="2243" spans="2:7">
      <c r="B2243" s="821" t="str">
        <f>+'4G'!AJ18</f>
        <v>A10013WSTTT</v>
      </c>
      <c r="D2243" s="1882"/>
      <c r="E2243" s="1628" t="s">
        <v>8339</v>
      </c>
      <c r="F2243" s="1882"/>
      <c r="G2243" s="1882">
        <f>IF('4G'!I18="","##BLANK",'4G'!I18)</f>
        <v>0</v>
      </c>
    </row>
    <row r="2244" spans="2:7">
      <c r="B2244" s="821" t="str">
        <f>+'4G'!AK5</f>
        <v>T9010</v>
      </c>
      <c r="D2244" s="1882"/>
      <c r="E2244" s="1628" t="s">
        <v>8339</v>
      </c>
      <c r="F2244" s="1882"/>
      <c r="G2244" s="1882">
        <f>IF('4G'!J5="","##BLANK",'4G'!J5)</f>
        <v>110.274</v>
      </c>
    </row>
    <row r="2245" spans="2:7">
      <c r="B2245" s="821" t="str">
        <f>+'4G'!AK6</f>
        <v>BM924TAS</v>
      </c>
      <c r="D2245" s="1882"/>
      <c r="E2245" s="1628" t="s">
        <v>8339</v>
      </c>
      <c r="F2245" s="1882"/>
      <c r="G2245" s="1882">
        <f>IF('4G'!J6="","##BLANK",'4G'!J6)</f>
        <v>-64.209999999999994</v>
      </c>
    </row>
    <row r="2246" spans="2:7">
      <c r="B2246" s="821" t="str">
        <f>+'4G'!AK7</f>
        <v>BM915TAS</v>
      </c>
      <c r="D2246" s="1882"/>
      <c r="E2246" s="1628" t="s">
        <v>8339</v>
      </c>
      <c r="F2246" s="1882"/>
      <c r="G2246" s="1882">
        <f>IF('4G'!J7="","##BLANK",'4G'!J7)</f>
        <v>-39.723999999999997</v>
      </c>
    </row>
    <row r="2247" spans="2:7">
      <c r="B2247" s="821" t="str">
        <f>+'4G'!AK8</f>
        <v>A10005</v>
      </c>
      <c r="D2247" s="1882"/>
      <c r="E2247" s="1628" t="s">
        <v>8339</v>
      </c>
      <c r="F2247" s="1882"/>
      <c r="G2247" s="1882">
        <f>IF('4G'!J8="","##BLANK",'4G'!J8)</f>
        <v>0.67100000000000004</v>
      </c>
    </row>
    <row r="2248" spans="2:7">
      <c r="B2248" s="821" t="str">
        <f>+'4G'!AK9</f>
        <v>BO3166PL</v>
      </c>
      <c r="D2248" s="1882"/>
      <c r="E2248" s="1628" t="s">
        <v>8339</v>
      </c>
      <c r="F2248" s="1882"/>
      <c r="G2248" s="1882">
        <f>IF('4G'!J9="","##BLANK",'4G'!J9)</f>
        <v>7.0110000000000108</v>
      </c>
    </row>
    <row r="2249" spans="2:7">
      <c r="B2249" s="821" t="str">
        <f>+'4G'!AK11</f>
        <v>A10007</v>
      </c>
      <c r="D2249" s="1882"/>
      <c r="E2249" s="1628" t="s">
        <v>8339</v>
      </c>
      <c r="F2249" s="1882"/>
      <c r="G2249" s="1882">
        <f>IF('4G'!J11="","##BLANK",'4G'!J11)</f>
        <v>0</v>
      </c>
    </row>
    <row r="2250" spans="2:7">
      <c r="B2250" s="821" t="str">
        <f>+'4G'!AK12</f>
        <v>A10008</v>
      </c>
      <c r="D2250" s="1882"/>
      <c r="E2250" s="1628" t="s">
        <v>8339</v>
      </c>
      <c r="F2250" s="1882"/>
      <c r="G2250" s="1882">
        <f>IF('4G'!J12="","##BLANK",'4G'!J12)</f>
        <v>4.1130000000000004</v>
      </c>
    </row>
    <row r="2251" spans="2:7">
      <c r="B2251" s="821" t="str">
        <f>+'4G'!AK13</f>
        <v>A10009</v>
      </c>
      <c r="D2251" s="1882"/>
      <c r="E2251" s="1628" t="s">
        <v>8339</v>
      </c>
      <c r="F2251" s="1882"/>
      <c r="G2251" s="1882">
        <f>IF('4G'!J13="","##BLANK",'4G'!J13)</f>
        <v>-18.315999999999999</v>
      </c>
    </row>
    <row r="2252" spans="2:7">
      <c r="B2252" s="821" t="str">
        <f>+'4G'!AK14</f>
        <v>A10010</v>
      </c>
      <c r="D2252" s="1882"/>
      <c r="E2252" s="1628" t="s">
        <v>8339</v>
      </c>
      <c r="F2252" s="1882"/>
      <c r="G2252" s="1882">
        <f>IF('4G'!J14="","##BLANK",'4G'!J14)</f>
        <v>0.36</v>
      </c>
    </row>
    <row r="2253" spans="2:7">
      <c r="B2253" s="821" t="str">
        <f>+'4G'!AK15</f>
        <v>A10011</v>
      </c>
      <c r="D2253" s="1882"/>
      <c r="E2253" s="1628" t="s">
        <v>8339</v>
      </c>
      <c r="F2253" s="1882"/>
      <c r="G2253" s="1882">
        <f>IF('4G'!J15="","##BLANK",'4G'!J15)</f>
        <v>-6.8319999999999892</v>
      </c>
    </row>
    <row r="2254" spans="2:7">
      <c r="B2254" s="821" t="str">
        <f>+'4G'!AK17</f>
        <v>A10012</v>
      </c>
      <c r="D2254" s="1882"/>
      <c r="E2254" s="1628" t="s">
        <v>8339</v>
      </c>
      <c r="F2254" s="1882"/>
      <c r="G2254" s="1882">
        <f>IF('4G'!J17="","##BLANK",'4G'!J17)</f>
        <v>0</v>
      </c>
    </row>
    <row r="2255" spans="2:7">
      <c r="B2255" s="821" t="str">
        <f>+'4G'!AK18</f>
        <v>A10013</v>
      </c>
      <c r="D2255" s="1882"/>
      <c r="E2255" s="1628" t="s">
        <v>8339</v>
      </c>
      <c r="F2255" s="1882"/>
      <c r="G2255" s="1882">
        <f>IF('4G'!J18="","##BLANK",'4G'!J18)</f>
        <v>-6.8319999999999892</v>
      </c>
    </row>
    <row r="2256" spans="2:7">
      <c r="B2256" s="821" t="str">
        <f>'4H'!AH8</f>
        <v>RCT00600</v>
      </c>
      <c r="D2256" s="1882"/>
      <c r="E2256" s="1628" t="s">
        <v>8339</v>
      </c>
      <c r="F2256" s="1882"/>
      <c r="G2256" s="1882">
        <f>IF('4H'!G8="","##BLANK",'4H'!G8)</f>
        <v>177.863</v>
      </c>
    </row>
    <row r="2257" spans="2:7">
      <c r="B2257" s="821" t="str">
        <f>'4H'!AH10</f>
        <v>T19004PT</v>
      </c>
      <c r="D2257" s="1882"/>
      <c r="E2257" s="1628" t="s">
        <v>8339</v>
      </c>
      <c r="F2257" s="1882"/>
      <c r="G2257" s="1882">
        <f>IF('4H'!G10="","##BLANK",'4H'!G10)</f>
        <v>4.047604951524137E-2</v>
      </c>
    </row>
    <row r="2258" spans="2:7">
      <c r="B2258" s="821" t="str">
        <f>'4H'!AH11</f>
        <v>T19004</v>
      </c>
      <c r="D2258" s="1882"/>
      <c r="E2258" s="1628" t="s">
        <v>8339</v>
      </c>
      <c r="F2258" s="1882"/>
      <c r="G2258" s="1882">
        <f>IF('4H'!G11="","##BLANK",'4H'!G11)</f>
        <v>3.2500000000000001E-2</v>
      </c>
    </row>
    <row r="2259" spans="2:7" s="1882" customFormat="1">
      <c r="B2259" s="2378" t="str">
        <f>'4H'!AI11</f>
        <v>T19004AMP</v>
      </c>
      <c r="C2259" s="1293"/>
      <c r="E2259" s="1628" t="s">
        <v>8339</v>
      </c>
      <c r="G2259" s="1882">
        <f>IF('4H'!H11="","##BLANK",'4H'!H11)</f>
        <v>4.7E-2</v>
      </c>
    </row>
    <row r="2260" spans="2:7">
      <c r="B2260" s="821" t="str">
        <f>'4H'!AH12</f>
        <v>CR1050</v>
      </c>
      <c r="D2260" s="1882"/>
      <c r="E2260" s="1628" t="s">
        <v>8339</v>
      </c>
      <c r="F2260" s="1882"/>
      <c r="G2260" s="1882">
        <f>IF('4H'!G12="","##BLANK",'4H'!G12)</f>
        <v>1.7845607840304058E-2</v>
      </c>
    </row>
    <row r="2261" spans="2:7">
      <c r="B2261" s="821" t="str">
        <f>'4H'!AH13</f>
        <v>R5004HH</v>
      </c>
      <c r="D2261" s="1882"/>
      <c r="E2261" s="1628" t="s">
        <v>8339</v>
      </c>
      <c r="F2261" s="1882"/>
      <c r="G2261" s="1882">
        <f>IF('4H'!G13="","##BLANK",'4H'!G13)</f>
        <v>-9.6651117505281801E-3</v>
      </c>
    </row>
    <row r="2262" spans="2:7">
      <c r="B2262" s="821" t="str">
        <f>'4H'!AH14</f>
        <v>R5004NH</v>
      </c>
      <c r="D2262" s="1882"/>
      <c r="E2262" s="1628" t="s">
        <v>8339</v>
      </c>
      <c r="F2262" s="1882"/>
      <c r="G2262" s="1882">
        <f>IF('4H'!G14="","##BLANK",'4H'!G14)</f>
        <v>-3.3461284944360417E-2</v>
      </c>
    </row>
    <row r="2263" spans="2:7">
      <c r="B2263" s="821" t="str">
        <f>'4H'!AH15</f>
        <v>A8012FM</v>
      </c>
      <c r="D2263" s="1882"/>
      <c r="E2263" s="1628" t="s">
        <v>8339</v>
      </c>
      <c r="F2263" s="1882"/>
      <c r="G2263" s="1882" t="str">
        <f>IF('4H'!G15="","##BLANK",'4H'!G15)</f>
        <v>Baa2</v>
      </c>
    </row>
    <row r="2264" spans="2:7">
      <c r="B2264" s="821" t="str">
        <f>'4H'!AH16</f>
        <v>CR19006</v>
      </c>
      <c r="D2264" s="1882"/>
      <c r="E2264" s="1628" t="s">
        <v>8339</v>
      </c>
      <c r="F2264" s="1882"/>
      <c r="G2264" s="1882">
        <f>IF('4H'!G16="","##BLANK",'4H'!G16)</f>
        <v>3.8825628843641505E-2</v>
      </c>
    </row>
    <row r="2265" spans="2:7">
      <c r="B2265" s="821" t="str">
        <f>'4H'!AH17</f>
        <v>CR2610</v>
      </c>
      <c r="D2265" s="1882"/>
      <c r="E2265" s="1628" t="s">
        <v>8339</v>
      </c>
      <c r="F2265" s="1882"/>
      <c r="G2265" s="1882">
        <f>IF('4H'!G17="","##BLANK",'4H'!G17)</f>
        <v>-5.3191630725233884E-2</v>
      </c>
    </row>
    <row r="2266" spans="2:7">
      <c r="B2266" s="821" t="str">
        <f>'4H'!AH18</f>
        <v>A14025</v>
      </c>
      <c r="D2266" s="1882"/>
      <c r="E2266" s="1628" t="s">
        <v>8339</v>
      </c>
      <c r="F2266" s="1882"/>
      <c r="G2266" s="1882">
        <f>IF('4H'!G18="","##BLANK",'4H'!G18)</f>
        <v>36.745999999999995</v>
      </c>
    </row>
    <row r="2267" spans="2:7">
      <c r="B2267" s="821" t="str">
        <f>'4H'!AH19</f>
        <v>CR1051</v>
      </c>
      <c r="D2267" s="1882"/>
      <c r="E2267" s="1628" t="s">
        <v>8339</v>
      </c>
      <c r="F2267" s="1882"/>
      <c r="G2267" s="1882">
        <f>IF('4H'!G19="","##BLANK",'4H'!G19)</f>
        <v>4.0578347341266534</v>
      </c>
    </row>
    <row r="2268" spans="2:7">
      <c r="B2268" s="821" t="str">
        <f>'4H'!AH20</f>
        <v>CR1052</v>
      </c>
      <c r="D2268" s="1882"/>
      <c r="E2268" s="1628" t="s">
        <v>8339</v>
      </c>
      <c r="F2268" s="1882"/>
      <c r="G2268" s="1882">
        <f>IF('4H'!G20="","##BLANK",'4H'!G20)</f>
        <v>1.6128271748464349</v>
      </c>
    </row>
    <row r="2269" spans="2:7">
      <c r="B2269" s="821" t="str">
        <f>'4H'!AH21</f>
        <v>CR1053</v>
      </c>
      <c r="D2269" s="1882"/>
      <c r="E2269" s="1628" t="s">
        <v>8339</v>
      </c>
      <c r="F2269" s="1882"/>
      <c r="G2269" s="1882">
        <f>IF('4H'!G21="","##BLANK",'4H'!G21)</f>
        <v>9.5945815393211759E-2</v>
      </c>
    </row>
    <row r="2270" spans="2:7">
      <c r="B2270" s="821" t="str">
        <f>'4H'!AH22</f>
        <v>CR1054</v>
      </c>
      <c r="D2270" s="1882"/>
      <c r="E2270" s="1628" t="s">
        <v>8339</v>
      </c>
      <c r="F2270" s="1882"/>
      <c r="G2270" s="1882">
        <f>IF('4H'!G22="","##BLANK",'4H'!G22)</f>
        <v>0.13663007219955636</v>
      </c>
    </row>
    <row r="2271" spans="2:7">
      <c r="B2271" s="821" t="str">
        <f>'4H'!AH23</f>
        <v>CR1055</v>
      </c>
      <c r="D2271" s="1882"/>
      <c r="E2271" s="1628" t="s">
        <v>8339</v>
      </c>
      <c r="F2271" s="1882"/>
      <c r="G2271" s="1882">
        <f>IF('4H'!G23="","##BLANK",'4H'!G23)</f>
        <v>30.653999999999996</v>
      </c>
    </row>
    <row r="2272" spans="2:7">
      <c r="B2272" s="821" t="str">
        <f>'4H'!AH24</f>
        <v>CR1056</v>
      </c>
      <c r="D2272" s="1882"/>
      <c r="E2272" s="1628" t="s">
        <v>8339</v>
      </c>
      <c r="F2272" s="1882"/>
      <c r="G2272" s="1882">
        <f>IF('4H'!G24="","##BLANK",'4H'!G24)</f>
        <v>0.42979725750820219</v>
      </c>
    </row>
    <row r="2273" spans="2:7">
      <c r="B2273" s="821" t="str">
        <f>'4H'!AH28</f>
        <v>CR1057</v>
      </c>
      <c r="D2273" s="1882"/>
      <c r="E2273" s="1628" t="s">
        <v>8339</v>
      </c>
      <c r="F2273" s="1882"/>
      <c r="G2273" s="1882">
        <f>IF('4H'!G28="","##BLANK",'4H'!G28)</f>
        <v>42.320000000000007</v>
      </c>
    </row>
    <row r="2274" spans="2:7">
      <c r="B2274" s="821" t="str">
        <f>'4H'!AH31</f>
        <v>CR1066</v>
      </c>
      <c r="D2274" s="1882"/>
      <c r="E2274" s="1628" t="s">
        <v>8339</v>
      </c>
      <c r="F2274" s="1882"/>
      <c r="G2274" s="1882">
        <f>IF('4H'!G31="","##BLANK",'4H'!G31)</f>
        <v>5.8000000000000003E-2</v>
      </c>
    </row>
    <row r="2275" spans="2:7">
      <c r="B2275" s="821" t="str">
        <f>'4H'!AH32</f>
        <v>CR1067</v>
      </c>
      <c r="D2275" s="1882"/>
      <c r="E2275" s="1628" t="s">
        <v>8339</v>
      </c>
      <c r="F2275" s="1882"/>
      <c r="G2275" s="1882">
        <f>IF('4H'!G32="","##BLANK",'4H'!G32)</f>
        <v>-2.7199999999999998E-2</v>
      </c>
    </row>
    <row r="2276" spans="2:7">
      <c r="B2276" s="821" t="str">
        <f>'4H'!AH33</f>
        <v>CR1068</v>
      </c>
      <c r="D2276" s="1882"/>
      <c r="E2276" s="1628" t="s">
        <v>8339</v>
      </c>
      <c r="F2276" s="1882"/>
      <c r="G2276" s="1882">
        <f>IF('4H'!G33="","##BLANK",'4H'!G33)</f>
        <v>-7.6E-3</v>
      </c>
    </row>
    <row r="2277" spans="2:7">
      <c r="B2277" s="821" t="str">
        <f>'4H'!AH34</f>
        <v>CR1069</v>
      </c>
      <c r="D2277" s="1882"/>
      <c r="E2277" s="1628" t="s">
        <v>8339</v>
      </c>
      <c r="F2277" s="1882"/>
      <c r="G2277" s="1882">
        <f>IF('4H'!G34="","##BLANK",'4H'!G34)</f>
        <v>7.1999999999999998E-3</v>
      </c>
    </row>
    <row r="2278" spans="2:7">
      <c r="B2278" s="821" t="str">
        <f>'4H'!AH35</f>
        <v>CR1070</v>
      </c>
      <c r="D2278" s="1882"/>
      <c r="E2278" s="1628" t="s">
        <v>8339</v>
      </c>
      <c r="F2278" s="1882"/>
      <c r="G2278" s="1882">
        <f>IF('4H'!G35="","##BLANK",'4H'!G35)</f>
        <v>5.4999999999999997E-3</v>
      </c>
    </row>
    <row r="2279" spans="2:7" s="1882" customFormat="1">
      <c r="B2279" s="821" t="str">
        <f>'4H'!AH36</f>
        <v>CR1073</v>
      </c>
      <c r="C2279" s="1293"/>
      <c r="E2279" s="1628" t="s">
        <v>8339</v>
      </c>
      <c r="G2279" s="1882">
        <f>IF('4H'!G36="","##BLANK",'4H'!G36)</f>
        <v>-3.3999999999999998E-3</v>
      </c>
    </row>
    <row r="2280" spans="2:7">
      <c r="B2280" s="821" t="str">
        <f>'4H'!AH37</f>
        <v>CR1071</v>
      </c>
      <c r="D2280" s="1882"/>
      <c r="E2280" s="1628" t="s">
        <v>8339</v>
      </c>
      <c r="F2280" s="1882"/>
      <c r="G2280" s="1882">
        <f>IF('4H'!G37="","##BLANK",'4H'!G37)</f>
        <v>3.2500000000000001E-2</v>
      </c>
    </row>
    <row r="2281" spans="2:7">
      <c r="B2281" s="821" t="str">
        <f>'4H'!AH40</f>
        <v>CR1058</v>
      </c>
      <c r="D2281" s="1882"/>
      <c r="E2281" s="1628" t="s">
        <v>8339</v>
      </c>
      <c r="F2281" s="1882"/>
      <c r="G2281" s="1882">
        <f>IF('4H'!G40="","##BLANK",'4H'!G40)</f>
        <v>0.24566955574946131</v>
      </c>
    </row>
    <row r="2282" spans="2:7">
      <c r="B2282" s="821" t="str">
        <f>'4H'!AH41</f>
        <v>CR1059</v>
      </c>
      <c r="D2282" s="1882"/>
      <c r="E2282" s="1628" t="s">
        <v>8339</v>
      </c>
      <c r="F2282" s="1882"/>
      <c r="G2282" s="1882">
        <f>IF('4H'!G41="","##BLANK",'4H'!G41)</f>
        <v>0.26137083459471011</v>
      </c>
    </row>
    <row r="2283" spans="2:7">
      <c r="B2283" s="821" t="str">
        <f>'4H'!AH42</f>
        <v>CR1060</v>
      </c>
      <c r="D2283" s="1882"/>
      <c r="E2283" s="1628" t="s">
        <v>8339</v>
      </c>
      <c r="F2283" s="1882"/>
      <c r="G2283" s="1882">
        <f>IF('4H'!G42="","##BLANK",'4H'!G42)</f>
        <v>0.49295960965582852</v>
      </c>
    </row>
    <row r="2284" spans="2:7">
      <c r="B2284" s="821" t="str">
        <f>'4H'!AH43</f>
        <v>CR1061</v>
      </c>
      <c r="D2284" s="1882"/>
      <c r="E2284" s="1628" t="s">
        <v>8339</v>
      </c>
      <c r="F2284" s="1882"/>
      <c r="G2284" s="1882">
        <f>IF('4H'!G43="","##BLANK",'4H'!G43)</f>
        <v>2.2000000000000001E-3</v>
      </c>
    </row>
    <row r="2285" spans="2:7">
      <c r="B2285" s="821" t="str">
        <f>'4H'!AH44</f>
        <v>CR1062</v>
      </c>
      <c r="D2285" s="1882"/>
      <c r="E2285" s="1628" t="s">
        <v>8339</v>
      </c>
      <c r="F2285" s="1882"/>
      <c r="G2285" s="1882">
        <f>IF('4H'!G44="","##BLANK",'4H'!G44)</f>
        <v>2.7699999999999999E-2</v>
      </c>
    </row>
    <row r="2286" spans="2:7">
      <c r="B2286" s="821" t="str">
        <f>'4H'!AH45</f>
        <v>CR1063</v>
      </c>
      <c r="D2286" s="1882"/>
      <c r="E2286" s="1628" t="s">
        <v>8339</v>
      </c>
      <c r="F2286" s="1882"/>
      <c r="G2286" s="1882">
        <f>IF('4H'!G45="","##BLANK",'4H'!G45)</f>
        <v>0.1043</v>
      </c>
    </row>
    <row r="2287" spans="2:7">
      <c r="B2287" s="821" t="str">
        <f>'4H'!AH46</f>
        <v>CR1064</v>
      </c>
      <c r="D2287" s="1882"/>
      <c r="E2287" s="1628" t="s">
        <v>8339</v>
      </c>
      <c r="F2287" s="1882"/>
      <c r="G2287" s="1882">
        <f>IF('4H'!G46="","##BLANK",'4H'!G46)</f>
        <v>0.70109999999999995</v>
      </c>
    </row>
    <row r="2288" spans="2:7">
      <c r="B2288" s="821" t="str">
        <f>'4H'!AH47</f>
        <v>CR1065</v>
      </c>
      <c r="D2288" s="1882"/>
      <c r="E2288" s="1628" t="s">
        <v>8339</v>
      </c>
      <c r="F2288" s="1882"/>
      <c r="G2288" s="1882">
        <f>IF('4H'!G47="","##BLANK",'4H'!G47)</f>
        <v>0.16470000000000001</v>
      </c>
    </row>
    <row r="2289" spans="2:7">
      <c r="B2289" s="821" t="str">
        <f>'4H'!AI31</f>
        <v>CR1076</v>
      </c>
      <c r="D2289" s="1882"/>
      <c r="E2289" s="1628" t="s">
        <v>8339</v>
      </c>
      <c r="F2289" s="1882"/>
      <c r="G2289" s="1882">
        <f>IF('4H'!H31="","##BLANK",'4H'!H31)</f>
        <v>5.8000000000000003E-2</v>
      </c>
    </row>
    <row r="2290" spans="2:7">
      <c r="B2290" s="821" t="str">
        <f>'4H'!AI32</f>
        <v>CR1077</v>
      </c>
      <c r="D2290" s="1882"/>
      <c r="E2290" s="1628" t="s">
        <v>8339</v>
      </c>
      <c r="F2290" s="1882"/>
      <c r="G2290" s="1882">
        <f>IF('4H'!H32="","##BLANK",'4H'!H32)</f>
        <v>-1.9E-3</v>
      </c>
    </row>
    <row r="2291" spans="2:7">
      <c r="B2291" s="821" t="str">
        <f>'4H'!AI33</f>
        <v>CR1078</v>
      </c>
      <c r="D2291" s="1882"/>
      <c r="E2291" s="1628" t="s">
        <v>8339</v>
      </c>
      <c r="F2291" s="1882"/>
      <c r="G2291" s="1882">
        <f>IF('4H'!H33="","##BLANK",'4H'!H33)</f>
        <v>-2E-3</v>
      </c>
    </row>
    <row r="2292" spans="2:7">
      <c r="B2292" s="821" t="str">
        <f>'4H'!AI34</f>
        <v>CR1079</v>
      </c>
      <c r="D2292" s="1882"/>
      <c r="E2292" s="1628" t="s">
        <v>8339</v>
      </c>
      <c r="F2292" s="1882"/>
      <c r="G2292" s="1882">
        <f>IF('4H'!H34="","##BLANK",'4H'!H34)</f>
        <v>-4.5999999999999999E-3</v>
      </c>
    </row>
    <row r="2293" spans="2:7">
      <c r="B2293" s="821" t="str">
        <f>'4H'!AI35</f>
        <v>CR1080</v>
      </c>
      <c r="D2293" s="1882"/>
      <c r="E2293" s="1628" t="s">
        <v>8339</v>
      </c>
      <c r="F2293" s="1882"/>
      <c r="G2293" s="1882">
        <f>IF('4H'!H35="","##BLANK",'4H'!H35)</f>
        <v>-5.9999999999999995E-4</v>
      </c>
    </row>
    <row r="2294" spans="2:7" s="1882" customFormat="1">
      <c r="B2294" s="821" t="str">
        <f>'4H'!AI36</f>
        <v>CR1083</v>
      </c>
      <c r="C2294" s="1293"/>
      <c r="E2294" s="1628" t="s">
        <v>8339</v>
      </c>
      <c r="G2294" s="1882">
        <f>IF('4H'!H36="","##BLANK",'4H'!H36)</f>
        <v>-1.9E-3</v>
      </c>
    </row>
    <row r="2295" spans="2:7">
      <c r="B2295" s="821" t="str">
        <f>'4H'!AI37</f>
        <v>CR1081</v>
      </c>
      <c r="D2295" s="1882"/>
      <c r="E2295" s="1628" t="s">
        <v>8339</v>
      </c>
      <c r="F2295" s="1882"/>
      <c r="G2295" s="1882">
        <f>IF('4H'!H37="","##BLANK",'4H'!H37)</f>
        <v>4.7E-2</v>
      </c>
    </row>
    <row r="2296" spans="2:7">
      <c r="B2296" s="821" t="str">
        <f>'4I'!BF8</f>
        <v>CR2021N1</v>
      </c>
      <c r="D2296" s="1882"/>
      <c r="E2296" s="1628" t="s">
        <v>8339</v>
      </c>
      <c r="F2296" s="1882"/>
      <c r="G2296" s="1882">
        <f>IF('4I'!G8="","##BLANK",'4I'!G8)</f>
        <v>0</v>
      </c>
    </row>
    <row r="2297" spans="2:7">
      <c r="B2297" s="821" t="str">
        <f>'4I'!BF9</f>
        <v>CR2022N1</v>
      </c>
      <c r="D2297" s="1882"/>
      <c r="E2297" s="1628" t="s">
        <v>8339</v>
      </c>
      <c r="F2297" s="1882"/>
      <c r="G2297" s="1882">
        <f>IF('4I'!G9="","##BLANK",'4I'!G9)</f>
        <v>0</v>
      </c>
    </row>
    <row r="2298" spans="2:7">
      <c r="B2298" s="821" t="str">
        <f>'4I'!BF10</f>
        <v>CR2023N1</v>
      </c>
      <c r="D2298" s="1882"/>
      <c r="E2298" s="1628" t="s">
        <v>8339</v>
      </c>
      <c r="F2298" s="1882"/>
      <c r="G2298" s="1882">
        <f>IF('4I'!G10="","##BLANK",'4I'!G10)</f>
        <v>0</v>
      </c>
    </row>
    <row r="2299" spans="2:7">
      <c r="B2299" s="821" t="str">
        <f>'4I'!BF11</f>
        <v>CR2024N1</v>
      </c>
      <c r="D2299" s="1882"/>
      <c r="E2299" s="1628" t="s">
        <v>8339</v>
      </c>
      <c r="F2299" s="1882"/>
      <c r="G2299" s="1882">
        <f>IF('4I'!G11="","##BLANK",'4I'!G11)</f>
        <v>0</v>
      </c>
    </row>
    <row r="2300" spans="2:7">
      <c r="B2300" s="821" t="str">
        <f>'4I'!BF12</f>
        <v>CR2025N1</v>
      </c>
      <c r="D2300" s="1882"/>
      <c r="E2300" s="1628" t="s">
        <v>8339</v>
      </c>
      <c r="F2300" s="1882"/>
      <c r="G2300" s="1882">
        <f>IF('4I'!G12="","##BLANK",'4I'!G12)</f>
        <v>0</v>
      </c>
    </row>
    <row r="2301" spans="2:7">
      <c r="B2301" s="821" t="str">
        <f>'4I'!BF13</f>
        <v>CR2026N1</v>
      </c>
      <c r="D2301" s="1882"/>
      <c r="E2301" s="1628" t="s">
        <v>8339</v>
      </c>
      <c r="F2301" s="1882"/>
      <c r="G2301" s="1882">
        <f>IF('4I'!G13="","##BLANK",'4I'!G13)</f>
        <v>0</v>
      </c>
    </row>
    <row r="2302" spans="2:7">
      <c r="B2302" s="821" t="str">
        <f>'4I'!BF14</f>
        <v>CR2027N1</v>
      </c>
      <c r="D2302" s="1882"/>
      <c r="E2302" s="1628" t="s">
        <v>8339</v>
      </c>
      <c r="F2302" s="1882"/>
      <c r="G2302" s="1882">
        <f>IF('4I'!G14="","##BLANK",'4I'!G14)</f>
        <v>0</v>
      </c>
    </row>
    <row r="2303" spans="2:7">
      <c r="B2303" s="821" t="str">
        <f>'4I'!BF17</f>
        <v>CR2005N1</v>
      </c>
      <c r="D2303" s="1882"/>
      <c r="E2303" s="1628" t="s">
        <v>8339</v>
      </c>
      <c r="F2303" s="1882"/>
      <c r="G2303" s="1882">
        <f>IF('4I'!G17="","##BLANK",'4I'!G17)</f>
        <v>0</v>
      </c>
    </row>
    <row r="2304" spans="2:7">
      <c r="B2304" s="821" t="str">
        <f>'4I'!BF18</f>
        <v>CR2006N1</v>
      </c>
      <c r="D2304" s="1882"/>
      <c r="E2304" s="1628" t="s">
        <v>8339</v>
      </c>
      <c r="F2304" s="1882"/>
      <c r="G2304" s="1882">
        <f>IF('4I'!G18="","##BLANK",'4I'!G18)</f>
        <v>0</v>
      </c>
    </row>
    <row r="2305" spans="2:7">
      <c r="B2305" s="821" t="str">
        <f>'4I'!BF19</f>
        <v>CR2007N1</v>
      </c>
      <c r="D2305" s="1882"/>
      <c r="E2305" s="1628" t="s">
        <v>8339</v>
      </c>
      <c r="F2305" s="1882"/>
      <c r="G2305" s="1882">
        <f>IF('4I'!G19="","##BLANK",'4I'!G19)</f>
        <v>0</v>
      </c>
    </row>
    <row r="2306" spans="2:7">
      <c r="B2306" s="821" t="str">
        <f>'4I'!BF20</f>
        <v>CR2008N1</v>
      </c>
      <c r="D2306" s="1882"/>
      <c r="E2306" s="1628" t="s">
        <v>8339</v>
      </c>
      <c r="F2306" s="1882"/>
      <c r="G2306" s="1882">
        <f>IF('4I'!G20="","##BLANK",'4I'!G20)</f>
        <v>0</v>
      </c>
    </row>
    <row r="2307" spans="2:7">
      <c r="B2307" s="821" t="str">
        <f>'4I'!BF21</f>
        <v>CR2009N1</v>
      </c>
      <c r="D2307" s="1882"/>
      <c r="E2307" s="1628" t="s">
        <v>8339</v>
      </c>
      <c r="F2307" s="1882"/>
      <c r="G2307" s="1882">
        <f>IF('4I'!G21="","##BLANK",'4I'!G21)</f>
        <v>0</v>
      </c>
    </row>
    <row r="2308" spans="2:7">
      <c r="B2308" s="821" t="str">
        <f>'4I'!BF24</f>
        <v>CR20010N1</v>
      </c>
      <c r="D2308" s="1882"/>
      <c r="E2308" s="1628" t="s">
        <v>8339</v>
      </c>
      <c r="F2308" s="1882"/>
      <c r="G2308" s="1882">
        <f>IF('4I'!G24="","##BLANK",'4I'!G24)</f>
        <v>0</v>
      </c>
    </row>
    <row r="2309" spans="2:7">
      <c r="B2309" s="821" t="str">
        <f>'4I'!BF25</f>
        <v>CR20011N1</v>
      </c>
      <c r="D2309" s="1882"/>
      <c r="E2309" s="1628" t="s">
        <v>8339</v>
      </c>
      <c r="F2309" s="1882"/>
      <c r="G2309" s="1882">
        <f>IF('4I'!G25="","##BLANK",'4I'!G25)</f>
        <v>0</v>
      </c>
    </row>
    <row r="2310" spans="2:7">
      <c r="B2310" s="821" t="str">
        <f>'4I'!BF26</f>
        <v>CR20012N1</v>
      </c>
      <c r="D2310" s="1882"/>
      <c r="E2310" s="1628" t="s">
        <v>8339</v>
      </c>
      <c r="F2310" s="1882"/>
      <c r="G2310" s="1882">
        <f>IF('4I'!G26="","##BLANK",'4I'!G26)</f>
        <v>0</v>
      </c>
    </row>
    <row r="2311" spans="2:7">
      <c r="B2311" s="821" t="str">
        <f>'4I'!BF27</f>
        <v>CR20013N1</v>
      </c>
      <c r="D2311" s="1882"/>
      <c r="E2311" s="1628" t="s">
        <v>8339</v>
      </c>
      <c r="F2311" s="1882"/>
      <c r="G2311" s="1882">
        <f>IF('4I'!G27="","##BLANK",'4I'!G27)</f>
        <v>0</v>
      </c>
    </row>
    <row r="2312" spans="2:7">
      <c r="B2312" s="821" t="str">
        <f>'4I'!BF28</f>
        <v>CR20014N1</v>
      </c>
      <c r="D2312" s="1882"/>
      <c r="E2312" s="1628" t="s">
        <v>8339</v>
      </c>
      <c r="F2312" s="1882"/>
      <c r="G2312" s="1882">
        <f>IF('4I'!G28="","##BLANK",'4I'!G28)</f>
        <v>0</v>
      </c>
    </row>
    <row r="2313" spans="2:7">
      <c r="B2313" s="821" t="str">
        <f>'4I'!BF31</f>
        <v>CR20015N1</v>
      </c>
      <c r="D2313" s="1882"/>
      <c r="E2313" s="1628" t="s">
        <v>8339</v>
      </c>
      <c r="F2313" s="1882"/>
      <c r="G2313" s="1882">
        <f>IF('4I'!G31="","##BLANK",'4I'!G31)</f>
        <v>0</v>
      </c>
    </row>
    <row r="2314" spans="2:7">
      <c r="B2314" s="821" t="str">
        <f>'4I'!BF32</f>
        <v>CR20016N1</v>
      </c>
      <c r="D2314" s="1882"/>
      <c r="E2314" s="1628" t="s">
        <v>8339</v>
      </c>
      <c r="F2314" s="1882"/>
      <c r="G2314" s="1882">
        <f>IF('4I'!G32="","##BLANK",'4I'!G32)</f>
        <v>0</v>
      </c>
    </row>
    <row r="2315" spans="2:7">
      <c r="B2315" s="821" t="str">
        <f>'4I'!BF33</f>
        <v>CR20017N1</v>
      </c>
      <c r="D2315" s="1882"/>
      <c r="E2315" s="1628" t="s">
        <v>8339</v>
      </c>
      <c r="F2315" s="1882"/>
      <c r="G2315" s="1882">
        <f>IF('4I'!G33="","##BLANK",'4I'!G33)</f>
        <v>0</v>
      </c>
    </row>
    <row r="2316" spans="2:7">
      <c r="B2316" s="821" t="str">
        <f>'4I'!BF37</f>
        <v>CR20018N1</v>
      </c>
      <c r="D2316" s="1882"/>
      <c r="E2316" s="1628" t="s">
        <v>8339</v>
      </c>
      <c r="F2316" s="1882"/>
      <c r="G2316" s="1882">
        <f>IF('4I'!G37="","##BLANK",'4I'!G37)</f>
        <v>0</v>
      </c>
    </row>
    <row r="2317" spans="2:7">
      <c r="B2317" s="821" t="str">
        <f>'4I'!BF38</f>
        <v>CR20019N1</v>
      </c>
      <c r="D2317" s="1882"/>
      <c r="E2317" s="1628" t="s">
        <v>8339</v>
      </c>
      <c r="F2317" s="1882"/>
      <c r="G2317" s="1882">
        <f>IF('4I'!G38="","##BLANK",'4I'!G38)</f>
        <v>0</v>
      </c>
    </row>
    <row r="2318" spans="2:7">
      <c r="B2318" s="821" t="str">
        <f>'4I'!BF41</f>
        <v>CR2028N1</v>
      </c>
      <c r="D2318" s="1882"/>
      <c r="E2318" s="1628" t="s">
        <v>8339</v>
      </c>
      <c r="F2318" s="1882"/>
      <c r="G2318" s="1882">
        <f>IF('4I'!G41="","##BLANK",'4I'!G41)</f>
        <v>0</v>
      </c>
    </row>
    <row r="2319" spans="2:7">
      <c r="B2319" s="821" t="str">
        <f>'4I'!BF44</f>
        <v>CR20020N1</v>
      </c>
      <c r="D2319" s="1882"/>
      <c r="E2319" s="1628" t="s">
        <v>8339</v>
      </c>
      <c r="F2319" s="1882"/>
      <c r="G2319" s="1882">
        <f>IF('4I'!G44="","##BLANK",'4I'!G44)</f>
        <v>0</v>
      </c>
    </row>
    <row r="2320" spans="2:7">
      <c r="B2320" s="821" t="str">
        <f>'4I'!BG8</f>
        <v>CR2021N2</v>
      </c>
      <c r="D2320" s="1882"/>
      <c r="E2320" s="1628" t="s">
        <v>8339</v>
      </c>
      <c r="F2320" s="1882"/>
      <c r="G2320" s="1882">
        <f>IF('4I'!H8="","##BLANK",'4I'!H8)</f>
        <v>0</v>
      </c>
    </row>
    <row r="2321" spans="2:7">
      <c r="B2321" s="821" t="str">
        <f>'4I'!BG9</f>
        <v>CR2022N2</v>
      </c>
      <c r="D2321" s="1882"/>
      <c r="E2321" s="1628" t="s">
        <v>8339</v>
      </c>
      <c r="F2321" s="1882"/>
      <c r="G2321" s="1882">
        <f>IF('4I'!H9="","##BLANK",'4I'!H9)</f>
        <v>0</v>
      </c>
    </row>
    <row r="2322" spans="2:7">
      <c r="B2322" s="821" t="str">
        <f>'4I'!BG10</f>
        <v>CR2023N2</v>
      </c>
      <c r="D2322" s="1882"/>
      <c r="E2322" s="1628" t="s">
        <v>8339</v>
      </c>
      <c r="F2322" s="1882"/>
      <c r="G2322" s="1882">
        <f>IF('4I'!H10="","##BLANK",'4I'!H10)</f>
        <v>0</v>
      </c>
    </row>
    <row r="2323" spans="2:7">
      <c r="B2323" s="821" t="str">
        <f>'4I'!BG11</f>
        <v>CR2024N2</v>
      </c>
      <c r="D2323" s="1882"/>
      <c r="E2323" s="1628" t="s">
        <v>8339</v>
      </c>
      <c r="F2323" s="1882"/>
      <c r="G2323" s="1882">
        <f>IF('4I'!H11="","##BLANK",'4I'!H11)</f>
        <v>0</v>
      </c>
    </row>
    <row r="2324" spans="2:7">
      <c r="B2324" s="821" t="str">
        <f>'4I'!BG12</f>
        <v>CR2025N2</v>
      </c>
      <c r="D2324" s="1882"/>
      <c r="E2324" s="1628" t="s">
        <v>8339</v>
      </c>
      <c r="F2324" s="1882"/>
      <c r="G2324" s="1882">
        <f>IF('4I'!H12="","##BLANK",'4I'!H12)</f>
        <v>0</v>
      </c>
    </row>
    <row r="2325" spans="2:7">
      <c r="B2325" s="821" t="str">
        <f>'4I'!BG13</f>
        <v>CR2026N2</v>
      </c>
      <c r="D2325" s="1882"/>
      <c r="E2325" s="1628" t="s">
        <v>8339</v>
      </c>
      <c r="F2325" s="1882"/>
      <c r="G2325" s="1882">
        <f>IF('4I'!H13="","##BLANK",'4I'!H13)</f>
        <v>0</v>
      </c>
    </row>
    <row r="2326" spans="2:7">
      <c r="B2326" s="821" t="str">
        <f>'4I'!BG14</f>
        <v>CR2027N2</v>
      </c>
      <c r="D2326" s="1882"/>
      <c r="E2326" s="1628" t="s">
        <v>8339</v>
      </c>
      <c r="F2326" s="1882"/>
      <c r="G2326" s="1882">
        <f>IF('4I'!H14="","##BLANK",'4I'!H14)</f>
        <v>0</v>
      </c>
    </row>
    <row r="2327" spans="2:7">
      <c r="B2327" s="821" t="str">
        <f>'4I'!BG17</f>
        <v>CR2005N2</v>
      </c>
      <c r="D2327" s="1882"/>
      <c r="E2327" s="1628" t="s">
        <v>8339</v>
      </c>
      <c r="F2327" s="1882"/>
      <c r="G2327" s="1882">
        <f>IF('4I'!H17="","##BLANK",'4I'!H17)</f>
        <v>0</v>
      </c>
    </row>
    <row r="2328" spans="2:7">
      <c r="B2328" s="821" t="str">
        <f>'4I'!BG18</f>
        <v>CR2006N2</v>
      </c>
      <c r="D2328" s="1882"/>
      <c r="E2328" s="1628" t="s">
        <v>8339</v>
      </c>
      <c r="F2328" s="1882"/>
      <c r="G2328" s="1882">
        <f>IF('4I'!H18="","##BLANK",'4I'!H18)</f>
        <v>0</v>
      </c>
    </row>
    <row r="2329" spans="2:7">
      <c r="B2329" s="821" t="str">
        <f>'4I'!BG19</f>
        <v>CR2007N2</v>
      </c>
      <c r="D2329" s="1882"/>
      <c r="E2329" s="1628" t="s">
        <v>8339</v>
      </c>
      <c r="F2329" s="1882"/>
      <c r="G2329" s="1882">
        <f>IF('4I'!H19="","##BLANK",'4I'!H19)</f>
        <v>0</v>
      </c>
    </row>
    <row r="2330" spans="2:7">
      <c r="B2330" s="821" t="str">
        <f>'4I'!BG20</f>
        <v>CR2008N2</v>
      </c>
      <c r="D2330" s="1882"/>
      <c r="E2330" s="1628" t="s">
        <v>8339</v>
      </c>
      <c r="F2330" s="1882"/>
      <c r="G2330" s="1882">
        <f>IF('4I'!H20="","##BLANK",'4I'!H20)</f>
        <v>0</v>
      </c>
    </row>
    <row r="2331" spans="2:7">
      <c r="B2331" s="821" t="str">
        <f>'4I'!BG21</f>
        <v>CR2009N2</v>
      </c>
      <c r="D2331" s="1882"/>
      <c r="E2331" s="1628" t="s">
        <v>8339</v>
      </c>
      <c r="F2331" s="1882"/>
      <c r="G2331" s="1882">
        <f>IF('4I'!H21="","##BLANK",'4I'!H21)</f>
        <v>0</v>
      </c>
    </row>
    <row r="2332" spans="2:7">
      <c r="B2332" s="821" t="str">
        <f>'4I'!BG24</f>
        <v>CR20010N2</v>
      </c>
      <c r="D2332" s="1882"/>
      <c r="E2332" s="1628" t="s">
        <v>8339</v>
      </c>
      <c r="F2332" s="1882"/>
      <c r="G2332" s="1882">
        <f>IF('4I'!H24="","##BLANK",'4I'!H24)</f>
        <v>0</v>
      </c>
    </row>
    <row r="2333" spans="2:7">
      <c r="B2333" s="821" t="str">
        <f>'4I'!BG25</f>
        <v>CR20011N2</v>
      </c>
      <c r="D2333" s="1882"/>
      <c r="E2333" s="1628" t="s">
        <v>8339</v>
      </c>
      <c r="F2333" s="1882"/>
      <c r="G2333" s="1882">
        <f>IF('4I'!H25="","##BLANK",'4I'!H25)</f>
        <v>0</v>
      </c>
    </row>
    <row r="2334" spans="2:7">
      <c r="B2334" s="821" t="str">
        <f>'4I'!BG26</f>
        <v>CR20012N2</v>
      </c>
      <c r="D2334" s="1882"/>
      <c r="E2334" s="1628" t="s">
        <v>8339</v>
      </c>
      <c r="F2334" s="1882"/>
      <c r="G2334" s="1882">
        <f>IF('4I'!H26="","##BLANK",'4I'!H26)</f>
        <v>0</v>
      </c>
    </row>
    <row r="2335" spans="2:7">
      <c r="B2335" s="821" t="str">
        <f>'4I'!BG27</f>
        <v>CR20013N2</v>
      </c>
      <c r="D2335" s="1882"/>
      <c r="E2335" s="1628" t="s">
        <v>8339</v>
      </c>
      <c r="F2335" s="1882"/>
      <c r="G2335" s="1882">
        <f>IF('4I'!H27="","##BLANK",'4I'!H27)</f>
        <v>0</v>
      </c>
    </row>
    <row r="2336" spans="2:7">
      <c r="B2336" s="821" t="str">
        <f>'4I'!BG28</f>
        <v>CR20014N2</v>
      </c>
      <c r="D2336" s="1882"/>
      <c r="E2336" s="1628" t="s">
        <v>8339</v>
      </c>
      <c r="F2336" s="1882"/>
      <c r="G2336" s="1882">
        <f>IF('4I'!H28="","##BLANK",'4I'!H28)</f>
        <v>0</v>
      </c>
    </row>
    <row r="2337" spans="2:7">
      <c r="B2337" s="821" t="str">
        <f>'4I'!BG31</f>
        <v>CR20015N2</v>
      </c>
      <c r="D2337" s="1882"/>
      <c r="E2337" s="1628" t="s">
        <v>8339</v>
      </c>
      <c r="F2337" s="1882"/>
      <c r="G2337" s="1882">
        <f>IF('4I'!H31="","##BLANK",'4I'!H31)</f>
        <v>0</v>
      </c>
    </row>
    <row r="2338" spans="2:7">
      <c r="B2338" s="821" t="str">
        <f>'4I'!BG32</f>
        <v>CR20016N2</v>
      </c>
      <c r="D2338" s="1882"/>
      <c r="E2338" s="1628" t="s">
        <v>8339</v>
      </c>
      <c r="F2338" s="1882"/>
      <c r="G2338" s="1882">
        <f>IF('4I'!H32="","##BLANK",'4I'!H32)</f>
        <v>0</v>
      </c>
    </row>
    <row r="2339" spans="2:7">
      <c r="B2339" s="821" t="str">
        <f>'4I'!BG33</f>
        <v>CR20017N2</v>
      </c>
      <c r="D2339" s="1882"/>
      <c r="E2339" s="1628" t="s">
        <v>8339</v>
      </c>
      <c r="F2339" s="1882"/>
      <c r="G2339" s="1882">
        <f>IF('4I'!H33="","##BLANK",'4I'!H33)</f>
        <v>0</v>
      </c>
    </row>
    <row r="2340" spans="2:7">
      <c r="B2340" s="821" t="str">
        <f>'4I'!BG37</f>
        <v>CR20018N2</v>
      </c>
      <c r="D2340" s="1882"/>
      <c r="E2340" s="1628" t="s">
        <v>8339</v>
      </c>
      <c r="F2340" s="1882"/>
      <c r="G2340" s="1882">
        <f>IF('4I'!H37="","##BLANK",'4I'!H37)</f>
        <v>0</v>
      </c>
    </row>
    <row r="2341" spans="2:7">
      <c r="B2341" s="821" t="str">
        <f>'4I'!BG38</f>
        <v>CR20019N2</v>
      </c>
      <c r="D2341" s="1882"/>
      <c r="E2341" s="1628" t="s">
        <v>8339</v>
      </c>
      <c r="F2341" s="1882"/>
      <c r="G2341" s="1882">
        <f>IF('4I'!H38="","##BLANK",'4I'!H38)</f>
        <v>0</v>
      </c>
    </row>
    <row r="2342" spans="2:7">
      <c r="B2342" s="821" t="str">
        <f>'4I'!BG41</f>
        <v>CR2028N2</v>
      </c>
      <c r="D2342" s="1882"/>
      <c r="E2342" s="1628" t="s">
        <v>8339</v>
      </c>
      <c r="F2342" s="1882"/>
      <c r="G2342" s="1882">
        <f>IF('4I'!H41="","##BLANK",'4I'!H41)</f>
        <v>0</v>
      </c>
    </row>
    <row r="2343" spans="2:7">
      <c r="B2343" s="821" t="str">
        <f>'4I'!BG44</f>
        <v>CR20020N2</v>
      </c>
      <c r="D2343" s="1882"/>
      <c r="E2343" s="1628" t="s">
        <v>8339</v>
      </c>
      <c r="F2343" s="1882"/>
      <c r="G2343" s="1882">
        <f>IF('4I'!H44="","##BLANK",'4I'!H44)</f>
        <v>0</v>
      </c>
    </row>
    <row r="2344" spans="2:7">
      <c r="B2344" s="821" t="str">
        <f>'4I'!BH8</f>
        <v>CR2021N5</v>
      </c>
      <c r="D2344" s="1882"/>
      <c r="E2344" s="1628" t="s">
        <v>8339</v>
      </c>
      <c r="F2344" s="1882"/>
      <c r="G2344" s="1882">
        <f>IF('4I'!I8="","##BLANK",'4I'!I8)</f>
        <v>0</v>
      </c>
    </row>
    <row r="2345" spans="2:7">
      <c r="B2345" s="821" t="str">
        <f>'4I'!BH9</f>
        <v>CR2022N5</v>
      </c>
      <c r="D2345" s="1882"/>
      <c r="E2345" s="1628" t="s">
        <v>8339</v>
      </c>
      <c r="F2345" s="1882"/>
      <c r="G2345" s="1882">
        <f>IF('4I'!I9="","##BLANK",'4I'!I9)</f>
        <v>0</v>
      </c>
    </row>
    <row r="2346" spans="2:7">
      <c r="B2346" s="821" t="str">
        <f>'4I'!BH10</f>
        <v>CR2023N5</v>
      </c>
      <c r="D2346" s="1882"/>
      <c r="E2346" s="1628" t="s">
        <v>8339</v>
      </c>
      <c r="F2346" s="1882"/>
      <c r="G2346" s="1882">
        <f>IF('4I'!I10="","##BLANK",'4I'!I10)</f>
        <v>0</v>
      </c>
    </row>
    <row r="2347" spans="2:7">
      <c r="B2347" s="821" t="str">
        <f>'4I'!BH11</f>
        <v>CR2024N5</v>
      </c>
      <c r="D2347" s="1882"/>
      <c r="E2347" s="1628" t="s">
        <v>8339</v>
      </c>
      <c r="F2347" s="1882"/>
      <c r="G2347" s="1882">
        <f>IF('4I'!I11="","##BLANK",'4I'!I11)</f>
        <v>0</v>
      </c>
    </row>
    <row r="2348" spans="2:7">
      <c r="B2348" s="821" t="str">
        <f>'4I'!BH12</f>
        <v>CR2025N5</v>
      </c>
      <c r="D2348" s="1882"/>
      <c r="E2348" s="1628" t="s">
        <v>8339</v>
      </c>
      <c r="F2348" s="1882"/>
      <c r="G2348" s="1882">
        <f>IF('4I'!I12="","##BLANK",'4I'!I12)</f>
        <v>0</v>
      </c>
    </row>
    <row r="2349" spans="2:7">
      <c r="B2349" s="821" t="str">
        <f>'4I'!BH13</f>
        <v>CR2026N5</v>
      </c>
      <c r="D2349" s="1882"/>
      <c r="E2349" s="1628" t="s">
        <v>8339</v>
      </c>
      <c r="F2349" s="1882"/>
      <c r="G2349" s="1882">
        <f>IF('4I'!I13="","##BLANK",'4I'!I13)</f>
        <v>0</v>
      </c>
    </row>
    <row r="2350" spans="2:7">
      <c r="B2350" s="821" t="str">
        <f>'4I'!BH14</f>
        <v>CR2027N5</v>
      </c>
      <c r="D2350" s="1882"/>
      <c r="E2350" s="1628" t="s">
        <v>8339</v>
      </c>
      <c r="F2350" s="1882"/>
      <c r="G2350" s="1882">
        <f>IF('4I'!I14="","##BLANK",'4I'!I14)</f>
        <v>0</v>
      </c>
    </row>
    <row r="2351" spans="2:7">
      <c r="B2351" s="821" t="str">
        <f>'4I'!BH17</f>
        <v>CR2005N5</v>
      </c>
      <c r="D2351" s="1882"/>
      <c r="E2351" s="1628" t="s">
        <v>8339</v>
      </c>
      <c r="F2351" s="1882"/>
      <c r="G2351" s="1882">
        <f>IF('4I'!I17="","##BLANK",'4I'!I17)</f>
        <v>0</v>
      </c>
    </row>
    <row r="2352" spans="2:7">
      <c r="B2352" s="821" t="str">
        <f>'4I'!BH18</f>
        <v>CR2006N5</v>
      </c>
      <c r="D2352" s="1882"/>
      <c r="E2352" s="1628" t="s">
        <v>8339</v>
      </c>
      <c r="F2352" s="1882"/>
      <c r="G2352" s="1882">
        <f>IF('4I'!I18="","##BLANK",'4I'!I18)</f>
        <v>0</v>
      </c>
    </row>
    <row r="2353" spans="2:7">
      <c r="B2353" s="821" t="str">
        <f>'4I'!BH19</f>
        <v>CR2007N5</v>
      </c>
      <c r="D2353" s="1882"/>
      <c r="E2353" s="1628" t="s">
        <v>8339</v>
      </c>
      <c r="F2353" s="1882"/>
      <c r="G2353" s="1882">
        <f>IF('4I'!I19="","##BLANK",'4I'!I19)</f>
        <v>0</v>
      </c>
    </row>
    <row r="2354" spans="2:7">
      <c r="B2354" s="821" t="str">
        <f>'4I'!BH20</f>
        <v>CR2008N5</v>
      </c>
      <c r="D2354" s="1882"/>
      <c r="E2354" s="1628" t="s">
        <v>8339</v>
      </c>
      <c r="F2354" s="1882"/>
      <c r="G2354" s="1882">
        <f>IF('4I'!I20="","##BLANK",'4I'!I20)</f>
        <v>0</v>
      </c>
    </row>
    <row r="2355" spans="2:7">
      <c r="B2355" s="821" t="str">
        <f>'4I'!BH21</f>
        <v>CR2009N5</v>
      </c>
      <c r="D2355" s="1882"/>
      <c r="E2355" s="1628" t="s">
        <v>8339</v>
      </c>
      <c r="F2355" s="1882"/>
      <c r="G2355" s="1882">
        <f>IF('4I'!I21="","##BLANK",'4I'!I21)</f>
        <v>0</v>
      </c>
    </row>
    <row r="2356" spans="2:7">
      <c r="B2356" s="821" t="str">
        <f>'4I'!BH24</f>
        <v>CR20010N5</v>
      </c>
      <c r="D2356" s="1882"/>
      <c r="E2356" s="1628" t="s">
        <v>8339</v>
      </c>
      <c r="F2356" s="1882"/>
      <c r="G2356" s="1882">
        <f>IF('4I'!I24="","##BLANK",'4I'!I24)</f>
        <v>0</v>
      </c>
    </row>
    <row r="2357" spans="2:7">
      <c r="B2357" s="821" t="str">
        <f>'4I'!BH25</f>
        <v>CR20011N5</v>
      </c>
      <c r="D2357" s="1882"/>
      <c r="E2357" s="1628" t="s">
        <v>8339</v>
      </c>
      <c r="F2357" s="1882"/>
      <c r="G2357" s="1882">
        <f>IF('4I'!I25="","##BLANK",'4I'!I25)</f>
        <v>0</v>
      </c>
    </row>
    <row r="2358" spans="2:7">
      <c r="B2358" s="821" t="str">
        <f>'4I'!BH26</f>
        <v>CR20012N5</v>
      </c>
      <c r="D2358" s="1882"/>
      <c r="E2358" s="1628" t="s">
        <v>8339</v>
      </c>
      <c r="F2358" s="1882"/>
      <c r="G2358" s="1882">
        <f>IF('4I'!I26="","##BLANK",'4I'!I26)</f>
        <v>0</v>
      </c>
    </row>
    <row r="2359" spans="2:7">
      <c r="B2359" s="821" t="str">
        <f>'4I'!BH27</f>
        <v>CR20013N5</v>
      </c>
      <c r="D2359" s="1882"/>
      <c r="E2359" s="1628" t="s">
        <v>8339</v>
      </c>
      <c r="F2359" s="1882"/>
      <c r="G2359" s="1882">
        <f>IF('4I'!I27="","##BLANK",'4I'!I27)</f>
        <v>0</v>
      </c>
    </row>
    <row r="2360" spans="2:7">
      <c r="B2360" s="821" t="str">
        <f>'4I'!BH28</f>
        <v>CR20014N5</v>
      </c>
      <c r="D2360" s="1882"/>
      <c r="E2360" s="1628" t="s">
        <v>8339</v>
      </c>
      <c r="F2360" s="1882"/>
      <c r="G2360" s="1882">
        <f>IF('4I'!I28="","##BLANK",'4I'!I28)</f>
        <v>0</v>
      </c>
    </row>
    <row r="2361" spans="2:7">
      <c r="B2361" s="821" t="str">
        <f>'4I'!BH31</f>
        <v>CR20015N5</v>
      </c>
      <c r="D2361" s="1882"/>
      <c r="E2361" s="1628" t="s">
        <v>8339</v>
      </c>
      <c r="F2361" s="1882"/>
      <c r="G2361" s="1882">
        <f>IF('4I'!I31="","##BLANK",'4I'!I31)</f>
        <v>0</v>
      </c>
    </row>
    <row r="2362" spans="2:7">
      <c r="B2362" s="821" t="str">
        <f>'4I'!BH32</f>
        <v>CR20016N5</v>
      </c>
      <c r="D2362" s="1882"/>
      <c r="E2362" s="1628" t="s">
        <v>8339</v>
      </c>
      <c r="F2362" s="1882"/>
      <c r="G2362" s="1882">
        <f>IF('4I'!I32="","##BLANK",'4I'!I32)</f>
        <v>0</v>
      </c>
    </row>
    <row r="2363" spans="2:7">
      <c r="B2363" s="821" t="str">
        <f>'4I'!BH33</f>
        <v>CR20017N5</v>
      </c>
      <c r="D2363" s="1882"/>
      <c r="E2363" s="1628" t="s">
        <v>8339</v>
      </c>
      <c r="F2363" s="1882"/>
      <c r="G2363" s="1882">
        <f>IF('4I'!I33="","##BLANK",'4I'!I33)</f>
        <v>0</v>
      </c>
    </row>
    <row r="2364" spans="2:7">
      <c r="B2364" s="821" t="str">
        <f>'4I'!BH37</f>
        <v>CR20018N5</v>
      </c>
      <c r="D2364" s="1882"/>
      <c r="E2364" s="1628" t="s">
        <v>8339</v>
      </c>
      <c r="F2364" s="1882"/>
      <c r="G2364" s="1882">
        <f>IF('4I'!I37="","##BLANK",'4I'!I37)</f>
        <v>0</v>
      </c>
    </row>
    <row r="2365" spans="2:7">
      <c r="B2365" s="821" t="str">
        <f>'4I'!BH38</f>
        <v>CR20019N5</v>
      </c>
      <c r="D2365" s="1882"/>
      <c r="E2365" s="1628" t="s">
        <v>8339</v>
      </c>
      <c r="F2365" s="1882"/>
      <c r="G2365" s="1882">
        <f>IF('4I'!I38="","##BLANK",'4I'!I38)</f>
        <v>0</v>
      </c>
    </row>
    <row r="2366" spans="2:7">
      <c r="B2366" s="821" t="str">
        <f>'4I'!BH41</f>
        <v>CR2028N5</v>
      </c>
      <c r="D2366" s="1882"/>
      <c r="E2366" s="1628" t="s">
        <v>8339</v>
      </c>
      <c r="F2366" s="1882"/>
      <c r="G2366" s="1882">
        <f>IF('4I'!I41="","##BLANK",'4I'!I41)</f>
        <v>0</v>
      </c>
    </row>
    <row r="2367" spans="2:7">
      <c r="B2367" s="821" t="str">
        <f>'4I'!BH44</f>
        <v>CR20020N5</v>
      </c>
      <c r="D2367" s="1882"/>
      <c r="E2367" s="1628" t="s">
        <v>8339</v>
      </c>
      <c r="F2367" s="1882"/>
      <c r="G2367" s="1882">
        <f>IF('4I'!I44="","##BLANK",'4I'!I44)</f>
        <v>0</v>
      </c>
    </row>
    <row r="2368" spans="2:7">
      <c r="B2368" s="821" t="str">
        <f>'4I'!BI8</f>
        <v>CR2021N6</v>
      </c>
      <c r="D2368" s="1882"/>
      <c r="E2368" s="1628" t="s">
        <v>8339</v>
      </c>
      <c r="F2368" s="1882"/>
      <c r="G2368" s="1882">
        <f>IF('4I'!J8="","##BLANK",'4I'!J8)</f>
        <v>0</v>
      </c>
    </row>
    <row r="2369" spans="2:7">
      <c r="B2369" s="821" t="str">
        <f>'4I'!BI9</f>
        <v>CR2022N6</v>
      </c>
      <c r="D2369" s="1882"/>
      <c r="E2369" s="1628" t="s">
        <v>8339</v>
      </c>
      <c r="F2369" s="1882"/>
      <c r="G2369" s="1882">
        <f>IF('4I'!J9="","##BLANK",'4I'!J9)</f>
        <v>0</v>
      </c>
    </row>
    <row r="2370" spans="2:7">
      <c r="B2370" s="821" t="str">
        <f>'4I'!BI10</f>
        <v>CR2023N6</v>
      </c>
      <c r="D2370" s="1882"/>
      <c r="E2370" s="1628" t="s">
        <v>8339</v>
      </c>
      <c r="F2370" s="1882"/>
      <c r="G2370" s="1882">
        <f>IF('4I'!J10="","##BLANK",'4I'!J10)</f>
        <v>0</v>
      </c>
    </row>
    <row r="2371" spans="2:7">
      <c r="B2371" s="821" t="str">
        <f>'4I'!BI11</f>
        <v>CR2024N6</v>
      </c>
      <c r="D2371" s="1882"/>
      <c r="E2371" s="1628" t="s">
        <v>8339</v>
      </c>
      <c r="F2371" s="1882"/>
      <c r="G2371" s="1882">
        <f>IF('4I'!J11="","##BLANK",'4I'!J11)</f>
        <v>0</v>
      </c>
    </row>
    <row r="2372" spans="2:7">
      <c r="B2372" s="821" t="str">
        <f>'4I'!BI12</f>
        <v>CR2025N6</v>
      </c>
      <c r="D2372" s="1882"/>
      <c r="E2372" s="1628" t="s">
        <v>8339</v>
      </c>
      <c r="F2372" s="1882"/>
      <c r="G2372" s="1882">
        <f>IF('4I'!J12="","##BLANK",'4I'!J12)</f>
        <v>0</v>
      </c>
    </row>
    <row r="2373" spans="2:7">
      <c r="B2373" s="821" t="str">
        <f>'4I'!BI13</f>
        <v>CR2026N6</v>
      </c>
      <c r="D2373" s="1882"/>
      <c r="E2373" s="1628" t="s">
        <v>8339</v>
      </c>
      <c r="F2373" s="1882"/>
      <c r="G2373" s="1882">
        <f>IF('4I'!J13="","##BLANK",'4I'!J13)</f>
        <v>0</v>
      </c>
    </row>
    <row r="2374" spans="2:7">
      <c r="B2374" s="821" t="str">
        <f>'4I'!BI14</f>
        <v>CR2027N6</v>
      </c>
      <c r="D2374" s="1882"/>
      <c r="E2374" s="1628" t="s">
        <v>8339</v>
      </c>
      <c r="F2374" s="1882"/>
      <c r="G2374" s="1882">
        <f>IF('4I'!J14="","##BLANK",'4I'!J14)</f>
        <v>0</v>
      </c>
    </row>
    <row r="2375" spans="2:7">
      <c r="B2375" s="821" t="str">
        <f>'4I'!BI17</f>
        <v>CR2005N6</v>
      </c>
      <c r="D2375" s="1882"/>
      <c r="E2375" s="1628" t="s">
        <v>8339</v>
      </c>
      <c r="F2375" s="1882"/>
      <c r="G2375" s="1882">
        <f>IF('4I'!J17="","##BLANK",'4I'!J17)</f>
        <v>0</v>
      </c>
    </row>
    <row r="2376" spans="2:7">
      <c r="B2376" s="821" t="str">
        <f>'4I'!BI18</f>
        <v>CR2006N6</v>
      </c>
      <c r="D2376" s="1882"/>
      <c r="E2376" s="1628" t="s">
        <v>8339</v>
      </c>
      <c r="F2376" s="1882"/>
      <c r="G2376" s="1882">
        <f>IF('4I'!J18="","##BLANK",'4I'!J18)</f>
        <v>0</v>
      </c>
    </row>
    <row r="2377" spans="2:7">
      <c r="B2377" s="821" t="str">
        <f>'4I'!BI19</f>
        <v>CR2007N6</v>
      </c>
      <c r="D2377" s="1882"/>
      <c r="E2377" s="1628" t="s">
        <v>8339</v>
      </c>
      <c r="F2377" s="1882"/>
      <c r="G2377" s="1882">
        <f>IF('4I'!J19="","##BLANK",'4I'!J19)</f>
        <v>0</v>
      </c>
    </row>
    <row r="2378" spans="2:7">
      <c r="B2378" s="821" t="str">
        <f>'4I'!BI20</f>
        <v>CR2008N6</v>
      </c>
      <c r="D2378" s="1882"/>
      <c r="E2378" s="1628" t="s">
        <v>8339</v>
      </c>
      <c r="F2378" s="1882"/>
      <c r="G2378" s="1882">
        <f>IF('4I'!J20="","##BLANK",'4I'!J20)</f>
        <v>0</v>
      </c>
    </row>
    <row r="2379" spans="2:7">
      <c r="B2379" s="821" t="str">
        <f>'4I'!BI21</f>
        <v>CR2009N6</v>
      </c>
      <c r="D2379" s="1882"/>
      <c r="E2379" s="1628" t="s">
        <v>8339</v>
      </c>
      <c r="F2379" s="1882"/>
      <c r="G2379" s="1882">
        <f>IF('4I'!J21="","##BLANK",'4I'!J21)</f>
        <v>0</v>
      </c>
    </row>
    <row r="2380" spans="2:7">
      <c r="B2380" s="821" t="str">
        <f>'4I'!BI24</f>
        <v>CR20010N6</v>
      </c>
      <c r="D2380" s="1882"/>
      <c r="E2380" s="1628" t="s">
        <v>8339</v>
      </c>
      <c r="F2380" s="1882"/>
      <c r="G2380" s="1882">
        <f>IF('4I'!J24="","##BLANK",'4I'!J24)</f>
        <v>0</v>
      </c>
    </row>
    <row r="2381" spans="2:7">
      <c r="B2381" s="821" t="str">
        <f>'4I'!BI25</f>
        <v>CR20011N6</v>
      </c>
      <c r="D2381" s="1882"/>
      <c r="E2381" s="1628" t="s">
        <v>8339</v>
      </c>
      <c r="F2381" s="1882"/>
      <c r="G2381" s="1882">
        <f>IF('4I'!J25="","##BLANK",'4I'!J25)</f>
        <v>0</v>
      </c>
    </row>
    <row r="2382" spans="2:7">
      <c r="B2382" s="821" t="str">
        <f>'4I'!BI26</f>
        <v>CR20012N6</v>
      </c>
      <c r="D2382" s="1882"/>
      <c r="E2382" s="1628" t="s">
        <v>8339</v>
      </c>
      <c r="F2382" s="1882"/>
      <c r="G2382" s="1882">
        <f>IF('4I'!J26="","##BLANK",'4I'!J26)</f>
        <v>0</v>
      </c>
    </row>
    <row r="2383" spans="2:7">
      <c r="B2383" s="821" t="str">
        <f>'4I'!BI27</f>
        <v>CR20013N6</v>
      </c>
      <c r="D2383" s="1882"/>
      <c r="E2383" s="1628" t="s">
        <v>8339</v>
      </c>
      <c r="F2383" s="1882"/>
      <c r="G2383" s="1882">
        <f>IF('4I'!J27="","##BLANK",'4I'!J27)</f>
        <v>0</v>
      </c>
    </row>
    <row r="2384" spans="2:7">
      <c r="B2384" s="821" t="str">
        <f>'4I'!BI28</f>
        <v>CR20014N6</v>
      </c>
      <c r="D2384" s="1882"/>
      <c r="E2384" s="1628" t="s">
        <v>8339</v>
      </c>
      <c r="F2384" s="1882"/>
      <c r="G2384" s="1882">
        <f>IF('4I'!J28="","##BLANK",'4I'!J28)</f>
        <v>0</v>
      </c>
    </row>
    <row r="2385" spans="2:7">
      <c r="B2385" s="821" t="str">
        <f>'4I'!BI31</f>
        <v>CR20015N6</v>
      </c>
      <c r="D2385" s="1882"/>
      <c r="E2385" s="1628" t="s">
        <v>8339</v>
      </c>
      <c r="F2385" s="1882"/>
      <c r="G2385" s="1882">
        <f>IF('4I'!J31="","##BLANK",'4I'!J31)</f>
        <v>0</v>
      </c>
    </row>
    <row r="2386" spans="2:7">
      <c r="B2386" s="821" t="str">
        <f>'4I'!BI32</f>
        <v>CR20016N6</v>
      </c>
      <c r="D2386" s="1882"/>
      <c r="E2386" s="1628" t="s">
        <v>8339</v>
      </c>
      <c r="F2386" s="1882"/>
      <c r="G2386" s="1882">
        <f>IF('4I'!J32="","##BLANK",'4I'!J32)</f>
        <v>0</v>
      </c>
    </row>
    <row r="2387" spans="2:7">
      <c r="B2387" s="821" t="str">
        <f>'4I'!BI33</f>
        <v>CR20017N6</v>
      </c>
      <c r="D2387" s="1882"/>
      <c r="E2387" s="1628" t="s">
        <v>8339</v>
      </c>
      <c r="F2387" s="1882"/>
      <c r="G2387" s="1882">
        <f>IF('4I'!J33="","##BLANK",'4I'!J33)</f>
        <v>0</v>
      </c>
    </row>
    <row r="2388" spans="2:7">
      <c r="B2388" s="821" t="str">
        <f>'4I'!BI37</f>
        <v>CR20018N6</v>
      </c>
      <c r="D2388" s="1882"/>
      <c r="E2388" s="1628" t="s">
        <v>8339</v>
      </c>
      <c r="F2388" s="1882"/>
      <c r="G2388" s="1882">
        <f>IF('4I'!J37="","##BLANK",'4I'!J37)</f>
        <v>0</v>
      </c>
    </row>
    <row r="2389" spans="2:7">
      <c r="B2389" s="821" t="str">
        <f>'4I'!BI38</f>
        <v>CR20019N6</v>
      </c>
      <c r="D2389" s="1882"/>
      <c r="E2389" s="1628" t="s">
        <v>8339</v>
      </c>
      <c r="F2389" s="1882"/>
      <c r="G2389" s="1882">
        <f>IF('4I'!J38="","##BLANK",'4I'!J38)</f>
        <v>0</v>
      </c>
    </row>
    <row r="2390" spans="2:7">
      <c r="B2390" s="821" t="str">
        <f>'4I'!BI41</f>
        <v>CR2028N6</v>
      </c>
      <c r="D2390" s="1882"/>
      <c r="E2390" s="1628" t="s">
        <v>8339</v>
      </c>
      <c r="F2390" s="1882"/>
      <c r="G2390" s="1882">
        <f>IF('4I'!J41="","##BLANK",'4I'!J41)</f>
        <v>0</v>
      </c>
    </row>
    <row r="2391" spans="2:7">
      <c r="B2391" s="821" t="str">
        <f>'4I'!BI44</f>
        <v>CR20020N6</v>
      </c>
      <c r="D2391" s="1882"/>
      <c r="E2391" s="1628" t="s">
        <v>8339</v>
      </c>
      <c r="F2391" s="1882"/>
      <c r="G2391" s="1882">
        <f>IF('4I'!J44="","##BLANK",'4I'!J44)</f>
        <v>0</v>
      </c>
    </row>
    <row r="2392" spans="2:7">
      <c r="B2392" s="821" t="str">
        <f>'4I'!BJ8</f>
        <v>CR2021MM</v>
      </c>
      <c r="D2392" s="1882"/>
      <c r="E2392" s="1628" t="s">
        <v>8339</v>
      </c>
      <c r="F2392" s="1882"/>
      <c r="G2392" s="1882">
        <f>IF('4I'!K8="","##BLANK",'4I'!K8)</f>
        <v>0</v>
      </c>
    </row>
    <row r="2393" spans="2:7">
      <c r="B2393" s="821" t="str">
        <f>'4I'!BJ9</f>
        <v>CR2022MM</v>
      </c>
      <c r="D2393" s="1882"/>
      <c r="E2393" s="1628" t="s">
        <v>8339</v>
      </c>
      <c r="F2393" s="1882"/>
      <c r="G2393" s="1882">
        <f>IF('4I'!K9="","##BLANK",'4I'!K9)</f>
        <v>0</v>
      </c>
    </row>
    <row r="2394" spans="2:7">
      <c r="B2394" s="821" t="str">
        <f>'4I'!BJ10</f>
        <v>CR2023MM</v>
      </c>
      <c r="D2394" s="1882"/>
      <c r="E2394" s="1628" t="s">
        <v>8339</v>
      </c>
      <c r="F2394" s="1882"/>
      <c r="G2394" s="1882">
        <f>IF('4I'!K10="","##BLANK",'4I'!K10)</f>
        <v>0</v>
      </c>
    </row>
    <row r="2395" spans="2:7">
      <c r="B2395" s="821" t="str">
        <f>'4I'!BJ11</f>
        <v>CR2024MM</v>
      </c>
      <c r="D2395" s="1882"/>
      <c r="E2395" s="1628" t="s">
        <v>8339</v>
      </c>
      <c r="F2395" s="1882"/>
      <c r="G2395" s="1882">
        <f>IF('4I'!K11="","##BLANK",'4I'!K11)</f>
        <v>0</v>
      </c>
    </row>
    <row r="2396" spans="2:7">
      <c r="B2396" s="821" t="str">
        <f>'4I'!BJ12</f>
        <v>CR2025MM</v>
      </c>
      <c r="D2396" s="1882"/>
      <c r="E2396" s="1628" t="s">
        <v>8339</v>
      </c>
      <c r="F2396" s="1882"/>
      <c r="G2396" s="1882">
        <f>IF('4I'!K12="","##BLANK",'4I'!K12)</f>
        <v>0</v>
      </c>
    </row>
    <row r="2397" spans="2:7">
      <c r="B2397" s="821" t="str">
        <f>'4I'!BJ13</f>
        <v>CR2026MM</v>
      </c>
      <c r="D2397" s="1882"/>
      <c r="E2397" s="1628" t="s">
        <v>8339</v>
      </c>
      <c r="F2397" s="1882"/>
      <c r="G2397" s="1882">
        <f>IF('4I'!K13="","##BLANK",'4I'!K13)</f>
        <v>0</v>
      </c>
    </row>
    <row r="2398" spans="2:7">
      <c r="B2398" s="821" t="str">
        <f>'4I'!BJ14</f>
        <v>CR2027MM</v>
      </c>
      <c r="D2398" s="1882"/>
      <c r="E2398" s="1628" t="s">
        <v>8339</v>
      </c>
      <c r="F2398" s="1882"/>
      <c r="G2398" s="1882">
        <f>IF('4I'!K14="","##BLANK",'4I'!K14)</f>
        <v>0</v>
      </c>
    </row>
    <row r="2399" spans="2:7">
      <c r="B2399" s="821" t="str">
        <f>'4I'!BJ17</f>
        <v>CR2005MM</v>
      </c>
      <c r="D2399" s="1882"/>
      <c r="E2399" s="1628" t="s">
        <v>8339</v>
      </c>
      <c r="F2399" s="1882"/>
      <c r="G2399" s="1882">
        <f>IF('4I'!K17="","##BLANK",'4I'!K17)</f>
        <v>0</v>
      </c>
    </row>
    <row r="2400" spans="2:7">
      <c r="B2400" s="821" t="str">
        <f>'4I'!BJ18</f>
        <v>CR2006MM</v>
      </c>
      <c r="D2400" s="1882"/>
      <c r="E2400" s="1628" t="s">
        <v>8339</v>
      </c>
      <c r="F2400" s="1882"/>
      <c r="G2400" s="1882">
        <f>IF('4I'!K18="","##BLANK",'4I'!K18)</f>
        <v>0</v>
      </c>
    </row>
    <row r="2401" spans="2:7">
      <c r="B2401" s="821" t="str">
        <f>'4I'!BJ19</f>
        <v>CR2007MM</v>
      </c>
      <c r="D2401" s="1882"/>
      <c r="E2401" s="1628" t="s">
        <v>8339</v>
      </c>
      <c r="F2401" s="1882"/>
      <c r="G2401" s="1882">
        <f>IF('4I'!K19="","##BLANK",'4I'!K19)</f>
        <v>0</v>
      </c>
    </row>
    <row r="2402" spans="2:7">
      <c r="B2402" s="821" t="str">
        <f>'4I'!BJ20</f>
        <v>CR2008MM</v>
      </c>
      <c r="D2402" s="1882"/>
      <c r="E2402" s="1628" t="s">
        <v>8339</v>
      </c>
      <c r="F2402" s="1882"/>
      <c r="G2402" s="1882">
        <f>IF('4I'!K20="","##BLANK",'4I'!K20)</f>
        <v>0</v>
      </c>
    </row>
    <row r="2403" spans="2:7">
      <c r="B2403" s="821" t="str">
        <f>'4I'!BJ21</f>
        <v>CR2009MM</v>
      </c>
      <c r="D2403" s="1882"/>
      <c r="E2403" s="1628" t="s">
        <v>8339</v>
      </c>
      <c r="F2403" s="1882"/>
      <c r="G2403" s="1882">
        <f>IF('4I'!K21="","##BLANK",'4I'!K21)</f>
        <v>0</v>
      </c>
    </row>
    <row r="2404" spans="2:7">
      <c r="B2404" s="821" t="str">
        <f>'4I'!BJ24</f>
        <v>CR20010MM</v>
      </c>
      <c r="D2404" s="1882"/>
      <c r="E2404" s="1628" t="s">
        <v>8339</v>
      </c>
      <c r="F2404" s="1882"/>
      <c r="G2404" s="1882">
        <f>IF('4I'!K24="","##BLANK",'4I'!K24)</f>
        <v>0</v>
      </c>
    </row>
    <row r="2405" spans="2:7">
      <c r="B2405" s="821" t="str">
        <f>'4I'!BJ25</f>
        <v>CR20011MM</v>
      </c>
      <c r="D2405" s="1882"/>
      <c r="E2405" s="1628" t="s">
        <v>8339</v>
      </c>
      <c r="F2405" s="1882"/>
      <c r="G2405" s="1882">
        <f>IF('4I'!K25="","##BLANK",'4I'!K25)</f>
        <v>0</v>
      </c>
    </row>
    <row r="2406" spans="2:7">
      <c r="B2406" s="821" t="str">
        <f>'4I'!BJ26</f>
        <v>CR20012MM</v>
      </c>
      <c r="D2406" s="1882"/>
      <c r="E2406" s="1628" t="s">
        <v>8339</v>
      </c>
      <c r="F2406" s="1882"/>
      <c r="G2406" s="1882">
        <f>IF('4I'!K26="","##BLANK",'4I'!K26)</f>
        <v>0</v>
      </c>
    </row>
    <row r="2407" spans="2:7">
      <c r="B2407" s="821" t="str">
        <f>'4I'!BJ27</f>
        <v>CR20013MM</v>
      </c>
      <c r="D2407" s="1882"/>
      <c r="E2407" s="1628" t="s">
        <v>8339</v>
      </c>
      <c r="F2407" s="1882"/>
      <c r="G2407" s="1882">
        <f>IF('4I'!K27="","##BLANK",'4I'!K27)</f>
        <v>0</v>
      </c>
    </row>
    <row r="2408" spans="2:7">
      <c r="B2408" s="821" t="str">
        <f>'4I'!BJ28</f>
        <v>CR20014MM</v>
      </c>
      <c r="D2408" s="1882"/>
      <c r="E2408" s="1628" t="s">
        <v>8339</v>
      </c>
      <c r="F2408" s="1882"/>
      <c r="G2408" s="1882">
        <f>IF('4I'!K28="","##BLANK",'4I'!K28)</f>
        <v>0</v>
      </c>
    </row>
    <row r="2409" spans="2:7">
      <c r="B2409" s="821" t="str">
        <f>'4I'!BJ31</f>
        <v>CR20015MM</v>
      </c>
      <c r="D2409" s="1882"/>
      <c r="E2409" s="1628" t="s">
        <v>8339</v>
      </c>
      <c r="F2409" s="1882"/>
      <c r="G2409" s="1882">
        <f>IF('4I'!K31="","##BLANK",'4I'!K31)</f>
        <v>0</v>
      </c>
    </row>
    <row r="2410" spans="2:7">
      <c r="B2410" s="821" t="str">
        <f>'4I'!BJ32</f>
        <v>CR20016MM</v>
      </c>
      <c r="D2410" s="1882"/>
      <c r="E2410" s="1628" t="s">
        <v>8339</v>
      </c>
      <c r="F2410" s="1882"/>
      <c r="G2410" s="1882">
        <f>IF('4I'!K32="","##BLANK",'4I'!K32)</f>
        <v>0</v>
      </c>
    </row>
    <row r="2411" spans="2:7">
      <c r="B2411" s="821" t="str">
        <f>'4I'!BJ33</f>
        <v>CR20017MM</v>
      </c>
      <c r="D2411" s="1882"/>
      <c r="E2411" s="1628" t="s">
        <v>8339</v>
      </c>
      <c r="F2411" s="1882"/>
      <c r="G2411" s="1882">
        <f>IF('4I'!K33="","##BLANK",'4I'!K33)</f>
        <v>0</v>
      </c>
    </row>
    <row r="2412" spans="2:7">
      <c r="B2412" s="821" t="str">
        <f>'4I'!BJ37</f>
        <v>CR20018MM</v>
      </c>
      <c r="D2412" s="1882"/>
      <c r="E2412" s="1628" t="s">
        <v>8339</v>
      </c>
      <c r="F2412" s="1882"/>
      <c r="G2412" s="1882">
        <f>IF('4I'!K37="","##BLANK",'4I'!K37)</f>
        <v>0</v>
      </c>
    </row>
    <row r="2413" spans="2:7">
      <c r="B2413" s="821" t="str">
        <f>'4I'!BJ38</f>
        <v>CR20019MM</v>
      </c>
      <c r="D2413" s="1882"/>
      <c r="E2413" s="1628" t="s">
        <v>8339</v>
      </c>
      <c r="F2413" s="1882"/>
      <c r="G2413" s="1882">
        <f>IF('4I'!K38="","##BLANK",'4I'!K38)</f>
        <v>0</v>
      </c>
    </row>
    <row r="2414" spans="2:7">
      <c r="B2414" s="821" t="str">
        <f>'4I'!BJ41</f>
        <v>CR2028MM</v>
      </c>
      <c r="D2414" s="1882"/>
      <c r="E2414" s="1628" t="s">
        <v>8339</v>
      </c>
      <c r="F2414" s="1882"/>
      <c r="G2414" s="1882">
        <f>IF('4I'!K41="","##BLANK",'4I'!K41)</f>
        <v>0</v>
      </c>
    </row>
    <row r="2415" spans="2:7">
      <c r="B2415" s="821" t="str">
        <f>'4I'!BJ44</f>
        <v>CR20020MM</v>
      </c>
      <c r="D2415" s="1882"/>
      <c r="E2415" s="1628" t="s">
        <v>8339</v>
      </c>
      <c r="F2415" s="1882"/>
      <c r="G2415" s="1882">
        <f>IF('4I'!K44="","##BLANK",'4I'!K44)</f>
        <v>0</v>
      </c>
    </row>
    <row r="2416" spans="2:7">
      <c r="B2416" s="821" t="str">
        <f>'4I'!BK8</f>
        <v>CR2021TA</v>
      </c>
      <c r="D2416" s="1882"/>
      <c r="E2416" s="1628" t="s">
        <v>8339</v>
      </c>
      <c r="F2416" s="1882"/>
      <c r="G2416" s="1882">
        <f>IF('4I'!L8="","##BLANK",'4I'!L8)</f>
        <v>0</v>
      </c>
    </row>
    <row r="2417" spans="2:7">
      <c r="B2417" s="821" t="str">
        <f>'4I'!BK9</f>
        <v>CR2022TA</v>
      </c>
      <c r="D2417" s="1882"/>
      <c r="E2417" s="1628" t="s">
        <v>8339</v>
      </c>
      <c r="F2417" s="1882"/>
      <c r="G2417" s="1882">
        <f>IF('4I'!L9="","##BLANK",'4I'!L9)</f>
        <v>0</v>
      </c>
    </row>
    <row r="2418" spans="2:7">
      <c r="B2418" s="821" t="str">
        <f>'4I'!BK10</f>
        <v>CR2023TA</v>
      </c>
      <c r="D2418" s="1882"/>
      <c r="E2418" s="1628" t="s">
        <v>8339</v>
      </c>
      <c r="F2418" s="1882"/>
      <c r="G2418" s="1882">
        <f>IF('4I'!L10="","##BLANK",'4I'!L10)</f>
        <v>0</v>
      </c>
    </row>
    <row r="2419" spans="2:7">
      <c r="B2419" s="821" t="str">
        <f>'4I'!BK11</f>
        <v>CR2024TA</v>
      </c>
      <c r="D2419" s="1882"/>
      <c r="E2419" s="1628" t="s">
        <v>8339</v>
      </c>
      <c r="F2419" s="1882"/>
      <c r="G2419" s="1882">
        <f>IF('4I'!L11="","##BLANK",'4I'!L11)</f>
        <v>0</v>
      </c>
    </row>
    <row r="2420" spans="2:7">
      <c r="B2420" s="821" t="str">
        <f>'4I'!BK12</f>
        <v>CR2025TA</v>
      </c>
      <c r="D2420" s="1882"/>
      <c r="E2420" s="1628" t="s">
        <v>8339</v>
      </c>
      <c r="F2420" s="1882"/>
      <c r="G2420" s="1882">
        <f>IF('4I'!L12="","##BLANK",'4I'!L12)</f>
        <v>0</v>
      </c>
    </row>
    <row r="2421" spans="2:7">
      <c r="B2421" s="821" t="str">
        <f>'4I'!BK13</f>
        <v>CR2026TA</v>
      </c>
      <c r="D2421" s="1882"/>
      <c r="E2421" s="1628" t="s">
        <v>8339</v>
      </c>
      <c r="F2421" s="1882"/>
      <c r="G2421" s="1882">
        <f>IF('4I'!L13="","##BLANK",'4I'!L13)</f>
        <v>0</v>
      </c>
    </row>
    <row r="2422" spans="2:7">
      <c r="B2422" s="821" t="str">
        <f>'4I'!BK14</f>
        <v>CR2027TA</v>
      </c>
      <c r="D2422" s="1882"/>
      <c r="E2422" s="1628" t="s">
        <v>8339</v>
      </c>
      <c r="F2422" s="1882"/>
      <c r="G2422" s="1882">
        <f>IF('4I'!L14="","##BLANK",'4I'!L14)</f>
        <v>0</v>
      </c>
    </row>
    <row r="2423" spans="2:7">
      <c r="B2423" s="821" t="str">
        <f>'4I'!BK17</f>
        <v>CR2005TA</v>
      </c>
      <c r="D2423" s="1882"/>
      <c r="E2423" s="1628" t="s">
        <v>8339</v>
      </c>
      <c r="F2423" s="1882"/>
      <c r="G2423" s="1882">
        <f>IF('4I'!L17="","##BLANK",'4I'!L17)</f>
        <v>0</v>
      </c>
    </row>
    <row r="2424" spans="2:7">
      <c r="B2424" s="821" t="str">
        <f>'4I'!BK18</f>
        <v>CR2006TA</v>
      </c>
      <c r="D2424" s="1882"/>
      <c r="E2424" s="1628" t="s">
        <v>8339</v>
      </c>
      <c r="F2424" s="1882"/>
      <c r="G2424" s="1882">
        <f>IF('4I'!L18="","##BLANK",'4I'!L18)</f>
        <v>0</v>
      </c>
    </row>
    <row r="2425" spans="2:7">
      <c r="B2425" s="821" t="str">
        <f>'4I'!BK19</f>
        <v>CR2007TA</v>
      </c>
      <c r="D2425" s="1882"/>
      <c r="E2425" s="1628" t="s">
        <v>8339</v>
      </c>
      <c r="F2425" s="1882"/>
      <c r="G2425" s="1882">
        <f>IF('4I'!L19="","##BLANK",'4I'!L19)</f>
        <v>0</v>
      </c>
    </row>
    <row r="2426" spans="2:7">
      <c r="B2426" s="821" t="str">
        <f>'4I'!BK20</f>
        <v>CR2008TA</v>
      </c>
      <c r="D2426" s="1882"/>
      <c r="E2426" s="1628" t="s">
        <v>8339</v>
      </c>
      <c r="F2426" s="1882"/>
      <c r="G2426" s="1882">
        <f>IF('4I'!L20="","##BLANK",'4I'!L20)</f>
        <v>0</v>
      </c>
    </row>
    <row r="2427" spans="2:7">
      <c r="B2427" s="821" t="str">
        <f>'4I'!BK21</f>
        <v>CR2009TA</v>
      </c>
      <c r="D2427" s="1882"/>
      <c r="E2427" s="1628" t="s">
        <v>8339</v>
      </c>
      <c r="F2427" s="1882"/>
      <c r="G2427" s="1882">
        <f>IF('4I'!L21="","##BLANK",'4I'!L21)</f>
        <v>0</v>
      </c>
    </row>
    <row r="2428" spans="2:7">
      <c r="B2428" s="821" t="str">
        <f>'4I'!BK24</f>
        <v>CR20010TA</v>
      </c>
      <c r="D2428" s="1882"/>
      <c r="E2428" s="1628" t="s">
        <v>8339</v>
      </c>
      <c r="F2428" s="1882"/>
      <c r="G2428" s="1882">
        <f>IF('4I'!L24="","##BLANK",'4I'!L24)</f>
        <v>0</v>
      </c>
    </row>
    <row r="2429" spans="2:7">
      <c r="B2429" s="821" t="str">
        <f>'4I'!BK25</f>
        <v>CR20011TA</v>
      </c>
      <c r="D2429" s="1882"/>
      <c r="E2429" s="1628" t="s">
        <v>8339</v>
      </c>
      <c r="F2429" s="1882"/>
      <c r="G2429" s="1882">
        <f>IF('4I'!L25="","##BLANK",'4I'!L25)</f>
        <v>0</v>
      </c>
    </row>
    <row r="2430" spans="2:7">
      <c r="B2430" s="821" t="str">
        <f>'4I'!BK26</f>
        <v>CR20012TA</v>
      </c>
      <c r="D2430" s="1882"/>
      <c r="E2430" s="1628" t="s">
        <v>8339</v>
      </c>
      <c r="F2430" s="1882"/>
      <c r="G2430" s="1882">
        <f>IF('4I'!L26="","##BLANK",'4I'!L26)</f>
        <v>0</v>
      </c>
    </row>
    <row r="2431" spans="2:7">
      <c r="B2431" s="821" t="str">
        <f>'4I'!BK27</f>
        <v>CR20013TA</v>
      </c>
      <c r="D2431" s="1882"/>
      <c r="E2431" s="1628" t="s">
        <v>8339</v>
      </c>
      <c r="F2431" s="1882"/>
      <c r="G2431" s="1882">
        <f>IF('4I'!L27="","##BLANK",'4I'!L27)</f>
        <v>0</v>
      </c>
    </row>
    <row r="2432" spans="2:7">
      <c r="B2432" s="821" t="str">
        <f>'4I'!BK28</f>
        <v>CR20014TA</v>
      </c>
      <c r="D2432" s="1882"/>
      <c r="E2432" s="1628" t="s">
        <v>8339</v>
      </c>
      <c r="F2432" s="1882"/>
      <c r="G2432" s="1882">
        <f>IF('4I'!L28="","##BLANK",'4I'!L28)</f>
        <v>0</v>
      </c>
    </row>
    <row r="2433" spans="2:8">
      <c r="B2433" s="821" t="str">
        <f>'4I'!BK31</f>
        <v>CR20015TA</v>
      </c>
      <c r="D2433" s="1882"/>
      <c r="E2433" s="1628" t="s">
        <v>8339</v>
      </c>
      <c r="F2433" s="1882"/>
      <c r="G2433" s="1882">
        <f>IF('4I'!L31="","##BLANK",'4I'!L31)</f>
        <v>0</v>
      </c>
      <c r="H2433" s="1882"/>
    </row>
    <row r="2434" spans="2:8">
      <c r="B2434" s="821" t="str">
        <f>'4I'!BK32</f>
        <v>CR20016TA</v>
      </c>
      <c r="D2434" s="1882"/>
      <c r="E2434" s="1628" t="s">
        <v>8339</v>
      </c>
      <c r="F2434" s="1882"/>
      <c r="G2434" s="1882">
        <f>IF('4I'!L32="","##BLANK",'4I'!L32)</f>
        <v>0</v>
      </c>
      <c r="H2434" s="1882"/>
    </row>
    <row r="2435" spans="2:8">
      <c r="B2435" s="821" t="str">
        <f>'4I'!BK33</f>
        <v>CR20017TA</v>
      </c>
      <c r="D2435" s="1882"/>
      <c r="E2435" s="1628" t="s">
        <v>8339</v>
      </c>
      <c r="F2435" s="1882"/>
      <c r="G2435" s="1882">
        <f>IF('4I'!L33="","##BLANK",'4I'!L33)</f>
        <v>0</v>
      </c>
      <c r="H2435" s="1882"/>
    </row>
    <row r="2436" spans="2:8">
      <c r="B2436" s="821" t="str">
        <f>'4I'!BK37</f>
        <v>CR20018TA</v>
      </c>
      <c r="D2436" s="1882"/>
      <c r="E2436" s="1628" t="s">
        <v>8339</v>
      </c>
      <c r="F2436" s="1882"/>
      <c r="G2436" s="1882">
        <f>IF('4I'!L37="","##BLANK",'4I'!L37)</f>
        <v>0</v>
      </c>
      <c r="H2436" s="1882"/>
    </row>
    <row r="2437" spans="2:8">
      <c r="B2437" s="821" t="str">
        <f>'4I'!BK38</f>
        <v>CR20019TA</v>
      </c>
      <c r="D2437" s="1882"/>
      <c r="E2437" s="1628" t="s">
        <v>8339</v>
      </c>
      <c r="F2437" s="1882"/>
      <c r="G2437" s="1882">
        <f>IF('4I'!L38="","##BLANK",'4I'!L38)</f>
        <v>0</v>
      </c>
      <c r="H2437" s="1882"/>
    </row>
    <row r="2438" spans="2:8">
      <c r="B2438" s="821" t="str">
        <f>'4I'!BK41</f>
        <v>CR2028TA</v>
      </c>
      <c r="D2438" s="1882"/>
      <c r="E2438" s="1628" t="s">
        <v>8339</v>
      </c>
      <c r="F2438" s="1882"/>
      <c r="G2438" s="1882">
        <f>IF('4I'!L41="","##BLANK",'4I'!L41)</f>
        <v>0</v>
      </c>
      <c r="H2438" s="1882"/>
    </row>
    <row r="2439" spans="2:8">
      <c r="B2439" s="821" t="str">
        <f>'4I'!BK44</f>
        <v>CR20020TA</v>
      </c>
      <c r="D2439" s="1882"/>
      <c r="E2439" s="1628" t="s">
        <v>8339</v>
      </c>
      <c r="F2439" s="1882"/>
      <c r="G2439" s="1882">
        <f>IF('4I'!L44="","##BLANK",'4I'!L44)</f>
        <v>0</v>
      </c>
      <c r="H2439" s="1882"/>
    </row>
    <row r="2440" spans="2:8">
      <c r="B2440" s="821" t="str">
        <f>'4I'!BN8</f>
        <v>CR2021IRP</v>
      </c>
      <c r="D2440" s="1882"/>
      <c r="E2440" s="1628" t="s">
        <v>8339</v>
      </c>
      <c r="F2440" s="1882"/>
      <c r="G2440" s="1882">
        <f>IF('4I'!O8="","##BLANK",'4I'!O8)</f>
        <v>0</v>
      </c>
      <c r="H2440" s="1882"/>
    </row>
    <row r="2441" spans="2:8">
      <c r="B2441" s="821" t="str">
        <f>'4I'!BN9</f>
        <v>CR2022IRP</v>
      </c>
      <c r="D2441" s="1882"/>
      <c r="E2441" s="1628" t="s">
        <v>8339</v>
      </c>
      <c r="F2441" s="1882"/>
      <c r="G2441" s="1882">
        <f>IF('4I'!O9="","##BLANK",'4I'!O9)</f>
        <v>0</v>
      </c>
      <c r="H2441" s="1882"/>
    </row>
    <row r="2442" spans="2:8">
      <c r="B2442" s="821" t="str">
        <f>'4I'!BN10</f>
        <v>CR2023IRP</v>
      </c>
      <c r="D2442" s="1882"/>
      <c r="E2442" s="1628" t="s">
        <v>8339</v>
      </c>
      <c r="F2442" s="1882"/>
      <c r="G2442" s="1882">
        <f>IF('4I'!O10="","##BLANK",'4I'!O10)</f>
        <v>0</v>
      </c>
      <c r="H2442" s="1882"/>
    </row>
    <row r="2443" spans="2:8">
      <c r="B2443" s="821" t="str">
        <f>'4I'!BN11</f>
        <v>CR2024IRP</v>
      </c>
      <c r="D2443" s="1882"/>
      <c r="E2443" s="1628" t="s">
        <v>8339</v>
      </c>
      <c r="F2443" s="1882"/>
      <c r="G2443" s="1882">
        <f>IF('4I'!O11="","##BLANK",'4I'!O11)</f>
        <v>0</v>
      </c>
      <c r="H2443" s="1882"/>
    </row>
    <row r="2444" spans="2:8">
      <c r="B2444" s="821" t="str">
        <f>'4I'!BN12</f>
        <v>CR2025IRP</v>
      </c>
      <c r="D2444" s="1882"/>
      <c r="E2444" s="1628" t="s">
        <v>8339</v>
      </c>
      <c r="F2444" s="1882"/>
      <c r="G2444" s="1882">
        <f>IF('4I'!O12="","##BLANK",'4I'!O12)</f>
        <v>0</v>
      </c>
      <c r="H2444" s="1882"/>
    </row>
    <row r="2445" spans="2:8">
      <c r="B2445" s="821" t="str">
        <f>'4I'!BN13</f>
        <v>CR2026IRP</v>
      </c>
      <c r="D2445" s="1882"/>
      <c r="E2445" s="1628" t="s">
        <v>8339</v>
      </c>
      <c r="F2445" s="1882"/>
      <c r="G2445" s="1882">
        <f>IF('4I'!O13="","##BLANK",'4I'!O13)</f>
        <v>0</v>
      </c>
      <c r="H2445" s="1882"/>
    </row>
    <row r="2446" spans="2:8">
      <c r="B2446" s="821" t="str">
        <f>'4I'!BN17</f>
        <v>CR2005IRP</v>
      </c>
      <c r="D2446" s="1882"/>
      <c r="E2446" s="1628" t="s">
        <v>8339</v>
      </c>
      <c r="F2446" s="1882"/>
      <c r="G2446" s="1882">
        <f>IF('4I'!O17="","##BLANK",'4I'!O17)</f>
        <v>0</v>
      </c>
      <c r="H2446" s="821"/>
    </row>
    <row r="2447" spans="2:8">
      <c r="B2447" s="821" t="str">
        <f>'4I'!BN18</f>
        <v>CR2006IRP</v>
      </c>
      <c r="D2447" s="1882"/>
      <c r="E2447" s="1628" t="s">
        <v>8339</v>
      </c>
      <c r="F2447" s="1882"/>
      <c r="G2447" s="1882">
        <f>IF('4I'!O18="","##BLANK",'4I'!O18)</f>
        <v>0</v>
      </c>
      <c r="H2447" s="1882"/>
    </row>
    <row r="2448" spans="2:8">
      <c r="B2448" s="821" t="str">
        <f>'4I'!BN19</f>
        <v>CR2007IRP</v>
      </c>
      <c r="D2448" s="1882"/>
      <c r="E2448" s="1628" t="s">
        <v>8339</v>
      </c>
      <c r="F2448" s="1882"/>
      <c r="G2448" s="1882">
        <f>IF('4I'!O19="","##BLANK",'4I'!O19)</f>
        <v>0</v>
      </c>
      <c r="H2448" s="1882"/>
    </row>
    <row r="2449" spans="2:8">
      <c r="B2449" s="821" t="str">
        <f>'4I'!BN20</f>
        <v>CR2008IRP</v>
      </c>
      <c r="D2449" s="1882"/>
      <c r="E2449" s="1628" t="s">
        <v>8339</v>
      </c>
      <c r="F2449" s="1882"/>
      <c r="G2449" s="1882">
        <f>IF('4I'!O20="","##BLANK",'4I'!O20)</f>
        <v>0</v>
      </c>
      <c r="H2449" s="1882"/>
    </row>
    <row r="2450" spans="2:8">
      <c r="B2450" s="821" t="str">
        <f>'4I'!BN24</f>
        <v>CR20010IRP</v>
      </c>
      <c r="D2450" s="1882"/>
      <c r="E2450" s="1628" t="s">
        <v>8339</v>
      </c>
      <c r="F2450" s="1882"/>
      <c r="G2450" s="1882">
        <f>IF('4I'!O24="","##BLANK",'4I'!O24)</f>
        <v>0</v>
      </c>
      <c r="H2450" s="1882"/>
    </row>
    <row r="2451" spans="2:8">
      <c r="B2451" s="821" t="str">
        <f>'4I'!BN25</f>
        <v>CR20011IRP</v>
      </c>
      <c r="D2451" s="1882"/>
      <c r="E2451" s="1628" t="s">
        <v>8339</v>
      </c>
      <c r="F2451" s="1882"/>
      <c r="G2451" s="1882">
        <f>IF('4I'!O25="","##BLANK",'4I'!O25)</f>
        <v>0</v>
      </c>
      <c r="H2451" s="821"/>
    </row>
    <row r="2452" spans="2:8">
      <c r="B2452" s="821" t="str">
        <f>'4I'!BN26</f>
        <v>CR20012IRP</v>
      </c>
      <c r="D2452" s="1882"/>
      <c r="E2452" s="1628" t="s">
        <v>8339</v>
      </c>
      <c r="F2452" s="1882"/>
      <c r="G2452" s="1882">
        <f>IF('4I'!O26="","##BLANK",'4I'!O26)</f>
        <v>0</v>
      </c>
      <c r="H2452" s="1882"/>
    </row>
    <row r="2453" spans="2:8">
      <c r="B2453" s="821" t="str">
        <f>'4I'!BN27</f>
        <v>CR20013IRP</v>
      </c>
      <c r="D2453" s="1882"/>
      <c r="E2453" s="1628" t="s">
        <v>8339</v>
      </c>
      <c r="F2453" s="1882"/>
      <c r="G2453" s="1882">
        <f>IF('4I'!O27="","##BLANK",'4I'!O27)</f>
        <v>0</v>
      </c>
      <c r="H2453" s="1882"/>
    </row>
    <row r="2454" spans="2:8">
      <c r="B2454" s="821" t="str">
        <f>'4I'!BN31</f>
        <v>CR20015IRP</v>
      </c>
      <c r="D2454" s="1882"/>
      <c r="E2454" s="1628" t="s">
        <v>8339</v>
      </c>
      <c r="F2454" s="1882"/>
      <c r="G2454" s="1882">
        <f>IF('4I'!O31="","##BLANK",'4I'!O31)</f>
        <v>0</v>
      </c>
      <c r="H2454" s="1882"/>
    </row>
    <row r="2455" spans="2:8">
      <c r="B2455" s="821" t="str">
        <f>'4I'!BN32</f>
        <v>CR20016IRP</v>
      </c>
      <c r="D2455" s="1882"/>
      <c r="E2455" s="1628" t="s">
        <v>8339</v>
      </c>
      <c r="F2455" s="1882"/>
      <c r="G2455" s="1882">
        <f>IF('4I'!O32="","##BLANK",'4I'!O32)</f>
        <v>0</v>
      </c>
      <c r="H2455" s="1882"/>
    </row>
    <row r="2456" spans="2:8">
      <c r="B2456" s="821" t="str">
        <f>'4I'!BN33</f>
        <v>CR20017IRP</v>
      </c>
      <c r="D2456" s="1882"/>
      <c r="E2456" s="1628" t="s">
        <v>8339</v>
      </c>
      <c r="F2456" s="1882"/>
      <c r="G2456" s="1882">
        <f>IF('4I'!O33="","##BLANK",'4I'!O33)</f>
        <v>0</v>
      </c>
      <c r="H2456" s="821"/>
    </row>
    <row r="2457" spans="2:8">
      <c r="B2457" s="821" t="str">
        <f>'4I'!BN37</f>
        <v>CR20018IRP</v>
      </c>
      <c r="D2457" s="1882"/>
      <c r="E2457" s="1628" t="s">
        <v>8339</v>
      </c>
      <c r="F2457" s="1882"/>
      <c r="G2457" s="1882">
        <f>IF('4I'!O37="","##BLANK",'4I'!O37)</f>
        <v>0</v>
      </c>
      <c r="H2457" s="1882"/>
    </row>
    <row r="2458" spans="2:8">
      <c r="B2458" s="821" t="str">
        <f>'4I'!BN41</f>
        <v>CR2028IRP</v>
      </c>
      <c r="D2458" s="1882"/>
      <c r="E2458" s="1628" t="s">
        <v>8339</v>
      </c>
      <c r="F2458" s="1882"/>
      <c r="G2458" s="1882">
        <f>IF('4I'!O41="","##BLANK",'4I'!O41)</f>
        <v>0</v>
      </c>
      <c r="H2458" s="1882"/>
    </row>
    <row r="2459" spans="2:8">
      <c r="B2459" s="821" t="str">
        <f>'4I'!BO8</f>
        <v>CR2021IRR</v>
      </c>
      <c r="D2459" s="1882"/>
      <c r="E2459" s="1628" t="s">
        <v>8339</v>
      </c>
      <c r="F2459" s="1882"/>
      <c r="G2459" s="1882">
        <f>IF('4I'!P8="","##BLANK",'4I'!P8)</f>
        <v>0</v>
      </c>
      <c r="H2459" s="1882"/>
    </row>
    <row r="2460" spans="2:8">
      <c r="B2460" s="821" t="str">
        <f>'4I'!BO9</f>
        <v>CR2022IRR</v>
      </c>
      <c r="D2460" s="1882"/>
      <c r="E2460" s="1628" t="s">
        <v>8339</v>
      </c>
      <c r="F2460" s="1882"/>
      <c r="G2460" s="1882">
        <f>IF('4I'!P9="","##BLANK",'4I'!P9)</f>
        <v>0</v>
      </c>
      <c r="H2460" s="1882"/>
    </row>
    <row r="2461" spans="2:8">
      <c r="B2461" s="821" t="str">
        <f>'4I'!BO10</f>
        <v>CR2023IRR</v>
      </c>
      <c r="D2461" s="1882"/>
      <c r="E2461" s="1628" t="s">
        <v>8339</v>
      </c>
      <c r="F2461" s="1882"/>
      <c r="G2461" s="1882">
        <f>IF('4I'!P10="","##BLANK",'4I'!P10)</f>
        <v>0</v>
      </c>
      <c r="H2461" s="821"/>
    </row>
    <row r="2462" spans="2:8">
      <c r="B2462" s="821" t="str">
        <f>'4I'!BO11</f>
        <v>CR2024IRR</v>
      </c>
      <c r="D2462" s="1882"/>
      <c r="E2462" s="1628" t="s">
        <v>8339</v>
      </c>
      <c r="F2462" s="1882"/>
      <c r="G2462" s="1882">
        <f>IF('4I'!P11="","##BLANK",'4I'!P11)</f>
        <v>0</v>
      </c>
      <c r="H2462" s="1882"/>
    </row>
    <row r="2463" spans="2:8">
      <c r="B2463" s="821" t="str">
        <f>'4I'!BO12</f>
        <v>CR2025IRR</v>
      </c>
      <c r="D2463" s="1882"/>
      <c r="E2463" s="1628" t="s">
        <v>8339</v>
      </c>
      <c r="F2463" s="1882"/>
      <c r="G2463" s="1882">
        <f>IF('4I'!P12="","##BLANK",'4I'!P12)</f>
        <v>0</v>
      </c>
      <c r="H2463" s="821"/>
    </row>
    <row r="2464" spans="2:8">
      <c r="B2464" s="821" t="str">
        <f>'4I'!BO13</f>
        <v>CR2026IRR</v>
      </c>
      <c r="D2464" s="1882"/>
      <c r="E2464" s="1628" t="s">
        <v>8339</v>
      </c>
      <c r="F2464" s="1882"/>
      <c r="G2464" s="1882">
        <f>IF('4I'!P13="","##BLANK",'4I'!P13)</f>
        <v>0</v>
      </c>
      <c r="H2464" s="1882"/>
    </row>
    <row r="2465" spans="2:7">
      <c r="B2465" s="821" t="str">
        <f>'4I'!BO17</f>
        <v>CR2005IRR</v>
      </c>
      <c r="D2465" s="1882"/>
      <c r="E2465" s="1628" t="s">
        <v>8339</v>
      </c>
      <c r="F2465" s="1882"/>
      <c r="G2465" s="1882">
        <f>IF('4I'!P17="","##BLANK",'4I'!P17)</f>
        <v>0</v>
      </c>
    </row>
    <row r="2466" spans="2:7">
      <c r="B2466" s="821" t="str">
        <f>'4I'!BO18</f>
        <v>CR2006IRR</v>
      </c>
      <c r="D2466" s="1882"/>
      <c r="E2466" s="1628" t="s">
        <v>8339</v>
      </c>
      <c r="F2466" s="1882"/>
      <c r="G2466" s="1882">
        <f>IF('4I'!P18="","##BLANK",'4I'!P18)</f>
        <v>0</v>
      </c>
    </row>
    <row r="2467" spans="2:7">
      <c r="B2467" s="821" t="str">
        <f>'4I'!BO19</f>
        <v>CR2007IRR</v>
      </c>
      <c r="D2467" s="1882"/>
      <c r="E2467" s="1628" t="s">
        <v>8339</v>
      </c>
      <c r="F2467" s="1882"/>
      <c r="G2467" s="1882">
        <f>IF('4I'!P19="","##BLANK",'4I'!P19)</f>
        <v>0</v>
      </c>
    </row>
    <row r="2468" spans="2:7">
      <c r="B2468" s="821" t="str">
        <f>'4I'!BO20</f>
        <v>CR2008IRR</v>
      </c>
      <c r="D2468" s="1882"/>
      <c r="E2468" s="1628" t="s">
        <v>8339</v>
      </c>
      <c r="F2468" s="1882"/>
      <c r="G2468" s="1882">
        <f>IF('4I'!P20="","##BLANK",'4I'!P20)</f>
        <v>0</v>
      </c>
    </row>
    <row r="2469" spans="2:7">
      <c r="B2469" s="821" t="str">
        <f>'4I'!BO24</f>
        <v>CR20010IRR</v>
      </c>
      <c r="D2469" s="1882"/>
      <c r="E2469" s="1628" t="s">
        <v>8339</v>
      </c>
      <c r="F2469" s="1882"/>
      <c r="G2469" s="1882">
        <f>IF('4I'!P24="","##BLANK",'4I'!P24)</f>
        <v>0</v>
      </c>
    </row>
    <row r="2470" spans="2:7">
      <c r="B2470" s="821" t="str">
        <f>'4I'!BO25</f>
        <v>CR20011IRR</v>
      </c>
      <c r="D2470" s="1882"/>
      <c r="E2470" s="1628" t="s">
        <v>8339</v>
      </c>
      <c r="F2470" s="1882"/>
      <c r="G2470" s="1882">
        <f>IF('4I'!P25="","##BLANK",'4I'!P25)</f>
        <v>0</v>
      </c>
    </row>
    <row r="2471" spans="2:7">
      <c r="B2471" s="821" t="str">
        <f>'4I'!BO26</f>
        <v>CR20012IRR</v>
      </c>
      <c r="D2471" s="1882"/>
      <c r="E2471" s="1628" t="s">
        <v>8339</v>
      </c>
      <c r="F2471" s="1882"/>
      <c r="G2471" s="1882">
        <f>IF('4I'!P26="","##BLANK",'4I'!P26)</f>
        <v>0</v>
      </c>
    </row>
    <row r="2472" spans="2:7">
      <c r="B2472" s="821" t="str">
        <f>'4I'!BO27</f>
        <v>CR20013IRR</v>
      </c>
      <c r="D2472" s="1882"/>
      <c r="E2472" s="1628" t="s">
        <v>8339</v>
      </c>
      <c r="F2472" s="1882"/>
      <c r="G2472" s="1882">
        <f>IF('4I'!P27="","##BLANK",'4I'!P27)</f>
        <v>0</v>
      </c>
    </row>
    <row r="2473" spans="2:7">
      <c r="B2473" s="821" t="str">
        <f>'4I'!BO31</f>
        <v>CR20015IRR</v>
      </c>
      <c r="D2473" s="1882"/>
      <c r="E2473" s="1628" t="s">
        <v>8339</v>
      </c>
      <c r="F2473" s="1882"/>
      <c r="G2473" s="1882">
        <f>IF('4I'!P31="","##BLANK",'4I'!P31)</f>
        <v>0</v>
      </c>
    </row>
    <row r="2474" spans="2:7">
      <c r="B2474" s="821" t="str">
        <f>'4I'!BO32</f>
        <v>CR20016IRR</v>
      </c>
      <c r="D2474" s="1882"/>
      <c r="E2474" s="1628" t="s">
        <v>8339</v>
      </c>
      <c r="F2474" s="1882"/>
      <c r="G2474" s="1882">
        <f>IF('4I'!P32="","##BLANK",'4I'!P32)</f>
        <v>0</v>
      </c>
    </row>
    <row r="2475" spans="2:7">
      <c r="B2475" s="821" t="str">
        <f>'4I'!BO33</f>
        <v>CR20017IRR</v>
      </c>
      <c r="D2475" s="1882"/>
      <c r="E2475" s="1628" t="s">
        <v>8339</v>
      </c>
      <c r="F2475" s="1882"/>
      <c r="G2475" s="1882">
        <f>IF('4I'!P33="","##BLANK",'4I'!P33)</f>
        <v>0</v>
      </c>
    </row>
    <row r="2476" spans="2:7">
      <c r="B2476" s="821" t="str">
        <f>'4I'!BO37</f>
        <v>CR20018IRR</v>
      </c>
      <c r="D2476" s="1882"/>
      <c r="E2476" s="1628" t="s">
        <v>8339</v>
      </c>
      <c r="F2476" s="1882"/>
      <c r="G2476" s="1882">
        <f>IF('4I'!P37="","##BLANK",'4I'!P37)</f>
        <v>0</v>
      </c>
    </row>
    <row r="2477" spans="2:7">
      <c r="B2477" s="821" t="str">
        <f>'4I'!BO41</f>
        <v>CR2028IRR</v>
      </c>
      <c r="D2477" s="1882"/>
      <c r="E2477" s="1628" t="s">
        <v>8339</v>
      </c>
      <c r="F2477" s="1882"/>
      <c r="G2477" s="1882">
        <f>IF('4I'!P41="","##BLANK",'4I'!P41)</f>
        <v>0</v>
      </c>
    </row>
    <row r="2478" spans="2:7">
      <c r="B2478" s="821" t="str">
        <f>+'4J'!AQ7</f>
        <v>WS1001AL</v>
      </c>
      <c r="D2478" s="821"/>
      <c r="E2478" s="1628" t="s">
        <v>8339</v>
      </c>
      <c r="F2478" s="1882"/>
      <c r="G2478" s="1882">
        <f>IF('4J'!G7="","##BLANK",'4J'!G7)</f>
        <v>0</v>
      </c>
    </row>
    <row r="2479" spans="2:7">
      <c r="B2479" s="821" t="str">
        <f>+'4J'!AQ8</f>
        <v>WS1002AL</v>
      </c>
      <c r="D2479" s="821"/>
      <c r="E2479" s="1628" t="s">
        <v>8339</v>
      </c>
      <c r="F2479" s="1882"/>
      <c r="G2479" s="1882">
        <f>IF('4J'!G8="","##BLANK",'4J'!G8)</f>
        <v>0</v>
      </c>
    </row>
    <row r="2480" spans="2:7">
      <c r="B2480" s="821" t="str">
        <f>+'4J'!AQ9</f>
        <v>WS1003AL</v>
      </c>
      <c r="D2480" s="821"/>
      <c r="E2480" s="1628" t="s">
        <v>8339</v>
      </c>
      <c r="F2480" s="1882"/>
      <c r="G2480" s="1882">
        <f>IF('4J'!G9="","##BLANK",'4J'!G9)</f>
        <v>2.72</v>
      </c>
    </row>
    <row r="2481" spans="2:7">
      <c r="B2481" s="821" t="str">
        <f>+'4J'!AQ10</f>
        <v>WS1004AL</v>
      </c>
      <c r="D2481" s="821"/>
      <c r="E2481" s="1628" t="s">
        <v>8339</v>
      </c>
      <c r="F2481" s="1882"/>
      <c r="G2481" s="1882">
        <f>IF('4J'!G10="","##BLANK",'4J'!G10)</f>
        <v>4.0000000000000001E-3</v>
      </c>
    </row>
    <row r="2482" spans="2:7">
      <c r="B2482" s="821" t="str">
        <f>+'4J'!AQ12</f>
        <v>WS1005AL</v>
      </c>
      <c r="D2482" s="821"/>
      <c r="E2482" s="1628" t="s">
        <v>8339</v>
      </c>
      <c r="F2482" s="1882"/>
      <c r="G2482" s="1882">
        <f>IF('4J'!G12="","##BLANK",'4J'!G12)</f>
        <v>0</v>
      </c>
    </row>
    <row r="2483" spans="2:7">
      <c r="B2483" s="821" t="str">
        <f>+'4J'!AQ13</f>
        <v>WS1006AL</v>
      </c>
      <c r="D2483" s="821"/>
      <c r="E2483" s="1628" t="s">
        <v>8339</v>
      </c>
      <c r="F2483" s="1882"/>
      <c r="G2483" s="1882">
        <f>IF('4J'!G13="","##BLANK",'4J'!G13)</f>
        <v>0</v>
      </c>
    </row>
    <row r="2484" spans="2:7">
      <c r="B2484" s="821" t="str">
        <f>+'4J'!AQ14</f>
        <v>WS1007AL</v>
      </c>
      <c r="D2484" s="821"/>
      <c r="E2484" s="1628" t="s">
        <v>8339</v>
      </c>
      <c r="F2484" s="1882"/>
      <c r="G2484" s="1882">
        <f>IF('4J'!G14="","##BLANK",'4J'!G14)</f>
        <v>0</v>
      </c>
    </row>
    <row r="2485" spans="2:7">
      <c r="B2485" s="821" t="str">
        <f>+'4J'!AQ15</f>
        <v>WS1008AL</v>
      </c>
      <c r="D2485" s="821"/>
      <c r="E2485" s="1628" t="s">
        <v>8339</v>
      </c>
      <c r="F2485" s="1882"/>
      <c r="G2485" s="1882">
        <f>IF('4J'!G15="","##BLANK",'4J'!G15)</f>
        <v>0</v>
      </c>
    </row>
    <row r="2486" spans="2:7">
      <c r="B2486" s="821" t="str">
        <f>+'4J'!AQ16</f>
        <v>WS1009AL</v>
      </c>
      <c r="D2486" s="821"/>
      <c r="E2486" s="1628" t="s">
        <v>8339</v>
      </c>
      <c r="F2486" s="1882"/>
      <c r="G2486" s="1882">
        <f>IF('4J'!G16="","##BLANK",'4J'!G16)</f>
        <v>2.7240000000000002</v>
      </c>
    </row>
    <row r="2487" spans="2:7">
      <c r="B2487" s="821" t="str">
        <f>+'4J'!AQ18</f>
        <v>WS1010AL</v>
      </c>
      <c r="D2487" s="821"/>
      <c r="E2487" s="1628" t="s">
        <v>8339</v>
      </c>
      <c r="F2487" s="1882"/>
      <c r="G2487" s="1882">
        <f>IF('4J'!G18="","##BLANK",'4J'!G18)</f>
        <v>9.5000000000000001E-2</v>
      </c>
    </row>
    <row r="2488" spans="2:7">
      <c r="B2488" s="821" t="str">
        <f>+'4J'!AQ19</f>
        <v>WS1011AL</v>
      </c>
      <c r="D2488" s="821"/>
      <c r="E2488" s="1628" t="s">
        <v>8339</v>
      </c>
      <c r="F2488" s="1882"/>
      <c r="G2488" s="1882">
        <f>IF('4J'!G19="","##BLANK",'4J'!G19)</f>
        <v>2.8190000000000004</v>
      </c>
    </row>
    <row r="2489" spans="2:7">
      <c r="B2489" s="821" t="str">
        <f>+'4J'!AQ22</f>
        <v>WS1012AL</v>
      </c>
      <c r="D2489" s="821"/>
      <c r="E2489" s="1628" t="s">
        <v>8339</v>
      </c>
      <c r="F2489" s="1882"/>
      <c r="G2489" s="1882">
        <f>IF('4J'!G22="","##BLANK",'4J'!G22)</f>
        <v>0</v>
      </c>
    </row>
    <row r="2490" spans="2:7">
      <c r="B2490" s="821" t="str">
        <f>+'4J'!AQ23</f>
        <v>WS1013AL</v>
      </c>
      <c r="D2490" s="821"/>
      <c r="E2490" s="1628" t="s">
        <v>8339</v>
      </c>
      <c r="F2490" s="1882"/>
      <c r="G2490" s="1882">
        <f>IF('4J'!G23="","##BLANK",'4J'!G23)</f>
        <v>0</v>
      </c>
    </row>
    <row r="2491" spans="2:7">
      <c r="B2491" s="821" t="str">
        <f>+'4J'!AQ24</f>
        <v>WS1014AL</v>
      </c>
      <c r="D2491" s="821"/>
      <c r="E2491" s="1628" t="s">
        <v>8339</v>
      </c>
      <c r="F2491" s="1882"/>
      <c r="G2491" s="1882">
        <f>IF('4J'!G24="","##BLANK",'4J'!G24)</f>
        <v>0</v>
      </c>
    </row>
    <row r="2492" spans="2:7">
      <c r="B2492" s="821" t="str">
        <f>+'4J'!AQ25</f>
        <v>WS1015AL</v>
      </c>
      <c r="D2492" s="821"/>
      <c r="E2492" s="1628" t="s">
        <v>8339</v>
      </c>
      <c r="F2492" s="1882"/>
      <c r="G2492" s="1882">
        <f>IF('4J'!G25="","##BLANK",'4J'!G25)</f>
        <v>0</v>
      </c>
    </row>
    <row r="2493" spans="2:7">
      <c r="B2493" s="821" t="str">
        <f>+'4J'!AQ26</f>
        <v>WS1016AL</v>
      </c>
      <c r="D2493" s="821"/>
      <c r="E2493" s="1628" t="s">
        <v>8339</v>
      </c>
      <c r="F2493" s="1882"/>
      <c r="G2493" s="1882">
        <f>IF('4J'!G26="","##BLANK",'4J'!G26)</f>
        <v>0</v>
      </c>
    </row>
    <row r="2494" spans="2:7">
      <c r="B2494" s="821" t="str">
        <f>+'4J'!AQ27</f>
        <v>WS1017AL</v>
      </c>
      <c r="D2494" s="821"/>
      <c r="E2494" s="1628" t="s">
        <v>8339</v>
      </c>
      <c r="F2494" s="1882"/>
      <c r="G2494" s="1882">
        <f>IF('4J'!G27="","##BLANK",'4J'!G27)</f>
        <v>0</v>
      </c>
    </row>
    <row r="2495" spans="2:7">
      <c r="B2495" s="821" t="str">
        <f>+'4J'!AQ28</f>
        <v>WS1018AL</v>
      </c>
      <c r="D2495" s="821"/>
      <c r="E2495" s="1628" t="s">
        <v>8339</v>
      </c>
      <c r="F2495" s="1882"/>
      <c r="G2495" s="1882">
        <f>IF('4J'!G28="","##BLANK",'4J'!G28)</f>
        <v>0</v>
      </c>
    </row>
    <row r="2496" spans="2:7">
      <c r="B2496" s="821" t="str">
        <f>+'4J'!AQ29</f>
        <v>WS1019AL</v>
      </c>
      <c r="D2496" s="821"/>
      <c r="E2496" s="1628" t="s">
        <v>8339</v>
      </c>
      <c r="F2496" s="1882"/>
      <c r="G2496" s="1882">
        <f>IF('4J'!G29="","##BLANK",'4J'!G29)</f>
        <v>0</v>
      </c>
    </row>
    <row r="2497" spans="2:7">
      <c r="B2497" s="821" t="str">
        <f>+'4J'!AQ30</f>
        <v>WS1020AL</v>
      </c>
      <c r="D2497" s="821"/>
      <c r="E2497" s="1628" t="s">
        <v>8339</v>
      </c>
      <c r="F2497" s="1882"/>
      <c r="G2497" s="1882">
        <f>IF('4J'!G30="","##BLANK",'4J'!G30)</f>
        <v>0</v>
      </c>
    </row>
    <row r="2498" spans="2:7">
      <c r="B2498" s="821" t="str">
        <f>+'4J'!AQ31</f>
        <v>WS1021AL</v>
      </c>
      <c r="D2498" s="821"/>
      <c r="E2498" s="1628" t="s">
        <v>8339</v>
      </c>
      <c r="F2498" s="1882"/>
      <c r="G2498" s="1882">
        <f>IF('4J'!G31="","##BLANK",'4J'!G31)</f>
        <v>2.8190000000000004</v>
      </c>
    </row>
    <row r="2499" spans="2:7">
      <c r="B2499" s="821" t="str">
        <f>+'4J'!AQ34</f>
        <v>WS1022AL</v>
      </c>
      <c r="D2499" s="821"/>
      <c r="E2499" s="1628" t="s">
        <v>8339</v>
      </c>
      <c r="F2499" s="1882"/>
      <c r="G2499" s="1882">
        <f>IF('4J'!G34="","##BLANK",'4J'!G34)</f>
        <v>0</v>
      </c>
    </row>
    <row r="2500" spans="2:7">
      <c r="B2500" s="821" t="str">
        <f>+'4J'!AQ35</f>
        <v>WS1023AL</v>
      </c>
      <c r="D2500" s="821"/>
      <c r="E2500" s="1628" t="s">
        <v>8339</v>
      </c>
      <c r="F2500" s="1882"/>
      <c r="G2500" s="1882">
        <f>IF('4J'!G35="","##BLANK",'4J'!G35)</f>
        <v>0</v>
      </c>
    </row>
    <row r="2501" spans="2:7">
      <c r="B2501" s="821" t="str">
        <f>+'4J'!AQ36</f>
        <v>WS1024AL</v>
      </c>
      <c r="D2501" s="821"/>
      <c r="E2501" s="1628" t="s">
        <v>8339</v>
      </c>
      <c r="F2501" s="1882"/>
      <c r="G2501" s="1882">
        <f>IF('4J'!G36="","##BLANK",'4J'!G36)</f>
        <v>2.8190000000000004</v>
      </c>
    </row>
    <row r="2502" spans="2:7">
      <c r="B2502" s="821" t="str">
        <f>+'4J'!AQ39</f>
        <v>BP3357001AL</v>
      </c>
      <c r="D2502" s="821"/>
      <c r="E2502" s="1628" t="s">
        <v>8339</v>
      </c>
      <c r="F2502" s="1882" t="str">
        <f>+'4J'!C$39</f>
        <v>Canal and River Trust Arbitration</v>
      </c>
      <c r="G2502" s="1882">
        <f>IF('4J'!G39="","##BLANK",'4J'!G39)</f>
        <v>2.4740000000000002</v>
      </c>
    </row>
    <row r="2503" spans="2:7">
      <c r="B2503" s="821" t="str">
        <f>+'4J'!AQ40</f>
        <v>BP3357002AL</v>
      </c>
      <c r="D2503" s="821"/>
      <c r="E2503" s="1628" t="s">
        <v>8339</v>
      </c>
      <c r="F2503" s="1882" t="str">
        <f>+'4J'!C$40</f>
        <v>CMA referral</v>
      </c>
      <c r="G2503" s="1882">
        <f>IF('4J'!G40="","##BLANK",'4J'!G40)</f>
        <v>0</v>
      </c>
    </row>
    <row r="2504" spans="2:7">
      <c r="B2504" s="821" t="str">
        <f>+'4J'!AQ41</f>
        <v>BP3357003AL</v>
      </c>
      <c r="D2504" s="821"/>
      <c r="E2504" s="1628" t="s">
        <v>8339</v>
      </c>
      <c r="F2504" s="1882" t="str">
        <f>+'4J'!C$41</f>
        <v>Item 3</v>
      </c>
      <c r="G2504" s="1882" t="str">
        <f>IF('4J'!G41="","##BLANK",'4J'!G41)</f>
        <v>##BLANK</v>
      </c>
    </row>
    <row r="2505" spans="2:7">
      <c r="B2505" s="821" t="str">
        <f>+'4J'!AQ42</f>
        <v>BP3357004AL</v>
      </c>
      <c r="D2505" s="821"/>
      <c r="E2505" s="1628" t="s">
        <v>8339</v>
      </c>
      <c r="F2505" s="1882" t="str">
        <f>+'4J'!C$42</f>
        <v>Item 4</v>
      </c>
      <c r="G2505" s="1882" t="str">
        <f>IF('4J'!G42="","##BLANK",'4J'!G42)</f>
        <v>##BLANK</v>
      </c>
    </row>
    <row r="2506" spans="2:7">
      <c r="B2506" s="821" t="str">
        <f>+'4J'!AQ43</f>
        <v>BP3357005AL</v>
      </c>
      <c r="D2506" s="821"/>
      <c r="E2506" s="1628" t="s">
        <v>8339</v>
      </c>
      <c r="F2506" s="1882" t="str">
        <f>+'4J'!C$43</f>
        <v>Item 5</v>
      </c>
      <c r="G2506" s="1882" t="str">
        <f>IF('4J'!G43="","##BLANK",'4J'!G43)</f>
        <v>##BLANK</v>
      </c>
    </row>
    <row r="2507" spans="2:7">
      <c r="B2507" s="821" t="str">
        <f>+'4J'!AQ44</f>
        <v>BP3357006AL</v>
      </c>
      <c r="D2507" s="821"/>
      <c r="E2507" s="1628" t="s">
        <v>8339</v>
      </c>
      <c r="F2507" s="1882" t="str">
        <f>+'4J'!C$44</f>
        <v>Item 6</v>
      </c>
      <c r="G2507" s="1882" t="str">
        <f>IF('4J'!G44="","##BLANK",'4J'!G44)</f>
        <v>##BLANK</v>
      </c>
    </row>
    <row r="2508" spans="2:7">
      <c r="B2508" s="821" t="str">
        <f>+'4J'!AQ45</f>
        <v>BP3357007AL</v>
      </c>
      <c r="D2508" s="821"/>
      <c r="E2508" s="1628" t="s">
        <v>8339</v>
      </c>
      <c r="F2508" s="1882" t="str">
        <f>+'4J'!C$45</f>
        <v>Item 7</v>
      </c>
      <c r="G2508" s="1882" t="str">
        <f>IF('4J'!G45="","##BLANK",'4J'!G45)</f>
        <v>##BLANK</v>
      </c>
    </row>
    <row r="2509" spans="2:7">
      <c r="B2509" s="821" t="str">
        <f>+'4J'!AQ46</f>
        <v>BP3357008AL</v>
      </c>
      <c r="D2509" s="821"/>
      <c r="E2509" s="1628" t="s">
        <v>8339</v>
      </c>
      <c r="F2509" s="1882" t="str">
        <f>+'4J'!C$46</f>
        <v>Item 8</v>
      </c>
      <c r="G2509" s="1882" t="str">
        <f>IF('4J'!G46="","##BLANK",'4J'!G46)</f>
        <v>##BLANK</v>
      </c>
    </row>
    <row r="2510" spans="2:7">
      <c r="B2510" s="821" t="str">
        <f>+'4J'!AQ47</f>
        <v>BP3357009AL</v>
      </c>
      <c r="D2510" s="821"/>
      <c r="E2510" s="1628" t="s">
        <v>8339</v>
      </c>
      <c r="F2510" s="1882" t="str">
        <f>+'4J'!C$47</f>
        <v>Item 9</v>
      </c>
      <c r="G2510" s="1882" t="str">
        <f>IF('4J'!G47="","##BLANK",'4J'!G47)</f>
        <v>##BLANK</v>
      </c>
    </row>
    <row r="2511" spans="2:7">
      <c r="B2511" s="821" t="str">
        <f>+'4J'!AQ48</f>
        <v>BP3357010AL</v>
      </c>
      <c r="D2511" s="821"/>
      <c r="E2511" s="1628" t="s">
        <v>8339</v>
      </c>
      <c r="F2511" s="1882" t="str">
        <f>+'4J'!C$48</f>
        <v>Item 10</v>
      </c>
      <c r="G2511" s="1882" t="str">
        <f>IF('4J'!G48="","##BLANK",'4J'!G48)</f>
        <v>##BLANK</v>
      </c>
    </row>
    <row r="2512" spans="2:7">
      <c r="B2512" s="821" t="str">
        <f>+'4J'!AQ49</f>
        <v>BP3357020AL</v>
      </c>
      <c r="D2512" s="821"/>
      <c r="E2512" s="1628" t="s">
        <v>8339</v>
      </c>
      <c r="F2512" s="1882"/>
      <c r="G2512" s="1882">
        <f>IF('4J'!G49="","##BLANK",'4J'!G49)</f>
        <v>2.4740000000000002</v>
      </c>
    </row>
    <row r="2513" spans="2:7">
      <c r="B2513" s="821" t="str">
        <f>+'4J'!AQ52</f>
        <v>W3026TEAL</v>
      </c>
      <c r="D2513" s="821"/>
      <c r="E2513" s="1628" t="s">
        <v>8339</v>
      </c>
      <c r="F2513" s="1882"/>
      <c r="G2513" s="1882">
        <f>IF('4J'!G52="","##BLANK",'4J'!G52)</f>
        <v>5.293000000000001</v>
      </c>
    </row>
    <row r="2514" spans="2:7">
      <c r="B2514" s="821" t="str">
        <f>+'4J'!AR7</f>
        <v>WS1001RWA</v>
      </c>
      <c r="D2514" s="821"/>
      <c r="E2514" s="1628" t="s">
        <v>8339</v>
      </c>
      <c r="F2514" s="1882"/>
      <c r="G2514" s="1882">
        <f>IF('4J'!H7="","##BLANK",'4J'!H7)</f>
        <v>1.6850000000000001</v>
      </c>
    </row>
    <row r="2515" spans="2:7">
      <c r="B2515" s="821" t="str">
        <f>+'4J'!AR8</f>
        <v>WS1002RWA</v>
      </c>
      <c r="D2515" s="821"/>
      <c r="E2515" s="1628" t="s">
        <v>8339</v>
      </c>
      <c r="F2515" s="1882"/>
      <c r="G2515" s="1882">
        <f>IF('4J'!H8="","##BLANK",'4J'!H8)</f>
        <v>0</v>
      </c>
    </row>
    <row r="2516" spans="2:7">
      <c r="B2516" s="821" t="str">
        <f>+'4J'!AR9</f>
        <v>WS1003RWA</v>
      </c>
      <c r="D2516" s="821"/>
      <c r="E2516" s="1628" t="s">
        <v>8339</v>
      </c>
      <c r="F2516" s="1882"/>
      <c r="G2516" s="1882">
        <f>IF('4J'!H9="","##BLANK",'4J'!H9)</f>
        <v>0</v>
      </c>
    </row>
    <row r="2517" spans="2:7">
      <c r="B2517" s="821" t="str">
        <f>+'4J'!AR10</f>
        <v>WS1004RWA</v>
      </c>
      <c r="D2517" s="821"/>
      <c r="E2517" s="1628" t="s">
        <v>8339</v>
      </c>
      <c r="F2517" s="1882"/>
      <c r="G2517" s="1882">
        <f>IF('4J'!H10="","##BLANK",'4J'!H10)</f>
        <v>1.2E-2</v>
      </c>
    </row>
    <row r="2518" spans="2:7">
      <c r="B2518" s="821" t="str">
        <f>+'4J'!AR12</f>
        <v>WS1005RWA</v>
      </c>
      <c r="D2518" s="821"/>
      <c r="E2518" s="1628" t="s">
        <v>8339</v>
      </c>
      <c r="F2518" s="1882"/>
      <c r="G2518" s="1882">
        <f>IF('4J'!H12="","##BLANK",'4J'!H12)</f>
        <v>0.11799999999999999</v>
      </c>
    </row>
    <row r="2519" spans="2:7">
      <c r="B2519" s="821" t="str">
        <f>+'4J'!AR13</f>
        <v>WS1006RWA</v>
      </c>
      <c r="D2519" s="821"/>
      <c r="E2519" s="1628" t="s">
        <v>8339</v>
      </c>
      <c r="F2519" s="1882"/>
      <c r="G2519" s="1882">
        <f>IF('4J'!H13="","##BLANK",'4J'!H13)</f>
        <v>0</v>
      </c>
    </row>
    <row r="2520" spans="2:7">
      <c r="B2520" s="821" t="str">
        <f>+'4J'!AR14</f>
        <v>WS1007RWA</v>
      </c>
      <c r="D2520" s="821"/>
      <c r="E2520" s="1628" t="s">
        <v>8339</v>
      </c>
      <c r="F2520" s="1882"/>
      <c r="G2520" s="1882">
        <f>IF('4J'!H14="","##BLANK",'4J'!H14)</f>
        <v>6.0289999999999999</v>
      </c>
    </row>
    <row r="2521" spans="2:7">
      <c r="B2521" s="821" t="str">
        <f>+'4J'!AR15</f>
        <v>WS1008RWA</v>
      </c>
      <c r="D2521" s="821"/>
      <c r="E2521" s="1628" t="s">
        <v>8339</v>
      </c>
      <c r="F2521" s="1882"/>
      <c r="G2521" s="1882">
        <f>IF('4J'!H15="","##BLANK",'4J'!H15)</f>
        <v>1.292</v>
      </c>
    </row>
    <row r="2522" spans="2:7">
      <c r="B2522" s="821" t="str">
        <f>+'4J'!AR16</f>
        <v>WS1009RWA</v>
      </c>
      <c r="D2522" s="821"/>
      <c r="E2522" s="1628" t="s">
        <v>8339</v>
      </c>
      <c r="F2522" s="1882"/>
      <c r="G2522" s="1882">
        <f>IF('4J'!H16="","##BLANK",'4J'!H16)</f>
        <v>9.1359999999999992</v>
      </c>
    </row>
    <row r="2523" spans="2:7">
      <c r="B2523" s="821" t="str">
        <f>+'4J'!AR18</f>
        <v>WS1010RWA</v>
      </c>
      <c r="D2523" s="821"/>
      <c r="E2523" s="1628" t="s">
        <v>8339</v>
      </c>
      <c r="F2523" s="1882"/>
      <c r="G2523" s="1882">
        <f>IF('4J'!H18="","##BLANK",'4J'!H18)</f>
        <v>0.16300000000000001</v>
      </c>
    </row>
    <row r="2524" spans="2:7">
      <c r="B2524" s="821" t="str">
        <f>+'4J'!AR19</f>
        <v>WS1011RWA</v>
      </c>
      <c r="D2524" s="821"/>
      <c r="E2524" s="1628" t="s">
        <v>8339</v>
      </c>
      <c r="F2524" s="1882"/>
      <c r="G2524" s="1882">
        <f>IF('4J'!H19="","##BLANK",'4J'!H19)</f>
        <v>9.2989999999999995</v>
      </c>
    </row>
    <row r="2525" spans="2:7">
      <c r="B2525" s="821" t="str">
        <f>+'4J'!AR22</f>
        <v>WS1012RWA</v>
      </c>
      <c r="D2525" s="821"/>
      <c r="E2525" s="1628" t="s">
        <v>8339</v>
      </c>
      <c r="F2525" s="1882"/>
      <c r="G2525" s="1882">
        <f>IF('4J'!H22="","##BLANK",'4J'!H22)</f>
        <v>0.68243299999999996</v>
      </c>
    </row>
    <row r="2526" spans="2:7">
      <c r="B2526" s="821" t="str">
        <f>+'4J'!AR23</f>
        <v>WS1013RWA</v>
      </c>
      <c r="D2526" s="821"/>
      <c r="E2526" s="1628" t="s">
        <v>8339</v>
      </c>
      <c r="F2526" s="1882"/>
      <c r="G2526" s="1882">
        <f>IF('4J'!H23="","##BLANK",'4J'!H23)</f>
        <v>1.4641093631228497</v>
      </c>
    </row>
    <row r="2527" spans="2:7">
      <c r="B2527" s="821" t="str">
        <f>+'4J'!AR24</f>
        <v>WS1014RWA</v>
      </c>
      <c r="D2527" s="821"/>
      <c r="E2527" s="1628" t="s">
        <v>8339</v>
      </c>
      <c r="F2527" s="1882"/>
      <c r="G2527" s="1882">
        <f>IF('4J'!H24="","##BLANK",'4J'!H24)</f>
        <v>0</v>
      </c>
    </row>
    <row r="2528" spans="2:7">
      <c r="B2528" s="821" t="str">
        <f>+'4J'!AR25</f>
        <v>WS1015RWA</v>
      </c>
      <c r="D2528" s="821"/>
      <c r="E2528" s="1628" t="s">
        <v>8339</v>
      </c>
      <c r="F2528" s="1882"/>
      <c r="G2528" s="1882">
        <f>IF('4J'!H25="","##BLANK",'4J'!H25)</f>
        <v>1.0701603409919898</v>
      </c>
    </row>
    <row r="2529" spans="2:7">
      <c r="B2529" s="821" t="str">
        <f>+'4J'!AR26</f>
        <v>WS1016RWA</v>
      </c>
      <c r="D2529" s="821"/>
      <c r="E2529" s="1628" t="s">
        <v>8339</v>
      </c>
      <c r="F2529" s="1882"/>
      <c r="G2529" s="1882">
        <f>IF('4J'!H26="","##BLANK",'4J'!H26)</f>
        <v>0</v>
      </c>
    </row>
    <row r="2530" spans="2:7">
      <c r="B2530" s="821" t="str">
        <f>+'4J'!AR27</f>
        <v>WS1017RWA</v>
      </c>
      <c r="D2530" s="821"/>
      <c r="E2530" s="1628" t="s">
        <v>8339</v>
      </c>
      <c r="F2530" s="1882"/>
      <c r="G2530" s="1882">
        <f>IF('4J'!H27="","##BLANK",'4J'!H27)</f>
        <v>3.2167027041148395</v>
      </c>
    </row>
    <row r="2531" spans="2:7">
      <c r="B2531" s="821" t="str">
        <f>+'4J'!AR28</f>
        <v>WS1018RWA</v>
      </c>
      <c r="D2531" s="821"/>
      <c r="E2531" s="1628" t="s">
        <v>8339</v>
      </c>
      <c r="F2531" s="1882"/>
      <c r="G2531" s="1882">
        <f>IF('4J'!H28="","##BLANK",'4J'!H28)</f>
        <v>6.9999999999999999E-4</v>
      </c>
    </row>
    <row r="2532" spans="2:7">
      <c r="B2532" s="821" t="str">
        <f>+'4J'!AR29</f>
        <v>WS1019RWA</v>
      </c>
      <c r="D2532" s="821"/>
      <c r="E2532" s="1628" t="s">
        <v>8339</v>
      </c>
      <c r="F2532" s="1882"/>
      <c r="G2532" s="1882">
        <f>IF('4J'!H29="","##BLANK",'4J'!H29)</f>
        <v>3.2174027041148396</v>
      </c>
    </row>
    <row r="2533" spans="2:7">
      <c r="B2533" s="821" t="str">
        <f>+'4J'!AR30</f>
        <v>WS1020RWA</v>
      </c>
      <c r="D2533" s="821"/>
      <c r="E2533" s="1628" t="s">
        <v>8339</v>
      </c>
      <c r="F2533" s="1882"/>
      <c r="G2533" s="1882">
        <f>IF('4J'!H30="","##BLANK",'4J'!H30)</f>
        <v>0</v>
      </c>
    </row>
    <row r="2534" spans="2:7">
      <c r="B2534" s="821" t="str">
        <f>+'4J'!AR31</f>
        <v>WS1021RWA</v>
      </c>
      <c r="D2534" s="821"/>
      <c r="E2534" s="1628" t="s">
        <v>8339</v>
      </c>
      <c r="F2534" s="1882"/>
      <c r="G2534" s="1882">
        <f>IF('4J'!H31="","##BLANK",'4J'!H31)</f>
        <v>12.516402704114839</v>
      </c>
    </row>
    <row r="2535" spans="2:7">
      <c r="B2535" s="821" t="str">
        <f>+'4J'!AR34</f>
        <v>WS1022RWA</v>
      </c>
      <c r="D2535" s="821"/>
      <c r="E2535" s="1628" t="s">
        <v>8339</v>
      </c>
      <c r="F2535" s="1882"/>
      <c r="G2535" s="1882">
        <f>IF('4J'!H34="","##BLANK",'4J'!H34)</f>
        <v>0</v>
      </c>
    </row>
    <row r="2536" spans="2:7">
      <c r="B2536" s="821" t="str">
        <f>+'4J'!AR35</f>
        <v>WS1023RWA</v>
      </c>
      <c r="D2536" s="821"/>
      <c r="E2536" s="1628" t="s">
        <v>8339</v>
      </c>
      <c r="F2536" s="1882"/>
      <c r="G2536" s="1882">
        <f>IF('4J'!H35="","##BLANK",'4J'!H35)</f>
        <v>0</v>
      </c>
    </row>
    <row r="2537" spans="2:7">
      <c r="B2537" s="821" t="str">
        <f>+'4J'!AR36</f>
        <v>WS1024RWA</v>
      </c>
      <c r="D2537" s="821"/>
      <c r="E2537" s="1628" t="s">
        <v>8339</v>
      </c>
      <c r="F2537" s="1882"/>
      <c r="G2537" s="1882">
        <f>IF('4J'!H36="","##BLANK",'4J'!H36)</f>
        <v>12.516402704114839</v>
      </c>
    </row>
    <row r="2538" spans="2:7">
      <c r="B2538" s="821" t="str">
        <f>+'4J'!AR39</f>
        <v>BP3357001RWA</v>
      </c>
      <c r="D2538" s="821"/>
      <c r="E2538" s="1628" t="s">
        <v>8339</v>
      </c>
      <c r="F2538" s="1882" t="str">
        <f>+'4J'!C$39</f>
        <v>Canal and River Trust Arbitration</v>
      </c>
      <c r="G2538" s="1882">
        <f>IF('4J'!H39="","##BLANK",'4J'!H39)</f>
        <v>0</v>
      </c>
    </row>
    <row r="2539" spans="2:7">
      <c r="B2539" s="821" t="str">
        <f>+'4J'!AR40</f>
        <v>BP3357002RWA</v>
      </c>
      <c r="D2539" s="821"/>
      <c r="E2539" s="1628" t="s">
        <v>8339</v>
      </c>
      <c r="F2539" s="1882" t="str">
        <f>+'4J'!C$40</f>
        <v>CMA referral</v>
      </c>
      <c r="G2539" s="1882">
        <f>IF('4J'!H40="","##BLANK",'4J'!H40)</f>
        <v>1.4490000000000001</v>
      </c>
    </row>
    <row r="2540" spans="2:7">
      <c r="B2540" s="821" t="str">
        <f>+'4J'!AR41</f>
        <v>BP3357003RWA</v>
      </c>
      <c r="D2540" s="821"/>
      <c r="E2540" s="1628" t="s">
        <v>8339</v>
      </c>
      <c r="F2540" s="1882" t="str">
        <f>+'4J'!C$41</f>
        <v>Item 3</v>
      </c>
      <c r="G2540" s="1882" t="str">
        <f>IF('4J'!H41="","##BLANK",'4J'!H41)</f>
        <v>##BLANK</v>
      </c>
    </row>
    <row r="2541" spans="2:7">
      <c r="B2541" s="821" t="str">
        <f>+'4J'!AR42</f>
        <v>BP3357004RWA</v>
      </c>
      <c r="D2541" s="821"/>
      <c r="E2541" s="1628" t="s">
        <v>8339</v>
      </c>
      <c r="F2541" s="1882" t="str">
        <f>+'4J'!C$42</f>
        <v>Item 4</v>
      </c>
      <c r="G2541" s="1882" t="str">
        <f>IF('4J'!H42="","##BLANK",'4J'!H42)</f>
        <v>##BLANK</v>
      </c>
    </row>
    <row r="2542" spans="2:7">
      <c r="B2542" s="821" t="str">
        <f>+'4J'!AR43</f>
        <v>BP3357005RWA</v>
      </c>
      <c r="D2542" s="821"/>
      <c r="E2542" s="1628" t="s">
        <v>8339</v>
      </c>
      <c r="F2542" s="1882" t="str">
        <f>+'4J'!C$43</f>
        <v>Item 5</v>
      </c>
      <c r="G2542" s="1882" t="str">
        <f>IF('4J'!H43="","##BLANK",'4J'!H43)</f>
        <v>##BLANK</v>
      </c>
    </row>
    <row r="2543" spans="2:7">
      <c r="B2543" s="821" t="str">
        <f>+'4J'!AR44</f>
        <v>BP3357006RWA</v>
      </c>
      <c r="D2543" s="821"/>
      <c r="E2543" s="1628" t="s">
        <v>8339</v>
      </c>
      <c r="F2543" s="1882" t="str">
        <f>+'4J'!C$44</f>
        <v>Item 6</v>
      </c>
      <c r="G2543" s="1882" t="str">
        <f>IF('4J'!H44="","##BLANK",'4J'!H44)</f>
        <v>##BLANK</v>
      </c>
    </row>
    <row r="2544" spans="2:7">
      <c r="B2544" s="821" t="str">
        <f>+'4J'!AR45</f>
        <v>BP3357007RWA</v>
      </c>
      <c r="D2544" s="821"/>
      <c r="E2544" s="1628" t="s">
        <v>8339</v>
      </c>
      <c r="F2544" s="1882" t="str">
        <f>+'4J'!C$45</f>
        <v>Item 7</v>
      </c>
      <c r="G2544" s="1882" t="str">
        <f>IF('4J'!H45="","##BLANK",'4J'!H45)</f>
        <v>##BLANK</v>
      </c>
    </row>
    <row r="2545" spans="2:7">
      <c r="B2545" s="821" t="str">
        <f>+'4J'!AR46</f>
        <v>BP3357008RWA</v>
      </c>
      <c r="D2545" s="821"/>
      <c r="E2545" s="1628" t="s">
        <v>8339</v>
      </c>
      <c r="F2545" s="1882" t="str">
        <f>+'4J'!C$46</f>
        <v>Item 8</v>
      </c>
      <c r="G2545" s="1882" t="str">
        <f>IF('4J'!H46="","##BLANK",'4J'!H46)</f>
        <v>##BLANK</v>
      </c>
    </row>
    <row r="2546" spans="2:7">
      <c r="B2546" s="821" t="str">
        <f>+'4J'!AR47</f>
        <v>BP3357009RWA</v>
      </c>
      <c r="D2546" s="821"/>
      <c r="E2546" s="1628" t="s">
        <v>8339</v>
      </c>
      <c r="F2546" s="1882" t="str">
        <f>+'4J'!C$47</f>
        <v>Item 9</v>
      </c>
      <c r="G2546" s="1882" t="str">
        <f>IF('4J'!H47="","##BLANK",'4J'!H47)</f>
        <v>##BLANK</v>
      </c>
    </row>
    <row r="2547" spans="2:7">
      <c r="B2547" s="821" t="str">
        <f>+'4J'!AR48</f>
        <v>BP3357010RWA</v>
      </c>
      <c r="D2547" s="821"/>
      <c r="E2547" s="1628" t="s">
        <v>8339</v>
      </c>
      <c r="F2547" s="1882" t="str">
        <f>+'4J'!C$48</f>
        <v>Item 10</v>
      </c>
      <c r="G2547" s="1882" t="str">
        <f>IF('4J'!H48="","##BLANK",'4J'!H48)</f>
        <v>##BLANK</v>
      </c>
    </row>
    <row r="2548" spans="2:7">
      <c r="B2548" s="821" t="str">
        <f>+'4J'!AR49</f>
        <v>BP3357020RWA</v>
      </c>
      <c r="D2548" s="821"/>
      <c r="E2548" s="1628" t="s">
        <v>8339</v>
      </c>
      <c r="F2548" s="1882"/>
      <c r="G2548" s="1882">
        <f>IF('4J'!H49="","##BLANK",'4J'!H49)</f>
        <v>1.4490000000000001</v>
      </c>
    </row>
    <row r="2549" spans="2:7">
      <c r="B2549" s="821" t="str">
        <f>+'4J'!AR52</f>
        <v>W3026TERWA</v>
      </c>
      <c r="D2549" s="821"/>
      <c r="E2549" s="1628" t="s">
        <v>8339</v>
      </c>
      <c r="F2549" s="1882"/>
      <c r="G2549" s="1882">
        <f>IF('4J'!H52="","##BLANK",'4J'!H52)</f>
        <v>13.965402704114839</v>
      </c>
    </row>
    <row r="2550" spans="2:7">
      <c r="B2550" s="821" t="str">
        <f>+'4J'!AS7</f>
        <v>WS1001RWT</v>
      </c>
      <c r="D2550" s="821"/>
      <c r="E2550" s="1628" t="s">
        <v>8339</v>
      </c>
      <c r="F2550" s="1882"/>
      <c r="G2550" s="1882">
        <f>IF('4J'!I7="","##BLANK",'4J'!I7)</f>
        <v>3.1E-2</v>
      </c>
    </row>
    <row r="2551" spans="2:7">
      <c r="B2551" s="821" t="str">
        <f>+'4J'!AS8</f>
        <v>WS1002RWT</v>
      </c>
      <c r="D2551" s="821"/>
      <c r="E2551" s="1628" t="s">
        <v>8339</v>
      </c>
      <c r="F2551" s="1882"/>
      <c r="G2551" s="1882">
        <f>IF('4J'!I8="","##BLANK",'4J'!I8)</f>
        <v>0</v>
      </c>
    </row>
    <row r="2552" spans="2:7">
      <c r="B2552" s="821" t="str">
        <f>+'4J'!AS9</f>
        <v>WS1003RWT</v>
      </c>
      <c r="D2552" s="821"/>
      <c r="E2552" s="1628" t="s">
        <v>8339</v>
      </c>
      <c r="F2552" s="1882"/>
      <c r="G2552" s="1882">
        <f>IF('4J'!I9="","##BLANK",'4J'!I9)</f>
        <v>6.0000000000000001E-3</v>
      </c>
    </row>
    <row r="2553" spans="2:7">
      <c r="B2553" s="821" t="str">
        <f>+'4J'!AS10</f>
        <v>WS1004RWT</v>
      </c>
      <c r="D2553" s="821"/>
      <c r="E2553" s="1628" t="s">
        <v>8339</v>
      </c>
      <c r="F2553" s="1882"/>
      <c r="G2553" s="1882">
        <f>IF('4J'!I10="","##BLANK",'4J'!I10)</f>
        <v>0</v>
      </c>
    </row>
    <row r="2554" spans="2:7">
      <c r="B2554" s="821" t="str">
        <f>+'4J'!AS12</f>
        <v>WS1005RWT</v>
      </c>
      <c r="D2554" s="821"/>
      <c r="E2554" s="1628" t="s">
        <v>8339</v>
      </c>
      <c r="F2554" s="1882"/>
      <c r="G2554" s="1882">
        <f>IF('4J'!I12="","##BLANK",'4J'!I12)</f>
        <v>2.8000000000000001E-2</v>
      </c>
    </row>
    <row r="2555" spans="2:7">
      <c r="B2555" s="821" t="str">
        <f>+'4J'!AS13</f>
        <v>WS1006RWT</v>
      </c>
      <c r="D2555" s="821"/>
      <c r="E2555" s="1628" t="s">
        <v>8339</v>
      </c>
      <c r="F2555" s="1882"/>
      <c r="G2555" s="1882">
        <f>IF('4J'!I13="","##BLANK",'4J'!I13)</f>
        <v>0</v>
      </c>
    </row>
    <row r="2556" spans="2:7">
      <c r="B2556" s="821" t="str">
        <f>+'4J'!AS14</f>
        <v>WS1007RWT</v>
      </c>
      <c r="D2556" s="821"/>
      <c r="E2556" s="1628" t="s">
        <v>8339</v>
      </c>
      <c r="F2556" s="1882"/>
      <c r="G2556" s="1882">
        <f>IF('4J'!I14="","##BLANK",'4J'!I14)</f>
        <v>0.60899999999999999</v>
      </c>
    </row>
    <row r="2557" spans="2:7">
      <c r="B2557" s="821" t="str">
        <f>+'4J'!AS15</f>
        <v>WS1008RWT</v>
      </c>
      <c r="D2557" s="821"/>
      <c r="E2557" s="1628" t="s">
        <v>8339</v>
      </c>
      <c r="F2557" s="1882"/>
      <c r="G2557" s="1882">
        <f>IF('4J'!I15="","##BLANK",'4J'!I15)</f>
        <v>0.16800000000000001</v>
      </c>
    </row>
    <row r="2558" spans="2:7">
      <c r="B2558" s="821" t="str">
        <f>+'4J'!AS16</f>
        <v>WS1009RWT</v>
      </c>
      <c r="D2558" s="821"/>
      <c r="E2558" s="1628" t="s">
        <v>8339</v>
      </c>
      <c r="F2558" s="1882"/>
      <c r="G2558" s="1882">
        <f>IF('4J'!I16="","##BLANK",'4J'!I16)</f>
        <v>0.84199999999999997</v>
      </c>
    </row>
    <row r="2559" spans="2:7">
      <c r="B2559" s="821" t="str">
        <f>+'4J'!AS18</f>
        <v>WS1010RWT</v>
      </c>
      <c r="D2559" s="821"/>
      <c r="E2559" s="1628" t="s">
        <v>8339</v>
      </c>
      <c r="F2559" s="1882"/>
      <c r="G2559" s="1882">
        <f>IF('4J'!I18="","##BLANK",'4J'!I18)</f>
        <v>0</v>
      </c>
    </row>
    <row r="2560" spans="2:7">
      <c r="B2560" s="821" t="str">
        <f>+'4J'!AS19</f>
        <v>WS1011RWT</v>
      </c>
      <c r="D2560" s="821"/>
      <c r="E2560" s="1628" t="s">
        <v>8339</v>
      </c>
      <c r="F2560" s="1882"/>
      <c r="G2560" s="1882">
        <f>IF('4J'!I19="","##BLANK",'4J'!I19)</f>
        <v>0.84199999999999997</v>
      </c>
    </row>
    <row r="2561" spans="2:7">
      <c r="B2561" s="821" t="str">
        <f>+'4J'!AS22</f>
        <v>WS1012RWT</v>
      </c>
      <c r="D2561" s="821"/>
      <c r="E2561" s="1628" t="s">
        <v>8339</v>
      </c>
      <c r="F2561" s="1882"/>
      <c r="G2561" s="1882">
        <f>IF('4J'!I22="","##BLANK",'4J'!I22)</f>
        <v>0</v>
      </c>
    </row>
    <row r="2562" spans="2:7">
      <c r="B2562" s="821" t="str">
        <f>+'4J'!AS23</f>
        <v>WS1013RWT</v>
      </c>
      <c r="D2562" s="821"/>
      <c r="E2562" s="1628" t="s">
        <v>8339</v>
      </c>
      <c r="F2562" s="1882"/>
      <c r="G2562" s="1882">
        <f>IF('4J'!I23="","##BLANK",'4J'!I23)</f>
        <v>6.7342240602281778E-2</v>
      </c>
    </row>
    <row r="2563" spans="2:7">
      <c r="B2563" s="821" t="str">
        <f>+'4J'!AS24</f>
        <v>WS1014RWT</v>
      </c>
      <c r="D2563" s="821"/>
      <c r="E2563" s="1628" t="s">
        <v>8339</v>
      </c>
      <c r="F2563" s="1882"/>
      <c r="G2563" s="1882">
        <f>IF('4J'!I24="","##BLANK",'4J'!I24)</f>
        <v>0</v>
      </c>
    </row>
    <row r="2564" spans="2:7">
      <c r="B2564" s="821" t="str">
        <f>+'4J'!AS25</f>
        <v>WS1015RWT</v>
      </c>
      <c r="D2564" s="821"/>
      <c r="E2564" s="1628" t="s">
        <v>8339</v>
      </c>
      <c r="F2564" s="1882"/>
      <c r="G2564" s="1882">
        <f>IF('4J'!I25="","##BLANK",'4J'!I25)</f>
        <v>9.1184843960956505E-4</v>
      </c>
    </row>
    <row r="2565" spans="2:7">
      <c r="B2565" s="821" t="str">
        <f>+'4J'!AS26</f>
        <v>WS1016RWT</v>
      </c>
      <c r="D2565" s="821"/>
      <c r="E2565" s="1628" t="s">
        <v>8339</v>
      </c>
      <c r="F2565" s="1882"/>
      <c r="G2565" s="1882">
        <f>IF('4J'!I26="","##BLANK",'4J'!I26)</f>
        <v>0</v>
      </c>
    </row>
    <row r="2566" spans="2:7">
      <c r="B2566" s="821" t="str">
        <f>+'4J'!AS27</f>
        <v>WS1017RWT</v>
      </c>
      <c r="D2566" s="821"/>
      <c r="E2566" s="1628" t="s">
        <v>8339</v>
      </c>
      <c r="F2566" s="1882"/>
      <c r="G2566" s="1882">
        <f>IF('4J'!I27="","##BLANK",'4J'!I27)</f>
        <v>6.8254089041891342E-2</v>
      </c>
    </row>
    <row r="2567" spans="2:7">
      <c r="B2567" s="821" t="str">
        <f>+'4J'!AS28</f>
        <v>WS1018RWT</v>
      </c>
      <c r="D2567" s="821"/>
      <c r="E2567" s="1628" t="s">
        <v>8339</v>
      </c>
      <c r="F2567" s="1882"/>
      <c r="G2567" s="1882">
        <f>IF('4J'!I28="","##BLANK",'4J'!I28)</f>
        <v>0</v>
      </c>
    </row>
    <row r="2568" spans="2:7">
      <c r="B2568" s="821" t="str">
        <f>+'4J'!AS29</f>
        <v>WS1019RWT</v>
      </c>
      <c r="D2568" s="821"/>
      <c r="E2568" s="1628" t="s">
        <v>8339</v>
      </c>
      <c r="F2568" s="1882"/>
      <c r="G2568" s="1882">
        <f>IF('4J'!I29="","##BLANK",'4J'!I29)</f>
        <v>6.8254089041891342E-2</v>
      </c>
    </row>
    <row r="2569" spans="2:7">
      <c r="B2569" s="821" t="str">
        <f>+'4J'!AS30</f>
        <v>WS1020RWT</v>
      </c>
      <c r="D2569" s="821"/>
      <c r="E2569" s="1628" t="s">
        <v>8339</v>
      </c>
      <c r="F2569" s="1882"/>
      <c r="G2569" s="1882">
        <f>IF('4J'!I30="","##BLANK",'4J'!I30)</f>
        <v>0</v>
      </c>
    </row>
    <row r="2570" spans="2:7">
      <c r="B2570" s="821" t="str">
        <f>+'4J'!AS31</f>
        <v>WS1021RWT</v>
      </c>
      <c r="D2570" s="821"/>
      <c r="E2570" s="1628" t="s">
        <v>8339</v>
      </c>
      <c r="F2570" s="1882"/>
      <c r="G2570" s="1882">
        <f>IF('4J'!I31="","##BLANK",'4J'!I31)</f>
        <v>0.91025408904189131</v>
      </c>
    </row>
    <row r="2571" spans="2:7">
      <c r="B2571" s="821" t="str">
        <f>+'4J'!AS34</f>
        <v>WS1022RWT</v>
      </c>
      <c r="D2571" s="821"/>
      <c r="E2571" s="1628" t="s">
        <v>8339</v>
      </c>
      <c r="F2571" s="1882"/>
      <c r="G2571" s="1882">
        <f>IF('4J'!I34="","##BLANK",'4J'!I34)</f>
        <v>0</v>
      </c>
    </row>
    <row r="2572" spans="2:7">
      <c r="B2572" s="821" t="str">
        <f>+'4J'!AS35</f>
        <v>WS1023RWT</v>
      </c>
      <c r="D2572" s="821"/>
      <c r="E2572" s="1628" t="s">
        <v>8339</v>
      </c>
      <c r="F2572" s="1882"/>
      <c r="G2572" s="1882">
        <f>IF('4J'!I35="","##BLANK",'4J'!I35)</f>
        <v>0</v>
      </c>
    </row>
    <row r="2573" spans="2:7">
      <c r="B2573" s="821" t="str">
        <f>+'4J'!AS36</f>
        <v>WS1024RWT</v>
      </c>
      <c r="D2573" s="821"/>
      <c r="E2573" s="1628" t="s">
        <v>8339</v>
      </c>
      <c r="F2573" s="1882"/>
      <c r="G2573" s="1882">
        <f>IF('4J'!I36="","##BLANK",'4J'!I36)</f>
        <v>0.91025408904189131</v>
      </c>
    </row>
    <row r="2574" spans="2:7">
      <c r="B2574" s="821" t="str">
        <f>+'4J'!AS39</f>
        <v>BP3357001RWT</v>
      </c>
      <c r="D2574" s="821"/>
      <c r="E2574" s="1628" t="s">
        <v>8339</v>
      </c>
      <c r="F2574" s="1882" t="str">
        <f>+'4J'!C$39</f>
        <v>Canal and River Trust Arbitration</v>
      </c>
      <c r="G2574" s="1882">
        <f>IF('4J'!I39="","##BLANK",'4J'!I39)</f>
        <v>0</v>
      </c>
    </row>
    <row r="2575" spans="2:7">
      <c r="B2575" s="821" t="str">
        <f>+'4J'!AS40</f>
        <v>BP3357002RWT</v>
      </c>
      <c r="D2575" s="821"/>
      <c r="E2575" s="1628" t="s">
        <v>8339</v>
      </c>
      <c r="F2575" s="1882" t="str">
        <f>+'4J'!C$40</f>
        <v>CMA referral</v>
      </c>
      <c r="G2575" s="1882">
        <f>IF('4J'!I40="","##BLANK",'4J'!I40)</f>
        <v>0.24199999999999999</v>
      </c>
    </row>
    <row r="2576" spans="2:7">
      <c r="B2576" s="821" t="str">
        <f>+'4J'!AS41</f>
        <v>BP3357003RWT</v>
      </c>
      <c r="D2576" s="821"/>
      <c r="E2576" s="1628" t="s">
        <v>8339</v>
      </c>
      <c r="F2576" s="1882" t="str">
        <f>+'4J'!C$41</f>
        <v>Item 3</v>
      </c>
      <c r="G2576" s="1882" t="str">
        <f>IF('4J'!I41="","##BLANK",'4J'!I41)</f>
        <v>##BLANK</v>
      </c>
    </row>
    <row r="2577" spans="2:7">
      <c r="B2577" s="821" t="str">
        <f>+'4J'!AS42</f>
        <v>BP3357004RWT</v>
      </c>
      <c r="D2577" s="821"/>
      <c r="E2577" s="1628" t="s">
        <v>8339</v>
      </c>
      <c r="F2577" s="1882" t="str">
        <f>+'4J'!C$42</f>
        <v>Item 4</v>
      </c>
      <c r="G2577" s="1882" t="str">
        <f>IF('4J'!I42="","##BLANK",'4J'!I42)</f>
        <v>##BLANK</v>
      </c>
    </row>
    <row r="2578" spans="2:7">
      <c r="B2578" s="821" t="str">
        <f>+'4J'!AS43</f>
        <v>BP3357005RWT</v>
      </c>
      <c r="D2578" s="821"/>
      <c r="E2578" s="1628" t="s">
        <v>8339</v>
      </c>
      <c r="F2578" s="1882" t="str">
        <f>+'4J'!C$43</f>
        <v>Item 5</v>
      </c>
      <c r="G2578" s="1882" t="str">
        <f>IF('4J'!I43="","##BLANK",'4J'!I43)</f>
        <v>##BLANK</v>
      </c>
    </row>
    <row r="2579" spans="2:7">
      <c r="B2579" s="821" t="str">
        <f>+'4J'!AS44</f>
        <v>BP3357006RWT</v>
      </c>
      <c r="D2579" s="821"/>
      <c r="E2579" s="1628" t="s">
        <v>8339</v>
      </c>
      <c r="F2579" s="1882" t="str">
        <f>+'4J'!C$44</f>
        <v>Item 6</v>
      </c>
      <c r="G2579" s="1882" t="str">
        <f>IF('4J'!I44="","##BLANK",'4J'!I44)</f>
        <v>##BLANK</v>
      </c>
    </row>
    <row r="2580" spans="2:7">
      <c r="B2580" s="821" t="str">
        <f>+'4J'!AS45</f>
        <v>BP3357007RWT</v>
      </c>
      <c r="D2580" s="821"/>
      <c r="E2580" s="1628" t="s">
        <v>8339</v>
      </c>
      <c r="F2580" s="1882" t="str">
        <f>+'4J'!C$45</f>
        <v>Item 7</v>
      </c>
      <c r="G2580" s="1882" t="str">
        <f>IF('4J'!I45="","##BLANK",'4J'!I45)</f>
        <v>##BLANK</v>
      </c>
    </row>
    <row r="2581" spans="2:7">
      <c r="B2581" s="821" t="str">
        <f>+'4J'!AS46</f>
        <v>BP3357008RWT</v>
      </c>
      <c r="D2581" s="821"/>
      <c r="E2581" s="1628" t="s">
        <v>8339</v>
      </c>
      <c r="F2581" s="1882" t="str">
        <f>+'4J'!C$46</f>
        <v>Item 8</v>
      </c>
      <c r="G2581" s="1882" t="str">
        <f>IF('4J'!I46="","##BLANK",'4J'!I46)</f>
        <v>##BLANK</v>
      </c>
    </row>
    <row r="2582" spans="2:7">
      <c r="B2582" s="821" t="str">
        <f>+'4J'!AS47</f>
        <v>BP3357009RWT</v>
      </c>
      <c r="D2582" s="821"/>
      <c r="E2582" s="1628" t="s">
        <v>8339</v>
      </c>
      <c r="F2582" s="1882" t="str">
        <f>+'4J'!C$47</f>
        <v>Item 9</v>
      </c>
      <c r="G2582" s="1882" t="str">
        <f>IF('4J'!I47="","##BLANK",'4J'!I47)</f>
        <v>##BLANK</v>
      </c>
    </row>
    <row r="2583" spans="2:7">
      <c r="B2583" s="821" t="str">
        <f>+'4J'!AS48</f>
        <v>BP3357010RWT</v>
      </c>
      <c r="D2583" s="821"/>
      <c r="E2583" s="1628" t="s">
        <v>8339</v>
      </c>
      <c r="F2583" s="1882" t="str">
        <f>+'4J'!C$48</f>
        <v>Item 10</v>
      </c>
      <c r="G2583" s="1882" t="str">
        <f>IF('4J'!I48="","##BLANK",'4J'!I48)</f>
        <v>##BLANK</v>
      </c>
    </row>
    <row r="2584" spans="2:7">
      <c r="B2584" s="821" t="str">
        <f>+'4J'!AS49</f>
        <v>BP3357020RWT</v>
      </c>
      <c r="D2584" s="821"/>
      <c r="E2584" s="1628" t="s">
        <v>8339</v>
      </c>
      <c r="F2584" s="1882"/>
      <c r="G2584" s="1882">
        <f>IF('4J'!I49="","##BLANK",'4J'!I49)</f>
        <v>0.24199999999999999</v>
      </c>
    </row>
    <row r="2585" spans="2:7">
      <c r="B2585" s="821" t="str">
        <f>+'4J'!AS52</f>
        <v>W3026TERWT</v>
      </c>
      <c r="D2585" s="821"/>
      <c r="E2585" s="1628" t="s">
        <v>8339</v>
      </c>
      <c r="F2585" s="1882"/>
      <c r="G2585" s="1882">
        <f>IF('4J'!I52="","##BLANK",'4J'!I52)</f>
        <v>1.1522540890418913</v>
      </c>
    </row>
    <row r="2586" spans="2:7">
      <c r="B2586" s="821" t="str">
        <f>+'4J'!AT7</f>
        <v>WS1001RWS</v>
      </c>
      <c r="D2586" s="821"/>
      <c r="E2586" s="1628" t="s">
        <v>8339</v>
      </c>
      <c r="F2586" s="1882"/>
      <c r="G2586" s="1882">
        <f>IF('4J'!J7="","##BLANK",'4J'!J7)</f>
        <v>0</v>
      </c>
    </row>
    <row r="2587" spans="2:7">
      <c r="B2587" s="821" t="str">
        <f>+'4J'!AT8</f>
        <v>WS1002RWS</v>
      </c>
      <c r="D2587" s="821"/>
      <c r="E2587" s="1628" t="s">
        <v>8339</v>
      </c>
      <c r="F2587" s="1882"/>
      <c r="G2587" s="1882">
        <f>IF('4J'!J8="","##BLANK",'4J'!J8)</f>
        <v>0</v>
      </c>
    </row>
    <row r="2588" spans="2:7">
      <c r="B2588" s="821" t="str">
        <f>+'4J'!AT9</f>
        <v>WS1003RWS</v>
      </c>
      <c r="D2588" s="821"/>
      <c r="E2588" s="1628" t="s">
        <v>8339</v>
      </c>
      <c r="F2588" s="1882"/>
      <c r="G2588" s="1882">
        <f>IF('4J'!J9="","##BLANK",'4J'!J9)</f>
        <v>0</v>
      </c>
    </row>
    <row r="2589" spans="2:7">
      <c r="B2589" s="821" t="str">
        <f>+'4J'!AT10</f>
        <v>WS1004RWS</v>
      </c>
      <c r="D2589" s="821"/>
      <c r="E2589" s="1628" t="s">
        <v>8339</v>
      </c>
      <c r="F2589" s="1882"/>
      <c r="G2589" s="1882">
        <f>IF('4J'!J10="","##BLANK",'4J'!J10)</f>
        <v>0</v>
      </c>
    </row>
    <row r="2590" spans="2:7">
      <c r="B2590" s="821" t="str">
        <f>+'4J'!AT12</f>
        <v>WS1005RWS</v>
      </c>
      <c r="D2590" s="821"/>
      <c r="E2590" s="1628" t="s">
        <v>8339</v>
      </c>
      <c r="F2590" s="1882"/>
      <c r="G2590" s="1882">
        <f>IF('4J'!J12="","##BLANK",'4J'!J12)</f>
        <v>0</v>
      </c>
    </row>
    <row r="2591" spans="2:7">
      <c r="B2591" s="821" t="str">
        <f>+'4J'!AT13</f>
        <v>WS1006RWS</v>
      </c>
      <c r="D2591" s="821"/>
      <c r="E2591" s="1628" t="s">
        <v>8339</v>
      </c>
      <c r="F2591" s="1882"/>
      <c r="G2591" s="1882">
        <f>IF('4J'!J13="","##BLANK",'4J'!J13)</f>
        <v>0</v>
      </c>
    </row>
    <row r="2592" spans="2:7">
      <c r="B2592" s="821" t="str">
        <f>+'4J'!AT14</f>
        <v>WS1007RWS</v>
      </c>
      <c r="D2592" s="821"/>
      <c r="E2592" s="1628" t="s">
        <v>8339</v>
      </c>
      <c r="F2592" s="1882"/>
      <c r="G2592" s="1882">
        <f>IF('4J'!J14="","##BLANK",'4J'!J14)</f>
        <v>0</v>
      </c>
    </row>
    <row r="2593" spans="2:7">
      <c r="B2593" s="821" t="str">
        <f>+'4J'!AT15</f>
        <v>WS1008RWS</v>
      </c>
      <c r="D2593" s="821"/>
      <c r="E2593" s="1628" t="s">
        <v>8339</v>
      </c>
      <c r="F2593" s="1882"/>
      <c r="G2593" s="1882">
        <f>IF('4J'!J15="","##BLANK",'4J'!J15)</f>
        <v>0</v>
      </c>
    </row>
    <row r="2594" spans="2:7">
      <c r="B2594" s="821" t="str">
        <f>+'4J'!AT16</f>
        <v>WS1009RWS</v>
      </c>
      <c r="D2594" s="821"/>
      <c r="E2594" s="1628" t="s">
        <v>8339</v>
      </c>
      <c r="F2594" s="1882"/>
      <c r="G2594" s="1882">
        <f>IF('4J'!J16="","##BLANK",'4J'!J16)</f>
        <v>0</v>
      </c>
    </row>
    <row r="2595" spans="2:7">
      <c r="B2595" s="821" t="str">
        <f>+'4J'!AT18</f>
        <v>WS1010RWS</v>
      </c>
      <c r="D2595" s="821"/>
      <c r="E2595" s="1628" t="s">
        <v>8339</v>
      </c>
      <c r="F2595" s="1882"/>
      <c r="G2595" s="1882">
        <f>IF('4J'!J18="","##BLANK",'4J'!J18)</f>
        <v>0</v>
      </c>
    </row>
    <row r="2596" spans="2:7">
      <c r="B2596" s="821" t="str">
        <f>+'4J'!AT19</f>
        <v>WS1011RWS</v>
      </c>
      <c r="D2596" s="821"/>
      <c r="E2596" s="1628" t="s">
        <v>8339</v>
      </c>
      <c r="F2596" s="1882"/>
      <c r="G2596" s="1882">
        <f>IF('4J'!J19="","##BLANK",'4J'!J19)</f>
        <v>0</v>
      </c>
    </row>
    <row r="2597" spans="2:7">
      <c r="B2597" s="821" t="str">
        <f>+'4J'!AT22</f>
        <v>WS1012RWS</v>
      </c>
      <c r="D2597" s="821"/>
      <c r="E2597" s="1628" t="s">
        <v>8339</v>
      </c>
      <c r="F2597" s="1882"/>
      <c r="G2597" s="1882">
        <f>IF('4J'!J22="","##BLANK",'4J'!J22)</f>
        <v>1.1755</v>
      </c>
    </row>
    <row r="2598" spans="2:7">
      <c r="B2598" s="821" t="str">
        <f>+'4J'!AT23</f>
        <v>WS1013RWS</v>
      </c>
      <c r="D2598" s="821"/>
      <c r="E2598" s="1628" t="s">
        <v>8339</v>
      </c>
      <c r="F2598" s="1882"/>
      <c r="G2598" s="1882">
        <f>IF('4J'!J23="","##BLANK",'4J'!J23)</f>
        <v>8.4159617957304533E-2</v>
      </c>
    </row>
    <row r="2599" spans="2:7">
      <c r="B2599" s="821" t="str">
        <f>+'4J'!AT24</f>
        <v>WS1014RWS</v>
      </c>
      <c r="D2599" s="821"/>
      <c r="E2599" s="1628" t="s">
        <v>8339</v>
      </c>
      <c r="F2599" s="1882"/>
      <c r="G2599" s="1882">
        <f>IF('4J'!J24="","##BLANK",'4J'!J24)</f>
        <v>0</v>
      </c>
    </row>
    <row r="2600" spans="2:7">
      <c r="B2600" s="821" t="str">
        <f>+'4J'!AT25</f>
        <v>WS1015RWS</v>
      </c>
      <c r="D2600" s="821"/>
      <c r="E2600" s="1628" t="s">
        <v>8339</v>
      </c>
      <c r="F2600" s="1882"/>
      <c r="G2600" s="1882">
        <f>IF('4J'!J25="","##BLANK",'4J'!J25)</f>
        <v>0</v>
      </c>
    </row>
    <row r="2601" spans="2:7">
      <c r="B2601" s="821" t="str">
        <f>+'4J'!AT26</f>
        <v>WS1016RWS</v>
      </c>
      <c r="D2601" s="821"/>
      <c r="E2601" s="1628" t="s">
        <v>8339</v>
      </c>
      <c r="F2601" s="1882"/>
      <c r="G2601" s="1882">
        <f>IF('4J'!J26="","##BLANK",'4J'!J26)</f>
        <v>0</v>
      </c>
    </row>
    <row r="2602" spans="2:7">
      <c r="B2602" s="821" t="str">
        <f>+'4J'!AT27</f>
        <v>WS1017RWS</v>
      </c>
      <c r="D2602" s="821"/>
      <c r="E2602" s="1628" t="s">
        <v>8339</v>
      </c>
      <c r="F2602" s="1882"/>
      <c r="G2602" s="1882">
        <f>IF('4J'!J27="","##BLANK",'4J'!J27)</f>
        <v>1.2596596179573045</v>
      </c>
    </row>
    <row r="2603" spans="2:7">
      <c r="B2603" s="821" t="str">
        <f>+'4J'!AT28</f>
        <v>WS1018RWS</v>
      </c>
      <c r="D2603" s="821"/>
      <c r="E2603" s="1628" t="s">
        <v>8339</v>
      </c>
      <c r="F2603" s="1882"/>
      <c r="G2603" s="1882">
        <f>IF('4J'!J28="","##BLANK",'4J'!J28)</f>
        <v>8.6999999999999994E-2</v>
      </c>
    </row>
    <row r="2604" spans="2:7">
      <c r="B2604" s="821" t="str">
        <f>+'4J'!AT29</f>
        <v>WS1019RWS</v>
      </c>
      <c r="D2604" s="821"/>
      <c r="E2604" s="1628" t="s">
        <v>8339</v>
      </c>
      <c r="F2604" s="1882"/>
      <c r="G2604" s="1882">
        <f>IF('4J'!J29="","##BLANK",'4J'!J29)</f>
        <v>1.3466596179573045</v>
      </c>
    </row>
    <row r="2605" spans="2:7">
      <c r="B2605" s="821" t="str">
        <f>+'4J'!AT30</f>
        <v>WS1020RWS</v>
      </c>
      <c r="D2605" s="821"/>
      <c r="E2605" s="1628" t="s">
        <v>8339</v>
      </c>
      <c r="F2605" s="1882"/>
      <c r="G2605" s="1882">
        <f>IF('4J'!J30="","##BLANK",'4J'!J30)</f>
        <v>0</v>
      </c>
    </row>
    <row r="2606" spans="2:7">
      <c r="B2606" s="821" t="str">
        <f>+'4J'!AT31</f>
        <v>WS1021RWS</v>
      </c>
      <c r="D2606" s="821"/>
      <c r="E2606" s="1628" t="s">
        <v>8339</v>
      </c>
      <c r="F2606" s="1882"/>
      <c r="G2606" s="1882">
        <f>IF('4J'!J31="","##BLANK",'4J'!J31)</f>
        <v>1.3466596179573045</v>
      </c>
    </row>
    <row r="2607" spans="2:7">
      <c r="B2607" s="821" t="str">
        <f>+'4J'!AT34</f>
        <v>WS1022RWS</v>
      </c>
      <c r="D2607" s="821"/>
      <c r="E2607" s="1628" t="s">
        <v>8339</v>
      </c>
      <c r="F2607" s="1882"/>
      <c r="G2607" s="1882">
        <f>IF('4J'!J34="","##BLANK",'4J'!J34)</f>
        <v>0</v>
      </c>
    </row>
    <row r="2608" spans="2:7">
      <c r="B2608" s="821" t="str">
        <f>+'4J'!AT35</f>
        <v>WS1023RWS</v>
      </c>
      <c r="D2608" s="821"/>
      <c r="E2608" s="1628" t="s">
        <v>8339</v>
      </c>
      <c r="F2608" s="1882"/>
      <c r="G2608" s="1882">
        <f>IF('4J'!J35="","##BLANK",'4J'!J35)</f>
        <v>0</v>
      </c>
    </row>
    <row r="2609" spans="2:7">
      <c r="B2609" s="821" t="str">
        <f>+'4J'!AT36</f>
        <v>WS1024RWS</v>
      </c>
      <c r="D2609" s="821"/>
      <c r="E2609" s="1628" t="s">
        <v>8339</v>
      </c>
      <c r="F2609" s="1882"/>
      <c r="G2609" s="1882">
        <f>IF('4J'!J36="","##BLANK",'4J'!J36)</f>
        <v>1.3466596179573045</v>
      </c>
    </row>
    <row r="2610" spans="2:7">
      <c r="B2610" s="821" t="str">
        <f>+'4J'!AT39</f>
        <v>BP3357001RWS</v>
      </c>
      <c r="D2610" s="821"/>
      <c r="E2610" s="1628" t="s">
        <v>8339</v>
      </c>
      <c r="F2610" s="1882" t="str">
        <f>+'4J'!C$39</f>
        <v>Canal and River Trust Arbitration</v>
      </c>
      <c r="G2610" s="1882">
        <f>IF('4J'!J39="","##BLANK",'4J'!J39)</f>
        <v>0</v>
      </c>
    </row>
    <row r="2611" spans="2:7">
      <c r="B2611" s="821" t="str">
        <f>+'4J'!AT40</f>
        <v>BP3357002RWS</v>
      </c>
      <c r="D2611" s="821"/>
      <c r="E2611" s="1628" t="s">
        <v>8339</v>
      </c>
      <c r="F2611" s="1882" t="str">
        <f>+'4J'!C$40</f>
        <v>CMA referral</v>
      </c>
      <c r="G2611" s="1882">
        <f>IF('4J'!J40="","##BLANK",'4J'!J40)</f>
        <v>0</v>
      </c>
    </row>
    <row r="2612" spans="2:7">
      <c r="B2612" s="821" t="str">
        <f>+'4J'!AT41</f>
        <v>BP3357003RWS</v>
      </c>
      <c r="D2612" s="821"/>
      <c r="E2612" s="1628" t="s">
        <v>8339</v>
      </c>
      <c r="F2612" s="1882" t="str">
        <f>+'4J'!C$41</f>
        <v>Item 3</v>
      </c>
      <c r="G2612" s="1882" t="str">
        <f>IF('4J'!J41="","##BLANK",'4J'!J41)</f>
        <v>##BLANK</v>
      </c>
    </row>
    <row r="2613" spans="2:7">
      <c r="B2613" s="821" t="str">
        <f>+'4J'!AT42</f>
        <v>BP3357004RWS</v>
      </c>
      <c r="D2613" s="821"/>
      <c r="E2613" s="1628" t="s">
        <v>8339</v>
      </c>
      <c r="F2613" s="1882" t="str">
        <f>+'4J'!C$42</f>
        <v>Item 4</v>
      </c>
      <c r="G2613" s="1882" t="str">
        <f>IF('4J'!J42="","##BLANK",'4J'!J42)</f>
        <v>##BLANK</v>
      </c>
    </row>
    <row r="2614" spans="2:7">
      <c r="B2614" s="821" t="str">
        <f>+'4J'!AT43</f>
        <v>BP3357005RWS</v>
      </c>
      <c r="D2614" s="821"/>
      <c r="E2614" s="1628" t="s">
        <v>8339</v>
      </c>
      <c r="F2614" s="1882" t="str">
        <f>+'4J'!C$43</f>
        <v>Item 5</v>
      </c>
      <c r="G2614" s="1882" t="str">
        <f>IF('4J'!J43="","##BLANK",'4J'!J43)</f>
        <v>##BLANK</v>
      </c>
    </row>
    <row r="2615" spans="2:7">
      <c r="B2615" s="821" t="str">
        <f>+'4J'!AT44</f>
        <v>BP3357006RWS</v>
      </c>
      <c r="D2615" s="821"/>
      <c r="E2615" s="1628" t="s">
        <v>8339</v>
      </c>
      <c r="F2615" s="1882" t="str">
        <f>+'4J'!C$44</f>
        <v>Item 6</v>
      </c>
      <c r="G2615" s="1882" t="str">
        <f>IF('4J'!J44="","##BLANK",'4J'!J44)</f>
        <v>##BLANK</v>
      </c>
    </row>
    <row r="2616" spans="2:7">
      <c r="B2616" s="821" t="str">
        <f>+'4J'!AT45</f>
        <v>BP3357007RWS</v>
      </c>
      <c r="D2616" s="821"/>
      <c r="E2616" s="1628" t="s">
        <v>8339</v>
      </c>
      <c r="F2616" s="1882" t="str">
        <f>+'4J'!C$45</f>
        <v>Item 7</v>
      </c>
      <c r="G2616" s="1882" t="str">
        <f>IF('4J'!J45="","##BLANK",'4J'!J45)</f>
        <v>##BLANK</v>
      </c>
    </row>
    <row r="2617" spans="2:7">
      <c r="B2617" s="821" t="str">
        <f>+'4J'!AT46</f>
        <v>BP3357008RWS</v>
      </c>
      <c r="D2617" s="821"/>
      <c r="E2617" s="1628" t="s">
        <v>8339</v>
      </c>
      <c r="F2617" s="1882" t="str">
        <f>+'4J'!C$46</f>
        <v>Item 8</v>
      </c>
      <c r="G2617" s="1882" t="str">
        <f>IF('4J'!J46="","##BLANK",'4J'!J46)</f>
        <v>##BLANK</v>
      </c>
    </row>
    <row r="2618" spans="2:7">
      <c r="B2618" s="821" t="str">
        <f>+'4J'!AT47</f>
        <v>BP3357009RWS</v>
      </c>
      <c r="D2618" s="821"/>
      <c r="E2618" s="1628" t="s">
        <v>8339</v>
      </c>
      <c r="F2618" s="1882" t="str">
        <f>+'4J'!C$47</f>
        <v>Item 9</v>
      </c>
      <c r="G2618" s="1882" t="str">
        <f>IF('4J'!J47="","##BLANK",'4J'!J47)</f>
        <v>##BLANK</v>
      </c>
    </row>
    <row r="2619" spans="2:7">
      <c r="B2619" s="821" t="str">
        <f>+'4J'!AT48</f>
        <v>BP3357010RWS</v>
      </c>
      <c r="D2619" s="821"/>
      <c r="E2619" s="1628" t="s">
        <v>8339</v>
      </c>
      <c r="F2619" s="1882" t="str">
        <f>+'4J'!C$48</f>
        <v>Item 10</v>
      </c>
      <c r="G2619" s="1882" t="str">
        <f>IF('4J'!J48="","##BLANK",'4J'!J48)</f>
        <v>##BLANK</v>
      </c>
    </row>
    <row r="2620" spans="2:7">
      <c r="B2620" s="821" t="str">
        <f>+'4J'!AT49</f>
        <v>BP3357020RWS</v>
      </c>
      <c r="D2620" s="821"/>
      <c r="E2620" s="1628" t="s">
        <v>8339</v>
      </c>
      <c r="F2620" s="1882"/>
      <c r="G2620" s="1882">
        <f>IF('4J'!J49="","##BLANK",'4J'!J49)</f>
        <v>0</v>
      </c>
    </row>
    <row r="2621" spans="2:7">
      <c r="B2621" s="821" t="str">
        <f>+'4J'!AT52</f>
        <v>W3026TERWS</v>
      </c>
      <c r="D2621" s="821"/>
      <c r="E2621" s="1628" t="s">
        <v>8339</v>
      </c>
      <c r="F2621" s="1882"/>
      <c r="G2621" s="1882">
        <f>IF('4J'!J52="","##BLANK",'4J'!J52)</f>
        <v>1.3466596179573045</v>
      </c>
    </row>
    <row r="2622" spans="2:7">
      <c r="B2622" s="821" t="str">
        <f>+'4J'!AU7</f>
        <v>WS1001WT</v>
      </c>
      <c r="D2622" s="821"/>
      <c r="E2622" s="1628" t="s">
        <v>8339</v>
      </c>
      <c r="F2622" s="1882"/>
      <c r="G2622" s="1882">
        <f>IF('4J'!K7="","##BLANK",'4J'!K7)</f>
        <v>2.6970000000000001</v>
      </c>
    </row>
    <row r="2623" spans="2:7">
      <c r="B2623" s="821" t="str">
        <f>+'4J'!AU8</f>
        <v>WS1002WT</v>
      </c>
      <c r="D2623" s="821"/>
      <c r="E2623" s="1628" t="s">
        <v>8339</v>
      </c>
      <c r="F2623" s="1882"/>
      <c r="G2623" s="1882">
        <f>IF('4J'!K8="","##BLANK",'4J'!K8)</f>
        <v>0</v>
      </c>
    </row>
    <row r="2624" spans="2:7">
      <c r="B2624" s="821" t="str">
        <f>+'4J'!AU9</f>
        <v>WS1003WT</v>
      </c>
      <c r="D2624" s="821"/>
      <c r="E2624" s="1628" t="s">
        <v>8339</v>
      </c>
      <c r="F2624" s="1882"/>
      <c r="G2624" s="1882">
        <f>IF('4J'!K9="","##BLANK",'4J'!K9)</f>
        <v>9.4E-2</v>
      </c>
    </row>
    <row r="2625" spans="2:7">
      <c r="B2625" s="821" t="str">
        <f>+'4J'!AU10</f>
        <v>WS1004WT</v>
      </c>
      <c r="D2625" s="821"/>
      <c r="E2625" s="1628" t="s">
        <v>8339</v>
      </c>
      <c r="F2625" s="1882"/>
      <c r="G2625" s="1882">
        <f>IF('4J'!K10="","##BLANK",'4J'!K10)</f>
        <v>3.4000000000000002E-2</v>
      </c>
    </row>
    <row r="2626" spans="2:7">
      <c r="B2626" s="821" t="str">
        <f>+'4J'!AU12</f>
        <v>WS1005WT</v>
      </c>
      <c r="D2626" s="821"/>
      <c r="E2626" s="1628" t="s">
        <v>8339</v>
      </c>
      <c r="F2626" s="1882"/>
      <c r="G2626" s="1882">
        <f>IF('4J'!K12="","##BLANK",'4J'!K12)</f>
        <v>3.0000000000000001E-3</v>
      </c>
    </row>
    <row r="2627" spans="2:7">
      <c r="B2627" s="821" t="str">
        <f>+'4J'!AU13</f>
        <v>WS1006WT</v>
      </c>
      <c r="D2627" s="821"/>
      <c r="E2627" s="1628" t="s">
        <v>8339</v>
      </c>
      <c r="F2627" s="1882"/>
      <c r="G2627" s="1882">
        <f>IF('4J'!K13="","##BLANK",'4J'!K13)</f>
        <v>0</v>
      </c>
    </row>
    <row r="2628" spans="2:7">
      <c r="B2628" s="821" t="str">
        <f>+'4J'!AU14</f>
        <v>WS1007WT</v>
      </c>
      <c r="D2628" s="821"/>
      <c r="E2628" s="1628" t="s">
        <v>8339</v>
      </c>
      <c r="F2628" s="1882"/>
      <c r="G2628" s="1882">
        <f>IF('4J'!K14="","##BLANK",'4J'!K14)</f>
        <v>11.369</v>
      </c>
    </row>
    <row r="2629" spans="2:7">
      <c r="B2629" s="821" t="str">
        <f>+'4J'!AU15</f>
        <v>WS1008WT</v>
      </c>
      <c r="D2629" s="821"/>
      <c r="E2629" s="1628" t="s">
        <v>8339</v>
      </c>
      <c r="F2629" s="1882"/>
      <c r="G2629" s="1882">
        <f>IF('4J'!K15="","##BLANK",'4J'!K15)</f>
        <v>0.314</v>
      </c>
    </row>
    <row r="2630" spans="2:7">
      <c r="B2630" s="821" t="str">
        <f>+'4J'!AU16</f>
        <v>WS1009WT</v>
      </c>
      <c r="D2630" s="821"/>
      <c r="E2630" s="1628" t="s">
        <v>8339</v>
      </c>
      <c r="F2630" s="1882"/>
      <c r="G2630" s="1882">
        <f>IF('4J'!K16="","##BLANK",'4J'!K16)</f>
        <v>14.510999999999999</v>
      </c>
    </row>
    <row r="2631" spans="2:7">
      <c r="B2631" s="821" t="str">
        <f>+'4J'!AU18</f>
        <v>WS1010WT</v>
      </c>
      <c r="D2631" s="821"/>
      <c r="E2631" s="1628" t="s">
        <v>8339</v>
      </c>
      <c r="F2631" s="1882"/>
      <c r="G2631" s="1882">
        <f>IF('4J'!K18="","##BLANK",'4J'!K18)</f>
        <v>0.309</v>
      </c>
    </row>
    <row r="2632" spans="2:7">
      <c r="B2632" s="821" t="str">
        <f>+'4J'!AU19</f>
        <v>WS1011WT</v>
      </c>
      <c r="D2632" s="821"/>
      <c r="E2632" s="1628" t="s">
        <v>8339</v>
      </c>
      <c r="F2632" s="1882"/>
      <c r="G2632" s="1882">
        <f>IF('4J'!K19="","##BLANK",'4J'!K19)</f>
        <v>14.819999999999999</v>
      </c>
    </row>
    <row r="2633" spans="2:7">
      <c r="B2633" s="821" t="str">
        <f>+'4J'!AU22</f>
        <v>WS1012WT</v>
      </c>
      <c r="D2633" s="821"/>
      <c r="E2633" s="1628" t="s">
        <v>8339</v>
      </c>
      <c r="F2633" s="1882"/>
      <c r="G2633" s="1882">
        <f>IF('4J'!K22="","##BLANK",'4J'!K22)</f>
        <v>0</v>
      </c>
    </row>
    <row r="2634" spans="2:7">
      <c r="B2634" s="821" t="str">
        <f>+'4J'!AU23</f>
        <v>WS1013WT</v>
      </c>
      <c r="D2634" s="821"/>
      <c r="E2634" s="1628" t="s">
        <v>8339</v>
      </c>
      <c r="F2634" s="1882"/>
      <c r="G2634" s="1882">
        <f>IF('4J'!K23="","##BLANK",'4J'!K23)</f>
        <v>8.4015495241730473</v>
      </c>
    </row>
    <row r="2635" spans="2:7">
      <c r="B2635" s="821" t="str">
        <f>+'4J'!AU24</f>
        <v>WS1014WT</v>
      </c>
      <c r="D2635" s="821"/>
      <c r="E2635" s="1628" t="s">
        <v>8339</v>
      </c>
      <c r="F2635" s="1882"/>
      <c r="G2635" s="1882">
        <f>IF('4J'!K24="","##BLANK",'4J'!K24)</f>
        <v>0</v>
      </c>
    </row>
    <row r="2636" spans="2:7">
      <c r="B2636" s="821" t="str">
        <f>+'4J'!AU25</f>
        <v>WS1015WT</v>
      </c>
      <c r="D2636" s="821"/>
      <c r="E2636" s="1628" t="s">
        <v>8339</v>
      </c>
      <c r="F2636" s="1882"/>
      <c r="G2636" s="1882">
        <f>IF('4J'!K25="","##BLANK",'4J'!K25)</f>
        <v>0.36069720525027521</v>
      </c>
    </row>
    <row r="2637" spans="2:7">
      <c r="B2637" s="821" t="str">
        <f>+'4J'!AU26</f>
        <v>WS1016WT</v>
      </c>
      <c r="D2637" s="821"/>
      <c r="E2637" s="1628" t="s">
        <v>8339</v>
      </c>
      <c r="F2637" s="1882"/>
      <c r="G2637" s="1882">
        <f>IF('4J'!K26="","##BLANK",'4J'!K26)</f>
        <v>0</v>
      </c>
    </row>
    <row r="2638" spans="2:7">
      <c r="B2638" s="821" t="str">
        <f>+'4J'!AU27</f>
        <v>WS1017WT</v>
      </c>
      <c r="D2638" s="821"/>
      <c r="E2638" s="1628" t="s">
        <v>8339</v>
      </c>
      <c r="F2638" s="1882"/>
      <c r="G2638" s="1882">
        <f>IF('4J'!K27="","##BLANK",'4J'!K27)</f>
        <v>8.7622467294233228</v>
      </c>
    </row>
    <row r="2639" spans="2:7">
      <c r="B2639" s="821" t="str">
        <f>+'4J'!AU28</f>
        <v>WS1018WT</v>
      </c>
      <c r="D2639" s="821"/>
      <c r="E2639" s="1628" t="s">
        <v>8339</v>
      </c>
      <c r="F2639" s="1882"/>
      <c r="G2639" s="1882">
        <f>IF('4J'!K28="","##BLANK",'4J'!K28)</f>
        <v>0.26196000000000003</v>
      </c>
    </row>
    <row r="2640" spans="2:7">
      <c r="B2640" s="821" t="str">
        <f>+'4J'!AU29</f>
        <v>WS1019WT</v>
      </c>
      <c r="D2640" s="821"/>
      <c r="E2640" s="1628" t="s">
        <v>8339</v>
      </c>
      <c r="F2640" s="1882"/>
      <c r="G2640" s="1882">
        <f>IF('4J'!K29="","##BLANK",'4J'!K29)</f>
        <v>9.024206729423323</v>
      </c>
    </row>
    <row r="2641" spans="2:7">
      <c r="B2641" s="821" t="str">
        <f>+'4J'!AU30</f>
        <v>WS1020WT</v>
      </c>
      <c r="D2641" s="821"/>
      <c r="E2641" s="1628" t="s">
        <v>8339</v>
      </c>
      <c r="F2641" s="1882"/>
      <c r="G2641" s="1882">
        <f>IF('4J'!K30="","##BLANK",'4J'!K30)</f>
        <v>0</v>
      </c>
    </row>
    <row r="2642" spans="2:7">
      <c r="B2642" s="821" t="str">
        <f>+'4J'!AU31</f>
        <v>WS1021WT</v>
      </c>
      <c r="D2642" s="821"/>
      <c r="E2642" s="1628" t="s">
        <v>8339</v>
      </c>
      <c r="F2642" s="1882"/>
      <c r="G2642" s="1882">
        <f>IF('4J'!K31="","##BLANK",'4J'!K31)</f>
        <v>23.84420672942332</v>
      </c>
    </row>
    <row r="2643" spans="2:7">
      <c r="B2643" s="821" t="str">
        <f>+'4J'!AU34</f>
        <v>WS1022WT</v>
      </c>
      <c r="D2643" s="821"/>
      <c r="E2643" s="1628" t="s">
        <v>8339</v>
      </c>
      <c r="F2643" s="1882"/>
      <c r="G2643" s="1882">
        <f>IF('4J'!K34="","##BLANK",'4J'!K34)</f>
        <v>0</v>
      </c>
    </row>
    <row r="2644" spans="2:7">
      <c r="B2644" s="821" t="str">
        <f>+'4J'!AU35</f>
        <v>WS1023WT</v>
      </c>
      <c r="D2644" s="821"/>
      <c r="E2644" s="1628" t="s">
        <v>8339</v>
      </c>
      <c r="F2644" s="1882"/>
      <c r="G2644" s="1882">
        <f>IF('4J'!K35="","##BLANK",'4J'!K35)</f>
        <v>0</v>
      </c>
    </row>
    <row r="2645" spans="2:7">
      <c r="B2645" s="821" t="str">
        <f>+'4J'!AU36</f>
        <v>WS1024WT</v>
      </c>
      <c r="D2645" s="821"/>
      <c r="E2645" s="1628" t="s">
        <v>8339</v>
      </c>
      <c r="F2645" s="1882"/>
      <c r="G2645" s="1882">
        <f>IF('4J'!K36="","##BLANK",'4J'!K36)</f>
        <v>23.84420672942332</v>
      </c>
    </row>
    <row r="2646" spans="2:7">
      <c r="B2646" s="821" t="str">
        <f>+'4J'!AU39</f>
        <v>BP3357001WT</v>
      </c>
      <c r="D2646" s="821"/>
      <c r="E2646" s="1628" t="s">
        <v>8339</v>
      </c>
      <c r="F2646" s="1882" t="str">
        <f>+'4J'!C$39</f>
        <v>Canal and River Trust Arbitration</v>
      </c>
      <c r="G2646" s="1882">
        <f>IF('4J'!K39="","##BLANK",'4J'!K39)</f>
        <v>0</v>
      </c>
    </row>
    <row r="2647" spans="2:7">
      <c r="B2647" s="821" t="str">
        <f>+'4J'!AU40</f>
        <v>BP3357002WT</v>
      </c>
      <c r="D2647" s="821"/>
      <c r="E2647" s="1628" t="s">
        <v>8339</v>
      </c>
      <c r="F2647" s="1882" t="str">
        <f>+'4J'!C$40</f>
        <v>CMA referral</v>
      </c>
      <c r="G2647" s="1882">
        <f>IF('4J'!K40="","##BLANK",'4J'!K40)</f>
        <v>0.72499999999999998</v>
      </c>
    </row>
    <row r="2648" spans="2:7">
      <c r="B2648" s="821" t="str">
        <f>+'4J'!AU41</f>
        <v>BP3357003WT</v>
      </c>
      <c r="D2648" s="821"/>
      <c r="E2648" s="1628" t="s">
        <v>8339</v>
      </c>
      <c r="F2648" s="1882" t="str">
        <f>+'4J'!C$41</f>
        <v>Item 3</v>
      </c>
      <c r="G2648" s="1882" t="str">
        <f>IF('4J'!K41="","##BLANK",'4J'!K41)</f>
        <v>##BLANK</v>
      </c>
    </row>
    <row r="2649" spans="2:7">
      <c r="B2649" s="821" t="str">
        <f>+'4J'!AU42</f>
        <v>BP3357004WT</v>
      </c>
      <c r="D2649" s="821"/>
      <c r="E2649" s="1628" t="s">
        <v>8339</v>
      </c>
      <c r="F2649" s="1882" t="str">
        <f>+'4J'!C$42</f>
        <v>Item 4</v>
      </c>
      <c r="G2649" s="1882" t="str">
        <f>IF('4J'!K42="","##BLANK",'4J'!K42)</f>
        <v>##BLANK</v>
      </c>
    </row>
    <row r="2650" spans="2:7">
      <c r="B2650" s="821" t="str">
        <f>+'4J'!AU43</f>
        <v>BP3357005WT</v>
      </c>
      <c r="D2650" s="821"/>
      <c r="E2650" s="1628" t="s">
        <v>8339</v>
      </c>
      <c r="F2650" s="1882" t="str">
        <f>+'4J'!C$43</f>
        <v>Item 5</v>
      </c>
      <c r="G2650" s="1882" t="str">
        <f>IF('4J'!K43="","##BLANK",'4J'!K43)</f>
        <v>##BLANK</v>
      </c>
    </row>
    <row r="2651" spans="2:7">
      <c r="B2651" s="821" t="str">
        <f>+'4J'!AU44</f>
        <v>BP3357006WT</v>
      </c>
      <c r="D2651" s="821"/>
      <c r="E2651" s="1628" t="s">
        <v>8339</v>
      </c>
      <c r="F2651" s="1882" t="str">
        <f>+'4J'!C$44</f>
        <v>Item 6</v>
      </c>
      <c r="G2651" s="1882" t="str">
        <f>IF('4J'!K44="","##BLANK",'4J'!K44)</f>
        <v>##BLANK</v>
      </c>
    </row>
    <row r="2652" spans="2:7">
      <c r="B2652" s="821" t="str">
        <f>+'4J'!AU45</f>
        <v>BP3357007WT</v>
      </c>
      <c r="D2652" s="821"/>
      <c r="E2652" s="1628" t="s">
        <v>8339</v>
      </c>
      <c r="F2652" s="1882" t="str">
        <f>+'4J'!C$45</f>
        <v>Item 7</v>
      </c>
      <c r="G2652" s="1882" t="str">
        <f>IF('4J'!K45="","##BLANK",'4J'!K45)</f>
        <v>##BLANK</v>
      </c>
    </row>
    <row r="2653" spans="2:7">
      <c r="B2653" s="821" t="str">
        <f>+'4J'!AU46</f>
        <v>BP3357008WT</v>
      </c>
      <c r="D2653" s="821"/>
      <c r="E2653" s="1628" t="s">
        <v>8339</v>
      </c>
      <c r="F2653" s="1882" t="str">
        <f>+'4J'!C$46</f>
        <v>Item 8</v>
      </c>
      <c r="G2653" s="1882" t="str">
        <f>IF('4J'!K46="","##BLANK",'4J'!K46)</f>
        <v>##BLANK</v>
      </c>
    </row>
    <row r="2654" spans="2:7">
      <c r="B2654" s="821" t="str">
        <f>+'4J'!AU47</f>
        <v>BP3357009WT</v>
      </c>
      <c r="D2654" s="821"/>
      <c r="E2654" s="1628" t="s">
        <v>8339</v>
      </c>
      <c r="F2654" s="1882" t="str">
        <f>+'4J'!C$47</f>
        <v>Item 9</v>
      </c>
      <c r="G2654" s="1882" t="str">
        <f>IF('4J'!K47="","##BLANK",'4J'!K47)</f>
        <v>##BLANK</v>
      </c>
    </row>
    <row r="2655" spans="2:7">
      <c r="B2655" s="821" t="str">
        <f>+'4J'!AU48</f>
        <v>BP3357010WT</v>
      </c>
      <c r="D2655" s="821"/>
      <c r="E2655" s="1628" t="s">
        <v>8339</v>
      </c>
      <c r="F2655" s="1882" t="str">
        <f>+'4J'!C$48</f>
        <v>Item 10</v>
      </c>
      <c r="G2655" s="1882" t="str">
        <f>IF('4J'!K48="","##BLANK",'4J'!K48)</f>
        <v>##BLANK</v>
      </c>
    </row>
    <row r="2656" spans="2:7">
      <c r="B2656" s="821" t="str">
        <f>+'4J'!AU49</f>
        <v>BP3357020WT</v>
      </c>
      <c r="D2656" s="821"/>
      <c r="E2656" s="1628" t="s">
        <v>8339</v>
      </c>
      <c r="F2656" s="1882"/>
      <c r="G2656" s="1882">
        <f>IF('4J'!K49="","##BLANK",'4J'!K49)</f>
        <v>0.72499999999999998</v>
      </c>
    </row>
    <row r="2657" spans="2:7">
      <c r="B2657" s="821" t="str">
        <f>+'4J'!AU52</f>
        <v>W3026TEWT</v>
      </c>
      <c r="D2657" s="821"/>
      <c r="E2657" s="1628" t="s">
        <v>8339</v>
      </c>
      <c r="F2657" s="1882"/>
      <c r="G2657" s="1882">
        <f>IF('4J'!K52="","##BLANK",'4J'!K52)</f>
        <v>24.569206729423321</v>
      </c>
    </row>
    <row r="2658" spans="2:7">
      <c r="B2658" s="821" t="str">
        <f>+'4J'!AV7</f>
        <v>WS1001TWD</v>
      </c>
      <c r="D2658" s="821"/>
      <c r="E2658" s="1628" t="s">
        <v>8339</v>
      </c>
      <c r="F2658" s="1882"/>
      <c r="G2658" s="1882">
        <f>IF('4J'!L7="","##BLANK",'4J'!L7)</f>
        <v>4.0510000000000002</v>
      </c>
    </row>
    <row r="2659" spans="2:7">
      <c r="B2659" s="821" t="str">
        <f>+'4J'!AV8</f>
        <v>WS1002TWD</v>
      </c>
      <c r="D2659" s="821"/>
      <c r="E2659" s="1628" t="s">
        <v>8339</v>
      </c>
      <c r="F2659" s="1882"/>
      <c r="G2659" s="1882">
        <f>IF('4J'!L8="","##BLANK",'4J'!L8)</f>
        <v>0</v>
      </c>
    </row>
    <row r="2660" spans="2:7">
      <c r="B2660" s="821" t="str">
        <f>+'4J'!AV9</f>
        <v>WS1003TWD</v>
      </c>
      <c r="D2660" s="821"/>
      <c r="E2660" s="1628" t="s">
        <v>8339</v>
      </c>
      <c r="F2660" s="1882"/>
      <c r="G2660" s="1882">
        <f>IF('4J'!L9="","##BLANK",'4J'!L9)</f>
        <v>1E-3</v>
      </c>
    </row>
    <row r="2661" spans="2:7">
      <c r="B2661" s="821" t="str">
        <f>+'4J'!AV10</f>
        <v>WS1004TWD</v>
      </c>
      <c r="D2661" s="821"/>
      <c r="E2661" s="1628" t="s">
        <v>8339</v>
      </c>
      <c r="F2661" s="1882"/>
      <c r="G2661" s="1882">
        <f>IF('4J'!L10="","##BLANK",'4J'!L10)</f>
        <v>0.08</v>
      </c>
    </row>
    <row r="2662" spans="2:7">
      <c r="B2662" s="821" t="str">
        <f>+'4J'!AV12</f>
        <v>WS1005TWD</v>
      </c>
      <c r="D2662" s="821"/>
      <c r="E2662" s="1628" t="s">
        <v>8339</v>
      </c>
      <c r="F2662" s="1882"/>
      <c r="G2662" s="1882">
        <f>IF('4J'!L12="","##BLANK",'4J'!L12)</f>
        <v>1.7350000000000001</v>
      </c>
    </row>
    <row r="2663" spans="2:7">
      <c r="B2663" s="821" t="str">
        <f>+'4J'!AV13</f>
        <v>WS1006TWD</v>
      </c>
      <c r="D2663" s="821"/>
      <c r="E2663" s="1628" t="s">
        <v>8339</v>
      </c>
      <c r="F2663" s="1882"/>
      <c r="G2663" s="1882">
        <f>IF('4J'!L13="","##BLANK",'4J'!L13)</f>
        <v>0</v>
      </c>
    </row>
    <row r="2664" spans="2:7">
      <c r="B2664" s="821" t="str">
        <f>+'4J'!AV14</f>
        <v>WS1007TWD</v>
      </c>
      <c r="D2664" s="821"/>
      <c r="E2664" s="1628" t="s">
        <v>8339</v>
      </c>
      <c r="F2664" s="1882"/>
      <c r="G2664" s="1882">
        <f>IF('4J'!L14="","##BLANK",'4J'!L14)</f>
        <v>20.329999999999998</v>
      </c>
    </row>
    <row r="2665" spans="2:7">
      <c r="B2665" s="821" t="str">
        <f>+'4J'!AV15</f>
        <v>WS1008TWD</v>
      </c>
      <c r="D2665" s="821"/>
      <c r="E2665" s="1628" t="s">
        <v>8339</v>
      </c>
      <c r="F2665" s="1882"/>
      <c r="G2665" s="1882">
        <f>IF('4J'!L15="","##BLANK",'4J'!L15)</f>
        <v>3.2360000000000002</v>
      </c>
    </row>
    <row r="2666" spans="2:7">
      <c r="B2666" s="821" t="str">
        <f>+'4J'!AV16</f>
        <v>WS1009TWD</v>
      </c>
      <c r="D2666" s="821"/>
      <c r="E2666" s="1628" t="s">
        <v>8339</v>
      </c>
      <c r="F2666" s="1882"/>
      <c r="G2666" s="1882">
        <f>IF('4J'!L16="","##BLANK",'4J'!L16)</f>
        <v>29.433</v>
      </c>
    </row>
    <row r="2667" spans="2:7">
      <c r="B2667" s="821" t="str">
        <f>+'4J'!AV18</f>
        <v>WS1010TWD</v>
      </c>
      <c r="D2667" s="821"/>
      <c r="E2667" s="1628" t="s">
        <v>8339</v>
      </c>
      <c r="F2667" s="1882"/>
      <c r="G2667" s="1882">
        <f>IF('4J'!L18="","##BLANK",'4J'!L18)</f>
        <v>0.65800000000000003</v>
      </c>
    </row>
    <row r="2668" spans="2:7">
      <c r="B2668" s="821" t="str">
        <f>+'4J'!AV19</f>
        <v>WS1011TWD</v>
      </c>
      <c r="D2668" s="821"/>
      <c r="E2668" s="1628" t="s">
        <v>8339</v>
      </c>
      <c r="F2668" s="1882"/>
      <c r="G2668" s="1882">
        <f>IF('4J'!L19="","##BLANK",'4J'!L19)</f>
        <v>30.091000000000001</v>
      </c>
    </row>
    <row r="2669" spans="2:7">
      <c r="B2669" s="821" t="str">
        <f>+'4J'!AV22</f>
        <v>WS1012TWD</v>
      </c>
      <c r="D2669" s="821"/>
      <c r="E2669" s="1628" t="s">
        <v>8339</v>
      </c>
      <c r="F2669" s="1882"/>
      <c r="G2669" s="1882">
        <f>IF('4J'!L22="","##BLANK",'4J'!L22)</f>
        <v>25.143280000000001</v>
      </c>
    </row>
    <row r="2670" spans="2:7">
      <c r="B2670" s="821" t="str">
        <f>+'4J'!AV23</f>
        <v>WS1013TWD</v>
      </c>
      <c r="D2670" s="821"/>
      <c r="E2670" s="1628" t="s">
        <v>8339</v>
      </c>
      <c r="F2670" s="1882"/>
      <c r="G2670" s="1882">
        <f>IF('4J'!L23="","##BLANK",'4J'!L23)</f>
        <v>12.5365</v>
      </c>
    </row>
    <row r="2671" spans="2:7">
      <c r="B2671" s="821" t="str">
        <f>+'4J'!AV24</f>
        <v>WS1014TWD</v>
      </c>
      <c r="D2671" s="821"/>
      <c r="E2671" s="1628" t="s">
        <v>8339</v>
      </c>
      <c r="F2671" s="1882"/>
      <c r="G2671" s="1882">
        <f>IF('4J'!L24="","##BLANK",'4J'!L24)</f>
        <v>10.2643</v>
      </c>
    </row>
    <row r="2672" spans="2:7">
      <c r="B2672" s="821" t="str">
        <f>+'4J'!AV25</f>
        <v>WS1015TWD</v>
      </c>
      <c r="D2672" s="821"/>
      <c r="E2672" s="1628" t="s">
        <v>8339</v>
      </c>
      <c r="F2672" s="1882"/>
      <c r="G2672" s="1882">
        <f>IF('4J'!L25="","##BLANK",'4J'!L25)</f>
        <v>5.5111518528072203</v>
      </c>
    </row>
    <row r="2673" spans="2:7">
      <c r="B2673" s="821" t="str">
        <f>+'4J'!AV26</f>
        <v>WS1016TWD</v>
      </c>
      <c r="D2673" s="821"/>
      <c r="E2673" s="1628" t="s">
        <v>8339</v>
      </c>
      <c r="F2673" s="1882"/>
      <c r="G2673" s="1882">
        <f>IF('4J'!L26="","##BLANK",'4J'!L26)</f>
        <v>1.12619684</v>
      </c>
    </row>
    <row r="2674" spans="2:7">
      <c r="B2674" s="821" t="str">
        <f>+'4J'!AV27</f>
        <v>WS1017TWD</v>
      </c>
      <c r="D2674" s="821"/>
      <c r="E2674" s="1628" t="s">
        <v>8339</v>
      </c>
      <c r="F2674" s="1882"/>
      <c r="G2674" s="1882">
        <f>IF('4J'!L27="","##BLANK",'4J'!L27)</f>
        <v>54.581428692807215</v>
      </c>
    </row>
    <row r="2675" spans="2:7">
      <c r="B2675" s="821" t="str">
        <f>+'4J'!AV28</f>
        <v>WS1018TWD</v>
      </c>
      <c r="D2675" s="821"/>
      <c r="E2675" s="1628" t="s">
        <v>8339</v>
      </c>
      <c r="F2675" s="1882"/>
      <c r="G2675" s="1882">
        <f>IF('4J'!L28="","##BLANK",'4J'!L28)</f>
        <v>2.5999999999999999E-2</v>
      </c>
    </row>
    <row r="2676" spans="2:7">
      <c r="B2676" s="821" t="str">
        <f>+'4J'!AV29</f>
        <v>WS1019TWD</v>
      </c>
      <c r="D2676" s="821"/>
      <c r="E2676" s="1628" t="s">
        <v>8339</v>
      </c>
      <c r="F2676" s="1882"/>
      <c r="G2676" s="1882">
        <f>IF('4J'!L29="","##BLANK",'4J'!L29)</f>
        <v>54.607428692807218</v>
      </c>
    </row>
    <row r="2677" spans="2:7">
      <c r="B2677" s="821" t="str">
        <f>+'4J'!AV30</f>
        <v>WS1020TWD</v>
      </c>
      <c r="D2677" s="821"/>
      <c r="E2677" s="1628" t="s">
        <v>8339</v>
      </c>
      <c r="F2677" s="1882"/>
      <c r="G2677" s="1882">
        <f>IF('4J'!L30="","##BLANK",'4J'!L30)</f>
        <v>4.391</v>
      </c>
    </row>
    <row r="2678" spans="2:7">
      <c r="B2678" s="821" t="str">
        <f>+'4J'!AV31</f>
        <v>WS1021TWD</v>
      </c>
      <c r="D2678" s="821"/>
      <c r="E2678" s="1628" t="s">
        <v>8339</v>
      </c>
      <c r="F2678" s="1882"/>
      <c r="G2678" s="1882">
        <f>IF('4J'!L31="","##BLANK",'4J'!L31)</f>
        <v>80.307428692807221</v>
      </c>
    </row>
    <row r="2679" spans="2:7">
      <c r="B2679" s="821" t="str">
        <f>+'4J'!AV34</f>
        <v>WS1022TWD</v>
      </c>
      <c r="D2679" s="821"/>
      <c r="E2679" s="1628" t="s">
        <v>8339</v>
      </c>
      <c r="F2679" s="1882"/>
      <c r="G2679" s="1882">
        <f>IF('4J'!L34="","##BLANK",'4J'!L34)</f>
        <v>0</v>
      </c>
    </row>
    <row r="2680" spans="2:7">
      <c r="B2680" s="821" t="str">
        <f>+'4J'!AV35</f>
        <v>WS1023TWD</v>
      </c>
      <c r="D2680" s="821"/>
      <c r="E2680" s="1628" t="s">
        <v>8339</v>
      </c>
      <c r="F2680" s="1882"/>
      <c r="G2680" s="1882">
        <f>IF('4J'!L35="","##BLANK",'4J'!L35)</f>
        <v>0</v>
      </c>
    </row>
    <row r="2681" spans="2:7">
      <c r="B2681" s="821" t="str">
        <f>+'4J'!AV36</f>
        <v>WS1024TWD</v>
      </c>
      <c r="D2681" s="821"/>
      <c r="E2681" s="1628" t="s">
        <v>8339</v>
      </c>
      <c r="F2681" s="1882"/>
      <c r="G2681" s="1882">
        <f>IF('4J'!L36="","##BLANK",'4J'!L36)</f>
        <v>80.307428692807221</v>
      </c>
    </row>
    <row r="2682" spans="2:7">
      <c r="B2682" s="821" t="str">
        <f>+'4J'!AV39</f>
        <v>BP3357001TWD</v>
      </c>
      <c r="D2682" s="821"/>
      <c r="E2682" s="1628" t="s">
        <v>8339</v>
      </c>
      <c r="F2682" s="1882" t="str">
        <f>+'4J'!C$39</f>
        <v>Canal and River Trust Arbitration</v>
      </c>
      <c r="G2682" s="1882">
        <f>IF('4J'!L39="","##BLANK",'4J'!L39)</f>
        <v>0</v>
      </c>
    </row>
    <row r="2683" spans="2:7">
      <c r="B2683" s="821" t="str">
        <f>+'4J'!AV40</f>
        <v>BP3357002TWD</v>
      </c>
      <c r="D2683" s="821"/>
      <c r="E2683" s="1628" t="s">
        <v>8339</v>
      </c>
      <c r="F2683" s="1882" t="str">
        <f>+'4J'!C$40</f>
        <v>CMA referral</v>
      </c>
      <c r="G2683" s="1882">
        <f>IF('4J'!L40="","##BLANK",'4J'!L40)</f>
        <v>1.4490000000000001</v>
      </c>
    </row>
    <row r="2684" spans="2:7">
      <c r="B2684" s="821" t="str">
        <f>+'4J'!AV41</f>
        <v>BP3357003TWD</v>
      </c>
      <c r="D2684" s="821"/>
      <c r="E2684" s="1628" t="s">
        <v>8339</v>
      </c>
      <c r="F2684" s="1882" t="str">
        <f>+'4J'!C$41</f>
        <v>Item 3</v>
      </c>
      <c r="G2684" s="1882" t="str">
        <f>IF('4J'!L41="","##BLANK",'4J'!L41)</f>
        <v>##BLANK</v>
      </c>
    </row>
    <row r="2685" spans="2:7">
      <c r="B2685" s="821" t="str">
        <f>+'4J'!AV42</f>
        <v>BP3357004TWD</v>
      </c>
      <c r="D2685" s="821"/>
      <c r="E2685" s="1628" t="s">
        <v>8339</v>
      </c>
      <c r="F2685" s="1882" t="str">
        <f>+'4J'!C$42</f>
        <v>Item 4</v>
      </c>
      <c r="G2685" s="1882" t="str">
        <f>IF('4J'!L42="","##BLANK",'4J'!L42)</f>
        <v>##BLANK</v>
      </c>
    </row>
    <row r="2686" spans="2:7">
      <c r="B2686" s="821" t="str">
        <f>+'4J'!AV43</f>
        <v>BP3357005TWD</v>
      </c>
      <c r="D2686" s="821"/>
      <c r="E2686" s="1628" t="s">
        <v>8339</v>
      </c>
      <c r="F2686" s="1882" t="str">
        <f>+'4J'!C$43</f>
        <v>Item 5</v>
      </c>
      <c r="G2686" s="1882" t="str">
        <f>IF('4J'!L43="","##BLANK",'4J'!L43)</f>
        <v>##BLANK</v>
      </c>
    </row>
    <row r="2687" spans="2:7">
      <c r="B2687" s="821" t="str">
        <f>+'4J'!AV44</f>
        <v>BP3357006TWD</v>
      </c>
      <c r="D2687" s="821"/>
      <c r="E2687" s="1628" t="s">
        <v>8339</v>
      </c>
      <c r="F2687" s="1882" t="str">
        <f>+'4J'!C$44</f>
        <v>Item 6</v>
      </c>
      <c r="G2687" s="1882" t="str">
        <f>IF('4J'!L44="","##BLANK",'4J'!L44)</f>
        <v>##BLANK</v>
      </c>
    </row>
    <row r="2688" spans="2:7">
      <c r="B2688" s="821" t="str">
        <f>+'4J'!AV45</f>
        <v>BP3357007TWD</v>
      </c>
      <c r="D2688" s="821"/>
      <c r="E2688" s="1628" t="s">
        <v>8339</v>
      </c>
      <c r="F2688" s="1882" t="str">
        <f>+'4J'!C$45</f>
        <v>Item 7</v>
      </c>
      <c r="G2688" s="1882" t="str">
        <f>IF('4J'!L45="","##BLANK",'4J'!L45)</f>
        <v>##BLANK</v>
      </c>
    </row>
    <row r="2689" spans="2:7">
      <c r="B2689" s="821" t="str">
        <f>+'4J'!AV46</f>
        <v>BP3357008TWD</v>
      </c>
      <c r="D2689" s="821"/>
      <c r="E2689" s="1628" t="s">
        <v>8339</v>
      </c>
      <c r="F2689" s="1882" t="str">
        <f>+'4J'!C$46</f>
        <v>Item 8</v>
      </c>
      <c r="G2689" s="1882" t="str">
        <f>IF('4J'!L46="","##BLANK",'4J'!L46)</f>
        <v>##BLANK</v>
      </c>
    </row>
    <row r="2690" spans="2:7">
      <c r="B2690" s="821" t="str">
        <f>+'4J'!AV47</f>
        <v>BP3357009TWD</v>
      </c>
      <c r="D2690" s="821"/>
      <c r="E2690" s="1628" t="s">
        <v>8339</v>
      </c>
      <c r="F2690" s="1882" t="str">
        <f>+'4J'!C$47</f>
        <v>Item 9</v>
      </c>
      <c r="G2690" s="1882" t="str">
        <f>IF('4J'!L47="","##BLANK",'4J'!L47)</f>
        <v>##BLANK</v>
      </c>
    </row>
    <row r="2691" spans="2:7">
      <c r="B2691" s="821" t="str">
        <f>+'4J'!AV48</f>
        <v>BP3357010TWD</v>
      </c>
      <c r="D2691" s="821"/>
      <c r="E2691" s="1628" t="s">
        <v>8339</v>
      </c>
      <c r="F2691" s="1882" t="str">
        <f>+'4J'!C$48</f>
        <v>Item 10</v>
      </c>
      <c r="G2691" s="1882" t="str">
        <f>IF('4J'!L48="","##BLANK",'4J'!L48)</f>
        <v>##BLANK</v>
      </c>
    </row>
    <row r="2692" spans="2:7">
      <c r="B2692" s="821" t="str">
        <f>+'4J'!AV49</f>
        <v>BP3357020TWD</v>
      </c>
      <c r="D2692" s="821"/>
      <c r="E2692" s="1628" t="s">
        <v>8339</v>
      </c>
      <c r="F2692" s="1882"/>
      <c r="G2692" s="1882">
        <f>IF('4J'!L49="","##BLANK",'4J'!L49)</f>
        <v>1.4490000000000001</v>
      </c>
    </row>
    <row r="2693" spans="2:7">
      <c r="B2693" s="821" t="str">
        <f>+'4J'!AV52</f>
        <v>W3026TETWD</v>
      </c>
      <c r="D2693" s="821"/>
      <c r="E2693" s="1628" t="s">
        <v>8339</v>
      </c>
      <c r="F2693" s="1882"/>
      <c r="G2693" s="1882">
        <f>IF('4J'!L52="","##BLANK",'4J'!L52)</f>
        <v>81.756428692807219</v>
      </c>
    </row>
    <row r="2694" spans="2:7">
      <c r="B2694" s="821" t="str">
        <f>+'4J'!AW7</f>
        <v>WS1001CAW</v>
      </c>
      <c r="D2694" s="821"/>
      <c r="E2694" s="1628" t="s">
        <v>8339</v>
      </c>
      <c r="F2694" s="1882"/>
      <c r="G2694" s="1882">
        <f>IF('4J'!M7="","##BLANK",'4J'!M7)</f>
        <v>8.4640000000000004</v>
      </c>
    </row>
    <row r="2695" spans="2:7">
      <c r="B2695" s="821" t="str">
        <f>+'4J'!AW8</f>
        <v>WS1002CAW</v>
      </c>
      <c r="D2695" s="821"/>
      <c r="E2695" s="1628" t="s">
        <v>8339</v>
      </c>
      <c r="F2695" s="1882"/>
      <c r="G2695" s="1882">
        <f>IF('4J'!M8="","##BLANK",'4J'!M8)</f>
        <v>0</v>
      </c>
    </row>
    <row r="2696" spans="2:7">
      <c r="B2696" s="821" t="str">
        <f>+'4J'!AW9</f>
        <v>WS1003CAW</v>
      </c>
      <c r="D2696" s="821"/>
      <c r="E2696" s="1628" t="s">
        <v>8339</v>
      </c>
      <c r="F2696" s="1882"/>
      <c r="G2696" s="1882">
        <f>IF('4J'!M9="","##BLANK",'4J'!M9)</f>
        <v>2.8209999999999997</v>
      </c>
    </row>
    <row r="2697" spans="2:7">
      <c r="B2697" s="821" t="str">
        <f>+'4J'!AW10</f>
        <v>WS1004CAW</v>
      </c>
      <c r="D2697" s="821"/>
      <c r="E2697" s="1628" t="s">
        <v>8339</v>
      </c>
      <c r="F2697" s="1882"/>
      <c r="G2697" s="1882">
        <f>IF('4J'!M10="","##BLANK",'4J'!M10)</f>
        <v>0.13</v>
      </c>
    </row>
    <row r="2698" spans="2:7">
      <c r="B2698" s="821" t="str">
        <f>+'4J'!AW12</f>
        <v>WS1005CAW</v>
      </c>
      <c r="D2698" s="821"/>
      <c r="E2698" s="1628" t="s">
        <v>8339</v>
      </c>
      <c r="F2698" s="1882"/>
      <c r="G2698" s="1882">
        <f>IF('4J'!M12="","##BLANK",'4J'!M12)</f>
        <v>1.8840000000000001</v>
      </c>
    </row>
    <row r="2699" spans="2:7">
      <c r="B2699" s="821" t="str">
        <f>+'4J'!AW13</f>
        <v>WS1006CAW</v>
      </c>
      <c r="D2699" s="821"/>
      <c r="E2699" s="1628" t="s">
        <v>8339</v>
      </c>
      <c r="F2699" s="1882"/>
      <c r="G2699" s="1882">
        <f>IF('4J'!M13="","##BLANK",'4J'!M13)</f>
        <v>0</v>
      </c>
    </row>
    <row r="2700" spans="2:7">
      <c r="B2700" s="821" t="str">
        <f>+'4J'!AW14</f>
        <v>WS1007CAW</v>
      </c>
      <c r="D2700" s="821"/>
      <c r="E2700" s="1628" t="s">
        <v>8339</v>
      </c>
      <c r="F2700" s="1882"/>
      <c r="G2700" s="1882">
        <f>IF('4J'!M14="","##BLANK",'4J'!M14)</f>
        <v>38.336999999999996</v>
      </c>
    </row>
    <row r="2701" spans="2:7">
      <c r="B2701" s="821" t="str">
        <f>+'4J'!AW15</f>
        <v>WS1008CAW</v>
      </c>
      <c r="D2701" s="821"/>
      <c r="E2701" s="1628" t="s">
        <v>8339</v>
      </c>
      <c r="F2701" s="1882"/>
      <c r="G2701" s="1882">
        <f>IF('4J'!M15="","##BLANK",'4J'!M15)</f>
        <v>5.01</v>
      </c>
    </row>
    <row r="2702" spans="2:7">
      <c r="B2702" s="821" t="str">
        <f>+'4J'!AW16</f>
        <v>WS1009CAW</v>
      </c>
      <c r="D2702" s="821"/>
      <c r="E2702" s="1628" t="s">
        <v>8339</v>
      </c>
      <c r="F2702" s="1882"/>
      <c r="G2702" s="1882">
        <f>IF('4J'!M16="","##BLANK",'4J'!M16)</f>
        <v>56.646000000000001</v>
      </c>
    </row>
    <row r="2703" spans="2:7">
      <c r="B2703" s="821" t="str">
        <f>+'4J'!AW18</f>
        <v>WS1010CAW</v>
      </c>
      <c r="D2703" s="821"/>
      <c r="E2703" s="1628" t="s">
        <v>8339</v>
      </c>
      <c r="F2703" s="1882"/>
      <c r="G2703" s="1882">
        <f>IF('4J'!M18="","##BLANK",'4J'!M18)</f>
        <v>1.2250000000000001</v>
      </c>
    </row>
    <row r="2704" spans="2:7">
      <c r="B2704" s="821" t="str">
        <f>+'4J'!AW19</f>
        <v>WS1011CAW</v>
      </c>
      <c r="D2704" s="821"/>
      <c r="E2704" s="1628" t="s">
        <v>8339</v>
      </c>
      <c r="F2704" s="1882"/>
      <c r="G2704" s="1882">
        <f>IF('4J'!M19="","##BLANK",'4J'!M19)</f>
        <v>57.871000000000002</v>
      </c>
    </row>
    <row r="2705" spans="2:7">
      <c r="B2705" s="821" t="str">
        <f>+'4J'!AW22</f>
        <v>WS1012CAW</v>
      </c>
      <c r="D2705" s="821"/>
      <c r="E2705" s="1628" t="s">
        <v>8339</v>
      </c>
      <c r="F2705" s="1882"/>
      <c r="G2705" s="1882">
        <f>IF('4J'!M22="","##BLANK",'4J'!M22)</f>
        <v>27.001213</v>
      </c>
    </row>
    <row r="2706" spans="2:7">
      <c r="B2706" s="821" t="str">
        <f>+'4J'!AW23</f>
        <v>WS1013CAW</v>
      </c>
      <c r="D2706" s="821"/>
      <c r="E2706" s="1628" t="s">
        <v>8339</v>
      </c>
      <c r="F2706" s="1882"/>
      <c r="G2706" s="1882">
        <f>IF('4J'!M23="","##BLANK",'4J'!M23)</f>
        <v>22.553660745855481</v>
      </c>
    </row>
    <row r="2707" spans="2:7">
      <c r="B2707" s="821" t="str">
        <f>+'4J'!AW24</f>
        <v>WS1014CAW</v>
      </c>
      <c r="D2707" s="821"/>
      <c r="E2707" s="1628" t="s">
        <v>8339</v>
      </c>
      <c r="F2707" s="1882"/>
      <c r="G2707" s="1882">
        <f>IF('4J'!M24="","##BLANK",'4J'!M24)</f>
        <v>10.2643</v>
      </c>
    </row>
    <row r="2708" spans="2:7">
      <c r="B2708" s="821" t="str">
        <f>+'4J'!AW25</f>
        <v>WS1015CAW</v>
      </c>
      <c r="D2708" s="821"/>
      <c r="E2708" s="1628" t="s">
        <v>8339</v>
      </c>
      <c r="F2708" s="1882"/>
      <c r="G2708" s="1882">
        <f>IF('4J'!M25="","##BLANK",'4J'!M25)</f>
        <v>6.9429212474890951</v>
      </c>
    </row>
    <row r="2709" spans="2:7">
      <c r="B2709" s="821" t="str">
        <f>+'4J'!AW26</f>
        <v>WS1016CAW</v>
      </c>
      <c r="D2709" s="821"/>
      <c r="E2709" s="1628" t="s">
        <v>8339</v>
      </c>
      <c r="F2709" s="1882"/>
      <c r="G2709" s="1882">
        <f>IF('4J'!M26="","##BLANK",'4J'!M26)</f>
        <v>1.12619684</v>
      </c>
    </row>
    <row r="2710" spans="2:7">
      <c r="B2710" s="821" t="str">
        <f>+'4J'!AW27</f>
        <v>WS1017CAW</v>
      </c>
      <c r="D2710" s="821"/>
      <c r="E2710" s="1628" t="s">
        <v>8339</v>
      </c>
      <c r="F2710" s="1882"/>
      <c r="G2710" s="1882">
        <f>IF('4J'!M27="","##BLANK",'4J'!M27)</f>
        <v>67.888291833344567</v>
      </c>
    </row>
    <row r="2711" spans="2:7">
      <c r="B2711" s="821" t="str">
        <f>+'4J'!AW28</f>
        <v>WS1018CAW</v>
      </c>
      <c r="D2711" s="821"/>
      <c r="E2711" s="1628" t="s">
        <v>8339</v>
      </c>
      <c r="F2711" s="1882"/>
      <c r="G2711" s="1882">
        <f>IF('4J'!M28="","##BLANK",'4J'!M28)</f>
        <v>0.37566000000000005</v>
      </c>
    </row>
    <row r="2712" spans="2:7">
      <c r="B2712" s="821" t="str">
        <f>+'4J'!AW29</f>
        <v>WS1019CAW</v>
      </c>
      <c r="D2712" s="821"/>
      <c r="E2712" s="1628" t="s">
        <v>8339</v>
      </c>
      <c r="F2712" s="1882"/>
      <c r="G2712" s="1882">
        <f>IF('4J'!M29="","##BLANK",'4J'!M29)</f>
        <v>68.263951833344578</v>
      </c>
    </row>
    <row r="2713" spans="2:7">
      <c r="B2713" s="821" t="str">
        <f>+'4J'!AW30</f>
        <v>WS1020CAW</v>
      </c>
      <c r="D2713" s="821"/>
      <c r="E2713" s="1628" t="s">
        <v>8339</v>
      </c>
      <c r="F2713" s="1882"/>
      <c r="G2713" s="1882">
        <f>IF('4J'!M30="","##BLANK",'4J'!M30)</f>
        <v>4.391</v>
      </c>
    </row>
    <row r="2714" spans="2:7">
      <c r="B2714" s="821" t="str">
        <f>+'4J'!AW31</f>
        <v>WS1021CAW</v>
      </c>
      <c r="D2714" s="821"/>
      <c r="E2714" s="1628" t="s">
        <v>8339</v>
      </c>
      <c r="F2714" s="1882"/>
      <c r="G2714" s="1882">
        <f>IF('4J'!M31="","##BLANK",'4J'!M31)</f>
        <v>121.74395183334457</v>
      </c>
    </row>
    <row r="2715" spans="2:7">
      <c r="B2715" s="821" t="str">
        <f>+'4J'!AW34</f>
        <v>WS1022CAW</v>
      </c>
      <c r="D2715" s="821"/>
      <c r="E2715" s="1628" t="s">
        <v>8339</v>
      </c>
      <c r="F2715" s="1882"/>
      <c r="G2715" s="1882">
        <f>IF('4J'!M34="","##BLANK",'4J'!M34)</f>
        <v>0</v>
      </c>
    </row>
    <row r="2716" spans="2:7">
      <c r="B2716" s="821" t="str">
        <f>+'4J'!AW35</f>
        <v>WS1023CAW</v>
      </c>
      <c r="D2716" s="821"/>
      <c r="E2716" s="1628" t="s">
        <v>8339</v>
      </c>
      <c r="F2716" s="1882"/>
      <c r="G2716" s="1882">
        <f>IF('4J'!M35="","##BLANK",'4J'!M35)</f>
        <v>0</v>
      </c>
    </row>
    <row r="2717" spans="2:7">
      <c r="B2717" s="821" t="str">
        <f>+'4J'!AW36</f>
        <v>WS1024CAW</v>
      </c>
      <c r="D2717" s="821"/>
      <c r="E2717" s="1628" t="s">
        <v>8339</v>
      </c>
      <c r="F2717" s="1882"/>
      <c r="G2717" s="1882">
        <f>IF('4J'!M36="","##BLANK",'4J'!M36)</f>
        <v>121.74395183334457</v>
      </c>
    </row>
    <row r="2718" spans="2:7">
      <c r="B2718" s="821" t="str">
        <f>+'4J'!AW39</f>
        <v>BP3357001CAW</v>
      </c>
      <c r="D2718" s="821"/>
      <c r="E2718" s="1628" t="s">
        <v>8339</v>
      </c>
      <c r="F2718" s="1882" t="str">
        <f>+'4J'!C$39</f>
        <v>Canal and River Trust Arbitration</v>
      </c>
      <c r="G2718" s="1882">
        <f>IF('4J'!M39="","##BLANK",'4J'!M39)</f>
        <v>2.4740000000000002</v>
      </c>
    </row>
    <row r="2719" spans="2:7">
      <c r="B2719" s="821" t="str">
        <f>+'4J'!AW40</f>
        <v>BP3357002CAW</v>
      </c>
      <c r="D2719" s="821"/>
      <c r="E2719" s="1628" t="s">
        <v>8339</v>
      </c>
      <c r="F2719" s="1882" t="str">
        <f>+'4J'!C$40</f>
        <v>CMA referral</v>
      </c>
      <c r="G2719" s="1882">
        <f>IF('4J'!M40="","##BLANK",'4J'!M40)</f>
        <v>3.8650000000000002</v>
      </c>
    </row>
    <row r="2720" spans="2:7">
      <c r="B2720" s="821" t="str">
        <f>+'4J'!AW41</f>
        <v>BP3357003CAW</v>
      </c>
      <c r="D2720" s="821"/>
      <c r="E2720" s="1628" t="s">
        <v>8339</v>
      </c>
      <c r="F2720" s="1882" t="str">
        <f>+'4J'!C$41</f>
        <v>Item 3</v>
      </c>
      <c r="G2720" s="1882">
        <f>IF('4J'!M41="","##BLANK",'4J'!M41)</f>
        <v>0</v>
      </c>
    </row>
    <row r="2721" spans="2:7">
      <c r="B2721" s="821" t="str">
        <f>+'4J'!AW42</f>
        <v>BP3357004CAW</v>
      </c>
      <c r="D2721" s="821"/>
      <c r="E2721" s="1628" t="s">
        <v>8339</v>
      </c>
      <c r="F2721" s="1882" t="str">
        <f>+'4J'!C$42</f>
        <v>Item 4</v>
      </c>
      <c r="G2721" s="1882">
        <f>IF('4J'!M42="","##BLANK",'4J'!M42)</f>
        <v>0</v>
      </c>
    </row>
    <row r="2722" spans="2:7">
      <c r="B2722" s="821" t="str">
        <f>+'4J'!AW43</f>
        <v>BP3357005CAW</v>
      </c>
      <c r="D2722" s="821"/>
      <c r="E2722" s="1628" t="s">
        <v>8339</v>
      </c>
      <c r="F2722" s="1882" t="str">
        <f>+'4J'!C$43</f>
        <v>Item 5</v>
      </c>
      <c r="G2722" s="1882">
        <f>IF('4J'!M43="","##BLANK",'4J'!M43)</f>
        <v>0</v>
      </c>
    </row>
    <row r="2723" spans="2:7">
      <c r="B2723" s="821" t="str">
        <f>+'4J'!AW44</f>
        <v>BP3357006CAW</v>
      </c>
      <c r="D2723" s="821"/>
      <c r="E2723" s="1628" t="s">
        <v>8339</v>
      </c>
      <c r="F2723" s="1882" t="str">
        <f>+'4J'!C$44</f>
        <v>Item 6</v>
      </c>
      <c r="G2723" s="1882">
        <f>IF('4J'!M44="","##BLANK",'4J'!M44)</f>
        <v>0</v>
      </c>
    </row>
    <row r="2724" spans="2:7">
      <c r="B2724" s="821" t="str">
        <f>+'4J'!AW45</f>
        <v>BP3357007CAW</v>
      </c>
      <c r="D2724" s="821"/>
      <c r="E2724" s="1628" t="s">
        <v>8339</v>
      </c>
      <c r="F2724" s="1882" t="str">
        <f>+'4J'!C$45</f>
        <v>Item 7</v>
      </c>
      <c r="G2724" s="1882">
        <f>IF('4J'!M45="","##BLANK",'4J'!M45)</f>
        <v>0</v>
      </c>
    </row>
    <row r="2725" spans="2:7">
      <c r="B2725" s="821" t="str">
        <f>+'4J'!AW46</f>
        <v>BP3357008CAW</v>
      </c>
      <c r="D2725" s="821"/>
      <c r="E2725" s="1628" t="s">
        <v>8339</v>
      </c>
      <c r="F2725" s="1882" t="str">
        <f>+'4J'!C$46</f>
        <v>Item 8</v>
      </c>
      <c r="G2725" s="1882">
        <f>IF('4J'!M46="","##BLANK",'4J'!M46)</f>
        <v>0</v>
      </c>
    </row>
    <row r="2726" spans="2:7">
      <c r="B2726" s="821" t="str">
        <f>+'4J'!AW47</f>
        <v>BP3357009CAW</v>
      </c>
      <c r="D2726" s="821"/>
      <c r="E2726" s="1628" t="s">
        <v>8339</v>
      </c>
      <c r="F2726" s="1882" t="str">
        <f>+'4J'!C$47</f>
        <v>Item 9</v>
      </c>
      <c r="G2726" s="1882">
        <f>IF('4J'!M47="","##BLANK",'4J'!M47)</f>
        <v>0</v>
      </c>
    </row>
    <row r="2727" spans="2:7">
      <c r="B2727" s="821" t="str">
        <f>+'4J'!AW48</f>
        <v>BP3357010CAW</v>
      </c>
      <c r="D2727" s="821"/>
      <c r="E2727" s="1628" t="s">
        <v>8339</v>
      </c>
      <c r="F2727" s="1882" t="str">
        <f>+'4J'!C$48</f>
        <v>Item 10</v>
      </c>
      <c r="G2727" s="1882">
        <f>IF('4J'!M48="","##BLANK",'4J'!M48)</f>
        <v>0</v>
      </c>
    </row>
    <row r="2728" spans="2:7">
      <c r="B2728" s="821" t="str">
        <f>+'4J'!AW49</f>
        <v>BP3357020CAW</v>
      </c>
      <c r="D2728" s="821"/>
      <c r="E2728" s="1628" t="s">
        <v>8339</v>
      </c>
      <c r="F2728" s="1882"/>
      <c r="G2728" s="1882">
        <f>IF('4J'!M49="","##BLANK",'4J'!M49)</f>
        <v>6.3389999999999995</v>
      </c>
    </row>
    <row r="2729" spans="2:7">
      <c r="B2729" s="821" t="str">
        <f>+'4J'!AW52</f>
        <v>W3026TECAW</v>
      </c>
      <c r="D2729" s="821"/>
      <c r="E2729" s="1628" t="s">
        <v>8339</v>
      </c>
      <c r="F2729" s="1882"/>
      <c r="G2729" s="1882">
        <f>IF('4J'!M52="","##BLANK",'4J'!M52)</f>
        <v>128.08295183334457</v>
      </c>
    </row>
    <row r="2730" spans="2:7">
      <c r="B2730" s="821" t="str">
        <f>+'4K'!AQ7</f>
        <v>WWS1001FL</v>
      </c>
      <c r="D2730" s="1882"/>
      <c r="E2730" s="1628" t="s">
        <v>8339</v>
      </c>
      <c r="F2730" s="1882"/>
      <c r="G2730" s="1882" t="str">
        <f>IF('4K'!G7="","##BLANK",'4K'!G7)</f>
        <v>##BLANK</v>
      </c>
    </row>
    <row r="2731" spans="2:7">
      <c r="B2731" s="821" t="str">
        <f>+'4K'!AQ8</f>
        <v>WWS1002FL</v>
      </c>
      <c r="D2731" s="1882"/>
      <c r="E2731" s="1628" t="s">
        <v>8339</v>
      </c>
      <c r="F2731" s="1882"/>
      <c r="G2731" s="1882" t="str">
        <f>IF('4K'!G8="","##BLANK",'4K'!G8)</f>
        <v>##BLANK</v>
      </c>
    </row>
    <row r="2732" spans="2:7">
      <c r="B2732" s="821" t="str">
        <f>+'4K'!AQ9</f>
        <v>WWS1003FL</v>
      </c>
      <c r="D2732" s="1882"/>
      <c r="E2732" s="1628" t="s">
        <v>8339</v>
      </c>
      <c r="F2732" s="1882"/>
      <c r="G2732" s="1882" t="str">
        <f>IF('4K'!G9="","##BLANK",'4K'!G9)</f>
        <v>##BLANK</v>
      </c>
    </row>
    <row r="2733" spans="2:7">
      <c r="B2733" s="821" t="str">
        <f>+'4K'!AQ10</f>
        <v>WWS1004FL</v>
      </c>
      <c r="D2733" s="1882"/>
      <c r="E2733" s="1628" t="s">
        <v>8339</v>
      </c>
      <c r="F2733" s="1882"/>
      <c r="G2733" s="1882" t="str">
        <f>IF('4K'!G10="","##BLANK",'4K'!G10)</f>
        <v>##BLANK</v>
      </c>
    </row>
    <row r="2734" spans="2:7">
      <c r="B2734" s="821" t="str">
        <f>+'4K'!AQ12</f>
        <v>WWS1005FL</v>
      </c>
      <c r="D2734" s="1882"/>
      <c r="E2734" s="1628" t="s">
        <v>8339</v>
      </c>
      <c r="F2734" s="1882"/>
      <c r="G2734" s="1882" t="str">
        <f>IF('4K'!G12="","##BLANK",'4K'!G12)</f>
        <v>##BLANK</v>
      </c>
    </row>
    <row r="2735" spans="2:7">
      <c r="B2735" s="821" t="str">
        <f>+'4K'!AQ13</f>
        <v>WWS1006FL</v>
      </c>
      <c r="D2735" s="1882"/>
      <c r="E2735" s="1628" t="s">
        <v>8339</v>
      </c>
      <c r="F2735" s="1882"/>
      <c r="G2735" s="1882" t="str">
        <f>IF('4K'!G13="","##BLANK",'4K'!G13)</f>
        <v>##BLANK</v>
      </c>
    </row>
    <row r="2736" spans="2:7">
      <c r="B2736" s="821" t="str">
        <f>+'4K'!AQ14</f>
        <v>WWS1007FL</v>
      </c>
      <c r="D2736" s="1882"/>
      <c r="E2736" s="1628" t="s">
        <v>8339</v>
      </c>
      <c r="F2736" s="1882"/>
      <c r="G2736" s="1882" t="str">
        <f>IF('4K'!G14="","##BLANK",'4K'!G14)</f>
        <v>##BLANK</v>
      </c>
    </row>
    <row r="2737" spans="2:7">
      <c r="B2737" s="821" t="str">
        <f>+'4K'!AQ15</f>
        <v>WWS1008FL</v>
      </c>
      <c r="D2737" s="1882"/>
      <c r="E2737" s="1628" t="s">
        <v>8339</v>
      </c>
      <c r="F2737" s="1882"/>
      <c r="G2737" s="1882" t="str">
        <f>IF('4K'!G15="","##BLANK",'4K'!G15)</f>
        <v>##BLANK</v>
      </c>
    </row>
    <row r="2738" spans="2:7">
      <c r="B2738" s="821" t="str">
        <f>+'4K'!AQ16</f>
        <v>WWS1009FL</v>
      </c>
      <c r="D2738" s="1882"/>
      <c r="E2738" s="1628" t="s">
        <v>8339</v>
      </c>
      <c r="F2738" s="1882"/>
      <c r="G2738" s="1882">
        <f>IF('4K'!G16="","##BLANK",'4K'!G16)</f>
        <v>0</v>
      </c>
    </row>
    <row r="2739" spans="2:7">
      <c r="B2739" s="821" t="str">
        <f>+'4K'!AQ18</f>
        <v>WWS1010FL</v>
      </c>
      <c r="D2739" s="1882"/>
      <c r="E2739" s="1628" t="s">
        <v>8339</v>
      </c>
      <c r="F2739" s="1882"/>
      <c r="G2739" s="1882" t="str">
        <f>IF('4K'!G18="","##BLANK",'4K'!G18)</f>
        <v>##BLANK</v>
      </c>
    </row>
    <row r="2740" spans="2:7">
      <c r="B2740" s="821" t="str">
        <f>+'4K'!AQ19</f>
        <v>WWS1011FL</v>
      </c>
      <c r="D2740" s="1882"/>
      <c r="E2740" s="1628" t="s">
        <v>8339</v>
      </c>
      <c r="F2740" s="1882"/>
      <c r="G2740" s="1882">
        <f>IF('4K'!G19="","##BLANK",'4K'!G19)</f>
        <v>0</v>
      </c>
    </row>
    <row r="2741" spans="2:7">
      <c r="B2741" s="821" t="str">
        <f>+'4K'!AQ22</f>
        <v>WWS1012FL</v>
      </c>
      <c r="D2741" s="1882"/>
      <c r="E2741" s="1628" t="s">
        <v>8339</v>
      </c>
      <c r="F2741" s="1882"/>
      <c r="G2741" s="1882" t="str">
        <f>IF('4K'!G22="","##BLANK",'4K'!G22)</f>
        <v>##BLANK</v>
      </c>
    </row>
    <row r="2742" spans="2:7">
      <c r="B2742" s="821" t="str">
        <f>+'4K'!AQ23</f>
        <v>WWS1013FL</v>
      </c>
      <c r="D2742" s="1882"/>
      <c r="E2742" s="1628" t="s">
        <v>8339</v>
      </c>
      <c r="F2742" s="1882"/>
      <c r="G2742" s="1882" t="str">
        <f>IF('4K'!G23="","##BLANK",'4K'!G23)</f>
        <v>##BLANK</v>
      </c>
    </row>
    <row r="2743" spans="2:7">
      <c r="B2743" s="821" t="str">
        <f>+'4K'!AQ24</f>
        <v>WWS1014FL</v>
      </c>
      <c r="D2743" s="1882"/>
      <c r="E2743" s="1628" t="s">
        <v>8339</v>
      </c>
      <c r="F2743" s="1882"/>
      <c r="G2743" s="1882" t="str">
        <f>IF('4K'!G24="","##BLANK",'4K'!G24)</f>
        <v>##BLANK</v>
      </c>
    </row>
    <row r="2744" spans="2:7">
      <c r="B2744" s="821" t="str">
        <f>+'4K'!AQ25</f>
        <v>WWS1015FL</v>
      </c>
      <c r="D2744" s="1882"/>
      <c r="E2744" s="1628" t="s">
        <v>8339</v>
      </c>
      <c r="F2744" s="1882"/>
      <c r="G2744" s="1882" t="str">
        <f>IF('4K'!G25="","##BLANK",'4K'!G25)</f>
        <v>##BLANK</v>
      </c>
    </row>
    <row r="2745" spans="2:7">
      <c r="B2745" s="821" t="str">
        <f>+'4K'!AQ26</f>
        <v>WWS1016FL</v>
      </c>
      <c r="D2745" s="1882"/>
      <c r="E2745" s="1628" t="s">
        <v>8339</v>
      </c>
      <c r="F2745" s="1882"/>
      <c r="G2745" s="1882" t="str">
        <f>IF('4K'!G26="","##BLANK",'4K'!G26)</f>
        <v>##BLANK</v>
      </c>
    </row>
    <row r="2746" spans="2:7">
      <c r="B2746" s="821" t="str">
        <f>+'4K'!AQ27</f>
        <v>WWS1017FL</v>
      </c>
      <c r="D2746" s="1882"/>
      <c r="E2746" s="1628" t="s">
        <v>8339</v>
      </c>
      <c r="F2746" s="1882"/>
      <c r="G2746" s="1882">
        <f>IF('4K'!G27="","##BLANK",'4K'!G27)</f>
        <v>0</v>
      </c>
    </row>
    <row r="2747" spans="2:7">
      <c r="B2747" s="821" t="str">
        <f>+'4K'!AQ28</f>
        <v>WWS1018FL</v>
      </c>
      <c r="D2747" s="1882"/>
      <c r="E2747" s="1628" t="s">
        <v>8339</v>
      </c>
      <c r="F2747" s="1882"/>
      <c r="G2747" s="1882" t="str">
        <f>IF('4K'!G28="","##BLANK",'4K'!G28)</f>
        <v>##BLANK</v>
      </c>
    </row>
    <row r="2748" spans="2:7">
      <c r="B2748" s="821" t="str">
        <f>+'4K'!AQ29</f>
        <v>WWS1019FL</v>
      </c>
      <c r="D2748" s="1882"/>
      <c r="E2748" s="1628" t="s">
        <v>8339</v>
      </c>
      <c r="F2748" s="1882"/>
      <c r="G2748" s="1882">
        <f>IF('4K'!G29="","##BLANK",'4K'!G29)</f>
        <v>0</v>
      </c>
    </row>
    <row r="2749" spans="2:7">
      <c r="B2749" s="821" t="str">
        <f>+'4K'!AQ30</f>
        <v>WWS1020FL</v>
      </c>
      <c r="D2749" s="1882"/>
      <c r="E2749" s="1628" t="s">
        <v>8339</v>
      </c>
      <c r="F2749" s="1882"/>
      <c r="G2749" s="1882" t="str">
        <f>IF('4K'!G30="","##BLANK",'4K'!G30)</f>
        <v>##BLANK</v>
      </c>
    </row>
    <row r="2750" spans="2:7">
      <c r="B2750" s="821" t="str">
        <f>+'4K'!AQ31</f>
        <v>WWS1021FL</v>
      </c>
      <c r="D2750" s="1882"/>
      <c r="E2750" s="1628" t="s">
        <v>8339</v>
      </c>
      <c r="F2750" s="1882"/>
      <c r="G2750" s="1882">
        <f>IF('4K'!G31="","##BLANK",'4K'!G31)</f>
        <v>0</v>
      </c>
    </row>
    <row r="2751" spans="2:7">
      <c r="B2751" s="821" t="str">
        <f>+'4K'!AQ34</f>
        <v>WWS1022FL</v>
      </c>
      <c r="D2751" s="1882"/>
      <c r="E2751" s="1628" t="s">
        <v>8339</v>
      </c>
      <c r="F2751" s="1882"/>
      <c r="G2751" s="1882" t="str">
        <f>IF('4K'!G34="","##BLANK",'4K'!G34)</f>
        <v>##BLANK</v>
      </c>
    </row>
    <row r="2752" spans="2:7">
      <c r="B2752" s="821" t="str">
        <f>+'4K'!AQ35</f>
        <v>WWS1023FL</v>
      </c>
      <c r="D2752" s="1882"/>
      <c r="E2752" s="1628" t="s">
        <v>8339</v>
      </c>
      <c r="F2752" s="1882"/>
      <c r="G2752" s="1882" t="str">
        <f>IF('4K'!G35="","##BLANK",'4K'!G35)</f>
        <v>##BLANK</v>
      </c>
    </row>
    <row r="2753" spans="2:7">
      <c r="B2753" s="821" t="str">
        <f>+'4K'!AQ36</f>
        <v>WWS1024FL</v>
      </c>
      <c r="D2753" s="1882"/>
      <c r="E2753" s="1628" t="s">
        <v>8339</v>
      </c>
      <c r="F2753" s="1882"/>
      <c r="G2753" s="1882">
        <f>IF('4K'!G36="","##BLANK",'4K'!G36)</f>
        <v>0</v>
      </c>
    </row>
    <row r="2754" spans="2:7">
      <c r="B2754" s="821" t="str">
        <f>+'4K'!AQ39</f>
        <v>BP3357001FL</v>
      </c>
      <c r="D2754" s="1882"/>
      <c r="E2754" s="1628" t="s">
        <v>8339</v>
      </c>
      <c r="F2754" s="1882" t="str">
        <f>+'4K'!C$39</f>
        <v>Item 1</v>
      </c>
      <c r="G2754" s="1882" t="str">
        <f>IF('4K'!G39="","##BLANK",'4K'!G39)</f>
        <v>##BLANK</v>
      </c>
    </row>
    <row r="2755" spans="2:7">
      <c r="B2755" s="821" t="str">
        <f>+'4K'!AQ40</f>
        <v>BP3357002FL</v>
      </c>
      <c r="D2755" s="1882"/>
      <c r="E2755" s="1628" t="s">
        <v>8339</v>
      </c>
      <c r="F2755" s="1882" t="str">
        <f>+'4K'!C$40</f>
        <v>Item 2</v>
      </c>
      <c r="G2755" s="1882" t="str">
        <f>IF('4K'!G40="","##BLANK",'4K'!G40)</f>
        <v>##BLANK</v>
      </c>
    </row>
    <row r="2756" spans="2:7">
      <c r="B2756" s="821" t="str">
        <f>+'4K'!AQ41</f>
        <v>BP3357003FL</v>
      </c>
      <c r="D2756" s="1882"/>
      <c r="E2756" s="1628" t="s">
        <v>8339</v>
      </c>
      <c r="F2756" s="1882" t="str">
        <f>+'4K'!C$41</f>
        <v>Item 3</v>
      </c>
      <c r="G2756" s="1882" t="str">
        <f>IF('4K'!G41="","##BLANK",'4K'!G41)</f>
        <v>##BLANK</v>
      </c>
    </row>
    <row r="2757" spans="2:7">
      <c r="B2757" s="821" t="str">
        <f>+'4K'!AQ42</f>
        <v>BP3357004FL</v>
      </c>
      <c r="D2757" s="1882"/>
      <c r="E2757" s="1628" t="s">
        <v>8339</v>
      </c>
      <c r="F2757" s="1882" t="str">
        <f>+'4K'!C$42</f>
        <v>Item 4</v>
      </c>
      <c r="G2757" s="1882" t="str">
        <f>IF('4K'!G42="","##BLANK",'4K'!G42)</f>
        <v>##BLANK</v>
      </c>
    </row>
    <row r="2758" spans="2:7">
      <c r="B2758" s="821" t="str">
        <f>+'4K'!AQ43</f>
        <v>BP3357005FL</v>
      </c>
      <c r="D2758" s="1882"/>
      <c r="E2758" s="1628" t="s">
        <v>8339</v>
      </c>
      <c r="F2758" s="1882" t="str">
        <f>+'4K'!C$43</f>
        <v>Item 5</v>
      </c>
      <c r="G2758" s="1882" t="str">
        <f>IF('4K'!G43="","##BLANK",'4K'!G43)</f>
        <v>##BLANK</v>
      </c>
    </row>
    <row r="2759" spans="2:7">
      <c r="B2759" s="821" t="str">
        <f>+'4K'!AQ44</f>
        <v>BP3357006FL</v>
      </c>
      <c r="D2759" s="1882"/>
      <c r="E2759" s="1628" t="s">
        <v>8339</v>
      </c>
      <c r="F2759" s="1882" t="str">
        <f>+'4K'!C$44</f>
        <v>Item 6</v>
      </c>
      <c r="G2759" s="1882" t="str">
        <f>IF('4K'!G44="","##BLANK",'4K'!G44)</f>
        <v>##BLANK</v>
      </c>
    </row>
    <row r="2760" spans="2:7">
      <c r="B2760" s="821" t="str">
        <f>+'4K'!AQ45</f>
        <v>BP3357007FL</v>
      </c>
      <c r="D2760" s="1882"/>
      <c r="E2760" s="1628" t="s">
        <v>8339</v>
      </c>
      <c r="F2760" s="1882" t="str">
        <f>+'4K'!C$45</f>
        <v>Item 7</v>
      </c>
      <c r="G2760" s="1882" t="str">
        <f>IF('4K'!G45="","##BLANK",'4K'!G45)</f>
        <v>##BLANK</v>
      </c>
    </row>
    <row r="2761" spans="2:7">
      <c r="B2761" s="821" t="str">
        <f>+'4K'!AQ46</f>
        <v>BP3357008FL</v>
      </c>
      <c r="D2761" s="1882"/>
      <c r="E2761" s="1628" t="s">
        <v>8339</v>
      </c>
      <c r="F2761" s="1882" t="str">
        <f>+'4K'!C$46</f>
        <v>Item 8</v>
      </c>
      <c r="G2761" s="1882" t="str">
        <f>IF('4K'!G46="","##BLANK",'4K'!G46)</f>
        <v>##BLANK</v>
      </c>
    </row>
    <row r="2762" spans="2:7">
      <c r="B2762" s="821" t="str">
        <f>+'4K'!AQ47</f>
        <v>BP3357009FL</v>
      </c>
      <c r="D2762" s="1882"/>
      <c r="E2762" s="1628" t="s">
        <v>8339</v>
      </c>
      <c r="F2762" s="1882" t="str">
        <f>+'4K'!C$47</f>
        <v>Item 9</v>
      </c>
      <c r="G2762" s="1882" t="str">
        <f>IF('4K'!G47="","##BLANK",'4K'!G47)</f>
        <v>##BLANK</v>
      </c>
    </row>
    <row r="2763" spans="2:7">
      <c r="B2763" s="821" t="str">
        <f>+'4K'!AQ48</f>
        <v>BP3357010FL</v>
      </c>
      <c r="D2763" s="1882"/>
      <c r="E2763" s="1628" t="s">
        <v>8339</v>
      </c>
      <c r="F2763" s="1882" t="str">
        <f>+'4K'!C$48</f>
        <v>Item 10</v>
      </c>
      <c r="G2763" s="1882" t="str">
        <f>IF('4K'!G48="","##BLANK",'4K'!G48)</f>
        <v>##BLANK</v>
      </c>
    </row>
    <row r="2764" spans="2:7">
      <c r="B2764" s="821" t="str">
        <f>+'4K'!AQ49</f>
        <v>BP3357020FL</v>
      </c>
      <c r="D2764" s="1882"/>
      <c r="E2764" s="1628" t="s">
        <v>8339</v>
      </c>
      <c r="F2764" s="1882"/>
      <c r="G2764" s="1882">
        <f>IF('4K'!G49="","##BLANK",'4K'!G49)</f>
        <v>0</v>
      </c>
    </row>
    <row r="2765" spans="2:7">
      <c r="B2765" s="821" t="str">
        <f>+'4K'!AQ52</f>
        <v>S3040TCAFL</v>
      </c>
      <c r="D2765" s="1882"/>
      <c r="E2765" s="1628" t="s">
        <v>8339</v>
      </c>
      <c r="F2765" s="1882"/>
      <c r="G2765" s="1882">
        <f>IF('4K'!G52="","##BLANK",'4K'!G52)</f>
        <v>0</v>
      </c>
    </row>
    <row r="2766" spans="2:7">
      <c r="B2766" s="821" t="str">
        <f>+'4K'!AR7</f>
        <v>WWS1001SWD</v>
      </c>
      <c r="D2766" s="1882"/>
      <c r="E2766" s="1628" t="s">
        <v>8339</v>
      </c>
      <c r="F2766" s="1882"/>
      <c r="G2766" s="1882" t="str">
        <f>IF('4K'!H7="","##BLANK",'4K'!H7)</f>
        <v>##BLANK</v>
      </c>
    </row>
    <row r="2767" spans="2:7">
      <c r="B2767" s="821" t="str">
        <f>+'4K'!AR8</f>
        <v>WWS1002SWD</v>
      </c>
      <c r="D2767" s="1882"/>
      <c r="E2767" s="1628" t="s">
        <v>8339</v>
      </c>
      <c r="F2767" s="1882"/>
      <c r="G2767" s="1882" t="str">
        <f>IF('4K'!H8="","##BLANK",'4K'!H8)</f>
        <v>##BLANK</v>
      </c>
    </row>
    <row r="2768" spans="2:7">
      <c r="B2768" s="821" t="str">
        <f>+'4K'!AR9</f>
        <v>WWS1003SWD</v>
      </c>
      <c r="D2768" s="1882"/>
      <c r="E2768" s="1628" t="s">
        <v>8339</v>
      </c>
      <c r="F2768" s="1882"/>
      <c r="G2768" s="1882" t="str">
        <f>IF('4K'!H9="","##BLANK",'4K'!H9)</f>
        <v>##BLANK</v>
      </c>
    </row>
    <row r="2769" spans="2:7">
      <c r="B2769" s="821" t="str">
        <f>+'4K'!AR10</f>
        <v>WWS1004SWD</v>
      </c>
      <c r="D2769" s="1882"/>
      <c r="E2769" s="1628" t="s">
        <v>8339</v>
      </c>
      <c r="F2769" s="1882"/>
      <c r="G2769" s="1882" t="str">
        <f>IF('4K'!H10="","##BLANK",'4K'!H10)</f>
        <v>##BLANK</v>
      </c>
    </row>
    <row r="2770" spans="2:7">
      <c r="B2770" s="821" t="str">
        <f>+'4K'!AR12</f>
        <v>WWS1005SWD</v>
      </c>
      <c r="D2770" s="1882"/>
      <c r="E2770" s="1628" t="s">
        <v>8339</v>
      </c>
      <c r="F2770" s="1882"/>
      <c r="G2770" s="1882" t="str">
        <f>IF('4K'!H12="","##BLANK",'4K'!H12)</f>
        <v>##BLANK</v>
      </c>
    </row>
    <row r="2771" spans="2:7">
      <c r="B2771" s="821" t="str">
        <f>+'4K'!AR13</f>
        <v>WWS1006SWD</v>
      </c>
      <c r="D2771" s="1882"/>
      <c r="E2771" s="1628" t="s">
        <v>8339</v>
      </c>
      <c r="F2771" s="1882"/>
      <c r="G2771" s="1882" t="str">
        <f>IF('4K'!H13="","##BLANK",'4K'!H13)</f>
        <v>##BLANK</v>
      </c>
    </row>
    <row r="2772" spans="2:7">
      <c r="B2772" s="821" t="str">
        <f>+'4K'!AR14</f>
        <v>WWS1007SWD</v>
      </c>
      <c r="D2772" s="1882"/>
      <c r="E2772" s="1628" t="s">
        <v>8339</v>
      </c>
      <c r="F2772" s="1882"/>
      <c r="G2772" s="1882" t="str">
        <f>IF('4K'!H14="","##BLANK",'4K'!H14)</f>
        <v>##BLANK</v>
      </c>
    </row>
    <row r="2773" spans="2:7">
      <c r="B2773" s="821" t="str">
        <f>+'4K'!AR15</f>
        <v>WWS1008SWD</v>
      </c>
      <c r="D2773" s="1882"/>
      <c r="E2773" s="1628" t="s">
        <v>8339</v>
      </c>
      <c r="F2773" s="1882"/>
      <c r="G2773" s="1882" t="str">
        <f>IF('4K'!H15="","##BLANK",'4K'!H15)</f>
        <v>##BLANK</v>
      </c>
    </row>
    <row r="2774" spans="2:7">
      <c r="B2774" s="821" t="str">
        <f>+'4K'!AR16</f>
        <v>WWS1009SWD</v>
      </c>
      <c r="D2774" s="1882"/>
      <c r="E2774" s="1628" t="s">
        <v>8339</v>
      </c>
      <c r="F2774" s="1882"/>
      <c r="G2774" s="1882">
        <f>IF('4K'!H16="","##BLANK",'4K'!H16)</f>
        <v>0</v>
      </c>
    </row>
    <row r="2775" spans="2:7">
      <c r="B2775" s="821" t="str">
        <f>+'4K'!AR18</f>
        <v>WWS1010SWD</v>
      </c>
      <c r="D2775" s="1882"/>
      <c r="E2775" s="1628" t="s">
        <v>8339</v>
      </c>
      <c r="F2775" s="1882"/>
      <c r="G2775" s="1882" t="str">
        <f>IF('4K'!H18="","##BLANK",'4K'!H18)</f>
        <v>##BLANK</v>
      </c>
    </row>
    <row r="2776" spans="2:7">
      <c r="B2776" s="821" t="str">
        <f>+'4K'!AR19</f>
        <v>WWS1011SWD</v>
      </c>
      <c r="D2776" s="1882"/>
      <c r="E2776" s="1628" t="s">
        <v>8339</v>
      </c>
      <c r="F2776" s="1882"/>
      <c r="G2776" s="1882">
        <f>IF('4K'!H19="","##BLANK",'4K'!H19)</f>
        <v>0</v>
      </c>
    </row>
    <row r="2777" spans="2:7">
      <c r="B2777" s="821" t="str">
        <f>+'4K'!AR22</f>
        <v>WWS1012SWD</v>
      </c>
      <c r="D2777" s="1882"/>
      <c r="E2777" s="1628" t="s">
        <v>8339</v>
      </c>
      <c r="F2777" s="1882"/>
      <c r="G2777" s="1882" t="str">
        <f>IF('4K'!H22="","##BLANK",'4K'!H22)</f>
        <v>##BLANK</v>
      </c>
    </row>
    <row r="2778" spans="2:7">
      <c r="B2778" s="821" t="str">
        <f>+'4K'!AR23</f>
        <v>WWS1013SWD</v>
      </c>
      <c r="D2778" s="1882"/>
      <c r="E2778" s="1628" t="s">
        <v>8339</v>
      </c>
      <c r="F2778" s="1882"/>
      <c r="G2778" s="1882" t="str">
        <f>IF('4K'!H23="","##BLANK",'4K'!H23)</f>
        <v>##BLANK</v>
      </c>
    </row>
    <row r="2779" spans="2:7">
      <c r="B2779" s="821" t="str">
        <f>+'4K'!AR24</f>
        <v>WWS1014SWD</v>
      </c>
      <c r="D2779" s="1882"/>
      <c r="E2779" s="1628" t="s">
        <v>8339</v>
      </c>
      <c r="F2779" s="1882"/>
      <c r="G2779" s="1882" t="str">
        <f>IF('4K'!H24="","##BLANK",'4K'!H24)</f>
        <v>##BLANK</v>
      </c>
    </row>
    <row r="2780" spans="2:7">
      <c r="B2780" s="821" t="str">
        <f>+'4K'!AR25</f>
        <v>WWS1015SWD</v>
      </c>
      <c r="D2780" s="1882"/>
      <c r="E2780" s="1628" t="s">
        <v>8339</v>
      </c>
      <c r="F2780" s="1882"/>
      <c r="G2780" s="1882" t="str">
        <f>IF('4K'!H25="","##BLANK",'4K'!H25)</f>
        <v>##BLANK</v>
      </c>
    </row>
    <row r="2781" spans="2:7">
      <c r="B2781" s="821" t="str">
        <f>+'4K'!AR26</f>
        <v>WWS1016SWD</v>
      </c>
      <c r="D2781" s="1882"/>
      <c r="E2781" s="1628" t="s">
        <v>8339</v>
      </c>
      <c r="F2781" s="1882"/>
      <c r="G2781" s="1882" t="str">
        <f>IF('4K'!H26="","##BLANK",'4K'!H26)</f>
        <v>##BLANK</v>
      </c>
    </row>
    <row r="2782" spans="2:7">
      <c r="B2782" s="821" t="str">
        <f>+'4K'!AR27</f>
        <v>WWS1017SWD</v>
      </c>
      <c r="D2782" s="1882"/>
      <c r="E2782" s="1628" t="s">
        <v>8339</v>
      </c>
      <c r="F2782" s="1882"/>
      <c r="G2782" s="1882">
        <f>IF('4K'!H27="","##BLANK",'4K'!H27)</f>
        <v>0</v>
      </c>
    </row>
    <row r="2783" spans="2:7">
      <c r="B2783" s="821" t="str">
        <f>+'4K'!AR28</f>
        <v>WWS1018SWD</v>
      </c>
      <c r="D2783" s="1882"/>
      <c r="E2783" s="1628" t="s">
        <v>8339</v>
      </c>
      <c r="F2783" s="1882"/>
      <c r="G2783" s="1882" t="str">
        <f>IF('4K'!H28="","##BLANK",'4K'!H28)</f>
        <v>##BLANK</v>
      </c>
    </row>
    <row r="2784" spans="2:7">
      <c r="B2784" s="821" t="str">
        <f>+'4K'!AR29</f>
        <v>WWS1019SWD</v>
      </c>
      <c r="D2784" s="1882"/>
      <c r="E2784" s="1628" t="s">
        <v>8339</v>
      </c>
      <c r="F2784" s="1882"/>
      <c r="G2784" s="1882">
        <f>IF('4K'!H29="","##BLANK",'4K'!H29)</f>
        <v>0</v>
      </c>
    </row>
    <row r="2785" spans="2:7">
      <c r="B2785" s="821" t="str">
        <f>+'4K'!AR30</f>
        <v>WWS1020SWD</v>
      </c>
      <c r="D2785" s="1882"/>
      <c r="E2785" s="1628" t="s">
        <v>8339</v>
      </c>
      <c r="F2785" s="1882"/>
      <c r="G2785" s="1882" t="str">
        <f>IF('4K'!H30="","##BLANK",'4K'!H30)</f>
        <v>##BLANK</v>
      </c>
    </row>
    <row r="2786" spans="2:7">
      <c r="B2786" s="821" t="str">
        <f>+'4K'!AR31</f>
        <v>WWS1021SWD</v>
      </c>
      <c r="D2786" s="1882"/>
      <c r="E2786" s="1628" t="s">
        <v>8339</v>
      </c>
      <c r="F2786" s="1882"/>
      <c r="G2786" s="1882">
        <f>IF('4K'!H31="","##BLANK",'4K'!H31)</f>
        <v>0</v>
      </c>
    </row>
    <row r="2787" spans="2:7">
      <c r="B2787" s="821" t="str">
        <f>+'4K'!AR34</f>
        <v>WWS1022SWD</v>
      </c>
      <c r="D2787" s="1882"/>
      <c r="E2787" s="1628" t="s">
        <v>8339</v>
      </c>
      <c r="F2787" s="1882"/>
      <c r="G2787" s="1882" t="str">
        <f>IF('4K'!H34="","##BLANK",'4K'!H34)</f>
        <v>##BLANK</v>
      </c>
    </row>
    <row r="2788" spans="2:7">
      <c r="B2788" s="821" t="str">
        <f>+'4K'!AR35</f>
        <v>WWS1023SWD</v>
      </c>
      <c r="D2788" s="1882"/>
      <c r="E2788" s="1628" t="s">
        <v>8339</v>
      </c>
      <c r="F2788" s="1882"/>
      <c r="G2788" s="1882" t="str">
        <f>IF('4K'!H35="","##BLANK",'4K'!H35)</f>
        <v>##BLANK</v>
      </c>
    </row>
    <row r="2789" spans="2:7">
      <c r="B2789" s="821" t="str">
        <f>+'4K'!AR36</f>
        <v>WWS1024SWD</v>
      </c>
      <c r="D2789" s="1882"/>
      <c r="E2789" s="1628" t="s">
        <v>8339</v>
      </c>
      <c r="F2789" s="1882"/>
      <c r="G2789" s="1882">
        <f>IF('4K'!H36="","##BLANK",'4K'!H36)</f>
        <v>0</v>
      </c>
    </row>
    <row r="2790" spans="2:7">
      <c r="B2790" s="821" t="str">
        <f>+'4K'!AR39</f>
        <v>BP3357001SWD</v>
      </c>
      <c r="D2790" s="1882"/>
      <c r="E2790" s="1628" t="s">
        <v>8339</v>
      </c>
      <c r="F2790" s="1882" t="str">
        <f>+'4K'!C$39</f>
        <v>Item 1</v>
      </c>
      <c r="G2790" s="1882" t="str">
        <f>IF('4K'!H39="","##BLANK",'4K'!H39)</f>
        <v>##BLANK</v>
      </c>
    </row>
    <row r="2791" spans="2:7">
      <c r="B2791" s="821" t="str">
        <f>+'4K'!AR40</f>
        <v>BP3357002SWD</v>
      </c>
      <c r="D2791" s="1882"/>
      <c r="E2791" s="1628" t="s">
        <v>8339</v>
      </c>
      <c r="F2791" s="1882" t="str">
        <f>+'4K'!C$40</f>
        <v>Item 2</v>
      </c>
      <c r="G2791" s="1882" t="str">
        <f>IF('4K'!H40="","##BLANK",'4K'!H40)</f>
        <v>##BLANK</v>
      </c>
    </row>
    <row r="2792" spans="2:7">
      <c r="B2792" s="821" t="str">
        <f>+'4K'!AR41</f>
        <v>BP3357003SWD</v>
      </c>
      <c r="D2792" s="1882"/>
      <c r="E2792" s="1628" t="s">
        <v>8339</v>
      </c>
      <c r="F2792" s="1882" t="str">
        <f>+'4K'!C$41</f>
        <v>Item 3</v>
      </c>
      <c r="G2792" s="1882" t="str">
        <f>IF('4K'!H41="","##BLANK",'4K'!H41)</f>
        <v>##BLANK</v>
      </c>
    </row>
    <row r="2793" spans="2:7">
      <c r="B2793" s="821" t="str">
        <f>+'4K'!AR42</f>
        <v>BP3357004SWD</v>
      </c>
      <c r="D2793" s="1882"/>
      <c r="E2793" s="1628" t="s">
        <v>8339</v>
      </c>
      <c r="F2793" s="1882" t="str">
        <f>+'4K'!C$42</f>
        <v>Item 4</v>
      </c>
      <c r="G2793" s="1882" t="str">
        <f>IF('4K'!H42="","##BLANK",'4K'!H42)</f>
        <v>##BLANK</v>
      </c>
    </row>
    <row r="2794" spans="2:7">
      <c r="B2794" s="821" t="str">
        <f>+'4K'!AR43</f>
        <v>BP3357005SWD</v>
      </c>
      <c r="D2794" s="1882"/>
      <c r="E2794" s="1628" t="s">
        <v>8339</v>
      </c>
      <c r="F2794" s="1882" t="str">
        <f>+'4K'!C$43</f>
        <v>Item 5</v>
      </c>
      <c r="G2794" s="1882" t="str">
        <f>IF('4K'!H43="","##BLANK",'4K'!H43)</f>
        <v>##BLANK</v>
      </c>
    </row>
    <row r="2795" spans="2:7">
      <c r="B2795" s="821" t="str">
        <f>+'4K'!AR44</f>
        <v>BP3357006SWD</v>
      </c>
      <c r="D2795" s="1882"/>
      <c r="E2795" s="1628" t="s">
        <v>8339</v>
      </c>
      <c r="F2795" s="1882" t="str">
        <f>+'4K'!C$44</f>
        <v>Item 6</v>
      </c>
      <c r="G2795" s="1882" t="str">
        <f>IF('4K'!H44="","##BLANK",'4K'!H44)</f>
        <v>##BLANK</v>
      </c>
    </row>
    <row r="2796" spans="2:7">
      <c r="B2796" s="821" t="str">
        <f>+'4K'!AR45</f>
        <v>BP3357007SWD</v>
      </c>
      <c r="D2796" s="1882"/>
      <c r="E2796" s="1628" t="s">
        <v>8339</v>
      </c>
      <c r="F2796" s="1882" t="str">
        <f>+'4K'!C$45</f>
        <v>Item 7</v>
      </c>
      <c r="G2796" s="1882" t="str">
        <f>IF('4K'!H45="","##BLANK",'4K'!H45)</f>
        <v>##BLANK</v>
      </c>
    </row>
    <row r="2797" spans="2:7">
      <c r="B2797" s="821" t="str">
        <f>+'4K'!AR46</f>
        <v>BP3357008SWD</v>
      </c>
      <c r="D2797" s="1882"/>
      <c r="E2797" s="1628" t="s">
        <v>8339</v>
      </c>
      <c r="F2797" s="1882" t="str">
        <f>+'4K'!C$46</f>
        <v>Item 8</v>
      </c>
      <c r="G2797" s="1882" t="str">
        <f>IF('4K'!H46="","##BLANK",'4K'!H46)</f>
        <v>##BLANK</v>
      </c>
    </row>
    <row r="2798" spans="2:7">
      <c r="B2798" s="821" t="str">
        <f>+'4K'!AR47</f>
        <v>BP3357009SWD</v>
      </c>
      <c r="D2798" s="1882"/>
      <c r="E2798" s="1628" t="s">
        <v>8339</v>
      </c>
      <c r="F2798" s="1882" t="str">
        <f>+'4K'!C$47</f>
        <v>Item 9</v>
      </c>
      <c r="G2798" s="1882" t="str">
        <f>IF('4K'!H47="","##BLANK",'4K'!H47)</f>
        <v>##BLANK</v>
      </c>
    </row>
    <row r="2799" spans="2:7">
      <c r="B2799" s="821" t="str">
        <f>+'4K'!AR48</f>
        <v>BP3357010SWD</v>
      </c>
      <c r="D2799" s="1882"/>
      <c r="E2799" s="1628" t="s">
        <v>8339</v>
      </c>
      <c r="F2799" s="1882" t="str">
        <f>+'4K'!C$48</f>
        <v>Item 10</v>
      </c>
      <c r="G2799" s="1882" t="str">
        <f>IF('4K'!H48="","##BLANK",'4K'!H48)</f>
        <v>##BLANK</v>
      </c>
    </row>
    <row r="2800" spans="2:7">
      <c r="B2800" s="821" t="str">
        <f>+'4K'!AR49</f>
        <v>BP3357020SWD</v>
      </c>
      <c r="D2800" s="1882"/>
      <c r="E2800" s="1628" t="s">
        <v>8339</v>
      </c>
      <c r="F2800" s="1882"/>
      <c r="G2800" s="1882">
        <f>IF('4K'!H49="","##BLANK",'4K'!H49)</f>
        <v>0</v>
      </c>
    </row>
    <row r="2801" spans="2:7">
      <c r="B2801" s="821" t="str">
        <f>+'4K'!AR52</f>
        <v>S3040TCASWD</v>
      </c>
      <c r="D2801" s="1882"/>
      <c r="E2801" s="1628" t="s">
        <v>8339</v>
      </c>
      <c r="F2801" s="1882"/>
      <c r="G2801" s="1882">
        <f>IF('4K'!H52="","##BLANK",'4K'!H52)</f>
        <v>0</v>
      </c>
    </row>
    <row r="2802" spans="2:7">
      <c r="B2802" s="821" t="str">
        <f>+'4K'!AS7</f>
        <v>WWS1001HD</v>
      </c>
      <c r="D2802" s="1882"/>
      <c r="E2802" s="1628" t="s">
        <v>8339</v>
      </c>
      <c r="F2802" s="1882"/>
      <c r="G2802" s="1882" t="str">
        <f>IF('4K'!I7="","##BLANK",'4K'!I7)</f>
        <v>##BLANK</v>
      </c>
    </row>
    <row r="2803" spans="2:7">
      <c r="B2803" s="821" t="str">
        <f>+'4K'!AS8</f>
        <v>WWS1002HD</v>
      </c>
      <c r="D2803" s="1882"/>
      <c r="E2803" s="1628" t="s">
        <v>8339</v>
      </c>
      <c r="F2803" s="1882"/>
      <c r="G2803" s="1882" t="str">
        <f>IF('4K'!I8="","##BLANK",'4K'!I8)</f>
        <v>##BLANK</v>
      </c>
    </row>
    <row r="2804" spans="2:7">
      <c r="B2804" s="821" t="str">
        <f>+'4K'!AS9</f>
        <v>WWS1003HD</v>
      </c>
      <c r="D2804" s="1882"/>
      <c r="E2804" s="1628" t="s">
        <v>8339</v>
      </c>
      <c r="F2804" s="1882"/>
      <c r="G2804" s="1882" t="str">
        <f>IF('4K'!I9="","##BLANK",'4K'!I9)</f>
        <v>##BLANK</v>
      </c>
    </row>
    <row r="2805" spans="2:7">
      <c r="B2805" s="821" t="str">
        <f>+'4K'!AS10</f>
        <v>WWS1004HD</v>
      </c>
      <c r="D2805" s="1882"/>
      <c r="E2805" s="1628" t="s">
        <v>8339</v>
      </c>
      <c r="F2805" s="1882"/>
      <c r="G2805" s="1882" t="str">
        <f>IF('4K'!I10="","##BLANK",'4K'!I10)</f>
        <v>##BLANK</v>
      </c>
    </row>
    <row r="2806" spans="2:7">
      <c r="B2806" s="821" t="str">
        <f>+'4K'!AS12</f>
        <v>WWS1005HD</v>
      </c>
      <c r="D2806" s="1882"/>
      <c r="E2806" s="1628" t="s">
        <v>8339</v>
      </c>
      <c r="F2806" s="1882"/>
      <c r="G2806" s="1882" t="str">
        <f>IF('4K'!I12="","##BLANK",'4K'!I12)</f>
        <v>##BLANK</v>
      </c>
    </row>
    <row r="2807" spans="2:7">
      <c r="B2807" s="821" t="str">
        <f>+'4K'!AS13</f>
        <v>WWS1006HD</v>
      </c>
      <c r="D2807" s="1882"/>
      <c r="E2807" s="1628" t="s">
        <v>8339</v>
      </c>
      <c r="F2807" s="1882"/>
      <c r="G2807" s="1882" t="str">
        <f>IF('4K'!I13="","##BLANK",'4K'!I13)</f>
        <v>##BLANK</v>
      </c>
    </row>
    <row r="2808" spans="2:7">
      <c r="B2808" s="821" t="str">
        <f>+'4K'!AS14</f>
        <v>WWS1007HD</v>
      </c>
      <c r="D2808" s="1882"/>
      <c r="E2808" s="1628" t="s">
        <v>8339</v>
      </c>
      <c r="F2808" s="1882"/>
      <c r="G2808" s="1882" t="str">
        <f>IF('4K'!I14="","##BLANK",'4K'!I14)</f>
        <v>##BLANK</v>
      </c>
    </row>
    <row r="2809" spans="2:7">
      <c r="B2809" s="821" t="str">
        <f>+'4K'!AS15</f>
        <v>WWS1008HD</v>
      </c>
      <c r="D2809" s="1882"/>
      <c r="E2809" s="1628" t="s">
        <v>8339</v>
      </c>
      <c r="F2809" s="1882"/>
      <c r="G2809" s="1882" t="str">
        <f>IF('4K'!I15="","##BLANK",'4K'!I15)</f>
        <v>##BLANK</v>
      </c>
    </row>
    <row r="2810" spans="2:7">
      <c r="B2810" s="821" t="str">
        <f>+'4K'!AS16</f>
        <v>WWS1009HD</v>
      </c>
      <c r="D2810" s="1882"/>
      <c r="E2810" s="1628" t="s">
        <v>8339</v>
      </c>
      <c r="F2810" s="1882"/>
      <c r="G2810" s="1882">
        <f>IF('4K'!I16="","##BLANK",'4K'!I16)</f>
        <v>0</v>
      </c>
    </row>
    <row r="2811" spans="2:7">
      <c r="B2811" s="821" t="str">
        <f>+'4K'!AS18</f>
        <v>WWS1010HD</v>
      </c>
      <c r="D2811" s="1882"/>
      <c r="E2811" s="1628" t="s">
        <v>8339</v>
      </c>
      <c r="F2811" s="1882"/>
      <c r="G2811" s="1882" t="str">
        <f>IF('4K'!I18="","##BLANK",'4K'!I18)</f>
        <v>##BLANK</v>
      </c>
    </row>
    <row r="2812" spans="2:7">
      <c r="B2812" s="821" t="str">
        <f>+'4K'!AS19</f>
        <v>WWS1011HD</v>
      </c>
      <c r="D2812" s="1882"/>
      <c r="E2812" s="1628" t="s">
        <v>8339</v>
      </c>
      <c r="F2812" s="1882"/>
      <c r="G2812" s="1882">
        <f>IF('4K'!I19="","##BLANK",'4K'!I19)</f>
        <v>0</v>
      </c>
    </row>
    <row r="2813" spans="2:7">
      <c r="B2813" s="821" t="str">
        <f>+'4K'!AS22</f>
        <v>WWS1012HD</v>
      </c>
      <c r="D2813" s="1882"/>
      <c r="E2813" s="1628" t="s">
        <v>8339</v>
      </c>
      <c r="F2813" s="1882"/>
      <c r="G2813" s="1882" t="str">
        <f>IF('4K'!I22="","##BLANK",'4K'!I22)</f>
        <v>##BLANK</v>
      </c>
    </row>
    <row r="2814" spans="2:7">
      <c r="B2814" s="821" t="str">
        <f>+'4K'!AS23</f>
        <v>WWS1013HD</v>
      </c>
      <c r="D2814" s="1882"/>
      <c r="E2814" s="1628" t="s">
        <v>8339</v>
      </c>
      <c r="F2814" s="1882"/>
      <c r="G2814" s="1882" t="str">
        <f>IF('4K'!I23="","##BLANK",'4K'!I23)</f>
        <v>##BLANK</v>
      </c>
    </row>
    <row r="2815" spans="2:7">
      <c r="B2815" s="821" t="str">
        <f>+'4K'!AS24</f>
        <v>WWS1014HD</v>
      </c>
      <c r="D2815" s="1882"/>
      <c r="E2815" s="1628" t="s">
        <v>8339</v>
      </c>
      <c r="F2815" s="1882"/>
      <c r="G2815" s="1882" t="str">
        <f>IF('4K'!I24="","##BLANK",'4K'!I24)</f>
        <v>##BLANK</v>
      </c>
    </row>
    <row r="2816" spans="2:7">
      <c r="B2816" s="821" t="str">
        <f>+'4K'!AS25</f>
        <v>WWS1015HD</v>
      </c>
      <c r="D2816" s="1882"/>
      <c r="E2816" s="1628" t="s">
        <v>8339</v>
      </c>
      <c r="F2816" s="1882"/>
      <c r="G2816" s="1882" t="str">
        <f>IF('4K'!I25="","##BLANK",'4K'!I25)</f>
        <v>##BLANK</v>
      </c>
    </row>
    <row r="2817" spans="2:7">
      <c r="B2817" s="821" t="str">
        <f>+'4K'!AS26</f>
        <v>WWS1016HD</v>
      </c>
      <c r="D2817" s="1882"/>
      <c r="E2817" s="1628" t="s">
        <v>8339</v>
      </c>
      <c r="F2817" s="1882"/>
      <c r="G2817" s="1882" t="str">
        <f>IF('4K'!I26="","##BLANK",'4K'!I26)</f>
        <v>##BLANK</v>
      </c>
    </row>
    <row r="2818" spans="2:7">
      <c r="B2818" s="821" t="str">
        <f>+'4K'!AS27</f>
        <v>WWS1017HD</v>
      </c>
      <c r="D2818" s="1882"/>
      <c r="E2818" s="1628" t="s">
        <v>8339</v>
      </c>
      <c r="F2818" s="1882"/>
      <c r="G2818" s="1882">
        <f>IF('4K'!I27="","##BLANK",'4K'!I27)</f>
        <v>0</v>
      </c>
    </row>
    <row r="2819" spans="2:7">
      <c r="B2819" s="821" t="str">
        <f>+'4K'!AS28</f>
        <v>WWS1018HD</v>
      </c>
      <c r="D2819" s="1882"/>
      <c r="E2819" s="1628" t="s">
        <v>8339</v>
      </c>
      <c r="F2819" s="1882"/>
      <c r="G2819" s="1882" t="str">
        <f>IF('4K'!I28="","##BLANK",'4K'!I28)</f>
        <v>##BLANK</v>
      </c>
    </row>
    <row r="2820" spans="2:7">
      <c r="B2820" s="821" t="str">
        <f>+'4K'!AS29</f>
        <v>WWS1019HD</v>
      </c>
      <c r="D2820" s="1882"/>
      <c r="E2820" s="1628" t="s">
        <v>8339</v>
      </c>
      <c r="F2820" s="1882"/>
      <c r="G2820" s="1882">
        <f>IF('4K'!I29="","##BLANK",'4K'!I29)</f>
        <v>0</v>
      </c>
    </row>
    <row r="2821" spans="2:7">
      <c r="B2821" s="821" t="str">
        <f>+'4K'!AS30</f>
        <v>WWS1020HD</v>
      </c>
      <c r="D2821" s="1882"/>
      <c r="E2821" s="1628" t="s">
        <v>8339</v>
      </c>
      <c r="F2821" s="1882"/>
      <c r="G2821" s="1882" t="str">
        <f>IF('4K'!I30="","##BLANK",'4K'!I30)</f>
        <v>##BLANK</v>
      </c>
    </row>
    <row r="2822" spans="2:7">
      <c r="B2822" s="821" t="str">
        <f>+'4K'!AS31</f>
        <v>WWS1021HD</v>
      </c>
      <c r="D2822" s="1882"/>
      <c r="E2822" s="1628" t="s">
        <v>8339</v>
      </c>
      <c r="F2822" s="1882"/>
      <c r="G2822" s="1882">
        <f>IF('4K'!I31="","##BLANK",'4K'!I31)</f>
        <v>0</v>
      </c>
    </row>
    <row r="2823" spans="2:7">
      <c r="B2823" s="821" t="str">
        <f>+'4K'!AS34</f>
        <v>WWS1022HD</v>
      </c>
      <c r="D2823" s="1882"/>
      <c r="E2823" s="1628" t="s">
        <v>8339</v>
      </c>
      <c r="F2823" s="1882"/>
      <c r="G2823" s="1882" t="str">
        <f>IF('4K'!I34="","##BLANK",'4K'!I34)</f>
        <v>##BLANK</v>
      </c>
    </row>
    <row r="2824" spans="2:7">
      <c r="B2824" s="821" t="str">
        <f>+'4K'!AS35</f>
        <v>WWS1023HD</v>
      </c>
      <c r="D2824" s="1882"/>
      <c r="E2824" s="1628" t="s">
        <v>8339</v>
      </c>
      <c r="F2824" s="1882"/>
      <c r="G2824" s="1882" t="str">
        <f>IF('4K'!I35="","##BLANK",'4K'!I35)</f>
        <v>##BLANK</v>
      </c>
    </row>
    <row r="2825" spans="2:7">
      <c r="B2825" s="821" t="str">
        <f>+'4K'!AS36</f>
        <v>WWS1024HD</v>
      </c>
      <c r="D2825" s="1882"/>
      <c r="E2825" s="1628" t="s">
        <v>8339</v>
      </c>
      <c r="F2825" s="1882"/>
      <c r="G2825" s="1882">
        <f>IF('4K'!I36="","##BLANK",'4K'!I36)</f>
        <v>0</v>
      </c>
    </row>
    <row r="2826" spans="2:7">
      <c r="B2826" s="821" t="str">
        <f>+'4K'!AS39</f>
        <v>BP3357001HD</v>
      </c>
      <c r="D2826" s="1882"/>
      <c r="E2826" s="1628" t="s">
        <v>8339</v>
      </c>
      <c r="F2826" s="1882" t="str">
        <f>+'4K'!C$39</f>
        <v>Item 1</v>
      </c>
      <c r="G2826" s="1882" t="str">
        <f>IF('4K'!I39="","##BLANK",'4K'!I39)</f>
        <v>##BLANK</v>
      </c>
    </row>
    <row r="2827" spans="2:7">
      <c r="B2827" s="821" t="str">
        <f>+'4K'!AS40</f>
        <v>BP3357002HD</v>
      </c>
      <c r="D2827" s="1882"/>
      <c r="E2827" s="1628" t="s">
        <v>8339</v>
      </c>
      <c r="F2827" s="1882" t="str">
        <f>+'4K'!C$40</f>
        <v>Item 2</v>
      </c>
      <c r="G2827" s="1882" t="str">
        <f>IF('4K'!I40="","##BLANK",'4K'!I40)</f>
        <v>##BLANK</v>
      </c>
    </row>
    <row r="2828" spans="2:7">
      <c r="B2828" s="821" t="str">
        <f>+'4K'!AS41</f>
        <v>BP3357003HD</v>
      </c>
      <c r="D2828" s="1882"/>
      <c r="E2828" s="1628" t="s">
        <v>8339</v>
      </c>
      <c r="F2828" s="1882" t="str">
        <f>+'4K'!C$41</f>
        <v>Item 3</v>
      </c>
      <c r="G2828" s="1882" t="str">
        <f>IF('4K'!I41="","##BLANK",'4K'!I41)</f>
        <v>##BLANK</v>
      </c>
    </row>
    <row r="2829" spans="2:7">
      <c r="B2829" s="821" t="str">
        <f>+'4K'!AS42</f>
        <v>BP3357004HD</v>
      </c>
      <c r="D2829" s="1882"/>
      <c r="E2829" s="1628" t="s">
        <v>8339</v>
      </c>
      <c r="F2829" s="1882" t="str">
        <f>+'4K'!C$42</f>
        <v>Item 4</v>
      </c>
      <c r="G2829" s="1882" t="str">
        <f>IF('4K'!I42="","##BLANK",'4K'!I42)</f>
        <v>##BLANK</v>
      </c>
    </row>
    <row r="2830" spans="2:7">
      <c r="B2830" s="821" t="str">
        <f>+'4K'!AS43</f>
        <v>BP3357005HD</v>
      </c>
      <c r="D2830" s="1882"/>
      <c r="E2830" s="1628" t="s">
        <v>8339</v>
      </c>
      <c r="F2830" s="1882" t="str">
        <f>+'4K'!C$43</f>
        <v>Item 5</v>
      </c>
      <c r="G2830" s="1882" t="str">
        <f>IF('4K'!I43="","##BLANK",'4K'!I43)</f>
        <v>##BLANK</v>
      </c>
    </row>
    <row r="2831" spans="2:7">
      <c r="B2831" s="821" t="str">
        <f>+'4K'!AS44</f>
        <v>BP3357006HD</v>
      </c>
      <c r="D2831" s="1882"/>
      <c r="E2831" s="1628" t="s">
        <v>8339</v>
      </c>
      <c r="F2831" s="1882" t="str">
        <f>+'4K'!C$44</f>
        <v>Item 6</v>
      </c>
      <c r="G2831" s="1882" t="str">
        <f>IF('4K'!I44="","##BLANK",'4K'!I44)</f>
        <v>##BLANK</v>
      </c>
    </row>
    <row r="2832" spans="2:7">
      <c r="B2832" s="821" t="str">
        <f>+'4K'!AS45</f>
        <v>BP3357007HD</v>
      </c>
      <c r="D2832" s="1882"/>
      <c r="E2832" s="1628" t="s">
        <v>8339</v>
      </c>
      <c r="F2832" s="1882" t="str">
        <f>+'4K'!C$45</f>
        <v>Item 7</v>
      </c>
      <c r="G2832" s="1882" t="str">
        <f>IF('4K'!I45="","##BLANK",'4K'!I45)</f>
        <v>##BLANK</v>
      </c>
    </row>
    <row r="2833" spans="2:7">
      <c r="B2833" s="821" t="str">
        <f>+'4K'!AS46</f>
        <v>BP3357008HD</v>
      </c>
      <c r="D2833" s="1882"/>
      <c r="E2833" s="1628" t="s">
        <v>8339</v>
      </c>
      <c r="F2833" s="1882" t="str">
        <f>+'4K'!C$46</f>
        <v>Item 8</v>
      </c>
      <c r="G2833" s="1882" t="str">
        <f>IF('4K'!I46="","##BLANK",'4K'!I46)</f>
        <v>##BLANK</v>
      </c>
    </row>
    <row r="2834" spans="2:7">
      <c r="B2834" s="821" t="str">
        <f>+'4K'!AS47</f>
        <v>BP3357009HD</v>
      </c>
      <c r="D2834" s="1882"/>
      <c r="E2834" s="1628" t="s">
        <v>8339</v>
      </c>
      <c r="F2834" s="1882" t="str">
        <f>+'4K'!C$47</f>
        <v>Item 9</v>
      </c>
      <c r="G2834" s="1882" t="str">
        <f>IF('4K'!I47="","##BLANK",'4K'!I47)</f>
        <v>##BLANK</v>
      </c>
    </row>
    <row r="2835" spans="2:7">
      <c r="B2835" s="821" t="str">
        <f>+'4K'!AS48</f>
        <v>BP3357010HD</v>
      </c>
      <c r="D2835" s="1882"/>
      <c r="E2835" s="1628" t="s">
        <v>8339</v>
      </c>
      <c r="F2835" s="1882" t="str">
        <f>+'4K'!C$48</f>
        <v>Item 10</v>
      </c>
      <c r="G2835" s="1882" t="str">
        <f>IF('4K'!I48="","##BLANK",'4K'!I48)</f>
        <v>##BLANK</v>
      </c>
    </row>
    <row r="2836" spans="2:7">
      <c r="B2836" s="821" t="str">
        <f>+'4K'!AS49</f>
        <v>BP3357020HD</v>
      </c>
      <c r="D2836" s="1882"/>
      <c r="E2836" s="1628" t="s">
        <v>8339</v>
      </c>
      <c r="F2836" s="1882"/>
      <c r="G2836" s="1882">
        <f>IF('4K'!I49="","##BLANK",'4K'!I49)</f>
        <v>0</v>
      </c>
    </row>
    <row r="2837" spans="2:7">
      <c r="B2837" s="821" t="str">
        <f>+'4K'!AS52</f>
        <v>S3040TCAHD</v>
      </c>
      <c r="D2837" s="1882"/>
      <c r="E2837" s="1628" t="s">
        <v>8339</v>
      </c>
      <c r="F2837" s="1882"/>
      <c r="G2837" s="1882">
        <f>IF('4K'!I52="","##BLANK",'4K'!I52)</f>
        <v>0</v>
      </c>
    </row>
    <row r="2838" spans="2:7">
      <c r="B2838" s="821" t="str">
        <f>+'4K'!AT7</f>
        <v>WWS1001STD</v>
      </c>
      <c r="D2838" s="1882"/>
      <c r="E2838" s="1628" t="s">
        <v>8339</v>
      </c>
      <c r="F2838" s="1882"/>
      <c r="G2838" s="1882" t="str">
        <f>IF('4K'!J7="","##BLANK",'4K'!J7)</f>
        <v>##BLANK</v>
      </c>
    </row>
    <row r="2839" spans="2:7">
      <c r="B2839" s="821" t="str">
        <f>+'4K'!AT8</f>
        <v>WWS1002STD</v>
      </c>
      <c r="D2839" s="1882"/>
      <c r="E2839" s="1628" t="s">
        <v>8339</v>
      </c>
      <c r="F2839" s="1882"/>
      <c r="G2839" s="1882" t="str">
        <f>IF('4K'!J8="","##BLANK",'4K'!J8)</f>
        <v>##BLANK</v>
      </c>
    </row>
    <row r="2840" spans="2:7">
      <c r="B2840" s="821" t="str">
        <f>+'4K'!AT9</f>
        <v>WWS1003STD</v>
      </c>
      <c r="D2840" s="1882"/>
      <c r="E2840" s="1628" t="s">
        <v>8339</v>
      </c>
      <c r="F2840" s="1882"/>
      <c r="G2840" s="1882" t="str">
        <f>IF('4K'!J9="","##BLANK",'4K'!J9)</f>
        <v>##BLANK</v>
      </c>
    </row>
    <row r="2841" spans="2:7">
      <c r="B2841" s="821" t="str">
        <f>+'4K'!AT10</f>
        <v>WWS1004STD</v>
      </c>
      <c r="D2841" s="1882"/>
      <c r="E2841" s="1628" t="s">
        <v>8339</v>
      </c>
      <c r="F2841" s="1882"/>
      <c r="G2841" s="1882" t="str">
        <f>IF('4K'!J10="","##BLANK",'4K'!J10)</f>
        <v>##BLANK</v>
      </c>
    </row>
    <row r="2842" spans="2:7">
      <c r="B2842" s="821" t="str">
        <f>+'4K'!AT12</f>
        <v>WWS1005STD</v>
      </c>
      <c r="D2842" s="1882"/>
      <c r="E2842" s="1628" t="s">
        <v>8339</v>
      </c>
      <c r="F2842" s="1882"/>
      <c r="G2842" s="1882" t="str">
        <f>IF('4K'!J12="","##BLANK",'4K'!J12)</f>
        <v>##BLANK</v>
      </c>
    </row>
    <row r="2843" spans="2:7">
      <c r="B2843" s="821" t="str">
        <f>+'4K'!AT13</f>
        <v>WWS1006STD</v>
      </c>
      <c r="D2843" s="1882"/>
      <c r="E2843" s="1628" t="s">
        <v>8339</v>
      </c>
      <c r="F2843" s="1882"/>
      <c r="G2843" s="1882" t="str">
        <f>IF('4K'!J13="","##BLANK",'4K'!J13)</f>
        <v>##BLANK</v>
      </c>
    </row>
    <row r="2844" spans="2:7">
      <c r="B2844" s="821" t="str">
        <f>+'4K'!AT14</f>
        <v>WWS1007STD</v>
      </c>
      <c r="D2844" s="1882"/>
      <c r="E2844" s="1628" t="s">
        <v>8339</v>
      </c>
      <c r="F2844" s="1882"/>
      <c r="G2844" s="1882" t="str">
        <f>IF('4K'!J14="","##BLANK",'4K'!J14)</f>
        <v>##BLANK</v>
      </c>
    </row>
    <row r="2845" spans="2:7">
      <c r="B2845" s="821" t="str">
        <f>+'4K'!AT15</f>
        <v>WWS1008STD</v>
      </c>
      <c r="D2845" s="1882"/>
      <c r="E2845" s="1628" t="s">
        <v>8339</v>
      </c>
      <c r="F2845" s="1882"/>
      <c r="G2845" s="1882" t="str">
        <f>IF('4K'!J15="","##BLANK",'4K'!J15)</f>
        <v>##BLANK</v>
      </c>
    </row>
    <row r="2846" spans="2:7">
      <c r="B2846" s="821" t="str">
        <f>+'4K'!AT16</f>
        <v>WWS1009STD</v>
      </c>
      <c r="D2846" s="1882"/>
      <c r="E2846" s="1628" t="s">
        <v>8339</v>
      </c>
      <c r="F2846" s="1882"/>
      <c r="G2846" s="1882">
        <f>IF('4K'!J16="","##BLANK",'4K'!J16)</f>
        <v>0</v>
      </c>
    </row>
    <row r="2847" spans="2:7">
      <c r="B2847" s="821" t="str">
        <f>+'4K'!AT18</f>
        <v>WWS1010STD</v>
      </c>
      <c r="D2847" s="1882"/>
      <c r="E2847" s="1628" t="s">
        <v>8339</v>
      </c>
      <c r="F2847" s="1882"/>
      <c r="G2847" s="1882" t="str">
        <f>IF('4K'!J18="","##BLANK",'4K'!J18)</f>
        <v>##BLANK</v>
      </c>
    </row>
    <row r="2848" spans="2:7">
      <c r="B2848" s="821" t="str">
        <f>+'4K'!AT19</f>
        <v>WWS1011STD</v>
      </c>
      <c r="D2848" s="1882"/>
      <c r="E2848" s="1628" t="s">
        <v>8339</v>
      </c>
      <c r="F2848" s="1882"/>
      <c r="G2848" s="1882">
        <f>IF('4K'!J19="","##BLANK",'4K'!J19)</f>
        <v>0</v>
      </c>
    </row>
    <row r="2849" spans="2:7">
      <c r="B2849" s="821" t="str">
        <f>+'4K'!AT22</f>
        <v>WWS1012STD</v>
      </c>
      <c r="D2849" s="1882"/>
      <c r="E2849" s="1628" t="s">
        <v>8339</v>
      </c>
      <c r="F2849" s="1882"/>
      <c r="G2849" s="1882" t="str">
        <f>IF('4K'!J22="","##BLANK",'4K'!J22)</f>
        <v>##BLANK</v>
      </c>
    </row>
    <row r="2850" spans="2:7">
      <c r="B2850" s="821" t="str">
        <f>+'4K'!AT23</f>
        <v>WWS1013STD</v>
      </c>
      <c r="D2850" s="1882"/>
      <c r="E2850" s="1628" t="s">
        <v>8339</v>
      </c>
      <c r="F2850" s="1882"/>
      <c r="G2850" s="1882" t="str">
        <f>IF('4K'!J23="","##BLANK",'4K'!J23)</f>
        <v>##BLANK</v>
      </c>
    </row>
    <row r="2851" spans="2:7">
      <c r="B2851" s="821" t="str">
        <f>+'4K'!AT24</f>
        <v>WWS1014STD</v>
      </c>
      <c r="D2851" s="1882"/>
      <c r="E2851" s="1628" t="s">
        <v>8339</v>
      </c>
      <c r="F2851" s="1882"/>
      <c r="G2851" s="1882" t="str">
        <f>IF('4K'!J24="","##BLANK",'4K'!J24)</f>
        <v>##BLANK</v>
      </c>
    </row>
    <row r="2852" spans="2:7">
      <c r="B2852" s="821" t="str">
        <f>+'4K'!AT25</f>
        <v>WWS1015STD</v>
      </c>
      <c r="D2852" s="1882"/>
      <c r="E2852" s="1628" t="s">
        <v>8339</v>
      </c>
      <c r="F2852" s="1882"/>
      <c r="G2852" s="1882" t="str">
        <f>IF('4K'!J25="","##BLANK",'4K'!J25)</f>
        <v>##BLANK</v>
      </c>
    </row>
    <row r="2853" spans="2:7">
      <c r="B2853" s="821" t="str">
        <f>+'4K'!AT26</f>
        <v>WWS1016STD</v>
      </c>
      <c r="D2853" s="1882"/>
      <c r="E2853" s="1628" t="s">
        <v>8339</v>
      </c>
      <c r="F2853" s="1882"/>
      <c r="G2853" s="1882" t="str">
        <f>IF('4K'!J26="","##BLANK",'4K'!J26)</f>
        <v>##BLANK</v>
      </c>
    </row>
    <row r="2854" spans="2:7">
      <c r="B2854" s="821" t="str">
        <f>+'4K'!AT27</f>
        <v>WWS1017STD</v>
      </c>
      <c r="D2854" s="1882"/>
      <c r="E2854" s="1628" t="s">
        <v>8339</v>
      </c>
      <c r="F2854" s="1882"/>
      <c r="G2854" s="1882">
        <f>IF('4K'!J27="","##BLANK",'4K'!J27)</f>
        <v>0</v>
      </c>
    </row>
    <row r="2855" spans="2:7">
      <c r="B2855" s="821" t="str">
        <f>+'4K'!AT28</f>
        <v>WWS1018STD</v>
      </c>
      <c r="D2855" s="1882"/>
      <c r="E2855" s="1628" t="s">
        <v>8339</v>
      </c>
      <c r="F2855" s="1882"/>
      <c r="G2855" s="1882" t="str">
        <f>IF('4K'!J28="","##BLANK",'4K'!J28)</f>
        <v>##BLANK</v>
      </c>
    </row>
    <row r="2856" spans="2:7">
      <c r="B2856" s="821" t="str">
        <f>+'4K'!AT29</f>
        <v>WWS1019STD</v>
      </c>
      <c r="D2856" s="1882"/>
      <c r="E2856" s="1628" t="s">
        <v>8339</v>
      </c>
      <c r="F2856" s="1882"/>
      <c r="G2856" s="1882">
        <f>IF('4K'!J29="","##BLANK",'4K'!J29)</f>
        <v>0</v>
      </c>
    </row>
    <row r="2857" spans="2:7">
      <c r="B2857" s="821" t="str">
        <f>+'4K'!AT30</f>
        <v>WWS1020STD</v>
      </c>
      <c r="D2857" s="1882"/>
      <c r="E2857" s="1628" t="s">
        <v>8339</v>
      </c>
      <c r="F2857" s="1882"/>
      <c r="G2857" s="1882" t="str">
        <f>IF('4K'!J30="","##BLANK",'4K'!J30)</f>
        <v>##BLANK</v>
      </c>
    </row>
    <row r="2858" spans="2:7">
      <c r="B2858" s="821" t="str">
        <f>+'4K'!AT31</f>
        <v>WWS1021STD</v>
      </c>
      <c r="D2858" s="1882"/>
      <c r="E2858" s="1628" t="s">
        <v>8339</v>
      </c>
      <c r="F2858" s="1882"/>
      <c r="G2858" s="1882">
        <f>IF('4K'!J31="","##BLANK",'4K'!J31)</f>
        <v>0</v>
      </c>
    </row>
    <row r="2859" spans="2:7">
      <c r="B2859" s="821" t="str">
        <f>+'4K'!AT34</f>
        <v>WWS1022STD</v>
      </c>
      <c r="D2859" s="1882"/>
      <c r="E2859" s="1628" t="s">
        <v>8339</v>
      </c>
      <c r="F2859" s="1882"/>
      <c r="G2859" s="1882" t="str">
        <f>IF('4K'!J34="","##BLANK",'4K'!J34)</f>
        <v>##BLANK</v>
      </c>
    </row>
    <row r="2860" spans="2:7">
      <c r="B2860" s="821" t="str">
        <f>+'4K'!AT35</f>
        <v>WWS1023STD</v>
      </c>
      <c r="D2860" s="1882"/>
      <c r="E2860" s="1628" t="s">
        <v>8339</v>
      </c>
      <c r="F2860" s="1882"/>
      <c r="G2860" s="1882" t="str">
        <f>IF('4K'!J35="","##BLANK",'4K'!J35)</f>
        <v>##BLANK</v>
      </c>
    </row>
    <row r="2861" spans="2:7">
      <c r="B2861" s="821" t="str">
        <f>+'4K'!AT36</f>
        <v>WWS1024STD</v>
      </c>
      <c r="D2861" s="1882"/>
      <c r="E2861" s="1628" t="s">
        <v>8339</v>
      </c>
      <c r="F2861" s="1882"/>
      <c r="G2861" s="1882">
        <f>IF('4K'!J36="","##BLANK",'4K'!J36)</f>
        <v>0</v>
      </c>
    </row>
    <row r="2862" spans="2:7">
      <c r="B2862" s="821" t="str">
        <f>+'4K'!AT39</f>
        <v>BP3357001STD</v>
      </c>
      <c r="D2862" s="1882"/>
      <c r="E2862" s="1628" t="s">
        <v>8339</v>
      </c>
      <c r="F2862" s="1882" t="str">
        <f>+'4K'!C$39</f>
        <v>Item 1</v>
      </c>
      <c r="G2862" s="1882" t="str">
        <f>IF('4K'!J39="","##BLANK",'4K'!J39)</f>
        <v>##BLANK</v>
      </c>
    </row>
    <row r="2863" spans="2:7">
      <c r="B2863" s="821" t="str">
        <f>+'4K'!AT40</f>
        <v>BP3357002STD</v>
      </c>
      <c r="D2863" s="1882"/>
      <c r="E2863" s="1628" t="s">
        <v>8339</v>
      </c>
      <c r="F2863" s="1882" t="str">
        <f>+'4K'!C$40</f>
        <v>Item 2</v>
      </c>
      <c r="G2863" s="1882" t="str">
        <f>IF('4K'!J40="","##BLANK",'4K'!J40)</f>
        <v>##BLANK</v>
      </c>
    </row>
    <row r="2864" spans="2:7">
      <c r="B2864" s="821" t="str">
        <f>+'4K'!AT41</f>
        <v>BP3357003STD</v>
      </c>
      <c r="D2864" s="1882"/>
      <c r="E2864" s="1628" t="s">
        <v>8339</v>
      </c>
      <c r="F2864" s="1882" t="str">
        <f>+'4K'!C$41</f>
        <v>Item 3</v>
      </c>
      <c r="G2864" s="1882" t="str">
        <f>IF('4K'!J41="","##BLANK",'4K'!J41)</f>
        <v>##BLANK</v>
      </c>
    </row>
    <row r="2865" spans="2:7">
      <c r="B2865" s="821" t="str">
        <f>+'4K'!AT42</f>
        <v>BP3357004STD</v>
      </c>
      <c r="D2865" s="1882"/>
      <c r="E2865" s="1628" t="s">
        <v>8339</v>
      </c>
      <c r="F2865" s="1882" t="str">
        <f>+'4K'!C$42</f>
        <v>Item 4</v>
      </c>
      <c r="G2865" s="1882" t="str">
        <f>IF('4K'!J42="","##BLANK",'4K'!J42)</f>
        <v>##BLANK</v>
      </c>
    </row>
    <row r="2866" spans="2:7">
      <c r="B2866" s="821" t="str">
        <f>+'4K'!AT43</f>
        <v>BP3357005STD</v>
      </c>
      <c r="D2866" s="1882"/>
      <c r="E2866" s="1628" t="s">
        <v>8339</v>
      </c>
      <c r="F2866" s="1882" t="str">
        <f>+'4K'!C$43</f>
        <v>Item 5</v>
      </c>
      <c r="G2866" s="1882" t="str">
        <f>IF('4K'!J43="","##BLANK",'4K'!J43)</f>
        <v>##BLANK</v>
      </c>
    </row>
    <row r="2867" spans="2:7">
      <c r="B2867" s="821" t="str">
        <f>+'4K'!AT44</f>
        <v>BP3357006STD</v>
      </c>
      <c r="D2867" s="1882"/>
      <c r="E2867" s="1628" t="s">
        <v>8339</v>
      </c>
      <c r="F2867" s="1882" t="str">
        <f>+'4K'!C$44</f>
        <v>Item 6</v>
      </c>
      <c r="G2867" s="1882" t="str">
        <f>IF('4K'!J44="","##BLANK",'4K'!J44)</f>
        <v>##BLANK</v>
      </c>
    </row>
    <row r="2868" spans="2:7">
      <c r="B2868" s="821" t="str">
        <f>+'4K'!AT45</f>
        <v>BP3357007STD</v>
      </c>
      <c r="D2868" s="1882"/>
      <c r="E2868" s="1628" t="s">
        <v>8339</v>
      </c>
      <c r="F2868" s="1882" t="str">
        <f>+'4K'!C$45</f>
        <v>Item 7</v>
      </c>
      <c r="G2868" s="1882" t="str">
        <f>IF('4K'!J45="","##BLANK",'4K'!J45)</f>
        <v>##BLANK</v>
      </c>
    </row>
    <row r="2869" spans="2:7">
      <c r="B2869" s="821" t="str">
        <f>+'4K'!AT46</f>
        <v>BP3357008STD</v>
      </c>
      <c r="D2869" s="1882"/>
      <c r="E2869" s="1628" t="s">
        <v>8339</v>
      </c>
      <c r="F2869" s="1882" t="str">
        <f>+'4K'!C$46</f>
        <v>Item 8</v>
      </c>
      <c r="G2869" s="1882" t="str">
        <f>IF('4K'!J46="","##BLANK",'4K'!J46)</f>
        <v>##BLANK</v>
      </c>
    </row>
    <row r="2870" spans="2:7">
      <c r="B2870" s="821" t="str">
        <f>+'4K'!AT47</f>
        <v>BP3357009STD</v>
      </c>
      <c r="D2870" s="1882"/>
      <c r="E2870" s="1628" t="s">
        <v>8339</v>
      </c>
      <c r="F2870" s="1882" t="str">
        <f>+'4K'!C$47</f>
        <v>Item 9</v>
      </c>
      <c r="G2870" s="1882" t="str">
        <f>IF('4K'!J47="","##BLANK",'4K'!J47)</f>
        <v>##BLANK</v>
      </c>
    </row>
    <row r="2871" spans="2:7">
      <c r="B2871" s="821" t="str">
        <f>+'4K'!AT48</f>
        <v>BP3357010STD</v>
      </c>
      <c r="D2871" s="1882"/>
      <c r="E2871" s="1628" t="s">
        <v>8339</v>
      </c>
      <c r="F2871" s="1882" t="str">
        <f>+'4K'!C$48</f>
        <v>Item 10</v>
      </c>
      <c r="G2871" s="1882" t="str">
        <f>IF('4K'!J48="","##BLANK",'4K'!J48)</f>
        <v>##BLANK</v>
      </c>
    </row>
    <row r="2872" spans="2:7">
      <c r="B2872" s="821" t="str">
        <f>+'4K'!AT49</f>
        <v>BP3357020STD</v>
      </c>
      <c r="D2872" s="1882"/>
      <c r="E2872" s="1628" t="s">
        <v>8339</v>
      </c>
      <c r="F2872" s="1882"/>
      <c r="G2872" s="1882">
        <f>IF('4K'!J49="","##BLANK",'4K'!J49)</f>
        <v>0</v>
      </c>
    </row>
    <row r="2873" spans="2:7">
      <c r="B2873" s="821" t="str">
        <f>+'4K'!AT52</f>
        <v>S3040TCASTD</v>
      </c>
      <c r="D2873" s="1882"/>
      <c r="E2873" s="1628" t="s">
        <v>8339</v>
      </c>
      <c r="F2873" s="1882"/>
      <c r="G2873" s="1882">
        <f>IF('4K'!J52="","##BLANK",'4K'!J52)</f>
        <v>0</v>
      </c>
    </row>
    <row r="2874" spans="2:7">
      <c r="B2874" s="821" t="str">
        <f>+'4K'!AU7</f>
        <v>WWS1001SLT</v>
      </c>
      <c r="D2874" s="1882"/>
      <c r="E2874" s="1628" t="s">
        <v>8339</v>
      </c>
      <c r="F2874" s="1882"/>
      <c r="G2874" s="1882" t="str">
        <f>IF('4K'!K7="","##BLANK",'4K'!K7)</f>
        <v>##BLANK</v>
      </c>
    </row>
    <row r="2875" spans="2:7">
      <c r="B2875" s="821" t="str">
        <f>+'4K'!AU8</f>
        <v>WWS1002SLT</v>
      </c>
      <c r="D2875" s="1882"/>
      <c r="E2875" s="1628" t="s">
        <v>8339</v>
      </c>
      <c r="F2875" s="1882"/>
      <c r="G2875" s="1882" t="str">
        <f>IF('4K'!K8="","##BLANK",'4K'!K8)</f>
        <v>##BLANK</v>
      </c>
    </row>
    <row r="2876" spans="2:7">
      <c r="B2876" s="821" t="str">
        <f>+'4K'!AU9</f>
        <v>WWS1003SLT</v>
      </c>
      <c r="D2876" s="1882"/>
      <c r="E2876" s="1628" t="s">
        <v>8339</v>
      </c>
      <c r="F2876" s="1882"/>
      <c r="G2876" s="1882" t="str">
        <f>IF('4K'!K9="","##BLANK",'4K'!K9)</f>
        <v>##BLANK</v>
      </c>
    </row>
    <row r="2877" spans="2:7">
      <c r="B2877" s="821" t="str">
        <f>+'4K'!AU10</f>
        <v>WWS1004SLT</v>
      </c>
      <c r="D2877" s="1882"/>
      <c r="E2877" s="1628" t="s">
        <v>8339</v>
      </c>
      <c r="F2877" s="1882"/>
      <c r="G2877" s="1882" t="str">
        <f>IF('4K'!K10="","##BLANK",'4K'!K10)</f>
        <v>##BLANK</v>
      </c>
    </row>
    <row r="2878" spans="2:7">
      <c r="B2878" s="821" t="str">
        <f>+'4K'!AU12</f>
        <v>WWS1005SLT</v>
      </c>
      <c r="D2878" s="1882"/>
      <c r="E2878" s="1628" t="s">
        <v>8339</v>
      </c>
      <c r="F2878" s="1882"/>
      <c r="G2878" s="1882" t="str">
        <f>IF('4K'!K12="","##BLANK",'4K'!K12)</f>
        <v>##BLANK</v>
      </c>
    </row>
    <row r="2879" spans="2:7">
      <c r="B2879" s="821" t="str">
        <f>+'4K'!AU13</f>
        <v>WWS1006SLT</v>
      </c>
      <c r="D2879" s="1882"/>
      <c r="E2879" s="1628" t="s">
        <v>8339</v>
      </c>
      <c r="F2879" s="1882"/>
      <c r="G2879" s="1882" t="str">
        <f>IF('4K'!K13="","##BLANK",'4K'!K13)</f>
        <v>##BLANK</v>
      </c>
    </row>
    <row r="2880" spans="2:7">
      <c r="B2880" s="821" t="str">
        <f>+'4K'!AU14</f>
        <v>WWS1007SLT</v>
      </c>
      <c r="D2880" s="1882"/>
      <c r="E2880" s="1628" t="s">
        <v>8339</v>
      </c>
      <c r="F2880" s="1882"/>
      <c r="G2880" s="1882" t="str">
        <f>IF('4K'!K14="","##BLANK",'4K'!K14)</f>
        <v>##BLANK</v>
      </c>
    </row>
    <row r="2881" spans="2:7">
      <c r="B2881" s="821" t="str">
        <f>+'4K'!AU15</f>
        <v>WWS1008SLT</v>
      </c>
      <c r="D2881" s="1882"/>
      <c r="E2881" s="1628" t="s">
        <v>8339</v>
      </c>
      <c r="F2881" s="1882"/>
      <c r="G2881" s="1882" t="str">
        <f>IF('4K'!K15="","##BLANK",'4K'!K15)</f>
        <v>##BLANK</v>
      </c>
    </row>
    <row r="2882" spans="2:7">
      <c r="B2882" s="821" t="str">
        <f>+'4K'!AU16</f>
        <v>WWS1009SLT</v>
      </c>
      <c r="D2882" s="1882"/>
      <c r="E2882" s="1628" t="s">
        <v>8339</v>
      </c>
      <c r="F2882" s="1882"/>
      <c r="G2882" s="1882">
        <f>IF('4K'!K16="","##BLANK",'4K'!K16)</f>
        <v>0</v>
      </c>
    </row>
    <row r="2883" spans="2:7">
      <c r="B2883" s="821" t="str">
        <f>+'4K'!AU18</f>
        <v>WWS1010SLT</v>
      </c>
      <c r="D2883" s="1882"/>
      <c r="E2883" s="1628" t="s">
        <v>8339</v>
      </c>
      <c r="F2883" s="1882"/>
      <c r="G2883" s="1882" t="str">
        <f>IF('4K'!K18="","##BLANK",'4K'!K18)</f>
        <v>##BLANK</v>
      </c>
    </row>
    <row r="2884" spans="2:7">
      <c r="B2884" s="821" t="str">
        <f>+'4K'!AU19</f>
        <v>WWS1011SLT</v>
      </c>
      <c r="D2884" s="1882"/>
      <c r="E2884" s="1628" t="s">
        <v>8339</v>
      </c>
      <c r="F2884" s="1882"/>
      <c r="G2884" s="1882">
        <f>IF('4K'!K19="","##BLANK",'4K'!K19)</f>
        <v>0</v>
      </c>
    </row>
    <row r="2885" spans="2:7">
      <c r="B2885" s="821" t="str">
        <f>+'4K'!AU22</f>
        <v>WWS1012SLT</v>
      </c>
      <c r="D2885" s="1882"/>
      <c r="E2885" s="1628" t="s">
        <v>8339</v>
      </c>
      <c r="F2885" s="1882"/>
      <c r="G2885" s="1882" t="str">
        <f>IF('4K'!K22="","##BLANK",'4K'!K22)</f>
        <v>##BLANK</v>
      </c>
    </row>
    <row r="2886" spans="2:7">
      <c r="B2886" s="821" t="str">
        <f>+'4K'!AU23</f>
        <v>WWS1013SLT</v>
      </c>
      <c r="D2886" s="1882"/>
      <c r="E2886" s="1628" t="s">
        <v>8339</v>
      </c>
      <c r="F2886" s="1882"/>
      <c r="G2886" s="1882" t="str">
        <f>IF('4K'!K23="","##BLANK",'4K'!K23)</f>
        <v>##BLANK</v>
      </c>
    </row>
    <row r="2887" spans="2:7">
      <c r="B2887" s="821" t="str">
        <f>+'4K'!AU24</f>
        <v>WWS1014SLT</v>
      </c>
      <c r="D2887" s="1882"/>
      <c r="E2887" s="1628" t="s">
        <v>8339</v>
      </c>
      <c r="F2887" s="1882"/>
      <c r="G2887" s="1882" t="str">
        <f>IF('4K'!K24="","##BLANK",'4K'!K24)</f>
        <v>##BLANK</v>
      </c>
    </row>
    <row r="2888" spans="2:7">
      <c r="B2888" s="821" t="str">
        <f>+'4K'!AU25</f>
        <v>WWS1015SLT</v>
      </c>
      <c r="D2888" s="1882"/>
      <c r="E2888" s="1628" t="s">
        <v>8339</v>
      </c>
      <c r="F2888" s="1882"/>
      <c r="G2888" s="1882" t="str">
        <f>IF('4K'!K25="","##BLANK",'4K'!K25)</f>
        <v>##BLANK</v>
      </c>
    </row>
    <row r="2889" spans="2:7">
      <c r="B2889" s="821" t="str">
        <f>+'4K'!AU26</f>
        <v>WWS1016SLT</v>
      </c>
      <c r="D2889" s="1882"/>
      <c r="E2889" s="1628" t="s">
        <v>8339</v>
      </c>
      <c r="F2889" s="1882"/>
      <c r="G2889" s="1882" t="str">
        <f>IF('4K'!K26="","##BLANK",'4K'!K26)</f>
        <v>##BLANK</v>
      </c>
    </row>
    <row r="2890" spans="2:7">
      <c r="B2890" s="821" t="str">
        <f>+'4K'!AU27</f>
        <v>WWS1017SLT</v>
      </c>
      <c r="D2890" s="1882"/>
      <c r="E2890" s="1628" t="s">
        <v>8339</v>
      </c>
      <c r="F2890" s="1882"/>
      <c r="G2890" s="1882">
        <f>IF('4K'!K27="","##BLANK",'4K'!K27)</f>
        <v>0</v>
      </c>
    </row>
    <row r="2891" spans="2:7">
      <c r="B2891" s="821" t="str">
        <f>+'4K'!AU28</f>
        <v>WWS1018SLT</v>
      </c>
      <c r="D2891" s="1882"/>
      <c r="E2891" s="1628" t="s">
        <v>8339</v>
      </c>
      <c r="F2891" s="1882"/>
      <c r="G2891" s="1882" t="str">
        <f>IF('4K'!K28="","##BLANK",'4K'!K28)</f>
        <v>##BLANK</v>
      </c>
    </row>
    <row r="2892" spans="2:7">
      <c r="B2892" s="821" t="str">
        <f>+'4K'!AU29</f>
        <v>WWS1019SLT</v>
      </c>
      <c r="D2892" s="1882"/>
      <c r="E2892" s="1628" t="s">
        <v>8339</v>
      </c>
      <c r="F2892" s="1882"/>
      <c r="G2892" s="1882">
        <f>IF('4K'!K29="","##BLANK",'4K'!K29)</f>
        <v>0</v>
      </c>
    </row>
    <row r="2893" spans="2:7">
      <c r="B2893" s="821" t="str">
        <f>+'4K'!AU30</f>
        <v>WWS1020SLT</v>
      </c>
      <c r="D2893" s="1882"/>
      <c r="E2893" s="1628" t="s">
        <v>8339</v>
      </c>
      <c r="F2893" s="1882"/>
      <c r="G2893" s="1882" t="str">
        <f>IF('4K'!K30="","##BLANK",'4K'!K30)</f>
        <v>##BLANK</v>
      </c>
    </row>
    <row r="2894" spans="2:7">
      <c r="B2894" s="821" t="str">
        <f>+'4K'!AU31</f>
        <v>WWS1021SLT</v>
      </c>
      <c r="D2894" s="1882"/>
      <c r="E2894" s="1628" t="s">
        <v>8339</v>
      </c>
      <c r="F2894" s="1882"/>
      <c r="G2894" s="1882">
        <f>IF('4K'!K31="","##BLANK",'4K'!K31)</f>
        <v>0</v>
      </c>
    </row>
    <row r="2895" spans="2:7">
      <c r="B2895" s="821" t="str">
        <f>+'4K'!AU34</f>
        <v>WWS1022SLT</v>
      </c>
      <c r="D2895" s="1882"/>
      <c r="E2895" s="1628" t="s">
        <v>8339</v>
      </c>
      <c r="F2895" s="1882"/>
      <c r="G2895" s="1882" t="str">
        <f>IF('4K'!K34="","##BLANK",'4K'!K34)</f>
        <v>##BLANK</v>
      </c>
    </row>
    <row r="2896" spans="2:7">
      <c r="B2896" s="821" t="str">
        <f>+'4K'!AU35</f>
        <v>WWS1023SLT</v>
      </c>
      <c r="D2896" s="1882"/>
      <c r="E2896" s="1628" t="s">
        <v>8339</v>
      </c>
      <c r="F2896" s="1882"/>
      <c r="G2896" s="1882" t="str">
        <f>IF('4K'!K35="","##BLANK",'4K'!K35)</f>
        <v>##BLANK</v>
      </c>
    </row>
    <row r="2897" spans="2:7">
      <c r="B2897" s="821" t="str">
        <f>+'4K'!AU36</f>
        <v>WWS1024SLT</v>
      </c>
      <c r="D2897" s="1882"/>
      <c r="E2897" s="1628" t="s">
        <v>8339</v>
      </c>
      <c r="F2897" s="1882"/>
      <c r="G2897" s="1882">
        <f>IF('4K'!K36="","##BLANK",'4K'!K36)</f>
        <v>0</v>
      </c>
    </row>
    <row r="2898" spans="2:7">
      <c r="B2898" s="821" t="str">
        <f>+'4K'!AU39</f>
        <v>BP3357001SLT</v>
      </c>
      <c r="D2898" s="1882"/>
      <c r="E2898" s="1628" t="s">
        <v>8339</v>
      </c>
      <c r="F2898" s="1882" t="str">
        <f>+'4K'!C$39</f>
        <v>Item 1</v>
      </c>
      <c r="G2898" s="1882" t="str">
        <f>IF('4K'!K39="","##BLANK",'4K'!K39)</f>
        <v>##BLANK</v>
      </c>
    </row>
    <row r="2899" spans="2:7">
      <c r="B2899" s="821" t="str">
        <f>+'4K'!AU40</f>
        <v>BP3357002SLT</v>
      </c>
      <c r="D2899" s="1882"/>
      <c r="E2899" s="1628" t="s">
        <v>8339</v>
      </c>
      <c r="F2899" s="1882" t="str">
        <f>+'4K'!C$40</f>
        <v>Item 2</v>
      </c>
      <c r="G2899" s="1882" t="str">
        <f>IF('4K'!K40="","##BLANK",'4K'!K40)</f>
        <v>##BLANK</v>
      </c>
    </row>
    <row r="2900" spans="2:7">
      <c r="B2900" s="821" t="str">
        <f>+'4K'!AU41</f>
        <v>BP3357003SLT</v>
      </c>
      <c r="D2900" s="1882"/>
      <c r="E2900" s="1628" t="s">
        <v>8339</v>
      </c>
      <c r="F2900" s="1882" t="str">
        <f>+'4K'!C$41</f>
        <v>Item 3</v>
      </c>
      <c r="G2900" s="1882" t="str">
        <f>IF('4K'!K41="","##BLANK",'4K'!K41)</f>
        <v>##BLANK</v>
      </c>
    </row>
    <row r="2901" spans="2:7">
      <c r="B2901" s="821" t="str">
        <f>+'4K'!AU42</f>
        <v>BP3357004SLT</v>
      </c>
      <c r="D2901" s="1882"/>
      <c r="E2901" s="1628" t="s">
        <v>8339</v>
      </c>
      <c r="F2901" s="1882" t="str">
        <f>+'4K'!C$42</f>
        <v>Item 4</v>
      </c>
      <c r="G2901" s="1882" t="str">
        <f>IF('4K'!K42="","##BLANK",'4K'!K42)</f>
        <v>##BLANK</v>
      </c>
    </row>
    <row r="2902" spans="2:7">
      <c r="B2902" s="821" t="str">
        <f>+'4K'!AU43</f>
        <v>BP3357005SLT</v>
      </c>
      <c r="D2902" s="1882"/>
      <c r="E2902" s="1628" t="s">
        <v>8339</v>
      </c>
      <c r="F2902" s="1882" t="str">
        <f>+'4K'!C$43</f>
        <v>Item 5</v>
      </c>
      <c r="G2902" s="1882" t="str">
        <f>IF('4K'!K43="","##BLANK",'4K'!K43)</f>
        <v>##BLANK</v>
      </c>
    </row>
    <row r="2903" spans="2:7">
      <c r="B2903" s="821" t="str">
        <f>+'4K'!AU44</f>
        <v>BP3357006SLT</v>
      </c>
      <c r="D2903" s="1882"/>
      <c r="E2903" s="1628" t="s">
        <v>8339</v>
      </c>
      <c r="F2903" s="1882" t="str">
        <f>+'4K'!C$44</f>
        <v>Item 6</v>
      </c>
      <c r="G2903" s="1882" t="str">
        <f>IF('4K'!K44="","##BLANK",'4K'!K44)</f>
        <v>##BLANK</v>
      </c>
    </row>
    <row r="2904" spans="2:7">
      <c r="B2904" s="821" t="str">
        <f>+'4K'!AU45</f>
        <v>BP3357007SLT</v>
      </c>
      <c r="D2904" s="1882"/>
      <c r="E2904" s="1628" t="s">
        <v>8339</v>
      </c>
      <c r="F2904" s="1882" t="str">
        <f>+'4K'!C$45</f>
        <v>Item 7</v>
      </c>
      <c r="G2904" s="1882" t="str">
        <f>IF('4K'!K45="","##BLANK",'4K'!K45)</f>
        <v>##BLANK</v>
      </c>
    </row>
    <row r="2905" spans="2:7">
      <c r="B2905" s="821" t="str">
        <f>+'4K'!AU46</f>
        <v>BP3357008SLT</v>
      </c>
      <c r="D2905" s="1882"/>
      <c r="E2905" s="1628" t="s">
        <v>8339</v>
      </c>
      <c r="F2905" s="1882" t="str">
        <f>+'4K'!C$46</f>
        <v>Item 8</v>
      </c>
      <c r="G2905" s="1882" t="str">
        <f>IF('4K'!K46="","##BLANK",'4K'!K46)</f>
        <v>##BLANK</v>
      </c>
    </row>
    <row r="2906" spans="2:7">
      <c r="B2906" s="821" t="str">
        <f>+'4K'!AU47</f>
        <v>BP3357009SLT</v>
      </c>
      <c r="D2906" s="1882"/>
      <c r="E2906" s="1628" t="s">
        <v>8339</v>
      </c>
      <c r="F2906" s="1882" t="str">
        <f>+'4K'!C$47</f>
        <v>Item 9</v>
      </c>
      <c r="G2906" s="1882" t="str">
        <f>IF('4K'!K47="","##BLANK",'4K'!K47)</f>
        <v>##BLANK</v>
      </c>
    </row>
    <row r="2907" spans="2:7">
      <c r="B2907" s="821" t="str">
        <f>+'4K'!AU48</f>
        <v>BP3357010SLT</v>
      </c>
      <c r="D2907" s="1882"/>
      <c r="E2907" s="1628" t="s">
        <v>8339</v>
      </c>
      <c r="F2907" s="1882" t="str">
        <f>+'4K'!C$48</f>
        <v>Item 10</v>
      </c>
      <c r="G2907" s="1882" t="str">
        <f>IF('4K'!K48="","##BLANK",'4K'!K48)</f>
        <v>##BLANK</v>
      </c>
    </row>
    <row r="2908" spans="2:7">
      <c r="B2908" s="821" t="str">
        <f>+'4K'!AU49</f>
        <v>BP3357020SLT</v>
      </c>
      <c r="D2908" s="1882"/>
      <c r="E2908" s="1628" t="s">
        <v>8339</v>
      </c>
      <c r="F2908" s="1882"/>
      <c r="G2908" s="1882">
        <f>IF('4K'!K49="","##BLANK",'4K'!K49)</f>
        <v>0</v>
      </c>
    </row>
    <row r="2909" spans="2:7">
      <c r="B2909" s="821" t="str">
        <f>+'4K'!AU52</f>
        <v>S3040TCASLT</v>
      </c>
      <c r="D2909" s="1882"/>
      <c r="E2909" s="1628" t="s">
        <v>8339</v>
      </c>
      <c r="F2909" s="1882"/>
      <c r="G2909" s="1882">
        <f>IF('4K'!K52="","##BLANK",'4K'!K52)</f>
        <v>0</v>
      </c>
    </row>
    <row r="2910" spans="2:7">
      <c r="B2910" s="821" t="str">
        <f>+'4K'!AV7</f>
        <v>WWS1001STP</v>
      </c>
      <c r="D2910" s="1882"/>
      <c r="E2910" s="1628" t="s">
        <v>8339</v>
      </c>
      <c r="F2910" s="1882"/>
      <c r="G2910" s="1882" t="str">
        <f>IF('4K'!L7="","##BLANK",'4K'!L7)</f>
        <v>##BLANK</v>
      </c>
    </row>
    <row r="2911" spans="2:7">
      <c r="B2911" s="821" t="str">
        <f>+'4K'!AV8</f>
        <v>WWS1002STP</v>
      </c>
      <c r="D2911" s="1882"/>
      <c r="E2911" s="1628" t="s">
        <v>8339</v>
      </c>
      <c r="F2911" s="1882"/>
      <c r="G2911" s="1882" t="str">
        <f>IF('4K'!L8="","##BLANK",'4K'!L8)</f>
        <v>##BLANK</v>
      </c>
    </row>
    <row r="2912" spans="2:7">
      <c r="B2912" s="821" t="str">
        <f>+'4K'!AV9</f>
        <v>WWS1003STP</v>
      </c>
      <c r="D2912" s="1882"/>
      <c r="E2912" s="1628" t="s">
        <v>8339</v>
      </c>
      <c r="F2912" s="1882"/>
      <c r="G2912" s="1882" t="str">
        <f>IF('4K'!L9="","##BLANK",'4K'!L9)</f>
        <v>##BLANK</v>
      </c>
    </row>
    <row r="2913" spans="2:7">
      <c r="B2913" s="821" t="str">
        <f>+'4K'!AV10</f>
        <v>WWS1004STP</v>
      </c>
      <c r="D2913" s="1882"/>
      <c r="E2913" s="1628" t="s">
        <v>8339</v>
      </c>
      <c r="F2913" s="1882"/>
      <c r="G2913" s="1882" t="str">
        <f>IF('4K'!L10="","##BLANK",'4K'!L10)</f>
        <v>##BLANK</v>
      </c>
    </row>
    <row r="2914" spans="2:7">
      <c r="B2914" s="821" t="str">
        <f>+'4K'!AV12</f>
        <v>WWS1005STP</v>
      </c>
      <c r="D2914" s="1882"/>
      <c r="E2914" s="1628" t="s">
        <v>8339</v>
      </c>
      <c r="F2914" s="1882"/>
      <c r="G2914" s="1882" t="str">
        <f>IF('4K'!L12="","##BLANK",'4K'!L12)</f>
        <v>##BLANK</v>
      </c>
    </row>
    <row r="2915" spans="2:7">
      <c r="B2915" s="821" t="str">
        <f>+'4K'!AV13</f>
        <v>WWS1006STP</v>
      </c>
      <c r="D2915" s="1882"/>
      <c r="E2915" s="1628" t="s">
        <v>8339</v>
      </c>
      <c r="F2915" s="1882"/>
      <c r="G2915" s="1882" t="str">
        <f>IF('4K'!L13="","##BLANK",'4K'!L13)</f>
        <v>##BLANK</v>
      </c>
    </row>
    <row r="2916" spans="2:7">
      <c r="B2916" s="821" t="str">
        <f>+'4K'!AV14</f>
        <v>WWS1007STP</v>
      </c>
      <c r="D2916" s="1882"/>
      <c r="E2916" s="1628" t="s">
        <v>8339</v>
      </c>
      <c r="F2916" s="1882"/>
      <c r="G2916" s="1882" t="str">
        <f>IF('4K'!L14="","##BLANK",'4K'!L14)</f>
        <v>##BLANK</v>
      </c>
    </row>
    <row r="2917" spans="2:7">
      <c r="B2917" s="821" t="str">
        <f>+'4K'!AV15</f>
        <v>WWS1008STP</v>
      </c>
      <c r="D2917" s="1882"/>
      <c r="E2917" s="1628" t="s">
        <v>8339</v>
      </c>
      <c r="F2917" s="1882"/>
      <c r="G2917" s="1882" t="str">
        <f>IF('4K'!L15="","##BLANK",'4K'!L15)</f>
        <v>##BLANK</v>
      </c>
    </row>
    <row r="2918" spans="2:7">
      <c r="B2918" s="821" t="str">
        <f>+'4K'!AV16</f>
        <v>WWS1009STP</v>
      </c>
      <c r="D2918" s="1882"/>
      <c r="E2918" s="1628" t="s">
        <v>8339</v>
      </c>
      <c r="F2918" s="1882"/>
      <c r="G2918" s="1882">
        <f>IF('4K'!L16="","##BLANK",'4K'!L16)</f>
        <v>0</v>
      </c>
    </row>
    <row r="2919" spans="2:7">
      <c r="B2919" s="821" t="str">
        <f>+'4K'!AV18</f>
        <v>WWS1010STP</v>
      </c>
      <c r="D2919" s="1882"/>
      <c r="E2919" s="1628" t="s">
        <v>8339</v>
      </c>
      <c r="F2919" s="1882"/>
      <c r="G2919" s="1882" t="str">
        <f>IF('4K'!L18="","##BLANK",'4K'!L18)</f>
        <v>##BLANK</v>
      </c>
    </row>
    <row r="2920" spans="2:7">
      <c r="B2920" s="821" t="str">
        <f>+'4K'!AV19</f>
        <v>WWS1011STP</v>
      </c>
      <c r="D2920" s="1882"/>
      <c r="E2920" s="1628" t="s">
        <v>8339</v>
      </c>
      <c r="F2920" s="1882"/>
      <c r="G2920" s="1882">
        <f>IF('4K'!L19="","##BLANK",'4K'!L19)</f>
        <v>0</v>
      </c>
    </row>
    <row r="2921" spans="2:7">
      <c r="B2921" s="821" t="str">
        <f>+'4K'!AV22</f>
        <v>WWS1012STP</v>
      </c>
      <c r="D2921" s="1882"/>
      <c r="E2921" s="1628" t="s">
        <v>8339</v>
      </c>
      <c r="F2921" s="1882"/>
      <c r="G2921" s="1882" t="str">
        <f>IF('4K'!L22="","##BLANK",'4K'!L22)</f>
        <v>##BLANK</v>
      </c>
    </row>
    <row r="2922" spans="2:7">
      <c r="B2922" s="821" t="str">
        <f>+'4K'!AV23</f>
        <v>WWS1013STP</v>
      </c>
      <c r="D2922" s="1882"/>
      <c r="E2922" s="1628" t="s">
        <v>8339</v>
      </c>
      <c r="F2922" s="1882"/>
      <c r="G2922" s="1882" t="str">
        <f>IF('4K'!L23="","##BLANK",'4K'!L23)</f>
        <v>##BLANK</v>
      </c>
    </row>
    <row r="2923" spans="2:7">
      <c r="B2923" s="821" t="str">
        <f>+'4K'!AV24</f>
        <v>WWS1014STP</v>
      </c>
      <c r="D2923" s="1882"/>
      <c r="E2923" s="1628" t="s">
        <v>8339</v>
      </c>
      <c r="F2923" s="1882"/>
      <c r="G2923" s="1882" t="str">
        <f>IF('4K'!L24="","##BLANK",'4K'!L24)</f>
        <v>##BLANK</v>
      </c>
    </row>
    <row r="2924" spans="2:7">
      <c r="B2924" s="821" t="str">
        <f>+'4K'!AV25</f>
        <v>WWS1015STP</v>
      </c>
      <c r="D2924" s="1882"/>
      <c r="E2924" s="1628" t="s">
        <v>8339</v>
      </c>
      <c r="F2924" s="1882"/>
      <c r="G2924" s="1882" t="str">
        <f>IF('4K'!L25="","##BLANK",'4K'!L25)</f>
        <v>##BLANK</v>
      </c>
    </row>
    <row r="2925" spans="2:7">
      <c r="B2925" s="821" t="str">
        <f>+'4K'!AV26</f>
        <v>WWS1016STP</v>
      </c>
      <c r="D2925" s="1882"/>
      <c r="E2925" s="1628" t="s">
        <v>8339</v>
      </c>
      <c r="F2925" s="1882"/>
      <c r="G2925" s="1882" t="str">
        <f>IF('4K'!L26="","##BLANK",'4K'!L26)</f>
        <v>##BLANK</v>
      </c>
    </row>
    <row r="2926" spans="2:7">
      <c r="B2926" s="821" t="str">
        <f>+'4K'!AV27</f>
        <v>WWS1017STP</v>
      </c>
      <c r="D2926" s="1882"/>
      <c r="E2926" s="1628" t="s">
        <v>8339</v>
      </c>
      <c r="F2926" s="1882"/>
      <c r="G2926" s="1882">
        <f>IF('4K'!L27="","##BLANK",'4K'!L27)</f>
        <v>0</v>
      </c>
    </row>
    <row r="2927" spans="2:7">
      <c r="B2927" s="821" t="str">
        <f>+'4K'!AV28</f>
        <v>WWS1018STP</v>
      </c>
      <c r="D2927" s="1882"/>
      <c r="E2927" s="1628" t="s">
        <v>8339</v>
      </c>
      <c r="F2927" s="1882"/>
      <c r="G2927" s="1882" t="str">
        <f>IF('4K'!L28="","##BLANK",'4K'!L28)</f>
        <v>##BLANK</v>
      </c>
    </row>
    <row r="2928" spans="2:7">
      <c r="B2928" s="821" t="str">
        <f>+'4K'!AV29</f>
        <v>WWS1019STP</v>
      </c>
      <c r="D2928" s="1882"/>
      <c r="E2928" s="1628" t="s">
        <v>8339</v>
      </c>
      <c r="F2928" s="1882"/>
      <c r="G2928" s="1882">
        <f>IF('4K'!L29="","##BLANK",'4K'!L29)</f>
        <v>0</v>
      </c>
    </row>
    <row r="2929" spans="2:7">
      <c r="B2929" s="821" t="str">
        <f>+'4K'!AV30</f>
        <v>WWS1020STP</v>
      </c>
      <c r="D2929" s="1882"/>
      <c r="E2929" s="1628" t="s">
        <v>8339</v>
      </c>
      <c r="F2929" s="1882"/>
      <c r="G2929" s="1882" t="str">
        <f>IF('4K'!L30="","##BLANK",'4K'!L30)</f>
        <v>##BLANK</v>
      </c>
    </row>
    <row r="2930" spans="2:7">
      <c r="B2930" s="821" t="str">
        <f>+'4K'!AV31</f>
        <v>WWS1021STP</v>
      </c>
      <c r="D2930" s="1882"/>
      <c r="E2930" s="1628" t="s">
        <v>8339</v>
      </c>
      <c r="F2930" s="1882"/>
      <c r="G2930" s="1882">
        <f>IF('4K'!L31="","##BLANK",'4K'!L31)</f>
        <v>0</v>
      </c>
    </row>
    <row r="2931" spans="2:7">
      <c r="B2931" s="821" t="str">
        <f>+'4K'!AV34</f>
        <v>WWS1022STP</v>
      </c>
      <c r="D2931" s="1882"/>
      <c r="E2931" s="1628" t="s">
        <v>8339</v>
      </c>
      <c r="F2931" s="1882"/>
      <c r="G2931" s="1882" t="str">
        <f>IF('4K'!L34="","##BLANK",'4K'!L34)</f>
        <v>##BLANK</v>
      </c>
    </row>
    <row r="2932" spans="2:7">
      <c r="B2932" s="821" t="str">
        <f>+'4K'!AV35</f>
        <v>WWS1023STP</v>
      </c>
      <c r="D2932" s="1882"/>
      <c r="E2932" s="1628" t="s">
        <v>8339</v>
      </c>
      <c r="F2932" s="1882"/>
      <c r="G2932" s="1882" t="str">
        <f>IF('4K'!L35="","##BLANK",'4K'!L35)</f>
        <v>##BLANK</v>
      </c>
    </row>
    <row r="2933" spans="2:7">
      <c r="B2933" s="821" t="str">
        <f>+'4K'!AV36</f>
        <v>WWS1024STP</v>
      </c>
      <c r="D2933" s="1882"/>
      <c r="E2933" s="1628" t="s">
        <v>8339</v>
      </c>
      <c r="F2933" s="1882"/>
      <c r="G2933" s="1882">
        <f>IF('4K'!L36="","##BLANK",'4K'!L36)</f>
        <v>0</v>
      </c>
    </row>
    <row r="2934" spans="2:7">
      <c r="B2934" s="821" t="str">
        <f>+'4K'!AV39</f>
        <v>BP3357001STP</v>
      </c>
      <c r="D2934" s="1882"/>
      <c r="E2934" s="1628" t="s">
        <v>8339</v>
      </c>
      <c r="F2934" s="1882" t="str">
        <f>+'4K'!C$39</f>
        <v>Item 1</v>
      </c>
      <c r="G2934" s="1882" t="str">
        <f>IF('4K'!L39="","##BLANK",'4K'!L39)</f>
        <v>##BLANK</v>
      </c>
    </row>
    <row r="2935" spans="2:7">
      <c r="B2935" s="821" t="str">
        <f>+'4K'!AV40</f>
        <v>BP3357002STP</v>
      </c>
      <c r="D2935" s="1882"/>
      <c r="E2935" s="1628" t="s">
        <v>8339</v>
      </c>
      <c r="F2935" s="1882" t="str">
        <f>+'4K'!C$40</f>
        <v>Item 2</v>
      </c>
      <c r="G2935" s="1882" t="str">
        <f>IF('4K'!L40="","##BLANK",'4K'!L40)</f>
        <v>##BLANK</v>
      </c>
    </row>
    <row r="2936" spans="2:7">
      <c r="B2936" s="821" t="str">
        <f>+'4K'!AV41</f>
        <v>BP3357003STP</v>
      </c>
      <c r="D2936" s="1882"/>
      <c r="E2936" s="1628" t="s">
        <v>8339</v>
      </c>
      <c r="F2936" s="1882" t="str">
        <f>+'4K'!C$41</f>
        <v>Item 3</v>
      </c>
      <c r="G2936" s="1882" t="str">
        <f>IF('4K'!L41="","##BLANK",'4K'!L41)</f>
        <v>##BLANK</v>
      </c>
    </row>
    <row r="2937" spans="2:7">
      <c r="B2937" s="821" t="str">
        <f>+'4K'!AV42</f>
        <v>BP3357004STP</v>
      </c>
      <c r="D2937" s="1882"/>
      <c r="E2937" s="1628" t="s">
        <v>8339</v>
      </c>
      <c r="F2937" s="1882" t="str">
        <f>+'4K'!C$42</f>
        <v>Item 4</v>
      </c>
      <c r="G2937" s="1882" t="str">
        <f>IF('4K'!L42="","##BLANK",'4K'!L42)</f>
        <v>##BLANK</v>
      </c>
    </row>
    <row r="2938" spans="2:7">
      <c r="B2938" s="821" t="str">
        <f>+'4K'!AV43</f>
        <v>BP3357005STP</v>
      </c>
      <c r="D2938" s="1882"/>
      <c r="E2938" s="1628" t="s">
        <v>8339</v>
      </c>
      <c r="F2938" s="1882" t="str">
        <f>+'4K'!C$43</f>
        <v>Item 5</v>
      </c>
      <c r="G2938" s="1882" t="str">
        <f>IF('4K'!L43="","##BLANK",'4K'!L43)</f>
        <v>##BLANK</v>
      </c>
    </row>
    <row r="2939" spans="2:7">
      <c r="B2939" s="821" t="str">
        <f>+'4K'!AV44</f>
        <v>BP3357006STP</v>
      </c>
      <c r="D2939" s="1882"/>
      <c r="E2939" s="1628" t="s">
        <v>8339</v>
      </c>
      <c r="F2939" s="1882" t="str">
        <f>+'4K'!C$44</f>
        <v>Item 6</v>
      </c>
      <c r="G2939" s="1882" t="str">
        <f>IF('4K'!L44="","##BLANK",'4K'!L44)</f>
        <v>##BLANK</v>
      </c>
    </row>
    <row r="2940" spans="2:7">
      <c r="B2940" s="821" t="str">
        <f>+'4K'!AV45</f>
        <v>BP3357007STP</v>
      </c>
      <c r="D2940" s="1882"/>
      <c r="E2940" s="1628" t="s">
        <v>8339</v>
      </c>
      <c r="F2940" s="1882" t="str">
        <f>+'4K'!C$45</f>
        <v>Item 7</v>
      </c>
      <c r="G2940" s="1882" t="str">
        <f>IF('4K'!L45="","##BLANK",'4K'!L45)</f>
        <v>##BLANK</v>
      </c>
    </row>
    <row r="2941" spans="2:7">
      <c r="B2941" s="821" t="str">
        <f>+'4K'!AV46</f>
        <v>BP3357008STP</v>
      </c>
      <c r="D2941" s="1882"/>
      <c r="E2941" s="1628" t="s">
        <v>8339</v>
      </c>
      <c r="F2941" s="1882" t="str">
        <f>+'4K'!C$46</f>
        <v>Item 8</v>
      </c>
      <c r="G2941" s="1882" t="str">
        <f>IF('4K'!L46="","##BLANK",'4K'!L46)</f>
        <v>##BLANK</v>
      </c>
    </row>
    <row r="2942" spans="2:7">
      <c r="B2942" s="821" t="str">
        <f>+'4K'!AV47</f>
        <v>BP3357009STP</v>
      </c>
      <c r="D2942" s="1882"/>
      <c r="E2942" s="1628" t="s">
        <v>8339</v>
      </c>
      <c r="F2942" s="1882" t="str">
        <f>+'4K'!C$47</f>
        <v>Item 9</v>
      </c>
      <c r="G2942" s="1882" t="str">
        <f>IF('4K'!L47="","##BLANK",'4K'!L47)</f>
        <v>##BLANK</v>
      </c>
    </row>
    <row r="2943" spans="2:7">
      <c r="B2943" s="821" t="str">
        <f>+'4K'!AV48</f>
        <v>BP3357010STP</v>
      </c>
      <c r="D2943" s="1882"/>
      <c r="E2943" s="1628" t="s">
        <v>8339</v>
      </c>
      <c r="F2943" s="1882" t="str">
        <f>+'4K'!C$48</f>
        <v>Item 10</v>
      </c>
      <c r="G2943" s="1882" t="str">
        <f>IF('4K'!L48="","##BLANK",'4K'!L48)</f>
        <v>##BLANK</v>
      </c>
    </row>
    <row r="2944" spans="2:7">
      <c r="B2944" s="821" t="str">
        <f>+'4K'!AV49</f>
        <v>BP3357020STP</v>
      </c>
      <c r="D2944" s="1882"/>
      <c r="E2944" s="1628" t="s">
        <v>8339</v>
      </c>
      <c r="F2944" s="1882"/>
      <c r="G2944" s="1882">
        <f>IF('4K'!L49="","##BLANK",'4K'!L49)</f>
        <v>0</v>
      </c>
    </row>
    <row r="2945" spans="2:7">
      <c r="B2945" s="821" t="str">
        <f>+'4K'!AV52</f>
        <v>S3040TCASTP</v>
      </c>
      <c r="D2945" s="1882"/>
      <c r="E2945" s="1628" t="s">
        <v>8339</v>
      </c>
      <c r="F2945" s="1882"/>
      <c r="G2945" s="1882">
        <f>IF('4K'!L52="","##BLANK",'4K'!L52)</f>
        <v>0</v>
      </c>
    </row>
    <row r="2946" spans="2:7">
      <c r="B2946" s="821" t="str">
        <f>+'4K'!AW7</f>
        <v>WWS1001SDT</v>
      </c>
      <c r="D2946" s="1882"/>
      <c r="E2946" s="1628" t="s">
        <v>8339</v>
      </c>
      <c r="F2946" s="1882"/>
      <c r="G2946" s="1882" t="str">
        <f>IF('4K'!M7="","##BLANK",'4K'!M7)</f>
        <v>##BLANK</v>
      </c>
    </row>
    <row r="2947" spans="2:7">
      <c r="B2947" s="821" t="str">
        <f>+'4K'!AW8</f>
        <v>WWS1002SDT</v>
      </c>
      <c r="D2947" s="1882"/>
      <c r="E2947" s="1628" t="s">
        <v>8339</v>
      </c>
      <c r="F2947" s="1882"/>
      <c r="G2947" s="1882" t="str">
        <f>IF('4K'!M8="","##BLANK",'4K'!M8)</f>
        <v>##BLANK</v>
      </c>
    </row>
    <row r="2948" spans="2:7">
      <c r="B2948" s="821" t="str">
        <f>+'4K'!AW9</f>
        <v>WWS1003SDT</v>
      </c>
      <c r="D2948" s="1882"/>
      <c r="E2948" s="1628" t="s">
        <v>8339</v>
      </c>
      <c r="F2948" s="1882"/>
      <c r="G2948" s="1882" t="str">
        <f>IF('4K'!M9="","##BLANK",'4K'!M9)</f>
        <v>##BLANK</v>
      </c>
    </row>
    <row r="2949" spans="2:7">
      <c r="B2949" s="821" t="str">
        <f>+'4K'!AW10</f>
        <v>WWS1004SDT</v>
      </c>
      <c r="D2949" s="1882"/>
      <c r="E2949" s="1628" t="s">
        <v>8339</v>
      </c>
      <c r="F2949" s="1882"/>
      <c r="G2949" s="1882" t="str">
        <f>IF('4K'!M10="","##BLANK",'4K'!M10)</f>
        <v>##BLANK</v>
      </c>
    </row>
    <row r="2950" spans="2:7">
      <c r="B2950" s="821" t="str">
        <f>+'4K'!AW12</f>
        <v>WWS1005SDT</v>
      </c>
      <c r="D2950" s="1882"/>
      <c r="E2950" s="1628" t="s">
        <v>8339</v>
      </c>
      <c r="F2950" s="1882"/>
      <c r="G2950" s="1882" t="str">
        <f>IF('4K'!M12="","##BLANK",'4K'!M12)</f>
        <v>##BLANK</v>
      </c>
    </row>
    <row r="2951" spans="2:7">
      <c r="B2951" s="821" t="str">
        <f>+'4K'!AW13</f>
        <v>WWS1006SDT</v>
      </c>
      <c r="D2951" s="1882"/>
      <c r="E2951" s="1628" t="s">
        <v>8339</v>
      </c>
      <c r="F2951" s="1882"/>
      <c r="G2951" s="1882" t="str">
        <f>IF('4K'!M13="","##BLANK",'4K'!M13)</f>
        <v>##BLANK</v>
      </c>
    </row>
    <row r="2952" spans="2:7">
      <c r="B2952" s="821" t="str">
        <f>+'4K'!AW14</f>
        <v>WWS1007SDT</v>
      </c>
      <c r="D2952" s="1882"/>
      <c r="E2952" s="1628" t="s">
        <v>8339</v>
      </c>
      <c r="F2952" s="1882"/>
      <c r="G2952" s="1882" t="str">
        <f>IF('4K'!M14="","##BLANK",'4K'!M14)</f>
        <v>##BLANK</v>
      </c>
    </row>
    <row r="2953" spans="2:7">
      <c r="B2953" s="821" t="str">
        <f>+'4K'!AW15</f>
        <v>WWS1008SDT</v>
      </c>
      <c r="D2953" s="1882"/>
      <c r="E2953" s="1628" t="s">
        <v>8339</v>
      </c>
      <c r="F2953" s="1882"/>
      <c r="G2953" s="1882" t="str">
        <f>IF('4K'!M15="","##BLANK",'4K'!M15)</f>
        <v>##BLANK</v>
      </c>
    </row>
    <row r="2954" spans="2:7">
      <c r="B2954" s="821" t="str">
        <f>+'4K'!AW16</f>
        <v>WWS1009SDT</v>
      </c>
      <c r="D2954" s="1882"/>
      <c r="E2954" s="1628" t="s">
        <v>8339</v>
      </c>
      <c r="F2954" s="1882"/>
      <c r="G2954" s="1882">
        <f>IF('4K'!M16="","##BLANK",'4K'!M16)</f>
        <v>0</v>
      </c>
    </row>
    <row r="2955" spans="2:7">
      <c r="B2955" s="821" t="str">
        <f>+'4K'!AW18</f>
        <v>WWS1010SDT</v>
      </c>
      <c r="D2955" s="1882"/>
      <c r="E2955" s="1628" t="s">
        <v>8339</v>
      </c>
      <c r="F2955" s="1882"/>
      <c r="G2955" s="1882" t="str">
        <f>IF('4K'!M18="","##BLANK",'4K'!M18)</f>
        <v>##BLANK</v>
      </c>
    </row>
    <row r="2956" spans="2:7">
      <c r="B2956" s="821" t="str">
        <f>+'4K'!AW19</f>
        <v>WWS1011SDT</v>
      </c>
      <c r="D2956" s="1882"/>
      <c r="E2956" s="1628" t="s">
        <v>8339</v>
      </c>
      <c r="F2956" s="1882"/>
      <c r="G2956" s="1882">
        <f>IF('4K'!M19="","##BLANK",'4K'!M19)</f>
        <v>0</v>
      </c>
    </row>
    <row r="2957" spans="2:7">
      <c r="B2957" s="821" t="str">
        <f>+'4K'!AW22</f>
        <v>WWS1012SDT</v>
      </c>
      <c r="D2957" s="1882"/>
      <c r="E2957" s="1628" t="s">
        <v>8339</v>
      </c>
      <c r="F2957" s="1882"/>
      <c r="G2957" s="1882" t="str">
        <f>IF('4K'!M22="","##BLANK",'4K'!M22)</f>
        <v>##BLANK</v>
      </c>
    </row>
    <row r="2958" spans="2:7">
      <c r="B2958" s="821" t="str">
        <f>+'4K'!AW23</f>
        <v>WWS1013SDT</v>
      </c>
      <c r="D2958" s="1882"/>
      <c r="E2958" s="1628" t="s">
        <v>8339</v>
      </c>
      <c r="F2958" s="1882"/>
      <c r="G2958" s="1882" t="str">
        <f>IF('4K'!M23="","##BLANK",'4K'!M23)</f>
        <v>##BLANK</v>
      </c>
    </row>
    <row r="2959" spans="2:7">
      <c r="B2959" s="821" t="str">
        <f>+'4K'!AW24</f>
        <v>WWS1014SDT</v>
      </c>
      <c r="D2959" s="1882"/>
      <c r="E2959" s="1628" t="s">
        <v>8339</v>
      </c>
      <c r="F2959" s="1882"/>
      <c r="G2959" s="1882" t="str">
        <f>IF('4K'!M24="","##BLANK",'4K'!M24)</f>
        <v>##BLANK</v>
      </c>
    </row>
    <row r="2960" spans="2:7">
      <c r="B2960" s="821" t="str">
        <f>+'4K'!AW25</f>
        <v>WWS1015SDT</v>
      </c>
      <c r="D2960" s="1882"/>
      <c r="E2960" s="1628" t="s">
        <v>8339</v>
      </c>
      <c r="F2960" s="1882"/>
      <c r="G2960" s="1882" t="str">
        <f>IF('4K'!M25="","##BLANK",'4K'!M25)</f>
        <v>##BLANK</v>
      </c>
    </row>
    <row r="2961" spans="2:7">
      <c r="B2961" s="821" t="str">
        <f>+'4K'!AW26</f>
        <v>WWS1016SDT</v>
      </c>
      <c r="D2961" s="1882"/>
      <c r="E2961" s="1628" t="s">
        <v>8339</v>
      </c>
      <c r="F2961" s="1882"/>
      <c r="G2961" s="1882" t="str">
        <f>IF('4K'!M26="","##BLANK",'4K'!M26)</f>
        <v>##BLANK</v>
      </c>
    </row>
    <row r="2962" spans="2:7">
      <c r="B2962" s="821" t="str">
        <f>+'4K'!AW27</f>
        <v>WWS1017SDT</v>
      </c>
      <c r="D2962" s="1882"/>
      <c r="E2962" s="1628" t="s">
        <v>8339</v>
      </c>
      <c r="F2962" s="1882"/>
      <c r="G2962" s="1882">
        <f>IF('4K'!M27="","##BLANK",'4K'!M27)</f>
        <v>0</v>
      </c>
    </row>
    <row r="2963" spans="2:7">
      <c r="B2963" s="821" t="str">
        <f>+'4K'!AW28</f>
        <v>WWS1018SDT</v>
      </c>
      <c r="D2963" s="1882"/>
      <c r="E2963" s="1628" t="s">
        <v>8339</v>
      </c>
      <c r="F2963" s="1882"/>
      <c r="G2963" s="1882" t="str">
        <f>IF('4K'!M28="","##BLANK",'4K'!M28)</f>
        <v>##BLANK</v>
      </c>
    </row>
    <row r="2964" spans="2:7">
      <c r="B2964" s="821" t="str">
        <f>+'4K'!AW29</f>
        <v>WWS1019SDT</v>
      </c>
      <c r="D2964" s="1882"/>
      <c r="E2964" s="1628" t="s">
        <v>8339</v>
      </c>
      <c r="F2964" s="1882"/>
      <c r="G2964" s="1882">
        <f>IF('4K'!M29="","##BLANK",'4K'!M29)</f>
        <v>0</v>
      </c>
    </row>
    <row r="2965" spans="2:7">
      <c r="B2965" s="821" t="str">
        <f>+'4K'!AW30</f>
        <v>WWS1020SDT</v>
      </c>
      <c r="D2965" s="1882"/>
      <c r="E2965" s="1628" t="s">
        <v>8339</v>
      </c>
      <c r="F2965" s="1882"/>
      <c r="G2965" s="1882" t="str">
        <f>IF('4K'!M30="","##BLANK",'4K'!M30)</f>
        <v>##BLANK</v>
      </c>
    </row>
    <row r="2966" spans="2:7">
      <c r="B2966" s="821" t="str">
        <f>+'4K'!AW31</f>
        <v>WWS1021SDT</v>
      </c>
      <c r="D2966" s="1882"/>
      <c r="E2966" s="1628" t="s">
        <v>8339</v>
      </c>
      <c r="F2966" s="1882"/>
      <c r="G2966" s="1882">
        <f>IF('4K'!M31="","##BLANK",'4K'!M31)</f>
        <v>0</v>
      </c>
    </row>
    <row r="2967" spans="2:7">
      <c r="B2967" s="821" t="str">
        <f>+'4K'!AW34</f>
        <v>WWS1022SDT</v>
      </c>
      <c r="D2967" s="1882"/>
      <c r="E2967" s="1628" t="s">
        <v>8339</v>
      </c>
      <c r="F2967" s="1882"/>
      <c r="G2967" s="1882" t="str">
        <f>IF('4K'!M34="","##BLANK",'4K'!M34)</f>
        <v>##BLANK</v>
      </c>
    </row>
    <row r="2968" spans="2:7">
      <c r="B2968" s="821" t="str">
        <f>+'4K'!AW35</f>
        <v>WWS1023SDT</v>
      </c>
      <c r="D2968" s="1882"/>
      <c r="E2968" s="1628" t="s">
        <v>8339</v>
      </c>
      <c r="F2968" s="1882"/>
      <c r="G2968" s="1882" t="str">
        <f>IF('4K'!M35="","##BLANK",'4K'!M35)</f>
        <v>##BLANK</v>
      </c>
    </row>
    <row r="2969" spans="2:7">
      <c r="B2969" s="821" t="str">
        <f>+'4K'!AW36</f>
        <v>WWS1024SDT</v>
      </c>
      <c r="D2969" s="1882"/>
      <c r="E2969" s="1628" t="s">
        <v>8339</v>
      </c>
      <c r="F2969" s="1882"/>
      <c r="G2969" s="1882">
        <f>IF('4K'!M36="","##BLANK",'4K'!M36)</f>
        <v>0</v>
      </c>
    </row>
    <row r="2970" spans="2:7">
      <c r="B2970" s="821" t="str">
        <f>+'4K'!AW39</f>
        <v>BP3357001SDT</v>
      </c>
      <c r="D2970" s="1882"/>
      <c r="E2970" s="1628" t="s">
        <v>8339</v>
      </c>
      <c r="F2970" s="1882" t="str">
        <f>+'4K'!C$39</f>
        <v>Item 1</v>
      </c>
      <c r="G2970" s="1882" t="str">
        <f>IF('4K'!M39="","##BLANK",'4K'!M39)</f>
        <v>##BLANK</v>
      </c>
    </row>
    <row r="2971" spans="2:7">
      <c r="B2971" s="821" t="str">
        <f>+'4K'!AW40</f>
        <v>BP3357002SDT</v>
      </c>
      <c r="D2971" s="1882"/>
      <c r="E2971" s="1628" t="s">
        <v>8339</v>
      </c>
      <c r="F2971" s="1882" t="str">
        <f>+'4K'!C$40</f>
        <v>Item 2</v>
      </c>
      <c r="G2971" s="1882" t="str">
        <f>IF('4K'!M40="","##BLANK",'4K'!M40)</f>
        <v>##BLANK</v>
      </c>
    </row>
    <row r="2972" spans="2:7">
      <c r="B2972" s="821" t="str">
        <f>+'4K'!AW41</f>
        <v>BP3357003SDT</v>
      </c>
      <c r="D2972" s="1882"/>
      <c r="E2972" s="1628" t="s">
        <v>8339</v>
      </c>
      <c r="F2972" s="1882" t="str">
        <f>+'4K'!C$41</f>
        <v>Item 3</v>
      </c>
      <c r="G2972" s="1882" t="str">
        <f>IF('4K'!M41="","##BLANK",'4K'!M41)</f>
        <v>##BLANK</v>
      </c>
    </row>
    <row r="2973" spans="2:7">
      <c r="B2973" s="821" t="str">
        <f>+'4K'!AW42</f>
        <v>BP3357004SDT</v>
      </c>
      <c r="D2973" s="1882"/>
      <c r="E2973" s="1628" t="s">
        <v>8339</v>
      </c>
      <c r="F2973" s="1882" t="str">
        <f>+'4K'!C$42</f>
        <v>Item 4</v>
      </c>
      <c r="G2973" s="1882" t="str">
        <f>IF('4K'!M42="","##BLANK",'4K'!M42)</f>
        <v>##BLANK</v>
      </c>
    </row>
    <row r="2974" spans="2:7">
      <c r="B2974" s="821" t="str">
        <f>+'4K'!AW43</f>
        <v>BP3357005SDT</v>
      </c>
      <c r="D2974" s="1882"/>
      <c r="E2974" s="1628" t="s">
        <v>8339</v>
      </c>
      <c r="F2974" s="1882" t="str">
        <f>+'4K'!C$43</f>
        <v>Item 5</v>
      </c>
      <c r="G2974" s="1882" t="str">
        <f>IF('4K'!M43="","##BLANK",'4K'!M43)</f>
        <v>##BLANK</v>
      </c>
    </row>
    <row r="2975" spans="2:7">
      <c r="B2975" s="821" t="str">
        <f>+'4K'!AW44</f>
        <v>BP3357006SDT</v>
      </c>
      <c r="D2975" s="1882"/>
      <c r="E2975" s="1628" t="s">
        <v>8339</v>
      </c>
      <c r="F2975" s="1882" t="str">
        <f>+'4K'!C$44</f>
        <v>Item 6</v>
      </c>
      <c r="G2975" s="1882" t="str">
        <f>IF('4K'!M44="","##BLANK",'4K'!M44)</f>
        <v>##BLANK</v>
      </c>
    </row>
    <row r="2976" spans="2:7">
      <c r="B2976" s="821" t="str">
        <f>+'4K'!AW45</f>
        <v>BP3357007SDT</v>
      </c>
      <c r="D2976" s="1882"/>
      <c r="E2976" s="1628" t="s">
        <v>8339</v>
      </c>
      <c r="F2976" s="1882" t="str">
        <f>+'4K'!C$45</f>
        <v>Item 7</v>
      </c>
      <c r="G2976" s="1882" t="str">
        <f>IF('4K'!M45="","##BLANK",'4K'!M45)</f>
        <v>##BLANK</v>
      </c>
    </row>
    <row r="2977" spans="2:7">
      <c r="B2977" s="821" t="str">
        <f>+'4K'!AW46</f>
        <v>BP3357008SDT</v>
      </c>
      <c r="D2977" s="1882"/>
      <c r="E2977" s="1628" t="s">
        <v>8339</v>
      </c>
      <c r="F2977" s="1882" t="str">
        <f>+'4K'!C$46</f>
        <v>Item 8</v>
      </c>
      <c r="G2977" s="1882" t="str">
        <f>IF('4K'!M46="","##BLANK",'4K'!M46)</f>
        <v>##BLANK</v>
      </c>
    </row>
    <row r="2978" spans="2:7">
      <c r="B2978" s="821" t="str">
        <f>+'4K'!AW47</f>
        <v>BP3357009SDT</v>
      </c>
      <c r="D2978" s="1882"/>
      <c r="E2978" s="1628" t="s">
        <v>8339</v>
      </c>
      <c r="F2978" s="1882" t="str">
        <f>+'4K'!C$47</f>
        <v>Item 9</v>
      </c>
      <c r="G2978" s="1882" t="str">
        <f>IF('4K'!M47="","##BLANK",'4K'!M47)</f>
        <v>##BLANK</v>
      </c>
    </row>
    <row r="2979" spans="2:7">
      <c r="B2979" s="821" t="str">
        <f>+'4K'!AW48</f>
        <v>BP3357010SDT</v>
      </c>
      <c r="D2979" s="1882"/>
      <c r="E2979" s="1628" t="s">
        <v>8339</v>
      </c>
      <c r="F2979" s="1882" t="str">
        <f>+'4K'!C$48</f>
        <v>Item 10</v>
      </c>
      <c r="G2979" s="1882" t="str">
        <f>IF('4K'!M48="","##BLANK",'4K'!M48)</f>
        <v>##BLANK</v>
      </c>
    </row>
    <row r="2980" spans="2:7">
      <c r="B2980" s="821" t="str">
        <f>+'4K'!AW49</f>
        <v>BP3357020SDT</v>
      </c>
      <c r="D2980" s="1882"/>
      <c r="E2980" s="1628" t="s">
        <v>8339</v>
      </c>
      <c r="F2980" s="1882"/>
      <c r="G2980" s="1882">
        <f>IF('4K'!M49="","##BLANK",'4K'!M49)</f>
        <v>0</v>
      </c>
    </row>
    <row r="2981" spans="2:7">
      <c r="B2981" s="821" t="str">
        <f>+'4K'!AW52</f>
        <v>S3040TCASDT</v>
      </c>
      <c r="D2981" s="1882"/>
      <c r="E2981" s="1628" t="s">
        <v>8339</v>
      </c>
      <c r="F2981" s="1882"/>
      <c r="G2981" s="1882">
        <f>IF('4K'!M52="","##BLANK",'4K'!M52)</f>
        <v>0</v>
      </c>
    </row>
    <row r="2982" spans="2:7">
      <c r="B2982" s="821" t="str">
        <f>+'4K'!AX7</f>
        <v>WWS1001SDD</v>
      </c>
      <c r="D2982" s="1882"/>
      <c r="E2982" s="1628" t="s">
        <v>8339</v>
      </c>
      <c r="F2982" s="1882"/>
      <c r="G2982" s="1882" t="str">
        <f>IF('4K'!N7="","##BLANK",'4K'!N7)</f>
        <v>##BLANK</v>
      </c>
    </row>
    <row r="2983" spans="2:7">
      <c r="B2983" s="821" t="str">
        <f>+'4K'!AX8</f>
        <v>WWS1002SDD</v>
      </c>
      <c r="D2983" s="1882"/>
      <c r="E2983" s="1628" t="s">
        <v>8339</v>
      </c>
      <c r="F2983" s="1882"/>
      <c r="G2983" s="1882" t="str">
        <f>IF('4K'!N8="","##BLANK",'4K'!N8)</f>
        <v>##BLANK</v>
      </c>
    </row>
    <row r="2984" spans="2:7">
      <c r="B2984" s="821" t="str">
        <f>+'4K'!AX9</f>
        <v>WWS1003SDD</v>
      </c>
      <c r="D2984" s="1882"/>
      <c r="E2984" s="1628" t="s">
        <v>8339</v>
      </c>
      <c r="F2984" s="1882"/>
      <c r="G2984" s="1882" t="str">
        <f>IF('4K'!N9="","##BLANK",'4K'!N9)</f>
        <v>##BLANK</v>
      </c>
    </row>
    <row r="2985" spans="2:7">
      <c r="B2985" s="821" t="str">
        <f>+'4K'!AX10</f>
        <v>WWS1004SDD</v>
      </c>
      <c r="D2985" s="1882"/>
      <c r="E2985" s="1628" t="s">
        <v>8339</v>
      </c>
      <c r="F2985" s="1882"/>
      <c r="G2985" s="1882" t="str">
        <f>IF('4K'!N10="","##BLANK",'4K'!N10)</f>
        <v>##BLANK</v>
      </c>
    </row>
    <row r="2986" spans="2:7">
      <c r="B2986" s="821" t="str">
        <f>+'4K'!AX12</f>
        <v>WWS1005SDD</v>
      </c>
      <c r="D2986" s="1882"/>
      <c r="E2986" s="1628" t="s">
        <v>8339</v>
      </c>
      <c r="F2986" s="1882"/>
      <c r="G2986" s="1882" t="str">
        <f>IF('4K'!N12="","##BLANK",'4K'!N12)</f>
        <v>##BLANK</v>
      </c>
    </row>
    <row r="2987" spans="2:7">
      <c r="B2987" s="821" t="str">
        <f>+'4K'!AX13</f>
        <v>WWS1006SDD</v>
      </c>
      <c r="D2987" s="1882"/>
      <c r="E2987" s="1628" t="s">
        <v>8339</v>
      </c>
      <c r="F2987" s="1882"/>
      <c r="G2987" s="1882" t="str">
        <f>IF('4K'!N13="","##BLANK",'4K'!N13)</f>
        <v>##BLANK</v>
      </c>
    </row>
    <row r="2988" spans="2:7">
      <c r="B2988" s="821" t="str">
        <f>+'4K'!AX14</f>
        <v>WWS1007SDD</v>
      </c>
      <c r="D2988" s="1882"/>
      <c r="E2988" s="1628" t="s">
        <v>8339</v>
      </c>
      <c r="F2988" s="1882"/>
      <c r="G2988" s="1882" t="str">
        <f>IF('4K'!N14="","##BLANK",'4K'!N14)</f>
        <v>##BLANK</v>
      </c>
    </row>
    <row r="2989" spans="2:7">
      <c r="B2989" s="821" t="str">
        <f>+'4K'!AX15</f>
        <v>WWS1008SDD</v>
      </c>
      <c r="D2989" s="1882"/>
      <c r="E2989" s="1628" t="s">
        <v>8339</v>
      </c>
      <c r="F2989" s="1882"/>
      <c r="G2989" s="1882" t="str">
        <f>IF('4K'!N15="","##BLANK",'4K'!N15)</f>
        <v>##BLANK</v>
      </c>
    </row>
    <row r="2990" spans="2:7">
      <c r="B2990" s="821" t="str">
        <f>+'4K'!AX16</f>
        <v>WWS1009SDD</v>
      </c>
      <c r="D2990" s="1882"/>
      <c r="E2990" s="1628" t="s">
        <v>8339</v>
      </c>
      <c r="F2990" s="1882"/>
      <c r="G2990" s="1882">
        <f>IF('4K'!N16="","##BLANK",'4K'!N16)</f>
        <v>0</v>
      </c>
    </row>
    <row r="2991" spans="2:7">
      <c r="B2991" s="821" t="str">
        <f>+'4K'!AX18</f>
        <v>WWS1010SDD</v>
      </c>
      <c r="D2991" s="1882"/>
      <c r="E2991" s="1628" t="s">
        <v>8339</v>
      </c>
      <c r="F2991" s="1882"/>
      <c r="G2991" s="1882" t="str">
        <f>IF('4K'!N18="","##BLANK",'4K'!N18)</f>
        <v>##BLANK</v>
      </c>
    </row>
    <row r="2992" spans="2:7">
      <c r="B2992" s="821" t="str">
        <f>+'4K'!AX19</f>
        <v>WWS1011SDD</v>
      </c>
      <c r="D2992" s="1882"/>
      <c r="E2992" s="1628" t="s">
        <v>8339</v>
      </c>
      <c r="F2992" s="1882"/>
      <c r="G2992" s="1882">
        <f>IF('4K'!N19="","##BLANK",'4K'!N19)</f>
        <v>0</v>
      </c>
    </row>
    <row r="2993" spans="2:7">
      <c r="B2993" s="821" t="str">
        <f>+'4K'!AX22</f>
        <v>WWS1012SDD</v>
      </c>
      <c r="D2993" s="1882"/>
      <c r="E2993" s="1628" t="s">
        <v>8339</v>
      </c>
      <c r="F2993" s="1882"/>
      <c r="G2993" s="1882" t="str">
        <f>IF('4K'!N22="","##BLANK",'4K'!N22)</f>
        <v>##BLANK</v>
      </c>
    </row>
    <row r="2994" spans="2:7">
      <c r="B2994" s="821" t="str">
        <f>+'4K'!AX23</f>
        <v>WWS1013SDD</v>
      </c>
      <c r="D2994" s="1882"/>
      <c r="E2994" s="1628" t="s">
        <v>8339</v>
      </c>
      <c r="F2994" s="1882"/>
      <c r="G2994" s="1882" t="str">
        <f>IF('4K'!N23="","##BLANK",'4K'!N23)</f>
        <v>##BLANK</v>
      </c>
    </row>
    <row r="2995" spans="2:7">
      <c r="B2995" s="821" t="str">
        <f>+'4K'!AX24</f>
        <v>WWS1014SDD</v>
      </c>
      <c r="D2995" s="1882"/>
      <c r="E2995" s="1628" t="s">
        <v>8339</v>
      </c>
      <c r="F2995" s="1882"/>
      <c r="G2995" s="1882" t="str">
        <f>IF('4K'!N24="","##BLANK",'4K'!N24)</f>
        <v>##BLANK</v>
      </c>
    </row>
    <row r="2996" spans="2:7">
      <c r="B2996" s="821" t="str">
        <f>+'4K'!AX25</f>
        <v>WWS1015SDD</v>
      </c>
      <c r="D2996" s="1882"/>
      <c r="E2996" s="1628" t="s">
        <v>8339</v>
      </c>
      <c r="F2996" s="1882"/>
      <c r="G2996" s="1882" t="str">
        <f>IF('4K'!N25="","##BLANK",'4K'!N25)</f>
        <v>##BLANK</v>
      </c>
    </row>
    <row r="2997" spans="2:7">
      <c r="B2997" s="821" t="str">
        <f>+'4K'!AX26</f>
        <v>WWS1016SDD</v>
      </c>
      <c r="D2997" s="1882"/>
      <c r="E2997" s="1628" t="s">
        <v>8339</v>
      </c>
      <c r="F2997" s="1882"/>
      <c r="G2997" s="1882" t="str">
        <f>IF('4K'!N26="","##BLANK",'4K'!N26)</f>
        <v>##BLANK</v>
      </c>
    </row>
    <row r="2998" spans="2:7">
      <c r="B2998" s="821" t="str">
        <f>+'4K'!AX27</f>
        <v>WWS1017SDD</v>
      </c>
      <c r="D2998" s="1882"/>
      <c r="E2998" s="1628" t="s">
        <v>8339</v>
      </c>
      <c r="F2998" s="1882"/>
      <c r="G2998" s="1882">
        <f>IF('4K'!N27="","##BLANK",'4K'!N27)</f>
        <v>0</v>
      </c>
    </row>
    <row r="2999" spans="2:7">
      <c r="B2999" s="821" t="str">
        <f>+'4K'!AX28</f>
        <v>WWS1018SDD</v>
      </c>
      <c r="D2999" s="1882"/>
      <c r="E2999" s="1628" t="s">
        <v>8339</v>
      </c>
      <c r="F2999" s="1882"/>
      <c r="G2999" s="1882" t="str">
        <f>IF('4K'!N28="","##BLANK",'4K'!N28)</f>
        <v>##BLANK</v>
      </c>
    </row>
    <row r="3000" spans="2:7">
      <c r="B3000" s="821" t="str">
        <f>+'4K'!AX29</f>
        <v>WWS1019SDD</v>
      </c>
      <c r="D3000" s="1882"/>
      <c r="E3000" s="1628" t="s">
        <v>8339</v>
      </c>
      <c r="F3000" s="1882"/>
      <c r="G3000" s="1882">
        <f>IF('4K'!N29="","##BLANK",'4K'!N29)</f>
        <v>0</v>
      </c>
    </row>
    <row r="3001" spans="2:7">
      <c r="B3001" s="821" t="str">
        <f>+'4K'!AX30</f>
        <v>WWS1020SDD</v>
      </c>
      <c r="D3001" s="1882"/>
      <c r="E3001" s="1628" t="s">
        <v>8339</v>
      </c>
      <c r="F3001" s="1882"/>
      <c r="G3001" s="1882" t="str">
        <f>IF('4K'!N30="","##BLANK",'4K'!N30)</f>
        <v>##BLANK</v>
      </c>
    </row>
    <row r="3002" spans="2:7">
      <c r="B3002" s="821" t="str">
        <f>+'4K'!AX31</f>
        <v>WWS1021SDD</v>
      </c>
      <c r="D3002" s="1882"/>
      <c r="E3002" s="1628" t="s">
        <v>8339</v>
      </c>
      <c r="F3002" s="1882"/>
      <c r="G3002" s="1882">
        <f>IF('4K'!N31="","##BLANK",'4K'!N31)</f>
        <v>0</v>
      </c>
    </row>
    <row r="3003" spans="2:7">
      <c r="B3003" s="821" t="str">
        <f>+'4K'!AX34</f>
        <v>WWS1022SDD</v>
      </c>
      <c r="D3003" s="1882"/>
      <c r="E3003" s="1628" t="s">
        <v>8339</v>
      </c>
      <c r="F3003" s="1882"/>
      <c r="G3003" s="1882" t="str">
        <f>IF('4K'!N34="","##BLANK",'4K'!N34)</f>
        <v>##BLANK</v>
      </c>
    </row>
    <row r="3004" spans="2:7">
      <c r="B3004" s="821" t="str">
        <f>+'4K'!AX35</f>
        <v>WWS1023SDD</v>
      </c>
      <c r="D3004" s="1882"/>
      <c r="E3004" s="1628" t="s">
        <v>8339</v>
      </c>
      <c r="F3004" s="1882"/>
      <c r="G3004" s="1882" t="str">
        <f>IF('4K'!N35="","##BLANK",'4K'!N35)</f>
        <v>##BLANK</v>
      </c>
    </row>
    <row r="3005" spans="2:7">
      <c r="B3005" s="821" t="str">
        <f>+'4K'!AX36</f>
        <v>WWS1024SDD</v>
      </c>
      <c r="D3005" s="1882"/>
      <c r="E3005" s="1628" t="s">
        <v>8339</v>
      </c>
      <c r="F3005" s="1882"/>
      <c r="G3005" s="1882">
        <f>IF('4K'!N36="","##BLANK",'4K'!N36)</f>
        <v>0</v>
      </c>
    </row>
    <row r="3006" spans="2:7">
      <c r="B3006" s="821" t="str">
        <f>+'4K'!AX39</f>
        <v>BP3357001SDD</v>
      </c>
      <c r="D3006" s="1882"/>
      <c r="E3006" s="1628" t="s">
        <v>8339</v>
      </c>
      <c r="F3006" s="1882" t="str">
        <f>+'4K'!C$39</f>
        <v>Item 1</v>
      </c>
      <c r="G3006" s="1882" t="str">
        <f>IF('4K'!N39="","##BLANK",'4K'!N39)</f>
        <v>##BLANK</v>
      </c>
    </row>
    <row r="3007" spans="2:7">
      <c r="B3007" s="821" t="str">
        <f>+'4K'!AX40</f>
        <v>BP3357002SDD</v>
      </c>
      <c r="D3007" s="1882"/>
      <c r="E3007" s="1628" t="s">
        <v>8339</v>
      </c>
      <c r="F3007" s="1882" t="str">
        <f>+'4K'!C$40</f>
        <v>Item 2</v>
      </c>
      <c r="G3007" s="1882" t="str">
        <f>IF('4K'!N40="","##BLANK",'4K'!N40)</f>
        <v>##BLANK</v>
      </c>
    </row>
    <row r="3008" spans="2:7">
      <c r="B3008" s="821" t="str">
        <f>+'4K'!AX41</f>
        <v>BP3357003SDD</v>
      </c>
      <c r="D3008" s="1882"/>
      <c r="E3008" s="1628" t="s">
        <v>8339</v>
      </c>
      <c r="F3008" s="1882" t="str">
        <f>+'4K'!C$41</f>
        <v>Item 3</v>
      </c>
      <c r="G3008" s="1882" t="str">
        <f>IF('4K'!N41="","##BLANK",'4K'!N41)</f>
        <v>##BLANK</v>
      </c>
    </row>
    <row r="3009" spans="2:7">
      <c r="B3009" s="821" t="str">
        <f>+'4K'!AX42</f>
        <v>BP3357004SDD</v>
      </c>
      <c r="D3009" s="1882"/>
      <c r="E3009" s="1628" t="s">
        <v>8339</v>
      </c>
      <c r="F3009" s="1882" t="str">
        <f>+'4K'!C$42</f>
        <v>Item 4</v>
      </c>
      <c r="G3009" s="1882" t="str">
        <f>IF('4K'!N42="","##BLANK",'4K'!N42)</f>
        <v>##BLANK</v>
      </c>
    </row>
    <row r="3010" spans="2:7">
      <c r="B3010" s="821" t="str">
        <f>+'4K'!AX43</f>
        <v>BP3357005SDD</v>
      </c>
      <c r="D3010" s="1882"/>
      <c r="E3010" s="1628" t="s">
        <v>8339</v>
      </c>
      <c r="F3010" s="1882" t="str">
        <f>+'4K'!C$43</f>
        <v>Item 5</v>
      </c>
      <c r="G3010" s="1882" t="str">
        <f>IF('4K'!N43="","##BLANK",'4K'!N43)</f>
        <v>##BLANK</v>
      </c>
    </row>
    <row r="3011" spans="2:7">
      <c r="B3011" s="821" t="str">
        <f>+'4K'!AX44</f>
        <v>BP3357006SDD</v>
      </c>
      <c r="D3011" s="1882"/>
      <c r="E3011" s="1628" t="s">
        <v>8339</v>
      </c>
      <c r="F3011" s="1882" t="str">
        <f>+'4K'!C$44</f>
        <v>Item 6</v>
      </c>
      <c r="G3011" s="1882" t="str">
        <f>IF('4K'!N44="","##BLANK",'4K'!N44)</f>
        <v>##BLANK</v>
      </c>
    </row>
    <row r="3012" spans="2:7">
      <c r="B3012" s="821" t="str">
        <f>+'4K'!AX45</f>
        <v>BP3357007SDD</v>
      </c>
      <c r="D3012" s="1882"/>
      <c r="E3012" s="1628" t="s">
        <v>8339</v>
      </c>
      <c r="F3012" s="1882" t="str">
        <f>+'4K'!C$45</f>
        <v>Item 7</v>
      </c>
      <c r="G3012" s="1882" t="str">
        <f>IF('4K'!N45="","##BLANK",'4K'!N45)</f>
        <v>##BLANK</v>
      </c>
    </row>
    <row r="3013" spans="2:7">
      <c r="B3013" s="821" t="str">
        <f>+'4K'!AX46</f>
        <v>BP3357008SDD</v>
      </c>
      <c r="D3013" s="1882"/>
      <c r="E3013" s="1628" t="s">
        <v>8339</v>
      </c>
      <c r="F3013" s="1882" t="str">
        <f>+'4K'!C$46</f>
        <v>Item 8</v>
      </c>
      <c r="G3013" s="1882" t="str">
        <f>IF('4K'!N46="","##BLANK",'4K'!N46)</f>
        <v>##BLANK</v>
      </c>
    </row>
    <row r="3014" spans="2:7">
      <c r="B3014" s="821" t="str">
        <f>+'4K'!AX47</f>
        <v>BP3357009SDD</v>
      </c>
      <c r="D3014" s="1882"/>
      <c r="E3014" s="1628" t="s">
        <v>8339</v>
      </c>
      <c r="F3014" s="1882" t="str">
        <f>+'4K'!C$47</f>
        <v>Item 9</v>
      </c>
      <c r="G3014" s="1882" t="str">
        <f>IF('4K'!N47="","##BLANK",'4K'!N47)</f>
        <v>##BLANK</v>
      </c>
    </row>
    <row r="3015" spans="2:7">
      <c r="B3015" s="821" t="str">
        <f>+'4K'!AX48</f>
        <v>BP3357010SDD</v>
      </c>
      <c r="D3015" s="1882"/>
      <c r="E3015" s="1628" t="s">
        <v>8339</v>
      </c>
      <c r="F3015" s="1882" t="str">
        <f>+'4K'!C$48</f>
        <v>Item 10</v>
      </c>
      <c r="G3015" s="1882" t="str">
        <f>IF('4K'!N48="","##BLANK",'4K'!N48)</f>
        <v>##BLANK</v>
      </c>
    </row>
    <row r="3016" spans="2:7">
      <c r="B3016" s="821" t="str">
        <f>+'4K'!AX49</f>
        <v>BP3357020SDD</v>
      </c>
      <c r="D3016" s="1882"/>
      <c r="E3016" s="1628" t="s">
        <v>8339</v>
      </c>
      <c r="F3016" s="1882"/>
      <c r="G3016" s="1882">
        <f>IF('4K'!N49="","##BLANK",'4K'!N49)</f>
        <v>0</v>
      </c>
    </row>
    <row r="3017" spans="2:7">
      <c r="B3017" s="821" t="str">
        <f>+'4K'!AX52</f>
        <v>S3040TCASDD</v>
      </c>
      <c r="D3017" s="1882"/>
      <c r="E3017" s="1628" t="s">
        <v>8339</v>
      </c>
      <c r="F3017" s="1882"/>
      <c r="G3017" s="1882">
        <f>IF('4K'!N52="","##BLANK",'4K'!N52)</f>
        <v>0</v>
      </c>
    </row>
    <row r="3018" spans="2:7">
      <c r="B3018" s="821" t="str">
        <f>+'4K'!AY7</f>
        <v>WWS1001CAS</v>
      </c>
      <c r="D3018" s="1882"/>
      <c r="E3018" s="1628" t="s">
        <v>8339</v>
      </c>
      <c r="F3018" s="1882"/>
      <c r="G3018" s="1882">
        <f>IF('4K'!O7="","##BLANK",'4K'!O7)</f>
        <v>0</v>
      </c>
    </row>
    <row r="3019" spans="2:7">
      <c r="B3019" s="821" t="str">
        <f>+'4K'!AY8</f>
        <v>WWS1002CAS</v>
      </c>
      <c r="D3019" s="1882"/>
      <c r="E3019" s="1628" t="s">
        <v>8339</v>
      </c>
      <c r="F3019" s="1882"/>
      <c r="G3019" s="1882">
        <f>IF('4K'!O8="","##BLANK",'4K'!O8)</f>
        <v>0</v>
      </c>
    </row>
    <row r="3020" spans="2:7">
      <c r="B3020" s="821" t="str">
        <f>+'4K'!AY9</f>
        <v>WWS1003CAS</v>
      </c>
      <c r="D3020" s="1882"/>
      <c r="E3020" s="1628" t="s">
        <v>8339</v>
      </c>
      <c r="F3020" s="1882"/>
      <c r="G3020" s="1882">
        <f>IF('4K'!O9="","##BLANK",'4K'!O9)</f>
        <v>0</v>
      </c>
    </row>
    <row r="3021" spans="2:7">
      <c r="B3021" s="821" t="str">
        <f>+'4K'!AY10</f>
        <v>WWS1004CAS</v>
      </c>
      <c r="D3021" s="1882"/>
      <c r="E3021" s="1628" t="s">
        <v>8339</v>
      </c>
      <c r="F3021" s="1882"/>
      <c r="G3021" s="1882">
        <f>IF('4K'!O10="","##BLANK",'4K'!O10)</f>
        <v>0</v>
      </c>
    </row>
    <row r="3022" spans="2:7">
      <c r="B3022" s="821" t="str">
        <f>+'4K'!AY12</f>
        <v>WWS1005CAS</v>
      </c>
      <c r="D3022" s="1882"/>
      <c r="E3022" s="1628" t="s">
        <v>8339</v>
      </c>
      <c r="F3022" s="1882"/>
      <c r="G3022" s="1882">
        <f>IF('4K'!O12="","##BLANK",'4K'!O12)</f>
        <v>0</v>
      </c>
    </row>
    <row r="3023" spans="2:7">
      <c r="B3023" s="821" t="str">
        <f>+'4K'!AY13</f>
        <v>WWS1006CAS</v>
      </c>
      <c r="D3023" s="1882"/>
      <c r="E3023" s="1628" t="s">
        <v>8339</v>
      </c>
      <c r="F3023" s="1882"/>
      <c r="G3023" s="1882">
        <f>IF('4K'!O13="","##BLANK",'4K'!O13)</f>
        <v>0</v>
      </c>
    </row>
    <row r="3024" spans="2:7">
      <c r="B3024" s="821" t="str">
        <f>+'4K'!AY14</f>
        <v>WWS1007CAS</v>
      </c>
      <c r="D3024" s="1882"/>
      <c r="E3024" s="1628" t="s">
        <v>8339</v>
      </c>
      <c r="F3024" s="1882"/>
      <c r="G3024" s="1882">
        <f>IF('4K'!O14="","##BLANK",'4K'!O14)</f>
        <v>0</v>
      </c>
    </row>
    <row r="3025" spans="2:7">
      <c r="B3025" s="821" t="str">
        <f>+'4K'!AY15</f>
        <v>WWS1008CAS</v>
      </c>
      <c r="D3025" s="1882"/>
      <c r="E3025" s="1628" t="s">
        <v>8339</v>
      </c>
      <c r="F3025" s="1882"/>
      <c r="G3025" s="1882">
        <f>IF('4K'!O15="","##BLANK",'4K'!O15)</f>
        <v>0</v>
      </c>
    </row>
    <row r="3026" spans="2:7">
      <c r="B3026" s="821" t="str">
        <f>+'4K'!AY16</f>
        <v>WWS1009CAS</v>
      </c>
      <c r="D3026" s="1882"/>
      <c r="E3026" s="1628" t="s">
        <v>8339</v>
      </c>
      <c r="F3026" s="1882"/>
      <c r="G3026" s="1882">
        <f>IF('4K'!O16="","##BLANK",'4K'!O16)</f>
        <v>0</v>
      </c>
    </row>
    <row r="3027" spans="2:7">
      <c r="B3027" s="821" t="str">
        <f>+'4K'!AY18</f>
        <v>WWS1010CAS</v>
      </c>
      <c r="D3027" s="1882"/>
      <c r="E3027" s="1628" t="s">
        <v>8339</v>
      </c>
      <c r="F3027" s="1882"/>
      <c r="G3027" s="1882">
        <f>IF('4K'!O18="","##BLANK",'4K'!O18)</f>
        <v>0</v>
      </c>
    </row>
    <row r="3028" spans="2:7">
      <c r="B3028" s="821" t="str">
        <f>+'4K'!AY19</f>
        <v>WWS1011CAS</v>
      </c>
      <c r="D3028" s="1882"/>
      <c r="E3028" s="1628" t="s">
        <v>8339</v>
      </c>
      <c r="F3028" s="1882"/>
      <c r="G3028" s="1882">
        <f>IF('4K'!O19="","##BLANK",'4K'!O19)</f>
        <v>0</v>
      </c>
    </row>
    <row r="3029" spans="2:7">
      <c r="B3029" s="821" t="str">
        <f>+'4K'!AY22</f>
        <v>WWS1012CAS</v>
      </c>
      <c r="D3029" s="1882"/>
      <c r="E3029" s="1628" t="s">
        <v>8339</v>
      </c>
      <c r="F3029" s="1882"/>
      <c r="G3029" s="1882">
        <f>IF('4K'!O22="","##BLANK",'4K'!O22)</f>
        <v>0</v>
      </c>
    </row>
    <row r="3030" spans="2:7">
      <c r="B3030" s="821" t="str">
        <f>+'4K'!AY23</f>
        <v>WWS1013CAS</v>
      </c>
      <c r="D3030" s="1882"/>
      <c r="E3030" s="1628" t="s">
        <v>8339</v>
      </c>
      <c r="F3030" s="1882"/>
      <c r="G3030" s="1882">
        <f>IF('4K'!O23="","##BLANK",'4K'!O23)</f>
        <v>0</v>
      </c>
    </row>
    <row r="3031" spans="2:7">
      <c r="B3031" s="821" t="str">
        <f>+'4K'!AY24</f>
        <v>WWS1014CAS</v>
      </c>
      <c r="D3031" s="1882"/>
      <c r="E3031" s="1628" t="s">
        <v>8339</v>
      </c>
      <c r="F3031" s="1882"/>
      <c r="G3031" s="1882">
        <f>IF('4K'!O24="","##BLANK",'4K'!O24)</f>
        <v>0</v>
      </c>
    </row>
    <row r="3032" spans="2:7">
      <c r="B3032" s="821" t="str">
        <f>+'4K'!AY25</f>
        <v>WWS1015CAS</v>
      </c>
      <c r="D3032" s="1882"/>
      <c r="E3032" s="1628" t="s">
        <v>8339</v>
      </c>
      <c r="F3032" s="1882"/>
      <c r="G3032" s="1882">
        <f>IF('4K'!O25="","##BLANK",'4K'!O25)</f>
        <v>0</v>
      </c>
    </row>
    <row r="3033" spans="2:7">
      <c r="B3033" s="821" t="str">
        <f>+'4K'!AY26</f>
        <v>WWS1016CAS</v>
      </c>
      <c r="D3033" s="1882"/>
      <c r="E3033" s="1628" t="s">
        <v>8339</v>
      </c>
      <c r="F3033" s="1882"/>
      <c r="G3033" s="1882">
        <f>IF('4K'!O26="","##BLANK",'4K'!O26)</f>
        <v>0</v>
      </c>
    </row>
    <row r="3034" spans="2:7">
      <c r="B3034" s="821" t="str">
        <f>+'4K'!AY27</f>
        <v>WWS1017CAS</v>
      </c>
      <c r="D3034" s="1882"/>
      <c r="E3034" s="1628" t="s">
        <v>8339</v>
      </c>
      <c r="F3034" s="1882"/>
      <c r="G3034" s="1882">
        <f>IF('4K'!O27="","##BLANK",'4K'!O27)</f>
        <v>0</v>
      </c>
    </row>
    <row r="3035" spans="2:7">
      <c r="B3035" s="821" t="str">
        <f>+'4K'!AY28</f>
        <v>WWS1018CAS</v>
      </c>
      <c r="D3035" s="1882"/>
      <c r="E3035" s="1628" t="s">
        <v>8339</v>
      </c>
      <c r="F3035" s="1882"/>
      <c r="G3035" s="1882">
        <f>IF('4K'!O28="","##BLANK",'4K'!O28)</f>
        <v>0</v>
      </c>
    </row>
    <row r="3036" spans="2:7">
      <c r="B3036" s="821" t="str">
        <f>+'4K'!AY29</f>
        <v>WWS1019CAS</v>
      </c>
      <c r="D3036" s="1882"/>
      <c r="E3036" s="1628" t="s">
        <v>8339</v>
      </c>
      <c r="F3036" s="1882"/>
      <c r="G3036" s="1882">
        <f>IF('4K'!O29="","##BLANK",'4K'!O29)</f>
        <v>0</v>
      </c>
    </row>
    <row r="3037" spans="2:7">
      <c r="B3037" s="821" t="str">
        <f>+'4K'!AY30</f>
        <v>WWS1020CAS</v>
      </c>
      <c r="D3037" s="1882"/>
      <c r="E3037" s="1628" t="s">
        <v>8339</v>
      </c>
      <c r="F3037" s="1882"/>
      <c r="G3037" s="1882">
        <f>IF('4K'!O30="","##BLANK",'4K'!O30)</f>
        <v>0</v>
      </c>
    </row>
    <row r="3038" spans="2:7">
      <c r="B3038" s="821" t="str">
        <f>+'4K'!AY31</f>
        <v>WWS1021CAS</v>
      </c>
      <c r="D3038" s="1882"/>
      <c r="E3038" s="1628" t="s">
        <v>8339</v>
      </c>
      <c r="F3038" s="1882"/>
      <c r="G3038" s="1882">
        <f>IF('4K'!O31="","##BLANK",'4K'!O31)</f>
        <v>0</v>
      </c>
    </row>
    <row r="3039" spans="2:7">
      <c r="B3039" s="821" t="str">
        <f>+'4K'!AY34</f>
        <v>WWS1022CAS</v>
      </c>
      <c r="D3039" s="1882"/>
      <c r="E3039" s="1628" t="s">
        <v>8339</v>
      </c>
      <c r="F3039" s="1882"/>
      <c r="G3039" s="1882">
        <f>IF('4K'!O34="","##BLANK",'4K'!O34)</f>
        <v>0</v>
      </c>
    </row>
    <row r="3040" spans="2:7">
      <c r="B3040" s="821" t="str">
        <f>+'4K'!AY35</f>
        <v>WWS1023CAS</v>
      </c>
      <c r="D3040" s="1882"/>
      <c r="E3040" s="1628" t="s">
        <v>8339</v>
      </c>
      <c r="F3040" s="1882"/>
      <c r="G3040" s="1882">
        <f>IF('4K'!O35="","##BLANK",'4K'!O35)</f>
        <v>0</v>
      </c>
    </row>
    <row r="3041" spans="2:7">
      <c r="B3041" s="821" t="str">
        <f>+'4K'!AY36</f>
        <v>WWS1024CAS</v>
      </c>
      <c r="D3041" s="1882"/>
      <c r="E3041" s="1628" t="s">
        <v>8339</v>
      </c>
      <c r="F3041" s="1882"/>
      <c r="G3041" s="1882">
        <f>IF('4K'!O36="","##BLANK",'4K'!O36)</f>
        <v>0</v>
      </c>
    </row>
    <row r="3042" spans="2:7">
      <c r="B3042" s="821" t="str">
        <f>+'4K'!AY39</f>
        <v>BP3357001CAS</v>
      </c>
      <c r="D3042" s="1882"/>
      <c r="E3042" s="1628" t="s">
        <v>8339</v>
      </c>
      <c r="F3042" s="1882" t="str">
        <f>+'4K'!C$39</f>
        <v>Item 1</v>
      </c>
      <c r="G3042" s="1882">
        <f>IF('4K'!O39="","##BLANK",'4K'!O39)</f>
        <v>0</v>
      </c>
    </row>
    <row r="3043" spans="2:7">
      <c r="B3043" s="821" t="str">
        <f>+'4K'!AY40</f>
        <v>BP3357002CAS</v>
      </c>
      <c r="D3043" s="1882"/>
      <c r="E3043" s="1628" t="s">
        <v>8339</v>
      </c>
      <c r="F3043" s="1882" t="str">
        <f>+'4K'!C$40</f>
        <v>Item 2</v>
      </c>
      <c r="G3043" s="1882">
        <f>IF('4K'!O40="","##BLANK",'4K'!O40)</f>
        <v>0</v>
      </c>
    </row>
    <row r="3044" spans="2:7">
      <c r="B3044" s="821" t="str">
        <f>+'4K'!AY41</f>
        <v>BP3357003CAS</v>
      </c>
      <c r="D3044" s="1882"/>
      <c r="E3044" s="1628" t="s">
        <v>8339</v>
      </c>
      <c r="F3044" s="1882" t="str">
        <f>+'4K'!C$41</f>
        <v>Item 3</v>
      </c>
      <c r="G3044" s="1882">
        <f>IF('4K'!O41="","##BLANK",'4K'!O41)</f>
        <v>0</v>
      </c>
    </row>
    <row r="3045" spans="2:7">
      <c r="B3045" s="821" t="str">
        <f>+'4K'!AY42</f>
        <v>BP3357004CAS</v>
      </c>
      <c r="D3045" s="1882"/>
      <c r="E3045" s="1628" t="s">
        <v>8339</v>
      </c>
      <c r="F3045" s="1882" t="str">
        <f>+'4K'!C$42</f>
        <v>Item 4</v>
      </c>
      <c r="G3045" s="1882">
        <f>IF('4K'!O42="","##BLANK",'4K'!O42)</f>
        <v>0</v>
      </c>
    </row>
    <row r="3046" spans="2:7">
      <c r="B3046" s="821" t="str">
        <f>+'4K'!AY43</f>
        <v>BP3357005CAS</v>
      </c>
      <c r="D3046" s="1882"/>
      <c r="E3046" s="1628" t="s">
        <v>8339</v>
      </c>
      <c r="F3046" s="1882" t="str">
        <f>+'4K'!C$43</f>
        <v>Item 5</v>
      </c>
      <c r="G3046" s="1882">
        <f>IF('4K'!O43="","##BLANK",'4K'!O43)</f>
        <v>0</v>
      </c>
    </row>
    <row r="3047" spans="2:7">
      <c r="B3047" s="821" t="str">
        <f>+'4K'!AY44</f>
        <v>BP3357006CAS</v>
      </c>
      <c r="D3047" s="1882"/>
      <c r="E3047" s="1628" t="s">
        <v>8339</v>
      </c>
      <c r="F3047" s="1882" t="str">
        <f>+'4K'!C$44</f>
        <v>Item 6</v>
      </c>
      <c r="G3047" s="1882">
        <f>IF('4K'!O44="","##BLANK",'4K'!O44)</f>
        <v>0</v>
      </c>
    </row>
    <row r="3048" spans="2:7">
      <c r="B3048" s="821" t="str">
        <f>+'4K'!AY45</f>
        <v>BP3357007CAS</v>
      </c>
      <c r="D3048" s="1882"/>
      <c r="E3048" s="1628" t="s">
        <v>8339</v>
      </c>
      <c r="F3048" s="1882" t="str">
        <f>+'4K'!C$45</f>
        <v>Item 7</v>
      </c>
      <c r="G3048" s="1882">
        <f>IF('4K'!O45="","##BLANK",'4K'!O45)</f>
        <v>0</v>
      </c>
    </row>
    <row r="3049" spans="2:7">
      <c r="B3049" s="821" t="str">
        <f>+'4K'!AY46</f>
        <v>BP3357008CAS</v>
      </c>
      <c r="D3049" s="1882"/>
      <c r="E3049" s="1628" t="s">
        <v>8339</v>
      </c>
      <c r="F3049" s="1882" t="str">
        <f>+'4K'!C$46</f>
        <v>Item 8</v>
      </c>
      <c r="G3049" s="1882">
        <f>IF('4K'!O46="","##BLANK",'4K'!O46)</f>
        <v>0</v>
      </c>
    </row>
    <row r="3050" spans="2:7">
      <c r="B3050" s="821" t="str">
        <f>+'4K'!AY47</f>
        <v>BP3357009CAS</v>
      </c>
      <c r="D3050" s="1882"/>
      <c r="E3050" s="1628" t="s">
        <v>8339</v>
      </c>
      <c r="F3050" s="1882" t="str">
        <f>+'4K'!C$47</f>
        <v>Item 9</v>
      </c>
      <c r="G3050" s="1882">
        <f>IF('4K'!O47="","##BLANK",'4K'!O47)</f>
        <v>0</v>
      </c>
    </row>
    <row r="3051" spans="2:7">
      <c r="B3051" s="821" t="str">
        <f>+'4K'!AY48</f>
        <v>BP3357010CAS</v>
      </c>
      <c r="D3051" s="1882"/>
      <c r="E3051" s="1628" t="s">
        <v>8339</v>
      </c>
      <c r="F3051" s="1882" t="str">
        <f>+'4K'!C$48</f>
        <v>Item 10</v>
      </c>
      <c r="G3051" s="1882">
        <f>IF('4K'!O48="","##BLANK",'4K'!O48)</f>
        <v>0</v>
      </c>
    </row>
    <row r="3052" spans="2:7">
      <c r="B3052" s="821" t="str">
        <f>+'4K'!AY49</f>
        <v>BP3357020CAS</v>
      </c>
      <c r="D3052" s="1882"/>
      <c r="E3052" s="1628" t="s">
        <v>8339</v>
      </c>
      <c r="F3052" s="1882"/>
      <c r="G3052" s="1882">
        <f>IF('4K'!O49="","##BLANK",'4K'!O49)</f>
        <v>0</v>
      </c>
    </row>
    <row r="3053" spans="2:7">
      <c r="B3053" s="821" t="str">
        <f>+'4K'!AY52</f>
        <v>S3040TCACAS</v>
      </c>
      <c r="D3053" s="1882"/>
      <c r="E3053" s="1628" t="s">
        <v>8339</v>
      </c>
      <c r="F3053" s="1882"/>
      <c r="G3053" s="1882">
        <f>IF('4K'!O52="","##BLANK",'4K'!O52)</f>
        <v>0</v>
      </c>
    </row>
    <row r="3054" spans="2:7">
      <c r="B3054" s="821" t="str">
        <f>+'4L'!BB8</f>
        <v>W3001AL</v>
      </c>
      <c r="D3054" s="1882"/>
      <c r="E3054" s="1628" t="s">
        <v>8339</v>
      </c>
      <c r="F3054" s="1882"/>
      <c r="G3054" s="1882">
        <f>IF('4L'!G8="","##BLANK",'4L'!G8)</f>
        <v>0</v>
      </c>
    </row>
    <row r="3055" spans="2:7">
      <c r="B3055" s="821" t="str">
        <f>+'4L'!BB9</f>
        <v>WS2002AL</v>
      </c>
      <c r="D3055" s="1882"/>
      <c r="E3055" s="1628" t="s">
        <v>8339</v>
      </c>
      <c r="F3055" s="1882"/>
      <c r="G3055" s="1882">
        <f>IF('4L'!G9="","##BLANK",'4L'!G9)</f>
        <v>0</v>
      </c>
    </row>
    <row r="3056" spans="2:7">
      <c r="B3056" s="821" t="str">
        <f>+'4L'!BB10</f>
        <v>WS2003AL</v>
      </c>
      <c r="D3056" s="1882"/>
      <c r="E3056" s="1628" t="s">
        <v>8339</v>
      </c>
      <c r="F3056" s="1882"/>
      <c r="G3056" s="1882">
        <f>IF('4L'!G10="","##BLANK",'4L'!G10)</f>
        <v>0</v>
      </c>
    </row>
    <row r="3057" spans="2:7">
      <c r="B3057" s="821" t="str">
        <f>+'4L'!BB11</f>
        <v>W3002AL</v>
      </c>
      <c r="D3057" s="1882"/>
      <c r="E3057" s="1628" t="s">
        <v>8339</v>
      </c>
      <c r="F3057" s="1882"/>
      <c r="G3057" s="1882">
        <f>IF('4L'!G11="","##BLANK",'4L'!G11)</f>
        <v>0</v>
      </c>
    </row>
    <row r="3058" spans="2:7">
      <c r="B3058" s="821" t="str">
        <f>+'4L'!BB12</f>
        <v>W3003AL</v>
      </c>
      <c r="D3058" s="1882"/>
      <c r="E3058" s="1628" t="s">
        <v>8339</v>
      </c>
      <c r="F3058" s="1882"/>
      <c r="G3058" s="1882">
        <f>IF('4L'!G12="","##BLANK",'4L'!G12)</f>
        <v>0</v>
      </c>
    </row>
    <row r="3059" spans="2:7">
      <c r="B3059" s="821" t="str">
        <f>+'4L'!BB13</f>
        <v>W3006AL</v>
      </c>
      <c r="D3059" s="1882"/>
      <c r="E3059" s="1628" t="s">
        <v>8339</v>
      </c>
      <c r="F3059" s="1882"/>
      <c r="G3059" s="1882">
        <f>IF('4L'!G13="","##BLANK",'4L'!G13)</f>
        <v>0</v>
      </c>
    </row>
    <row r="3060" spans="2:7">
      <c r="B3060" s="821" t="str">
        <f>+'4L'!BB14</f>
        <v>W3007SAL</v>
      </c>
      <c r="D3060" s="1882"/>
      <c r="E3060" s="1628" t="s">
        <v>8339</v>
      </c>
      <c r="F3060" s="1882"/>
      <c r="G3060" s="1882">
        <f>IF('4L'!G14="","##BLANK",'4L'!G14)</f>
        <v>0</v>
      </c>
    </row>
    <row r="3061" spans="2:7">
      <c r="B3061" s="821" t="str">
        <f>+'4L'!BB15</f>
        <v>W3008SAL</v>
      </c>
      <c r="D3061" s="1882"/>
      <c r="E3061" s="1628" t="s">
        <v>8339</v>
      </c>
      <c r="F3061" s="1882"/>
      <c r="G3061" s="1882">
        <f>IF('4L'!G15="","##BLANK",'4L'!G15)</f>
        <v>0</v>
      </c>
    </row>
    <row r="3062" spans="2:7">
      <c r="B3062" s="821" t="str">
        <f>+'4L'!BB16</f>
        <v>W3007DAL</v>
      </c>
      <c r="D3062" s="1882"/>
      <c r="E3062" s="1628" t="s">
        <v>8339</v>
      </c>
      <c r="F3062" s="1882"/>
      <c r="G3062" s="1882">
        <f>IF('4L'!G16="","##BLANK",'4L'!G16)</f>
        <v>0</v>
      </c>
    </row>
    <row r="3063" spans="2:7">
      <c r="B3063" s="821" t="str">
        <f>+'4L'!BB17</f>
        <v>W3008DAL</v>
      </c>
      <c r="D3063" s="1882"/>
      <c r="E3063" s="1628" t="s">
        <v>8339</v>
      </c>
      <c r="F3063" s="1882"/>
      <c r="G3063" s="1882">
        <f>IF('4L'!G17="","##BLANK",'4L'!G17)</f>
        <v>0</v>
      </c>
    </row>
    <row r="3064" spans="2:7">
      <c r="B3064" s="821" t="str">
        <f>+'4L'!BB18</f>
        <v>W3009AL</v>
      </c>
      <c r="D3064" s="1882"/>
      <c r="E3064" s="1628" t="s">
        <v>8339</v>
      </c>
      <c r="F3064" s="1882"/>
      <c r="G3064" s="1882">
        <f>IF('4L'!G18="","##BLANK",'4L'!G18)</f>
        <v>0</v>
      </c>
    </row>
    <row r="3065" spans="2:7">
      <c r="B3065" s="821" t="str">
        <f>+'4L'!BB19</f>
        <v>WS2004AL</v>
      </c>
      <c r="D3065" s="1882"/>
      <c r="E3065" s="1628" t="s">
        <v>8339</v>
      </c>
      <c r="F3065" s="1882"/>
      <c r="G3065" s="1882">
        <f>IF('4L'!G19="","##BLANK",'4L'!G19)</f>
        <v>0</v>
      </c>
    </row>
    <row r="3066" spans="2:7">
      <c r="B3066" s="821" t="str">
        <f>+'4L'!BB20</f>
        <v>W3010AL</v>
      </c>
      <c r="D3066" s="1882"/>
      <c r="E3066" s="1628" t="s">
        <v>8339</v>
      </c>
      <c r="F3066" s="1882"/>
      <c r="G3066" s="1882">
        <f>IF('4L'!G20="","##BLANK",'4L'!G20)</f>
        <v>0</v>
      </c>
    </row>
    <row r="3067" spans="2:7">
      <c r="B3067" s="821" t="str">
        <f>+'4L'!BB21</f>
        <v>W3011AL</v>
      </c>
      <c r="D3067" s="1882"/>
      <c r="E3067" s="1628" t="s">
        <v>8339</v>
      </c>
      <c r="F3067" s="1882"/>
      <c r="G3067" s="1882">
        <f>IF('4L'!G21="","##BLANK",'4L'!G21)</f>
        <v>0</v>
      </c>
    </row>
    <row r="3068" spans="2:7">
      <c r="B3068" s="821" t="str">
        <f>+'4L'!BB22</f>
        <v>W3012AL</v>
      </c>
      <c r="D3068" s="1882"/>
      <c r="E3068" s="1628" t="s">
        <v>8339</v>
      </c>
      <c r="F3068" s="1882"/>
      <c r="G3068" s="1882">
        <f>IF('4L'!G22="","##BLANK",'4L'!G22)</f>
        <v>0</v>
      </c>
    </row>
    <row r="3069" spans="2:7">
      <c r="B3069" s="821" t="str">
        <f>+'4L'!BB23</f>
        <v>WS2006AL</v>
      </c>
      <c r="D3069" s="1882"/>
      <c r="E3069" s="1628" t="s">
        <v>8339</v>
      </c>
      <c r="F3069" s="1882"/>
      <c r="G3069" s="1882">
        <f>IF('4L'!G23="","##BLANK",'4L'!G23)</f>
        <v>0</v>
      </c>
    </row>
    <row r="3070" spans="2:7">
      <c r="B3070" s="821" t="str">
        <f>+'4L'!BB24</f>
        <v>WS2007AL</v>
      </c>
      <c r="D3070" s="1882"/>
      <c r="E3070" s="1628" t="s">
        <v>8339</v>
      </c>
      <c r="F3070" s="1882"/>
      <c r="G3070" s="1882">
        <f>IF('4L'!G24="","##BLANK",'4L'!G24)</f>
        <v>0</v>
      </c>
    </row>
    <row r="3071" spans="2:7">
      <c r="B3071" s="821" t="str">
        <f>+'4L'!BB25</f>
        <v>WS2008AL</v>
      </c>
      <c r="D3071" s="1882"/>
      <c r="E3071" s="1628" t="s">
        <v>8339</v>
      </c>
      <c r="F3071" s="1882"/>
      <c r="G3071" s="1882">
        <f>IF('4L'!G25="","##BLANK",'4L'!G25)</f>
        <v>0</v>
      </c>
    </row>
    <row r="3072" spans="2:7">
      <c r="B3072" s="821" t="str">
        <f>+'4L'!BB26</f>
        <v>W3027AL</v>
      </c>
      <c r="D3072" s="1882"/>
      <c r="E3072" s="1628" t="s">
        <v>8339</v>
      </c>
      <c r="F3072" s="1882"/>
      <c r="G3072" s="1882">
        <f>IF('4L'!G26="","##BLANK",'4L'!G26)</f>
        <v>0</v>
      </c>
    </row>
    <row r="3073" spans="2:7">
      <c r="B3073" s="821" t="str">
        <f>+'4L'!BB27</f>
        <v>W3028OPTAL</v>
      </c>
      <c r="D3073" s="1882"/>
      <c r="E3073" s="1628" t="s">
        <v>8339</v>
      </c>
      <c r="F3073" s="1882"/>
      <c r="G3073" s="1882">
        <f>IF('4L'!G27="","##BLANK",'4L'!G27)</f>
        <v>0</v>
      </c>
    </row>
    <row r="3074" spans="2:7">
      <c r="B3074" s="821" t="str">
        <f>+'4L'!BB28</f>
        <v>W3028COMAL</v>
      </c>
      <c r="D3074" s="1882"/>
      <c r="E3074" s="1628" t="s">
        <v>8339</v>
      </c>
      <c r="F3074" s="1882"/>
      <c r="G3074" s="1882">
        <f>IF('4L'!G28="","##BLANK",'4L'!G28)</f>
        <v>0</v>
      </c>
    </row>
    <row r="3075" spans="2:7">
      <c r="B3075" s="821" t="str">
        <f>+'4L'!BB29</f>
        <v>W3028NHOAL</v>
      </c>
      <c r="D3075" s="1882"/>
      <c r="E3075" s="1628" t="s">
        <v>8339</v>
      </c>
      <c r="F3075" s="1882"/>
      <c r="G3075" s="1882">
        <f>IF('4L'!G29="","##BLANK",'4L'!G29)</f>
        <v>0</v>
      </c>
    </row>
    <row r="3076" spans="2:7">
      <c r="B3076" s="821" t="str">
        <f>+'4L'!BB30</f>
        <v>W3A00001AL</v>
      </c>
      <c r="D3076" s="1882"/>
      <c r="E3076" s="1628" t="s">
        <v>8339</v>
      </c>
      <c r="F3076" s="1882" t="str">
        <f>+'4L'!C$30</f>
        <v>Capital expenditure purpose - WATER additional line 1 [Other categories]</v>
      </c>
      <c r="G3076" s="1882" t="str">
        <f>IF('4L'!G30="","##BLANK",'4L'!G30)</f>
        <v>##BLANK</v>
      </c>
    </row>
    <row r="3077" spans="2:7">
      <c r="B3077" s="821" t="str">
        <f>+'4L'!BB31</f>
        <v>W3A00002AL</v>
      </c>
      <c r="D3077" s="1882"/>
      <c r="E3077" s="1628" t="s">
        <v>8339</v>
      </c>
      <c r="F3077" s="1882" t="str">
        <f>+'4L'!C$31</f>
        <v>Capital expenditure purpose - WATER additional line 2 [Other categories]</v>
      </c>
      <c r="G3077" s="1882" t="str">
        <f>IF('4L'!G31="","##BLANK",'4L'!G31)</f>
        <v>##BLANK</v>
      </c>
    </row>
    <row r="3078" spans="2:7">
      <c r="B3078" s="821" t="str">
        <f>+'4L'!BB32</f>
        <v>W3A00003AL</v>
      </c>
      <c r="D3078" s="1882"/>
      <c r="E3078" s="1628" t="s">
        <v>8339</v>
      </c>
      <c r="F3078" s="1882" t="str">
        <f>+'4L'!C$32</f>
        <v>Capital expenditure purpose - WATER additional line 3 [Other categories]</v>
      </c>
      <c r="G3078" s="1882" t="str">
        <f>IF('4L'!G32="","##BLANK",'4L'!G32)</f>
        <v>##BLANK</v>
      </c>
    </row>
    <row r="3079" spans="2:7">
      <c r="B3079" s="821" t="str">
        <f>+'4L'!BB33</f>
        <v>W3A00004AL</v>
      </c>
      <c r="D3079" s="1882"/>
      <c r="E3079" s="1628" t="s">
        <v>8339</v>
      </c>
      <c r="F3079" s="1882" t="str">
        <f>+'4L'!C$33</f>
        <v>Capital expenditure purpose - WATER additional line 4 [Other categories]</v>
      </c>
      <c r="G3079" s="1882" t="str">
        <f>IF('4L'!G33="","##BLANK",'4L'!G33)</f>
        <v>##BLANK</v>
      </c>
    </row>
    <row r="3080" spans="2:7">
      <c r="B3080" s="821" t="str">
        <f>+'4L'!BB34</f>
        <v>W3A00005AL</v>
      </c>
      <c r="D3080" s="1882"/>
      <c r="E3080" s="1628" t="s">
        <v>8339</v>
      </c>
      <c r="F3080" s="1882" t="str">
        <f>+'4L'!C$34</f>
        <v>Capital expenditure purpose - WATER additional line 5 [Other categories]</v>
      </c>
      <c r="G3080" s="1882" t="str">
        <f>IF('4L'!G34="","##BLANK",'4L'!G34)</f>
        <v>##BLANK</v>
      </c>
    </row>
    <row r="3081" spans="2:7">
      <c r="B3081" s="821" t="str">
        <f>+'4L'!BB35</f>
        <v>W3A00006AL</v>
      </c>
      <c r="D3081" s="1882"/>
      <c r="E3081" s="1628" t="s">
        <v>8339</v>
      </c>
      <c r="F3081" s="1882" t="str">
        <f>+'4L'!C$35</f>
        <v>Capital expenditure purpose - WATER additional line 6 [Other categories]</v>
      </c>
      <c r="G3081" s="1882" t="str">
        <f>IF('4L'!G35="","##BLANK",'4L'!G35)</f>
        <v>##BLANK</v>
      </c>
    </row>
    <row r="3082" spans="2:7">
      <c r="B3082" s="821" t="str">
        <f>+'4L'!BB36</f>
        <v>W3A00007AL</v>
      </c>
      <c r="D3082" s="1882"/>
      <c r="E3082" s="1628" t="s">
        <v>8339</v>
      </c>
      <c r="F3082" s="1882" t="str">
        <f>+'4L'!C$36</f>
        <v>Capital expenditure purpose - WATER additional line 7 [Other categories]</v>
      </c>
      <c r="G3082" s="1882" t="str">
        <f>IF('4L'!G36="","##BLANK",'4L'!G36)</f>
        <v>##BLANK</v>
      </c>
    </row>
    <row r="3083" spans="2:7">
      <c r="B3083" s="821" t="str">
        <f>+'4L'!BB37</f>
        <v>W3A00008AL</v>
      </c>
      <c r="D3083" s="1882"/>
      <c r="E3083" s="1628" t="s">
        <v>8339</v>
      </c>
      <c r="F3083" s="1882" t="str">
        <f>+'4L'!C$37</f>
        <v>Capital expenditure purpose - WATER additional line 8 [Other categories]</v>
      </c>
      <c r="G3083" s="1882" t="str">
        <f>IF('4L'!G37="","##BLANK",'4L'!G37)</f>
        <v>##BLANK</v>
      </c>
    </row>
    <row r="3084" spans="2:7">
      <c r="B3084" s="821" t="str">
        <f>+'4L'!BB38</f>
        <v>W3A00009AL</v>
      </c>
      <c r="D3084" s="1882"/>
      <c r="E3084" s="1628" t="s">
        <v>8339</v>
      </c>
      <c r="F3084" s="1882" t="str">
        <f>+'4L'!C$38</f>
        <v>Capital expenditure purpose - WATER additional line 9 [Other categories]</v>
      </c>
      <c r="G3084" s="1882" t="str">
        <f>IF('4L'!G38="","##BLANK",'4L'!G38)</f>
        <v>##BLANK</v>
      </c>
    </row>
    <row r="3085" spans="2:7">
      <c r="B3085" s="821" t="str">
        <f>+'4L'!BB39</f>
        <v>W3A00010AL</v>
      </c>
      <c r="D3085" s="1882"/>
      <c r="E3085" s="1628" t="s">
        <v>8339</v>
      </c>
      <c r="F3085" s="1882" t="str">
        <f>+'4L'!C$39</f>
        <v>Capital expenditure purpose - WATER additional line 10 [Other categories]</v>
      </c>
      <c r="G3085" s="1882" t="str">
        <f>IF('4L'!G39="","##BLANK",'4L'!G39)</f>
        <v>##BLANK</v>
      </c>
    </row>
    <row r="3086" spans="2:7">
      <c r="B3086" s="821" t="str">
        <f>+'4L'!BB40</f>
        <v>W3A00011AL</v>
      </c>
      <c r="D3086" s="1882"/>
      <c r="E3086" s="1628" t="s">
        <v>8339</v>
      </c>
      <c r="F3086" s="1882" t="str">
        <f>+'4L'!C$40</f>
        <v>Capital expenditure purpose - WATER additional line 11 [Other categories]</v>
      </c>
      <c r="G3086" s="1882" t="str">
        <f>IF('4L'!G40="","##BLANK",'4L'!G40)</f>
        <v>##BLANK</v>
      </c>
    </row>
    <row r="3087" spans="2:7">
      <c r="B3087" s="821" t="str">
        <f>+'4L'!BB41</f>
        <v>W3A00012AL</v>
      </c>
      <c r="D3087" s="1882"/>
      <c r="E3087" s="1628" t="s">
        <v>8339</v>
      </c>
      <c r="F3087" s="1882" t="str">
        <f>+'4L'!C$41</f>
        <v>Capital expenditure purpose - WATER additional line 12 [Other categories]</v>
      </c>
      <c r="G3087" s="1882" t="str">
        <f>IF('4L'!G41="","##BLANK",'4L'!G41)</f>
        <v>##BLANK</v>
      </c>
    </row>
    <row r="3088" spans="2:7">
      <c r="B3088" s="821" t="str">
        <f>+'4L'!BB42</f>
        <v>W3A00013AL</v>
      </c>
      <c r="D3088" s="1882"/>
      <c r="E3088" s="1628" t="s">
        <v>8339</v>
      </c>
      <c r="F3088" s="1882" t="str">
        <f>+'4L'!C$42</f>
        <v>Capital expenditure purpose - WATER additional line 13 [Other categories]</v>
      </c>
      <c r="G3088" s="1882" t="str">
        <f>IF('4L'!G42="","##BLANK",'4L'!G42)</f>
        <v>##BLANK</v>
      </c>
    </row>
    <row r="3089" spans="2:7">
      <c r="B3089" s="821" t="str">
        <f>+'4L'!BB43</f>
        <v>W3A00014AL</v>
      </c>
      <c r="D3089" s="1882"/>
      <c r="E3089" s="1628" t="s">
        <v>8339</v>
      </c>
      <c r="F3089" s="1882" t="str">
        <f>+'4L'!C$43</f>
        <v>Capital expenditure purpose - WATER additional line 14 [Other categories]</v>
      </c>
      <c r="G3089" s="1882" t="str">
        <f>IF('4L'!G43="","##BLANK",'4L'!G43)</f>
        <v>##BLANK</v>
      </c>
    </row>
    <row r="3090" spans="2:7">
      <c r="B3090" s="821" t="str">
        <f>+'4L'!BB44</f>
        <v>W3A00015AL</v>
      </c>
      <c r="D3090" s="1882"/>
      <c r="E3090" s="1628" t="s">
        <v>8339</v>
      </c>
      <c r="F3090" s="1882" t="str">
        <f>+'4L'!C$44</f>
        <v>Capital expenditure purpose - WATER additional line 15 [Other categories]</v>
      </c>
      <c r="G3090" s="1882" t="str">
        <f>IF('4L'!G44="","##BLANK",'4L'!G44)</f>
        <v>##BLANK</v>
      </c>
    </row>
    <row r="3091" spans="2:7">
      <c r="B3091" s="821" t="str">
        <f>+'4L'!BB45</f>
        <v>BA2070AL</v>
      </c>
      <c r="D3091" s="1882"/>
      <c r="E3091" s="1628" t="s">
        <v>8339</v>
      </c>
      <c r="F3091" s="1882"/>
      <c r="G3091" s="1882">
        <f>IF('4L'!G45="","##BLANK",'4L'!G45)</f>
        <v>0</v>
      </c>
    </row>
    <row r="3092" spans="2:7">
      <c r="B3092" s="821" t="str">
        <f>+'4L'!BC8</f>
        <v>W3001RWA</v>
      </c>
      <c r="D3092" s="1882"/>
      <c r="E3092" s="1628" t="s">
        <v>8339</v>
      </c>
      <c r="F3092" s="1882"/>
      <c r="G3092" s="1882">
        <f>IF('4L'!H8="","##BLANK",'4L'!H8)</f>
        <v>0</v>
      </c>
    </row>
    <row r="3093" spans="2:7">
      <c r="B3093" s="821" t="str">
        <f>+'4L'!BC9</f>
        <v>WS2002RWA</v>
      </c>
      <c r="D3093" s="1882"/>
      <c r="E3093" s="1628" t="s">
        <v>8339</v>
      </c>
      <c r="F3093" s="1882"/>
      <c r="G3093" s="1882">
        <f>IF('4L'!H9="","##BLANK",'4L'!H9)</f>
        <v>0.38300000000000001</v>
      </c>
    </row>
    <row r="3094" spans="2:7">
      <c r="B3094" s="821" t="str">
        <f>+'4L'!BC10</f>
        <v>WS2003RWA</v>
      </c>
      <c r="D3094" s="1882"/>
      <c r="E3094" s="1628" t="s">
        <v>8339</v>
      </c>
      <c r="F3094" s="1882"/>
      <c r="G3094" s="1882">
        <f>IF('4L'!H10="","##BLANK",'4L'!H10)</f>
        <v>0</v>
      </c>
    </row>
    <row r="3095" spans="2:7">
      <c r="B3095" s="821" t="str">
        <f>+'4L'!BC11</f>
        <v>W3002RWA</v>
      </c>
      <c r="D3095" s="1882"/>
      <c r="E3095" s="1628" t="s">
        <v>8339</v>
      </c>
      <c r="F3095" s="1882"/>
      <c r="G3095" s="1882">
        <f>IF('4L'!H11="","##BLANK",'4L'!H11)</f>
        <v>0</v>
      </c>
    </row>
    <row r="3096" spans="2:7">
      <c r="B3096" s="821" t="str">
        <f>+'4L'!BC12</f>
        <v>W3003RWA</v>
      </c>
      <c r="D3096" s="1882"/>
      <c r="E3096" s="1628" t="s">
        <v>8339</v>
      </c>
      <c r="F3096" s="1882"/>
      <c r="G3096" s="1882">
        <f>IF('4L'!H12="","##BLANK",'4L'!H12)</f>
        <v>0</v>
      </c>
    </row>
    <row r="3097" spans="2:7">
      <c r="B3097" s="821" t="str">
        <f>+'4L'!BC13</f>
        <v>W3006RWA</v>
      </c>
      <c r="D3097" s="1882"/>
      <c r="E3097" s="1628" t="s">
        <v>8339</v>
      </c>
      <c r="F3097" s="1882"/>
      <c r="G3097" s="1882">
        <f>IF('4L'!H13="","##BLANK",'4L'!H13)</f>
        <v>0</v>
      </c>
    </row>
    <row r="3098" spans="2:7">
      <c r="B3098" s="821" t="str">
        <f>+'4L'!BC14</f>
        <v>W3007SRWA</v>
      </c>
      <c r="D3098" s="1882"/>
      <c r="E3098" s="1628" t="s">
        <v>8339</v>
      </c>
      <c r="F3098" s="1882"/>
      <c r="G3098" s="1882">
        <f>IF('4L'!H14="","##BLANK",'4L'!H14)</f>
        <v>0</v>
      </c>
    </row>
    <row r="3099" spans="2:7">
      <c r="B3099" s="821" t="str">
        <f>+'4L'!BC15</f>
        <v>W3008SRWA</v>
      </c>
      <c r="D3099" s="1882"/>
      <c r="E3099" s="1628" t="s">
        <v>8339</v>
      </c>
      <c r="F3099" s="1882"/>
      <c r="G3099" s="1882">
        <f>IF('4L'!H15="","##BLANK",'4L'!H15)</f>
        <v>0</v>
      </c>
    </row>
    <row r="3100" spans="2:7">
      <c r="B3100" s="821" t="str">
        <f>+'4L'!BC16</f>
        <v>W3007DRWA</v>
      </c>
      <c r="D3100" s="1882"/>
      <c r="E3100" s="1628" t="s">
        <v>8339</v>
      </c>
      <c r="F3100" s="1882"/>
      <c r="G3100" s="1882">
        <f>IF('4L'!H16="","##BLANK",'4L'!H16)</f>
        <v>0</v>
      </c>
    </row>
    <row r="3101" spans="2:7">
      <c r="B3101" s="821" t="str">
        <f>+'4L'!BC17</f>
        <v>W3008DRWA</v>
      </c>
      <c r="D3101" s="1882"/>
      <c r="E3101" s="1628" t="s">
        <v>8339</v>
      </c>
      <c r="F3101" s="1882"/>
      <c r="G3101" s="1882">
        <f>IF('4L'!H17="","##BLANK",'4L'!H17)</f>
        <v>0</v>
      </c>
    </row>
    <row r="3102" spans="2:7">
      <c r="B3102" s="821" t="str">
        <f>+'4L'!BC18</f>
        <v>W3009RWA</v>
      </c>
      <c r="D3102" s="1882"/>
      <c r="E3102" s="1628" t="s">
        <v>8339</v>
      </c>
      <c r="F3102" s="1882"/>
      <c r="G3102" s="1882">
        <f>IF('4L'!H18="","##BLANK",'4L'!H18)</f>
        <v>0</v>
      </c>
    </row>
    <row r="3103" spans="2:7">
      <c r="B3103" s="821" t="str">
        <f>+'4L'!BC19</f>
        <v>WS2004RWA</v>
      </c>
      <c r="D3103" s="1882"/>
      <c r="E3103" s="1628" t="s">
        <v>8339</v>
      </c>
      <c r="F3103" s="1882"/>
      <c r="G3103" s="1882">
        <f>IF('4L'!H19="","##BLANK",'4L'!H19)</f>
        <v>0</v>
      </c>
    </row>
    <row r="3104" spans="2:7">
      <c r="B3104" s="821" t="str">
        <f>+'4L'!BC20</f>
        <v>W3010RWA</v>
      </c>
      <c r="D3104" s="1882"/>
      <c r="E3104" s="1628" t="s">
        <v>8339</v>
      </c>
      <c r="F3104" s="1882"/>
      <c r="G3104" s="1882">
        <f>IF('4L'!H20="","##BLANK",'4L'!H20)</f>
        <v>0.214</v>
      </c>
    </row>
    <row r="3105" spans="2:7">
      <c r="B3105" s="821" t="str">
        <f>+'4L'!BC21</f>
        <v>W3011RWA</v>
      </c>
      <c r="D3105" s="1882"/>
      <c r="E3105" s="1628" t="s">
        <v>8339</v>
      </c>
      <c r="F3105" s="1882"/>
      <c r="G3105" s="1882">
        <f>IF('4L'!H21="","##BLANK",'4L'!H21)</f>
        <v>0</v>
      </c>
    </row>
    <row r="3106" spans="2:7">
      <c r="B3106" s="821" t="str">
        <f>+'4L'!BC22</f>
        <v>W3012RWA</v>
      </c>
      <c r="D3106" s="1882"/>
      <c r="E3106" s="1628" t="s">
        <v>8339</v>
      </c>
      <c r="F3106" s="1882"/>
      <c r="G3106" s="1882">
        <f>IF('4L'!H22="","##BLANK",'4L'!H22)</f>
        <v>0.13500000000000001</v>
      </c>
    </row>
    <row r="3107" spans="2:7">
      <c r="B3107" s="821" t="str">
        <f>+'4L'!BC23</f>
        <v>WS2006RWA</v>
      </c>
      <c r="D3107" s="1882"/>
      <c r="E3107" s="1628" t="s">
        <v>8339</v>
      </c>
      <c r="F3107" s="1882"/>
      <c r="G3107" s="1882">
        <f>IF('4L'!H23="","##BLANK",'4L'!H23)</f>
        <v>0</v>
      </c>
    </row>
    <row r="3108" spans="2:7">
      <c r="B3108" s="821" t="str">
        <f>+'4L'!BC24</f>
        <v>WS2007RWA</v>
      </c>
      <c r="D3108" s="1882"/>
      <c r="E3108" s="1628" t="s">
        <v>8339</v>
      </c>
      <c r="F3108" s="1882"/>
      <c r="G3108" s="1882">
        <f>IF('4L'!H24="","##BLANK",'4L'!H24)</f>
        <v>0.2</v>
      </c>
    </row>
    <row r="3109" spans="2:7">
      <c r="B3109" s="821" t="str">
        <f>+'4L'!BC25</f>
        <v>WS2008RWA</v>
      </c>
      <c r="D3109" s="1882"/>
      <c r="E3109" s="1628" t="s">
        <v>8339</v>
      </c>
      <c r="F3109" s="1882"/>
      <c r="G3109" s="1882">
        <f>IF('4L'!H25="","##BLANK",'4L'!H25)</f>
        <v>0.13700000000000001</v>
      </c>
    </row>
    <row r="3110" spans="2:7">
      <c r="B3110" s="821" t="str">
        <f>+'4L'!BC26</f>
        <v>W3027RWA</v>
      </c>
      <c r="D3110" s="1882"/>
      <c r="E3110" s="1628" t="s">
        <v>8339</v>
      </c>
      <c r="F3110" s="1882"/>
      <c r="G3110" s="1882">
        <f>IF('4L'!H26="","##BLANK",'4L'!H26)</f>
        <v>0</v>
      </c>
    </row>
    <row r="3111" spans="2:7">
      <c r="B3111" s="821" t="str">
        <f>+'4L'!BC27</f>
        <v>W3028OPTRWA</v>
      </c>
      <c r="D3111" s="1882"/>
      <c r="E3111" s="1628" t="s">
        <v>8339</v>
      </c>
      <c r="F3111" s="1882"/>
      <c r="G3111" s="1882">
        <f>IF('4L'!H27="","##BLANK",'4L'!H27)</f>
        <v>0</v>
      </c>
    </row>
    <row r="3112" spans="2:7">
      <c r="B3112" s="821" t="str">
        <f>+'4L'!BC28</f>
        <v>W3028COMRWA</v>
      </c>
      <c r="D3112" s="1882"/>
      <c r="E3112" s="1628" t="s">
        <v>8339</v>
      </c>
      <c r="F3112" s="1882"/>
      <c r="G3112" s="1882">
        <f>IF('4L'!H28="","##BLANK",'4L'!H28)</f>
        <v>0</v>
      </c>
    </row>
    <row r="3113" spans="2:7">
      <c r="B3113" s="821" t="str">
        <f>+'4L'!BC29</f>
        <v>W3028NHORWA</v>
      </c>
      <c r="D3113" s="1882"/>
      <c r="E3113" s="1628" t="s">
        <v>8339</v>
      </c>
      <c r="F3113" s="1882"/>
      <c r="G3113" s="1882">
        <f>IF('4L'!H29="","##BLANK",'4L'!H29)</f>
        <v>0</v>
      </c>
    </row>
    <row r="3114" spans="2:7">
      <c r="B3114" s="821" t="str">
        <f>+'4L'!BC30</f>
        <v>W3A00001RWA</v>
      </c>
      <c r="D3114" s="1882"/>
      <c r="E3114" s="1628" t="s">
        <v>8339</v>
      </c>
      <c r="F3114" s="1882" t="str">
        <f>+'4L'!C$30</f>
        <v>Capital expenditure purpose - WATER additional line 1 [Other categories]</v>
      </c>
      <c r="G3114" s="1882" t="str">
        <f>IF('4L'!H30="","##BLANK",'4L'!H30)</f>
        <v>##BLANK</v>
      </c>
    </row>
    <row r="3115" spans="2:7">
      <c r="B3115" s="821" t="str">
        <f>+'4L'!BC31</f>
        <v>W3A00002RWA</v>
      </c>
      <c r="D3115" s="1882"/>
      <c r="E3115" s="1628" t="s">
        <v>8339</v>
      </c>
      <c r="F3115" s="1882" t="str">
        <f>+'4L'!C$31</f>
        <v>Capital expenditure purpose - WATER additional line 2 [Other categories]</v>
      </c>
      <c r="G3115" s="1882" t="str">
        <f>IF('4L'!H31="","##BLANK",'4L'!H31)</f>
        <v>##BLANK</v>
      </c>
    </row>
    <row r="3116" spans="2:7">
      <c r="B3116" s="821" t="str">
        <f>+'4L'!BC32</f>
        <v>W3A00003RWA</v>
      </c>
      <c r="D3116" s="1882"/>
      <c r="E3116" s="1628" t="s">
        <v>8339</v>
      </c>
      <c r="F3116" s="1882" t="str">
        <f>+'4L'!C$32</f>
        <v>Capital expenditure purpose - WATER additional line 3 [Other categories]</v>
      </c>
      <c r="G3116" s="1882" t="str">
        <f>IF('4L'!H32="","##BLANK",'4L'!H32)</f>
        <v>##BLANK</v>
      </c>
    </row>
    <row r="3117" spans="2:7">
      <c r="B3117" s="821" t="str">
        <f>+'4L'!BC33</f>
        <v>W3A00004RWA</v>
      </c>
      <c r="D3117" s="1882"/>
      <c r="E3117" s="1628" t="s">
        <v>8339</v>
      </c>
      <c r="F3117" s="1882" t="str">
        <f>+'4L'!C$33</f>
        <v>Capital expenditure purpose - WATER additional line 4 [Other categories]</v>
      </c>
      <c r="G3117" s="1882" t="str">
        <f>IF('4L'!H33="","##BLANK",'4L'!H33)</f>
        <v>##BLANK</v>
      </c>
    </row>
    <row r="3118" spans="2:7">
      <c r="B3118" s="821" t="str">
        <f>+'4L'!BC34</f>
        <v>W3A00005RWA</v>
      </c>
      <c r="D3118" s="1882"/>
      <c r="E3118" s="1628" t="s">
        <v>8339</v>
      </c>
      <c r="F3118" s="1882" t="str">
        <f>+'4L'!C$34</f>
        <v>Capital expenditure purpose - WATER additional line 5 [Other categories]</v>
      </c>
      <c r="G3118" s="1882" t="str">
        <f>IF('4L'!H34="","##BLANK",'4L'!H34)</f>
        <v>##BLANK</v>
      </c>
    </row>
    <row r="3119" spans="2:7">
      <c r="B3119" s="821" t="str">
        <f>+'4L'!BC35</f>
        <v>W3A00006RWA</v>
      </c>
      <c r="D3119" s="1882"/>
      <c r="E3119" s="1628" t="s">
        <v>8339</v>
      </c>
      <c r="F3119" s="1882" t="str">
        <f>+'4L'!C$35</f>
        <v>Capital expenditure purpose - WATER additional line 6 [Other categories]</v>
      </c>
      <c r="G3119" s="1882" t="str">
        <f>IF('4L'!H35="","##BLANK",'4L'!H35)</f>
        <v>##BLANK</v>
      </c>
    </row>
    <row r="3120" spans="2:7">
      <c r="B3120" s="821" t="str">
        <f>+'4L'!BC36</f>
        <v>W3A00007RWA</v>
      </c>
      <c r="D3120" s="1882"/>
      <c r="E3120" s="1628" t="s">
        <v>8339</v>
      </c>
      <c r="F3120" s="1882" t="str">
        <f>+'4L'!C$36</f>
        <v>Capital expenditure purpose - WATER additional line 7 [Other categories]</v>
      </c>
      <c r="G3120" s="1882" t="str">
        <f>IF('4L'!H36="","##BLANK",'4L'!H36)</f>
        <v>##BLANK</v>
      </c>
    </row>
    <row r="3121" spans="2:7">
      <c r="B3121" s="821" t="str">
        <f>+'4L'!BC37</f>
        <v>W3A00008RWA</v>
      </c>
      <c r="D3121" s="1882"/>
      <c r="E3121" s="1628" t="s">
        <v>8339</v>
      </c>
      <c r="F3121" s="1882" t="str">
        <f>+'4L'!C$37</f>
        <v>Capital expenditure purpose - WATER additional line 8 [Other categories]</v>
      </c>
      <c r="G3121" s="1882" t="str">
        <f>IF('4L'!H37="","##BLANK",'4L'!H37)</f>
        <v>##BLANK</v>
      </c>
    </row>
    <row r="3122" spans="2:7">
      <c r="B3122" s="821" t="str">
        <f>+'4L'!BC38</f>
        <v>W3A00009RWA</v>
      </c>
      <c r="D3122" s="1882"/>
      <c r="E3122" s="1628" t="s">
        <v>8339</v>
      </c>
      <c r="F3122" s="1882" t="str">
        <f>+'4L'!C$38</f>
        <v>Capital expenditure purpose - WATER additional line 9 [Other categories]</v>
      </c>
      <c r="G3122" s="1882" t="str">
        <f>IF('4L'!H38="","##BLANK",'4L'!H38)</f>
        <v>##BLANK</v>
      </c>
    </row>
    <row r="3123" spans="2:7">
      <c r="B3123" s="821" t="str">
        <f>+'4L'!BC39</f>
        <v>W3A00010RWA</v>
      </c>
      <c r="D3123" s="1882"/>
      <c r="E3123" s="1628" t="s">
        <v>8339</v>
      </c>
      <c r="F3123" s="1882" t="str">
        <f>+'4L'!C$39</f>
        <v>Capital expenditure purpose - WATER additional line 10 [Other categories]</v>
      </c>
      <c r="G3123" s="1882" t="str">
        <f>IF('4L'!H39="","##BLANK",'4L'!H39)</f>
        <v>##BLANK</v>
      </c>
    </row>
    <row r="3124" spans="2:7">
      <c r="B3124" s="821" t="str">
        <f>+'4L'!BC40</f>
        <v>W3A00011RWA</v>
      </c>
      <c r="D3124" s="1882"/>
      <c r="E3124" s="1628" t="s">
        <v>8339</v>
      </c>
      <c r="F3124" s="1882" t="str">
        <f>+'4L'!C$40</f>
        <v>Capital expenditure purpose - WATER additional line 11 [Other categories]</v>
      </c>
      <c r="G3124" s="1882" t="str">
        <f>IF('4L'!H40="","##BLANK",'4L'!H40)</f>
        <v>##BLANK</v>
      </c>
    </row>
    <row r="3125" spans="2:7">
      <c r="B3125" s="821" t="str">
        <f>+'4L'!BC41</f>
        <v>W3A00012RWA</v>
      </c>
      <c r="D3125" s="1882"/>
      <c r="E3125" s="1628" t="s">
        <v>8339</v>
      </c>
      <c r="F3125" s="1882" t="str">
        <f>+'4L'!C$41</f>
        <v>Capital expenditure purpose - WATER additional line 12 [Other categories]</v>
      </c>
      <c r="G3125" s="1882" t="str">
        <f>IF('4L'!H41="","##BLANK",'4L'!H41)</f>
        <v>##BLANK</v>
      </c>
    </row>
    <row r="3126" spans="2:7">
      <c r="B3126" s="821" t="str">
        <f>+'4L'!BC42</f>
        <v>W3A00013RWA</v>
      </c>
      <c r="D3126" s="1882"/>
      <c r="E3126" s="1628" t="s">
        <v>8339</v>
      </c>
      <c r="F3126" s="1882" t="str">
        <f>+'4L'!C$42</f>
        <v>Capital expenditure purpose - WATER additional line 13 [Other categories]</v>
      </c>
      <c r="G3126" s="1882" t="str">
        <f>IF('4L'!H42="","##BLANK",'4L'!H42)</f>
        <v>##BLANK</v>
      </c>
    </row>
    <row r="3127" spans="2:7">
      <c r="B3127" s="821" t="str">
        <f>+'4L'!BC43</f>
        <v>W3A00014RWA</v>
      </c>
      <c r="D3127" s="1882"/>
      <c r="E3127" s="1628" t="s">
        <v>8339</v>
      </c>
      <c r="F3127" s="1882" t="str">
        <f>+'4L'!C$43</f>
        <v>Capital expenditure purpose - WATER additional line 14 [Other categories]</v>
      </c>
      <c r="G3127" s="1882" t="str">
        <f>IF('4L'!H43="","##BLANK",'4L'!H43)</f>
        <v>##BLANK</v>
      </c>
    </row>
    <row r="3128" spans="2:7">
      <c r="B3128" s="821" t="str">
        <f>+'4L'!BC44</f>
        <v>W3A00015RWA</v>
      </c>
      <c r="D3128" s="1882"/>
      <c r="E3128" s="1628" t="s">
        <v>8339</v>
      </c>
      <c r="F3128" s="1882" t="str">
        <f>+'4L'!C$44</f>
        <v>Capital expenditure purpose - WATER additional line 15 [Other categories]</v>
      </c>
      <c r="G3128" s="1882" t="str">
        <f>IF('4L'!H44="","##BLANK",'4L'!H44)</f>
        <v>##BLANK</v>
      </c>
    </row>
    <row r="3129" spans="2:7">
      <c r="B3129" s="821" t="str">
        <f>+'4L'!BC45</f>
        <v>BA2070RWA</v>
      </c>
      <c r="D3129" s="1882"/>
      <c r="E3129" s="1628" t="s">
        <v>8339</v>
      </c>
      <c r="F3129" s="1882"/>
      <c r="G3129" s="1882">
        <f>IF('4L'!H45="","##BLANK",'4L'!H45)</f>
        <v>1.069</v>
      </c>
    </row>
    <row r="3130" spans="2:7">
      <c r="B3130" s="821" t="str">
        <f>+'4L'!BD8</f>
        <v>W3001RWT</v>
      </c>
      <c r="D3130" s="1882"/>
      <c r="E3130" s="1628" t="s">
        <v>8339</v>
      </c>
      <c r="F3130" s="1882"/>
      <c r="G3130" s="1882">
        <f>IF('4L'!I8="","##BLANK",'4L'!I8)</f>
        <v>0</v>
      </c>
    </row>
    <row r="3131" spans="2:7">
      <c r="B3131" s="821" t="str">
        <f>+'4L'!BD9</f>
        <v>WS2002RWT</v>
      </c>
      <c r="D3131" s="1882"/>
      <c r="E3131" s="1628" t="s">
        <v>8339</v>
      </c>
      <c r="F3131" s="1882"/>
      <c r="G3131" s="1882">
        <f>IF('4L'!I9="","##BLANK",'4L'!I9)</f>
        <v>0</v>
      </c>
    </row>
    <row r="3132" spans="2:7">
      <c r="B3132" s="821" t="str">
        <f>+'4L'!BD10</f>
        <v>WS2003RWT</v>
      </c>
      <c r="D3132" s="1882"/>
      <c r="E3132" s="1628" t="s">
        <v>8339</v>
      </c>
      <c r="F3132" s="1882"/>
      <c r="G3132" s="1882">
        <f>IF('4L'!I10="","##BLANK",'4L'!I10)</f>
        <v>0</v>
      </c>
    </row>
    <row r="3133" spans="2:7">
      <c r="B3133" s="821" t="str">
        <f>+'4L'!BD11</f>
        <v>W3002RWT</v>
      </c>
      <c r="D3133" s="1882"/>
      <c r="E3133" s="1628" t="s">
        <v>8339</v>
      </c>
      <c r="F3133" s="1882"/>
      <c r="G3133" s="1882">
        <f>IF('4L'!I11="","##BLANK",'4L'!I11)</f>
        <v>0</v>
      </c>
    </row>
    <row r="3134" spans="2:7">
      <c r="B3134" s="821" t="str">
        <f>+'4L'!BD12</f>
        <v>W3003RWT</v>
      </c>
      <c r="D3134" s="1882"/>
      <c r="E3134" s="1628" t="s">
        <v>8339</v>
      </c>
      <c r="F3134" s="1882"/>
      <c r="G3134" s="1882">
        <f>IF('4L'!I12="","##BLANK",'4L'!I12)</f>
        <v>0</v>
      </c>
    </row>
    <row r="3135" spans="2:7">
      <c r="B3135" s="821" t="str">
        <f>+'4L'!BD13</f>
        <v>W3006RWT</v>
      </c>
      <c r="D3135" s="1882"/>
      <c r="E3135" s="1628" t="s">
        <v>8339</v>
      </c>
      <c r="F3135" s="1882"/>
      <c r="G3135" s="1882">
        <f>IF('4L'!I13="","##BLANK",'4L'!I13)</f>
        <v>0</v>
      </c>
    </row>
    <row r="3136" spans="2:7">
      <c r="B3136" s="821" t="str">
        <f>+'4L'!BD14</f>
        <v>W3007SRWT</v>
      </c>
      <c r="D3136" s="1882"/>
      <c r="E3136" s="1628" t="s">
        <v>8339</v>
      </c>
      <c r="F3136" s="1882"/>
      <c r="G3136" s="1882">
        <f>IF('4L'!I14="","##BLANK",'4L'!I14)</f>
        <v>0</v>
      </c>
    </row>
    <row r="3137" spans="2:7">
      <c r="B3137" s="821" t="str">
        <f>+'4L'!BD15</f>
        <v>W3008SRWT</v>
      </c>
      <c r="D3137" s="1882"/>
      <c r="E3137" s="1628" t="s">
        <v>8339</v>
      </c>
      <c r="F3137" s="1882"/>
      <c r="G3137" s="1882">
        <f>IF('4L'!I15="","##BLANK",'4L'!I15)</f>
        <v>0</v>
      </c>
    </row>
    <row r="3138" spans="2:7">
      <c r="B3138" s="821" t="str">
        <f>+'4L'!BD16</f>
        <v>W3007DRWT</v>
      </c>
      <c r="D3138" s="1882"/>
      <c r="E3138" s="1628" t="s">
        <v>8339</v>
      </c>
      <c r="F3138" s="1882"/>
      <c r="G3138" s="1882">
        <f>IF('4L'!I16="","##BLANK",'4L'!I16)</f>
        <v>0</v>
      </c>
    </row>
    <row r="3139" spans="2:7">
      <c r="B3139" s="821" t="str">
        <f>+'4L'!BD17</f>
        <v>W3008DRWT</v>
      </c>
      <c r="D3139" s="1882"/>
      <c r="E3139" s="1628" t="s">
        <v>8339</v>
      </c>
      <c r="F3139" s="1882"/>
      <c r="G3139" s="1882">
        <f>IF('4L'!I17="","##BLANK",'4L'!I17)</f>
        <v>0</v>
      </c>
    </row>
    <row r="3140" spans="2:7">
      <c r="B3140" s="821" t="str">
        <f>+'4L'!BD18</f>
        <v>W3009RWT</v>
      </c>
      <c r="D3140" s="1882"/>
      <c r="E3140" s="1628" t="s">
        <v>8339</v>
      </c>
      <c r="F3140" s="1882"/>
      <c r="G3140" s="1882">
        <f>IF('4L'!I18="","##BLANK",'4L'!I18)</f>
        <v>0</v>
      </c>
    </row>
    <row r="3141" spans="2:7">
      <c r="B3141" s="821" t="str">
        <f>+'4L'!BD19</f>
        <v>WS2004RWT</v>
      </c>
      <c r="D3141" s="1882"/>
      <c r="E3141" s="1628" t="s">
        <v>8339</v>
      </c>
      <c r="F3141" s="1882"/>
      <c r="G3141" s="1882">
        <f>IF('4L'!I19="","##BLANK",'4L'!I19)</f>
        <v>0</v>
      </c>
    </row>
    <row r="3142" spans="2:7">
      <c r="B3142" s="821" t="str">
        <f>+'4L'!BD20</f>
        <v>W3010RWT</v>
      </c>
      <c r="D3142" s="1882"/>
      <c r="E3142" s="1628" t="s">
        <v>8339</v>
      </c>
      <c r="F3142" s="1882"/>
      <c r="G3142" s="1882">
        <f>IF('4L'!I20="","##BLANK",'4L'!I20)</f>
        <v>0</v>
      </c>
    </row>
    <row r="3143" spans="2:7">
      <c r="B3143" s="821" t="str">
        <f>+'4L'!BD21</f>
        <v>W3011RWT</v>
      </c>
      <c r="D3143" s="1882"/>
      <c r="E3143" s="1628" t="s">
        <v>8339</v>
      </c>
      <c r="F3143" s="1882"/>
      <c r="G3143" s="1882">
        <f>IF('4L'!I21="","##BLANK",'4L'!I21)</f>
        <v>0</v>
      </c>
    </row>
    <row r="3144" spans="2:7">
      <c r="B3144" s="821" t="str">
        <f>+'4L'!BD22</f>
        <v>W3012RWT</v>
      </c>
      <c r="D3144" s="1882"/>
      <c r="E3144" s="1628" t="s">
        <v>8339</v>
      </c>
      <c r="F3144" s="1882"/>
      <c r="G3144" s="1882">
        <f>IF('4L'!I22="","##BLANK",'4L'!I22)</f>
        <v>1E-3</v>
      </c>
    </row>
    <row r="3145" spans="2:7">
      <c r="B3145" s="821" t="str">
        <f>+'4L'!BD23</f>
        <v>WS2006RWT</v>
      </c>
      <c r="D3145" s="1882"/>
      <c r="E3145" s="1628" t="s">
        <v>8339</v>
      </c>
      <c r="F3145" s="1882"/>
      <c r="G3145" s="1882">
        <f>IF('4L'!I23="","##BLANK",'4L'!I23)</f>
        <v>0</v>
      </c>
    </row>
    <row r="3146" spans="2:7">
      <c r="B3146" s="821" t="str">
        <f>+'4L'!BD24</f>
        <v>WS2007RWT</v>
      </c>
      <c r="D3146" s="1882"/>
      <c r="E3146" s="1628" t="s">
        <v>8339</v>
      </c>
      <c r="F3146" s="1882"/>
      <c r="G3146" s="1882">
        <f>IF('4L'!I24="","##BLANK",'4L'!I24)</f>
        <v>0</v>
      </c>
    </row>
    <row r="3147" spans="2:7">
      <c r="B3147" s="821" t="str">
        <f>+'4L'!BD25</f>
        <v>WS2008RWT</v>
      </c>
      <c r="D3147" s="1882"/>
      <c r="E3147" s="1628" t="s">
        <v>8339</v>
      </c>
      <c r="F3147" s="1882"/>
      <c r="G3147" s="1882">
        <f>IF('4L'!I25="","##BLANK",'4L'!I25)</f>
        <v>0</v>
      </c>
    </row>
    <row r="3148" spans="2:7">
      <c r="B3148" s="821" t="str">
        <f>+'4L'!BD26</f>
        <v>W3027RWT</v>
      </c>
      <c r="D3148" s="1882"/>
      <c r="E3148" s="1628" t="s">
        <v>8339</v>
      </c>
      <c r="F3148" s="1882"/>
      <c r="G3148" s="1882">
        <f>IF('4L'!I26="","##BLANK",'4L'!I26)</f>
        <v>0</v>
      </c>
    </row>
    <row r="3149" spans="2:7">
      <c r="B3149" s="821" t="str">
        <f>+'4L'!BD27</f>
        <v>W3028OPTRWT</v>
      </c>
      <c r="D3149" s="1882"/>
      <c r="E3149" s="1628" t="s">
        <v>8339</v>
      </c>
      <c r="F3149" s="1882"/>
      <c r="G3149" s="1882">
        <f>IF('4L'!I27="","##BLANK",'4L'!I27)</f>
        <v>0</v>
      </c>
    </row>
    <row r="3150" spans="2:7">
      <c r="B3150" s="821" t="str">
        <f>+'4L'!BD28</f>
        <v>W3028COMRWT</v>
      </c>
      <c r="D3150" s="1882"/>
      <c r="E3150" s="1628" t="s">
        <v>8339</v>
      </c>
      <c r="F3150" s="1882"/>
      <c r="G3150" s="1882">
        <f>IF('4L'!I28="","##BLANK",'4L'!I28)</f>
        <v>0</v>
      </c>
    </row>
    <row r="3151" spans="2:7">
      <c r="B3151" s="821" t="str">
        <f>+'4L'!BD29</f>
        <v>W3028NHORWT</v>
      </c>
      <c r="D3151" s="1882"/>
      <c r="E3151" s="1628" t="s">
        <v>8339</v>
      </c>
      <c r="F3151" s="1882"/>
      <c r="G3151" s="1882">
        <f>IF('4L'!I29="","##BLANK",'4L'!I29)</f>
        <v>0</v>
      </c>
    </row>
    <row r="3152" spans="2:7">
      <c r="B3152" s="821" t="str">
        <f>+'4L'!BD30</f>
        <v>W3A00001RWT</v>
      </c>
      <c r="D3152" s="1882"/>
      <c r="E3152" s="1628" t="s">
        <v>8339</v>
      </c>
      <c r="F3152" s="1882" t="str">
        <f>+'4L'!C$30</f>
        <v>Capital expenditure purpose - WATER additional line 1 [Other categories]</v>
      </c>
      <c r="G3152" s="1882" t="str">
        <f>IF('4L'!I30="","##BLANK",'4L'!I30)</f>
        <v>##BLANK</v>
      </c>
    </row>
    <row r="3153" spans="2:7">
      <c r="B3153" s="821" t="str">
        <f>+'4L'!BD31</f>
        <v>W3A00002RWT</v>
      </c>
      <c r="D3153" s="1882"/>
      <c r="E3153" s="1628" t="s">
        <v>8339</v>
      </c>
      <c r="F3153" s="1882" t="str">
        <f>+'4L'!C$31</f>
        <v>Capital expenditure purpose - WATER additional line 2 [Other categories]</v>
      </c>
      <c r="G3153" s="1882" t="str">
        <f>IF('4L'!I31="","##BLANK",'4L'!I31)</f>
        <v>##BLANK</v>
      </c>
    </row>
    <row r="3154" spans="2:7">
      <c r="B3154" s="821" t="str">
        <f>+'4L'!BD32</f>
        <v>W3A00003RWT</v>
      </c>
      <c r="D3154" s="1882"/>
      <c r="E3154" s="1628" t="s">
        <v>8339</v>
      </c>
      <c r="F3154" s="1882" t="str">
        <f>+'4L'!C$32</f>
        <v>Capital expenditure purpose - WATER additional line 3 [Other categories]</v>
      </c>
      <c r="G3154" s="1882" t="str">
        <f>IF('4L'!I32="","##BLANK",'4L'!I32)</f>
        <v>##BLANK</v>
      </c>
    </row>
    <row r="3155" spans="2:7">
      <c r="B3155" s="821" t="str">
        <f>+'4L'!BD33</f>
        <v>W3A00004RWT</v>
      </c>
      <c r="D3155" s="1882"/>
      <c r="E3155" s="1628" t="s">
        <v>8339</v>
      </c>
      <c r="F3155" s="1882" t="str">
        <f>+'4L'!C$33</f>
        <v>Capital expenditure purpose - WATER additional line 4 [Other categories]</v>
      </c>
      <c r="G3155" s="1882" t="str">
        <f>IF('4L'!I33="","##BLANK",'4L'!I33)</f>
        <v>##BLANK</v>
      </c>
    </row>
    <row r="3156" spans="2:7">
      <c r="B3156" s="821" t="str">
        <f>+'4L'!BD34</f>
        <v>W3A00005RWT</v>
      </c>
      <c r="D3156" s="1882"/>
      <c r="E3156" s="1628" t="s">
        <v>8339</v>
      </c>
      <c r="F3156" s="1882" t="str">
        <f>+'4L'!C$34</f>
        <v>Capital expenditure purpose - WATER additional line 5 [Other categories]</v>
      </c>
      <c r="G3156" s="1882" t="str">
        <f>IF('4L'!I34="","##BLANK",'4L'!I34)</f>
        <v>##BLANK</v>
      </c>
    </row>
    <row r="3157" spans="2:7">
      <c r="B3157" s="821" t="str">
        <f>+'4L'!BD35</f>
        <v>W3A00006RWT</v>
      </c>
      <c r="D3157" s="1882"/>
      <c r="E3157" s="1628" t="s">
        <v>8339</v>
      </c>
      <c r="F3157" s="1882" t="str">
        <f>+'4L'!C$35</f>
        <v>Capital expenditure purpose - WATER additional line 6 [Other categories]</v>
      </c>
      <c r="G3157" s="1882" t="str">
        <f>IF('4L'!I35="","##BLANK",'4L'!I35)</f>
        <v>##BLANK</v>
      </c>
    </row>
    <row r="3158" spans="2:7">
      <c r="B3158" s="821" t="str">
        <f>+'4L'!BD36</f>
        <v>W3A00007RWT</v>
      </c>
      <c r="D3158" s="1882"/>
      <c r="E3158" s="1628" t="s">
        <v>8339</v>
      </c>
      <c r="F3158" s="1882" t="str">
        <f>+'4L'!C$36</f>
        <v>Capital expenditure purpose - WATER additional line 7 [Other categories]</v>
      </c>
      <c r="G3158" s="1882" t="str">
        <f>IF('4L'!I36="","##BLANK",'4L'!I36)</f>
        <v>##BLANK</v>
      </c>
    </row>
    <row r="3159" spans="2:7">
      <c r="B3159" s="821" t="str">
        <f>+'4L'!BD37</f>
        <v>W3A00008RWT</v>
      </c>
      <c r="D3159" s="1882"/>
      <c r="E3159" s="1628" t="s">
        <v>8339</v>
      </c>
      <c r="F3159" s="1882" t="str">
        <f>+'4L'!C$37</f>
        <v>Capital expenditure purpose - WATER additional line 8 [Other categories]</v>
      </c>
      <c r="G3159" s="1882" t="str">
        <f>IF('4L'!I37="","##BLANK",'4L'!I37)</f>
        <v>##BLANK</v>
      </c>
    </row>
    <row r="3160" spans="2:7">
      <c r="B3160" s="821" t="str">
        <f>+'4L'!BD38</f>
        <v>W3A00009RWT</v>
      </c>
      <c r="D3160" s="1882"/>
      <c r="E3160" s="1628" t="s">
        <v>8339</v>
      </c>
      <c r="F3160" s="1882" t="str">
        <f>+'4L'!C$38</f>
        <v>Capital expenditure purpose - WATER additional line 9 [Other categories]</v>
      </c>
      <c r="G3160" s="1882" t="str">
        <f>IF('4L'!I38="","##BLANK",'4L'!I38)</f>
        <v>##BLANK</v>
      </c>
    </row>
    <row r="3161" spans="2:7">
      <c r="B3161" s="821" t="str">
        <f>+'4L'!BD39</f>
        <v>W3A00010RWT</v>
      </c>
      <c r="D3161" s="1882"/>
      <c r="E3161" s="1628" t="s">
        <v>8339</v>
      </c>
      <c r="F3161" s="1882" t="str">
        <f>+'4L'!C$39</f>
        <v>Capital expenditure purpose - WATER additional line 10 [Other categories]</v>
      </c>
      <c r="G3161" s="1882" t="str">
        <f>IF('4L'!I39="","##BLANK",'4L'!I39)</f>
        <v>##BLANK</v>
      </c>
    </row>
    <row r="3162" spans="2:7">
      <c r="B3162" s="821" t="str">
        <f>+'4L'!BD40</f>
        <v>W3A00011RWT</v>
      </c>
      <c r="D3162" s="1882"/>
      <c r="E3162" s="1628" t="s">
        <v>8339</v>
      </c>
      <c r="F3162" s="1882" t="str">
        <f>+'4L'!C$40</f>
        <v>Capital expenditure purpose - WATER additional line 11 [Other categories]</v>
      </c>
      <c r="G3162" s="1882" t="str">
        <f>IF('4L'!I40="","##BLANK",'4L'!I40)</f>
        <v>##BLANK</v>
      </c>
    </row>
    <row r="3163" spans="2:7">
      <c r="B3163" s="821" t="str">
        <f>+'4L'!BD41</f>
        <v>W3A00012RWT</v>
      </c>
      <c r="D3163" s="1882"/>
      <c r="E3163" s="1628" t="s">
        <v>8339</v>
      </c>
      <c r="F3163" s="1882" t="str">
        <f>+'4L'!C$41</f>
        <v>Capital expenditure purpose - WATER additional line 12 [Other categories]</v>
      </c>
      <c r="G3163" s="1882" t="str">
        <f>IF('4L'!I41="","##BLANK",'4L'!I41)</f>
        <v>##BLANK</v>
      </c>
    </row>
    <row r="3164" spans="2:7">
      <c r="B3164" s="821" t="str">
        <f>+'4L'!BD42</f>
        <v>W3A00013RWT</v>
      </c>
      <c r="D3164" s="1882"/>
      <c r="E3164" s="1628" t="s">
        <v>8339</v>
      </c>
      <c r="F3164" s="1882" t="str">
        <f>+'4L'!C$42</f>
        <v>Capital expenditure purpose - WATER additional line 13 [Other categories]</v>
      </c>
      <c r="G3164" s="1882" t="str">
        <f>IF('4L'!I42="","##BLANK",'4L'!I42)</f>
        <v>##BLANK</v>
      </c>
    </row>
    <row r="3165" spans="2:7">
      <c r="B3165" s="821" t="str">
        <f>+'4L'!BD43</f>
        <v>W3A00014RWT</v>
      </c>
      <c r="D3165" s="1882"/>
      <c r="E3165" s="1628" t="s">
        <v>8339</v>
      </c>
      <c r="F3165" s="1882" t="str">
        <f>+'4L'!C$43</f>
        <v>Capital expenditure purpose - WATER additional line 14 [Other categories]</v>
      </c>
      <c r="G3165" s="1882" t="str">
        <f>IF('4L'!I43="","##BLANK",'4L'!I43)</f>
        <v>##BLANK</v>
      </c>
    </row>
    <row r="3166" spans="2:7">
      <c r="B3166" s="821" t="str">
        <f>+'4L'!BD44</f>
        <v>W3A00015RWT</v>
      </c>
      <c r="D3166" s="1882"/>
      <c r="E3166" s="1628" t="s">
        <v>8339</v>
      </c>
      <c r="F3166" s="1882" t="str">
        <f>+'4L'!C$44</f>
        <v>Capital expenditure purpose - WATER additional line 15 [Other categories]</v>
      </c>
      <c r="G3166" s="1882" t="str">
        <f>IF('4L'!I44="","##BLANK",'4L'!I44)</f>
        <v>##BLANK</v>
      </c>
    </row>
    <row r="3167" spans="2:7">
      <c r="B3167" s="821" t="str">
        <f>+'4L'!BD45</f>
        <v>BA2070RWT</v>
      </c>
      <c r="D3167" s="1882"/>
      <c r="E3167" s="1628" t="s">
        <v>8339</v>
      </c>
      <c r="F3167" s="1882"/>
      <c r="G3167" s="1882">
        <f>IF('4L'!I45="","##BLANK",'4L'!I45)</f>
        <v>1E-3</v>
      </c>
    </row>
    <row r="3168" spans="2:7">
      <c r="B3168" s="821" t="str">
        <f>+'4L'!BE8</f>
        <v>W3001RWS</v>
      </c>
      <c r="D3168" s="1882"/>
      <c r="E3168" s="1628" t="s">
        <v>8339</v>
      </c>
      <c r="F3168" s="1882"/>
      <c r="G3168" s="1882">
        <f>IF('4L'!J8="","##BLANK",'4L'!J8)</f>
        <v>0</v>
      </c>
    </row>
    <row r="3169" spans="2:7">
      <c r="B3169" s="821" t="str">
        <f>+'4L'!BE9</f>
        <v>WS2002RWS</v>
      </c>
      <c r="D3169" s="1882"/>
      <c r="E3169" s="1628" t="s">
        <v>8339</v>
      </c>
      <c r="F3169" s="1882"/>
      <c r="G3169" s="1882">
        <f>IF('4L'!J9="","##BLANK",'4L'!J9)</f>
        <v>0</v>
      </c>
    </row>
    <row r="3170" spans="2:7">
      <c r="B3170" s="821" t="str">
        <f>+'4L'!BE10</f>
        <v>WS2003RWS</v>
      </c>
      <c r="D3170" s="1882"/>
      <c r="E3170" s="1628" t="s">
        <v>8339</v>
      </c>
      <c r="F3170" s="1882"/>
      <c r="G3170" s="1882">
        <f>IF('4L'!J10="","##BLANK",'4L'!J10)</f>
        <v>0</v>
      </c>
    </row>
    <row r="3171" spans="2:7">
      <c r="B3171" s="821" t="str">
        <f>+'4L'!BE11</f>
        <v>W3002RWS</v>
      </c>
      <c r="D3171" s="1882"/>
      <c r="E3171" s="1628" t="s">
        <v>8339</v>
      </c>
      <c r="F3171" s="1882"/>
      <c r="G3171" s="1882">
        <f>IF('4L'!J11="","##BLANK",'4L'!J11)</f>
        <v>0</v>
      </c>
    </row>
    <row r="3172" spans="2:7">
      <c r="B3172" s="821" t="str">
        <f>+'4L'!BE12</f>
        <v>W3003RWS</v>
      </c>
      <c r="D3172" s="1882"/>
      <c r="E3172" s="1628" t="s">
        <v>8339</v>
      </c>
      <c r="F3172" s="1882"/>
      <c r="G3172" s="1882">
        <f>IF('4L'!J12="","##BLANK",'4L'!J12)</f>
        <v>0</v>
      </c>
    </row>
    <row r="3173" spans="2:7">
      <c r="B3173" s="821" t="str">
        <f>+'4L'!BE13</f>
        <v>W3006RWS</v>
      </c>
      <c r="D3173" s="1882"/>
      <c r="E3173" s="1628" t="s">
        <v>8339</v>
      </c>
      <c r="F3173" s="1882"/>
      <c r="G3173" s="1882">
        <f>IF('4L'!J13="","##BLANK",'4L'!J13)</f>
        <v>0</v>
      </c>
    </row>
    <row r="3174" spans="2:7">
      <c r="B3174" s="821" t="str">
        <f>+'4L'!BE14</f>
        <v>W3007SRWS</v>
      </c>
      <c r="D3174" s="1882"/>
      <c r="E3174" s="1628" t="s">
        <v>8339</v>
      </c>
      <c r="F3174" s="1882"/>
      <c r="G3174" s="1882">
        <f>IF('4L'!J14="","##BLANK",'4L'!J14)</f>
        <v>0</v>
      </c>
    </row>
    <row r="3175" spans="2:7">
      <c r="B3175" s="821" t="str">
        <f>+'4L'!BE15</f>
        <v>W3008SRWS</v>
      </c>
      <c r="D3175" s="1882"/>
      <c r="E3175" s="1628" t="s">
        <v>8339</v>
      </c>
      <c r="F3175" s="1882"/>
      <c r="G3175" s="1882">
        <f>IF('4L'!J15="","##BLANK",'4L'!J15)</f>
        <v>0</v>
      </c>
    </row>
    <row r="3176" spans="2:7">
      <c r="B3176" s="821" t="str">
        <f>+'4L'!BE16</f>
        <v>W3007DRWS</v>
      </c>
      <c r="D3176" s="1882"/>
      <c r="E3176" s="1628" t="s">
        <v>8339</v>
      </c>
      <c r="F3176" s="1882"/>
      <c r="G3176" s="1882">
        <f>IF('4L'!J16="","##BLANK",'4L'!J16)</f>
        <v>0</v>
      </c>
    </row>
    <row r="3177" spans="2:7">
      <c r="B3177" s="821" t="str">
        <f>+'4L'!BE17</f>
        <v>W3008DRWS</v>
      </c>
      <c r="D3177" s="1882"/>
      <c r="E3177" s="1628" t="s">
        <v>8339</v>
      </c>
      <c r="F3177" s="1882"/>
      <c r="G3177" s="1882">
        <f>IF('4L'!J17="","##BLANK",'4L'!J17)</f>
        <v>0</v>
      </c>
    </row>
    <row r="3178" spans="2:7">
      <c r="B3178" s="821" t="str">
        <f>+'4L'!BE18</f>
        <v>W3009RWS</v>
      </c>
      <c r="D3178" s="1882"/>
      <c r="E3178" s="1628" t="s">
        <v>8339</v>
      </c>
      <c r="F3178" s="1882"/>
      <c r="G3178" s="1882">
        <f>IF('4L'!J18="","##BLANK",'4L'!J18)</f>
        <v>0</v>
      </c>
    </row>
    <row r="3179" spans="2:7">
      <c r="B3179" s="821" t="str">
        <f>+'4L'!BE19</f>
        <v>WS2004RWS</v>
      </c>
      <c r="D3179" s="1882"/>
      <c r="E3179" s="1628" t="s">
        <v>8339</v>
      </c>
      <c r="F3179" s="1882"/>
      <c r="G3179" s="1882">
        <f>IF('4L'!J19="","##BLANK",'4L'!J19)</f>
        <v>0</v>
      </c>
    </row>
    <row r="3180" spans="2:7">
      <c r="B3180" s="821" t="str">
        <f>+'4L'!BE20</f>
        <v>W3010RWS</v>
      </c>
      <c r="D3180" s="1882"/>
      <c r="E3180" s="1628" t="s">
        <v>8339</v>
      </c>
      <c r="F3180" s="1882"/>
      <c r="G3180" s="1882">
        <f>IF('4L'!J20="","##BLANK",'4L'!J20)</f>
        <v>0</v>
      </c>
    </row>
    <row r="3181" spans="2:7">
      <c r="B3181" s="821" t="str">
        <f>+'4L'!BE21</f>
        <v>W3011RWS</v>
      </c>
      <c r="D3181" s="1882"/>
      <c r="E3181" s="1628" t="s">
        <v>8339</v>
      </c>
      <c r="F3181" s="1882"/>
      <c r="G3181" s="1882">
        <f>IF('4L'!J21="","##BLANK",'4L'!J21)</f>
        <v>0</v>
      </c>
    </row>
    <row r="3182" spans="2:7">
      <c r="B3182" s="821" t="str">
        <f>+'4L'!BE22</f>
        <v>W3012RWS</v>
      </c>
      <c r="D3182" s="1882"/>
      <c r="E3182" s="1628" t="s">
        <v>8339</v>
      </c>
      <c r="F3182" s="1882"/>
      <c r="G3182" s="1882">
        <f>IF('4L'!J22="","##BLANK",'4L'!J22)</f>
        <v>0</v>
      </c>
    </row>
    <row r="3183" spans="2:7">
      <c r="B3183" s="821" t="str">
        <f>+'4L'!BE23</f>
        <v>WS2006RWS</v>
      </c>
      <c r="D3183" s="1882"/>
      <c r="E3183" s="1628" t="s">
        <v>8339</v>
      </c>
      <c r="F3183" s="1882"/>
      <c r="G3183" s="1882">
        <f>IF('4L'!J23="","##BLANK",'4L'!J23)</f>
        <v>0</v>
      </c>
    </row>
    <row r="3184" spans="2:7">
      <c r="B3184" s="821" t="str">
        <f>+'4L'!BE24</f>
        <v>WS2007RWS</v>
      </c>
      <c r="D3184" s="1882"/>
      <c r="E3184" s="1628" t="s">
        <v>8339</v>
      </c>
      <c r="F3184" s="1882"/>
      <c r="G3184" s="1882">
        <f>IF('4L'!J24="","##BLANK",'4L'!J24)</f>
        <v>0</v>
      </c>
    </row>
    <row r="3185" spans="2:7">
      <c r="B3185" s="821" t="str">
        <f>+'4L'!BE25</f>
        <v>WS2008RWS</v>
      </c>
      <c r="D3185" s="1882"/>
      <c r="E3185" s="1628" t="s">
        <v>8339</v>
      </c>
      <c r="F3185" s="1882"/>
      <c r="G3185" s="1882">
        <f>IF('4L'!J25="","##BLANK",'4L'!J25)</f>
        <v>0</v>
      </c>
    </row>
    <row r="3186" spans="2:7">
      <c r="B3186" s="821" t="str">
        <f>+'4L'!BE26</f>
        <v>W3027RWS</v>
      </c>
      <c r="D3186" s="1882"/>
      <c r="E3186" s="1628" t="s">
        <v>8339</v>
      </c>
      <c r="F3186" s="1882"/>
      <c r="G3186" s="1882">
        <f>IF('4L'!J26="","##BLANK",'4L'!J26)</f>
        <v>0</v>
      </c>
    </row>
    <row r="3187" spans="2:7">
      <c r="B3187" s="821" t="str">
        <f>+'4L'!BE27</f>
        <v>W3028OPTRWS</v>
      </c>
      <c r="D3187" s="1882"/>
      <c r="E3187" s="1628" t="s">
        <v>8339</v>
      </c>
      <c r="F3187" s="1882"/>
      <c r="G3187" s="1882">
        <f>IF('4L'!J27="","##BLANK",'4L'!J27)</f>
        <v>0</v>
      </c>
    </row>
    <row r="3188" spans="2:7">
      <c r="B3188" s="821" t="str">
        <f>+'4L'!BE28</f>
        <v>W3028COMRWS</v>
      </c>
      <c r="D3188" s="1882"/>
      <c r="E3188" s="1628" t="s">
        <v>8339</v>
      </c>
      <c r="F3188" s="1882"/>
      <c r="G3188" s="1882">
        <f>IF('4L'!J28="","##BLANK",'4L'!J28)</f>
        <v>0</v>
      </c>
    </row>
    <row r="3189" spans="2:7">
      <c r="B3189" s="821" t="str">
        <f>+'4L'!BE29</f>
        <v>W3028NHORWS</v>
      </c>
      <c r="D3189" s="1882"/>
      <c r="E3189" s="1628" t="s">
        <v>8339</v>
      </c>
      <c r="F3189" s="1882"/>
      <c r="G3189" s="1882">
        <f>IF('4L'!J29="","##BLANK",'4L'!J29)</f>
        <v>0</v>
      </c>
    </row>
    <row r="3190" spans="2:7">
      <c r="B3190" s="821" t="str">
        <f>+'4L'!BE30</f>
        <v>W3A00001RWS</v>
      </c>
      <c r="D3190" s="1882"/>
      <c r="E3190" s="1628" t="s">
        <v>8339</v>
      </c>
      <c r="F3190" s="1882" t="str">
        <f>+'4L'!C$30</f>
        <v>Capital expenditure purpose - WATER additional line 1 [Other categories]</v>
      </c>
      <c r="G3190" s="1882" t="str">
        <f>IF('4L'!J30="","##BLANK",'4L'!J30)</f>
        <v>##BLANK</v>
      </c>
    </row>
    <row r="3191" spans="2:7">
      <c r="B3191" s="821" t="str">
        <f>+'4L'!BE31</f>
        <v>W3A00002RWS</v>
      </c>
      <c r="D3191" s="1882"/>
      <c r="E3191" s="1628" t="s">
        <v>8339</v>
      </c>
      <c r="F3191" s="1882" t="str">
        <f>+'4L'!C$31</f>
        <v>Capital expenditure purpose - WATER additional line 2 [Other categories]</v>
      </c>
      <c r="G3191" s="1882" t="str">
        <f>IF('4L'!J31="","##BLANK",'4L'!J31)</f>
        <v>##BLANK</v>
      </c>
    </row>
    <row r="3192" spans="2:7">
      <c r="B3192" s="821" t="str">
        <f>+'4L'!BE32</f>
        <v>W3A00003RWS</v>
      </c>
      <c r="D3192" s="1882"/>
      <c r="E3192" s="1628" t="s">
        <v>8339</v>
      </c>
      <c r="F3192" s="1882" t="str">
        <f>+'4L'!C$32</f>
        <v>Capital expenditure purpose - WATER additional line 3 [Other categories]</v>
      </c>
      <c r="G3192" s="1882" t="str">
        <f>IF('4L'!J32="","##BLANK",'4L'!J32)</f>
        <v>##BLANK</v>
      </c>
    </row>
    <row r="3193" spans="2:7">
      <c r="B3193" s="821" t="str">
        <f>+'4L'!BE33</f>
        <v>W3A00004RWS</v>
      </c>
      <c r="D3193" s="1882"/>
      <c r="E3193" s="1628" t="s">
        <v>8339</v>
      </c>
      <c r="F3193" s="1882" t="str">
        <f>+'4L'!C$33</f>
        <v>Capital expenditure purpose - WATER additional line 4 [Other categories]</v>
      </c>
      <c r="G3193" s="1882" t="str">
        <f>IF('4L'!J33="","##BLANK",'4L'!J33)</f>
        <v>##BLANK</v>
      </c>
    </row>
    <row r="3194" spans="2:7">
      <c r="B3194" s="821" t="str">
        <f>+'4L'!BE34</f>
        <v>W3A00005RWS</v>
      </c>
      <c r="D3194" s="1882"/>
      <c r="E3194" s="1628" t="s">
        <v>8339</v>
      </c>
      <c r="F3194" s="1882" t="str">
        <f>+'4L'!C$34</f>
        <v>Capital expenditure purpose - WATER additional line 5 [Other categories]</v>
      </c>
      <c r="G3194" s="1882" t="str">
        <f>IF('4L'!J34="","##BLANK",'4L'!J34)</f>
        <v>##BLANK</v>
      </c>
    </row>
    <row r="3195" spans="2:7">
      <c r="B3195" s="821" t="str">
        <f>+'4L'!BE35</f>
        <v>W3A00006RWS</v>
      </c>
      <c r="D3195" s="1882"/>
      <c r="E3195" s="1628" t="s">
        <v>8339</v>
      </c>
      <c r="F3195" s="1882" t="str">
        <f>+'4L'!C$35</f>
        <v>Capital expenditure purpose - WATER additional line 6 [Other categories]</v>
      </c>
      <c r="G3195" s="1882" t="str">
        <f>IF('4L'!J35="","##BLANK",'4L'!J35)</f>
        <v>##BLANK</v>
      </c>
    </row>
    <row r="3196" spans="2:7">
      <c r="B3196" s="821" t="str">
        <f>+'4L'!BE36</f>
        <v>W3A00007RWS</v>
      </c>
      <c r="D3196" s="1882"/>
      <c r="E3196" s="1628" t="s">
        <v>8339</v>
      </c>
      <c r="F3196" s="1882" t="str">
        <f>+'4L'!C$36</f>
        <v>Capital expenditure purpose - WATER additional line 7 [Other categories]</v>
      </c>
      <c r="G3196" s="1882" t="str">
        <f>IF('4L'!J36="","##BLANK",'4L'!J36)</f>
        <v>##BLANK</v>
      </c>
    </row>
    <row r="3197" spans="2:7">
      <c r="B3197" s="821" t="str">
        <f>+'4L'!BE37</f>
        <v>W3A00008RWS</v>
      </c>
      <c r="D3197" s="1882"/>
      <c r="E3197" s="1628" t="s">
        <v>8339</v>
      </c>
      <c r="F3197" s="1882" t="str">
        <f>+'4L'!C$37</f>
        <v>Capital expenditure purpose - WATER additional line 8 [Other categories]</v>
      </c>
      <c r="G3197" s="1882" t="str">
        <f>IF('4L'!J37="","##BLANK",'4L'!J37)</f>
        <v>##BLANK</v>
      </c>
    </row>
    <row r="3198" spans="2:7">
      <c r="B3198" s="821" t="str">
        <f>+'4L'!BE38</f>
        <v>W3A00009RWS</v>
      </c>
      <c r="D3198" s="1882"/>
      <c r="E3198" s="1628" t="s">
        <v>8339</v>
      </c>
      <c r="F3198" s="1882" t="str">
        <f>+'4L'!C$38</f>
        <v>Capital expenditure purpose - WATER additional line 9 [Other categories]</v>
      </c>
      <c r="G3198" s="1882" t="str">
        <f>IF('4L'!J38="","##BLANK",'4L'!J38)</f>
        <v>##BLANK</v>
      </c>
    </row>
    <row r="3199" spans="2:7">
      <c r="B3199" s="821" t="str">
        <f>+'4L'!BE39</f>
        <v>W3A00010RWS</v>
      </c>
      <c r="D3199" s="1882"/>
      <c r="E3199" s="1628" t="s">
        <v>8339</v>
      </c>
      <c r="F3199" s="1882" t="str">
        <f>+'4L'!C$39</f>
        <v>Capital expenditure purpose - WATER additional line 10 [Other categories]</v>
      </c>
      <c r="G3199" s="1882" t="str">
        <f>IF('4L'!J39="","##BLANK",'4L'!J39)</f>
        <v>##BLANK</v>
      </c>
    </row>
    <row r="3200" spans="2:7">
      <c r="B3200" s="821" t="str">
        <f>+'4L'!BE40</f>
        <v>W3A00011RWS</v>
      </c>
      <c r="D3200" s="1882"/>
      <c r="E3200" s="1628" t="s">
        <v>8339</v>
      </c>
      <c r="F3200" s="1882" t="str">
        <f>+'4L'!C$40</f>
        <v>Capital expenditure purpose - WATER additional line 11 [Other categories]</v>
      </c>
      <c r="G3200" s="1882" t="str">
        <f>IF('4L'!J40="","##BLANK",'4L'!J40)</f>
        <v>##BLANK</v>
      </c>
    </row>
    <row r="3201" spans="2:7">
      <c r="B3201" s="821" t="str">
        <f>+'4L'!BE41</f>
        <v>W3A00012RWS</v>
      </c>
      <c r="D3201" s="1882"/>
      <c r="E3201" s="1628" t="s">
        <v>8339</v>
      </c>
      <c r="F3201" s="1882" t="str">
        <f>+'4L'!C$41</f>
        <v>Capital expenditure purpose - WATER additional line 12 [Other categories]</v>
      </c>
      <c r="G3201" s="1882" t="str">
        <f>IF('4L'!J41="","##BLANK",'4L'!J41)</f>
        <v>##BLANK</v>
      </c>
    </row>
    <row r="3202" spans="2:7">
      <c r="B3202" s="821" t="str">
        <f>+'4L'!BE42</f>
        <v>W3A00013RWS</v>
      </c>
      <c r="D3202" s="1882"/>
      <c r="E3202" s="1628" t="s">
        <v>8339</v>
      </c>
      <c r="F3202" s="1882" t="str">
        <f>+'4L'!C$42</f>
        <v>Capital expenditure purpose - WATER additional line 13 [Other categories]</v>
      </c>
      <c r="G3202" s="1882" t="str">
        <f>IF('4L'!J42="","##BLANK",'4L'!J42)</f>
        <v>##BLANK</v>
      </c>
    </row>
    <row r="3203" spans="2:7">
      <c r="B3203" s="821" t="str">
        <f>+'4L'!BE43</f>
        <v>W3A00014RWS</v>
      </c>
      <c r="D3203" s="1882"/>
      <c r="E3203" s="1628" t="s">
        <v>8339</v>
      </c>
      <c r="F3203" s="1882" t="str">
        <f>+'4L'!C$43</f>
        <v>Capital expenditure purpose - WATER additional line 14 [Other categories]</v>
      </c>
      <c r="G3203" s="1882" t="str">
        <f>IF('4L'!J43="","##BLANK",'4L'!J43)</f>
        <v>##BLANK</v>
      </c>
    </row>
    <row r="3204" spans="2:7">
      <c r="B3204" s="821" t="str">
        <f>+'4L'!BE44</f>
        <v>W3A00015RWS</v>
      </c>
      <c r="D3204" s="1882"/>
      <c r="E3204" s="1628" t="s">
        <v>8339</v>
      </c>
      <c r="F3204" s="1882" t="str">
        <f>+'4L'!C$44</f>
        <v>Capital expenditure purpose - WATER additional line 15 [Other categories]</v>
      </c>
      <c r="G3204" s="1882" t="str">
        <f>IF('4L'!J44="","##BLANK",'4L'!J44)</f>
        <v>##BLANK</v>
      </c>
    </row>
    <row r="3205" spans="2:7">
      <c r="B3205" s="821" t="str">
        <f>+'4L'!BE45</f>
        <v>BA2070RWS</v>
      </c>
      <c r="D3205" s="1882"/>
      <c r="E3205" s="1628" t="s">
        <v>8339</v>
      </c>
      <c r="F3205" s="1882"/>
      <c r="G3205" s="1882">
        <f>IF('4L'!J45="","##BLANK",'4L'!J45)</f>
        <v>0</v>
      </c>
    </row>
    <row r="3206" spans="2:7">
      <c r="B3206" s="821" t="str">
        <f>+'4L'!BF8</f>
        <v>W3001WT</v>
      </c>
      <c r="D3206" s="1882"/>
      <c r="E3206" s="1628" t="s">
        <v>8339</v>
      </c>
      <c r="F3206" s="1882"/>
      <c r="G3206" s="1882">
        <f>IF('4L'!K8="","##BLANK",'4L'!K8)</f>
        <v>0</v>
      </c>
    </row>
    <row r="3207" spans="2:7">
      <c r="B3207" s="821" t="str">
        <f>+'4L'!BF9</f>
        <v>WS2002WT</v>
      </c>
      <c r="D3207" s="1882"/>
      <c r="E3207" s="1628" t="s">
        <v>8339</v>
      </c>
      <c r="F3207" s="1882"/>
      <c r="G3207" s="1882">
        <f>IF('4L'!K9="","##BLANK",'4L'!K9)</f>
        <v>0</v>
      </c>
    </row>
    <row r="3208" spans="2:7">
      <c r="B3208" s="821" t="str">
        <f>+'4L'!BF10</f>
        <v>WS2003WT</v>
      </c>
      <c r="D3208" s="1882"/>
      <c r="E3208" s="1628" t="s">
        <v>8339</v>
      </c>
      <c r="F3208" s="1882"/>
      <c r="G3208" s="1882">
        <f>IF('4L'!K10="","##BLANK",'4L'!K10)</f>
        <v>0</v>
      </c>
    </row>
    <row r="3209" spans="2:7">
      <c r="B3209" s="821" t="str">
        <f>+'4L'!BF11</f>
        <v>W3002WT</v>
      </c>
      <c r="D3209" s="1882"/>
      <c r="E3209" s="1628" t="s">
        <v>8339</v>
      </c>
      <c r="F3209" s="1882"/>
      <c r="G3209" s="1882">
        <f>IF('4L'!K11="","##BLANK",'4L'!K11)</f>
        <v>0</v>
      </c>
    </row>
    <row r="3210" spans="2:7">
      <c r="B3210" s="821" t="str">
        <f>+'4L'!BF12</f>
        <v>W3003WT</v>
      </c>
      <c r="D3210" s="1882"/>
      <c r="E3210" s="1628" t="s">
        <v>8339</v>
      </c>
      <c r="F3210" s="1882"/>
      <c r="G3210" s="1882">
        <f>IF('4L'!K12="","##BLANK",'4L'!K12)</f>
        <v>0</v>
      </c>
    </row>
    <row r="3211" spans="2:7">
      <c r="B3211" s="821" t="str">
        <f>+'4L'!BF13</f>
        <v>W3006WT</v>
      </c>
      <c r="D3211" s="1882"/>
      <c r="E3211" s="1628" t="s">
        <v>8339</v>
      </c>
      <c r="F3211" s="1882"/>
      <c r="G3211" s="1882">
        <f>IF('4L'!K13="","##BLANK",'4L'!K13)</f>
        <v>0</v>
      </c>
    </row>
    <row r="3212" spans="2:7">
      <c r="B3212" s="821" t="str">
        <f>+'4L'!BF14</f>
        <v>W3007SWT</v>
      </c>
      <c r="D3212" s="1882"/>
      <c r="E3212" s="1628" t="s">
        <v>8339</v>
      </c>
      <c r="F3212" s="1882"/>
      <c r="G3212" s="1882">
        <f>IF('4L'!K14="","##BLANK",'4L'!K14)</f>
        <v>0</v>
      </c>
    </row>
    <row r="3213" spans="2:7">
      <c r="B3213" s="821" t="str">
        <f>+'4L'!BF15</f>
        <v>W3008SWT</v>
      </c>
      <c r="D3213" s="1882"/>
      <c r="E3213" s="1628" t="s">
        <v>8339</v>
      </c>
      <c r="F3213" s="1882"/>
      <c r="G3213" s="1882">
        <f>IF('4L'!K15="","##BLANK",'4L'!K15)</f>
        <v>0</v>
      </c>
    </row>
    <row r="3214" spans="2:7">
      <c r="B3214" s="821" t="str">
        <f>+'4L'!BF16</f>
        <v>W3007DWT</v>
      </c>
      <c r="D3214" s="1882"/>
      <c r="E3214" s="1628" t="s">
        <v>8339</v>
      </c>
      <c r="F3214" s="1882"/>
      <c r="G3214" s="1882">
        <f>IF('4L'!K16="","##BLANK",'4L'!K16)</f>
        <v>0</v>
      </c>
    </row>
    <row r="3215" spans="2:7">
      <c r="B3215" s="821" t="str">
        <f>+'4L'!BF17</f>
        <v>W3008DWT</v>
      </c>
      <c r="D3215" s="1882"/>
      <c r="E3215" s="1628" t="s">
        <v>8339</v>
      </c>
      <c r="F3215" s="1882"/>
      <c r="G3215" s="1882">
        <f>IF('4L'!K17="","##BLANK",'4L'!K17)</f>
        <v>0</v>
      </c>
    </row>
    <row r="3216" spans="2:7">
      <c r="B3216" s="821" t="str">
        <f>+'4L'!BF18</f>
        <v>W3009WT</v>
      </c>
      <c r="D3216" s="1882"/>
      <c r="E3216" s="1628" t="s">
        <v>8339</v>
      </c>
      <c r="F3216" s="1882"/>
      <c r="G3216" s="1882">
        <f>IF('4L'!K18="","##BLANK",'4L'!K18)</f>
        <v>0</v>
      </c>
    </row>
    <row r="3217" spans="2:7">
      <c r="B3217" s="821" t="str">
        <f>+'4L'!BF19</f>
        <v>WS2004WT</v>
      </c>
      <c r="D3217" s="1882"/>
      <c r="E3217" s="1628" t="s">
        <v>8339</v>
      </c>
      <c r="F3217" s="1882"/>
      <c r="G3217" s="1882">
        <f>IF('4L'!K19="","##BLANK",'4L'!K19)</f>
        <v>0</v>
      </c>
    </row>
    <row r="3218" spans="2:7">
      <c r="B3218" s="821" t="str">
        <f>+'4L'!BF20</f>
        <v>W3010WT</v>
      </c>
      <c r="D3218" s="1882"/>
      <c r="E3218" s="1628" t="s">
        <v>8339</v>
      </c>
      <c r="F3218" s="1882"/>
      <c r="G3218" s="1882">
        <f>IF('4L'!K20="","##BLANK",'4L'!K20)</f>
        <v>0.16500000000000001</v>
      </c>
    </row>
    <row r="3219" spans="2:7">
      <c r="B3219" s="821" t="str">
        <f>+'4L'!BF21</f>
        <v>W3011WT</v>
      </c>
      <c r="D3219" s="1882"/>
      <c r="E3219" s="1628" t="s">
        <v>8339</v>
      </c>
      <c r="F3219" s="1882"/>
      <c r="G3219" s="1882">
        <f>IF('4L'!K21="","##BLANK",'4L'!K21)</f>
        <v>0</v>
      </c>
    </row>
    <row r="3220" spans="2:7">
      <c r="B3220" s="821" t="str">
        <f>+'4L'!BF22</f>
        <v>W3012WT</v>
      </c>
      <c r="D3220" s="1882"/>
      <c r="E3220" s="1628" t="s">
        <v>8339</v>
      </c>
      <c r="F3220" s="1882"/>
      <c r="G3220" s="1882">
        <f>IF('4L'!K22="","##BLANK",'4L'!K22)</f>
        <v>0.19600000000000001</v>
      </c>
    </row>
    <row r="3221" spans="2:7">
      <c r="B3221" s="821" t="str">
        <f>+'4L'!BF23</f>
        <v>WS2006WT</v>
      </c>
      <c r="D3221" s="1882"/>
      <c r="E3221" s="1628" t="s">
        <v>8339</v>
      </c>
      <c r="F3221" s="1882"/>
      <c r="G3221" s="1882">
        <f>IF('4L'!K23="","##BLANK",'4L'!K23)</f>
        <v>0</v>
      </c>
    </row>
    <row r="3222" spans="2:7">
      <c r="B3222" s="821" t="str">
        <f>+'4L'!BF24</f>
        <v>WS2007WT</v>
      </c>
      <c r="D3222" s="1882"/>
      <c r="E3222" s="1628" t="s">
        <v>8339</v>
      </c>
      <c r="F3222" s="1882"/>
      <c r="G3222" s="1882">
        <f>IF('4L'!K24="","##BLANK",'4L'!K24)</f>
        <v>0</v>
      </c>
    </row>
    <row r="3223" spans="2:7">
      <c r="B3223" s="821" t="str">
        <f>+'4L'!BF25</f>
        <v>WS2008WT</v>
      </c>
      <c r="D3223" s="1882"/>
      <c r="E3223" s="1628" t="s">
        <v>8339</v>
      </c>
      <c r="F3223" s="1882"/>
      <c r="G3223" s="1882">
        <f>IF('4L'!K25="","##BLANK",'4L'!K25)</f>
        <v>0</v>
      </c>
    </row>
    <row r="3224" spans="2:7">
      <c r="B3224" s="821" t="str">
        <f>+'4L'!BF26</f>
        <v>W3027WT</v>
      </c>
      <c r="D3224" s="1882"/>
      <c r="E3224" s="1628" t="s">
        <v>8339</v>
      </c>
      <c r="F3224" s="1882"/>
      <c r="G3224" s="1882">
        <f>IF('4L'!K26="","##BLANK",'4L'!K26)</f>
        <v>0</v>
      </c>
    </row>
    <row r="3225" spans="2:7">
      <c r="B3225" s="821" t="str">
        <f>+'4L'!BF27</f>
        <v>W3028OPTWT</v>
      </c>
      <c r="D3225" s="1882"/>
      <c r="E3225" s="1628" t="s">
        <v>8339</v>
      </c>
      <c r="F3225" s="1882"/>
      <c r="G3225" s="1882">
        <f>IF('4L'!K27="","##BLANK",'4L'!K27)</f>
        <v>0</v>
      </c>
    </row>
    <row r="3226" spans="2:7">
      <c r="B3226" s="821" t="str">
        <f>+'4L'!BF28</f>
        <v>W3028COMWT</v>
      </c>
      <c r="D3226" s="1882"/>
      <c r="E3226" s="1628" t="s">
        <v>8339</v>
      </c>
      <c r="F3226" s="1882"/>
      <c r="G3226" s="1882">
        <f>IF('4L'!K28="","##BLANK",'4L'!K28)</f>
        <v>0</v>
      </c>
    </row>
    <row r="3227" spans="2:7">
      <c r="B3227" s="821" t="str">
        <f>+'4L'!BF29</f>
        <v>W3028NHOWT</v>
      </c>
      <c r="D3227" s="1882"/>
      <c r="E3227" s="1628" t="s">
        <v>8339</v>
      </c>
      <c r="F3227" s="1882"/>
      <c r="G3227" s="1882">
        <f>IF('4L'!K29="","##BLANK",'4L'!K29)</f>
        <v>0</v>
      </c>
    </row>
    <row r="3228" spans="2:7">
      <c r="B3228" s="821" t="str">
        <f>+'4L'!BF30</f>
        <v>W3A00001WT</v>
      </c>
      <c r="D3228" s="1882"/>
      <c r="E3228" s="1628" t="s">
        <v>8339</v>
      </c>
      <c r="F3228" s="1882" t="str">
        <f>+'4L'!C$30</f>
        <v>Capital expenditure purpose - WATER additional line 1 [Other categories]</v>
      </c>
      <c r="G3228" s="1882" t="str">
        <f>IF('4L'!K30="","##BLANK",'4L'!K30)</f>
        <v>##BLANK</v>
      </c>
    </row>
    <row r="3229" spans="2:7">
      <c r="B3229" s="821" t="str">
        <f>+'4L'!BF31</f>
        <v>W3A00002WT</v>
      </c>
      <c r="D3229" s="1882"/>
      <c r="E3229" s="1628" t="s">
        <v>8339</v>
      </c>
      <c r="F3229" s="1882" t="str">
        <f>+'4L'!C$31</f>
        <v>Capital expenditure purpose - WATER additional line 2 [Other categories]</v>
      </c>
      <c r="G3229" s="1882" t="str">
        <f>IF('4L'!K31="","##BLANK",'4L'!K31)</f>
        <v>##BLANK</v>
      </c>
    </row>
    <row r="3230" spans="2:7">
      <c r="B3230" s="821" t="str">
        <f>+'4L'!BF32</f>
        <v>W3A00003WT</v>
      </c>
      <c r="D3230" s="1882"/>
      <c r="E3230" s="1628" t="s">
        <v>8339</v>
      </c>
      <c r="F3230" s="1882" t="str">
        <f>+'4L'!C$32</f>
        <v>Capital expenditure purpose - WATER additional line 3 [Other categories]</v>
      </c>
      <c r="G3230" s="1882" t="str">
        <f>IF('4L'!K32="","##BLANK",'4L'!K32)</f>
        <v>##BLANK</v>
      </c>
    </row>
    <row r="3231" spans="2:7">
      <c r="B3231" s="821" t="str">
        <f>+'4L'!BF33</f>
        <v>W3A00004WT</v>
      </c>
      <c r="D3231" s="1882"/>
      <c r="E3231" s="1628" t="s">
        <v>8339</v>
      </c>
      <c r="F3231" s="1882" t="str">
        <f>+'4L'!C$33</f>
        <v>Capital expenditure purpose - WATER additional line 4 [Other categories]</v>
      </c>
      <c r="G3231" s="1882" t="str">
        <f>IF('4L'!K33="","##BLANK",'4L'!K33)</f>
        <v>##BLANK</v>
      </c>
    </row>
    <row r="3232" spans="2:7">
      <c r="B3232" s="821" t="str">
        <f>+'4L'!BF34</f>
        <v>W3A00005WT</v>
      </c>
      <c r="D3232" s="1882"/>
      <c r="E3232" s="1628" t="s">
        <v>8339</v>
      </c>
      <c r="F3232" s="1882" t="str">
        <f>+'4L'!C$34</f>
        <v>Capital expenditure purpose - WATER additional line 5 [Other categories]</v>
      </c>
      <c r="G3232" s="1882" t="str">
        <f>IF('4L'!K34="","##BLANK",'4L'!K34)</f>
        <v>##BLANK</v>
      </c>
    </row>
    <row r="3233" spans="2:7">
      <c r="B3233" s="821" t="str">
        <f>+'4L'!BF35</f>
        <v>W3A00006WT</v>
      </c>
      <c r="D3233" s="1882"/>
      <c r="E3233" s="1628" t="s">
        <v>8339</v>
      </c>
      <c r="F3233" s="1882" t="str">
        <f>+'4L'!C$35</f>
        <v>Capital expenditure purpose - WATER additional line 6 [Other categories]</v>
      </c>
      <c r="G3233" s="1882" t="str">
        <f>IF('4L'!K35="","##BLANK",'4L'!K35)</f>
        <v>##BLANK</v>
      </c>
    </row>
    <row r="3234" spans="2:7">
      <c r="B3234" s="821" t="str">
        <f>+'4L'!BF36</f>
        <v>W3A00007WT</v>
      </c>
      <c r="D3234" s="1882"/>
      <c r="E3234" s="1628" t="s">
        <v>8339</v>
      </c>
      <c r="F3234" s="1882" t="str">
        <f>+'4L'!C$36</f>
        <v>Capital expenditure purpose - WATER additional line 7 [Other categories]</v>
      </c>
      <c r="G3234" s="1882" t="str">
        <f>IF('4L'!K36="","##BLANK",'4L'!K36)</f>
        <v>##BLANK</v>
      </c>
    </row>
    <row r="3235" spans="2:7">
      <c r="B3235" s="821" t="str">
        <f>+'4L'!BF37</f>
        <v>W3A00008WT</v>
      </c>
      <c r="D3235" s="1882"/>
      <c r="E3235" s="1628" t="s">
        <v>8339</v>
      </c>
      <c r="F3235" s="1882" t="str">
        <f>+'4L'!C$37</f>
        <v>Capital expenditure purpose - WATER additional line 8 [Other categories]</v>
      </c>
      <c r="G3235" s="1882" t="str">
        <f>IF('4L'!K37="","##BLANK",'4L'!K37)</f>
        <v>##BLANK</v>
      </c>
    </row>
    <row r="3236" spans="2:7">
      <c r="B3236" s="821" t="str">
        <f>+'4L'!BF38</f>
        <v>W3A00009WT</v>
      </c>
      <c r="D3236" s="1882"/>
      <c r="E3236" s="1628" t="s">
        <v>8339</v>
      </c>
      <c r="F3236" s="1882" t="str">
        <f>+'4L'!C$38</f>
        <v>Capital expenditure purpose - WATER additional line 9 [Other categories]</v>
      </c>
      <c r="G3236" s="1882" t="str">
        <f>IF('4L'!K38="","##BLANK",'4L'!K38)</f>
        <v>##BLANK</v>
      </c>
    </row>
    <row r="3237" spans="2:7">
      <c r="B3237" s="821" t="str">
        <f>+'4L'!BF39</f>
        <v>W3A00010WT</v>
      </c>
      <c r="D3237" s="1882"/>
      <c r="E3237" s="1628" t="s">
        <v>8339</v>
      </c>
      <c r="F3237" s="1882" t="str">
        <f>+'4L'!C$39</f>
        <v>Capital expenditure purpose - WATER additional line 10 [Other categories]</v>
      </c>
      <c r="G3237" s="1882" t="str">
        <f>IF('4L'!K39="","##BLANK",'4L'!K39)</f>
        <v>##BLANK</v>
      </c>
    </row>
    <row r="3238" spans="2:7">
      <c r="B3238" s="821" t="str">
        <f>+'4L'!BF40</f>
        <v>W3A00011WT</v>
      </c>
      <c r="D3238" s="1882"/>
      <c r="E3238" s="1628" t="s">
        <v>8339</v>
      </c>
      <c r="F3238" s="1882" t="str">
        <f>+'4L'!C$40</f>
        <v>Capital expenditure purpose - WATER additional line 11 [Other categories]</v>
      </c>
      <c r="G3238" s="1882" t="str">
        <f>IF('4L'!K40="","##BLANK",'4L'!K40)</f>
        <v>##BLANK</v>
      </c>
    </row>
    <row r="3239" spans="2:7">
      <c r="B3239" s="821" t="str">
        <f>+'4L'!BF41</f>
        <v>W3A00012WT</v>
      </c>
      <c r="D3239" s="1882"/>
      <c r="E3239" s="1628" t="s">
        <v>8339</v>
      </c>
      <c r="F3239" s="1882" t="str">
        <f>+'4L'!C$41</f>
        <v>Capital expenditure purpose - WATER additional line 12 [Other categories]</v>
      </c>
      <c r="G3239" s="1882" t="str">
        <f>IF('4L'!K41="","##BLANK",'4L'!K41)</f>
        <v>##BLANK</v>
      </c>
    </row>
    <row r="3240" spans="2:7">
      <c r="B3240" s="821" t="str">
        <f>+'4L'!BF42</f>
        <v>W3A00013WT</v>
      </c>
      <c r="D3240" s="1882"/>
      <c r="E3240" s="1628" t="s">
        <v>8339</v>
      </c>
      <c r="F3240" s="1882" t="str">
        <f>+'4L'!C$42</f>
        <v>Capital expenditure purpose - WATER additional line 13 [Other categories]</v>
      </c>
      <c r="G3240" s="1882" t="str">
        <f>IF('4L'!K42="","##BLANK",'4L'!K42)</f>
        <v>##BLANK</v>
      </c>
    </row>
    <row r="3241" spans="2:7">
      <c r="B3241" s="821" t="str">
        <f>+'4L'!BF43</f>
        <v>W3A00014WT</v>
      </c>
      <c r="D3241" s="1882"/>
      <c r="E3241" s="1628" t="s">
        <v>8339</v>
      </c>
      <c r="F3241" s="1882" t="str">
        <f>+'4L'!C$43</f>
        <v>Capital expenditure purpose - WATER additional line 14 [Other categories]</v>
      </c>
      <c r="G3241" s="1882" t="str">
        <f>IF('4L'!K43="","##BLANK",'4L'!K43)</f>
        <v>##BLANK</v>
      </c>
    </row>
    <row r="3242" spans="2:7">
      <c r="B3242" s="821" t="str">
        <f>+'4L'!BF44</f>
        <v>W3A00015WT</v>
      </c>
      <c r="D3242" s="1882"/>
      <c r="E3242" s="1628" t="s">
        <v>8339</v>
      </c>
      <c r="F3242" s="1882" t="str">
        <f>+'4L'!C$44</f>
        <v>Capital expenditure purpose - WATER additional line 15 [Other categories]</v>
      </c>
      <c r="G3242" s="1882" t="str">
        <f>IF('4L'!K44="","##BLANK",'4L'!K44)</f>
        <v>##BLANK</v>
      </c>
    </row>
    <row r="3243" spans="2:7">
      <c r="B3243" s="821" t="str">
        <f>+'4L'!BF45</f>
        <v>BA2070WT</v>
      </c>
      <c r="D3243" s="1882"/>
      <c r="E3243" s="1628" t="s">
        <v>8339</v>
      </c>
      <c r="F3243" s="1882"/>
      <c r="G3243" s="1882">
        <f>IF('4L'!K45="","##BLANK",'4L'!K45)</f>
        <v>0.36099999999999999</v>
      </c>
    </row>
    <row r="3244" spans="2:7">
      <c r="B3244" s="821" t="str">
        <f>+'4L'!BG8</f>
        <v>W3001TWD</v>
      </c>
      <c r="D3244" s="1882"/>
      <c r="E3244" s="1628" t="s">
        <v>8339</v>
      </c>
      <c r="F3244" s="1882"/>
      <c r="G3244" s="1882">
        <f>IF('4L'!L8="","##BLANK",'4L'!L8)</f>
        <v>0</v>
      </c>
    </row>
    <row r="3245" spans="2:7">
      <c r="B3245" s="821" t="str">
        <f>+'4L'!BG9</f>
        <v>WS2002TWD</v>
      </c>
      <c r="D3245" s="1882"/>
      <c r="E3245" s="1628" t="s">
        <v>8339</v>
      </c>
      <c r="F3245" s="1882"/>
      <c r="G3245" s="1882">
        <f>IF('4L'!L9="","##BLANK",'4L'!L9)</f>
        <v>0</v>
      </c>
    </row>
    <row r="3246" spans="2:7">
      <c r="B3246" s="821" t="str">
        <f>+'4L'!BG10</f>
        <v>WS2003TWD</v>
      </c>
      <c r="D3246" s="1882"/>
      <c r="E3246" s="1628" t="s">
        <v>8339</v>
      </c>
      <c r="F3246" s="1882"/>
      <c r="G3246" s="1882">
        <f>IF('4L'!L10="","##BLANK",'4L'!L10)</f>
        <v>0</v>
      </c>
    </row>
    <row r="3247" spans="2:7">
      <c r="B3247" s="821" t="str">
        <f>+'4L'!BG11</f>
        <v>W3002TWD</v>
      </c>
      <c r="D3247" s="1882"/>
      <c r="E3247" s="1628" t="s">
        <v>8339</v>
      </c>
      <c r="F3247" s="1882"/>
      <c r="G3247" s="1882">
        <f>IF('4L'!L11="","##BLANK",'4L'!L11)</f>
        <v>0</v>
      </c>
    </row>
    <row r="3248" spans="2:7">
      <c r="B3248" s="821" t="str">
        <f>+'4L'!BG12</f>
        <v>W3003TWD</v>
      </c>
      <c r="D3248" s="1882"/>
      <c r="E3248" s="1628" t="s">
        <v>8339</v>
      </c>
      <c r="F3248" s="1882"/>
      <c r="G3248" s="1882">
        <f>IF('4L'!L12="","##BLANK",'4L'!L12)</f>
        <v>0</v>
      </c>
    </row>
    <row r="3249" spans="2:7">
      <c r="B3249" s="821" t="str">
        <f>+'4L'!BG13</f>
        <v>W3006TWD</v>
      </c>
      <c r="D3249" s="1882"/>
      <c r="E3249" s="1628" t="s">
        <v>8339</v>
      </c>
      <c r="F3249" s="1882"/>
      <c r="G3249" s="1882">
        <f>IF('4L'!L13="","##BLANK",'4L'!L13)</f>
        <v>8.3000000000000004E-2</v>
      </c>
    </row>
    <row r="3250" spans="2:7">
      <c r="B3250" s="821" t="str">
        <f>+'4L'!BG14</f>
        <v>W3007STWD</v>
      </c>
      <c r="D3250" s="1882"/>
      <c r="E3250" s="1628" t="s">
        <v>8339</v>
      </c>
      <c r="F3250" s="1882"/>
      <c r="G3250" s="1882">
        <f>IF('4L'!L14="","##BLANK",'4L'!L14)</f>
        <v>0</v>
      </c>
    </row>
    <row r="3251" spans="2:7">
      <c r="B3251" s="821" t="str">
        <f>+'4L'!BG15</f>
        <v>W3008STWD</v>
      </c>
      <c r="D3251" s="1882"/>
      <c r="E3251" s="1628" t="s">
        <v>8339</v>
      </c>
      <c r="F3251" s="1882"/>
      <c r="G3251" s="1882">
        <f>IF('4L'!L15="","##BLANK",'4L'!L15)</f>
        <v>0</v>
      </c>
    </row>
    <row r="3252" spans="2:7">
      <c r="B3252" s="821" t="str">
        <f>+'4L'!BG16</f>
        <v>W3007DTWD</v>
      </c>
      <c r="D3252" s="1882"/>
      <c r="E3252" s="1628" t="s">
        <v>8339</v>
      </c>
      <c r="F3252" s="1882"/>
      <c r="G3252" s="1882">
        <f>IF('4L'!L16="","##BLANK",'4L'!L16)</f>
        <v>0</v>
      </c>
    </row>
    <row r="3253" spans="2:7">
      <c r="B3253" s="821" t="str">
        <f>+'4L'!BG17</f>
        <v>W3008DTWD</v>
      </c>
      <c r="D3253" s="1882"/>
      <c r="E3253" s="1628" t="s">
        <v>8339</v>
      </c>
      <c r="F3253" s="1882"/>
      <c r="G3253" s="1882">
        <f>IF('4L'!L17="","##BLANK",'4L'!L17)</f>
        <v>2.2149999999999999</v>
      </c>
    </row>
    <row r="3254" spans="2:7">
      <c r="B3254" s="821" t="str">
        <f>+'4L'!BG18</f>
        <v>W3009TWD</v>
      </c>
      <c r="D3254" s="1882"/>
      <c r="E3254" s="1628" t="s">
        <v>8339</v>
      </c>
      <c r="F3254" s="1882"/>
      <c r="G3254" s="1882">
        <f>IF('4L'!L18="","##BLANK",'4L'!L18)</f>
        <v>5.6050000000000004</v>
      </c>
    </row>
    <row r="3255" spans="2:7">
      <c r="B3255" s="821" t="str">
        <f>+'4L'!BG19</f>
        <v>WS2004TWD</v>
      </c>
      <c r="D3255" s="1882"/>
      <c r="E3255" s="1628" t="s">
        <v>8339</v>
      </c>
      <c r="F3255" s="1882"/>
      <c r="G3255" s="1882">
        <f>IF('4L'!L19="","##BLANK",'4L'!L19)</f>
        <v>3.0139999999999998</v>
      </c>
    </row>
    <row r="3256" spans="2:7">
      <c r="B3256" s="821" t="str">
        <f>+'4L'!BG20</f>
        <v>W3010TWD</v>
      </c>
      <c r="D3256" s="1882"/>
      <c r="E3256" s="1628" t="s">
        <v>8339</v>
      </c>
      <c r="F3256" s="1882"/>
      <c r="G3256" s="1882">
        <f>IF('4L'!L20="","##BLANK",'4L'!L20)</f>
        <v>0</v>
      </c>
    </row>
    <row r="3257" spans="2:7">
      <c r="B3257" s="821" t="str">
        <f>+'4L'!BG21</f>
        <v>W3011TWD</v>
      </c>
      <c r="D3257" s="1882"/>
      <c r="E3257" s="1628" t="s">
        <v>8339</v>
      </c>
      <c r="F3257" s="1882"/>
      <c r="G3257" s="1882">
        <f>IF('4L'!L21="","##BLANK",'4L'!L21)</f>
        <v>0.877</v>
      </c>
    </row>
    <row r="3258" spans="2:7">
      <c r="B3258" s="821" t="str">
        <f>+'4L'!BG22</f>
        <v>W3012TWD</v>
      </c>
      <c r="D3258" s="1882"/>
      <c r="E3258" s="1628" t="s">
        <v>8339</v>
      </c>
      <c r="F3258" s="1882"/>
      <c r="G3258" s="1882">
        <f>IF('4L'!L22="","##BLANK",'4L'!L22)</f>
        <v>0.52200000000000002</v>
      </c>
    </row>
    <row r="3259" spans="2:7">
      <c r="B3259" s="821" t="str">
        <f>+'4L'!BG23</f>
        <v>WS2006TWD</v>
      </c>
      <c r="D3259" s="1882"/>
      <c r="E3259" s="1628" t="s">
        <v>8339</v>
      </c>
      <c r="F3259" s="1882"/>
      <c r="G3259" s="1882">
        <f>IF('4L'!L23="","##BLANK",'4L'!L23)</f>
        <v>0</v>
      </c>
    </row>
    <row r="3260" spans="2:7">
      <c r="B3260" s="821" t="str">
        <f>+'4L'!BG24</f>
        <v>WS2007TWD</v>
      </c>
      <c r="D3260" s="1882"/>
      <c r="E3260" s="1628" t="s">
        <v>8339</v>
      </c>
      <c r="F3260" s="1882"/>
      <c r="G3260" s="1882">
        <f>IF('4L'!L24="","##BLANK",'4L'!L24)</f>
        <v>0</v>
      </c>
    </row>
    <row r="3261" spans="2:7">
      <c r="B3261" s="821" t="str">
        <f>+'4L'!BG25</f>
        <v>WS2008TWD</v>
      </c>
      <c r="D3261" s="1882"/>
      <c r="E3261" s="1628" t="s">
        <v>8339</v>
      </c>
      <c r="F3261" s="1882"/>
      <c r="G3261" s="1882">
        <f>IF('4L'!L25="","##BLANK",'4L'!L25)</f>
        <v>0</v>
      </c>
    </row>
    <row r="3262" spans="2:7">
      <c r="B3262" s="821" t="str">
        <f>+'4L'!BG26</f>
        <v>W3027TWD</v>
      </c>
      <c r="D3262" s="1882"/>
      <c r="E3262" s="1628" t="s">
        <v>8339</v>
      </c>
      <c r="F3262" s="1882"/>
      <c r="G3262" s="1882">
        <f>IF('4L'!L26="","##BLANK",'4L'!L26)</f>
        <v>0</v>
      </c>
    </row>
    <row r="3263" spans="2:7">
      <c r="B3263" s="821" t="str">
        <f>+'4L'!BG27</f>
        <v>W3028OPTTWD</v>
      </c>
      <c r="D3263" s="1882"/>
      <c r="E3263" s="1628" t="s">
        <v>8339</v>
      </c>
      <c r="F3263" s="1882"/>
      <c r="G3263" s="1882">
        <f>IF('4L'!L27="","##BLANK",'4L'!L27)</f>
        <v>2.0179999999999998</v>
      </c>
    </row>
    <row r="3264" spans="2:7">
      <c r="B3264" s="821" t="str">
        <f>+'4L'!BG28</f>
        <v>W3028COMTWD</v>
      </c>
      <c r="D3264" s="1882"/>
      <c r="E3264" s="1628" t="s">
        <v>8339</v>
      </c>
      <c r="F3264" s="1882"/>
      <c r="G3264" s="1882">
        <f>IF('4L'!L28="","##BLANK",'4L'!L28)</f>
        <v>2.5270000000000001</v>
      </c>
    </row>
    <row r="3265" spans="2:7">
      <c r="B3265" s="821" t="str">
        <f>+'4L'!BG29</f>
        <v>W3028NHOTWD</v>
      </c>
      <c r="D3265" s="1882"/>
      <c r="E3265" s="1628" t="s">
        <v>8339</v>
      </c>
      <c r="F3265" s="1882"/>
      <c r="G3265" s="1882">
        <f>IF('4L'!L29="","##BLANK",'4L'!L29)</f>
        <v>4.1000000000000002E-2</v>
      </c>
    </row>
    <row r="3266" spans="2:7">
      <c r="B3266" s="821" t="str">
        <f>+'4L'!BG30</f>
        <v>W3A00001TWD</v>
      </c>
      <c r="D3266" s="1882"/>
      <c r="E3266" s="1628" t="s">
        <v>8339</v>
      </c>
      <c r="F3266" s="1882" t="str">
        <f>+'4L'!C$30</f>
        <v>Capital expenditure purpose - WATER additional line 1 [Other categories]</v>
      </c>
      <c r="G3266" s="1882" t="str">
        <f>IF('4L'!L30="","##BLANK",'4L'!L30)</f>
        <v>##BLANK</v>
      </c>
    </row>
    <row r="3267" spans="2:7">
      <c r="B3267" s="821" t="str">
        <f>+'4L'!BG31</f>
        <v>W3A00002TWD</v>
      </c>
      <c r="D3267" s="1882"/>
      <c r="E3267" s="1628" t="s">
        <v>8339</v>
      </c>
      <c r="F3267" s="1882" t="str">
        <f>+'4L'!C$31</f>
        <v>Capital expenditure purpose - WATER additional line 2 [Other categories]</v>
      </c>
      <c r="G3267" s="1882" t="str">
        <f>IF('4L'!L31="","##BLANK",'4L'!L31)</f>
        <v>##BLANK</v>
      </c>
    </row>
    <row r="3268" spans="2:7">
      <c r="B3268" s="821" t="str">
        <f>+'4L'!BG32</f>
        <v>W3A00003TWD</v>
      </c>
      <c r="D3268" s="1882"/>
      <c r="E3268" s="1628" t="s">
        <v>8339</v>
      </c>
      <c r="F3268" s="1882" t="str">
        <f>+'4L'!C$32</f>
        <v>Capital expenditure purpose - WATER additional line 3 [Other categories]</v>
      </c>
      <c r="G3268" s="1882" t="str">
        <f>IF('4L'!L32="","##BLANK",'4L'!L32)</f>
        <v>##BLANK</v>
      </c>
    </row>
    <row r="3269" spans="2:7">
      <c r="B3269" s="821" t="str">
        <f>+'4L'!BG33</f>
        <v>W3A00004TWD</v>
      </c>
      <c r="D3269" s="1882"/>
      <c r="E3269" s="1628" t="s">
        <v>8339</v>
      </c>
      <c r="F3269" s="1882" t="str">
        <f>+'4L'!C$33</f>
        <v>Capital expenditure purpose - WATER additional line 4 [Other categories]</v>
      </c>
      <c r="G3269" s="1882" t="str">
        <f>IF('4L'!L33="","##BLANK",'4L'!L33)</f>
        <v>##BLANK</v>
      </c>
    </row>
    <row r="3270" spans="2:7">
      <c r="B3270" s="821" t="str">
        <f>+'4L'!BG34</f>
        <v>W3A00005TWD</v>
      </c>
      <c r="D3270" s="1882"/>
      <c r="E3270" s="1628" t="s">
        <v>8339</v>
      </c>
      <c r="F3270" s="1882" t="str">
        <f>+'4L'!C$34</f>
        <v>Capital expenditure purpose - WATER additional line 5 [Other categories]</v>
      </c>
      <c r="G3270" s="1882" t="str">
        <f>IF('4L'!L34="","##BLANK",'4L'!L34)</f>
        <v>##BLANK</v>
      </c>
    </row>
    <row r="3271" spans="2:7">
      <c r="B3271" s="821" t="str">
        <f>+'4L'!BG35</f>
        <v>W3A00006TWD</v>
      </c>
      <c r="D3271" s="1882"/>
      <c r="E3271" s="1628" t="s">
        <v>8339</v>
      </c>
      <c r="F3271" s="1882" t="str">
        <f>+'4L'!C$35</f>
        <v>Capital expenditure purpose - WATER additional line 6 [Other categories]</v>
      </c>
      <c r="G3271" s="1882" t="str">
        <f>IF('4L'!L35="","##BLANK",'4L'!L35)</f>
        <v>##BLANK</v>
      </c>
    </row>
    <row r="3272" spans="2:7">
      <c r="B3272" s="821" t="str">
        <f>+'4L'!BG36</f>
        <v>W3A00007TWD</v>
      </c>
      <c r="D3272" s="1882"/>
      <c r="E3272" s="1628" t="s">
        <v>8339</v>
      </c>
      <c r="F3272" s="1882" t="str">
        <f>+'4L'!C$36</f>
        <v>Capital expenditure purpose - WATER additional line 7 [Other categories]</v>
      </c>
      <c r="G3272" s="1882" t="str">
        <f>IF('4L'!L36="","##BLANK",'4L'!L36)</f>
        <v>##BLANK</v>
      </c>
    </row>
    <row r="3273" spans="2:7">
      <c r="B3273" s="821" t="str">
        <f>+'4L'!BG37</f>
        <v>W3A00008TWD</v>
      </c>
      <c r="D3273" s="1882"/>
      <c r="E3273" s="1628" t="s">
        <v>8339</v>
      </c>
      <c r="F3273" s="1882" t="str">
        <f>+'4L'!C$37</f>
        <v>Capital expenditure purpose - WATER additional line 8 [Other categories]</v>
      </c>
      <c r="G3273" s="1882" t="str">
        <f>IF('4L'!L37="","##BLANK",'4L'!L37)</f>
        <v>##BLANK</v>
      </c>
    </row>
    <row r="3274" spans="2:7">
      <c r="B3274" s="821" t="str">
        <f>+'4L'!BG38</f>
        <v>W3A00009TWD</v>
      </c>
      <c r="D3274" s="1882"/>
      <c r="E3274" s="1628" t="s">
        <v>8339</v>
      </c>
      <c r="F3274" s="1882" t="str">
        <f>+'4L'!C$38</f>
        <v>Capital expenditure purpose - WATER additional line 9 [Other categories]</v>
      </c>
      <c r="G3274" s="1882" t="str">
        <f>IF('4L'!L38="","##BLANK",'4L'!L38)</f>
        <v>##BLANK</v>
      </c>
    </row>
    <row r="3275" spans="2:7">
      <c r="B3275" s="821" t="str">
        <f>+'4L'!BG39</f>
        <v>W3A00010TWD</v>
      </c>
      <c r="D3275" s="1882"/>
      <c r="E3275" s="1628" t="s">
        <v>8339</v>
      </c>
      <c r="F3275" s="1882" t="str">
        <f>+'4L'!C$39</f>
        <v>Capital expenditure purpose - WATER additional line 10 [Other categories]</v>
      </c>
      <c r="G3275" s="1882" t="str">
        <f>IF('4L'!L39="","##BLANK",'4L'!L39)</f>
        <v>##BLANK</v>
      </c>
    </row>
    <row r="3276" spans="2:7">
      <c r="B3276" s="821" t="str">
        <f>+'4L'!BG40</f>
        <v>W3A00011TWD</v>
      </c>
      <c r="D3276" s="1882"/>
      <c r="E3276" s="1628" t="s">
        <v>8339</v>
      </c>
      <c r="F3276" s="1882" t="str">
        <f>+'4L'!C$40</f>
        <v>Capital expenditure purpose - WATER additional line 11 [Other categories]</v>
      </c>
      <c r="G3276" s="1882" t="str">
        <f>IF('4L'!L40="","##BLANK",'4L'!L40)</f>
        <v>##BLANK</v>
      </c>
    </row>
    <row r="3277" spans="2:7">
      <c r="B3277" s="821" t="str">
        <f>+'4L'!BG41</f>
        <v>W3A00012TWD</v>
      </c>
      <c r="D3277" s="1882"/>
      <c r="E3277" s="1628" t="s">
        <v>8339</v>
      </c>
      <c r="F3277" s="1882" t="str">
        <f>+'4L'!C$41</f>
        <v>Capital expenditure purpose - WATER additional line 12 [Other categories]</v>
      </c>
      <c r="G3277" s="1882" t="str">
        <f>IF('4L'!L41="","##BLANK",'4L'!L41)</f>
        <v>##BLANK</v>
      </c>
    </row>
    <row r="3278" spans="2:7">
      <c r="B3278" s="821" t="str">
        <f>+'4L'!BG42</f>
        <v>W3A00013TWD</v>
      </c>
      <c r="D3278" s="1882"/>
      <c r="E3278" s="1628" t="s">
        <v>8339</v>
      </c>
      <c r="F3278" s="1882" t="str">
        <f>+'4L'!C$42</f>
        <v>Capital expenditure purpose - WATER additional line 13 [Other categories]</v>
      </c>
      <c r="G3278" s="1882" t="str">
        <f>IF('4L'!L42="","##BLANK",'4L'!L42)</f>
        <v>##BLANK</v>
      </c>
    </row>
    <row r="3279" spans="2:7">
      <c r="B3279" s="821" t="str">
        <f>+'4L'!BG43</f>
        <v>W3A00014TWD</v>
      </c>
      <c r="D3279" s="1882"/>
      <c r="E3279" s="1628" t="s">
        <v>8339</v>
      </c>
      <c r="F3279" s="1882" t="str">
        <f>+'4L'!C$43</f>
        <v>Capital expenditure purpose - WATER additional line 14 [Other categories]</v>
      </c>
      <c r="G3279" s="1882" t="str">
        <f>IF('4L'!L43="","##BLANK",'4L'!L43)</f>
        <v>##BLANK</v>
      </c>
    </row>
    <row r="3280" spans="2:7">
      <c r="B3280" s="821" t="str">
        <f>+'4L'!BG44</f>
        <v>W3A00015TWD</v>
      </c>
      <c r="D3280" s="1882"/>
      <c r="E3280" s="1628" t="s">
        <v>8339</v>
      </c>
      <c r="F3280" s="1882" t="str">
        <f>+'4L'!C$44</f>
        <v>Capital expenditure purpose - WATER additional line 15 [Other categories]</v>
      </c>
      <c r="G3280" s="1882" t="str">
        <f>IF('4L'!L44="","##BLANK",'4L'!L44)</f>
        <v>##BLANK</v>
      </c>
    </row>
    <row r="3281" spans="2:7">
      <c r="B3281" s="821" t="str">
        <f>+'4L'!BG45</f>
        <v>BA2070TWD</v>
      </c>
      <c r="D3281" s="1882"/>
      <c r="E3281" s="1628" t="s">
        <v>8339</v>
      </c>
      <c r="F3281" s="1882"/>
      <c r="G3281" s="1882">
        <f>IF('4L'!L45="","##BLANK",'4L'!L45)</f>
        <v>16.902000000000001</v>
      </c>
    </row>
    <row r="3282" spans="2:7">
      <c r="B3282" s="821" t="str">
        <f>+'4L'!BH8</f>
        <v>W3001CAW</v>
      </c>
      <c r="D3282" s="1882"/>
      <c r="E3282" s="1628" t="s">
        <v>8339</v>
      </c>
      <c r="F3282" s="1882"/>
      <c r="G3282" s="1882">
        <f>IF('4L'!M8="","##BLANK",'4L'!M8)</f>
        <v>0</v>
      </c>
    </row>
    <row r="3283" spans="2:7">
      <c r="B3283" s="821" t="str">
        <f>+'4L'!BH9</f>
        <v>WS2002CAW</v>
      </c>
      <c r="D3283" s="1882"/>
      <c r="E3283" s="1628" t="s">
        <v>8339</v>
      </c>
      <c r="F3283" s="1882"/>
      <c r="G3283" s="1882">
        <f>IF('4L'!M9="","##BLANK",'4L'!M9)</f>
        <v>0.38300000000000001</v>
      </c>
    </row>
    <row r="3284" spans="2:7">
      <c r="B3284" s="821" t="str">
        <f>+'4L'!BH10</f>
        <v>WS2003CAW</v>
      </c>
      <c r="D3284" s="1882"/>
      <c r="E3284" s="1628" t="s">
        <v>8339</v>
      </c>
      <c r="F3284" s="1882"/>
      <c r="G3284" s="1882">
        <f>IF('4L'!M10="","##BLANK",'4L'!M10)</f>
        <v>0</v>
      </c>
    </row>
    <row r="3285" spans="2:7">
      <c r="B3285" s="821" t="str">
        <f>+'4L'!BH11</f>
        <v>W3002CAW</v>
      </c>
      <c r="D3285" s="1882"/>
      <c r="E3285" s="1628" t="s">
        <v>8339</v>
      </c>
      <c r="F3285" s="1882"/>
      <c r="G3285" s="1882">
        <f>IF('4L'!M11="","##BLANK",'4L'!M11)</f>
        <v>0</v>
      </c>
    </row>
    <row r="3286" spans="2:7">
      <c r="B3286" s="821" t="str">
        <f>+'4L'!BH12</f>
        <v>W3003CAW</v>
      </c>
      <c r="D3286" s="1882"/>
      <c r="E3286" s="1628" t="s">
        <v>8339</v>
      </c>
      <c r="F3286" s="1882"/>
      <c r="G3286" s="1882">
        <f>IF('4L'!M12="","##BLANK",'4L'!M12)</f>
        <v>0</v>
      </c>
    </row>
    <row r="3287" spans="2:7">
      <c r="B3287" s="821" t="str">
        <f>+'4L'!BH13</f>
        <v>W3006CAW</v>
      </c>
      <c r="D3287" s="1882"/>
      <c r="E3287" s="1628" t="s">
        <v>8339</v>
      </c>
      <c r="F3287" s="1882"/>
      <c r="G3287" s="1882">
        <f>IF('4L'!M13="","##BLANK",'4L'!M13)</f>
        <v>8.3000000000000004E-2</v>
      </c>
    </row>
    <row r="3288" spans="2:7">
      <c r="B3288" s="821" t="str">
        <f>+'4L'!BH14</f>
        <v>W3007SCAW</v>
      </c>
      <c r="D3288" s="1882"/>
      <c r="E3288" s="1628" t="s">
        <v>8339</v>
      </c>
      <c r="F3288" s="1882"/>
      <c r="G3288" s="1882">
        <f>IF('4L'!M14="","##BLANK",'4L'!M14)</f>
        <v>0</v>
      </c>
    </row>
    <row r="3289" spans="2:7">
      <c r="B3289" s="821" t="str">
        <f>+'4L'!BH15</f>
        <v>W3008SCAW</v>
      </c>
      <c r="D3289" s="1882"/>
      <c r="E3289" s="1628" t="s">
        <v>8339</v>
      </c>
      <c r="F3289" s="1882"/>
      <c r="G3289" s="1882">
        <f>IF('4L'!M15="","##BLANK",'4L'!M15)</f>
        <v>0</v>
      </c>
    </row>
    <row r="3290" spans="2:7">
      <c r="B3290" s="821" t="str">
        <f>+'4L'!BH16</f>
        <v>W3007DCAW</v>
      </c>
      <c r="D3290" s="1882"/>
      <c r="E3290" s="1628" t="s">
        <v>8339</v>
      </c>
      <c r="F3290" s="1882"/>
      <c r="G3290" s="1882">
        <f>IF('4L'!M16="","##BLANK",'4L'!M16)</f>
        <v>0</v>
      </c>
    </row>
    <row r="3291" spans="2:7">
      <c r="B3291" s="821" t="str">
        <f>+'4L'!BH17</f>
        <v>W3008DCAW</v>
      </c>
      <c r="D3291" s="1882"/>
      <c r="E3291" s="1628" t="s">
        <v>8339</v>
      </c>
      <c r="F3291" s="1882"/>
      <c r="G3291" s="1882">
        <f>IF('4L'!M17="","##BLANK",'4L'!M17)</f>
        <v>2.2149999999999999</v>
      </c>
    </row>
    <row r="3292" spans="2:7">
      <c r="B3292" s="821" t="str">
        <f>+'4L'!BH18</f>
        <v>W3009CAW</v>
      </c>
      <c r="D3292" s="1882"/>
      <c r="E3292" s="1628" t="s">
        <v>8339</v>
      </c>
      <c r="F3292" s="1882"/>
      <c r="G3292" s="1882">
        <f>IF('4L'!M18="","##BLANK",'4L'!M18)</f>
        <v>5.6050000000000004</v>
      </c>
    </row>
    <row r="3293" spans="2:7">
      <c r="B3293" s="821" t="str">
        <f>+'4L'!BH19</f>
        <v>WS2004CAW</v>
      </c>
      <c r="D3293" s="1882"/>
      <c r="E3293" s="1628" t="s">
        <v>8339</v>
      </c>
      <c r="F3293" s="1882"/>
      <c r="G3293" s="1882">
        <f>IF('4L'!M19="","##BLANK",'4L'!M19)</f>
        <v>3.0139999999999998</v>
      </c>
    </row>
    <row r="3294" spans="2:7">
      <c r="B3294" s="821" t="str">
        <f>+'4L'!BH20</f>
        <v>W3010CAW</v>
      </c>
      <c r="D3294" s="1882"/>
      <c r="E3294" s="1628" t="s">
        <v>8339</v>
      </c>
      <c r="F3294" s="1882"/>
      <c r="G3294" s="1882">
        <f>IF('4L'!M20="","##BLANK",'4L'!M20)</f>
        <v>0.379</v>
      </c>
    </row>
    <row r="3295" spans="2:7">
      <c r="B3295" s="821" t="str">
        <f>+'4L'!BH21</f>
        <v>W3011CAW</v>
      </c>
      <c r="D3295" s="1882"/>
      <c r="E3295" s="1628" t="s">
        <v>8339</v>
      </c>
      <c r="F3295" s="1882"/>
      <c r="G3295" s="1882">
        <f>IF('4L'!M21="","##BLANK",'4L'!M21)</f>
        <v>0.877</v>
      </c>
    </row>
    <row r="3296" spans="2:7">
      <c r="B3296" s="821" t="str">
        <f>+'4L'!BH22</f>
        <v>W3012CAW</v>
      </c>
      <c r="D3296" s="1882"/>
      <c r="E3296" s="1628" t="s">
        <v>8339</v>
      </c>
      <c r="F3296" s="1882"/>
      <c r="G3296" s="1882">
        <f>IF('4L'!M22="","##BLANK",'4L'!M22)</f>
        <v>0.85400000000000009</v>
      </c>
    </row>
    <row r="3297" spans="2:7">
      <c r="B3297" s="821" t="str">
        <f>+'4L'!BH23</f>
        <v>WS2006CAW</v>
      </c>
      <c r="D3297" s="1882"/>
      <c r="E3297" s="1628" t="s">
        <v>8339</v>
      </c>
      <c r="F3297" s="1882"/>
      <c r="G3297" s="1882">
        <f>IF('4L'!M23="","##BLANK",'4L'!M23)</f>
        <v>0</v>
      </c>
    </row>
    <row r="3298" spans="2:7">
      <c r="B3298" s="821" t="str">
        <f>+'4L'!BH24</f>
        <v>WS2007CAW</v>
      </c>
      <c r="D3298" s="1882"/>
      <c r="E3298" s="1628" t="s">
        <v>8339</v>
      </c>
      <c r="F3298" s="1882"/>
      <c r="G3298" s="1882">
        <f>IF('4L'!M24="","##BLANK",'4L'!M24)</f>
        <v>0.2</v>
      </c>
    </row>
    <row r="3299" spans="2:7">
      <c r="B3299" s="821" t="str">
        <f>+'4L'!BH25</f>
        <v>WS2008CAW</v>
      </c>
      <c r="D3299" s="1882"/>
      <c r="E3299" s="1628" t="s">
        <v>8339</v>
      </c>
      <c r="F3299" s="1882"/>
      <c r="G3299" s="1882">
        <f>IF('4L'!M25="","##BLANK",'4L'!M25)</f>
        <v>0.13700000000000001</v>
      </c>
    </row>
    <row r="3300" spans="2:7">
      <c r="B3300" s="821" t="str">
        <f>+'4L'!BH26</f>
        <v>W3027CAW</v>
      </c>
      <c r="D3300" s="1882"/>
      <c r="E3300" s="1628" t="s">
        <v>8339</v>
      </c>
      <c r="F3300" s="1882"/>
      <c r="G3300" s="1882">
        <f>IF('4L'!M26="","##BLANK",'4L'!M26)</f>
        <v>0</v>
      </c>
    </row>
    <row r="3301" spans="2:7">
      <c r="B3301" s="821" t="str">
        <f>+'4L'!BH27</f>
        <v>W3028OPTCAW</v>
      </c>
      <c r="D3301" s="1882"/>
      <c r="E3301" s="1628" t="s">
        <v>8339</v>
      </c>
      <c r="F3301" s="1882"/>
      <c r="G3301" s="1882">
        <f>IF('4L'!M27="","##BLANK",'4L'!M27)</f>
        <v>2.0179999999999998</v>
      </c>
    </row>
    <row r="3302" spans="2:7">
      <c r="B3302" s="821" t="str">
        <f>+'4L'!BH28</f>
        <v>W3028COMCAW</v>
      </c>
      <c r="D3302" s="1882"/>
      <c r="E3302" s="1628" t="s">
        <v>8339</v>
      </c>
      <c r="F3302" s="1882"/>
      <c r="G3302" s="1882">
        <f>IF('4L'!M28="","##BLANK",'4L'!M28)</f>
        <v>2.5270000000000001</v>
      </c>
    </row>
    <row r="3303" spans="2:7">
      <c r="B3303" s="821" t="str">
        <f>+'4L'!BH29</f>
        <v>W3028NHOCAW</v>
      </c>
      <c r="D3303" s="1882"/>
      <c r="E3303" s="1628" t="s">
        <v>8339</v>
      </c>
      <c r="F3303" s="1882"/>
      <c r="G3303" s="1882">
        <f>IF('4L'!M29="","##BLANK",'4L'!M29)</f>
        <v>4.1000000000000002E-2</v>
      </c>
    </row>
    <row r="3304" spans="2:7">
      <c r="B3304" s="821" t="str">
        <f>+'4L'!BH30</f>
        <v>W3A00001CAW</v>
      </c>
      <c r="D3304" s="1882"/>
      <c r="E3304" s="1628" t="s">
        <v>8339</v>
      </c>
      <c r="F3304" s="1882" t="str">
        <f>+'4L'!C$30</f>
        <v>Capital expenditure purpose - WATER additional line 1 [Other categories]</v>
      </c>
      <c r="G3304" s="1882">
        <f>IF('4L'!M30="","##BLANK",'4L'!M30)</f>
        <v>0</v>
      </c>
    </row>
    <row r="3305" spans="2:7">
      <c r="B3305" s="821" t="str">
        <f>+'4L'!BH31</f>
        <v>W3A00002CAW</v>
      </c>
      <c r="D3305" s="1882"/>
      <c r="E3305" s="1628" t="s">
        <v>8339</v>
      </c>
      <c r="F3305" s="1882" t="str">
        <f>+'4L'!C$31</f>
        <v>Capital expenditure purpose - WATER additional line 2 [Other categories]</v>
      </c>
      <c r="G3305" s="1882">
        <f>IF('4L'!M31="","##BLANK",'4L'!M31)</f>
        <v>0</v>
      </c>
    </row>
    <row r="3306" spans="2:7">
      <c r="B3306" s="821" t="str">
        <f>+'4L'!BH32</f>
        <v>W3A00003CAW</v>
      </c>
      <c r="D3306" s="1882"/>
      <c r="E3306" s="1628" t="s">
        <v>8339</v>
      </c>
      <c r="F3306" s="1882" t="str">
        <f>+'4L'!C$32</f>
        <v>Capital expenditure purpose - WATER additional line 3 [Other categories]</v>
      </c>
      <c r="G3306" s="1882">
        <f>IF('4L'!M32="","##BLANK",'4L'!M32)</f>
        <v>0</v>
      </c>
    </row>
    <row r="3307" spans="2:7">
      <c r="B3307" s="821" t="str">
        <f>+'4L'!BH33</f>
        <v>W3A00004CAW</v>
      </c>
      <c r="D3307" s="1882"/>
      <c r="E3307" s="1628" t="s">
        <v>8339</v>
      </c>
      <c r="F3307" s="1882" t="str">
        <f>+'4L'!C$33</f>
        <v>Capital expenditure purpose - WATER additional line 4 [Other categories]</v>
      </c>
      <c r="G3307" s="1882">
        <f>IF('4L'!M33="","##BLANK",'4L'!M33)</f>
        <v>0</v>
      </c>
    </row>
    <row r="3308" spans="2:7">
      <c r="B3308" s="821" t="str">
        <f>+'4L'!BH34</f>
        <v>W3A00005CAW</v>
      </c>
      <c r="D3308" s="1882"/>
      <c r="E3308" s="1628" t="s">
        <v>8339</v>
      </c>
      <c r="F3308" s="1882" t="str">
        <f>+'4L'!C$34</f>
        <v>Capital expenditure purpose - WATER additional line 5 [Other categories]</v>
      </c>
      <c r="G3308" s="1882">
        <f>IF('4L'!M34="","##BLANK",'4L'!M34)</f>
        <v>0</v>
      </c>
    </row>
    <row r="3309" spans="2:7">
      <c r="B3309" s="821" t="str">
        <f>+'4L'!BH35</f>
        <v>W3A00006CAW</v>
      </c>
      <c r="D3309" s="1882"/>
      <c r="E3309" s="1628" t="s">
        <v>8339</v>
      </c>
      <c r="F3309" s="1882" t="str">
        <f>+'4L'!C$35</f>
        <v>Capital expenditure purpose - WATER additional line 6 [Other categories]</v>
      </c>
      <c r="G3309" s="1882">
        <f>IF('4L'!M35="","##BLANK",'4L'!M35)</f>
        <v>0</v>
      </c>
    </row>
    <row r="3310" spans="2:7">
      <c r="B3310" s="821" t="str">
        <f>+'4L'!BH36</f>
        <v>W3A00007CAW</v>
      </c>
      <c r="D3310" s="1882"/>
      <c r="E3310" s="1628" t="s">
        <v>8339</v>
      </c>
      <c r="F3310" s="1882" t="str">
        <f>+'4L'!C$36</f>
        <v>Capital expenditure purpose - WATER additional line 7 [Other categories]</v>
      </c>
      <c r="G3310" s="1882">
        <f>IF('4L'!M36="","##BLANK",'4L'!M36)</f>
        <v>0</v>
      </c>
    </row>
    <row r="3311" spans="2:7">
      <c r="B3311" s="821" t="str">
        <f>+'4L'!BH37</f>
        <v>W3A00008CAW</v>
      </c>
      <c r="D3311" s="1882"/>
      <c r="E3311" s="1628" t="s">
        <v>8339</v>
      </c>
      <c r="F3311" s="1882" t="str">
        <f>+'4L'!C$37</f>
        <v>Capital expenditure purpose - WATER additional line 8 [Other categories]</v>
      </c>
      <c r="G3311" s="1882">
        <f>IF('4L'!M37="","##BLANK",'4L'!M37)</f>
        <v>0</v>
      </c>
    </row>
    <row r="3312" spans="2:7">
      <c r="B3312" s="821" t="str">
        <f>+'4L'!BH38</f>
        <v>W3A00009CAW</v>
      </c>
      <c r="D3312" s="1882"/>
      <c r="E3312" s="1628" t="s">
        <v>8339</v>
      </c>
      <c r="F3312" s="1882" t="str">
        <f>+'4L'!C$38</f>
        <v>Capital expenditure purpose - WATER additional line 9 [Other categories]</v>
      </c>
      <c r="G3312" s="1882">
        <f>IF('4L'!M38="","##BLANK",'4L'!M38)</f>
        <v>0</v>
      </c>
    </row>
    <row r="3313" spans="2:7">
      <c r="B3313" s="821" t="str">
        <f>+'4L'!BH39</f>
        <v>W3A00010CAW</v>
      </c>
      <c r="D3313" s="1882"/>
      <c r="E3313" s="1628" t="s">
        <v>8339</v>
      </c>
      <c r="F3313" s="1882" t="str">
        <f>+'4L'!C$39</f>
        <v>Capital expenditure purpose - WATER additional line 10 [Other categories]</v>
      </c>
      <c r="G3313" s="1882">
        <f>IF('4L'!M39="","##BLANK",'4L'!M39)</f>
        <v>0</v>
      </c>
    </row>
    <row r="3314" spans="2:7">
      <c r="B3314" s="821" t="str">
        <f>+'4L'!BH40</f>
        <v>W3A00011CAW</v>
      </c>
      <c r="D3314" s="1882"/>
      <c r="E3314" s="1628" t="s">
        <v>8339</v>
      </c>
      <c r="F3314" s="1882" t="str">
        <f>+'4L'!C$40</f>
        <v>Capital expenditure purpose - WATER additional line 11 [Other categories]</v>
      </c>
      <c r="G3314" s="1882">
        <f>IF('4L'!M40="","##BLANK",'4L'!M40)</f>
        <v>0</v>
      </c>
    </row>
    <row r="3315" spans="2:7">
      <c r="B3315" s="821" t="str">
        <f>+'4L'!BH41</f>
        <v>W3A00012CAW</v>
      </c>
      <c r="D3315" s="1882"/>
      <c r="E3315" s="1628" t="s">
        <v>8339</v>
      </c>
      <c r="F3315" s="1882" t="str">
        <f>+'4L'!C$41</f>
        <v>Capital expenditure purpose - WATER additional line 12 [Other categories]</v>
      </c>
      <c r="G3315" s="1882">
        <f>IF('4L'!M41="","##BLANK",'4L'!M41)</f>
        <v>0</v>
      </c>
    </row>
    <row r="3316" spans="2:7">
      <c r="B3316" s="821" t="str">
        <f>+'4L'!BH42</f>
        <v>W3A00013CAW</v>
      </c>
      <c r="D3316" s="1882"/>
      <c r="E3316" s="1628" t="s">
        <v>8339</v>
      </c>
      <c r="F3316" s="1882" t="str">
        <f>+'4L'!C$42</f>
        <v>Capital expenditure purpose - WATER additional line 13 [Other categories]</v>
      </c>
      <c r="G3316" s="1882">
        <f>IF('4L'!M42="","##BLANK",'4L'!M42)</f>
        <v>0</v>
      </c>
    </row>
    <row r="3317" spans="2:7">
      <c r="B3317" s="821" t="str">
        <f>+'4L'!BH43</f>
        <v>W3A00014CAW</v>
      </c>
      <c r="D3317" s="1882"/>
      <c r="E3317" s="1628" t="s">
        <v>8339</v>
      </c>
      <c r="F3317" s="1882" t="str">
        <f>+'4L'!C$43</f>
        <v>Capital expenditure purpose - WATER additional line 14 [Other categories]</v>
      </c>
      <c r="G3317" s="1882">
        <f>IF('4L'!M43="","##BLANK",'4L'!M43)</f>
        <v>0</v>
      </c>
    </row>
    <row r="3318" spans="2:7">
      <c r="B3318" s="821" t="str">
        <f>+'4L'!BH44</f>
        <v>W3A00015CAW</v>
      </c>
      <c r="D3318" s="1882"/>
      <c r="E3318" s="1628" t="s">
        <v>8339</v>
      </c>
      <c r="F3318" s="1882" t="str">
        <f>+'4L'!C$44</f>
        <v>Capital expenditure purpose - WATER additional line 15 [Other categories]</v>
      </c>
      <c r="G3318" s="1882">
        <f>IF('4L'!M44="","##BLANK",'4L'!M44)</f>
        <v>0</v>
      </c>
    </row>
    <row r="3319" spans="2:7">
      <c r="B3319" s="821" t="str">
        <f>+'4L'!BH45</f>
        <v>BA2070CAW</v>
      </c>
      <c r="D3319" s="1882"/>
      <c r="E3319" s="1628" t="s">
        <v>8339</v>
      </c>
      <c r="F3319" s="1882"/>
      <c r="G3319" s="1882">
        <f>IF('4L'!M45="","##BLANK",'4L'!M45)</f>
        <v>18.333000000000002</v>
      </c>
    </row>
    <row r="3320" spans="2:7">
      <c r="B3320" s="821" t="str">
        <f>+'4L'!BI8</f>
        <v>W3001ALCUM</v>
      </c>
      <c r="D3320" s="1882"/>
      <c r="E3320" s="1628" t="s">
        <v>8339</v>
      </c>
      <c r="F3320" s="1882"/>
      <c r="G3320" s="1882">
        <f>IF('4L'!N8="","##BLANK",'4L'!N8)</f>
        <v>0</v>
      </c>
    </row>
    <row r="3321" spans="2:7">
      <c r="B3321" s="821" t="str">
        <f>+'4L'!BI9</f>
        <v>WS2002ALCUM</v>
      </c>
      <c r="D3321" s="1882"/>
      <c r="E3321" s="1628" t="s">
        <v>8339</v>
      </c>
      <c r="F3321" s="1882"/>
      <c r="G3321" s="1882">
        <f>IF('4L'!N9="","##BLANK",'4L'!N9)</f>
        <v>0</v>
      </c>
    </row>
    <row r="3322" spans="2:7">
      <c r="B3322" s="821" t="str">
        <f>+'4L'!BI10</f>
        <v>WS2003ALCUM</v>
      </c>
      <c r="D3322" s="1882"/>
      <c r="E3322" s="1628" t="s">
        <v>8339</v>
      </c>
      <c r="F3322" s="1882"/>
      <c r="G3322" s="1882">
        <f>IF('4L'!N10="","##BLANK",'4L'!N10)</f>
        <v>0</v>
      </c>
    </row>
    <row r="3323" spans="2:7">
      <c r="B3323" s="821" t="str">
        <f>+'4L'!BI11</f>
        <v>W3002ALCUM</v>
      </c>
      <c r="D3323" s="1882"/>
      <c r="E3323" s="1628" t="s">
        <v>8339</v>
      </c>
      <c r="F3323" s="1882"/>
      <c r="G3323" s="1882">
        <f>IF('4L'!N11="","##BLANK",'4L'!N11)</f>
        <v>0</v>
      </c>
    </row>
    <row r="3324" spans="2:7">
      <c r="B3324" s="821" t="str">
        <f>+'4L'!BI12</f>
        <v>W3003ALCUM</v>
      </c>
      <c r="D3324" s="1882"/>
      <c r="E3324" s="1628" t="s">
        <v>8339</v>
      </c>
      <c r="F3324" s="1882"/>
      <c r="G3324" s="1882">
        <f>IF('4L'!N12="","##BLANK",'4L'!N12)</f>
        <v>0</v>
      </c>
    </row>
    <row r="3325" spans="2:7">
      <c r="B3325" s="821" t="str">
        <f>+'4L'!BI13</f>
        <v>W3006ALCUM</v>
      </c>
      <c r="D3325" s="1882"/>
      <c r="E3325" s="1628" t="s">
        <v>8339</v>
      </c>
      <c r="F3325" s="1882"/>
      <c r="G3325" s="1882">
        <f>IF('4L'!N13="","##BLANK",'4L'!N13)</f>
        <v>0</v>
      </c>
    </row>
    <row r="3326" spans="2:7">
      <c r="B3326" s="821" t="str">
        <f>+'4L'!BI14</f>
        <v>W3007SALCUM</v>
      </c>
      <c r="D3326" s="1882"/>
      <c r="E3326" s="1628" t="s">
        <v>8339</v>
      </c>
      <c r="F3326" s="1882"/>
      <c r="G3326" s="1882">
        <f>IF('4L'!N14="","##BLANK",'4L'!N14)</f>
        <v>0</v>
      </c>
    </row>
    <row r="3327" spans="2:7">
      <c r="B3327" s="821" t="str">
        <f>+'4L'!BI15</f>
        <v>W3008SALCUM</v>
      </c>
      <c r="D3327" s="1882"/>
      <c r="E3327" s="1628" t="s">
        <v>8339</v>
      </c>
      <c r="F3327" s="1882"/>
      <c r="G3327" s="1882">
        <f>IF('4L'!N15="","##BLANK",'4L'!N15)</f>
        <v>0</v>
      </c>
    </row>
    <row r="3328" spans="2:7">
      <c r="B3328" s="821" t="str">
        <f>+'4L'!BI16</f>
        <v>W3007DALCUM</v>
      </c>
      <c r="D3328" s="1882"/>
      <c r="E3328" s="1628" t="s">
        <v>8339</v>
      </c>
      <c r="F3328" s="1882"/>
      <c r="G3328" s="1882">
        <f>IF('4L'!N16="","##BLANK",'4L'!N16)</f>
        <v>0</v>
      </c>
    </row>
    <row r="3329" spans="2:7">
      <c r="B3329" s="821" t="str">
        <f>+'4L'!BI17</f>
        <v>W3008DALCUM</v>
      </c>
      <c r="D3329" s="1882"/>
      <c r="E3329" s="1628" t="s">
        <v>8339</v>
      </c>
      <c r="F3329" s="1882"/>
      <c r="G3329" s="1882">
        <f>IF('4L'!N17="","##BLANK",'4L'!N17)</f>
        <v>0</v>
      </c>
    </row>
    <row r="3330" spans="2:7">
      <c r="B3330" s="821" t="str">
        <f>+'4L'!BI18</f>
        <v>W3009ALCUM</v>
      </c>
      <c r="D3330" s="1882"/>
      <c r="E3330" s="1628" t="s">
        <v>8339</v>
      </c>
      <c r="F3330" s="1882"/>
      <c r="G3330" s="1882">
        <f>IF('4L'!N18="","##BLANK",'4L'!N18)</f>
        <v>0</v>
      </c>
    </row>
    <row r="3331" spans="2:7">
      <c r="B3331" s="821" t="str">
        <f>+'4L'!BI19</f>
        <v>WS2004ALCUM</v>
      </c>
      <c r="D3331" s="1882"/>
      <c r="E3331" s="1628" t="s">
        <v>8339</v>
      </c>
      <c r="F3331" s="1882"/>
      <c r="G3331" s="1882">
        <f>IF('4L'!N19="","##BLANK",'4L'!N19)</f>
        <v>0</v>
      </c>
    </row>
    <row r="3332" spans="2:7">
      <c r="B3332" s="821" t="str">
        <f>+'4L'!BI20</f>
        <v>W3010ALCUM</v>
      </c>
      <c r="D3332" s="1882"/>
      <c r="E3332" s="1628" t="s">
        <v>8339</v>
      </c>
      <c r="F3332" s="1882"/>
      <c r="G3332" s="1882">
        <f>IF('4L'!N20="","##BLANK",'4L'!N20)</f>
        <v>0</v>
      </c>
    </row>
    <row r="3333" spans="2:7">
      <c r="B3333" s="821" t="str">
        <f>+'4L'!BI21</f>
        <v>W3011ALCUM</v>
      </c>
      <c r="D3333" s="1882"/>
      <c r="E3333" s="1628" t="s">
        <v>8339</v>
      </c>
      <c r="F3333" s="1882"/>
      <c r="G3333" s="1882">
        <f>IF('4L'!N21="","##BLANK",'4L'!N21)</f>
        <v>0</v>
      </c>
    </row>
    <row r="3334" spans="2:7">
      <c r="B3334" s="821" t="str">
        <f>+'4L'!BI22</f>
        <v>W3012ALCUM</v>
      </c>
      <c r="D3334" s="1882"/>
      <c r="E3334" s="1628" t="s">
        <v>8339</v>
      </c>
      <c r="F3334" s="1882"/>
      <c r="G3334" s="1882">
        <f>IF('4L'!N22="","##BLANK",'4L'!N22)</f>
        <v>0</v>
      </c>
    </row>
    <row r="3335" spans="2:7">
      <c r="B3335" s="821" t="str">
        <f>+'4L'!BI23</f>
        <v>WS2006ALCUM</v>
      </c>
      <c r="D3335" s="1882"/>
      <c r="E3335" s="1628" t="s">
        <v>8339</v>
      </c>
      <c r="F3335" s="1882"/>
      <c r="G3335" s="1882">
        <f>IF('4L'!N23="","##BLANK",'4L'!N23)</f>
        <v>0</v>
      </c>
    </row>
    <row r="3336" spans="2:7">
      <c r="B3336" s="821" t="str">
        <f>+'4L'!BI24</f>
        <v>WS2007ALCUM</v>
      </c>
      <c r="D3336" s="1882"/>
      <c r="E3336" s="1628" t="s">
        <v>8339</v>
      </c>
      <c r="F3336" s="1882"/>
      <c r="G3336" s="1882">
        <f>IF('4L'!N24="","##BLANK",'4L'!N24)</f>
        <v>0</v>
      </c>
    </row>
    <row r="3337" spans="2:7">
      <c r="B3337" s="821" t="str">
        <f>+'4L'!BI25</f>
        <v>WS2008ALCUM</v>
      </c>
      <c r="D3337" s="1882"/>
      <c r="E3337" s="1628" t="s">
        <v>8339</v>
      </c>
      <c r="F3337" s="1882"/>
      <c r="G3337" s="1882">
        <f>IF('4L'!N25="","##BLANK",'4L'!N25)</f>
        <v>0</v>
      </c>
    </row>
    <row r="3338" spans="2:7">
      <c r="B3338" s="821" t="str">
        <f>+'4L'!BI26</f>
        <v>W3027ALCUM</v>
      </c>
      <c r="D3338" s="1882"/>
      <c r="E3338" s="1628" t="s">
        <v>8339</v>
      </c>
      <c r="F3338" s="1882"/>
      <c r="G3338" s="1882">
        <f>IF('4L'!N26="","##BLANK",'4L'!N26)</f>
        <v>0</v>
      </c>
    </row>
    <row r="3339" spans="2:7">
      <c r="B3339" s="821" t="str">
        <f>+'4L'!BI27</f>
        <v>W3028OPTALCUM</v>
      </c>
      <c r="D3339" s="1882"/>
      <c r="E3339" s="1628" t="s">
        <v>8339</v>
      </c>
      <c r="F3339" s="1882"/>
      <c r="G3339" s="1882">
        <f>IF('4L'!N27="","##BLANK",'4L'!N27)</f>
        <v>0</v>
      </c>
    </row>
    <row r="3340" spans="2:7">
      <c r="B3340" s="821" t="str">
        <f>+'4L'!BI28</f>
        <v>W3028COMALCUM</v>
      </c>
      <c r="D3340" s="1882"/>
      <c r="E3340" s="1628" t="s">
        <v>8339</v>
      </c>
      <c r="F3340" s="1882"/>
      <c r="G3340" s="1882">
        <f>IF('4L'!N28="","##BLANK",'4L'!N28)</f>
        <v>0</v>
      </c>
    </row>
    <row r="3341" spans="2:7">
      <c r="B3341" s="821" t="str">
        <f>+'4L'!BI29</f>
        <v>W3028NHOALCUM</v>
      </c>
      <c r="D3341" s="1882"/>
      <c r="E3341" s="1628" t="s">
        <v>8339</v>
      </c>
      <c r="F3341" s="1882"/>
      <c r="G3341" s="1882">
        <f>IF('4L'!N29="","##BLANK",'4L'!N29)</f>
        <v>0</v>
      </c>
    </row>
    <row r="3342" spans="2:7">
      <c r="B3342" s="821" t="str">
        <f>+'4L'!BI30</f>
        <v>W3A00001ALCUM</v>
      </c>
      <c r="D3342" s="1882"/>
      <c r="E3342" s="1628" t="s">
        <v>8339</v>
      </c>
      <c r="F3342" s="1882" t="str">
        <f>+'4L'!C$30</f>
        <v>Capital expenditure purpose - WATER additional line 1 [Other categories]</v>
      </c>
      <c r="G3342" s="1882" t="str">
        <f>IF('4L'!N30="","##BLANK",'4L'!N30)</f>
        <v>##BLANK</v>
      </c>
    </row>
    <row r="3343" spans="2:7">
      <c r="B3343" s="821" t="str">
        <f>+'4L'!BI31</f>
        <v>W3A00002ALCUM</v>
      </c>
      <c r="D3343" s="1882"/>
      <c r="E3343" s="1628" t="s">
        <v>8339</v>
      </c>
      <c r="F3343" s="1882" t="str">
        <f>+'4L'!C$31</f>
        <v>Capital expenditure purpose - WATER additional line 2 [Other categories]</v>
      </c>
      <c r="G3343" s="1882" t="str">
        <f>IF('4L'!N31="","##BLANK",'4L'!N31)</f>
        <v>##BLANK</v>
      </c>
    </row>
    <row r="3344" spans="2:7">
      <c r="B3344" s="821" t="str">
        <f>+'4L'!BI32</f>
        <v>W3A00003ALCUM</v>
      </c>
      <c r="D3344" s="1882"/>
      <c r="E3344" s="1628" t="s">
        <v>8339</v>
      </c>
      <c r="F3344" s="1882" t="str">
        <f>+'4L'!C$32</f>
        <v>Capital expenditure purpose - WATER additional line 3 [Other categories]</v>
      </c>
      <c r="G3344" s="1882" t="str">
        <f>IF('4L'!N32="","##BLANK",'4L'!N32)</f>
        <v>##BLANK</v>
      </c>
    </row>
    <row r="3345" spans="2:7">
      <c r="B3345" s="821" t="str">
        <f>+'4L'!BI33</f>
        <v>W3A00004ALCUM</v>
      </c>
      <c r="D3345" s="1882"/>
      <c r="E3345" s="1628" t="s">
        <v>8339</v>
      </c>
      <c r="F3345" s="1882" t="str">
        <f>+'4L'!C$33</f>
        <v>Capital expenditure purpose - WATER additional line 4 [Other categories]</v>
      </c>
      <c r="G3345" s="1882" t="str">
        <f>IF('4L'!N33="","##BLANK",'4L'!N33)</f>
        <v>##BLANK</v>
      </c>
    </row>
    <row r="3346" spans="2:7">
      <c r="B3346" s="821" t="str">
        <f>+'4L'!BI34</f>
        <v>W3A00005ALCUM</v>
      </c>
      <c r="D3346" s="1882"/>
      <c r="E3346" s="1628" t="s">
        <v>8339</v>
      </c>
      <c r="F3346" s="1882" t="str">
        <f>+'4L'!C$34</f>
        <v>Capital expenditure purpose - WATER additional line 5 [Other categories]</v>
      </c>
      <c r="G3346" s="1882" t="str">
        <f>IF('4L'!N34="","##BLANK",'4L'!N34)</f>
        <v>##BLANK</v>
      </c>
    </row>
    <row r="3347" spans="2:7">
      <c r="B3347" s="821" t="str">
        <f>+'4L'!BI35</f>
        <v>W3A00006ALCUM</v>
      </c>
      <c r="D3347" s="1882"/>
      <c r="E3347" s="1628" t="s">
        <v>8339</v>
      </c>
      <c r="F3347" s="1882" t="str">
        <f>+'4L'!C$35</f>
        <v>Capital expenditure purpose - WATER additional line 6 [Other categories]</v>
      </c>
      <c r="G3347" s="1882" t="str">
        <f>IF('4L'!N35="","##BLANK",'4L'!N35)</f>
        <v>##BLANK</v>
      </c>
    </row>
    <row r="3348" spans="2:7">
      <c r="B3348" s="821" t="str">
        <f>+'4L'!BI36</f>
        <v>W3A00007ALCUM</v>
      </c>
      <c r="D3348" s="1882"/>
      <c r="E3348" s="1628" t="s">
        <v>8339</v>
      </c>
      <c r="F3348" s="1882" t="str">
        <f>+'4L'!C$36</f>
        <v>Capital expenditure purpose - WATER additional line 7 [Other categories]</v>
      </c>
      <c r="G3348" s="1882" t="str">
        <f>IF('4L'!N36="","##BLANK",'4L'!N36)</f>
        <v>##BLANK</v>
      </c>
    </row>
    <row r="3349" spans="2:7">
      <c r="B3349" s="821" t="str">
        <f>+'4L'!BI37</f>
        <v>W3A00008ALCUM</v>
      </c>
      <c r="D3349" s="1882"/>
      <c r="E3349" s="1628" t="s">
        <v>8339</v>
      </c>
      <c r="F3349" s="1882" t="str">
        <f>+'4L'!C$37</f>
        <v>Capital expenditure purpose - WATER additional line 8 [Other categories]</v>
      </c>
      <c r="G3349" s="1882" t="str">
        <f>IF('4L'!N37="","##BLANK",'4L'!N37)</f>
        <v>##BLANK</v>
      </c>
    </row>
    <row r="3350" spans="2:7">
      <c r="B3350" s="821" t="str">
        <f>+'4L'!BI38</f>
        <v>W3A00009ALCUM</v>
      </c>
      <c r="D3350" s="1882"/>
      <c r="E3350" s="1628" t="s">
        <v>8339</v>
      </c>
      <c r="F3350" s="1882" t="str">
        <f>+'4L'!C$38</f>
        <v>Capital expenditure purpose - WATER additional line 9 [Other categories]</v>
      </c>
      <c r="G3350" s="1882" t="str">
        <f>IF('4L'!N38="","##BLANK",'4L'!N38)</f>
        <v>##BLANK</v>
      </c>
    </row>
    <row r="3351" spans="2:7">
      <c r="B3351" s="821" t="str">
        <f>+'4L'!BI39</f>
        <v>W3A00010ALCUM</v>
      </c>
      <c r="D3351" s="1882"/>
      <c r="E3351" s="1628" t="s">
        <v>8339</v>
      </c>
      <c r="F3351" s="1882" t="str">
        <f>+'4L'!C$39</f>
        <v>Capital expenditure purpose - WATER additional line 10 [Other categories]</v>
      </c>
      <c r="G3351" s="1882" t="str">
        <f>IF('4L'!N39="","##BLANK",'4L'!N39)</f>
        <v>##BLANK</v>
      </c>
    </row>
    <row r="3352" spans="2:7">
      <c r="B3352" s="821" t="str">
        <f>+'4L'!BI40</f>
        <v>W3A00011ALCUM</v>
      </c>
      <c r="D3352" s="1882"/>
      <c r="E3352" s="1628" t="s">
        <v>8339</v>
      </c>
      <c r="F3352" s="1882" t="str">
        <f>+'4L'!C$40</f>
        <v>Capital expenditure purpose - WATER additional line 11 [Other categories]</v>
      </c>
      <c r="G3352" s="1882" t="str">
        <f>IF('4L'!N40="","##BLANK",'4L'!N40)</f>
        <v>##BLANK</v>
      </c>
    </row>
    <row r="3353" spans="2:7">
      <c r="B3353" s="821" t="str">
        <f>+'4L'!BI41</f>
        <v>W3A00012ALCUM</v>
      </c>
      <c r="D3353" s="1882"/>
      <c r="E3353" s="1628" t="s">
        <v>8339</v>
      </c>
      <c r="F3353" s="1882" t="str">
        <f>+'4L'!C$41</f>
        <v>Capital expenditure purpose - WATER additional line 12 [Other categories]</v>
      </c>
      <c r="G3353" s="1882" t="str">
        <f>IF('4L'!N41="","##BLANK",'4L'!N41)</f>
        <v>##BLANK</v>
      </c>
    </row>
    <row r="3354" spans="2:7">
      <c r="B3354" s="821" t="str">
        <f>+'4L'!BI42</f>
        <v>W3A00013ALCUM</v>
      </c>
      <c r="D3354" s="1882"/>
      <c r="E3354" s="1628" t="s">
        <v>8339</v>
      </c>
      <c r="F3354" s="1882" t="str">
        <f>+'4L'!C$42</f>
        <v>Capital expenditure purpose - WATER additional line 13 [Other categories]</v>
      </c>
      <c r="G3354" s="1882" t="str">
        <f>IF('4L'!N42="","##BLANK",'4L'!N42)</f>
        <v>##BLANK</v>
      </c>
    </row>
    <row r="3355" spans="2:7">
      <c r="B3355" s="821" t="str">
        <f>+'4L'!BI43</f>
        <v>W3A00014ALCUM</v>
      </c>
      <c r="D3355" s="1882"/>
      <c r="E3355" s="1628" t="s">
        <v>8339</v>
      </c>
      <c r="F3355" s="1882" t="str">
        <f>+'4L'!C$43</f>
        <v>Capital expenditure purpose - WATER additional line 14 [Other categories]</v>
      </c>
      <c r="G3355" s="1882" t="str">
        <f>IF('4L'!N43="","##BLANK",'4L'!N43)</f>
        <v>##BLANK</v>
      </c>
    </row>
    <row r="3356" spans="2:7">
      <c r="B3356" s="821" t="str">
        <f>+'4L'!BI44</f>
        <v>W3A00015ALCUM</v>
      </c>
      <c r="D3356" s="1882"/>
      <c r="E3356" s="1628" t="s">
        <v>8339</v>
      </c>
      <c r="F3356" s="1882" t="str">
        <f>+'4L'!C$44</f>
        <v>Capital expenditure purpose - WATER additional line 15 [Other categories]</v>
      </c>
      <c r="G3356" s="1882" t="str">
        <f>IF('4L'!N44="","##BLANK",'4L'!N44)</f>
        <v>##BLANK</v>
      </c>
    </row>
    <row r="3357" spans="2:7">
      <c r="B3357" s="821" t="str">
        <f>+'4L'!BI45</f>
        <v>BA2070ALCUM</v>
      </c>
      <c r="D3357" s="1882"/>
      <c r="E3357" s="1628" t="s">
        <v>8339</v>
      </c>
      <c r="F3357" s="1882"/>
      <c r="G3357" s="1882">
        <f>IF('4L'!N45="","##BLANK",'4L'!N45)</f>
        <v>0</v>
      </c>
    </row>
    <row r="3358" spans="2:7">
      <c r="B3358" s="821" t="str">
        <f>+'4L'!BJ8</f>
        <v>W3001RWACUM</v>
      </c>
      <c r="D3358" s="1882"/>
      <c r="E3358" s="1628" t="s">
        <v>8339</v>
      </c>
      <c r="F3358" s="1882"/>
      <c r="G3358" s="1882">
        <f>IF('4L'!O8="","##BLANK",'4L'!O8)</f>
        <v>0</v>
      </c>
    </row>
    <row r="3359" spans="2:7">
      <c r="B3359" s="821" t="str">
        <f>+'4L'!BJ9</f>
        <v>WS2002RWACUM</v>
      </c>
      <c r="D3359" s="1882"/>
      <c r="E3359" s="1628" t="s">
        <v>8339</v>
      </c>
      <c r="F3359" s="1882"/>
      <c r="G3359" s="1882">
        <f>IF('4L'!O9="","##BLANK",'4L'!O9)</f>
        <v>1.06</v>
      </c>
    </row>
    <row r="3360" spans="2:7">
      <c r="B3360" s="821" t="str">
        <f>+'4L'!BJ10</f>
        <v>WS2003RWACUM</v>
      </c>
      <c r="D3360" s="1882"/>
      <c r="E3360" s="1628" t="s">
        <v>8339</v>
      </c>
      <c r="F3360" s="1882"/>
      <c r="G3360" s="1882">
        <f>IF('4L'!O10="","##BLANK",'4L'!O10)</f>
        <v>0</v>
      </c>
    </row>
    <row r="3361" spans="2:7">
      <c r="B3361" s="821" t="str">
        <f>+'4L'!BJ11</f>
        <v>W3002RWACUM</v>
      </c>
      <c r="D3361" s="1882"/>
      <c r="E3361" s="1628" t="s">
        <v>8339</v>
      </c>
      <c r="F3361" s="1882"/>
      <c r="G3361" s="1882">
        <f>IF('4L'!O11="","##BLANK",'4L'!O11)</f>
        <v>0</v>
      </c>
    </row>
    <row r="3362" spans="2:7">
      <c r="B3362" s="821" t="str">
        <f>+'4L'!BJ12</f>
        <v>W3003RWACUM</v>
      </c>
      <c r="D3362" s="1882"/>
      <c r="E3362" s="1628" t="s">
        <v>8339</v>
      </c>
      <c r="F3362" s="1882"/>
      <c r="G3362" s="1882">
        <f>IF('4L'!O12="","##BLANK",'4L'!O12)</f>
        <v>0</v>
      </c>
    </row>
    <row r="3363" spans="2:7">
      <c r="B3363" s="821" t="str">
        <f>+'4L'!BJ13</f>
        <v>W3006RWACUM</v>
      </c>
      <c r="D3363" s="1882"/>
      <c r="E3363" s="1628" t="s">
        <v>8339</v>
      </c>
      <c r="F3363" s="1882"/>
      <c r="G3363" s="1882">
        <f>IF('4L'!O13="","##BLANK",'4L'!O13)</f>
        <v>0</v>
      </c>
    </row>
    <row r="3364" spans="2:7">
      <c r="B3364" s="821" t="str">
        <f>+'4L'!BJ14</f>
        <v>W3007SRWACUM</v>
      </c>
      <c r="D3364" s="1882"/>
      <c r="E3364" s="1628" t="s">
        <v>8339</v>
      </c>
      <c r="F3364" s="1882"/>
      <c r="G3364" s="1882">
        <f>IF('4L'!O14="","##BLANK",'4L'!O14)</f>
        <v>0</v>
      </c>
    </row>
    <row r="3365" spans="2:7">
      <c r="B3365" s="821" t="str">
        <f>+'4L'!BJ15</f>
        <v>W3008SRWACUM</v>
      </c>
      <c r="D3365" s="1882"/>
      <c r="E3365" s="1628" t="s">
        <v>8339</v>
      </c>
      <c r="F3365" s="1882"/>
      <c r="G3365" s="1882">
        <f>IF('4L'!O15="","##BLANK",'4L'!O15)</f>
        <v>0</v>
      </c>
    </row>
    <row r="3366" spans="2:7">
      <c r="B3366" s="821" t="str">
        <f>+'4L'!BJ16</f>
        <v>W3007DRWACUM</v>
      </c>
      <c r="D3366" s="1882"/>
      <c r="E3366" s="1628" t="s">
        <v>8339</v>
      </c>
      <c r="F3366" s="1882"/>
      <c r="G3366" s="1882">
        <f>IF('4L'!O16="","##BLANK",'4L'!O16)</f>
        <v>0</v>
      </c>
    </row>
    <row r="3367" spans="2:7">
      <c r="B3367" s="821" t="str">
        <f>+'4L'!BJ17</f>
        <v>W3008DRWACUM</v>
      </c>
      <c r="D3367" s="1882"/>
      <c r="E3367" s="1628" t="s">
        <v>8339</v>
      </c>
      <c r="F3367" s="1882"/>
      <c r="G3367" s="1882">
        <f>IF('4L'!O17="","##BLANK",'4L'!O17)</f>
        <v>0</v>
      </c>
    </row>
    <row r="3368" spans="2:7">
      <c r="B3368" s="821" t="str">
        <f>+'4L'!BJ18</f>
        <v>W3009RWACUM</v>
      </c>
      <c r="D3368" s="1882"/>
      <c r="E3368" s="1628" t="s">
        <v>8339</v>
      </c>
      <c r="F3368" s="1882"/>
      <c r="G3368" s="1882">
        <f>IF('4L'!O18="","##BLANK",'4L'!O18)</f>
        <v>0</v>
      </c>
    </row>
    <row r="3369" spans="2:7">
      <c r="B3369" s="821" t="str">
        <f>+'4L'!BJ19</f>
        <v>WS2004RWACUM</v>
      </c>
      <c r="D3369" s="1882"/>
      <c r="E3369" s="1628" t="s">
        <v>8339</v>
      </c>
      <c r="F3369" s="1882"/>
      <c r="G3369" s="1882">
        <f>IF('4L'!O19="","##BLANK",'4L'!O19)</f>
        <v>0</v>
      </c>
    </row>
    <row r="3370" spans="2:7">
      <c r="B3370" s="821" t="str">
        <f>+'4L'!BJ20</f>
        <v>W3010RWACUM</v>
      </c>
      <c r="D3370" s="1882"/>
      <c r="E3370" s="1628" t="s">
        <v>8339</v>
      </c>
      <c r="F3370" s="1882"/>
      <c r="G3370" s="1882">
        <f>IF('4L'!O20="","##BLANK",'4L'!O20)</f>
        <v>0.214</v>
      </c>
    </row>
    <row r="3371" spans="2:7">
      <c r="B3371" s="821" t="str">
        <f>+'4L'!BJ21</f>
        <v>W3011RWACUM</v>
      </c>
      <c r="D3371" s="1882"/>
      <c r="E3371" s="1628" t="s">
        <v>8339</v>
      </c>
      <c r="F3371" s="1882"/>
      <c r="G3371" s="1882">
        <f>IF('4L'!O21="","##BLANK",'4L'!O21)</f>
        <v>0</v>
      </c>
    </row>
    <row r="3372" spans="2:7">
      <c r="B3372" s="821" t="str">
        <f>+'4L'!BJ22</f>
        <v>W3012RWACUM</v>
      </c>
      <c r="D3372" s="1882"/>
      <c r="E3372" s="1628" t="s">
        <v>8339</v>
      </c>
      <c r="F3372" s="1882"/>
      <c r="G3372" s="1882">
        <f>IF('4L'!O22="","##BLANK",'4L'!O22)</f>
        <v>0.13500000000000001</v>
      </c>
    </row>
    <row r="3373" spans="2:7">
      <c r="B3373" s="821" t="str">
        <f>+'4L'!BJ23</f>
        <v>WS2006RWACUM</v>
      </c>
      <c r="D3373" s="1882"/>
      <c r="E3373" s="1628" t="s">
        <v>8339</v>
      </c>
      <c r="F3373" s="1882"/>
      <c r="G3373" s="1882">
        <f>IF('4L'!O23="","##BLANK",'4L'!O23)</f>
        <v>0</v>
      </c>
    </row>
    <row r="3374" spans="2:7">
      <c r="B3374" s="821" t="str">
        <f>+'4L'!BJ24</f>
        <v>WS2007RWACUM</v>
      </c>
      <c r="D3374" s="1882"/>
      <c r="E3374" s="1628" t="s">
        <v>8339</v>
      </c>
      <c r="F3374" s="1882"/>
      <c r="G3374" s="1882">
        <f>IF('4L'!O24="","##BLANK",'4L'!O24)</f>
        <v>0.2</v>
      </c>
    </row>
    <row r="3375" spans="2:7">
      <c r="B3375" s="821" t="str">
        <f>+'4L'!BJ25</f>
        <v>WS2008RWACUM</v>
      </c>
      <c r="D3375" s="1882"/>
      <c r="E3375" s="1628" t="s">
        <v>8339</v>
      </c>
      <c r="F3375" s="1882"/>
      <c r="G3375" s="1882">
        <f>IF('4L'!O25="","##BLANK",'4L'!O25)</f>
        <v>0.13700000000000001</v>
      </c>
    </row>
    <row r="3376" spans="2:7">
      <c r="B3376" s="821" t="str">
        <f>+'4L'!BJ26</f>
        <v>W3027RWACUM</v>
      </c>
      <c r="D3376" s="1882"/>
      <c r="E3376" s="1628" t="s">
        <v>8339</v>
      </c>
      <c r="F3376" s="1882"/>
      <c r="G3376" s="1882">
        <f>IF('4L'!O26="","##BLANK",'4L'!O26)</f>
        <v>0</v>
      </c>
    </row>
    <row r="3377" spans="2:7">
      <c r="B3377" s="821" t="str">
        <f>+'4L'!BJ27</f>
        <v>W3028OPTRWACUM</v>
      </c>
      <c r="D3377" s="1882"/>
      <c r="E3377" s="1628" t="s">
        <v>8339</v>
      </c>
      <c r="F3377" s="1882"/>
      <c r="G3377" s="1882">
        <f>IF('4L'!O27="","##BLANK",'4L'!O27)</f>
        <v>0</v>
      </c>
    </row>
    <row r="3378" spans="2:7">
      <c r="B3378" s="821" t="str">
        <f>+'4L'!BJ28</f>
        <v>W3028COMRWACUM</v>
      </c>
      <c r="D3378" s="1882"/>
      <c r="E3378" s="1628" t="s">
        <v>8339</v>
      </c>
      <c r="F3378" s="1882"/>
      <c r="G3378" s="1882">
        <f>IF('4L'!O28="","##BLANK",'4L'!O28)</f>
        <v>0</v>
      </c>
    </row>
    <row r="3379" spans="2:7">
      <c r="B3379" s="821" t="str">
        <f>+'4L'!BJ29</f>
        <v>W3028NHORWACUM</v>
      </c>
      <c r="D3379" s="1882"/>
      <c r="E3379" s="1628" t="s">
        <v>8339</v>
      </c>
      <c r="F3379" s="1882"/>
      <c r="G3379" s="1882">
        <f>IF('4L'!O29="","##BLANK",'4L'!O29)</f>
        <v>0</v>
      </c>
    </row>
    <row r="3380" spans="2:7">
      <c r="B3380" s="821" t="str">
        <f>+'4L'!BJ30</f>
        <v>W3A00001RWACUM</v>
      </c>
      <c r="D3380" s="1882"/>
      <c r="E3380" s="1628" t="s">
        <v>8339</v>
      </c>
      <c r="F3380" s="1882" t="str">
        <f>+'4L'!C$30</f>
        <v>Capital expenditure purpose - WATER additional line 1 [Other categories]</v>
      </c>
      <c r="G3380" s="1882" t="str">
        <f>IF('4L'!O30="","##BLANK",'4L'!O30)</f>
        <v>##BLANK</v>
      </c>
    </row>
    <row r="3381" spans="2:7">
      <c r="B3381" s="821" t="str">
        <f>+'4L'!BJ31</f>
        <v>W3A00002RWACUM</v>
      </c>
      <c r="D3381" s="1882"/>
      <c r="E3381" s="1628" t="s">
        <v>8339</v>
      </c>
      <c r="F3381" s="1882" t="str">
        <f>+'4L'!C$31</f>
        <v>Capital expenditure purpose - WATER additional line 2 [Other categories]</v>
      </c>
      <c r="G3381" s="1882" t="str">
        <f>IF('4L'!O31="","##BLANK",'4L'!O31)</f>
        <v>##BLANK</v>
      </c>
    </row>
    <row r="3382" spans="2:7">
      <c r="B3382" s="821" t="str">
        <f>+'4L'!BJ32</f>
        <v>W3A00003RWACUM</v>
      </c>
      <c r="D3382" s="1882"/>
      <c r="E3382" s="1628" t="s">
        <v>8339</v>
      </c>
      <c r="F3382" s="1882" t="str">
        <f>+'4L'!C$32</f>
        <v>Capital expenditure purpose - WATER additional line 3 [Other categories]</v>
      </c>
      <c r="G3382" s="1882" t="str">
        <f>IF('4L'!O32="","##BLANK",'4L'!O32)</f>
        <v>##BLANK</v>
      </c>
    </row>
    <row r="3383" spans="2:7">
      <c r="B3383" s="821" t="str">
        <f>+'4L'!BJ33</f>
        <v>W3A00004RWACUM</v>
      </c>
      <c r="D3383" s="1882"/>
      <c r="E3383" s="1628" t="s">
        <v>8339</v>
      </c>
      <c r="F3383" s="1882" t="str">
        <f>+'4L'!C$33</f>
        <v>Capital expenditure purpose - WATER additional line 4 [Other categories]</v>
      </c>
      <c r="G3383" s="1882" t="str">
        <f>IF('4L'!O33="","##BLANK",'4L'!O33)</f>
        <v>##BLANK</v>
      </c>
    </row>
    <row r="3384" spans="2:7">
      <c r="B3384" s="821" t="str">
        <f>+'4L'!BJ34</f>
        <v>W3A00005RWACUM</v>
      </c>
      <c r="D3384" s="1882"/>
      <c r="E3384" s="1628" t="s">
        <v>8339</v>
      </c>
      <c r="F3384" s="1882" t="str">
        <f>+'4L'!C$34</f>
        <v>Capital expenditure purpose - WATER additional line 5 [Other categories]</v>
      </c>
      <c r="G3384" s="1882" t="str">
        <f>IF('4L'!O34="","##BLANK",'4L'!O34)</f>
        <v>##BLANK</v>
      </c>
    </row>
    <row r="3385" spans="2:7">
      <c r="B3385" s="821" t="str">
        <f>+'4L'!BJ35</f>
        <v>W3A00006RWACUM</v>
      </c>
      <c r="D3385" s="1882"/>
      <c r="E3385" s="1628" t="s">
        <v>8339</v>
      </c>
      <c r="F3385" s="1882" t="str">
        <f>+'4L'!C$35</f>
        <v>Capital expenditure purpose - WATER additional line 6 [Other categories]</v>
      </c>
      <c r="G3385" s="1882" t="str">
        <f>IF('4L'!O35="","##BLANK",'4L'!O35)</f>
        <v>##BLANK</v>
      </c>
    </row>
    <row r="3386" spans="2:7">
      <c r="B3386" s="821" t="str">
        <f>+'4L'!BJ36</f>
        <v>W3A00007RWACUM</v>
      </c>
      <c r="D3386" s="1882"/>
      <c r="E3386" s="1628" t="s">
        <v>8339</v>
      </c>
      <c r="F3386" s="1882" t="str">
        <f>+'4L'!C$36</f>
        <v>Capital expenditure purpose - WATER additional line 7 [Other categories]</v>
      </c>
      <c r="G3386" s="1882" t="str">
        <f>IF('4L'!O36="","##BLANK",'4L'!O36)</f>
        <v>##BLANK</v>
      </c>
    </row>
    <row r="3387" spans="2:7">
      <c r="B3387" s="821" t="str">
        <f>+'4L'!BJ37</f>
        <v>W3A00008RWACUM</v>
      </c>
      <c r="D3387" s="1882"/>
      <c r="E3387" s="1628" t="s">
        <v>8339</v>
      </c>
      <c r="F3387" s="1882" t="str">
        <f>+'4L'!C$37</f>
        <v>Capital expenditure purpose - WATER additional line 8 [Other categories]</v>
      </c>
      <c r="G3387" s="1882" t="str">
        <f>IF('4L'!O37="","##BLANK",'4L'!O37)</f>
        <v>##BLANK</v>
      </c>
    </row>
    <row r="3388" spans="2:7">
      <c r="B3388" s="821" t="str">
        <f>+'4L'!BJ38</f>
        <v>W3A00009RWACUM</v>
      </c>
      <c r="D3388" s="1882"/>
      <c r="E3388" s="1628" t="s">
        <v>8339</v>
      </c>
      <c r="F3388" s="1882" t="str">
        <f>+'4L'!C$38</f>
        <v>Capital expenditure purpose - WATER additional line 9 [Other categories]</v>
      </c>
      <c r="G3388" s="1882" t="str">
        <f>IF('4L'!O38="","##BLANK",'4L'!O38)</f>
        <v>##BLANK</v>
      </c>
    </row>
    <row r="3389" spans="2:7">
      <c r="B3389" s="821" t="str">
        <f>+'4L'!BJ39</f>
        <v>W3A00010RWACUM</v>
      </c>
      <c r="D3389" s="1882"/>
      <c r="E3389" s="1628" t="s">
        <v>8339</v>
      </c>
      <c r="F3389" s="1882" t="str">
        <f>+'4L'!C$39</f>
        <v>Capital expenditure purpose - WATER additional line 10 [Other categories]</v>
      </c>
      <c r="G3389" s="1882" t="str">
        <f>IF('4L'!O39="","##BLANK",'4L'!O39)</f>
        <v>##BLANK</v>
      </c>
    </row>
    <row r="3390" spans="2:7">
      <c r="B3390" s="821" t="str">
        <f>+'4L'!BJ40</f>
        <v>W3A00011RWACUM</v>
      </c>
      <c r="D3390" s="1882"/>
      <c r="E3390" s="1628" t="s">
        <v>8339</v>
      </c>
      <c r="F3390" s="1882" t="str">
        <f>+'4L'!C$40</f>
        <v>Capital expenditure purpose - WATER additional line 11 [Other categories]</v>
      </c>
      <c r="G3390" s="1882" t="str">
        <f>IF('4L'!O40="","##BLANK",'4L'!O40)</f>
        <v>##BLANK</v>
      </c>
    </row>
    <row r="3391" spans="2:7">
      <c r="B3391" s="821" t="str">
        <f>+'4L'!BJ41</f>
        <v>W3A00012RWACUM</v>
      </c>
      <c r="D3391" s="1882"/>
      <c r="E3391" s="1628" t="s">
        <v>8339</v>
      </c>
      <c r="F3391" s="1882" t="str">
        <f>+'4L'!C$41</f>
        <v>Capital expenditure purpose - WATER additional line 12 [Other categories]</v>
      </c>
      <c r="G3391" s="1882" t="str">
        <f>IF('4L'!O41="","##BLANK",'4L'!O41)</f>
        <v>##BLANK</v>
      </c>
    </row>
    <row r="3392" spans="2:7">
      <c r="B3392" s="821" t="str">
        <f>+'4L'!BJ42</f>
        <v>W3A00013RWACUM</v>
      </c>
      <c r="D3392" s="1882"/>
      <c r="E3392" s="1628" t="s">
        <v>8339</v>
      </c>
      <c r="F3392" s="1882" t="str">
        <f>+'4L'!C$42</f>
        <v>Capital expenditure purpose - WATER additional line 13 [Other categories]</v>
      </c>
      <c r="G3392" s="1882" t="str">
        <f>IF('4L'!O42="","##BLANK",'4L'!O42)</f>
        <v>##BLANK</v>
      </c>
    </row>
    <row r="3393" spans="2:7">
      <c r="B3393" s="821" t="str">
        <f>+'4L'!BJ43</f>
        <v>W3A00014RWACUM</v>
      </c>
      <c r="D3393" s="1882"/>
      <c r="E3393" s="1628" t="s">
        <v>8339</v>
      </c>
      <c r="F3393" s="1882" t="str">
        <f>+'4L'!C$43</f>
        <v>Capital expenditure purpose - WATER additional line 14 [Other categories]</v>
      </c>
      <c r="G3393" s="1882" t="str">
        <f>IF('4L'!O43="","##BLANK",'4L'!O43)</f>
        <v>##BLANK</v>
      </c>
    </row>
    <row r="3394" spans="2:7">
      <c r="B3394" s="821" t="str">
        <f>+'4L'!BJ44</f>
        <v>W3A00015RWACUM</v>
      </c>
      <c r="D3394" s="1882"/>
      <c r="E3394" s="1628" t="s">
        <v>8339</v>
      </c>
      <c r="F3394" s="1882" t="str">
        <f>+'4L'!C$44</f>
        <v>Capital expenditure purpose - WATER additional line 15 [Other categories]</v>
      </c>
      <c r="G3394" s="1882" t="str">
        <f>IF('4L'!O44="","##BLANK",'4L'!O44)</f>
        <v>##BLANK</v>
      </c>
    </row>
    <row r="3395" spans="2:7">
      <c r="B3395" s="821" t="str">
        <f>+'4L'!BJ45</f>
        <v>BA2070RWACUM</v>
      </c>
      <c r="D3395" s="1882"/>
      <c r="E3395" s="1628" t="s">
        <v>8339</v>
      </c>
      <c r="F3395" s="1882"/>
      <c r="G3395" s="1882">
        <f>IF('4L'!O45="","##BLANK",'4L'!O45)</f>
        <v>1.746</v>
      </c>
    </row>
    <row r="3396" spans="2:7">
      <c r="B3396" s="821" t="str">
        <f>+'4L'!BK8</f>
        <v>W3001RWTCUM</v>
      </c>
      <c r="D3396" s="1882"/>
      <c r="E3396" s="1628" t="s">
        <v>8339</v>
      </c>
      <c r="F3396" s="1882"/>
      <c r="G3396" s="1882">
        <f>IF('4L'!P8="","##BLANK",'4L'!P8)</f>
        <v>0</v>
      </c>
    </row>
    <row r="3397" spans="2:7">
      <c r="B3397" s="821" t="str">
        <f>+'4L'!BK9</f>
        <v>WS2002RWTCUM</v>
      </c>
      <c r="D3397" s="1882"/>
      <c r="E3397" s="1628" t="s">
        <v>8339</v>
      </c>
      <c r="F3397" s="1882"/>
      <c r="G3397" s="1882">
        <f>IF('4L'!P9="","##BLANK",'4L'!P9)</f>
        <v>0</v>
      </c>
    </row>
    <row r="3398" spans="2:7">
      <c r="B3398" s="821" t="str">
        <f>+'4L'!BK10</f>
        <v>WS2003RWTCUM</v>
      </c>
      <c r="D3398" s="1882"/>
      <c r="E3398" s="1628" t="s">
        <v>8339</v>
      </c>
      <c r="F3398" s="1882"/>
      <c r="G3398" s="1882">
        <f>IF('4L'!P10="","##BLANK",'4L'!P10)</f>
        <v>0</v>
      </c>
    </row>
    <row r="3399" spans="2:7">
      <c r="B3399" s="821" t="str">
        <f>+'4L'!BK11</f>
        <v>W3002RWTCUM</v>
      </c>
      <c r="D3399" s="1882"/>
      <c r="E3399" s="1628" t="s">
        <v>8339</v>
      </c>
      <c r="F3399" s="1882"/>
      <c r="G3399" s="1882">
        <f>IF('4L'!P11="","##BLANK",'4L'!P11)</f>
        <v>0</v>
      </c>
    </row>
    <row r="3400" spans="2:7">
      <c r="B3400" s="821" t="str">
        <f>+'4L'!BK12</f>
        <v>W3003RWTCUM</v>
      </c>
      <c r="D3400" s="1882"/>
      <c r="E3400" s="1628" t="s">
        <v>8339</v>
      </c>
      <c r="F3400" s="1882"/>
      <c r="G3400" s="1882">
        <f>IF('4L'!P12="","##BLANK",'4L'!P12)</f>
        <v>0</v>
      </c>
    </row>
    <row r="3401" spans="2:7">
      <c r="B3401" s="821" t="str">
        <f>+'4L'!BK13</f>
        <v>W3006RWTCUM</v>
      </c>
      <c r="D3401" s="1882"/>
      <c r="E3401" s="1628" t="s">
        <v>8339</v>
      </c>
      <c r="F3401" s="1882"/>
      <c r="G3401" s="1882">
        <f>IF('4L'!P13="","##BLANK",'4L'!P13)</f>
        <v>0</v>
      </c>
    </row>
    <row r="3402" spans="2:7">
      <c r="B3402" s="821" t="str">
        <f>+'4L'!BK14</f>
        <v>W3007SRWTCUM</v>
      </c>
      <c r="D3402" s="1882"/>
      <c r="E3402" s="1628" t="s">
        <v>8339</v>
      </c>
      <c r="F3402" s="1882"/>
      <c r="G3402" s="1882">
        <f>IF('4L'!P14="","##BLANK",'4L'!P14)</f>
        <v>0</v>
      </c>
    </row>
    <row r="3403" spans="2:7">
      <c r="B3403" s="821" t="str">
        <f>+'4L'!BK15</f>
        <v>W3008SRWTCUM</v>
      </c>
      <c r="D3403" s="1882"/>
      <c r="E3403" s="1628" t="s">
        <v>8339</v>
      </c>
      <c r="F3403" s="1882"/>
      <c r="G3403" s="1882">
        <f>IF('4L'!P15="","##BLANK",'4L'!P15)</f>
        <v>0</v>
      </c>
    </row>
    <row r="3404" spans="2:7">
      <c r="B3404" s="821" t="str">
        <f>+'4L'!BK16</f>
        <v>W3007DRWTCUM</v>
      </c>
      <c r="D3404" s="1882"/>
      <c r="E3404" s="1628" t="s">
        <v>8339</v>
      </c>
      <c r="F3404" s="1882"/>
      <c r="G3404" s="1882">
        <f>IF('4L'!P16="","##BLANK",'4L'!P16)</f>
        <v>0</v>
      </c>
    </row>
    <row r="3405" spans="2:7">
      <c r="B3405" s="821" t="str">
        <f>+'4L'!BK17</f>
        <v>W3008DRWTCUM</v>
      </c>
      <c r="D3405" s="1882"/>
      <c r="E3405" s="1628" t="s">
        <v>8339</v>
      </c>
      <c r="F3405" s="1882"/>
      <c r="G3405" s="1882">
        <f>IF('4L'!P17="","##BLANK",'4L'!P17)</f>
        <v>0</v>
      </c>
    </row>
    <row r="3406" spans="2:7">
      <c r="B3406" s="821" t="str">
        <f>+'4L'!BK18</f>
        <v>W3009RWTCUM</v>
      </c>
      <c r="D3406" s="1882"/>
      <c r="E3406" s="1628" t="s">
        <v>8339</v>
      </c>
      <c r="F3406" s="1882"/>
      <c r="G3406" s="1882">
        <f>IF('4L'!P18="","##BLANK",'4L'!P18)</f>
        <v>0</v>
      </c>
    </row>
    <row r="3407" spans="2:7">
      <c r="B3407" s="821" t="str">
        <f>+'4L'!BK19</f>
        <v>WS2004RWTCUM</v>
      </c>
      <c r="D3407" s="1882"/>
      <c r="E3407" s="1628" t="s">
        <v>8339</v>
      </c>
      <c r="F3407" s="1882"/>
      <c r="G3407" s="1882">
        <f>IF('4L'!P19="","##BLANK",'4L'!P19)</f>
        <v>0</v>
      </c>
    </row>
    <row r="3408" spans="2:7">
      <c r="B3408" s="821" t="str">
        <f>+'4L'!BK20</f>
        <v>W3010RWTCUM</v>
      </c>
      <c r="D3408" s="1882"/>
      <c r="E3408" s="1628" t="s">
        <v>8339</v>
      </c>
      <c r="F3408" s="1882"/>
      <c r="G3408" s="1882">
        <f>IF('4L'!P20="","##BLANK",'4L'!P20)</f>
        <v>0</v>
      </c>
    </row>
    <row r="3409" spans="2:7">
      <c r="B3409" s="821" t="str">
        <f>+'4L'!BK21</f>
        <v>W3011RWTCUM</v>
      </c>
      <c r="D3409" s="1882"/>
      <c r="E3409" s="1628" t="s">
        <v>8339</v>
      </c>
      <c r="F3409" s="1882"/>
      <c r="G3409" s="1882">
        <f>IF('4L'!P21="","##BLANK",'4L'!P21)</f>
        <v>0</v>
      </c>
    </row>
    <row r="3410" spans="2:7">
      <c r="B3410" s="821" t="str">
        <f>+'4L'!BK22</f>
        <v>W3012RWTCUM</v>
      </c>
      <c r="D3410" s="1882"/>
      <c r="E3410" s="1628" t="s">
        <v>8339</v>
      </c>
      <c r="F3410" s="1882"/>
      <c r="G3410" s="1882">
        <f>IF('4L'!P22="","##BLANK",'4L'!P22)</f>
        <v>1E-3</v>
      </c>
    </row>
    <row r="3411" spans="2:7">
      <c r="B3411" s="821" t="str">
        <f>+'4L'!BK23</f>
        <v>WS2006RWTCUM</v>
      </c>
      <c r="D3411" s="1882"/>
      <c r="E3411" s="1628" t="s">
        <v>8339</v>
      </c>
      <c r="F3411" s="1882"/>
      <c r="G3411" s="1882">
        <f>IF('4L'!P23="","##BLANK",'4L'!P23)</f>
        <v>0</v>
      </c>
    </row>
    <row r="3412" spans="2:7">
      <c r="B3412" s="821" t="str">
        <f>+'4L'!BK24</f>
        <v>WS2007RWTCUM</v>
      </c>
      <c r="D3412" s="1882"/>
      <c r="E3412" s="1628" t="s">
        <v>8339</v>
      </c>
      <c r="F3412" s="1882"/>
      <c r="G3412" s="1882">
        <f>IF('4L'!P24="","##BLANK",'4L'!P24)</f>
        <v>0</v>
      </c>
    </row>
    <row r="3413" spans="2:7">
      <c r="B3413" s="821" t="str">
        <f>+'4L'!BK25</f>
        <v>WS2008RWTCUM</v>
      </c>
      <c r="D3413" s="1882"/>
      <c r="E3413" s="1628" t="s">
        <v>8339</v>
      </c>
      <c r="F3413" s="1882"/>
      <c r="G3413" s="1882">
        <f>IF('4L'!P25="","##BLANK",'4L'!P25)</f>
        <v>0</v>
      </c>
    </row>
    <row r="3414" spans="2:7">
      <c r="B3414" s="821" t="str">
        <f>+'4L'!BK26</f>
        <v>W3027RWTCUM</v>
      </c>
      <c r="D3414" s="1882"/>
      <c r="E3414" s="1628" t="s">
        <v>8339</v>
      </c>
      <c r="F3414" s="1882"/>
      <c r="G3414" s="1882">
        <f>IF('4L'!P26="","##BLANK",'4L'!P26)</f>
        <v>0</v>
      </c>
    </row>
    <row r="3415" spans="2:7">
      <c r="B3415" s="821" t="str">
        <f>+'4L'!BK27</f>
        <v>W3028OPTRWTCUM</v>
      </c>
      <c r="D3415" s="1882"/>
      <c r="E3415" s="1628" t="s">
        <v>8339</v>
      </c>
      <c r="F3415" s="1882"/>
      <c r="G3415" s="1882">
        <f>IF('4L'!P27="","##BLANK",'4L'!P27)</f>
        <v>0</v>
      </c>
    </row>
    <row r="3416" spans="2:7">
      <c r="B3416" s="821" t="str">
        <f>+'4L'!BK28</f>
        <v>W3028COMRWTCUM</v>
      </c>
      <c r="D3416" s="1882"/>
      <c r="E3416" s="1628" t="s">
        <v>8339</v>
      </c>
      <c r="F3416" s="1882"/>
      <c r="G3416" s="1882">
        <f>IF('4L'!P28="","##BLANK",'4L'!P28)</f>
        <v>0</v>
      </c>
    </row>
    <row r="3417" spans="2:7">
      <c r="B3417" s="821" t="str">
        <f>+'4L'!BK29</f>
        <v>W3028NHORWTCUM</v>
      </c>
      <c r="D3417" s="1882"/>
      <c r="E3417" s="1628" t="s">
        <v>8339</v>
      </c>
      <c r="F3417" s="1882"/>
      <c r="G3417" s="1882">
        <f>IF('4L'!P29="","##BLANK",'4L'!P29)</f>
        <v>0</v>
      </c>
    </row>
    <row r="3418" spans="2:7">
      <c r="B3418" s="821" t="str">
        <f>+'4L'!BK30</f>
        <v>W3A00001RWTCUM</v>
      </c>
      <c r="D3418" s="1882"/>
      <c r="E3418" s="1628" t="s">
        <v>8339</v>
      </c>
      <c r="F3418" s="1882" t="str">
        <f>+'4L'!C$30</f>
        <v>Capital expenditure purpose - WATER additional line 1 [Other categories]</v>
      </c>
      <c r="G3418" s="1882" t="str">
        <f>IF('4L'!P30="","##BLANK",'4L'!P30)</f>
        <v>##BLANK</v>
      </c>
    </row>
    <row r="3419" spans="2:7">
      <c r="B3419" s="821" t="str">
        <f>+'4L'!BK31</f>
        <v>W3A00002RWTCUM</v>
      </c>
      <c r="D3419" s="1882"/>
      <c r="E3419" s="1628" t="s">
        <v>8339</v>
      </c>
      <c r="F3419" s="1882" t="str">
        <f>+'4L'!C$31</f>
        <v>Capital expenditure purpose - WATER additional line 2 [Other categories]</v>
      </c>
      <c r="G3419" s="1882" t="str">
        <f>IF('4L'!P31="","##BLANK",'4L'!P31)</f>
        <v>##BLANK</v>
      </c>
    </row>
    <row r="3420" spans="2:7">
      <c r="B3420" s="821" t="str">
        <f>+'4L'!BK32</f>
        <v>W3A00003RWTCUM</v>
      </c>
      <c r="D3420" s="1882"/>
      <c r="E3420" s="1628" t="s">
        <v>8339</v>
      </c>
      <c r="F3420" s="1882" t="str">
        <f>+'4L'!C$32</f>
        <v>Capital expenditure purpose - WATER additional line 3 [Other categories]</v>
      </c>
      <c r="G3420" s="1882" t="str">
        <f>IF('4L'!P32="","##BLANK",'4L'!P32)</f>
        <v>##BLANK</v>
      </c>
    </row>
    <row r="3421" spans="2:7">
      <c r="B3421" s="821" t="str">
        <f>+'4L'!BK33</f>
        <v>W3A00004RWTCUM</v>
      </c>
      <c r="D3421" s="1882"/>
      <c r="E3421" s="1628" t="s">
        <v>8339</v>
      </c>
      <c r="F3421" s="1882" t="str">
        <f>+'4L'!C$33</f>
        <v>Capital expenditure purpose - WATER additional line 4 [Other categories]</v>
      </c>
      <c r="G3421" s="1882" t="str">
        <f>IF('4L'!P33="","##BLANK",'4L'!P33)</f>
        <v>##BLANK</v>
      </c>
    </row>
    <row r="3422" spans="2:7">
      <c r="B3422" s="821" t="str">
        <f>+'4L'!BK34</f>
        <v>W3A00005RWTCUM</v>
      </c>
      <c r="D3422" s="1882"/>
      <c r="E3422" s="1628" t="s">
        <v>8339</v>
      </c>
      <c r="F3422" s="1882" t="str">
        <f>+'4L'!C$34</f>
        <v>Capital expenditure purpose - WATER additional line 5 [Other categories]</v>
      </c>
      <c r="G3422" s="1882" t="str">
        <f>IF('4L'!P34="","##BLANK",'4L'!P34)</f>
        <v>##BLANK</v>
      </c>
    </row>
    <row r="3423" spans="2:7">
      <c r="B3423" s="821" t="str">
        <f>+'4L'!BK35</f>
        <v>W3A00006RWTCUM</v>
      </c>
      <c r="D3423" s="1882"/>
      <c r="E3423" s="1628" t="s">
        <v>8339</v>
      </c>
      <c r="F3423" s="1882" t="str">
        <f>+'4L'!C$35</f>
        <v>Capital expenditure purpose - WATER additional line 6 [Other categories]</v>
      </c>
      <c r="G3423" s="1882" t="str">
        <f>IF('4L'!P35="","##BLANK",'4L'!P35)</f>
        <v>##BLANK</v>
      </c>
    </row>
    <row r="3424" spans="2:7">
      <c r="B3424" s="821" t="str">
        <f>+'4L'!BK36</f>
        <v>W3A00007RWTCUM</v>
      </c>
      <c r="D3424" s="1882"/>
      <c r="E3424" s="1628" t="s">
        <v>8339</v>
      </c>
      <c r="F3424" s="1882" t="str">
        <f>+'4L'!C$36</f>
        <v>Capital expenditure purpose - WATER additional line 7 [Other categories]</v>
      </c>
      <c r="G3424" s="1882" t="str">
        <f>IF('4L'!P36="","##BLANK",'4L'!P36)</f>
        <v>##BLANK</v>
      </c>
    </row>
    <row r="3425" spans="2:7">
      <c r="B3425" s="821" t="str">
        <f>+'4L'!BK37</f>
        <v>W3A00008RWTCUM</v>
      </c>
      <c r="D3425" s="1882"/>
      <c r="E3425" s="1628" t="s">
        <v>8339</v>
      </c>
      <c r="F3425" s="1882" t="str">
        <f>+'4L'!C$37</f>
        <v>Capital expenditure purpose - WATER additional line 8 [Other categories]</v>
      </c>
      <c r="G3425" s="1882" t="str">
        <f>IF('4L'!P37="","##BLANK",'4L'!P37)</f>
        <v>##BLANK</v>
      </c>
    </row>
    <row r="3426" spans="2:7">
      <c r="B3426" s="821" t="str">
        <f>+'4L'!BK38</f>
        <v>W3A00009RWTCUM</v>
      </c>
      <c r="D3426" s="1882"/>
      <c r="E3426" s="1628" t="s">
        <v>8339</v>
      </c>
      <c r="F3426" s="1882" t="str">
        <f>+'4L'!C$38</f>
        <v>Capital expenditure purpose - WATER additional line 9 [Other categories]</v>
      </c>
      <c r="G3426" s="1882" t="str">
        <f>IF('4L'!P38="","##BLANK",'4L'!P38)</f>
        <v>##BLANK</v>
      </c>
    </row>
    <row r="3427" spans="2:7">
      <c r="B3427" s="821" t="str">
        <f>+'4L'!BK39</f>
        <v>W3A00010RWTCUM</v>
      </c>
      <c r="D3427" s="1882"/>
      <c r="E3427" s="1628" t="s">
        <v>8339</v>
      </c>
      <c r="F3427" s="1882" t="str">
        <f>+'4L'!C$39</f>
        <v>Capital expenditure purpose - WATER additional line 10 [Other categories]</v>
      </c>
      <c r="G3427" s="1882" t="str">
        <f>IF('4L'!P39="","##BLANK",'4L'!P39)</f>
        <v>##BLANK</v>
      </c>
    </row>
    <row r="3428" spans="2:7">
      <c r="B3428" s="821" t="str">
        <f>+'4L'!BK40</f>
        <v>W3A00011RWTCUM</v>
      </c>
      <c r="D3428" s="1882"/>
      <c r="E3428" s="1628" t="s">
        <v>8339</v>
      </c>
      <c r="F3428" s="1882" t="str">
        <f>+'4L'!C$40</f>
        <v>Capital expenditure purpose - WATER additional line 11 [Other categories]</v>
      </c>
      <c r="G3428" s="1882" t="str">
        <f>IF('4L'!P40="","##BLANK",'4L'!P40)</f>
        <v>##BLANK</v>
      </c>
    </row>
    <row r="3429" spans="2:7">
      <c r="B3429" s="821" t="str">
        <f>+'4L'!BK41</f>
        <v>W3A00012RWTCUM</v>
      </c>
      <c r="D3429" s="1882"/>
      <c r="E3429" s="1628" t="s">
        <v>8339</v>
      </c>
      <c r="F3429" s="1882" t="str">
        <f>+'4L'!C$41</f>
        <v>Capital expenditure purpose - WATER additional line 12 [Other categories]</v>
      </c>
      <c r="G3429" s="1882" t="str">
        <f>IF('4L'!P41="","##BLANK",'4L'!P41)</f>
        <v>##BLANK</v>
      </c>
    </row>
    <row r="3430" spans="2:7">
      <c r="B3430" s="821" t="str">
        <f>+'4L'!BK42</f>
        <v>W3A00013RWTCUM</v>
      </c>
      <c r="D3430" s="1882"/>
      <c r="E3430" s="1628" t="s">
        <v>8339</v>
      </c>
      <c r="F3430" s="1882" t="str">
        <f>+'4L'!C$42</f>
        <v>Capital expenditure purpose - WATER additional line 13 [Other categories]</v>
      </c>
      <c r="G3430" s="1882" t="str">
        <f>IF('4L'!P42="","##BLANK",'4L'!P42)</f>
        <v>##BLANK</v>
      </c>
    </row>
    <row r="3431" spans="2:7">
      <c r="B3431" s="821" t="str">
        <f>+'4L'!BK43</f>
        <v>W3A00014RWTCUM</v>
      </c>
      <c r="D3431" s="1882"/>
      <c r="E3431" s="1628" t="s">
        <v>8339</v>
      </c>
      <c r="F3431" s="1882" t="str">
        <f>+'4L'!C$43</f>
        <v>Capital expenditure purpose - WATER additional line 14 [Other categories]</v>
      </c>
      <c r="G3431" s="1882" t="str">
        <f>IF('4L'!P43="","##BLANK",'4L'!P43)</f>
        <v>##BLANK</v>
      </c>
    </row>
    <row r="3432" spans="2:7">
      <c r="B3432" s="821" t="str">
        <f>+'4L'!BK44</f>
        <v>W3A00015RWTCUM</v>
      </c>
      <c r="D3432" s="1882"/>
      <c r="E3432" s="1628" t="s">
        <v>8339</v>
      </c>
      <c r="F3432" s="1882" t="str">
        <f>+'4L'!C$44</f>
        <v>Capital expenditure purpose - WATER additional line 15 [Other categories]</v>
      </c>
      <c r="G3432" s="1882" t="str">
        <f>IF('4L'!P44="","##BLANK",'4L'!P44)</f>
        <v>##BLANK</v>
      </c>
    </row>
    <row r="3433" spans="2:7">
      <c r="B3433" s="821" t="str">
        <f>+'4L'!BK45</f>
        <v>BA2070RWTCUM</v>
      </c>
      <c r="D3433" s="1882"/>
      <c r="E3433" s="1628" t="s">
        <v>8339</v>
      </c>
      <c r="F3433" s="1882"/>
      <c r="G3433" s="1882">
        <f>IF('4L'!P45="","##BLANK",'4L'!P45)</f>
        <v>1E-3</v>
      </c>
    </row>
    <row r="3434" spans="2:7">
      <c r="B3434" s="821" t="str">
        <f>+'4L'!BL8</f>
        <v>W3001RWSCUM</v>
      </c>
      <c r="D3434" s="1882"/>
      <c r="E3434" s="1628" t="s">
        <v>8339</v>
      </c>
      <c r="F3434" s="1882"/>
      <c r="G3434" s="1882">
        <f>IF('4L'!Q8="","##BLANK",'4L'!Q8)</f>
        <v>0</v>
      </c>
    </row>
    <row r="3435" spans="2:7">
      <c r="B3435" s="821" t="str">
        <f>+'4L'!BL9</f>
        <v>WS2002RWSCUM</v>
      </c>
      <c r="D3435" s="1882"/>
      <c r="E3435" s="1628" t="s">
        <v>8339</v>
      </c>
      <c r="F3435" s="1882"/>
      <c r="G3435" s="1882">
        <f>IF('4L'!Q9="","##BLANK",'4L'!Q9)</f>
        <v>0</v>
      </c>
    </row>
    <row r="3436" spans="2:7">
      <c r="B3436" s="821" t="str">
        <f>+'4L'!BL10</f>
        <v>WS2003RWSCUM</v>
      </c>
      <c r="D3436" s="1882"/>
      <c r="E3436" s="1628" t="s">
        <v>8339</v>
      </c>
      <c r="F3436" s="1882"/>
      <c r="G3436" s="1882">
        <f>IF('4L'!Q10="","##BLANK",'4L'!Q10)</f>
        <v>0</v>
      </c>
    </row>
    <row r="3437" spans="2:7">
      <c r="B3437" s="821" t="str">
        <f>+'4L'!BL11</f>
        <v>W3002RWSCUM</v>
      </c>
      <c r="D3437" s="1882"/>
      <c r="E3437" s="1628" t="s">
        <v>8339</v>
      </c>
      <c r="F3437" s="1882"/>
      <c r="G3437" s="1882">
        <f>IF('4L'!Q11="","##BLANK",'4L'!Q11)</f>
        <v>0</v>
      </c>
    </row>
    <row r="3438" spans="2:7">
      <c r="B3438" s="821" t="str">
        <f>+'4L'!BL12</f>
        <v>W3003RWSCUM</v>
      </c>
      <c r="D3438" s="1882"/>
      <c r="E3438" s="1628" t="s">
        <v>8339</v>
      </c>
      <c r="F3438" s="1882"/>
      <c r="G3438" s="1882">
        <f>IF('4L'!Q12="","##BLANK",'4L'!Q12)</f>
        <v>0</v>
      </c>
    </row>
    <row r="3439" spans="2:7">
      <c r="B3439" s="821" t="str">
        <f>+'4L'!BL13</f>
        <v>W3006RWSCUM</v>
      </c>
      <c r="D3439" s="1882"/>
      <c r="E3439" s="1628" t="s">
        <v>8339</v>
      </c>
      <c r="F3439" s="1882"/>
      <c r="G3439" s="1882">
        <f>IF('4L'!Q13="","##BLANK",'4L'!Q13)</f>
        <v>0</v>
      </c>
    </row>
    <row r="3440" spans="2:7">
      <c r="B3440" s="821" t="str">
        <f>+'4L'!BL14</f>
        <v>W3007SRWSCUM</v>
      </c>
      <c r="D3440" s="1882"/>
      <c r="E3440" s="1628" t="s">
        <v>8339</v>
      </c>
      <c r="F3440" s="1882"/>
      <c r="G3440" s="1882">
        <f>IF('4L'!Q14="","##BLANK",'4L'!Q14)</f>
        <v>0</v>
      </c>
    </row>
    <row r="3441" spans="2:7">
      <c r="B3441" s="821" t="str">
        <f>+'4L'!BL15</f>
        <v>W3008SRWSCUM</v>
      </c>
      <c r="D3441" s="1882"/>
      <c r="E3441" s="1628" t="s">
        <v>8339</v>
      </c>
      <c r="F3441" s="1882"/>
      <c r="G3441" s="1882">
        <f>IF('4L'!Q15="","##BLANK",'4L'!Q15)</f>
        <v>0</v>
      </c>
    </row>
    <row r="3442" spans="2:7">
      <c r="B3442" s="821" t="str">
        <f>+'4L'!BL16</f>
        <v>W3007DRWSCUM</v>
      </c>
      <c r="D3442" s="1882"/>
      <c r="E3442" s="1628" t="s">
        <v>8339</v>
      </c>
      <c r="F3442" s="1882"/>
      <c r="G3442" s="1882">
        <f>IF('4L'!Q16="","##BLANK",'4L'!Q16)</f>
        <v>0</v>
      </c>
    </row>
    <row r="3443" spans="2:7">
      <c r="B3443" s="821" t="str">
        <f>+'4L'!BL17</f>
        <v>W3008DRWSCUM</v>
      </c>
      <c r="D3443" s="1882"/>
      <c r="E3443" s="1628" t="s">
        <v>8339</v>
      </c>
      <c r="F3443" s="1882"/>
      <c r="G3443" s="1882">
        <f>IF('4L'!Q17="","##BLANK",'4L'!Q17)</f>
        <v>0</v>
      </c>
    </row>
    <row r="3444" spans="2:7">
      <c r="B3444" s="821" t="str">
        <f>+'4L'!BL18</f>
        <v>W3009RWSCUM</v>
      </c>
      <c r="D3444" s="1882"/>
      <c r="E3444" s="1628" t="s">
        <v>8339</v>
      </c>
      <c r="F3444" s="1882"/>
      <c r="G3444" s="1882">
        <f>IF('4L'!Q18="","##BLANK",'4L'!Q18)</f>
        <v>0</v>
      </c>
    </row>
    <row r="3445" spans="2:7">
      <c r="B3445" s="821" t="str">
        <f>+'4L'!BL19</f>
        <v>WS2004RWSCUM</v>
      </c>
      <c r="D3445" s="1882"/>
      <c r="E3445" s="1628" t="s">
        <v>8339</v>
      </c>
      <c r="F3445" s="1882"/>
      <c r="G3445" s="1882">
        <f>IF('4L'!Q19="","##BLANK",'4L'!Q19)</f>
        <v>0</v>
      </c>
    </row>
    <row r="3446" spans="2:7">
      <c r="B3446" s="821" t="str">
        <f>+'4L'!BL20</f>
        <v>W3010RWSCUM</v>
      </c>
      <c r="D3446" s="1882"/>
      <c r="E3446" s="1628" t="s">
        <v>8339</v>
      </c>
      <c r="F3446" s="1882"/>
      <c r="G3446" s="1882">
        <f>IF('4L'!Q20="","##BLANK",'4L'!Q20)</f>
        <v>0</v>
      </c>
    </row>
    <row r="3447" spans="2:7">
      <c r="B3447" s="821" t="str">
        <f>+'4L'!BL21</f>
        <v>W3011RWSCUM</v>
      </c>
      <c r="D3447" s="1882"/>
      <c r="E3447" s="1628" t="s">
        <v>8339</v>
      </c>
      <c r="F3447" s="1882"/>
      <c r="G3447" s="1882">
        <f>IF('4L'!Q21="","##BLANK",'4L'!Q21)</f>
        <v>0</v>
      </c>
    </row>
    <row r="3448" spans="2:7">
      <c r="B3448" s="821" t="str">
        <f>+'4L'!BL22</f>
        <v>W3012RWSCUM</v>
      </c>
      <c r="D3448" s="1882"/>
      <c r="E3448" s="1628" t="s">
        <v>8339</v>
      </c>
      <c r="F3448" s="1882"/>
      <c r="G3448" s="1882">
        <f>IF('4L'!Q22="","##BLANK",'4L'!Q22)</f>
        <v>4.0857999999999997E-4</v>
      </c>
    </row>
    <row r="3449" spans="2:7">
      <c r="B3449" s="821" t="str">
        <f>+'4L'!BL23</f>
        <v>WS2006RWSCUM</v>
      </c>
      <c r="D3449" s="1882"/>
      <c r="E3449" s="1628" t="s">
        <v>8339</v>
      </c>
      <c r="F3449" s="1882"/>
      <c r="G3449" s="1882">
        <f>IF('4L'!Q23="","##BLANK",'4L'!Q23)</f>
        <v>0</v>
      </c>
    </row>
    <row r="3450" spans="2:7">
      <c r="B3450" s="821" t="str">
        <f>+'4L'!BL24</f>
        <v>WS2007RWSCUM</v>
      </c>
      <c r="D3450" s="1882"/>
      <c r="E3450" s="1628" t="s">
        <v>8339</v>
      </c>
      <c r="F3450" s="1882"/>
      <c r="G3450" s="1882">
        <f>IF('4L'!Q24="","##BLANK",'4L'!Q24)</f>
        <v>0</v>
      </c>
    </row>
    <row r="3451" spans="2:7">
      <c r="B3451" s="821" t="str">
        <f>+'4L'!BL25</f>
        <v>WS2008RWSCUM</v>
      </c>
      <c r="D3451" s="1882"/>
      <c r="E3451" s="1628" t="s">
        <v>8339</v>
      </c>
      <c r="F3451" s="1882"/>
      <c r="G3451" s="1882">
        <f>IF('4L'!Q25="","##BLANK",'4L'!Q25)</f>
        <v>0</v>
      </c>
    </row>
    <row r="3452" spans="2:7">
      <c r="B3452" s="821" t="str">
        <f>+'4L'!BL26</f>
        <v>W3027RWSCUM</v>
      </c>
      <c r="D3452" s="1882"/>
      <c r="E3452" s="1628" t="s">
        <v>8339</v>
      </c>
      <c r="F3452" s="1882"/>
      <c r="G3452" s="1882">
        <f>IF('4L'!Q26="","##BLANK",'4L'!Q26)</f>
        <v>0</v>
      </c>
    </row>
    <row r="3453" spans="2:7">
      <c r="B3453" s="821" t="str">
        <f>+'4L'!BL27</f>
        <v>W3028OPTRWSCUM</v>
      </c>
      <c r="D3453" s="1882"/>
      <c r="E3453" s="1628" t="s">
        <v>8339</v>
      </c>
      <c r="F3453" s="1882"/>
      <c r="G3453" s="1882">
        <f>IF('4L'!Q27="","##BLANK",'4L'!Q27)</f>
        <v>0</v>
      </c>
    </row>
    <row r="3454" spans="2:7">
      <c r="B3454" s="821" t="str">
        <f>+'4L'!BL28</f>
        <v>W3028COMRWSCUM</v>
      </c>
      <c r="D3454" s="1882"/>
      <c r="E3454" s="1628" t="s">
        <v>8339</v>
      </c>
      <c r="F3454" s="1882"/>
      <c r="G3454" s="1882">
        <f>IF('4L'!Q28="","##BLANK",'4L'!Q28)</f>
        <v>0</v>
      </c>
    </row>
    <row r="3455" spans="2:7">
      <c r="B3455" s="821" t="str">
        <f>+'4L'!BL29</f>
        <v>W3028NHORWSCUM</v>
      </c>
      <c r="D3455" s="1882"/>
      <c r="E3455" s="1628" t="s">
        <v>8339</v>
      </c>
      <c r="F3455" s="1882"/>
      <c r="G3455" s="1882">
        <f>IF('4L'!Q29="","##BLANK",'4L'!Q29)</f>
        <v>0</v>
      </c>
    </row>
    <row r="3456" spans="2:7">
      <c r="B3456" s="821" t="str">
        <f>+'4L'!BL30</f>
        <v>W3A00001RWSCUM</v>
      </c>
      <c r="D3456" s="1882"/>
      <c r="E3456" s="1628" t="s">
        <v>8339</v>
      </c>
      <c r="F3456" s="1882" t="str">
        <f>+'4L'!C$30</f>
        <v>Capital expenditure purpose - WATER additional line 1 [Other categories]</v>
      </c>
      <c r="G3456" s="1882" t="str">
        <f>IF('4L'!Q30="","##BLANK",'4L'!Q30)</f>
        <v>##BLANK</v>
      </c>
    </row>
    <row r="3457" spans="2:7">
      <c r="B3457" s="821" t="str">
        <f>+'4L'!BL31</f>
        <v>W3A00002RWSCUM</v>
      </c>
      <c r="D3457" s="1882"/>
      <c r="E3457" s="1628" t="s">
        <v>8339</v>
      </c>
      <c r="F3457" s="1882" t="str">
        <f>+'4L'!C$31</f>
        <v>Capital expenditure purpose - WATER additional line 2 [Other categories]</v>
      </c>
      <c r="G3457" s="1882" t="str">
        <f>IF('4L'!Q31="","##BLANK",'4L'!Q31)</f>
        <v>##BLANK</v>
      </c>
    </row>
    <row r="3458" spans="2:7">
      <c r="B3458" s="821" t="str">
        <f>+'4L'!BL32</f>
        <v>W3A00003RWSCUM</v>
      </c>
      <c r="D3458" s="1882"/>
      <c r="E3458" s="1628" t="s">
        <v>8339</v>
      </c>
      <c r="F3458" s="1882" t="str">
        <f>+'4L'!C$32</f>
        <v>Capital expenditure purpose - WATER additional line 3 [Other categories]</v>
      </c>
      <c r="G3458" s="1882" t="str">
        <f>IF('4L'!Q32="","##BLANK",'4L'!Q32)</f>
        <v>##BLANK</v>
      </c>
    </row>
    <row r="3459" spans="2:7">
      <c r="B3459" s="821" t="str">
        <f>+'4L'!BL33</f>
        <v>W3A00004RWSCUM</v>
      </c>
      <c r="D3459" s="1882"/>
      <c r="E3459" s="1628" t="s">
        <v>8339</v>
      </c>
      <c r="F3459" s="1882" t="str">
        <f>+'4L'!C$33</f>
        <v>Capital expenditure purpose - WATER additional line 4 [Other categories]</v>
      </c>
      <c r="G3459" s="1882" t="str">
        <f>IF('4L'!Q33="","##BLANK",'4L'!Q33)</f>
        <v>##BLANK</v>
      </c>
    </row>
    <row r="3460" spans="2:7">
      <c r="B3460" s="821" t="str">
        <f>+'4L'!BL34</f>
        <v>W3A00005RWSCUM</v>
      </c>
      <c r="D3460" s="1882"/>
      <c r="E3460" s="1628" t="s">
        <v>8339</v>
      </c>
      <c r="F3460" s="1882" t="str">
        <f>+'4L'!C$34</f>
        <v>Capital expenditure purpose - WATER additional line 5 [Other categories]</v>
      </c>
      <c r="G3460" s="1882" t="str">
        <f>IF('4L'!Q34="","##BLANK",'4L'!Q34)</f>
        <v>##BLANK</v>
      </c>
    </row>
    <row r="3461" spans="2:7">
      <c r="B3461" s="821" t="str">
        <f>+'4L'!BL35</f>
        <v>W3A00006RWSCUM</v>
      </c>
      <c r="D3461" s="1882"/>
      <c r="E3461" s="1628" t="s">
        <v>8339</v>
      </c>
      <c r="F3461" s="1882" t="str">
        <f>+'4L'!C$35</f>
        <v>Capital expenditure purpose - WATER additional line 6 [Other categories]</v>
      </c>
      <c r="G3461" s="1882" t="str">
        <f>IF('4L'!Q35="","##BLANK",'4L'!Q35)</f>
        <v>##BLANK</v>
      </c>
    </row>
    <row r="3462" spans="2:7">
      <c r="B3462" s="821" t="str">
        <f>+'4L'!BL36</f>
        <v>W3A00007RWSCUM</v>
      </c>
      <c r="D3462" s="1882"/>
      <c r="E3462" s="1628" t="s">
        <v>8339</v>
      </c>
      <c r="F3462" s="1882" t="str">
        <f>+'4L'!C$36</f>
        <v>Capital expenditure purpose - WATER additional line 7 [Other categories]</v>
      </c>
      <c r="G3462" s="1882" t="str">
        <f>IF('4L'!Q36="","##BLANK",'4L'!Q36)</f>
        <v>##BLANK</v>
      </c>
    </row>
    <row r="3463" spans="2:7">
      <c r="B3463" s="821" t="str">
        <f>+'4L'!BL37</f>
        <v>W3A00008RWSCUM</v>
      </c>
      <c r="D3463" s="1882"/>
      <c r="E3463" s="1628" t="s">
        <v>8339</v>
      </c>
      <c r="F3463" s="1882" t="str">
        <f>+'4L'!C$37</f>
        <v>Capital expenditure purpose - WATER additional line 8 [Other categories]</v>
      </c>
      <c r="G3463" s="1882" t="str">
        <f>IF('4L'!Q37="","##BLANK",'4L'!Q37)</f>
        <v>##BLANK</v>
      </c>
    </row>
    <row r="3464" spans="2:7">
      <c r="B3464" s="821" t="str">
        <f>+'4L'!BL38</f>
        <v>W3A00009RWSCUM</v>
      </c>
      <c r="D3464" s="1882"/>
      <c r="E3464" s="1628" t="s">
        <v>8339</v>
      </c>
      <c r="F3464" s="1882" t="str">
        <f>+'4L'!C$38</f>
        <v>Capital expenditure purpose - WATER additional line 9 [Other categories]</v>
      </c>
      <c r="G3464" s="1882" t="str">
        <f>IF('4L'!Q38="","##BLANK",'4L'!Q38)</f>
        <v>##BLANK</v>
      </c>
    </row>
    <row r="3465" spans="2:7">
      <c r="B3465" s="821" t="str">
        <f>+'4L'!BL39</f>
        <v>W3A00010RWSCUM</v>
      </c>
      <c r="D3465" s="1882"/>
      <c r="E3465" s="1628" t="s">
        <v>8339</v>
      </c>
      <c r="F3465" s="1882" t="str">
        <f>+'4L'!C$39</f>
        <v>Capital expenditure purpose - WATER additional line 10 [Other categories]</v>
      </c>
      <c r="G3465" s="1882" t="str">
        <f>IF('4L'!Q39="","##BLANK",'4L'!Q39)</f>
        <v>##BLANK</v>
      </c>
    </row>
    <row r="3466" spans="2:7">
      <c r="B3466" s="821" t="str">
        <f>+'4L'!BL40</f>
        <v>W3A00011RWSCUM</v>
      </c>
      <c r="D3466" s="1882"/>
      <c r="E3466" s="1628" t="s">
        <v>8339</v>
      </c>
      <c r="F3466" s="1882" t="str">
        <f>+'4L'!C$40</f>
        <v>Capital expenditure purpose - WATER additional line 11 [Other categories]</v>
      </c>
      <c r="G3466" s="1882" t="str">
        <f>IF('4L'!Q40="","##BLANK",'4L'!Q40)</f>
        <v>##BLANK</v>
      </c>
    </row>
    <row r="3467" spans="2:7">
      <c r="B3467" s="821" t="str">
        <f>+'4L'!BL41</f>
        <v>W3A00012RWSCUM</v>
      </c>
      <c r="D3467" s="1882"/>
      <c r="E3467" s="1628" t="s">
        <v>8339</v>
      </c>
      <c r="F3467" s="1882" t="str">
        <f>+'4L'!C$41</f>
        <v>Capital expenditure purpose - WATER additional line 12 [Other categories]</v>
      </c>
      <c r="G3467" s="1882" t="str">
        <f>IF('4L'!Q41="","##BLANK",'4L'!Q41)</f>
        <v>##BLANK</v>
      </c>
    </row>
    <row r="3468" spans="2:7">
      <c r="B3468" s="821" t="str">
        <f>+'4L'!BL42</f>
        <v>W3A00013RWSCUM</v>
      </c>
      <c r="D3468" s="1882"/>
      <c r="E3468" s="1628" t="s">
        <v>8339</v>
      </c>
      <c r="F3468" s="1882" t="str">
        <f>+'4L'!C$42</f>
        <v>Capital expenditure purpose - WATER additional line 13 [Other categories]</v>
      </c>
      <c r="G3468" s="1882" t="str">
        <f>IF('4L'!Q42="","##BLANK",'4L'!Q42)</f>
        <v>##BLANK</v>
      </c>
    </row>
    <row r="3469" spans="2:7">
      <c r="B3469" s="821" t="str">
        <f>+'4L'!BL43</f>
        <v>W3A00014RWSCUM</v>
      </c>
      <c r="D3469" s="1882"/>
      <c r="E3469" s="1628" t="s">
        <v>8339</v>
      </c>
      <c r="F3469" s="1882" t="str">
        <f>+'4L'!C$43</f>
        <v>Capital expenditure purpose - WATER additional line 14 [Other categories]</v>
      </c>
      <c r="G3469" s="1882" t="str">
        <f>IF('4L'!Q43="","##BLANK",'4L'!Q43)</f>
        <v>##BLANK</v>
      </c>
    </row>
    <row r="3470" spans="2:7">
      <c r="B3470" s="821" t="str">
        <f>+'4L'!BL44</f>
        <v>W3A00015RWSCUM</v>
      </c>
      <c r="D3470" s="1882"/>
      <c r="E3470" s="1628" t="s">
        <v>8339</v>
      </c>
      <c r="F3470" s="1882" t="str">
        <f>+'4L'!C$44</f>
        <v>Capital expenditure purpose - WATER additional line 15 [Other categories]</v>
      </c>
      <c r="G3470" s="1882" t="str">
        <f>IF('4L'!Q44="","##BLANK",'4L'!Q44)</f>
        <v>##BLANK</v>
      </c>
    </row>
    <row r="3471" spans="2:7">
      <c r="B3471" s="821" t="str">
        <f>+'4L'!BL45</f>
        <v>BA2070RWSCUM</v>
      </c>
      <c r="D3471" s="1882"/>
      <c r="E3471" s="1628" t="s">
        <v>8339</v>
      </c>
      <c r="F3471" s="1882"/>
      <c r="G3471" s="1882">
        <f>IF('4L'!Q45="","##BLANK",'4L'!Q45)</f>
        <v>4.0857999999999997E-4</v>
      </c>
    </row>
    <row r="3472" spans="2:7">
      <c r="B3472" s="821" t="str">
        <f>+'4L'!BM8</f>
        <v>W3001WTCUM</v>
      </c>
      <c r="D3472" s="1882"/>
      <c r="E3472" s="1628" t="s">
        <v>8339</v>
      </c>
      <c r="F3472" s="1882"/>
      <c r="G3472" s="1882">
        <f>IF('4L'!R8="","##BLANK",'4L'!R8)</f>
        <v>0</v>
      </c>
    </row>
    <row r="3473" spans="2:7">
      <c r="B3473" s="821" t="str">
        <f>+'4L'!BM9</f>
        <v>WS2002WTCUM</v>
      </c>
      <c r="D3473" s="1882"/>
      <c r="E3473" s="1628" t="s">
        <v>8339</v>
      </c>
      <c r="F3473" s="1882"/>
      <c r="G3473" s="1882">
        <f>IF('4L'!R9="","##BLANK",'4L'!R9)</f>
        <v>0</v>
      </c>
    </row>
    <row r="3474" spans="2:7">
      <c r="B3474" s="821" t="str">
        <f>+'4L'!BM10</f>
        <v>WS2003WTCUM</v>
      </c>
      <c r="D3474" s="1882"/>
      <c r="E3474" s="1628" t="s">
        <v>8339</v>
      </c>
      <c r="F3474" s="1882"/>
      <c r="G3474" s="1882">
        <f>IF('4L'!R10="","##BLANK",'4L'!R10)</f>
        <v>0</v>
      </c>
    </row>
    <row r="3475" spans="2:7">
      <c r="B3475" s="821" t="str">
        <f>+'4L'!BM11</f>
        <v>W3002WTCUM</v>
      </c>
      <c r="D3475" s="1882"/>
      <c r="E3475" s="1628" t="s">
        <v>8339</v>
      </c>
      <c r="F3475" s="1882"/>
      <c r="G3475" s="1882">
        <f>IF('4L'!R11="","##BLANK",'4L'!R11)</f>
        <v>0</v>
      </c>
    </row>
    <row r="3476" spans="2:7">
      <c r="B3476" s="821" t="str">
        <f>+'4L'!BM12</f>
        <v>W3003WTCUM</v>
      </c>
      <c r="D3476" s="1882"/>
      <c r="E3476" s="1628" t="s">
        <v>8339</v>
      </c>
      <c r="F3476" s="1882"/>
      <c r="G3476" s="1882">
        <f>IF('4L'!R12="","##BLANK",'4L'!R12)</f>
        <v>0</v>
      </c>
    </row>
    <row r="3477" spans="2:7">
      <c r="B3477" s="821" t="str">
        <f>+'4L'!BM13</f>
        <v>W3006WTCUM</v>
      </c>
      <c r="D3477" s="1882"/>
      <c r="E3477" s="1628" t="s">
        <v>8339</v>
      </c>
      <c r="F3477" s="1882"/>
      <c r="G3477" s="1882">
        <f>IF('4L'!R13="","##BLANK",'4L'!R13)</f>
        <v>0</v>
      </c>
    </row>
    <row r="3478" spans="2:7">
      <c r="B3478" s="821" t="str">
        <f>+'4L'!BM14</f>
        <v>W3007SWTCUM</v>
      </c>
      <c r="D3478" s="1882"/>
      <c r="E3478" s="1628" t="s">
        <v>8339</v>
      </c>
      <c r="F3478" s="1882"/>
      <c r="G3478" s="1882">
        <f>IF('4L'!R14="","##BLANK",'4L'!R14)</f>
        <v>0</v>
      </c>
    </row>
    <row r="3479" spans="2:7">
      <c r="B3479" s="821" t="str">
        <f>+'4L'!BM15</f>
        <v>W3008SWTCUM</v>
      </c>
      <c r="D3479" s="1882"/>
      <c r="E3479" s="1628" t="s">
        <v>8339</v>
      </c>
      <c r="F3479" s="1882"/>
      <c r="G3479" s="1882">
        <f>IF('4L'!R15="","##BLANK",'4L'!R15)</f>
        <v>0</v>
      </c>
    </row>
    <row r="3480" spans="2:7">
      <c r="B3480" s="821" t="str">
        <f>+'4L'!BM16</f>
        <v>W3007DWTCUM</v>
      </c>
      <c r="D3480" s="1882"/>
      <c r="E3480" s="1628" t="s">
        <v>8339</v>
      </c>
      <c r="F3480" s="1882"/>
      <c r="G3480" s="1882">
        <f>IF('4L'!R16="","##BLANK",'4L'!R16)</f>
        <v>0</v>
      </c>
    </row>
    <row r="3481" spans="2:7">
      <c r="B3481" s="821" t="str">
        <f>+'4L'!BM17</f>
        <v>W3008DWTCUM</v>
      </c>
      <c r="D3481" s="1882"/>
      <c r="E3481" s="1628" t="s">
        <v>8339</v>
      </c>
      <c r="F3481" s="1882"/>
      <c r="G3481" s="1882">
        <f>IF('4L'!R17="","##BLANK",'4L'!R17)</f>
        <v>0</v>
      </c>
    </row>
    <row r="3482" spans="2:7">
      <c r="B3482" s="821" t="str">
        <f>+'4L'!BM18</f>
        <v>W3009WTCUM</v>
      </c>
      <c r="D3482" s="1882"/>
      <c r="E3482" s="1628" t="s">
        <v>8339</v>
      </c>
      <c r="F3482" s="1882"/>
      <c r="G3482" s="1882">
        <f>IF('4L'!R18="","##BLANK",'4L'!R18)</f>
        <v>0</v>
      </c>
    </row>
    <row r="3483" spans="2:7">
      <c r="B3483" s="821" t="str">
        <f>+'4L'!BM19</f>
        <v>WS2004WTCUM</v>
      </c>
      <c r="D3483" s="1882"/>
      <c r="E3483" s="1628" t="s">
        <v>8339</v>
      </c>
      <c r="F3483" s="1882"/>
      <c r="G3483" s="1882">
        <f>IF('4L'!R19="","##BLANK",'4L'!R19)</f>
        <v>0</v>
      </c>
    </row>
    <row r="3484" spans="2:7">
      <c r="B3484" s="821" t="str">
        <f>+'4L'!BM20</f>
        <v>W3010WTCUM</v>
      </c>
      <c r="D3484" s="1882"/>
      <c r="E3484" s="1628" t="s">
        <v>8339</v>
      </c>
      <c r="F3484" s="1882"/>
      <c r="G3484" s="1882">
        <f>IF('4L'!R20="","##BLANK",'4L'!R20)</f>
        <v>2.1909999999999998</v>
      </c>
    </row>
    <row r="3485" spans="2:7">
      <c r="B3485" s="821" t="str">
        <f>+'4L'!BM21</f>
        <v>W3011WTCUM</v>
      </c>
      <c r="D3485" s="1882"/>
      <c r="E3485" s="1628" t="s">
        <v>8339</v>
      </c>
      <c r="F3485" s="1882"/>
      <c r="G3485" s="1882">
        <f>IF('4L'!R21="","##BLANK",'4L'!R21)</f>
        <v>0</v>
      </c>
    </row>
    <row r="3486" spans="2:7">
      <c r="B3486" s="821" t="str">
        <f>+'4L'!BM22</f>
        <v>W3012WTCUM</v>
      </c>
      <c r="D3486" s="1882"/>
      <c r="E3486" s="1628" t="s">
        <v>8339</v>
      </c>
      <c r="F3486" s="1882"/>
      <c r="G3486" s="1882">
        <f>IF('4L'!R22="","##BLANK",'4L'!R22)</f>
        <v>0.19600000000000001</v>
      </c>
    </row>
    <row r="3487" spans="2:7">
      <c r="B3487" s="821" t="str">
        <f>+'4L'!BM23</f>
        <v>WS2006WTCUM</v>
      </c>
      <c r="D3487" s="1882"/>
      <c r="E3487" s="1628" t="s">
        <v>8339</v>
      </c>
      <c r="F3487" s="1882"/>
      <c r="G3487" s="1882">
        <f>IF('4L'!R23="","##BLANK",'4L'!R23)</f>
        <v>0</v>
      </c>
    </row>
    <row r="3488" spans="2:7">
      <c r="B3488" s="821" t="str">
        <f>+'4L'!BM24</f>
        <v>WS2007WTCUM</v>
      </c>
      <c r="D3488" s="1882"/>
      <c r="E3488" s="1628" t="s">
        <v>8339</v>
      </c>
      <c r="F3488" s="1882"/>
      <c r="G3488" s="1882">
        <f>IF('4L'!R24="","##BLANK",'4L'!R24)</f>
        <v>0</v>
      </c>
    </row>
    <row r="3489" spans="2:7">
      <c r="B3489" s="821" t="str">
        <f>+'4L'!BM25</f>
        <v>WS2008WTCUM</v>
      </c>
      <c r="D3489" s="1882"/>
      <c r="E3489" s="1628" t="s">
        <v>8339</v>
      </c>
      <c r="F3489" s="1882"/>
      <c r="G3489" s="1882">
        <f>IF('4L'!R25="","##BLANK",'4L'!R25)</f>
        <v>0</v>
      </c>
    </row>
    <row r="3490" spans="2:7">
      <c r="B3490" s="821" t="str">
        <f>+'4L'!BM26</f>
        <v>W3027WTCUM</v>
      </c>
      <c r="D3490" s="1882"/>
      <c r="E3490" s="1628" t="s">
        <v>8339</v>
      </c>
      <c r="F3490" s="1882"/>
      <c r="G3490" s="1882">
        <f>IF('4L'!R26="","##BLANK",'4L'!R26)</f>
        <v>0</v>
      </c>
    </row>
    <row r="3491" spans="2:7">
      <c r="B3491" s="821" t="str">
        <f>+'4L'!BM27</f>
        <v>W3028OPTWTCUM</v>
      </c>
      <c r="D3491" s="1882"/>
      <c r="E3491" s="1628" t="s">
        <v>8339</v>
      </c>
      <c r="F3491" s="1882"/>
      <c r="G3491" s="1882">
        <f>IF('4L'!R27="","##BLANK",'4L'!R27)</f>
        <v>0</v>
      </c>
    </row>
    <row r="3492" spans="2:7">
      <c r="B3492" s="821" t="str">
        <f>+'4L'!BM28</f>
        <v>W3028COMWTCUM</v>
      </c>
      <c r="D3492" s="1882"/>
      <c r="E3492" s="1628" t="s">
        <v>8339</v>
      </c>
      <c r="F3492" s="1882"/>
      <c r="G3492" s="1882">
        <f>IF('4L'!R28="","##BLANK",'4L'!R28)</f>
        <v>0</v>
      </c>
    </row>
    <row r="3493" spans="2:7">
      <c r="B3493" s="821" t="str">
        <f>+'4L'!BM29</f>
        <v>W3028NHOWTCUM</v>
      </c>
      <c r="D3493" s="1882"/>
      <c r="E3493" s="1628" t="s">
        <v>8339</v>
      </c>
      <c r="F3493" s="1882"/>
      <c r="G3493" s="1882">
        <f>IF('4L'!R29="","##BLANK",'4L'!R29)</f>
        <v>0</v>
      </c>
    </row>
    <row r="3494" spans="2:7">
      <c r="B3494" s="821" t="str">
        <f>+'4L'!BM30</f>
        <v>W3A00001WTCUM</v>
      </c>
      <c r="D3494" s="1882"/>
      <c r="E3494" s="1628" t="s">
        <v>8339</v>
      </c>
      <c r="F3494" s="1882" t="str">
        <f>+'4L'!C$30</f>
        <v>Capital expenditure purpose - WATER additional line 1 [Other categories]</v>
      </c>
      <c r="G3494" s="1882" t="str">
        <f>IF('4L'!R30="","##BLANK",'4L'!R30)</f>
        <v>##BLANK</v>
      </c>
    </row>
    <row r="3495" spans="2:7">
      <c r="B3495" s="821" t="str">
        <f>+'4L'!BM31</f>
        <v>W3A00002WTCUM</v>
      </c>
      <c r="D3495" s="1882"/>
      <c r="E3495" s="1628" t="s">
        <v>8339</v>
      </c>
      <c r="F3495" s="1882" t="str">
        <f>+'4L'!C$31</f>
        <v>Capital expenditure purpose - WATER additional line 2 [Other categories]</v>
      </c>
      <c r="G3495" s="1882" t="str">
        <f>IF('4L'!R31="","##BLANK",'4L'!R31)</f>
        <v>##BLANK</v>
      </c>
    </row>
    <row r="3496" spans="2:7">
      <c r="B3496" s="821" t="str">
        <f>+'4L'!BM32</f>
        <v>W3A00003WTCUM</v>
      </c>
      <c r="D3496" s="1882"/>
      <c r="E3496" s="1628" t="s">
        <v>8339</v>
      </c>
      <c r="F3496" s="1882" t="str">
        <f>+'4L'!C$32</f>
        <v>Capital expenditure purpose - WATER additional line 3 [Other categories]</v>
      </c>
      <c r="G3496" s="1882" t="str">
        <f>IF('4L'!R32="","##BLANK",'4L'!R32)</f>
        <v>##BLANK</v>
      </c>
    </row>
    <row r="3497" spans="2:7">
      <c r="B3497" s="821" t="str">
        <f>+'4L'!BM33</f>
        <v>W3A00004WTCUM</v>
      </c>
      <c r="D3497" s="1882"/>
      <c r="E3497" s="1628" t="s">
        <v>8339</v>
      </c>
      <c r="F3497" s="1882" t="str">
        <f>+'4L'!C$33</f>
        <v>Capital expenditure purpose - WATER additional line 4 [Other categories]</v>
      </c>
      <c r="G3497" s="1882" t="str">
        <f>IF('4L'!R33="","##BLANK",'4L'!R33)</f>
        <v>##BLANK</v>
      </c>
    </row>
    <row r="3498" spans="2:7">
      <c r="B3498" s="821" t="str">
        <f>+'4L'!BM34</f>
        <v>W3A00005WTCUM</v>
      </c>
      <c r="D3498" s="1882"/>
      <c r="E3498" s="1628" t="s">
        <v>8339</v>
      </c>
      <c r="F3498" s="1882" t="str">
        <f>+'4L'!C$34</f>
        <v>Capital expenditure purpose - WATER additional line 5 [Other categories]</v>
      </c>
      <c r="G3498" s="1882" t="str">
        <f>IF('4L'!R34="","##BLANK",'4L'!R34)</f>
        <v>##BLANK</v>
      </c>
    </row>
    <row r="3499" spans="2:7">
      <c r="B3499" s="821" t="str">
        <f>+'4L'!BM35</f>
        <v>W3A00006WTCUM</v>
      </c>
      <c r="D3499" s="1882"/>
      <c r="E3499" s="1628" t="s">
        <v>8339</v>
      </c>
      <c r="F3499" s="1882" t="str">
        <f>+'4L'!C$35</f>
        <v>Capital expenditure purpose - WATER additional line 6 [Other categories]</v>
      </c>
      <c r="G3499" s="1882" t="str">
        <f>IF('4L'!R35="","##BLANK",'4L'!R35)</f>
        <v>##BLANK</v>
      </c>
    </row>
    <row r="3500" spans="2:7">
      <c r="B3500" s="821" t="str">
        <f>+'4L'!BM36</f>
        <v>W3A00007WTCUM</v>
      </c>
      <c r="D3500" s="1882"/>
      <c r="E3500" s="1628" t="s">
        <v>8339</v>
      </c>
      <c r="F3500" s="1882" t="str">
        <f>+'4L'!C$36</f>
        <v>Capital expenditure purpose - WATER additional line 7 [Other categories]</v>
      </c>
      <c r="G3500" s="1882" t="str">
        <f>IF('4L'!R36="","##BLANK",'4L'!R36)</f>
        <v>##BLANK</v>
      </c>
    </row>
    <row r="3501" spans="2:7">
      <c r="B3501" s="821" t="str">
        <f>+'4L'!BM37</f>
        <v>W3A00008WTCUM</v>
      </c>
      <c r="D3501" s="1882"/>
      <c r="E3501" s="1628" t="s">
        <v>8339</v>
      </c>
      <c r="F3501" s="1882" t="str">
        <f>+'4L'!C$37</f>
        <v>Capital expenditure purpose - WATER additional line 8 [Other categories]</v>
      </c>
      <c r="G3501" s="1882" t="str">
        <f>IF('4L'!R37="","##BLANK",'4L'!R37)</f>
        <v>##BLANK</v>
      </c>
    </row>
    <row r="3502" spans="2:7">
      <c r="B3502" s="821" t="str">
        <f>+'4L'!BM38</f>
        <v>W3A00009WTCUM</v>
      </c>
      <c r="D3502" s="1882"/>
      <c r="E3502" s="1628" t="s">
        <v>8339</v>
      </c>
      <c r="F3502" s="1882" t="str">
        <f>+'4L'!C$38</f>
        <v>Capital expenditure purpose - WATER additional line 9 [Other categories]</v>
      </c>
      <c r="G3502" s="1882" t="str">
        <f>IF('4L'!R38="","##BLANK",'4L'!R38)</f>
        <v>##BLANK</v>
      </c>
    </row>
    <row r="3503" spans="2:7">
      <c r="B3503" s="821" t="str">
        <f>+'4L'!BM39</f>
        <v>W3A00010WTCUM</v>
      </c>
      <c r="D3503" s="1882"/>
      <c r="E3503" s="1628" t="s">
        <v>8339</v>
      </c>
      <c r="F3503" s="1882" t="str">
        <f>+'4L'!C$39</f>
        <v>Capital expenditure purpose - WATER additional line 10 [Other categories]</v>
      </c>
      <c r="G3503" s="1882" t="str">
        <f>IF('4L'!R39="","##BLANK",'4L'!R39)</f>
        <v>##BLANK</v>
      </c>
    </row>
    <row r="3504" spans="2:7">
      <c r="B3504" s="821" t="str">
        <f>+'4L'!BM40</f>
        <v>W3A00011WTCUM</v>
      </c>
      <c r="D3504" s="1882"/>
      <c r="E3504" s="1628" t="s">
        <v>8339</v>
      </c>
      <c r="F3504" s="1882" t="str">
        <f>+'4L'!C$40</f>
        <v>Capital expenditure purpose - WATER additional line 11 [Other categories]</v>
      </c>
      <c r="G3504" s="1882" t="str">
        <f>IF('4L'!R40="","##BLANK",'4L'!R40)</f>
        <v>##BLANK</v>
      </c>
    </row>
    <row r="3505" spans="2:7">
      <c r="B3505" s="821" t="str">
        <f>+'4L'!BM41</f>
        <v>W3A00012WTCUM</v>
      </c>
      <c r="D3505" s="1882"/>
      <c r="E3505" s="1628" t="s">
        <v>8339</v>
      </c>
      <c r="F3505" s="1882" t="str">
        <f>+'4L'!C$41</f>
        <v>Capital expenditure purpose - WATER additional line 12 [Other categories]</v>
      </c>
      <c r="G3505" s="1882" t="str">
        <f>IF('4L'!R41="","##BLANK",'4L'!R41)</f>
        <v>##BLANK</v>
      </c>
    </row>
    <row r="3506" spans="2:7">
      <c r="B3506" s="821" t="str">
        <f>+'4L'!BM42</f>
        <v>W3A00013WTCUM</v>
      </c>
      <c r="D3506" s="1882"/>
      <c r="E3506" s="1628" t="s">
        <v>8339</v>
      </c>
      <c r="F3506" s="1882" t="str">
        <f>+'4L'!C$42</f>
        <v>Capital expenditure purpose - WATER additional line 13 [Other categories]</v>
      </c>
      <c r="G3506" s="1882" t="str">
        <f>IF('4L'!R42="","##BLANK",'4L'!R42)</f>
        <v>##BLANK</v>
      </c>
    </row>
    <row r="3507" spans="2:7">
      <c r="B3507" s="821" t="str">
        <f>+'4L'!BM43</f>
        <v>W3A00014WTCUM</v>
      </c>
      <c r="D3507" s="1882"/>
      <c r="E3507" s="1628" t="s">
        <v>8339</v>
      </c>
      <c r="F3507" s="1882" t="str">
        <f>+'4L'!C$43</f>
        <v>Capital expenditure purpose - WATER additional line 14 [Other categories]</v>
      </c>
      <c r="G3507" s="1882" t="str">
        <f>IF('4L'!R43="","##BLANK",'4L'!R43)</f>
        <v>##BLANK</v>
      </c>
    </row>
    <row r="3508" spans="2:7">
      <c r="B3508" s="821" t="str">
        <f>+'4L'!BM44</f>
        <v>W3A00015WTCUM</v>
      </c>
      <c r="D3508" s="1882"/>
      <c r="E3508" s="1628" t="s">
        <v>8339</v>
      </c>
      <c r="F3508" s="1882" t="str">
        <f>+'4L'!C$44</f>
        <v>Capital expenditure purpose - WATER additional line 15 [Other categories]</v>
      </c>
      <c r="G3508" s="1882" t="str">
        <f>IF('4L'!R44="","##BLANK",'4L'!R44)</f>
        <v>##BLANK</v>
      </c>
    </row>
    <row r="3509" spans="2:7">
      <c r="B3509" s="821" t="str">
        <f>+'4L'!BM45</f>
        <v>BA2070WTCUM</v>
      </c>
      <c r="D3509" s="1882"/>
      <c r="E3509" s="1628" t="s">
        <v>8339</v>
      </c>
      <c r="F3509" s="1882"/>
      <c r="G3509" s="1882">
        <f>IF('4L'!R45="","##BLANK",'4L'!R45)</f>
        <v>2.387</v>
      </c>
    </row>
    <row r="3510" spans="2:7">
      <c r="B3510" s="821" t="str">
        <f>+'4L'!BN8</f>
        <v>W3001TWDCUM</v>
      </c>
      <c r="D3510" s="1882"/>
      <c r="E3510" s="1628" t="s">
        <v>8339</v>
      </c>
      <c r="F3510" s="1882"/>
      <c r="G3510" s="1882">
        <f>IF('4L'!S8="","##BLANK",'4L'!S8)</f>
        <v>0</v>
      </c>
    </row>
    <row r="3511" spans="2:7">
      <c r="B3511" s="821" t="str">
        <f>+'4L'!BN9</f>
        <v>WS2002TWDCUM</v>
      </c>
      <c r="D3511" s="1882"/>
      <c r="E3511" s="1628" t="s">
        <v>8339</v>
      </c>
      <c r="F3511" s="1882"/>
      <c r="G3511" s="1882">
        <f>IF('4L'!S9="","##BLANK",'4L'!S9)</f>
        <v>0</v>
      </c>
    </row>
    <row r="3512" spans="2:7">
      <c r="B3512" s="821" t="str">
        <f>+'4L'!BN10</f>
        <v>WS2003TWDCUM</v>
      </c>
      <c r="D3512" s="1882"/>
      <c r="E3512" s="1628" t="s">
        <v>8339</v>
      </c>
      <c r="F3512" s="1882"/>
      <c r="G3512" s="1882">
        <f>IF('4L'!S10="","##BLANK",'4L'!S10)</f>
        <v>0</v>
      </c>
    </row>
    <row r="3513" spans="2:7">
      <c r="B3513" s="821" t="str">
        <f>+'4L'!BN11</f>
        <v>W3002TWDCUM</v>
      </c>
      <c r="D3513" s="1882"/>
      <c r="E3513" s="1628" t="s">
        <v>8339</v>
      </c>
      <c r="F3513" s="1882"/>
      <c r="G3513" s="1882">
        <f>IF('4L'!S11="","##BLANK",'4L'!S11)</f>
        <v>0</v>
      </c>
    </row>
    <row r="3514" spans="2:7">
      <c r="B3514" s="821" t="str">
        <f>+'4L'!BN12</f>
        <v>W3003TWDCUM</v>
      </c>
      <c r="D3514" s="1882"/>
      <c r="E3514" s="1628" t="s">
        <v>8339</v>
      </c>
      <c r="F3514" s="1882"/>
      <c r="G3514" s="1882">
        <f>IF('4L'!S12="","##BLANK",'4L'!S12)</f>
        <v>0</v>
      </c>
    </row>
    <row r="3515" spans="2:7">
      <c r="B3515" s="821" t="str">
        <f>+'4L'!BN13</f>
        <v>W3006TWDCUM</v>
      </c>
      <c r="D3515" s="1882"/>
      <c r="E3515" s="1628" t="s">
        <v>8339</v>
      </c>
      <c r="F3515" s="1882"/>
      <c r="G3515" s="1882">
        <f>IF('4L'!S13="","##BLANK",'4L'!S13)</f>
        <v>8.3000000000000004E-2</v>
      </c>
    </row>
    <row r="3516" spans="2:7">
      <c r="B3516" s="821" t="str">
        <f>+'4L'!BN14</f>
        <v>W3007STWDCUM</v>
      </c>
      <c r="D3516" s="1882"/>
      <c r="E3516" s="1628" t="s">
        <v>8339</v>
      </c>
      <c r="F3516" s="1882"/>
      <c r="G3516" s="1882">
        <f>IF('4L'!S14="","##BLANK",'4L'!S14)</f>
        <v>0</v>
      </c>
    </row>
    <row r="3517" spans="2:7">
      <c r="B3517" s="821" t="str">
        <f>+'4L'!BN15</f>
        <v>W3008STWDCUM</v>
      </c>
      <c r="D3517" s="1882"/>
      <c r="E3517" s="1628" t="s">
        <v>8339</v>
      </c>
      <c r="F3517" s="1882"/>
      <c r="G3517" s="1882">
        <f>IF('4L'!S15="","##BLANK",'4L'!S15)</f>
        <v>0</v>
      </c>
    </row>
    <row r="3518" spans="2:7">
      <c r="B3518" s="821" t="str">
        <f>+'4L'!BN16</f>
        <v>W3007DTWDCUM</v>
      </c>
      <c r="D3518" s="1882"/>
      <c r="E3518" s="1628" t="s">
        <v>8339</v>
      </c>
      <c r="F3518" s="1882"/>
      <c r="G3518" s="1882">
        <f>IF('4L'!S16="","##BLANK",'4L'!S16)</f>
        <v>0</v>
      </c>
    </row>
    <row r="3519" spans="2:7">
      <c r="B3519" s="821" t="str">
        <f>+'4L'!BN17</f>
        <v>W3008DTWDCUM</v>
      </c>
      <c r="D3519" s="1882"/>
      <c r="E3519" s="1628" t="s">
        <v>8339</v>
      </c>
      <c r="F3519" s="1882"/>
      <c r="G3519" s="1882">
        <f>IF('4L'!S17="","##BLANK",'4L'!S17)</f>
        <v>11.157</v>
      </c>
    </row>
    <row r="3520" spans="2:7">
      <c r="B3520" s="821" t="str">
        <f>+'4L'!BN18</f>
        <v>W3009TWDCUM</v>
      </c>
      <c r="D3520" s="1882"/>
      <c r="E3520" s="1628" t="s">
        <v>8339</v>
      </c>
      <c r="F3520" s="1882"/>
      <c r="G3520" s="1882">
        <f>IF('4L'!S18="","##BLANK",'4L'!S18)</f>
        <v>5.3049999999999997</v>
      </c>
    </row>
    <row r="3521" spans="2:7">
      <c r="B3521" s="821" t="str">
        <f>+'4L'!BN19</f>
        <v>WS2004TWDCUM</v>
      </c>
      <c r="D3521" s="1882"/>
      <c r="E3521" s="1628" t="s">
        <v>8339</v>
      </c>
      <c r="F3521" s="1882"/>
      <c r="G3521" s="1882">
        <f>IF('4L'!S19="","##BLANK",'4L'!S19)</f>
        <v>3.0139999999999998</v>
      </c>
    </row>
    <row r="3522" spans="2:7">
      <c r="B3522" s="821" t="str">
        <f>+'4L'!BN20</f>
        <v>W3010TWDCUM</v>
      </c>
      <c r="D3522" s="1882"/>
      <c r="E3522" s="1628" t="s">
        <v>8339</v>
      </c>
      <c r="F3522" s="1882"/>
      <c r="G3522" s="1882">
        <f>IF('4L'!S20="","##BLANK",'4L'!S20)</f>
        <v>0</v>
      </c>
    </row>
    <row r="3523" spans="2:7">
      <c r="B3523" s="821" t="str">
        <f>+'4L'!BN21</f>
        <v>W3011TWDCUM</v>
      </c>
      <c r="D3523" s="1882"/>
      <c r="E3523" s="1628" t="s">
        <v>8339</v>
      </c>
      <c r="F3523" s="1882"/>
      <c r="G3523" s="1882">
        <f>IF('4L'!S21="","##BLANK",'4L'!S21)</f>
        <v>21.501000000000001</v>
      </c>
    </row>
    <row r="3524" spans="2:7">
      <c r="B3524" s="821" t="str">
        <f>+'4L'!BN22</f>
        <v>W3012TWDCUM</v>
      </c>
      <c r="D3524" s="1882"/>
      <c r="E3524" s="1628" t="s">
        <v>8339</v>
      </c>
      <c r="F3524" s="1882"/>
      <c r="G3524" s="1882">
        <f>IF('4L'!S22="","##BLANK",'4L'!S22)</f>
        <v>0.52200000000000002</v>
      </c>
    </row>
    <row r="3525" spans="2:7">
      <c r="B3525" s="821" t="str">
        <f>+'4L'!BN23</f>
        <v>WS2006TWDCUM</v>
      </c>
      <c r="D3525" s="1882"/>
      <c r="E3525" s="1628" t="s">
        <v>8339</v>
      </c>
      <c r="F3525" s="1882"/>
      <c r="G3525" s="1882">
        <f>IF('4L'!S23="","##BLANK",'4L'!S23)</f>
        <v>0</v>
      </c>
    </row>
    <row r="3526" spans="2:7">
      <c r="B3526" s="821" t="str">
        <f>+'4L'!BN24</f>
        <v>WS2007TWDCUM</v>
      </c>
      <c r="D3526" s="1882"/>
      <c r="E3526" s="1628" t="s">
        <v>8339</v>
      </c>
      <c r="F3526" s="1882"/>
      <c r="G3526" s="1882">
        <f>IF('4L'!S24="","##BLANK",'4L'!S24)</f>
        <v>0</v>
      </c>
    </row>
    <row r="3527" spans="2:7">
      <c r="B3527" s="821" t="str">
        <f>+'4L'!BN25</f>
        <v>WS2008TWDCUM</v>
      </c>
      <c r="D3527" s="1882"/>
      <c r="E3527" s="1628" t="s">
        <v>8339</v>
      </c>
      <c r="F3527" s="1882"/>
      <c r="G3527" s="1882">
        <f>IF('4L'!S25="","##BLANK",'4L'!S25)</f>
        <v>0</v>
      </c>
    </row>
    <row r="3528" spans="2:7">
      <c r="B3528" s="821" t="str">
        <f>+'4L'!BN26</f>
        <v>W3027TWDCUM</v>
      </c>
      <c r="D3528" s="1882"/>
      <c r="E3528" s="1628" t="s">
        <v>8339</v>
      </c>
      <c r="F3528" s="1882"/>
      <c r="G3528" s="1882">
        <f>IF('4L'!S26="","##BLANK",'4L'!S26)</f>
        <v>0</v>
      </c>
    </row>
    <row r="3529" spans="2:7">
      <c r="B3529" s="821" t="str">
        <f>+'4L'!BN27</f>
        <v>W3028OPTTWDCUM</v>
      </c>
      <c r="D3529" s="1882"/>
      <c r="E3529" s="1628" t="s">
        <v>8339</v>
      </c>
      <c r="F3529" s="1882"/>
      <c r="G3529" s="1882">
        <f>IF('4L'!S27="","##BLANK",'4L'!S27)</f>
        <v>2.0179999999999998</v>
      </c>
    </row>
    <row r="3530" spans="2:7">
      <c r="B3530" s="821" t="str">
        <f>+'4L'!BN28</f>
        <v>W3028COMTWDCUM</v>
      </c>
      <c r="D3530" s="1882"/>
      <c r="E3530" s="1628" t="s">
        <v>8339</v>
      </c>
      <c r="F3530" s="1882"/>
      <c r="G3530" s="1882">
        <f>IF('4L'!S28="","##BLANK",'4L'!S28)</f>
        <v>2.5270000000000001</v>
      </c>
    </row>
    <row r="3531" spans="2:7">
      <c r="B3531" s="821" t="str">
        <f>+'4L'!BN29</f>
        <v>W3028NHOTWDCUM</v>
      </c>
      <c r="D3531" s="1882"/>
      <c r="E3531" s="1628" t="s">
        <v>8339</v>
      </c>
      <c r="F3531" s="1882"/>
      <c r="G3531" s="1882">
        <f>IF('4L'!S29="","##BLANK",'4L'!S29)</f>
        <v>4.1000000000000002E-2</v>
      </c>
    </row>
    <row r="3532" spans="2:7">
      <c r="B3532" s="821" t="str">
        <f>+'4L'!BN30</f>
        <v>W3A00001TWDCUM</v>
      </c>
      <c r="D3532" s="1882"/>
      <c r="E3532" s="1628" t="s">
        <v>8339</v>
      </c>
      <c r="F3532" s="1882" t="str">
        <f>+'4L'!C$30</f>
        <v>Capital expenditure purpose - WATER additional line 1 [Other categories]</v>
      </c>
      <c r="G3532" s="1882" t="str">
        <f>IF('4L'!S30="","##BLANK",'4L'!S30)</f>
        <v>##BLANK</v>
      </c>
    </row>
    <row r="3533" spans="2:7">
      <c r="B3533" s="821" t="str">
        <f>+'4L'!BN31</f>
        <v>W3A00002TWDCUM</v>
      </c>
      <c r="D3533" s="1882"/>
      <c r="E3533" s="1628" t="s">
        <v>8339</v>
      </c>
      <c r="F3533" s="1882" t="str">
        <f>+'4L'!C$31</f>
        <v>Capital expenditure purpose - WATER additional line 2 [Other categories]</v>
      </c>
      <c r="G3533" s="1882" t="str">
        <f>IF('4L'!S31="","##BLANK",'4L'!S31)</f>
        <v>##BLANK</v>
      </c>
    </row>
    <row r="3534" spans="2:7">
      <c r="B3534" s="821" t="str">
        <f>+'4L'!BN32</f>
        <v>W3A00003TWDCUM</v>
      </c>
      <c r="D3534" s="1882"/>
      <c r="E3534" s="1628" t="s">
        <v>8339</v>
      </c>
      <c r="F3534" s="1882" t="str">
        <f>+'4L'!C$32</f>
        <v>Capital expenditure purpose - WATER additional line 3 [Other categories]</v>
      </c>
      <c r="G3534" s="1882" t="str">
        <f>IF('4L'!S32="","##BLANK",'4L'!S32)</f>
        <v>##BLANK</v>
      </c>
    </row>
    <row r="3535" spans="2:7">
      <c r="B3535" s="821" t="str">
        <f>+'4L'!BN33</f>
        <v>W3A00004TWDCUM</v>
      </c>
      <c r="D3535" s="1882"/>
      <c r="E3535" s="1628" t="s">
        <v>8339</v>
      </c>
      <c r="F3535" s="1882" t="str">
        <f>+'4L'!C$33</f>
        <v>Capital expenditure purpose - WATER additional line 4 [Other categories]</v>
      </c>
      <c r="G3535" s="1882" t="str">
        <f>IF('4L'!S33="","##BLANK",'4L'!S33)</f>
        <v>##BLANK</v>
      </c>
    </row>
    <row r="3536" spans="2:7">
      <c r="B3536" s="821" t="str">
        <f>+'4L'!BN34</f>
        <v>W3A00005TWDCUM</v>
      </c>
      <c r="D3536" s="1882"/>
      <c r="E3536" s="1628" t="s">
        <v>8339</v>
      </c>
      <c r="F3536" s="1882" t="str">
        <f>+'4L'!C$34</f>
        <v>Capital expenditure purpose - WATER additional line 5 [Other categories]</v>
      </c>
      <c r="G3536" s="1882" t="str">
        <f>IF('4L'!S34="","##BLANK",'4L'!S34)</f>
        <v>##BLANK</v>
      </c>
    </row>
    <row r="3537" spans="2:7">
      <c r="B3537" s="821" t="str">
        <f>+'4L'!BN35</f>
        <v>W3A00006TWDCUM</v>
      </c>
      <c r="D3537" s="1882"/>
      <c r="E3537" s="1628" t="s">
        <v>8339</v>
      </c>
      <c r="F3537" s="1882" t="str">
        <f>+'4L'!C$35</f>
        <v>Capital expenditure purpose - WATER additional line 6 [Other categories]</v>
      </c>
      <c r="G3537" s="1882" t="str">
        <f>IF('4L'!S35="","##BLANK",'4L'!S35)</f>
        <v>##BLANK</v>
      </c>
    </row>
    <row r="3538" spans="2:7">
      <c r="B3538" s="821" t="str">
        <f>+'4L'!BN36</f>
        <v>W3A00007TWDCUM</v>
      </c>
      <c r="D3538" s="1882"/>
      <c r="E3538" s="1628" t="s">
        <v>8339</v>
      </c>
      <c r="F3538" s="1882" t="str">
        <f>+'4L'!C$36</f>
        <v>Capital expenditure purpose - WATER additional line 7 [Other categories]</v>
      </c>
      <c r="G3538" s="1882" t="str">
        <f>IF('4L'!S36="","##BLANK",'4L'!S36)</f>
        <v>##BLANK</v>
      </c>
    </row>
    <row r="3539" spans="2:7">
      <c r="B3539" s="821" t="str">
        <f>+'4L'!BN37</f>
        <v>W3A00008TWDCUM</v>
      </c>
      <c r="D3539" s="1882"/>
      <c r="E3539" s="1628" t="s">
        <v>8339</v>
      </c>
      <c r="F3539" s="1882" t="str">
        <f>+'4L'!C$37</f>
        <v>Capital expenditure purpose - WATER additional line 8 [Other categories]</v>
      </c>
      <c r="G3539" s="1882" t="str">
        <f>IF('4L'!S37="","##BLANK",'4L'!S37)</f>
        <v>##BLANK</v>
      </c>
    </row>
    <row r="3540" spans="2:7">
      <c r="B3540" s="821" t="str">
        <f>+'4L'!BN38</f>
        <v>W3A00009TWDCUM</v>
      </c>
      <c r="D3540" s="1882"/>
      <c r="E3540" s="1628" t="s">
        <v>8339</v>
      </c>
      <c r="F3540" s="1882" t="str">
        <f>+'4L'!C$38</f>
        <v>Capital expenditure purpose - WATER additional line 9 [Other categories]</v>
      </c>
      <c r="G3540" s="1882" t="str">
        <f>IF('4L'!S38="","##BLANK",'4L'!S38)</f>
        <v>##BLANK</v>
      </c>
    </row>
    <row r="3541" spans="2:7">
      <c r="B3541" s="821" t="str">
        <f>+'4L'!BN39</f>
        <v>W3A00010TWDCUM</v>
      </c>
      <c r="D3541" s="1882"/>
      <c r="E3541" s="1628" t="s">
        <v>8339</v>
      </c>
      <c r="F3541" s="1882" t="str">
        <f>+'4L'!C$39</f>
        <v>Capital expenditure purpose - WATER additional line 10 [Other categories]</v>
      </c>
      <c r="G3541" s="1882" t="str">
        <f>IF('4L'!S39="","##BLANK",'4L'!S39)</f>
        <v>##BLANK</v>
      </c>
    </row>
    <row r="3542" spans="2:7">
      <c r="B3542" s="821" t="str">
        <f>+'4L'!BN40</f>
        <v>W3A00011TWDCUM</v>
      </c>
      <c r="D3542" s="1882"/>
      <c r="E3542" s="1628" t="s">
        <v>8339</v>
      </c>
      <c r="F3542" s="1882" t="str">
        <f>+'4L'!C$40</f>
        <v>Capital expenditure purpose - WATER additional line 11 [Other categories]</v>
      </c>
      <c r="G3542" s="1882" t="str">
        <f>IF('4L'!S40="","##BLANK",'4L'!S40)</f>
        <v>##BLANK</v>
      </c>
    </row>
    <row r="3543" spans="2:7">
      <c r="B3543" s="821" t="str">
        <f>+'4L'!BN41</f>
        <v>W3A00012TWDCUM</v>
      </c>
      <c r="D3543" s="1882"/>
      <c r="E3543" s="1628" t="s">
        <v>8339</v>
      </c>
      <c r="F3543" s="1882" t="str">
        <f>+'4L'!C$41</f>
        <v>Capital expenditure purpose - WATER additional line 12 [Other categories]</v>
      </c>
      <c r="G3543" s="1882" t="str">
        <f>IF('4L'!S41="","##BLANK",'4L'!S41)</f>
        <v>##BLANK</v>
      </c>
    </row>
    <row r="3544" spans="2:7">
      <c r="B3544" s="821" t="str">
        <f>+'4L'!BN42</f>
        <v>W3A00013TWDCUM</v>
      </c>
      <c r="D3544" s="1882"/>
      <c r="E3544" s="1628" t="s">
        <v>8339</v>
      </c>
      <c r="F3544" s="1882" t="str">
        <f>+'4L'!C$42</f>
        <v>Capital expenditure purpose - WATER additional line 13 [Other categories]</v>
      </c>
      <c r="G3544" s="1882" t="str">
        <f>IF('4L'!S42="","##BLANK",'4L'!S42)</f>
        <v>##BLANK</v>
      </c>
    </row>
    <row r="3545" spans="2:7">
      <c r="B3545" s="821" t="str">
        <f>+'4L'!BN43</f>
        <v>W3A00014TWDCUM</v>
      </c>
      <c r="D3545" s="1882"/>
      <c r="E3545" s="1628" t="s">
        <v>8339</v>
      </c>
      <c r="F3545" s="1882" t="str">
        <f>+'4L'!C$43</f>
        <v>Capital expenditure purpose - WATER additional line 14 [Other categories]</v>
      </c>
      <c r="G3545" s="1882" t="str">
        <f>IF('4L'!S43="","##BLANK",'4L'!S43)</f>
        <v>##BLANK</v>
      </c>
    </row>
    <row r="3546" spans="2:7">
      <c r="B3546" s="821" t="str">
        <f>+'4L'!BN44</f>
        <v>W3A00015TWDCUM</v>
      </c>
      <c r="D3546" s="1882"/>
      <c r="E3546" s="1628" t="s">
        <v>8339</v>
      </c>
      <c r="F3546" s="1882" t="str">
        <f>+'4L'!C$44</f>
        <v>Capital expenditure purpose - WATER additional line 15 [Other categories]</v>
      </c>
      <c r="G3546" s="1882" t="str">
        <f>IF('4L'!S44="","##BLANK",'4L'!S44)</f>
        <v>##BLANK</v>
      </c>
    </row>
    <row r="3547" spans="2:7">
      <c r="B3547" s="821" t="str">
        <f>+'4L'!BN45</f>
        <v>BA2070TWDCUM</v>
      </c>
      <c r="D3547" s="1882"/>
      <c r="E3547" s="1628" t="s">
        <v>8339</v>
      </c>
      <c r="F3547" s="1882"/>
      <c r="G3547" s="1882">
        <f>IF('4L'!S45="","##BLANK",'4L'!S45)</f>
        <v>46.167999999999999</v>
      </c>
    </row>
    <row r="3548" spans="2:7">
      <c r="B3548" s="821" t="str">
        <f>+'4L'!BO8</f>
        <v>W3001CAWCUM</v>
      </c>
      <c r="D3548" s="1882"/>
      <c r="E3548" s="1628" t="s">
        <v>8339</v>
      </c>
      <c r="F3548" s="1882"/>
      <c r="G3548" s="1882">
        <f>IF('4L'!T8="","##BLANK",'4L'!T8)</f>
        <v>0</v>
      </c>
    </row>
    <row r="3549" spans="2:7">
      <c r="B3549" s="821" t="str">
        <f>+'4L'!BO9</f>
        <v>WS2002CAWCUM</v>
      </c>
      <c r="D3549" s="1882"/>
      <c r="E3549" s="1628" t="s">
        <v>8339</v>
      </c>
      <c r="F3549" s="1882"/>
      <c r="G3549" s="1882">
        <f>IF('4L'!T9="","##BLANK",'4L'!T9)</f>
        <v>1.06</v>
      </c>
    </row>
    <row r="3550" spans="2:7">
      <c r="B3550" s="821" t="str">
        <f>+'4L'!BO10</f>
        <v>WS2003CAWCUM</v>
      </c>
      <c r="D3550" s="1882"/>
      <c r="E3550" s="1628" t="s">
        <v>8339</v>
      </c>
      <c r="F3550" s="1882"/>
      <c r="G3550" s="1882">
        <f>IF('4L'!T10="","##BLANK",'4L'!T10)</f>
        <v>0</v>
      </c>
    </row>
    <row r="3551" spans="2:7">
      <c r="B3551" s="821" t="str">
        <f>+'4L'!BO11</f>
        <v>W3002CAWCUM</v>
      </c>
      <c r="D3551" s="1882"/>
      <c r="E3551" s="1628" t="s">
        <v>8339</v>
      </c>
      <c r="F3551" s="1882"/>
      <c r="G3551" s="1882">
        <f>IF('4L'!T11="","##BLANK",'4L'!T11)</f>
        <v>0</v>
      </c>
    </row>
    <row r="3552" spans="2:7">
      <c r="B3552" s="821" t="str">
        <f>+'4L'!BO12</f>
        <v>W3003CAWCUM</v>
      </c>
      <c r="D3552" s="1882"/>
      <c r="E3552" s="1628" t="s">
        <v>8339</v>
      </c>
      <c r="F3552" s="1882"/>
      <c r="G3552" s="1882">
        <f>IF('4L'!T12="","##BLANK",'4L'!T12)</f>
        <v>0</v>
      </c>
    </row>
    <row r="3553" spans="2:7">
      <c r="B3553" s="821" t="str">
        <f>+'4L'!BO13</f>
        <v>W3006CAWCUM</v>
      </c>
      <c r="D3553" s="1882"/>
      <c r="E3553" s="1628" t="s">
        <v>8339</v>
      </c>
      <c r="F3553" s="1882"/>
      <c r="G3553" s="1882">
        <f>IF('4L'!T13="","##BLANK",'4L'!T13)</f>
        <v>8.3000000000000004E-2</v>
      </c>
    </row>
    <row r="3554" spans="2:7">
      <c r="B3554" s="821" t="str">
        <f>+'4L'!BO14</f>
        <v>W3007SCAWCUM</v>
      </c>
      <c r="D3554" s="1882"/>
      <c r="E3554" s="1628" t="s">
        <v>8339</v>
      </c>
      <c r="F3554" s="1882"/>
      <c r="G3554" s="1882">
        <f>IF('4L'!T14="","##BLANK",'4L'!T14)</f>
        <v>0</v>
      </c>
    </row>
    <row r="3555" spans="2:7">
      <c r="B3555" s="821" t="str">
        <f>+'4L'!BO15</f>
        <v>W3008SCAWCUM</v>
      </c>
      <c r="D3555" s="1882"/>
      <c r="E3555" s="1628" t="s">
        <v>8339</v>
      </c>
      <c r="F3555" s="1882"/>
      <c r="G3555" s="1882">
        <f>IF('4L'!T15="","##BLANK",'4L'!T15)</f>
        <v>0</v>
      </c>
    </row>
    <row r="3556" spans="2:7">
      <c r="B3556" s="821" t="str">
        <f>+'4L'!BO16</f>
        <v>W3007DCAWCUM</v>
      </c>
      <c r="D3556" s="1882"/>
      <c r="E3556" s="1628" t="s">
        <v>8339</v>
      </c>
      <c r="F3556" s="1882"/>
      <c r="G3556" s="1882">
        <f>IF('4L'!T16="","##BLANK",'4L'!T16)</f>
        <v>0</v>
      </c>
    </row>
    <row r="3557" spans="2:7">
      <c r="B3557" s="821" t="str">
        <f>+'4L'!BO17</f>
        <v>W3008DCAWCUM</v>
      </c>
      <c r="D3557" s="1882"/>
      <c r="E3557" s="1628" t="s">
        <v>8339</v>
      </c>
      <c r="F3557" s="1882"/>
      <c r="G3557" s="1882">
        <f>IF('4L'!T17="","##BLANK",'4L'!T17)</f>
        <v>11.157</v>
      </c>
    </row>
    <row r="3558" spans="2:7">
      <c r="B3558" s="821" t="str">
        <f>+'4L'!BO18</f>
        <v>W3009CAWCUM</v>
      </c>
      <c r="D3558" s="1882"/>
      <c r="E3558" s="1628" t="s">
        <v>8339</v>
      </c>
      <c r="F3558" s="1882"/>
      <c r="G3558" s="1882">
        <f>IF('4L'!T18="","##BLANK",'4L'!T18)</f>
        <v>5.3049999999999997</v>
      </c>
    </row>
    <row r="3559" spans="2:7">
      <c r="B3559" s="821" t="str">
        <f>+'4L'!BO19</f>
        <v>WS2004CAWCUM</v>
      </c>
      <c r="D3559" s="1882"/>
      <c r="E3559" s="1628" t="s">
        <v>8339</v>
      </c>
      <c r="F3559" s="1882"/>
      <c r="G3559" s="1882">
        <f>IF('4L'!T19="","##BLANK",'4L'!T19)</f>
        <v>3.0139999999999998</v>
      </c>
    </row>
    <row r="3560" spans="2:7">
      <c r="B3560" s="821" t="str">
        <f>+'4L'!BO20</f>
        <v>W3010CAWCUM</v>
      </c>
      <c r="D3560" s="1882"/>
      <c r="E3560" s="1628" t="s">
        <v>8339</v>
      </c>
      <c r="F3560" s="1882"/>
      <c r="G3560" s="1882">
        <f>IF('4L'!T20="","##BLANK",'4L'!T20)</f>
        <v>2.4049999999999998</v>
      </c>
    </row>
    <row r="3561" spans="2:7">
      <c r="B3561" s="821" t="str">
        <f>+'4L'!BO21</f>
        <v>W3011CAWCUM</v>
      </c>
      <c r="D3561" s="1882"/>
      <c r="E3561" s="1628" t="s">
        <v>8339</v>
      </c>
      <c r="F3561" s="1882"/>
      <c r="G3561" s="1882">
        <f>IF('4L'!T21="","##BLANK",'4L'!T21)</f>
        <v>21.501000000000001</v>
      </c>
    </row>
    <row r="3562" spans="2:7">
      <c r="B3562" s="821" t="str">
        <f>+'4L'!BO22</f>
        <v>W3012CAWCUM</v>
      </c>
      <c r="D3562" s="1882"/>
      <c r="E3562" s="1628" t="s">
        <v>8339</v>
      </c>
      <c r="F3562" s="1882"/>
      <c r="G3562" s="1882">
        <f>IF('4L'!T22="","##BLANK",'4L'!T22)</f>
        <v>0.85440858000000008</v>
      </c>
    </row>
    <row r="3563" spans="2:7">
      <c r="B3563" s="821" t="str">
        <f>+'4L'!BO23</f>
        <v>WS2006CAWCUM</v>
      </c>
      <c r="D3563" s="1882"/>
      <c r="E3563" s="1628" t="s">
        <v>8339</v>
      </c>
      <c r="F3563" s="1882"/>
      <c r="G3563" s="1882">
        <f>IF('4L'!T23="","##BLANK",'4L'!T23)</f>
        <v>0</v>
      </c>
    </row>
    <row r="3564" spans="2:7">
      <c r="B3564" s="821" t="str">
        <f>+'4L'!BO24</f>
        <v>WS2007CAWCUM</v>
      </c>
      <c r="D3564" s="1882"/>
      <c r="E3564" s="1628" t="s">
        <v>8339</v>
      </c>
      <c r="F3564" s="1882"/>
      <c r="G3564" s="1882">
        <f>IF('4L'!T24="","##BLANK",'4L'!T24)</f>
        <v>0.2</v>
      </c>
    </row>
    <row r="3565" spans="2:7">
      <c r="B3565" s="821" t="str">
        <f>+'4L'!BO25</f>
        <v>WS2008CAWCUM</v>
      </c>
      <c r="D3565" s="1882"/>
      <c r="E3565" s="1628" t="s">
        <v>8339</v>
      </c>
      <c r="F3565" s="1882"/>
      <c r="G3565" s="1882">
        <f>IF('4L'!T25="","##BLANK",'4L'!T25)</f>
        <v>0.13700000000000001</v>
      </c>
    </row>
    <row r="3566" spans="2:7">
      <c r="B3566" s="821" t="str">
        <f>+'4L'!BO26</f>
        <v>W3027CAWCUM</v>
      </c>
      <c r="D3566" s="1882"/>
      <c r="E3566" s="1628" t="s">
        <v>8339</v>
      </c>
      <c r="F3566" s="1882"/>
      <c r="G3566" s="1882">
        <f>IF('4L'!T26="","##BLANK",'4L'!T26)</f>
        <v>0</v>
      </c>
    </row>
    <row r="3567" spans="2:7">
      <c r="B3567" s="821" t="str">
        <f>+'4L'!BO27</f>
        <v>W3028OPTCAWCUM</v>
      </c>
      <c r="D3567" s="1882"/>
      <c r="E3567" s="1628" t="s">
        <v>8339</v>
      </c>
      <c r="F3567" s="1882"/>
      <c r="G3567" s="1882">
        <f>IF('4L'!T27="","##BLANK",'4L'!T27)</f>
        <v>2.0179999999999998</v>
      </c>
    </row>
    <row r="3568" spans="2:7">
      <c r="B3568" s="821" t="str">
        <f>+'4L'!BO28</f>
        <v>W3028COMCAWCUM</v>
      </c>
      <c r="D3568" s="1882"/>
      <c r="E3568" s="1628" t="s">
        <v>8339</v>
      </c>
      <c r="F3568" s="1882"/>
      <c r="G3568" s="1882">
        <f>IF('4L'!T28="","##BLANK",'4L'!T28)</f>
        <v>2.5270000000000001</v>
      </c>
    </row>
    <row r="3569" spans="2:7">
      <c r="B3569" s="821" t="str">
        <f>+'4L'!BO29</f>
        <v>W3028NHOCAWCUM</v>
      </c>
      <c r="D3569" s="1882"/>
      <c r="E3569" s="1628" t="s">
        <v>8339</v>
      </c>
      <c r="F3569" s="1882"/>
      <c r="G3569" s="1882">
        <f>IF('4L'!T29="","##BLANK",'4L'!T29)</f>
        <v>4.1000000000000002E-2</v>
      </c>
    </row>
    <row r="3570" spans="2:7">
      <c r="B3570" s="821" t="str">
        <f>+'4L'!BO30</f>
        <v>W3A00001CAWCUM</v>
      </c>
      <c r="D3570" s="1882"/>
      <c r="E3570" s="1628" t="s">
        <v>8339</v>
      </c>
      <c r="F3570" s="1882" t="str">
        <f>+'4L'!C$30</f>
        <v>Capital expenditure purpose - WATER additional line 1 [Other categories]</v>
      </c>
      <c r="G3570" s="1882">
        <f>IF('4L'!T30="","##BLANK",'4L'!T30)</f>
        <v>0</v>
      </c>
    </row>
    <row r="3571" spans="2:7">
      <c r="B3571" s="821" t="str">
        <f>+'4L'!BO31</f>
        <v>W3A00002CAWCUM</v>
      </c>
      <c r="D3571" s="1882"/>
      <c r="E3571" s="1628" t="s">
        <v>8339</v>
      </c>
      <c r="F3571" s="1882" t="str">
        <f>+'4L'!C$31</f>
        <v>Capital expenditure purpose - WATER additional line 2 [Other categories]</v>
      </c>
      <c r="G3571" s="1882">
        <f>IF('4L'!T31="","##BLANK",'4L'!T31)</f>
        <v>0</v>
      </c>
    </row>
    <row r="3572" spans="2:7">
      <c r="B3572" s="821" t="str">
        <f>+'4L'!BO32</f>
        <v>W3A00003CAWCUM</v>
      </c>
      <c r="D3572" s="1882"/>
      <c r="E3572" s="1628" t="s">
        <v>8339</v>
      </c>
      <c r="F3572" s="1882" t="str">
        <f>+'4L'!C$32</f>
        <v>Capital expenditure purpose - WATER additional line 3 [Other categories]</v>
      </c>
      <c r="G3572" s="1882">
        <f>IF('4L'!T32="","##BLANK",'4L'!T32)</f>
        <v>0</v>
      </c>
    </row>
    <row r="3573" spans="2:7">
      <c r="B3573" s="821" t="str">
        <f>+'4L'!BO33</f>
        <v>W3A00004CAWCUM</v>
      </c>
      <c r="D3573" s="1882"/>
      <c r="E3573" s="1628" t="s">
        <v>8339</v>
      </c>
      <c r="F3573" s="1882" t="str">
        <f>+'4L'!C$33</f>
        <v>Capital expenditure purpose - WATER additional line 4 [Other categories]</v>
      </c>
      <c r="G3573" s="1882">
        <f>IF('4L'!T33="","##BLANK",'4L'!T33)</f>
        <v>0</v>
      </c>
    </row>
    <row r="3574" spans="2:7">
      <c r="B3574" s="821" t="str">
        <f>+'4L'!BO34</f>
        <v>W3A00005CAWCUM</v>
      </c>
      <c r="D3574" s="1882"/>
      <c r="E3574" s="1628" t="s">
        <v>8339</v>
      </c>
      <c r="F3574" s="1882" t="str">
        <f>+'4L'!C$34</f>
        <v>Capital expenditure purpose - WATER additional line 5 [Other categories]</v>
      </c>
      <c r="G3574" s="1882">
        <f>IF('4L'!T34="","##BLANK",'4L'!T34)</f>
        <v>0</v>
      </c>
    </row>
    <row r="3575" spans="2:7">
      <c r="B3575" s="821" t="str">
        <f>+'4L'!BO35</f>
        <v>W3A00006CAWCUM</v>
      </c>
      <c r="D3575" s="1882"/>
      <c r="E3575" s="1628" t="s">
        <v>8339</v>
      </c>
      <c r="F3575" s="1882" t="str">
        <f>+'4L'!C$35</f>
        <v>Capital expenditure purpose - WATER additional line 6 [Other categories]</v>
      </c>
      <c r="G3575" s="1882">
        <f>IF('4L'!T35="","##BLANK",'4L'!T35)</f>
        <v>0</v>
      </c>
    </row>
    <row r="3576" spans="2:7">
      <c r="B3576" s="821" t="str">
        <f>+'4L'!BO36</f>
        <v>W3A00007CAWCUM</v>
      </c>
      <c r="D3576" s="1882"/>
      <c r="E3576" s="1628" t="s">
        <v>8339</v>
      </c>
      <c r="F3576" s="1882" t="str">
        <f>+'4L'!C$36</f>
        <v>Capital expenditure purpose - WATER additional line 7 [Other categories]</v>
      </c>
      <c r="G3576" s="1882">
        <f>IF('4L'!T36="","##BLANK",'4L'!T36)</f>
        <v>0</v>
      </c>
    </row>
    <row r="3577" spans="2:7">
      <c r="B3577" s="821" t="str">
        <f>+'4L'!BO37</f>
        <v>W3A00008CAWCUM</v>
      </c>
      <c r="D3577" s="1882"/>
      <c r="E3577" s="1628" t="s">
        <v>8339</v>
      </c>
      <c r="F3577" s="1882" t="str">
        <f>+'4L'!C$37</f>
        <v>Capital expenditure purpose - WATER additional line 8 [Other categories]</v>
      </c>
      <c r="G3577" s="1882">
        <f>IF('4L'!T37="","##BLANK",'4L'!T37)</f>
        <v>0</v>
      </c>
    </row>
    <row r="3578" spans="2:7">
      <c r="B3578" s="821" t="str">
        <f>+'4L'!BO38</f>
        <v>W3A00009CAWCUM</v>
      </c>
      <c r="D3578" s="1882"/>
      <c r="E3578" s="1628" t="s">
        <v>8339</v>
      </c>
      <c r="F3578" s="1882" t="str">
        <f>+'4L'!C$38</f>
        <v>Capital expenditure purpose - WATER additional line 9 [Other categories]</v>
      </c>
      <c r="G3578" s="1882">
        <f>IF('4L'!T38="","##BLANK",'4L'!T38)</f>
        <v>0</v>
      </c>
    </row>
    <row r="3579" spans="2:7">
      <c r="B3579" s="821" t="str">
        <f>+'4L'!BO39</f>
        <v>W3A00010CAWCUM</v>
      </c>
      <c r="D3579" s="1882"/>
      <c r="E3579" s="1628" t="s">
        <v>8339</v>
      </c>
      <c r="F3579" s="1882" t="str">
        <f>+'4L'!C$39</f>
        <v>Capital expenditure purpose - WATER additional line 10 [Other categories]</v>
      </c>
      <c r="G3579" s="1882">
        <f>IF('4L'!T39="","##BLANK",'4L'!T39)</f>
        <v>0</v>
      </c>
    </row>
    <row r="3580" spans="2:7">
      <c r="B3580" s="821" t="str">
        <f>+'4L'!BO40</f>
        <v>W3A00011CAWCUM</v>
      </c>
      <c r="D3580" s="1882"/>
      <c r="E3580" s="1628" t="s">
        <v>8339</v>
      </c>
      <c r="F3580" s="1882" t="str">
        <f>+'4L'!C$40</f>
        <v>Capital expenditure purpose - WATER additional line 11 [Other categories]</v>
      </c>
      <c r="G3580" s="1882">
        <f>IF('4L'!T40="","##BLANK",'4L'!T40)</f>
        <v>0</v>
      </c>
    </row>
    <row r="3581" spans="2:7">
      <c r="B3581" s="821" t="str">
        <f>+'4L'!BO41</f>
        <v>W3A00012CAWCUM</v>
      </c>
      <c r="D3581" s="1882"/>
      <c r="E3581" s="1628" t="s">
        <v>8339</v>
      </c>
      <c r="F3581" s="1882" t="str">
        <f>+'4L'!C$41</f>
        <v>Capital expenditure purpose - WATER additional line 12 [Other categories]</v>
      </c>
      <c r="G3581" s="1882">
        <f>IF('4L'!T41="","##BLANK",'4L'!T41)</f>
        <v>0</v>
      </c>
    </row>
    <row r="3582" spans="2:7">
      <c r="B3582" s="821" t="str">
        <f>+'4L'!BO42</f>
        <v>W3A00013CAWCUM</v>
      </c>
      <c r="D3582" s="1882"/>
      <c r="E3582" s="1628" t="s">
        <v>8339</v>
      </c>
      <c r="F3582" s="1882" t="str">
        <f>+'4L'!C$42</f>
        <v>Capital expenditure purpose - WATER additional line 13 [Other categories]</v>
      </c>
      <c r="G3582" s="1882">
        <f>IF('4L'!T42="","##BLANK",'4L'!T42)</f>
        <v>0</v>
      </c>
    </row>
    <row r="3583" spans="2:7">
      <c r="B3583" s="821" t="str">
        <f>+'4L'!BO43</f>
        <v>W3A00014CAWCUM</v>
      </c>
      <c r="D3583" s="1882"/>
      <c r="E3583" s="1628" t="s">
        <v>8339</v>
      </c>
      <c r="F3583" s="1882" t="str">
        <f>+'4L'!C$43</f>
        <v>Capital expenditure purpose - WATER additional line 14 [Other categories]</v>
      </c>
      <c r="G3583" s="1882">
        <f>IF('4L'!T43="","##BLANK",'4L'!T43)</f>
        <v>0</v>
      </c>
    </row>
    <row r="3584" spans="2:7">
      <c r="B3584" s="821" t="str">
        <f>+'4L'!BO44</f>
        <v>W3A00015CAWCUM</v>
      </c>
      <c r="D3584" s="1882"/>
      <c r="E3584" s="1628" t="s">
        <v>8339</v>
      </c>
      <c r="F3584" s="1882" t="str">
        <f>+'4L'!C$44</f>
        <v>Capital expenditure purpose - WATER additional line 15 [Other categories]</v>
      </c>
      <c r="G3584" s="1882">
        <f>IF('4L'!T44="","##BLANK",'4L'!T44)</f>
        <v>0</v>
      </c>
    </row>
    <row r="3585" spans="2:7">
      <c r="B3585" s="821" t="str">
        <f>+'4L'!BO45</f>
        <v>BA2070CAWCUM</v>
      </c>
      <c r="D3585" s="1882"/>
      <c r="E3585" s="1628" t="s">
        <v>8339</v>
      </c>
      <c r="F3585" s="1882"/>
      <c r="G3585" s="1882">
        <f>IF('4L'!T45="","##BLANK",'4L'!T45)</f>
        <v>50.302408579999998</v>
      </c>
    </row>
    <row r="3586" spans="2:7">
      <c r="B3586" s="821" t="str">
        <f>+'4M'!BI8</f>
        <v>BC31379FL</v>
      </c>
      <c r="D3586" s="1882"/>
      <c r="E3586" s="1628" t="s">
        <v>8339</v>
      </c>
      <c r="F3586" s="1882"/>
      <c r="G3586" s="1882" t="str">
        <f>IF('4M'!G8="","##BLANK",'4M'!G8)</f>
        <v>##BLANK</v>
      </c>
    </row>
    <row r="3587" spans="2:7">
      <c r="B3587" s="821" t="str">
        <f>+'4M'!BI9</f>
        <v>S3035QFL</v>
      </c>
      <c r="D3587" s="1882"/>
      <c r="E3587" s="1628" t="s">
        <v>8339</v>
      </c>
      <c r="F3587" s="1882"/>
      <c r="G3587" s="1882" t="str">
        <f>IF('4M'!G9="","##BLANK",'4M'!G9)</f>
        <v>##BLANK</v>
      </c>
    </row>
    <row r="3588" spans="2:7">
      <c r="B3588" s="821" t="str">
        <f>+'4M'!BI10</f>
        <v>S3036GFL</v>
      </c>
      <c r="D3588" s="1882"/>
      <c r="E3588" s="1628" t="s">
        <v>8339</v>
      </c>
      <c r="F3588" s="1882"/>
      <c r="G3588" s="1882" t="str">
        <f>IF('4M'!G10="","##BLANK",'4M'!G10)</f>
        <v>##BLANK</v>
      </c>
    </row>
    <row r="3589" spans="2:7">
      <c r="B3589" s="821" t="str">
        <f>+'4M'!BI11</f>
        <v>S3004FL</v>
      </c>
      <c r="D3589" s="1882"/>
      <c r="E3589" s="1628" t="s">
        <v>8339</v>
      </c>
      <c r="F3589" s="1882"/>
      <c r="G3589" s="1882" t="str">
        <f>IF('4M'!G11="","##BLANK",'4M'!G11)</f>
        <v>##BLANK</v>
      </c>
    </row>
    <row r="3590" spans="2:7">
      <c r="B3590" s="821" t="str">
        <f>+'4M'!BI12</f>
        <v>WWS2001FL</v>
      </c>
      <c r="D3590" s="1882"/>
      <c r="E3590" s="1628" t="s">
        <v>8339</v>
      </c>
      <c r="F3590" s="1882"/>
      <c r="G3590" s="1882" t="str">
        <f>IF('4M'!G12="","##BLANK",'4M'!G12)</f>
        <v>##BLANK</v>
      </c>
    </row>
    <row r="3591" spans="2:7">
      <c r="B3591" s="821" t="str">
        <f>+'4M'!BI13</f>
        <v>S3005FL</v>
      </c>
      <c r="D3591" s="1882"/>
      <c r="E3591" s="1628" t="s">
        <v>8339</v>
      </c>
      <c r="F3591" s="1882"/>
      <c r="G3591" s="1882" t="str">
        <f>IF('4M'!G13="","##BLANK",'4M'!G13)</f>
        <v>##BLANK</v>
      </c>
    </row>
    <row r="3592" spans="2:7">
      <c r="B3592" s="821" t="str">
        <f>+'4M'!BI14</f>
        <v>S3006FL</v>
      </c>
      <c r="D3592" s="1882"/>
      <c r="E3592" s="1628" t="s">
        <v>8339</v>
      </c>
      <c r="F3592" s="1882"/>
      <c r="G3592" s="1882" t="str">
        <f>IF('4M'!G14="","##BLANK",'4M'!G14)</f>
        <v>##BLANK</v>
      </c>
    </row>
    <row r="3593" spans="2:7">
      <c r="B3593" s="821" t="str">
        <f>+'4M'!BI15</f>
        <v>S3007FL</v>
      </c>
      <c r="D3593" s="1882"/>
      <c r="E3593" s="1628" t="s">
        <v>8339</v>
      </c>
      <c r="F3593" s="1882"/>
      <c r="G3593" s="1882" t="str">
        <f>IF('4M'!G15="","##BLANK",'4M'!G15)</f>
        <v>##BLANK</v>
      </c>
    </row>
    <row r="3594" spans="2:7">
      <c r="B3594" s="821" t="str">
        <f>+'4M'!BI16</f>
        <v>WWS2002FL</v>
      </c>
      <c r="D3594" s="1882"/>
      <c r="E3594" s="1628" t="s">
        <v>8339</v>
      </c>
      <c r="F3594" s="1882"/>
      <c r="G3594" s="1882" t="str">
        <f>IF('4M'!G16="","##BLANK",'4M'!G16)</f>
        <v>##BLANK</v>
      </c>
    </row>
    <row r="3595" spans="2:7">
      <c r="B3595" s="821" t="str">
        <f>+'4M'!BI17</f>
        <v>WWS2003FL</v>
      </c>
      <c r="D3595" s="1882"/>
      <c r="E3595" s="1628" t="s">
        <v>8339</v>
      </c>
      <c r="F3595" s="1882"/>
      <c r="G3595" s="1882" t="str">
        <f>IF('4M'!G17="","##BLANK",'4M'!G17)</f>
        <v>##BLANK</v>
      </c>
    </row>
    <row r="3596" spans="2:7">
      <c r="B3596" s="821" t="str">
        <f>+'4M'!BI18</f>
        <v>S3008FL</v>
      </c>
      <c r="D3596" s="1882"/>
      <c r="E3596" s="1628" t="s">
        <v>8339</v>
      </c>
      <c r="F3596" s="1882"/>
      <c r="G3596" s="1882" t="str">
        <f>IF('4M'!G18="","##BLANK",'4M'!G18)</f>
        <v>##BLANK</v>
      </c>
    </row>
    <row r="3597" spans="2:7">
      <c r="B3597" s="821" t="str">
        <f>+'4M'!BI19</f>
        <v>S3009FL</v>
      </c>
      <c r="D3597" s="1882"/>
      <c r="E3597" s="1628" t="s">
        <v>8339</v>
      </c>
      <c r="F3597" s="1882"/>
      <c r="G3597" s="1882" t="str">
        <f>IF('4M'!G19="","##BLANK",'4M'!G19)</f>
        <v>##BLANK</v>
      </c>
    </row>
    <row r="3598" spans="2:7">
      <c r="B3598" s="821" t="str">
        <f>+'4M'!BI20</f>
        <v>WWS2007FL</v>
      </c>
      <c r="D3598" s="1882"/>
      <c r="E3598" s="1628" t="s">
        <v>8339</v>
      </c>
      <c r="F3598" s="1882"/>
      <c r="G3598" s="1882" t="str">
        <f>IF('4M'!G20="","##BLANK",'4M'!G20)</f>
        <v>##BLANK</v>
      </c>
    </row>
    <row r="3599" spans="2:7">
      <c r="B3599" s="821" t="str">
        <f>+'4M'!BI21</f>
        <v>S3010FL</v>
      </c>
      <c r="D3599" s="1882"/>
      <c r="E3599" s="1628" t="s">
        <v>8339</v>
      </c>
      <c r="F3599" s="1882"/>
      <c r="G3599" s="1882" t="str">
        <f>IF('4M'!G21="","##BLANK",'4M'!G21)</f>
        <v>##BLANK</v>
      </c>
    </row>
    <row r="3600" spans="2:7">
      <c r="B3600" s="821" t="str">
        <f>+'4M'!BI22</f>
        <v>S3011FL</v>
      </c>
      <c r="D3600" s="1882"/>
      <c r="E3600" s="1628" t="s">
        <v>8339</v>
      </c>
      <c r="F3600" s="1882"/>
      <c r="G3600" s="1882" t="str">
        <f>IF('4M'!G22="","##BLANK",'4M'!G22)</f>
        <v>##BLANK</v>
      </c>
    </row>
    <row r="3601" spans="2:7">
      <c r="B3601" s="821" t="str">
        <f>+'4M'!BI23</f>
        <v>S3012FL</v>
      </c>
      <c r="D3601" s="1882"/>
      <c r="E3601" s="1628" t="s">
        <v>8339</v>
      </c>
      <c r="F3601" s="1882"/>
      <c r="G3601" s="1882" t="str">
        <f>IF('4M'!G23="","##BLANK",'4M'!G23)</f>
        <v>##BLANK</v>
      </c>
    </row>
    <row r="3602" spans="2:7">
      <c r="B3602" s="821" t="str">
        <f>+'4M'!BI24</f>
        <v>S3013FL</v>
      </c>
      <c r="D3602" s="1882"/>
      <c r="E3602" s="1628" t="s">
        <v>8339</v>
      </c>
      <c r="F3602" s="1882"/>
      <c r="G3602" s="1882" t="str">
        <f>IF('4M'!G24="","##BLANK",'4M'!G24)</f>
        <v>##BLANK</v>
      </c>
    </row>
    <row r="3603" spans="2:7">
      <c r="B3603" s="821" t="str">
        <f>+'4M'!BI25</f>
        <v>S3014FL</v>
      </c>
      <c r="D3603" s="1882"/>
      <c r="E3603" s="1628" t="s">
        <v>8339</v>
      </c>
      <c r="F3603" s="1882"/>
      <c r="G3603" s="1882" t="str">
        <f>IF('4M'!G25="","##BLANK",'4M'!G25)</f>
        <v>##BLANK</v>
      </c>
    </row>
    <row r="3604" spans="2:7">
      <c r="B3604" s="821" t="str">
        <f>+'4M'!BI26</f>
        <v>S3015FL</v>
      </c>
      <c r="D3604" s="1882"/>
      <c r="E3604" s="1628" t="s">
        <v>8339</v>
      </c>
      <c r="F3604" s="1882"/>
      <c r="G3604" s="1882" t="str">
        <f>IF('4M'!G26="","##BLANK",'4M'!G26)</f>
        <v>##BLANK</v>
      </c>
    </row>
    <row r="3605" spans="2:7">
      <c r="B3605" s="821" t="str">
        <f>+'4M'!BI27</f>
        <v>S3016FL</v>
      </c>
      <c r="D3605" s="1882"/>
      <c r="E3605" s="1628" t="s">
        <v>8339</v>
      </c>
      <c r="F3605" s="1882"/>
      <c r="G3605" s="1882" t="str">
        <f>IF('4M'!G27="","##BLANK",'4M'!G27)</f>
        <v>##BLANK</v>
      </c>
    </row>
    <row r="3606" spans="2:7">
      <c r="B3606" s="821" t="str">
        <f>+'4M'!BI28</f>
        <v>S3017FL</v>
      </c>
      <c r="D3606" s="1882"/>
      <c r="E3606" s="1628" t="s">
        <v>8339</v>
      </c>
      <c r="F3606" s="1882"/>
      <c r="G3606" s="1882" t="str">
        <f>IF('4M'!G28="","##BLANK",'4M'!G28)</f>
        <v>##BLANK</v>
      </c>
    </row>
    <row r="3607" spans="2:7">
      <c r="B3607" s="821" t="str">
        <f>+'4M'!BI29</f>
        <v>S3018FL</v>
      </c>
      <c r="D3607" s="1882"/>
      <c r="E3607" s="1628" t="s">
        <v>8339</v>
      </c>
      <c r="F3607" s="1882"/>
      <c r="G3607" s="1882" t="str">
        <f>IF('4M'!G29="","##BLANK",'4M'!G29)</f>
        <v>##BLANK</v>
      </c>
    </row>
    <row r="3608" spans="2:7">
      <c r="B3608" s="821" t="str">
        <f>+'4M'!BI30</f>
        <v>S3019FL</v>
      </c>
      <c r="D3608" s="1882"/>
      <c r="E3608" s="1628" t="s">
        <v>8339</v>
      </c>
      <c r="F3608" s="1882"/>
      <c r="G3608" s="1882" t="str">
        <f>IF('4M'!G30="","##BLANK",'4M'!G30)</f>
        <v>##BLANK</v>
      </c>
    </row>
    <row r="3609" spans="2:7">
      <c r="B3609" s="821" t="str">
        <f>+'4M'!BI31</f>
        <v>S3020FL</v>
      </c>
      <c r="D3609" s="1882"/>
      <c r="E3609" s="1628" t="s">
        <v>8339</v>
      </c>
      <c r="F3609" s="1882"/>
      <c r="G3609" s="1882" t="str">
        <f>IF('4M'!G31="","##BLANK",'4M'!G31)</f>
        <v>##BLANK</v>
      </c>
    </row>
    <row r="3610" spans="2:7">
      <c r="B3610" s="821" t="str">
        <f>+'4M'!BI32</f>
        <v>S3021FL</v>
      </c>
      <c r="D3610" s="1882"/>
      <c r="E3610" s="1628" t="s">
        <v>8339</v>
      </c>
      <c r="F3610" s="1882"/>
      <c r="G3610" s="1882" t="str">
        <f>IF('4M'!G32="","##BLANK",'4M'!G32)</f>
        <v>##BLANK</v>
      </c>
    </row>
    <row r="3611" spans="2:7">
      <c r="B3611" s="821" t="str">
        <f>+'4M'!BI33</f>
        <v>S3022FL</v>
      </c>
      <c r="D3611" s="1882"/>
      <c r="E3611" s="1628" t="s">
        <v>8339</v>
      </c>
      <c r="F3611" s="1882"/>
      <c r="G3611" s="1882" t="str">
        <f>IF('4M'!G33="","##BLANK",'4M'!G33)</f>
        <v>##BLANK</v>
      </c>
    </row>
    <row r="3612" spans="2:7">
      <c r="B3612" s="821" t="str">
        <f>+'4M'!BI34</f>
        <v>BC31785FL</v>
      </c>
      <c r="D3612" s="1882"/>
      <c r="E3612" s="1628" t="s">
        <v>8339</v>
      </c>
      <c r="F3612" s="1882"/>
      <c r="G3612" s="1882" t="str">
        <f>IF('4M'!G34="","##BLANK",'4M'!G34)</f>
        <v>##BLANK</v>
      </c>
    </row>
    <row r="3613" spans="2:7">
      <c r="B3613" s="821" t="str">
        <f>+'4M'!BI35</f>
        <v>S3023FL</v>
      </c>
      <c r="D3613" s="1882"/>
      <c r="E3613" s="1628" t="s">
        <v>8339</v>
      </c>
      <c r="F3613" s="1882"/>
      <c r="G3613" s="1882" t="str">
        <f>IF('4M'!G35="","##BLANK",'4M'!G35)</f>
        <v>##BLANK</v>
      </c>
    </row>
    <row r="3614" spans="2:7">
      <c r="B3614" s="821" t="str">
        <f>+'4M'!BI36</f>
        <v>S3024FL</v>
      </c>
      <c r="D3614" s="1882"/>
      <c r="E3614" s="1628" t="s">
        <v>8339</v>
      </c>
      <c r="F3614" s="1882"/>
      <c r="G3614" s="1882" t="str">
        <f>IF('4M'!G36="","##BLANK",'4M'!G36)</f>
        <v>##BLANK</v>
      </c>
    </row>
    <row r="3615" spans="2:7">
      <c r="B3615" s="821" t="str">
        <f>+'4M'!BI37</f>
        <v>S3A00001FL</v>
      </c>
      <c r="D3615" s="1882"/>
      <c r="E3615" s="1628" t="s">
        <v>8339</v>
      </c>
      <c r="F3615" s="1882" t="str">
        <f>+'4M'!C$37</f>
        <v>Capital expenditure purpose - WASTEWATER additional line 1 [Other categories]</v>
      </c>
      <c r="G3615" s="1882" t="str">
        <f>IF('4M'!G37="","##BLANK",'4M'!G37)</f>
        <v>##BLANK</v>
      </c>
    </row>
    <row r="3616" spans="2:7">
      <c r="B3616" s="821" t="str">
        <f>+'4M'!BI38</f>
        <v>S3A00002FL</v>
      </c>
      <c r="D3616" s="1882"/>
      <c r="E3616" s="1628" t="s">
        <v>8339</v>
      </c>
      <c r="F3616" s="1882" t="str">
        <f>+'4M'!C$38</f>
        <v>Capital expenditure purpose - WASTEWATER additional line 2 [Other categories]</v>
      </c>
      <c r="G3616" s="1882" t="str">
        <f>IF('4M'!G38="","##BLANK",'4M'!G38)</f>
        <v>##BLANK</v>
      </c>
    </row>
    <row r="3617" spans="2:7">
      <c r="B3617" s="821" t="str">
        <f>+'4M'!BI39</f>
        <v>S3A00003FL</v>
      </c>
      <c r="D3617" s="1882"/>
      <c r="E3617" s="1628" t="s">
        <v>8339</v>
      </c>
      <c r="F3617" s="1882" t="str">
        <f>+'4M'!C$39</f>
        <v>Capital expenditure purpose - WASTEWATER additional line 3 [Other categories]</v>
      </c>
      <c r="G3617" s="1882" t="str">
        <f>IF('4M'!G39="","##BLANK",'4M'!G39)</f>
        <v>##BLANK</v>
      </c>
    </row>
    <row r="3618" spans="2:7">
      <c r="B3618" s="821" t="str">
        <f>+'4M'!BI40</f>
        <v>S3A00004FL</v>
      </c>
      <c r="D3618" s="1882"/>
      <c r="E3618" s="1628" t="s">
        <v>8339</v>
      </c>
      <c r="F3618" s="1882" t="str">
        <f>+'4M'!C$40</f>
        <v>Capital expenditure purpose - WASTEWATER additional line 4 [Other categories]</v>
      </c>
      <c r="G3618" s="1882" t="str">
        <f>IF('4M'!G40="","##BLANK",'4M'!G40)</f>
        <v>##BLANK</v>
      </c>
    </row>
    <row r="3619" spans="2:7">
      <c r="B3619" s="821" t="str">
        <f>+'4M'!BI41</f>
        <v>S3A00005FL</v>
      </c>
      <c r="D3619" s="1882"/>
      <c r="E3619" s="1628" t="s">
        <v>8339</v>
      </c>
      <c r="F3619" s="1882" t="str">
        <f>+'4M'!C$41</f>
        <v>Capital expenditure purpose - WASTEWATER additional line 5 [Other categories]</v>
      </c>
      <c r="G3619" s="1882" t="str">
        <f>IF('4M'!G41="","##BLANK",'4M'!G41)</f>
        <v>##BLANK</v>
      </c>
    </row>
    <row r="3620" spans="2:7">
      <c r="B3620" s="821" t="str">
        <f>+'4M'!BI42</f>
        <v>S3A00006FL</v>
      </c>
      <c r="D3620" s="1882"/>
      <c r="E3620" s="1628" t="s">
        <v>8339</v>
      </c>
      <c r="F3620" s="1882" t="str">
        <f>+'4M'!C$42</f>
        <v>Capital expenditure purpose - WASTEWATER additional line 6 [Other categories]</v>
      </c>
      <c r="G3620" s="1882" t="str">
        <f>IF('4M'!G42="","##BLANK",'4M'!G42)</f>
        <v>##BLANK</v>
      </c>
    </row>
    <row r="3621" spans="2:7">
      <c r="B3621" s="821" t="str">
        <f>+'4M'!BI43</f>
        <v>S3A00007FL</v>
      </c>
      <c r="D3621" s="1882"/>
      <c r="E3621" s="1628" t="s">
        <v>8339</v>
      </c>
      <c r="F3621" s="1882" t="str">
        <f>+'4M'!C$43</f>
        <v>Capital expenditure purpose - WASTEWATER additional line 7 [Other categories]</v>
      </c>
      <c r="G3621" s="1882" t="str">
        <f>IF('4M'!G43="","##BLANK",'4M'!G43)</f>
        <v>##BLANK</v>
      </c>
    </row>
    <row r="3622" spans="2:7">
      <c r="B3622" s="821" t="str">
        <f>+'4M'!BI44</f>
        <v>S3A00008FL</v>
      </c>
      <c r="D3622" s="1882"/>
      <c r="E3622" s="1628" t="s">
        <v>8339</v>
      </c>
      <c r="F3622" s="1882" t="str">
        <f>+'4M'!C$44</f>
        <v>Capital expenditure purpose - WASTEWATER additional line 8 [Other categories]</v>
      </c>
      <c r="G3622" s="1882" t="str">
        <f>IF('4M'!G44="","##BLANK",'4M'!G44)</f>
        <v>##BLANK</v>
      </c>
    </row>
    <row r="3623" spans="2:7">
      <c r="B3623" s="821" t="str">
        <f>+'4M'!BI45</f>
        <v>S3A00009FL</v>
      </c>
      <c r="D3623" s="1882"/>
      <c r="E3623" s="1628" t="s">
        <v>8339</v>
      </c>
      <c r="F3623" s="1882" t="str">
        <f>+'4M'!C$45</f>
        <v>Capital expenditure purpose - WASTEWATER additional line 9 [Other categories]</v>
      </c>
      <c r="G3623" s="1882" t="str">
        <f>IF('4M'!G45="","##BLANK",'4M'!G45)</f>
        <v>##BLANK</v>
      </c>
    </row>
    <row r="3624" spans="2:7">
      <c r="B3624" s="821" t="str">
        <f>+'4M'!BI46</f>
        <v>S3A00010FL</v>
      </c>
      <c r="D3624" s="1882"/>
      <c r="E3624" s="1628" t="s">
        <v>8339</v>
      </c>
      <c r="F3624" s="1882" t="str">
        <f>+'4M'!C$46</f>
        <v>Capital expenditure purpose - WASTEWATER additional line 10 [Other categories]</v>
      </c>
      <c r="G3624" s="1882" t="str">
        <f>IF('4M'!G46="","##BLANK",'4M'!G46)</f>
        <v>##BLANK</v>
      </c>
    </row>
    <row r="3625" spans="2:7">
      <c r="B3625" s="821" t="str">
        <f>+'4M'!BI47</f>
        <v>S3A00011FL</v>
      </c>
      <c r="D3625" s="1882"/>
      <c r="E3625" s="1628" t="s">
        <v>8339</v>
      </c>
      <c r="F3625" s="1882" t="str">
        <f>+'4M'!C$47</f>
        <v>Capital expenditure purpose - WASTEWATER additional line 11 [Other categories]</v>
      </c>
      <c r="G3625" s="1882" t="str">
        <f>IF('4M'!G47="","##BLANK",'4M'!G47)</f>
        <v>##BLANK</v>
      </c>
    </row>
    <row r="3626" spans="2:7">
      <c r="B3626" s="821" t="str">
        <f>+'4M'!BI48</f>
        <v>S3A00012FL</v>
      </c>
      <c r="D3626" s="1882"/>
      <c r="E3626" s="1628" t="s">
        <v>8339</v>
      </c>
      <c r="F3626" s="1882" t="str">
        <f>+'4M'!C$48</f>
        <v>Capital expenditure purpose - WASTEWATER additional line 12 [Other categories]</v>
      </c>
      <c r="G3626" s="1882" t="str">
        <f>IF('4M'!G48="","##BLANK",'4M'!G48)</f>
        <v>##BLANK</v>
      </c>
    </row>
    <row r="3627" spans="2:7">
      <c r="B3627" s="821" t="str">
        <f>+'4M'!BI49</f>
        <v>S3A00013FL</v>
      </c>
      <c r="D3627" s="1882"/>
      <c r="E3627" s="1628" t="s">
        <v>8339</v>
      </c>
      <c r="F3627" s="1882" t="str">
        <f>+'4M'!C$49</f>
        <v>Capital expenditure purpose - WASTEWATER additional line 13 [Other categories]</v>
      </c>
      <c r="G3627" s="1882" t="str">
        <f>IF('4M'!G49="","##BLANK",'4M'!G49)</f>
        <v>##BLANK</v>
      </c>
    </row>
    <row r="3628" spans="2:7">
      <c r="B3628" s="821" t="str">
        <f>+'4M'!BI50</f>
        <v>S3A00014FL</v>
      </c>
      <c r="D3628" s="1882"/>
      <c r="E3628" s="1628" t="s">
        <v>8339</v>
      </c>
      <c r="F3628" s="1882" t="str">
        <f>+'4M'!C$50</f>
        <v>Capital expenditure purpose - WASTEWATER additional line 14 [Other categories]</v>
      </c>
      <c r="G3628" s="1882" t="str">
        <f>IF('4M'!G50="","##BLANK",'4M'!G50)</f>
        <v>##BLANK</v>
      </c>
    </row>
    <row r="3629" spans="2:7">
      <c r="B3629" s="821" t="str">
        <f>+'4M'!BI51</f>
        <v>S3A00015FL</v>
      </c>
      <c r="D3629" s="1882"/>
      <c r="E3629" s="1628" t="s">
        <v>8339</v>
      </c>
      <c r="F3629" s="1882" t="str">
        <f>+'4M'!C$51</f>
        <v>Capital expenditure purpose - WASTEWATER additional line 15 [Other categories]</v>
      </c>
      <c r="G3629" s="1882" t="str">
        <f>IF('4M'!G51="","##BLANK",'4M'!G51)</f>
        <v>##BLANK</v>
      </c>
    </row>
    <row r="3630" spans="2:7">
      <c r="B3630" s="821" t="str">
        <f>+'4M'!BI52</f>
        <v>S3025ENHFL</v>
      </c>
      <c r="D3630" s="1882"/>
      <c r="E3630" s="1628" t="s">
        <v>8339</v>
      </c>
      <c r="F3630" s="1882"/>
      <c r="G3630" s="1882">
        <f>IF('4M'!G52="","##BLANK",'4M'!G52)</f>
        <v>0</v>
      </c>
    </row>
    <row r="3631" spans="2:7">
      <c r="B3631" s="821" t="str">
        <f>+'4M'!BJ8</f>
        <v>BC31379SWD</v>
      </c>
      <c r="D3631" s="1882"/>
      <c r="E3631" s="1628" t="s">
        <v>8339</v>
      </c>
      <c r="F3631" s="1882"/>
      <c r="G3631" s="1882" t="str">
        <f>IF('4M'!H8="","##BLANK",'4M'!H8)</f>
        <v>##BLANK</v>
      </c>
    </row>
    <row r="3632" spans="2:7">
      <c r="B3632" s="821" t="str">
        <f>+'4M'!BJ9</f>
        <v>S3035QSWD</v>
      </c>
      <c r="D3632" s="1882"/>
      <c r="E3632" s="1628" t="s">
        <v>8339</v>
      </c>
      <c r="F3632" s="1882"/>
      <c r="G3632" s="1882" t="str">
        <f>IF('4M'!H9="","##BLANK",'4M'!H9)</f>
        <v>##BLANK</v>
      </c>
    </row>
    <row r="3633" spans="2:7">
      <c r="B3633" s="821" t="str">
        <f>+'4M'!BJ10</f>
        <v>S3036GSWD</v>
      </c>
      <c r="D3633" s="1882"/>
      <c r="E3633" s="1628" t="s">
        <v>8339</v>
      </c>
      <c r="F3633" s="1882"/>
      <c r="G3633" s="1882" t="str">
        <f>IF('4M'!H10="","##BLANK",'4M'!H10)</f>
        <v>##BLANK</v>
      </c>
    </row>
    <row r="3634" spans="2:7">
      <c r="B3634" s="821" t="str">
        <f>+'4M'!BJ11</f>
        <v>S3004SWD</v>
      </c>
      <c r="D3634" s="1882"/>
      <c r="E3634" s="1628" t="s">
        <v>8339</v>
      </c>
      <c r="F3634" s="1882"/>
      <c r="G3634" s="1882" t="str">
        <f>IF('4M'!H11="","##BLANK",'4M'!H11)</f>
        <v>##BLANK</v>
      </c>
    </row>
    <row r="3635" spans="2:7">
      <c r="B3635" s="821" t="str">
        <f>+'4M'!BJ12</f>
        <v>WWS2001SWD</v>
      </c>
      <c r="D3635" s="1882"/>
      <c r="E3635" s="1628" t="s">
        <v>8339</v>
      </c>
      <c r="F3635" s="1882"/>
      <c r="G3635" s="1882" t="str">
        <f>IF('4M'!H12="","##BLANK",'4M'!H12)</f>
        <v>##BLANK</v>
      </c>
    </row>
    <row r="3636" spans="2:7">
      <c r="B3636" s="821" t="str">
        <f>+'4M'!BJ13</f>
        <v>S3005SWD</v>
      </c>
      <c r="D3636" s="1882"/>
      <c r="E3636" s="1628" t="s">
        <v>8339</v>
      </c>
      <c r="F3636" s="1882"/>
      <c r="G3636" s="1882" t="str">
        <f>IF('4M'!H13="","##BLANK",'4M'!H13)</f>
        <v>##BLANK</v>
      </c>
    </row>
    <row r="3637" spans="2:7">
      <c r="B3637" s="821" t="str">
        <f>+'4M'!BJ14</f>
        <v>S3006SWD</v>
      </c>
      <c r="D3637" s="1882"/>
      <c r="E3637" s="1628" t="s">
        <v>8339</v>
      </c>
      <c r="F3637" s="1882"/>
      <c r="G3637" s="1882" t="str">
        <f>IF('4M'!H14="","##BLANK",'4M'!H14)</f>
        <v>##BLANK</v>
      </c>
    </row>
    <row r="3638" spans="2:7">
      <c r="B3638" s="821" t="str">
        <f>+'4M'!BJ15</f>
        <v>S3007SWD</v>
      </c>
      <c r="D3638" s="1882"/>
      <c r="E3638" s="1628" t="s">
        <v>8339</v>
      </c>
      <c r="F3638" s="1882"/>
      <c r="G3638" s="1882" t="str">
        <f>IF('4M'!H15="","##BLANK",'4M'!H15)</f>
        <v>##BLANK</v>
      </c>
    </row>
    <row r="3639" spans="2:7">
      <c r="B3639" s="821" t="str">
        <f>+'4M'!BJ16</f>
        <v>WWS2002SWD</v>
      </c>
      <c r="D3639" s="1882"/>
      <c r="E3639" s="1628" t="s">
        <v>8339</v>
      </c>
      <c r="F3639" s="1882"/>
      <c r="G3639" s="1882" t="str">
        <f>IF('4M'!H16="","##BLANK",'4M'!H16)</f>
        <v>##BLANK</v>
      </c>
    </row>
    <row r="3640" spans="2:7">
      <c r="B3640" s="821" t="str">
        <f>+'4M'!BJ17</f>
        <v>WWS2003SWD</v>
      </c>
      <c r="D3640" s="1882"/>
      <c r="E3640" s="1628" t="s">
        <v>8339</v>
      </c>
      <c r="F3640" s="1882"/>
      <c r="G3640" s="1882" t="str">
        <f>IF('4M'!H17="","##BLANK",'4M'!H17)</f>
        <v>##BLANK</v>
      </c>
    </row>
    <row r="3641" spans="2:7">
      <c r="B3641" s="821" t="str">
        <f>+'4M'!BJ18</f>
        <v>S3008SWD</v>
      </c>
      <c r="D3641" s="1882"/>
      <c r="E3641" s="1628" t="s">
        <v>8339</v>
      </c>
      <c r="F3641" s="1882"/>
      <c r="G3641" s="1882" t="str">
        <f>IF('4M'!H18="","##BLANK",'4M'!H18)</f>
        <v>##BLANK</v>
      </c>
    </row>
    <row r="3642" spans="2:7">
      <c r="B3642" s="821" t="str">
        <f>+'4M'!BJ19</f>
        <v>S3009SWD</v>
      </c>
      <c r="D3642" s="1882"/>
      <c r="E3642" s="1628" t="s">
        <v>8339</v>
      </c>
      <c r="F3642" s="1882"/>
      <c r="G3642" s="1882" t="str">
        <f>IF('4M'!H19="","##BLANK",'4M'!H19)</f>
        <v>##BLANK</v>
      </c>
    </row>
    <row r="3643" spans="2:7">
      <c r="B3643" s="821" t="str">
        <f>+'4M'!BJ20</f>
        <v>WWS2007SWD</v>
      </c>
      <c r="D3643" s="1882"/>
      <c r="E3643" s="1628" t="s">
        <v>8339</v>
      </c>
      <c r="F3643" s="1882"/>
      <c r="G3643" s="1882" t="str">
        <f>IF('4M'!H20="","##BLANK",'4M'!H20)</f>
        <v>##BLANK</v>
      </c>
    </row>
    <row r="3644" spans="2:7">
      <c r="B3644" s="821" t="str">
        <f>+'4M'!BJ21</f>
        <v>S3010SWD</v>
      </c>
      <c r="D3644" s="1882"/>
      <c r="E3644" s="1628" t="s">
        <v>8339</v>
      </c>
      <c r="F3644" s="1882"/>
      <c r="G3644" s="1882" t="str">
        <f>IF('4M'!H21="","##BLANK",'4M'!H21)</f>
        <v>##BLANK</v>
      </c>
    </row>
    <row r="3645" spans="2:7">
      <c r="B3645" s="821" t="str">
        <f>+'4M'!BJ22</f>
        <v>S3011SWD</v>
      </c>
      <c r="D3645" s="1882"/>
      <c r="E3645" s="1628" t="s">
        <v>8339</v>
      </c>
      <c r="F3645" s="1882"/>
      <c r="G3645" s="1882" t="str">
        <f>IF('4M'!H22="","##BLANK",'4M'!H22)</f>
        <v>##BLANK</v>
      </c>
    </row>
    <row r="3646" spans="2:7">
      <c r="B3646" s="821" t="str">
        <f>+'4M'!BJ23</f>
        <v>S3012SWD</v>
      </c>
      <c r="D3646" s="1882"/>
      <c r="E3646" s="1628" t="s">
        <v>8339</v>
      </c>
      <c r="F3646" s="1882"/>
      <c r="G3646" s="1882" t="str">
        <f>IF('4M'!H23="","##BLANK",'4M'!H23)</f>
        <v>##BLANK</v>
      </c>
    </row>
    <row r="3647" spans="2:7">
      <c r="B3647" s="821" t="str">
        <f>+'4M'!BJ24</f>
        <v>S3013SWD</v>
      </c>
      <c r="D3647" s="1882"/>
      <c r="E3647" s="1628" t="s">
        <v>8339</v>
      </c>
      <c r="F3647" s="1882"/>
      <c r="G3647" s="1882" t="str">
        <f>IF('4M'!H24="","##BLANK",'4M'!H24)</f>
        <v>##BLANK</v>
      </c>
    </row>
    <row r="3648" spans="2:7">
      <c r="B3648" s="821" t="str">
        <f>+'4M'!BJ25</f>
        <v>S3014SWD</v>
      </c>
      <c r="D3648" s="1882"/>
      <c r="E3648" s="1628" t="s">
        <v>8339</v>
      </c>
      <c r="F3648" s="1882"/>
      <c r="G3648" s="1882" t="str">
        <f>IF('4M'!H25="","##BLANK",'4M'!H25)</f>
        <v>##BLANK</v>
      </c>
    </row>
    <row r="3649" spans="2:7">
      <c r="B3649" s="821" t="str">
        <f>+'4M'!BJ26</f>
        <v>S3015SWD</v>
      </c>
      <c r="D3649" s="1882"/>
      <c r="E3649" s="1628" t="s">
        <v>8339</v>
      </c>
      <c r="F3649" s="1882"/>
      <c r="G3649" s="1882" t="str">
        <f>IF('4M'!H26="","##BLANK",'4M'!H26)</f>
        <v>##BLANK</v>
      </c>
    </row>
    <row r="3650" spans="2:7">
      <c r="B3650" s="821" t="str">
        <f>+'4M'!BJ27</f>
        <v>S3016SWD</v>
      </c>
      <c r="D3650" s="1882"/>
      <c r="E3650" s="1628" t="s">
        <v>8339</v>
      </c>
      <c r="F3650" s="1882"/>
      <c r="G3650" s="1882" t="str">
        <f>IF('4M'!H27="","##BLANK",'4M'!H27)</f>
        <v>##BLANK</v>
      </c>
    </row>
    <row r="3651" spans="2:7">
      <c r="B3651" s="821" t="str">
        <f>+'4M'!BJ28</f>
        <v>S3017SWD</v>
      </c>
      <c r="D3651" s="1882"/>
      <c r="E3651" s="1628" t="s">
        <v>8339</v>
      </c>
      <c r="F3651" s="1882"/>
      <c r="G3651" s="1882" t="str">
        <f>IF('4M'!H28="","##BLANK",'4M'!H28)</f>
        <v>##BLANK</v>
      </c>
    </row>
    <row r="3652" spans="2:7">
      <c r="B3652" s="821" t="str">
        <f>+'4M'!BJ29</f>
        <v>S3018SWD</v>
      </c>
      <c r="D3652" s="1882"/>
      <c r="E3652" s="1628" t="s">
        <v>8339</v>
      </c>
      <c r="F3652" s="1882"/>
      <c r="G3652" s="1882" t="str">
        <f>IF('4M'!H29="","##BLANK",'4M'!H29)</f>
        <v>##BLANK</v>
      </c>
    </row>
    <row r="3653" spans="2:7">
      <c r="B3653" s="821" t="str">
        <f>+'4M'!BJ30</f>
        <v>S3019SWD</v>
      </c>
      <c r="D3653" s="1882"/>
      <c r="E3653" s="1628" t="s">
        <v>8339</v>
      </c>
      <c r="F3653" s="1882"/>
      <c r="G3653" s="1882" t="str">
        <f>IF('4M'!H30="","##BLANK",'4M'!H30)</f>
        <v>##BLANK</v>
      </c>
    </row>
    <row r="3654" spans="2:7">
      <c r="B3654" s="821" t="str">
        <f>+'4M'!BJ31</f>
        <v>S3020SWD</v>
      </c>
      <c r="D3654" s="1882"/>
      <c r="E3654" s="1628" t="s">
        <v>8339</v>
      </c>
      <c r="F3654" s="1882"/>
      <c r="G3654" s="1882" t="str">
        <f>IF('4M'!H31="","##BLANK",'4M'!H31)</f>
        <v>##BLANK</v>
      </c>
    </row>
    <row r="3655" spans="2:7">
      <c r="B3655" s="821" t="str">
        <f>+'4M'!BJ32</f>
        <v>S3021SWD</v>
      </c>
      <c r="D3655" s="1882"/>
      <c r="E3655" s="1628" t="s">
        <v>8339</v>
      </c>
      <c r="F3655" s="1882"/>
      <c r="G3655" s="1882" t="str">
        <f>IF('4M'!H32="","##BLANK",'4M'!H32)</f>
        <v>##BLANK</v>
      </c>
    </row>
    <row r="3656" spans="2:7">
      <c r="B3656" s="821" t="str">
        <f>+'4M'!BJ33</f>
        <v>S3022SWD</v>
      </c>
      <c r="D3656" s="1882"/>
      <c r="E3656" s="1628" t="s">
        <v>8339</v>
      </c>
      <c r="F3656" s="1882"/>
      <c r="G3656" s="1882" t="str">
        <f>IF('4M'!H33="","##BLANK",'4M'!H33)</f>
        <v>##BLANK</v>
      </c>
    </row>
    <row r="3657" spans="2:7">
      <c r="B3657" s="821" t="str">
        <f>+'4M'!BJ34</f>
        <v>BC31785SWD</v>
      </c>
      <c r="D3657" s="1882"/>
      <c r="E3657" s="1628" t="s">
        <v>8339</v>
      </c>
      <c r="F3657" s="1882"/>
      <c r="G3657" s="1882" t="str">
        <f>IF('4M'!H34="","##BLANK",'4M'!H34)</f>
        <v>##BLANK</v>
      </c>
    </row>
    <row r="3658" spans="2:7">
      <c r="B3658" s="821" t="str">
        <f>+'4M'!BJ35</f>
        <v>S3023SWD</v>
      </c>
      <c r="D3658" s="1882"/>
      <c r="E3658" s="1628" t="s">
        <v>8339</v>
      </c>
      <c r="F3658" s="1882"/>
      <c r="G3658" s="1882" t="str">
        <f>IF('4M'!H35="","##BLANK",'4M'!H35)</f>
        <v>##BLANK</v>
      </c>
    </row>
    <row r="3659" spans="2:7">
      <c r="B3659" s="821" t="str">
        <f>+'4M'!BJ36</f>
        <v>S3024SWD</v>
      </c>
      <c r="D3659" s="1882"/>
      <c r="E3659" s="1628" t="s">
        <v>8339</v>
      </c>
      <c r="F3659" s="1882"/>
      <c r="G3659" s="1882" t="str">
        <f>IF('4M'!H36="","##BLANK",'4M'!H36)</f>
        <v>##BLANK</v>
      </c>
    </row>
    <row r="3660" spans="2:7">
      <c r="B3660" s="821" t="str">
        <f>+'4M'!BJ37</f>
        <v>S3A00001SWD</v>
      </c>
      <c r="D3660" s="1882"/>
      <c r="E3660" s="1628" t="s">
        <v>8339</v>
      </c>
      <c r="F3660" s="1882" t="str">
        <f>+'4M'!C$37</f>
        <v>Capital expenditure purpose - WASTEWATER additional line 1 [Other categories]</v>
      </c>
      <c r="G3660" s="1882" t="str">
        <f>IF('4M'!H37="","##BLANK",'4M'!H37)</f>
        <v>##BLANK</v>
      </c>
    </row>
    <row r="3661" spans="2:7">
      <c r="B3661" s="821" t="str">
        <f>+'4M'!BJ38</f>
        <v>S3A00002SWD</v>
      </c>
      <c r="D3661" s="1882"/>
      <c r="E3661" s="1628" t="s">
        <v>8339</v>
      </c>
      <c r="F3661" s="1882" t="str">
        <f>+'4M'!C$38</f>
        <v>Capital expenditure purpose - WASTEWATER additional line 2 [Other categories]</v>
      </c>
      <c r="G3661" s="1882" t="str">
        <f>IF('4M'!H38="","##BLANK",'4M'!H38)</f>
        <v>##BLANK</v>
      </c>
    </row>
    <row r="3662" spans="2:7">
      <c r="B3662" s="821" t="str">
        <f>+'4M'!BJ39</f>
        <v>S3A00003SWD</v>
      </c>
      <c r="D3662" s="1882"/>
      <c r="E3662" s="1628" t="s">
        <v>8339</v>
      </c>
      <c r="F3662" s="1882" t="str">
        <f>+'4M'!C$39</f>
        <v>Capital expenditure purpose - WASTEWATER additional line 3 [Other categories]</v>
      </c>
      <c r="G3662" s="1882" t="str">
        <f>IF('4M'!H39="","##BLANK",'4M'!H39)</f>
        <v>##BLANK</v>
      </c>
    </row>
    <row r="3663" spans="2:7">
      <c r="B3663" s="821" t="str">
        <f>+'4M'!BJ40</f>
        <v>S3A00004SWD</v>
      </c>
      <c r="D3663" s="1882"/>
      <c r="E3663" s="1628" t="s">
        <v>8339</v>
      </c>
      <c r="F3663" s="1882" t="str">
        <f>+'4M'!C$40</f>
        <v>Capital expenditure purpose - WASTEWATER additional line 4 [Other categories]</v>
      </c>
      <c r="G3663" s="1882" t="str">
        <f>IF('4M'!H40="","##BLANK",'4M'!H40)</f>
        <v>##BLANK</v>
      </c>
    </row>
    <row r="3664" spans="2:7">
      <c r="B3664" s="821" t="str">
        <f>+'4M'!BJ41</f>
        <v>S3A00005SWD</v>
      </c>
      <c r="D3664" s="1882"/>
      <c r="E3664" s="1628" t="s">
        <v>8339</v>
      </c>
      <c r="F3664" s="1882" t="str">
        <f>+'4M'!C$41</f>
        <v>Capital expenditure purpose - WASTEWATER additional line 5 [Other categories]</v>
      </c>
      <c r="G3664" s="1882" t="str">
        <f>IF('4M'!H41="","##BLANK",'4M'!H41)</f>
        <v>##BLANK</v>
      </c>
    </row>
    <row r="3665" spans="2:7">
      <c r="B3665" s="821" t="str">
        <f>+'4M'!BJ42</f>
        <v>S3A00006SWD</v>
      </c>
      <c r="D3665" s="1882"/>
      <c r="E3665" s="1628" t="s">
        <v>8339</v>
      </c>
      <c r="F3665" s="1882" t="str">
        <f>+'4M'!C$42</f>
        <v>Capital expenditure purpose - WASTEWATER additional line 6 [Other categories]</v>
      </c>
      <c r="G3665" s="1882" t="str">
        <f>IF('4M'!H42="","##BLANK",'4M'!H42)</f>
        <v>##BLANK</v>
      </c>
    </row>
    <row r="3666" spans="2:7">
      <c r="B3666" s="821" t="str">
        <f>+'4M'!BJ43</f>
        <v>S3A00007SWD</v>
      </c>
      <c r="D3666" s="1882"/>
      <c r="E3666" s="1628" t="s">
        <v>8339</v>
      </c>
      <c r="F3666" s="1882" t="str">
        <f>+'4M'!C$43</f>
        <v>Capital expenditure purpose - WASTEWATER additional line 7 [Other categories]</v>
      </c>
      <c r="G3666" s="1882" t="str">
        <f>IF('4M'!H43="","##BLANK",'4M'!H43)</f>
        <v>##BLANK</v>
      </c>
    </row>
    <row r="3667" spans="2:7">
      <c r="B3667" s="821" t="str">
        <f>+'4M'!BJ44</f>
        <v>S3A00008SWD</v>
      </c>
      <c r="D3667" s="1882"/>
      <c r="E3667" s="1628" t="s">
        <v>8339</v>
      </c>
      <c r="F3667" s="1882" t="str">
        <f>+'4M'!C$44</f>
        <v>Capital expenditure purpose - WASTEWATER additional line 8 [Other categories]</v>
      </c>
      <c r="G3667" s="1882" t="str">
        <f>IF('4M'!H44="","##BLANK",'4M'!H44)</f>
        <v>##BLANK</v>
      </c>
    </row>
    <row r="3668" spans="2:7">
      <c r="B3668" s="821" t="str">
        <f>+'4M'!BJ45</f>
        <v>S3A00009SWD</v>
      </c>
      <c r="D3668" s="1882"/>
      <c r="E3668" s="1628" t="s">
        <v>8339</v>
      </c>
      <c r="F3668" s="1882" t="str">
        <f>+'4M'!C$45</f>
        <v>Capital expenditure purpose - WASTEWATER additional line 9 [Other categories]</v>
      </c>
      <c r="G3668" s="1882" t="str">
        <f>IF('4M'!H45="","##BLANK",'4M'!H45)</f>
        <v>##BLANK</v>
      </c>
    </row>
    <row r="3669" spans="2:7">
      <c r="B3669" s="821" t="str">
        <f>+'4M'!BJ46</f>
        <v>S3A00010SWD</v>
      </c>
      <c r="D3669" s="1882"/>
      <c r="E3669" s="1628" t="s">
        <v>8339</v>
      </c>
      <c r="F3669" s="1882" t="str">
        <f>+'4M'!C$46</f>
        <v>Capital expenditure purpose - WASTEWATER additional line 10 [Other categories]</v>
      </c>
      <c r="G3669" s="1882" t="str">
        <f>IF('4M'!H46="","##BLANK",'4M'!H46)</f>
        <v>##BLANK</v>
      </c>
    </row>
    <row r="3670" spans="2:7">
      <c r="B3670" s="821" t="str">
        <f>+'4M'!BJ47</f>
        <v>S3A00011SWD</v>
      </c>
      <c r="D3670" s="1882"/>
      <c r="E3670" s="1628" t="s">
        <v>8339</v>
      </c>
      <c r="F3670" s="1882" t="str">
        <f>+'4M'!C$47</f>
        <v>Capital expenditure purpose - WASTEWATER additional line 11 [Other categories]</v>
      </c>
      <c r="G3670" s="1882" t="str">
        <f>IF('4M'!H47="","##BLANK",'4M'!H47)</f>
        <v>##BLANK</v>
      </c>
    </row>
    <row r="3671" spans="2:7">
      <c r="B3671" s="821" t="str">
        <f>+'4M'!BJ48</f>
        <v>S3A00012SWD</v>
      </c>
      <c r="D3671" s="1882"/>
      <c r="E3671" s="1628" t="s">
        <v>8339</v>
      </c>
      <c r="F3671" s="1882" t="str">
        <f>+'4M'!C$48</f>
        <v>Capital expenditure purpose - WASTEWATER additional line 12 [Other categories]</v>
      </c>
      <c r="G3671" s="1882" t="str">
        <f>IF('4M'!H48="","##BLANK",'4M'!H48)</f>
        <v>##BLANK</v>
      </c>
    </row>
    <row r="3672" spans="2:7">
      <c r="B3672" s="821" t="str">
        <f>+'4M'!BJ49</f>
        <v>S3A00013SWD</v>
      </c>
      <c r="D3672" s="1882"/>
      <c r="E3672" s="1628" t="s">
        <v>8339</v>
      </c>
      <c r="F3672" s="1882" t="str">
        <f>+'4M'!C$49</f>
        <v>Capital expenditure purpose - WASTEWATER additional line 13 [Other categories]</v>
      </c>
      <c r="G3672" s="1882" t="str">
        <f>IF('4M'!H49="","##BLANK",'4M'!H49)</f>
        <v>##BLANK</v>
      </c>
    </row>
    <row r="3673" spans="2:7">
      <c r="B3673" s="821" t="str">
        <f>+'4M'!BJ50</f>
        <v>S3A00014SWD</v>
      </c>
      <c r="D3673" s="1882"/>
      <c r="E3673" s="1628" t="s">
        <v>8339</v>
      </c>
      <c r="F3673" s="1882" t="str">
        <f>+'4M'!C$50</f>
        <v>Capital expenditure purpose - WASTEWATER additional line 14 [Other categories]</v>
      </c>
      <c r="G3673" s="1882" t="str">
        <f>IF('4M'!H50="","##BLANK",'4M'!H50)</f>
        <v>##BLANK</v>
      </c>
    </row>
    <row r="3674" spans="2:7">
      <c r="B3674" s="821" t="str">
        <f>+'4M'!BJ51</f>
        <v>S3A00015SWD</v>
      </c>
      <c r="D3674" s="1882"/>
      <c r="E3674" s="1628" t="s">
        <v>8339</v>
      </c>
      <c r="F3674" s="1882" t="str">
        <f>+'4M'!C$51</f>
        <v>Capital expenditure purpose - WASTEWATER additional line 15 [Other categories]</v>
      </c>
      <c r="G3674" s="1882" t="str">
        <f>IF('4M'!H51="","##BLANK",'4M'!H51)</f>
        <v>##BLANK</v>
      </c>
    </row>
    <row r="3675" spans="2:7">
      <c r="B3675" s="821" t="str">
        <f>+'4M'!BJ52</f>
        <v>S3025ENHSWD</v>
      </c>
      <c r="D3675" s="1882"/>
      <c r="E3675" s="1628" t="s">
        <v>8339</v>
      </c>
      <c r="F3675" s="1882"/>
      <c r="G3675" s="1882">
        <f>IF('4M'!H52="","##BLANK",'4M'!H52)</f>
        <v>0</v>
      </c>
    </row>
    <row r="3676" spans="2:7">
      <c r="B3676" s="821" t="str">
        <f>+'4M'!BK8</f>
        <v>BC31379HD</v>
      </c>
      <c r="D3676" s="1882"/>
      <c r="E3676" s="1628" t="s">
        <v>8339</v>
      </c>
      <c r="F3676" s="1882"/>
      <c r="G3676" s="1882" t="str">
        <f>IF('4M'!I8="","##BLANK",'4M'!I8)</f>
        <v>##BLANK</v>
      </c>
    </row>
    <row r="3677" spans="2:7">
      <c r="B3677" s="821" t="str">
        <f>+'4M'!BK9</f>
        <v>S3035QHD</v>
      </c>
      <c r="D3677" s="1882"/>
      <c r="E3677" s="1628" t="s">
        <v>8339</v>
      </c>
      <c r="F3677" s="1882"/>
      <c r="G3677" s="1882" t="str">
        <f>IF('4M'!I9="","##BLANK",'4M'!I9)</f>
        <v>##BLANK</v>
      </c>
    </row>
    <row r="3678" spans="2:7">
      <c r="B3678" s="821" t="str">
        <f>+'4M'!BK10</f>
        <v>S3036GHD</v>
      </c>
      <c r="D3678" s="1882"/>
      <c r="E3678" s="1628" t="s">
        <v>8339</v>
      </c>
      <c r="F3678" s="1882"/>
      <c r="G3678" s="1882" t="str">
        <f>IF('4M'!I10="","##BLANK",'4M'!I10)</f>
        <v>##BLANK</v>
      </c>
    </row>
    <row r="3679" spans="2:7">
      <c r="B3679" s="821" t="str">
        <f>+'4M'!BK11</f>
        <v>S3004HD</v>
      </c>
      <c r="D3679" s="1882"/>
      <c r="E3679" s="1628" t="s">
        <v>8339</v>
      </c>
      <c r="F3679" s="1882"/>
      <c r="G3679" s="1882" t="str">
        <f>IF('4M'!I11="","##BLANK",'4M'!I11)</f>
        <v>##BLANK</v>
      </c>
    </row>
    <row r="3680" spans="2:7">
      <c r="B3680" s="821" t="str">
        <f>+'4M'!BK12</f>
        <v>WWS2001HD</v>
      </c>
      <c r="D3680" s="1882"/>
      <c r="E3680" s="1628" t="s">
        <v>8339</v>
      </c>
      <c r="F3680" s="1882"/>
      <c r="G3680" s="1882" t="str">
        <f>IF('4M'!I12="","##BLANK",'4M'!I12)</f>
        <v>##BLANK</v>
      </c>
    </row>
    <row r="3681" spans="2:7">
      <c r="B3681" s="821" t="str">
        <f>+'4M'!BK13</f>
        <v>S3005HD</v>
      </c>
      <c r="D3681" s="1882"/>
      <c r="E3681" s="1628" t="s">
        <v>8339</v>
      </c>
      <c r="F3681" s="1882"/>
      <c r="G3681" s="1882" t="str">
        <f>IF('4M'!I13="","##BLANK",'4M'!I13)</f>
        <v>##BLANK</v>
      </c>
    </row>
    <row r="3682" spans="2:7">
      <c r="B3682" s="821" t="str">
        <f>+'4M'!BK14</f>
        <v>S3006HD</v>
      </c>
      <c r="D3682" s="1882"/>
      <c r="E3682" s="1628" t="s">
        <v>8339</v>
      </c>
      <c r="F3682" s="1882"/>
      <c r="G3682" s="1882" t="str">
        <f>IF('4M'!I14="","##BLANK",'4M'!I14)</f>
        <v>##BLANK</v>
      </c>
    </row>
    <row r="3683" spans="2:7">
      <c r="B3683" s="821" t="str">
        <f>+'4M'!BK15</f>
        <v>S3007HD</v>
      </c>
      <c r="D3683" s="1882"/>
      <c r="E3683" s="1628" t="s">
        <v>8339</v>
      </c>
      <c r="F3683" s="1882"/>
      <c r="G3683" s="1882" t="str">
        <f>IF('4M'!I15="","##BLANK",'4M'!I15)</f>
        <v>##BLANK</v>
      </c>
    </row>
    <row r="3684" spans="2:7">
      <c r="B3684" s="821" t="str">
        <f>+'4M'!BK16</f>
        <v>WWS2002HD</v>
      </c>
      <c r="D3684" s="1882"/>
      <c r="E3684" s="1628" t="s">
        <v>8339</v>
      </c>
      <c r="F3684" s="1882"/>
      <c r="G3684" s="1882" t="str">
        <f>IF('4M'!I16="","##BLANK",'4M'!I16)</f>
        <v>##BLANK</v>
      </c>
    </row>
    <row r="3685" spans="2:7">
      <c r="B3685" s="821" t="str">
        <f>+'4M'!BK17</f>
        <v>WWS2003HD</v>
      </c>
      <c r="D3685" s="1882"/>
      <c r="E3685" s="1628" t="s">
        <v>8339</v>
      </c>
      <c r="F3685" s="1882"/>
      <c r="G3685" s="1882" t="str">
        <f>IF('4M'!I17="","##BLANK",'4M'!I17)</f>
        <v>##BLANK</v>
      </c>
    </row>
    <row r="3686" spans="2:7">
      <c r="B3686" s="821" t="str">
        <f>+'4M'!BK18</f>
        <v>S3008HD</v>
      </c>
      <c r="D3686" s="1882"/>
      <c r="E3686" s="1628" t="s">
        <v>8339</v>
      </c>
      <c r="F3686" s="1882"/>
      <c r="G3686" s="1882" t="str">
        <f>IF('4M'!I18="","##BLANK",'4M'!I18)</f>
        <v>##BLANK</v>
      </c>
    </row>
    <row r="3687" spans="2:7">
      <c r="B3687" s="821" t="str">
        <f>+'4M'!BK19</f>
        <v>S3009HD</v>
      </c>
      <c r="D3687" s="1882"/>
      <c r="E3687" s="1628" t="s">
        <v>8339</v>
      </c>
      <c r="F3687" s="1882"/>
      <c r="G3687" s="1882" t="str">
        <f>IF('4M'!I19="","##BLANK",'4M'!I19)</f>
        <v>##BLANK</v>
      </c>
    </row>
    <row r="3688" spans="2:7">
      <c r="B3688" s="821" t="str">
        <f>+'4M'!BK20</f>
        <v>WWS2007HD</v>
      </c>
      <c r="D3688" s="1882"/>
      <c r="E3688" s="1628" t="s">
        <v>8339</v>
      </c>
      <c r="F3688" s="1882"/>
      <c r="G3688" s="1882" t="str">
        <f>IF('4M'!I20="","##BLANK",'4M'!I20)</f>
        <v>##BLANK</v>
      </c>
    </row>
    <row r="3689" spans="2:7">
      <c r="B3689" s="821" t="str">
        <f>+'4M'!BK21</f>
        <v>S3010HD</v>
      </c>
      <c r="D3689" s="1882"/>
      <c r="E3689" s="1628" t="s">
        <v>8339</v>
      </c>
      <c r="F3689" s="1882"/>
      <c r="G3689" s="1882" t="str">
        <f>IF('4M'!I21="","##BLANK",'4M'!I21)</f>
        <v>##BLANK</v>
      </c>
    </row>
    <row r="3690" spans="2:7">
      <c r="B3690" s="821" t="str">
        <f>+'4M'!BK22</f>
        <v>S3011HD</v>
      </c>
      <c r="D3690" s="1882"/>
      <c r="E3690" s="1628" t="s">
        <v>8339</v>
      </c>
      <c r="F3690" s="1882"/>
      <c r="G3690" s="1882" t="str">
        <f>IF('4M'!I22="","##BLANK",'4M'!I22)</f>
        <v>##BLANK</v>
      </c>
    </row>
    <row r="3691" spans="2:7">
      <c r="B3691" s="821" t="str">
        <f>+'4M'!BK23</f>
        <v>S3012HD</v>
      </c>
      <c r="D3691" s="1882"/>
      <c r="E3691" s="1628" t="s">
        <v>8339</v>
      </c>
      <c r="F3691" s="1882"/>
      <c r="G3691" s="1882" t="str">
        <f>IF('4M'!I23="","##BLANK",'4M'!I23)</f>
        <v>##BLANK</v>
      </c>
    </row>
    <row r="3692" spans="2:7">
      <c r="B3692" s="821" t="str">
        <f>+'4M'!BK24</f>
        <v>S3013HD</v>
      </c>
      <c r="D3692" s="1882"/>
      <c r="E3692" s="1628" t="s">
        <v>8339</v>
      </c>
      <c r="F3692" s="1882"/>
      <c r="G3692" s="1882" t="str">
        <f>IF('4M'!I24="","##BLANK",'4M'!I24)</f>
        <v>##BLANK</v>
      </c>
    </row>
    <row r="3693" spans="2:7">
      <c r="B3693" s="821" t="str">
        <f>+'4M'!BK25</f>
        <v>S3014HD</v>
      </c>
      <c r="D3693" s="1882"/>
      <c r="E3693" s="1628" t="s">
        <v>8339</v>
      </c>
      <c r="F3693" s="1882"/>
      <c r="G3693" s="1882" t="str">
        <f>IF('4M'!I25="","##BLANK",'4M'!I25)</f>
        <v>##BLANK</v>
      </c>
    </row>
    <row r="3694" spans="2:7">
      <c r="B3694" s="821" t="str">
        <f>+'4M'!BK26</f>
        <v>S3015HD</v>
      </c>
      <c r="D3694" s="1882"/>
      <c r="E3694" s="1628" t="s">
        <v>8339</v>
      </c>
      <c r="F3694" s="1882"/>
      <c r="G3694" s="1882" t="str">
        <f>IF('4M'!I26="","##BLANK",'4M'!I26)</f>
        <v>##BLANK</v>
      </c>
    </row>
    <row r="3695" spans="2:7">
      <c r="B3695" s="821" t="str">
        <f>+'4M'!BK27</f>
        <v>S3016HD</v>
      </c>
      <c r="D3695" s="1882"/>
      <c r="E3695" s="1628" t="s">
        <v>8339</v>
      </c>
      <c r="F3695" s="1882"/>
      <c r="G3695" s="1882" t="str">
        <f>IF('4M'!I27="","##BLANK",'4M'!I27)</f>
        <v>##BLANK</v>
      </c>
    </row>
    <row r="3696" spans="2:7">
      <c r="B3696" s="821" t="str">
        <f>+'4M'!BK28</f>
        <v>S3017HD</v>
      </c>
      <c r="D3696" s="1882"/>
      <c r="E3696" s="1628" t="s">
        <v>8339</v>
      </c>
      <c r="F3696" s="1882"/>
      <c r="G3696" s="1882" t="str">
        <f>IF('4M'!I28="","##BLANK",'4M'!I28)</f>
        <v>##BLANK</v>
      </c>
    </row>
    <row r="3697" spans="2:7">
      <c r="B3697" s="821" t="str">
        <f>+'4M'!BK29</f>
        <v>S3018HD</v>
      </c>
      <c r="D3697" s="1882"/>
      <c r="E3697" s="1628" t="s">
        <v>8339</v>
      </c>
      <c r="F3697" s="1882"/>
      <c r="G3697" s="1882" t="str">
        <f>IF('4M'!I29="","##BLANK",'4M'!I29)</f>
        <v>##BLANK</v>
      </c>
    </row>
    <row r="3698" spans="2:7">
      <c r="B3698" s="821" t="str">
        <f>+'4M'!BK30</f>
        <v>S3019HD</v>
      </c>
      <c r="D3698" s="1882"/>
      <c r="E3698" s="1628" t="s">
        <v>8339</v>
      </c>
      <c r="F3698" s="1882"/>
      <c r="G3698" s="1882" t="str">
        <f>IF('4M'!I30="","##BLANK",'4M'!I30)</f>
        <v>##BLANK</v>
      </c>
    </row>
    <row r="3699" spans="2:7">
      <c r="B3699" s="821" t="str">
        <f>+'4M'!BK31</f>
        <v>S3020HD</v>
      </c>
      <c r="D3699" s="1882"/>
      <c r="E3699" s="1628" t="s">
        <v>8339</v>
      </c>
      <c r="F3699" s="1882"/>
      <c r="G3699" s="1882" t="str">
        <f>IF('4M'!I31="","##BLANK",'4M'!I31)</f>
        <v>##BLANK</v>
      </c>
    </row>
    <row r="3700" spans="2:7">
      <c r="B3700" s="821" t="str">
        <f>+'4M'!BK32</f>
        <v>S3021HD</v>
      </c>
      <c r="D3700" s="1882"/>
      <c r="E3700" s="1628" t="s">
        <v>8339</v>
      </c>
      <c r="F3700" s="1882"/>
      <c r="G3700" s="1882" t="str">
        <f>IF('4M'!I32="","##BLANK",'4M'!I32)</f>
        <v>##BLANK</v>
      </c>
    </row>
    <row r="3701" spans="2:7">
      <c r="B3701" s="821" t="str">
        <f>+'4M'!BK33</f>
        <v>S3022HD</v>
      </c>
      <c r="D3701" s="1882"/>
      <c r="E3701" s="1628" t="s">
        <v>8339</v>
      </c>
      <c r="F3701" s="1882"/>
      <c r="G3701" s="1882" t="str">
        <f>IF('4M'!I33="","##BLANK",'4M'!I33)</f>
        <v>##BLANK</v>
      </c>
    </row>
    <row r="3702" spans="2:7">
      <c r="B3702" s="821" t="str">
        <f>+'4M'!BK34</f>
        <v>BC31785HD</v>
      </c>
      <c r="D3702" s="1882"/>
      <c r="E3702" s="1628" t="s">
        <v>8339</v>
      </c>
      <c r="F3702" s="1882"/>
      <c r="G3702" s="1882" t="str">
        <f>IF('4M'!I34="","##BLANK",'4M'!I34)</f>
        <v>##BLANK</v>
      </c>
    </row>
    <row r="3703" spans="2:7">
      <c r="B3703" s="821" t="str">
        <f>+'4M'!BK35</f>
        <v>S3023HD</v>
      </c>
      <c r="D3703" s="1882"/>
      <c r="E3703" s="1628" t="s">
        <v>8339</v>
      </c>
      <c r="F3703" s="1882"/>
      <c r="G3703" s="1882" t="str">
        <f>IF('4M'!I35="","##BLANK",'4M'!I35)</f>
        <v>##BLANK</v>
      </c>
    </row>
    <row r="3704" spans="2:7">
      <c r="B3704" s="821" t="str">
        <f>+'4M'!BK36</f>
        <v>S3024HD</v>
      </c>
      <c r="D3704" s="1882"/>
      <c r="E3704" s="1628" t="s">
        <v>8339</v>
      </c>
      <c r="F3704" s="1882"/>
      <c r="G3704" s="1882" t="str">
        <f>IF('4M'!I36="","##BLANK",'4M'!I36)</f>
        <v>##BLANK</v>
      </c>
    </row>
    <row r="3705" spans="2:7">
      <c r="B3705" s="821" t="str">
        <f>+'4M'!BK37</f>
        <v>S3A00001HD</v>
      </c>
      <c r="D3705" s="1882"/>
      <c r="E3705" s="1628" t="s">
        <v>8339</v>
      </c>
      <c r="F3705" s="1882" t="str">
        <f>+'4M'!C$37</f>
        <v>Capital expenditure purpose - WASTEWATER additional line 1 [Other categories]</v>
      </c>
      <c r="G3705" s="1882" t="str">
        <f>IF('4M'!I37="","##BLANK",'4M'!I37)</f>
        <v>##BLANK</v>
      </c>
    </row>
    <row r="3706" spans="2:7">
      <c r="B3706" s="821" t="str">
        <f>+'4M'!BK38</f>
        <v>S3A00002HD</v>
      </c>
      <c r="D3706" s="1882"/>
      <c r="E3706" s="1628" t="s">
        <v>8339</v>
      </c>
      <c r="F3706" s="1882" t="str">
        <f>+'4M'!C$38</f>
        <v>Capital expenditure purpose - WASTEWATER additional line 2 [Other categories]</v>
      </c>
      <c r="G3706" s="1882" t="str">
        <f>IF('4M'!I38="","##BLANK",'4M'!I38)</f>
        <v>##BLANK</v>
      </c>
    </row>
    <row r="3707" spans="2:7">
      <c r="B3707" s="821" t="str">
        <f>+'4M'!BK39</f>
        <v>S3A00003HD</v>
      </c>
      <c r="D3707" s="1882"/>
      <c r="E3707" s="1628" t="s">
        <v>8339</v>
      </c>
      <c r="F3707" s="1882" t="str">
        <f>+'4M'!C$39</f>
        <v>Capital expenditure purpose - WASTEWATER additional line 3 [Other categories]</v>
      </c>
      <c r="G3707" s="1882" t="str">
        <f>IF('4M'!I39="","##BLANK",'4M'!I39)</f>
        <v>##BLANK</v>
      </c>
    </row>
    <row r="3708" spans="2:7">
      <c r="B3708" s="821" t="str">
        <f>+'4M'!BK40</f>
        <v>S3A00004HD</v>
      </c>
      <c r="D3708" s="1882"/>
      <c r="E3708" s="1628" t="s">
        <v>8339</v>
      </c>
      <c r="F3708" s="1882" t="str">
        <f>+'4M'!C$40</f>
        <v>Capital expenditure purpose - WASTEWATER additional line 4 [Other categories]</v>
      </c>
      <c r="G3708" s="1882" t="str">
        <f>IF('4M'!I40="","##BLANK",'4M'!I40)</f>
        <v>##BLANK</v>
      </c>
    </row>
    <row r="3709" spans="2:7">
      <c r="B3709" s="821" t="str">
        <f>+'4M'!BK41</f>
        <v>S3A00005HD</v>
      </c>
      <c r="D3709" s="1882"/>
      <c r="E3709" s="1628" t="s">
        <v>8339</v>
      </c>
      <c r="F3709" s="1882" t="str">
        <f>+'4M'!C$41</f>
        <v>Capital expenditure purpose - WASTEWATER additional line 5 [Other categories]</v>
      </c>
      <c r="G3709" s="1882" t="str">
        <f>IF('4M'!I41="","##BLANK",'4M'!I41)</f>
        <v>##BLANK</v>
      </c>
    </row>
    <row r="3710" spans="2:7">
      <c r="B3710" s="821" t="str">
        <f>+'4M'!BK42</f>
        <v>S3A00006HD</v>
      </c>
      <c r="D3710" s="1882"/>
      <c r="E3710" s="1628" t="s">
        <v>8339</v>
      </c>
      <c r="F3710" s="1882" t="str">
        <f>+'4M'!C$42</f>
        <v>Capital expenditure purpose - WASTEWATER additional line 6 [Other categories]</v>
      </c>
      <c r="G3710" s="1882" t="str">
        <f>IF('4M'!I42="","##BLANK",'4M'!I42)</f>
        <v>##BLANK</v>
      </c>
    </row>
    <row r="3711" spans="2:7">
      <c r="B3711" s="821" t="str">
        <f>+'4M'!BK43</f>
        <v>S3A00007HD</v>
      </c>
      <c r="D3711" s="1882"/>
      <c r="E3711" s="1628" t="s">
        <v>8339</v>
      </c>
      <c r="F3711" s="1882" t="str">
        <f>+'4M'!C$43</f>
        <v>Capital expenditure purpose - WASTEWATER additional line 7 [Other categories]</v>
      </c>
      <c r="G3711" s="1882" t="str">
        <f>IF('4M'!I43="","##BLANK",'4M'!I43)</f>
        <v>##BLANK</v>
      </c>
    </row>
    <row r="3712" spans="2:7">
      <c r="B3712" s="821" t="str">
        <f>+'4M'!BK44</f>
        <v>S3A00008HD</v>
      </c>
      <c r="D3712" s="1882"/>
      <c r="E3712" s="1628" t="s">
        <v>8339</v>
      </c>
      <c r="F3712" s="1882" t="str">
        <f>+'4M'!C$44</f>
        <v>Capital expenditure purpose - WASTEWATER additional line 8 [Other categories]</v>
      </c>
      <c r="G3712" s="1882" t="str">
        <f>IF('4M'!I44="","##BLANK",'4M'!I44)</f>
        <v>##BLANK</v>
      </c>
    </row>
    <row r="3713" spans="2:7">
      <c r="B3713" s="821" t="str">
        <f>+'4M'!BK45</f>
        <v>S3A00009HD</v>
      </c>
      <c r="D3713" s="1882"/>
      <c r="E3713" s="1628" t="s">
        <v>8339</v>
      </c>
      <c r="F3713" s="1882" t="str">
        <f>+'4M'!C$45</f>
        <v>Capital expenditure purpose - WASTEWATER additional line 9 [Other categories]</v>
      </c>
      <c r="G3713" s="1882" t="str">
        <f>IF('4M'!I45="","##BLANK",'4M'!I45)</f>
        <v>##BLANK</v>
      </c>
    </row>
    <row r="3714" spans="2:7">
      <c r="B3714" s="821" t="str">
        <f>+'4M'!BK46</f>
        <v>S3A00010HD</v>
      </c>
      <c r="D3714" s="1882"/>
      <c r="E3714" s="1628" t="s">
        <v>8339</v>
      </c>
      <c r="F3714" s="1882" t="str">
        <f>+'4M'!C$46</f>
        <v>Capital expenditure purpose - WASTEWATER additional line 10 [Other categories]</v>
      </c>
      <c r="G3714" s="1882" t="str">
        <f>IF('4M'!I46="","##BLANK",'4M'!I46)</f>
        <v>##BLANK</v>
      </c>
    </row>
    <row r="3715" spans="2:7">
      <c r="B3715" s="821" t="str">
        <f>+'4M'!BK47</f>
        <v>S3A00011HD</v>
      </c>
      <c r="D3715" s="1882"/>
      <c r="E3715" s="1628" t="s">
        <v>8339</v>
      </c>
      <c r="F3715" s="1882" t="str">
        <f>+'4M'!C$47</f>
        <v>Capital expenditure purpose - WASTEWATER additional line 11 [Other categories]</v>
      </c>
      <c r="G3715" s="1882" t="str">
        <f>IF('4M'!I47="","##BLANK",'4M'!I47)</f>
        <v>##BLANK</v>
      </c>
    </row>
    <row r="3716" spans="2:7">
      <c r="B3716" s="821" t="str">
        <f>+'4M'!BK48</f>
        <v>S3A00012HD</v>
      </c>
      <c r="D3716" s="1882"/>
      <c r="E3716" s="1628" t="s">
        <v>8339</v>
      </c>
      <c r="F3716" s="1882" t="str">
        <f>+'4M'!C$48</f>
        <v>Capital expenditure purpose - WASTEWATER additional line 12 [Other categories]</v>
      </c>
      <c r="G3716" s="1882" t="str">
        <f>IF('4M'!I48="","##BLANK",'4M'!I48)</f>
        <v>##BLANK</v>
      </c>
    </row>
    <row r="3717" spans="2:7">
      <c r="B3717" s="821" t="str">
        <f>+'4M'!BK49</f>
        <v>S3A00013HD</v>
      </c>
      <c r="D3717" s="1882"/>
      <c r="E3717" s="1628" t="s">
        <v>8339</v>
      </c>
      <c r="F3717" s="1882" t="str">
        <f>+'4M'!C$49</f>
        <v>Capital expenditure purpose - WASTEWATER additional line 13 [Other categories]</v>
      </c>
      <c r="G3717" s="1882" t="str">
        <f>IF('4M'!I49="","##BLANK",'4M'!I49)</f>
        <v>##BLANK</v>
      </c>
    </row>
    <row r="3718" spans="2:7">
      <c r="B3718" s="821" t="str">
        <f>+'4M'!BK50</f>
        <v>S3A00014HD</v>
      </c>
      <c r="D3718" s="1882"/>
      <c r="E3718" s="1628" t="s">
        <v>8339</v>
      </c>
      <c r="F3718" s="1882" t="str">
        <f>+'4M'!C$50</f>
        <v>Capital expenditure purpose - WASTEWATER additional line 14 [Other categories]</v>
      </c>
      <c r="G3718" s="1882" t="str">
        <f>IF('4M'!I50="","##BLANK",'4M'!I50)</f>
        <v>##BLANK</v>
      </c>
    </row>
    <row r="3719" spans="2:7">
      <c r="B3719" s="821" t="str">
        <f>+'4M'!BK51</f>
        <v>S3A00015HD</v>
      </c>
      <c r="D3719" s="1882"/>
      <c r="E3719" s="1628" t="s">
        <v>8339</v>
      </c>
      <c r="F3719" s="1882" t="str">
        <f>+'4M'!C$51</f>
        <v>Capital expenditure purpose - WASTEWATER additional line 15 [Other categories]</v>
      </c>
      <c r="G3719" s="1882" t="str">
        <f>IF('4M'!I51="","##BLANK",'4M'!I51)</f>
        <v>##BLANK</v>
      </c>
    </row>
    <row r="3720" spans="2:7">
      <c r="B3720" s="821" t="str">
        <f>+'4M'!BK52</f>
        <v>S3025ENHHD</v>
      </c>
      <c r="D3720" s="1882"/>
      <c r="E3720" s="1628" t="s">
        <v>8339</v>
      </c>
      <c r="F3720" s="1882"/>
      <c r="G3720" s="1882">
        <f>IF('4M'!I52="","##BLANK",'4M'!I52)</f>
        <v>0</v>
      </c>
    </row>
    <row r="3721" spans="2:7">
      <c r="B3721" s="821" t="str">
        <f>+'4M'!BL8</f>
        <v>BC31379STD</v>
      </c>
      <c r="D3721" s="1882"/>
      <c r="E3721" s="1628" t="s">
        <v>8339</v>
      </c>
      <c r="F3721" s="1882"/>
      <c r="G3721" s="1882" t="str">
        <f>IF('4M'!J8="","##BLANK",'4M'!J8)</f>
        <v>##BLANK</v>
      </c>
    </row>
    <row r="3722" spans="2:7">
      <c r="B3722" s="821" t="str">
        <f>+'4M'!BL9</f>
        <v>S3035QSTD</v>
      </c>
      <c r="D3722" s="1882"/>
      <c r="E3722" s="1628" t="s">
        <v>8339</v>
      </c>
      <c r="F3722" s="1882"/>
      <c r="G3722" s="1882" t="str">
        <f>IF('4M'!J9="","##BLANK",'4M'!J9)</f>
        <v>##BLANK</v>
      </c>
    </row>
    <row r="3723" spans="2:7">
      <c r="B3723" s="821" t="str">
        <f>+'4M'!BL10</f>
        <v>S3036GSTD</v>
      </c>
      <c r="D3723" s="1882"/>
      <c r="E3723" s="1628" t="s">
        <v>8339</v>
      </c>
      <c r="F3723" s="1882"/>
      <c r="G3723" s="1882" t="str">
        <f>IF('4M'!J10="","##BLANK",'4M'!J10)</f>
        <v>##BLANK</v>
      </c>
    </row>
    <row r="3724" spans="2:7">
      <c r="B3724" s="821" t="str">
        <f>+'4M'!BL11</f>
        <v>S3004STD</v>
      </c>
      <c r="D3724" s="1882"/>
      <c r="E3724" s="1628" t="s">
        <v>8339</v>
      </c>
      <c r="F3724" s="1882"/>
      <c r="G3724" s="1882" t="str">
        <f>IF('4M'!J11="","##BLANK",'4M'!J11)</f>
        <v>##BLANK</v>
      </c>
    </row>
    <row r="3725" spans="2:7">
      <c r="B3725" s="821" t="str">
        <f>+'4M'!BL12</f>
        <v>WWS2001STD</v>
      </c>
      <c r="D3725" s="1882"/>
      <c r="E3725" s="1628" t="s">
        <v>8339</v>
      </c>
      <c r="F3725" s="1882"/>
      <c r="G3725" s="1882" t="str">
        <f>IF('4M'!J12="","##BLANK",'4M'!J12)</f>
        <v>##BLANK</v>
      </c>
    </row>
    <row r="3726" spans="2:7">
      <c r="B3726" s="821" t="str">
        <f>+'4M'!BL13</f>
        <v>S3005STD</v>
      </c>
      <c r="D3726" s="1882"/>
      <c r="E3726" s="1628" t="s">
        <v>8339</v>
      </c>
      <c r="F3726" s="1882"/>
      <c r="G3726" s="1882" t="str">
        <f>IF('4M'!J13="","##BLANK",'4M'!J13)</f>
        <v>##BLANK</v>
      </c>
    </row>
    <row r="3727" spans="2:7">
      <c r="B3727" s="821" t="str">
        <f>+'4M'!BL14</f>
        <v>S3006STD</v>
      </c>
      <c r="D3727" s="1882"/>
      <c r="E3727" s="1628" t="s">
        <v>8339</v>
      </c>
      <c r="F3727" s="1882"/>
      <c r="G3727" s="1882" t="str">
        <f>IF('4M'!J14="","##BLANK",'4M'!J14)</f>
        <v>##BLANK</v>
      </c>
    </row>
    <row r="3728" spans="2:7">
      <c r="B3728" s="821" t="str">
        <f>+'4M'!BL15</f>
        <v>S3007STD</v>
      </c>
      <c r="D3728" s="1882"/>
      <c r="E3728" s="1628" t="s">
        <v>8339</v>
      </c>
      <c r="F3728" s="1882"/>
      <c r="G3728" s="1882" t="str">
        <f>IF('4M'!J15="","##BLANK",'4M'!J15)</f>
        <v>##BLANK</v>
      </c>
    </row>
    <row r="3729" spans="2:7">
      <c r="B3729" s="821" t="str">
        <f>+'4M'!BL16</f>
        <v>WWS2002STD</v>
      </c>
      <c r="D3729" s="1882"/>
      <c r="E3729" s="1628" t="s">
        <v>8339</v>
      </c>
      <c r="F3729" s="1882"/>
      <c r="G3729" s="1882" t="str">
        <f>IF('4M'!J16="","##BLANK",'4M'!J16)</f>
        <v>##BLANK</v>
      </c>
    </row>
    <row r="3730" spans="2:7">
      <c r="B3730" s="821" t="str">
        <f>+'4M'!BL17</f>
        <v>WWS2003STD</v>
      </c>
      <c r="D3730" s="1882"/>
      <c r="E3730" s="1628" t="s">
        <v>8339</v>
      </c>
      <c r="F3730" s="1882"/>
      <c r="G3730" s="1882" t="str">
        <f>IF('4M'!J17="","##BLANK",'4M'!J17)</f>
        <v>##BLANK</v>
      </c>
    </row>
    <row r="3731" spans="2:7">
      <c r="B3731" s="821" t="str">
        <f>+'4M'!BL18</f>
        <v>S3008STD</v>
      </c>
      <c r="D3731" s="1882"/>
      <c r="E3731" s="1628" t="s">
        <v>8339</v>
      </c>
      <c r="F3731" s="1882"/>
      <c r="G3731" s="1882" t="str">
        <f>IF('4M'!J18="","##BLANK",'4M'!J18)</f>
        <v>##BLANK</v>
      </c>
    </row>
    <row r="3732" spans="2:7">
      <c r="B3732" s="821" t="str">
        <f>+'4M'!BL19</f>
        <v>S3009STD</v>
      </c>
      <c r="D3732" s="1882"/>
      <c r="E3732" s="1628" t="s">
        <v>8339</v>
      </c>
      <c r="F3732" s="1882"/>
      <c r="G3732" s="1882" t="str">
        <f>IF('4M'!J19="","##BLANK",'4M'!J19)</f>
        <v>##BLANK</v>
      </c>
    </row>
    <row r="3733" spans="2:7">
      <c r="B3733" s="821" t="str">
        <f>+'4M'!BL20</f>
        <v>WWS2007STD</v>
      </c>
      <c r="D3733" s="1882"/>
      <c r="E3733" s="1628" t="s">
        <v>8339</v>
      </c>
      <c r="F3733" s="1882"/>
      <c r="G3733" s="1882" t="str">
        <f>IF('4M'!J20="","##BLANK",'4M'!J20)</f>
        <v>##BLANK</v>
      </c>
    </row>
    <row r="3734" spans="2:7">
      <c r="B3734" s="821" t="str">
        <f>+'4M'!BL21</f>
        <v>S3010STD</v>
      </c>
      <c r="D3734" s="1882"/>
      <c r="E3734" s="1628" t="s">
        <v>8339</v>
      </c>
      <c r="F3734" s="1882"/>
      <c r="G3734" s="1882" t="str">
        <f>IF('4M'!J21="","##BLANK",'4M'!J21)</f>
        <v>##BLANK</v>
      </c>
    </row>
    <row r="3735" spans="2:7">
      <c r="B3735" s="821" t="str">
        <f>+'4M'!BL22</f>
        <v>S3011STD</v>
      </c>
      <c r="D3735" s="1882"/>
      <c r="E3735" s="1628" t="s">
        <v>8339</v>
      </c>
      <c r="F3735" s="1882"/>
      <c r="G3735" s="1882" t="str">
        <f>IF('4M'!J22="","##BLANK",'4M'!J22)</f>
        <v>##BLANK</v>
      </c>
    </row>
    <row r="3736" spans="2:7">
      <c r="B3736" s="821" t="str">
        <f>+'4M'!BL23</f>
        <v>S3012STD</v>
      </c>
      <c r="D3736" s="1882"/>
      <c r="E3736" s="1628" t="s">
        <v>8339</v>
      </c>
      <c r="F3736" s="1882"/>
      <c r="G3736" s="1882" t="str">
        <f>IF('4M'!J23="","##BLANK",'4M'!J23)</f>
        <v>##BLANK</v>
      </c>
    </row>
    <row r="3737" spans="2:7">
      <c r="B3737" s="821" t="str">
        <f>+'4M'!BL24</f>
        <v>S3013STD</v>
      </c>
      <c r="D3737" s="1882"/>
      <c r="E3737" s="1628" t="s">
        <v>8339</v>
      </c>
      <c r="F3737" s="1882"/>
      <c r="G3737" s="1882" t="str">
        <f>IF('4M'!J24="","##BLANK",'4M'!J24)</f>
        <v>##BLANK</v>
      </c>
    </row>
    <row r="3738" spans="2:7">
      <c r="B3738" s="821" t="str">
        <f>+'4M'!BL25</f>
        <v>S3014STD</v>
      </c>
      <c r="D3738" s="1882"/>
      <c r="E3738" s="1628" t="s">
        <v>8339</v>
      </c>
      <c r="F3738" s="1882"/>
      <c r="G3738" s="1882" t="str">
        <f>IF('4M'!J25="","##BLANK",'4M'!J25)</f>
        <v>##BLANK</v>
      </c>
    </row>
    <row r="3739" spans="2:7">
      <c r="B3739" s="821" t="str">
        <f>+'4M'!BL26</f>
        <v>S3015STD</v>
      </c>
      <c r="D3739" s="1882"/>
      <c r="E3739" s="1628" t="s">
        <v>8339</v>
      </c>
      <c r="F3739" s="1882"/>
      <c r="G3739" s="1882" t="str">
        <f>IF('4M'!J26="","##BLANK",'4M'!J26)</f>
        <v>##BLANK</v>
      </c>
    </row>
    <row r="3740" spans="2:7">
      <c r="B3740" s="821" t="str">
        <f>+'4M'!BL27</f>
        <v>S3016STD</v>
      </c>
      <c r="D3740" s="1882"/>
      <c r="E3740" s="1628" t="s">
        <v>8339</v>
      </c>
      <c r="F3740" s="1882"/>
      <c r="G3740" s="1882" t="str">
        <f>IF('4M'!J27="","##BLANK",'4M'!J27)</f>
        <v>##BLANK</v>
      </c>
    </row>
    <row r="3741" spans="2:7">
      <c r="B3741" s="821" t="str">
        <f>+'4M'!BL28</f>
        <v>S3017STD</v>
      </c>
      <c r="D3741" s="1882"/>
      <c r="E3741" s="1628" t="s">
        <v>8339</v>
      </c>
      <c r="F3741" s="1882"/>
      <c r="G3741" s="1882" t="str">
        <f>IF('4M'!J28="","##BLANK",'4M'!J28)</f>
        <v>##BLANK</v>
      </c>
    </row>
    <row r="3742" spans="2:7">
      <c r="B3742" s="821" t="str">
        <f>+'4M'!BL29</f>
        <v>S3018STD</v>
      </c>
      <c r="D3742" s="1882"/>
      <c r="E3742" s="1628" t="s">
        <v>8339</v>
      </c>
      <c r="F3742" s="1882"/>
      <c r="G3742" s="1882" t="str">
        <f>IF('4M'!J29="","##BLANK",'4M'!J29)</f>
        <v>##BLANK</v>
      </c>
    </row>
    <row r="3743" spans="2:7">
      <c r="B3743" s="821" t="str">
        <f>+'4M'!BL30</f>
        <v>S3019STD</v>
      </c>
      <c r="D3743" s="1882"/>
      <c r="E3743" s="1628" t="s">
        <v>8339</v>
      </c>
      <c r="F3743" s="1882"/>
      <c r="G3743" s="1882" t="str">
        <f>IF('4M'!J30="","##BLANK",'4M'!J30)</f>
        <v>##BLANK</v>
      </c>
    </row>
    <row r="3744" spans="2:7">
      <c r="B3744" s="821" t="str">
        <f>+'4M'!BL31</f>
        <v>S3020STD</v>
      </c>
      <c r="D3744" s="1882"/>
      <c r="E3744" s="1628" t="s">
        <v>8339</v>
      </c>
      <c r="F3744" s="1882"/>
      <c r="G3744" s="1882" t="str">
        <f>IF('4M'!J31="","##BLANK",'4M'!J31)</f>
        <v>##BLANK</v>
      </c>
    </row>
    <row r="3745" spans="2:7">
      <c r="B3745" s="821" t="str">
        <f>+'4M'!BL32</f>
        <v>S3021STD</v>
      </c>
      <c r="D3745" s="1882"/>
      <c r="E3745" s="1628" t="s">
        <v>8339</v>
      </c>
      <c r="F3745" s="1882"/>
      <c r="G3745" s="1882" t="str">
        <f>IF('4M'!J32="","##BLANK",'4M'!J32)</f>
        <v>##BLANK</v>
      </c>
    </row>
    <row r="3746" spans="2:7">
      <c r="B3746" s="821" t="str">
        <f>+'4M'!BL33</f>
        <v>S3022STD</v>
      </c>
      <c r="D3746" s="1882"/>
      <c r="E3746" s="1628" t="s">
        <v>8339</v>
      </c>
      <c r="F3746" s="1882"/>
      <c r="G3746" s="1882" t="str">
        <f>IF('4M'!J33="","##BLANK",'4M'!J33)</f>
        <v>##BLANK</v>
      </c>
    </row>
    <row r="3747" spans="2:7">
      <c r="B3747" s="821" t="str">
        <f>+'4M'!BL34</f>
        <v>BC31785STD</v>
      </c>
      <c r="D3747" s="1882"/>
      <c r="E3747" s="1628" t="s">
        <v>8339</v>
      </c>
      <c r="F3747" s="1882"/>
      <c r="G3747" s="1882" t="str">
        <f>IF('4M'!J34="","##BLANK",'4M'!J34)</f>
        <v>##BLANK</v>
      </c>
    </row>
    <row r="3748" spans="2:7">
      <c r="B3748" s="821" t="str">
        <f>+'4M'!BL35</f>
        <v>S3023STD</v>
      </c>
      <c r="D3748" s="1882"/>
      <c r="E3748" s="1628" t="s">
        <v>8339</v>
      </c>
      <c r="F3748" s="1882"/>
      <c r="G3748" s="1882" t="str">
        <f>IF('4M'!J35="","##BLANK",'4M'!J35)</f>
        <v>##BLANK</v>
      </c>
    </row>
    <row r="3749" spans="2:7">
      <c r="B3749" s="821" t="str">
        <f>+'4M'!BL36</f>
        <v>S3024STD</v>
      </c>
      <c r="D3749" s="1882"/>
      <c r="E3749" s="1628" t="s">
        <v>8339</v>
      </c>
      <c r="F3749" s="1882"/>
      <c r="G3749" s="1882" t="str">
        <f>IF('4M'!J36="","##BLANK",'4M'!J36)</f>
        <v>##BLANK</v>
      </c>
    </row>
    <row r="3750" spans="2:7">
      <c r="B3750" s="821" t="str">
        <f>+'4M'!BL37</f>
        <v>S3A00001STD</v>
      </c>
      <c r="D3750" s="1882"/>
      <c r="E3750" s="1628" t="s">
        <v>8339</v>
      </c>
      <c r="F3750" s="1882" t="str">
        <f>+'4M'!C$37</f>
        <v>Capital expenditure purpose - WASTEWATER additional line 1 [Other categories]</v>
      </c>
      <c r="G3750" s="1882" t="str">
        <f>IF('4M'!J37="","##BLANK",'4M'!J37)</f>
        <v>##BLANK</v>
      </c>
    </row>
    <row r="3751" spans="2:7">
      <c r="B3751" s="821" t="str">
        <f>+'4M'!BL38</f>
        <v>S3A00002STD</v>
      </c>
      <c r="D3751" s="1882"/>
      <c r="E3751" s="1628" t="s">
        <v>8339</v>
      </c>
      <c r="F3751" s="1882" t="str">
        <f>+'4M'!C$38</f>
        <v>Capital expenditure purpose - WASTEWATER additional line 2 [Other categories]</v>
      </c>
      <c r="G3751" s="1882" t="str">
        <f>IF('4M'!J38="","##BLANK",'4M'!J38)</f>
        <v>##BLANK</v>
      </c>
    </row>
    <row r="3752" spans="2:7">
      <c r="B3752" s="821" t="str">
        <f>+'4M'!BL39</f>
        <v>S3A00003STD</v>
      </c>
      <c r="D3752" s="1882"/>
      <c r="E3752" s="1628" t="s">
        <v>8339</v>
      </c>
      <c r="F3752" s="1882" t="str">
        <f>+'4M'!C$39</f>
        <v>Capital expenditure purpose - WASTEWATER additional line 3 [Other categories]</v>
      </c>
      <c r="G3752" s="1882" t="str">
        <f>IF('4M'!J39="","##BLANK",'4M'!J39)</f>
        <v>##BLANK</v>
      </c>
    </row>
    <row r="3753" spans="2:7">
      <c r="B3753" s="821" t="str">
        <f>+'4M'!BL40</f>
        <v>S3A00004STD</v>
      </c>
      <c r="D3753" s="1882"/>
      <c r="E3753" s="1628" t="s">
        <v>8339</v>
      </c>
      <c r="F3753" s="1882" t="str">
        <f>+'4M'!C$40</f>
        <v>Capital expenditure purpose - WASTEWATER additional line 4 [Other categories]</v>
      </c>
      <c r="G3753" s="1882" t="str">
        <f>IF('4M'!J40="","##BLANK",'4M'!J40)</f>
        <v>##BLANK</v>
      </c>
    </row>
    <row r="3754" spans="2:7">
      <c r="B3754" s="821" t="str">
        <f>+'4M'!BL41</f>
        <v>S3A00005STD</v>
      </c>
      <c r="D3754" s="1882"/>
      <c r="E3754" s="1628" t="s">
        <v>8339</v>
      </c>
      <c r="F3754" s="1882" t="str">
        <f>+'4M'!C$41</f>
        <v>Capital expenditure purpose - WASTEWATER additional line 5 [Other categories]</v>
      </c>
      <c r="G3754" s="1882" t="str">
        <f>IF('4M'!J41="","##BLANK",'4M'!J41)</f>
        <v>##BLANK</v>
      </c>
    </row>
    <row r="3755" spans="2:7">
      <c r="B3755" s="821" t="str">
        <f>+'4M'!BL42</f>
        <v>S3A00006STD</v>
      </c>
      <c r="D3755" s="1882"/>
      <c r="E3755" s="1628" t="s">
        <v>8339</v>
      </c>
      <c r="F3755" s="1882" t="str">
        <f>+'4M'!C$42</f>
        <v>Capital expenditure purpose - WASTEWATER additional line 6 [Other categories]</v>
      </c>
      <c r="G3755" s="1882" t="str">
        <f>IF('4M'!J42="","##BLANK",'4M'!J42)</f>
        <v>##BLANK</v>
      </c>
    </row>
    <row r="3756" spans="2:7">
      <c r="B3756" s="821" t="str">
        <f>+'4M'!BL43</f>
        <v>S3A00007STD</v>
      </c>
      <c r="D3756" s="1882"/>
      <c r="E3756" s="1628" t="s">
        <v>8339</v>
      </c>
      <c r="F3756" s="1882" t="str">
        <f>+'4M'!C$43</f>
        <v>Capital expenditure purpose - WASTEWATER additional line 7 [Other categories]</v>
      </c>
      <c r="G3756" s="1882" t="str">
        <f>IF('4M'!J43="","##BLANK",'4M'!J43)</f>
        <v>##BLANK</v>
      </c>
    </row>
    <row r="3757" spans="2:7">
      <c r="B3757" s="821" t="str">
        <f>+'4M'!BL44</f>
        <v>S3A00008STD</v>
      </c>
      <c r="D3757" s="1882"/>
      <c r="E3757" s="1628" t="s">
        <v>8339</v>
      </c>
      <c r="F3757" s="1882" t="str">
        <f>+'4M'!C$44</f>
        <v>Capital expenditure purpose - WASTEWATER additional line 8 [Other categories]</v>
      </c>
      <c r="G3757" s="1882" t="str">
        <f>IF('4M'!J44="","##BLANK",'4M'!J44)</f>
        <v>##BLANK</v>
      </c>
    </row>
    <row r="3758" spans="2:7">
      <c r="B3758" s="821" t="str">
        <f>+'4M'!BL45</f>
        <v>S3A00009STD</v>
      </c>
      <c r="D3758" s="1882"/>
      <c r="E3758" s="1628" t="s">
        <v>8339</v>
      </c>
      <c r="F3758" s="1882" t="str">
        <f>+'4M'!C$45</f>
        <v>Capital expenditure purpose - WASTEWATER additional line 9 [Other categories]</v>
      </c>
      <c r="G3758" s="1882" t="str">
        <f>IF('4M'!J45="","##BLANK",'4M'!J45)</f>
        <v>##BLANK</v>
      </c>
    </row>
    <row r="3759" spans="2:7">
      <c r="B3759" s="821" t="str">
        <f>+'4M'!BL46</f>
        <v>S3A00010STD</v>
      </c>
      <c r="D3759" s="1882"/>
      <c r="E3759" s="1628" t="s">
        <v>8339</v>
      </c>
      <c r="F3759" s="1882" t="str">
        <f>+'4M'!C$46</f>
        <v>Capital expenditure purpose - WASTEWATER additional line 10 [Other categories]</v>
      </c>
      <c r="G3759" s="1882" t="str">
        <f>IF('4M'!J46="","##BLANK",'4M'!J46)</f>
        <v>##BLANK</v>
      </c>
    </row>
    <row r="3760" spans="2:7">
      <c r="B3760" s="821" t="str">
        <f>+'4M'!BL47</f>
        <v>S3A00011STD</v>
      </c>
      <c r="D3760" s="1882"/>
      <c r="E3760" s="1628" t="s">
        <v>8339</v>
      </c>
      <c r="F3760" s="1882" t="str">
        <f>+'4M'!C$47</f>
        <v>Capital expenditure purpose - WASTEWATER additional line 11 [Other categories]</v>
      </c>
      <c r="G3760" s="1882" t="str">
        <f>IF('4M'!J47="","##BLANK",'4M'!J47)</f>
        <v>##BLANK</v>
      </c>
    </row>
    <row r="3761" spans="2:7">
      <c r="B3761" s="821" t="str">
        <f>+'4M'!BL48</f>
        <v>S3A00012STD</v>
      </c>
      <c r="D3761" s="1882"/>
      <c r="E3761" s="1628" t="s">
        <v>8339</v>
      </c>
      <c r="F3761" s="1882" t="str">
        <f>+'4M'!C$48</f>
        <v>Capital expenditure purpose - WASTEWATER additional line 12 [Other categories]</v>
      </c>
      <c r="G3761" s="1882" t="str">
        <f>IF('4M'!J48="","##BLANK",'4M'!J48)</f>
        <v>##BLANK</v>
      </c>
    </row>
    <row r="3762" spans="2:7">
      <c r="B3762" s="821" t="str">
        <f>+'4M'!BL49</f>
        <v>S3A00013STD</v>
      </c>
      <c r="D3762" s="1882"/>
      <c r="E3762" s="1628" t="s">
        <v>8339</v>
      </c>
      <c r="F3762" s="1882" t="str">
        <f>+'4M'!C$49</f>
        <v>Capital expenditure purpose - WASTEWATER additional line 13 [Other categories]</v>
      </c>
      <c r="G3762" s="1882" t="str">
        <f>IF('4M'!J49="","##BLANK",'4M'!J49)</f>
        <v>##BLANK</v>
      </c>
    </row>
    <row r="3763" spans="2:7">
      <c r="B3763" s="821" t="str">
        <f>+'4M'!BL50</f>
        <v>S3A00014STD</v>
      </c>
      <c r="D3763" s="1882"/>
      <c r="E3763" s="1628" t="s">
        <v>8339</v>
      </c>
      <c r="F3763" s="1882" t="str">
        <f>+'4M'!C$50</f>
        <v>Capital expenditure purpose - WASTEWATER additional line 14 [Other categories]</v>
      </c>
      <c r="G3763" s="1882" t="str">
        <f>IF('4M'!J50="","##BLANK",'4M'!J50)</f>
        <v>##BLANK</v>
      </c>
    </row>
    <row r="3764" spans="2:7">
      <c r="B3764" s="821" t="str">
        <f>+'4M'!BL51</f>
        <v>S3A00015STD</v>
      </c>
      <c r="D3764" s="1882"/>
      <c r="E3764" s="1628" t="s">
        <v>8339</v>
      </c>
      <c r="F3764" s="1882" t="str">
        <f>+'4M'!C$51</f>
        <v>Capital expenditure purpose - WASTEWATER additional line 15 [Other categories]</v>
      </c>
      <c r="G3764" s="1882" t="str">
        <f>IF('4M'!J51="","##BLANK",'4M'!J51)</f>
        <v>##BLANK</v>
      </c>
    </row>
    <row r="3765" spans="2:7">
      <c r="B3765" s="821" t="str">
        <f>+'4M'!BL52</f>
        <v>S3025ENHSTD</v>
      </c>
      <c r="D3765" s="1882"/>
      <c r="E3765" s="1628" t="s">
        <v>8339</v>
      </c>
      <c r="F3765" s="1882"/>
      <c r="G3765" s="1882">
        <f>IF('4M'!J52="","##BLANK",'4M'!J52)</f>
        <v>0</v>
      </c>
    </row>
    <row r="3766" spans="2:7">
      <c r="B3766" s="821" t="str">
        <f>+'4M'!BM8</f>
        <v>BC31379SLT</v>
      </c>
      <c r="D3766" s="1882"/>
      <c r="E3766" s="1628" t="s">
        <v>8339</v>
      </c>
      <c r="F3766" s="1882"/>
      <c r="G3766" s="1882" t="str">
        <f>IF('4M'!K8="","##BLANK",'4M'!K8)</f>
        <v>##BLANK</v>
      </c>
    </row>
    <row r="3767" spans="2:7">
      <c r="B3767" s="821" t="str">
        <f>+'4M'!BM9</f>
        <v>S3035QSLT</v>
      </c>
      <c r="D3767" s="1882"/>
      <c r="E3767" s="1628" t="s">
        <v>8339</v>
      </c>
      <c r="F3767" s="1882"/>
      <c r="G3767" s="1882" t="str">
        <f>IF('4M'!K9="","##BLANK",'4M'!K9)</f>
        <v>##BLANK</v>
      </c>
    </row>
    <row r="3768" spans="2:7">
      <c r="B3768" s="821" t="str">
        <f>+'4M'!BM10</f>
        <v>S3036GSLT</v>
      </c>
      <c r="D3768" s="1882"/>
      <c r="E3768" s="1628" t="s">
        <v>8339</v>
      </c>
      <c r="F3768" s="1882"/>
      <c r="G3768" s="1882" t="str">
        <f>IF('4M'!K10="","##BLANK",'4M'!K10)</f>
        <v>##BLANK</v>
      </c>
    </row>
    <row r="3769" spans="2:7">
      <c r="B3769" s="821" t="str">
        <f>+'4M'!BM11</f>
        <v>S3004SLT</v>
      </c>
      <c r="D3769" s="1882"/>
      <c r="E3769" s="1628" t="s">
        <v>8339</v>
      </c>
      <c r="F3769" s="1882"/>
      <c r="G3769" s="1882" t="str">
        <f>IF('4M'!K11="","##BLANK",'4M'!K11)</f>
        <v>##BLANK</v>
      </c>
    </row>
    <row r="3770" spans="2:7">
      <c r="B3770" s="821" t="str">
        <f>+'4M'!BM12</f>
        <v>WWS2001SLT</v>
      </c>
      <c r="D3770" s="1882"/>
      <c r="E3770" s="1628" t="s">
        <v>8339</v>
      </c>
      <c r="F3770" s="1882"/>
      <c r="G3770" s="1882" t="str">
        <f>IF('4M'!K12="","##BLANK",'4M'!K12)</f>
        <v>##BLANK</v>
      </c>
    </row>
    <row r="3771" spans="2:7">
      <c r="B3771" s="821" t="str">
        <f>+'4M'!BM13</f>
        <v>S3005SLT</v>
      </c>
      <c r="D3771" s="1882"/>
      <c r="E3771" s="1628" t="s">
        <v>8339</v>
      </c>
      <c r="F3771" s="1882"/>
      <c r="G3771" s="1882" t="str">
        <f>IF('4M'!K13="","##BLANK",'4M'!K13)</f>
        <v>##BLANK</v>
      </c>
    </row>
    <row r="3772" spans="2:7">
      <c r="B3772" s="821" t="str">
        <f>+'4M'!BM14</f>
        <v>S3006SLT</v>
      </c>
      <c r="D3772" s="1882"/>
      <c r="E3772" s="1628" t="s">
        <v>8339</v>
      </c>
      <c r="F3772" s="1882"/>
      <c r="G3772" s="1882" t="str">
        <f>IF('4M'!K14="","##BLANK",'4M'!K14)</f>
        <v>##BLANK</v>
      </c>
    </row>
    <row r="3773" spans="2:7">
      <c r="B3773" s="821" t="str">
        <f>+'4M'!BM15</f>
        <v>S3007SLT</v>
      </c>
      <c r="D3773" s="1882"/>
      <c r="E3773" s="1628" t="s">
        <v>8339</v>
      </c>
      <c r="F3773" s="1882"/>
      <c r="G3773" s="1882" t="str">
        <f>IF('4M'!K15="","##BLANK",'4M'!K15)</f>
        <v>##BLANK</v>
      </c>
    </row>
    <row r="3774" spans="2:7">
      <c r="B3774" s="821" t="str">
        <f>+'4M'!BM16</f>
        <v>WWS2002SLT</v>
      </c>
      <c r="D3774" s="1882"/>
      <c r="E3774" s="1628" t="s">
        <v>8339</v>
      </c>
      <c r="F3774" s="1882"/>
      <c r="G3774" s="1882" t="str">
        <f>IF('4M'!K16="","##BLANK",'4M'!K16)</f>
        <v>##BLANK</v>
      </c>
    </row>
    <row r="3775" spans="2:7">
      <c r="B3775" s="821" t="str">
        <f>+'4M'!BM17</f>
        <v>WWS2003SLT</v>
      </c>
      <c r="D3775" s="1882"/>
      <c r="E3775" s="1628" t="s">
        <v>8339</v>
      </c>
      <c r="F3775" s="1882"/>
      <c r="G3775" s="1882" t="str">
        <f>IF('4M'!K17="","##BLANK",'4M'!K17)</f>
        <v>##BLANK</v>
      </c>
    </row>
    <row r="3776" spans="2:7">
      <c r="B3776" s="821" t="str">
        <f>+'4M'!BM18</f>
        <v>S3008SLT</v>
      </c>
      <c r="D3776" s="1882"/>
      <c r="E3776" s="1628" t="s">
        <v>8339</v>
      </c>
      <c r="F3776" s="1882"/>
      <c r="G3776" s="1882" t="str">
        <f>IF('4M'!K18="","##BLANK",'4M'!K18)</f>
        <v>##BLANK</v>
      </c>
    </row>
    <row r="3777" spans="2:7">
      <c r="B3777" s="821" t="str">
        <f>+'4M'!BM19</f>
        <v>S3009SLT</v>
      </c>
      <c r="D3777" s="1882"/>
      <c r="E3777" s="1628" t="s">
        <v>8339</v>
      </c>
      <c r="F3777" s="1882"/>
      <c r="G3777" s="1882" t="str">
        <f>IF('4M'!K19="","##BLANK",'4M'!K19)</f>
        <v>##BLANK</v>
      </c>
    </row>
    <row r="3778" spans="2:7">
      <c r="B3778" s="821" t="str">
        <f>+'4M'!BM20</f>
        <v>WWS2007SLT</v>
      </c>
      <c r="D3778" s="1882"/>
      <c r="E3778" s="1628" t="s">
        <v>8339</v>
      </c>
      <c r="F3778" s="1882"/>
      <c r="G3778" s="1882" t="str">
        <f>IF('4M'!K20="","##BLANK",'4M'!K20)</f>
        <v>##BLANK</v>
      </c>
    </row>
    <row r="3779" spans="2:7">
      <c r="B3779" s="821" t="str">
        <f>+'4M'!BM21</f>
        <v>S3010SLT</v>
      </c>
      <c r="D3779" s="1882"/>
      <c r="E3779" s="1628" t="s">
        <v>8339</v>
      </c>
      <c r="F3779" s="1882"/>
      <c r="G3779" s="1882" t="str">
        <f>IF('4M'!K21="","##BLANK",'4M'!K21)</f>
        <v>##BLANK</v>
      </c>
    </row>
    <row r="3780" spans="2:7">
      <c r="B3780" s="821" t="str">
        <f>+'4M'!BM22</f>
        <v>S3011SLT</v>
      </c>
      <c r="D3780" s="1882"/>
      <c r="E3780" s="1628" t="s">
        <v>8339</v>
      </c>
      <c r="F3780" s="1882"/>
      <c r="G3780" s="1882" t="str">
        <f>IF('4M'!K22="","##BLANK",'4M'!K22)</f>
        <v>##BLANK</v>
      </c>
    </row>
    <row r="3781" spans="2:7">
      <c r="B3781" s="821" t="str">
        <f>+'4M'!BM23</f>
        <v>S3012SLT</v>
      </c>
      <c r="D3781" s="1882"/>
      <c r="E3781" s="1628" t="s">
        <v>8339</v>
      </c>
      <c r="F3781" s="1882"/>
      <c r="G3781" s="1882" t="str">
        <f>IF('4M'!K23="","##BLANK",'4M'!K23)</f>
        <v>##BLANK</v>
      </c>
    </row>
    <row r="3782" spans="2:7">
      <c r="B3782" s="821" t="str">
        <f>+'4M'!BM24</f>
        <v>S3013SLT</v>
      </c>
      <c r="D3782" s="1882"/>
      <c r="E3782" s="1628" t="s">
        <v>8339</v>
      </c>
      <c r="F3782" s="1882"/>
      <c r="G3782" s="1882" t="str">
        <f>IF('4M'!K24="","##BLANK",'4M'!K24)</f>
        <v>##BLANK</v>
      </c>
    </row>
    <row r="3783" spans="2:7">
      <c r="B3783" s="821" t="str">
        <f>+'4M'!BM25</f>
        <v>S3014SLT</v>
      </c>
      <c r="D3783" s="1882"/>
      <c r="E3783" s="1628" t="s">
        <v>8339</v>
      </c>
      <c r="F3783" s="1882"/>
      <c r="G3783" s="1882" t="str">
        <f>IF('4M'!K25="","##BLANK",'4M'!K25)</f>
        <v>##BLANK</v>
      </c>
    </row>
    <row r="3784" spans="2:7">
      <c r="B3784" s="821" t="str">
        <f>+'4M'!BM26</f>
        <v>S3015SLT</v>
      </c>
      <c r="D3784" s="1882"/>
      <c r="E3784" s="1628" t="s">
        <v>8339</v>
      </c>
      <c r="F3784" s="1882"/>
      <c r="G3784" s="1882" t="str">
        <f>IF('4M'!K26="","##BLANK",'4M'!K26)</f>
        <v>##BLANK</v>
      </c>
    </row>
    <row r="3785" spans="2:7">
      <c r="B3785" s="821" t="str">
        <f>+'4M'!BM27</f>
        <v>S3016SLT</v>
      </c>
      <c r="D3785" s="1882"/>
      <c r="E3785" s="1628" t="s">
        <v>8339</v>
      </c>
      <c r="F3785" s="1882"/>
      <c r="G3785" s="1882" t="str">
        <f>IF('4M'!K27="","##BLANK",'4M'!K27)</f>
        <v>##BLANK</v>
      </c>
    </row>
    <row r="3786" spans="2:7">
      <c r="B3786" s="821" t="str">
        <f>+'4M'!BM28</f>
        <v>S3017SLT</v>
      </c>
      <c r="D3786" s="1882"/>
      <c r="E3786" s="1628" t="s">
        <v>8339</v>
      </c>
      <c r="F3786" s="1882"/>
      <c r="G3786" s="1882" t="str">
        <f>IF('4M'!K28="","##BLANK",'4M'!K28)</f>
        <v>##BLANK</v>
      </c>
    </row>
    <row r="3787" spans="2:7">
      <c r="B3787" s="821" t="str">
        <f>+'4M'!BM29</f>
        <v>S3018SLT</v>
      </c>
      <c r="D3787" s="1882"/>
      <c r="E3787" s="1628" t="s">
        <v>8339</v>
      </c>
      <c r="F3787" s="1882"/>
      <c r="G3787" s="1882" t="str">
        <f>IF('4M'!K29="","##BLANK",'4M'!K29)</f>
        <v>##BLANK</v>
      </c>
    </row>
    <row r="3788" spans="2:7">
      <c r="B3788" s="821" t="str">
        <f>+'4M'!BM30</f>
        <v>S3019SLT</v>
      </c>
      <c r="D3788" s="1882"/>
      <c r="E3788" s="1628" t="s">
        <v>8339</v>
      </c>
      <c r="F3788" s="1882"/>
      <c r="G3788" s="1882" t="str">
        <f>IF('4M'!K30="","##BLANK",'4M'!K30)</f>
        <v>##BLANK</v>
      </c>
    </row>
    <row r="3789" spans="2:7">
      <c r="B3789" s="821" t="str">
        <f>+'4M'!BM31</f>
        <v>S3020SLT</v>
      </c>
      <c r="D3789" s="1882"/>
      <c r="E3789" s="1628" t="s">
        <v>8339</v>
      </c>
      <c r="F3789" s="1882"/>
      <c r="G3789" s="1882" t="str">
        <f>IF('4M'!K31="","##BLANK",'4M'!K31)</f>
        <v>##BLANK</v>
      </c>
    </row>
    <row r="3790" spans="2:7">
      <c r="B3790" s="821" t="str">
        <f>+'4M'!BM32</f>
        <v>S3021SLT</v>
      </c>
      <c r="D3790" s="1882"/>
      <c r="E3790" s="1628" t="s">
        <v>8339</v>
      </c>
      <c r="F3790" s="1882"/>
      <c r="G3790" s="1882" t="str">
        <f>IF('4M'!K32="","##BLANK",'4M'!K32)</f>
        <v>##BLANK</v>
      </c>
    </row>
    <row r="3791" spans="2:7">
      <c r="B3791" s="821" t="str">
        <f>+'4M'!BM33</f>
        <v>S3022SLT</v>
      </c>
      <c r="D3791" s="1882"/>
      <c r="E3791" s="1628" t="s">
        <v>8339</v>
      </c>
      <c r="F3791" s="1882"/>
      <c r="G3791" s="1882" t="str">
        <f>IF('4M'!K33="","##BLANK",'4M'!K33)</f>
        <v>##BLANK</v>
      </c>
    </row>
    <row r="3792" spans="2:7">
      <c r="B3792" s="821" t="str">
        <f>+'4M'!BM34</f>
        <v>BC31785SLT</v>
      </c>
      <c r="D3792" s="1882"/>
      <c r="E3792" s="1628" t="s">
        <v>8339</v>
      </c>
      <c r="F3792" s="1882"/>
      <c r="G3792" s="1882" t="str">
        <f>IF('4M'!K34="","##BLANK",'4M'!K34)</f>
        <v>##BLANK</v>
      </c>
    </row>
    <row r="3793" spans="2:7">
      <c r="B3793" s="821" t="str">
        <f>+'4M'!BM35</f>
        <v>S3023SLT</v>
      </c>
      <c r="D3793" s="1882"/>
      <c r="E3793" s="1628" t="s">
        <v>8339</v>
      </c>
      <c r="F3793" s="1882"/>
      <c r="G3793" s="1882" t="str">
        <f>IF('4M'!K35="","##BLANK",'4M'!K35)</f>
        <v>##BLANK</v>
      </c>
    </row>
    <row r="3794" spans="2:7">
      <c r="B3794" s="821" t="str">
        <f>+'4M'!BM36</f>
        <v>S3024SLT</v>
      </c>
      <c r="D3794" s="1882"/>
      <c r="E3794" s="1628" t="s">
        <v>8339</v>
      </c>
      <c r="F3794" s="1882"/>
      <c r="G3794" s="1882" t="str">
        <f>IF('4M'!K36="","##BLANK",'4M'!K36)</f>
        <v>##BLANK</v>
      </c>
    </row>
    <row r="3795" spans="2:7">
      <c r="B3795" s="821" t="str">
        <f>+'4M'!BM37</f>
        <v>S3A00001SLT</v>
      </c>
      <c r="D3795" s="1882"/>
      <c r="E3795" s="1628" t="s">
        <v>8339</v>
      </c>
      <c r="F3795" s="1882" t="str">
        <f>+'4M'!C$37</f>
        <v>Capital expenditure purpose - WASTEWATER additional line 1 [Other categories]</v>
      </c>
      <c r="G3795" s="1882" t="str">
        <f>IF('4M'!K37="","##BLANK",'4M'!K37)</f>
        <v>##BLANK</v>
      </c>
    </row>
    <row r="3796" spans="2:7">
      <c r="B3796" s="821" t="str">
        <f>+'4M'!BM38</f>
        <v>S3A00002SLT</v>
      </c>
      <c r="D3796" s="1882"/>
      <c r="E3796" s="1628" t="s">
        <v>8339</v>
      </c>
      <c r="F3796" s="1882" t="str">
        <f>+'4M'!C$38</f>
        <v>Capital expenditure purpose - WASTEWATER additional line 2 [Other categories]</v>
      </c>
      <c r="G3796" s="1882" t="str">
        <f>IF('4M'!K38="","##BLANK",'4M'!K38)</f>
        <v>##BLANK</v>
      </c>
    </row>
    <row r="3797" spans="2:7">
      <c r="B3797" s="821" t="str">
        <f>+'4M'!BM39</f>
        <v>S3A00003SLT</v>
      </c>
      <c r="D3797" s="1882"/>
      <c r="E3797" s="1628" t="s">
        <v>8339</v>
      </c>
      <c r="F3797" s="1882" t="str">
        <f>+'4M'!C$39</f>
        <v>Capital expenditure purpose - WASTEWATER additional line 3 [Other categories]</v>
      </c>
      <c r="G3797" s="1882" t="str">
        <f>IF('4M'!K39="","##BLANK",'4M'!K39)</f>
        <v>##BLANK</v>
      </c>
    </row>
    <row r="3798" spans="2:7">
      <c r="B3798" s="821" t="str">
        <f>+'4M'!BM40</f>
        <v>S3A00004SLT</v>
      </c>
      <c r="D3798" s="1882"/>
      <c r="E3798" s="1628" t="s">
        <v>8339</v>
      </c>
      <c r="F3798" s="1882" t="str">
        <f>+'4M'!C$40</f>
        <v>Capital expenditure purpose - WASTEWATER additional line 4 [Other categories]</v>
      </c>
      <c r="G3798" s="1882" t="str">
        <f>IF('4M'!K40="","##BLANK",'4M'!K40)</f>
        <v>##BLANK</v>
      </c>
    </row>
    <row r="3799" spans="2:7">
      <c r="B3799" s="821" t="str">
        <f>+'4M'!BM41</f>
        <v>S3A00005SLT</v>
      </c>
      <c r="D3799" s="1882"/>
      <c r="E3799" s="1628" t="s">
        <v>8339</v>
      </c>
      <c r="F3799" s="1882" t="str">
        <f>+'4M'!C$41</f>
        <v>Capital expenditure purpose - WASTEWATER additional line 5 [Other categories]</v>
      </c>
      <c r="G3799" s="1882" t="str">
        <f>IF('4M'!K41="","##BLANK",'4M'!K41)</f>
        <v>##BLANK</v>
      </c>
    </row>
    <row r="3800" spans="2:7">
      <c r="B3800" s="821" t="str">
        <f>+'4M'!BM42</f>
        <v>S3A00006SLT</v>
      </c>
      <c r="D3800" s="1882"/>
      <c r="E3800" s="1628" t="s">
        <v>8339</v>
      </c>
      <c r="F3800" s="1882" t="str">
        <f>+'4M'!C$42</f>
        <v>Capital expenditure purpose - WASTEWATER additional line 6 [Other categories]</v>
      </c>
      <c r="G3800" s="1882" t="str">
        <f>IF('4M'!K42="","##BLANK",'4M'!K42)</f>
        <v>##BLANK</v>
      </c>
    </row>
    <row r="3801" spans="2:7">
      <c r="B3801" s="821" t="str">
        <f>+'4M'!BM43</f>
        <v>S3A00007SLT</v>
      </c>
      <c r="D3801" s="1882"/>
      <c r="E3801" s="1628" t="s">
        <v>8339</v>
      </c>
      <c r="F3801" s="1882" t="str">
        <f>+'4M'!C$43</f>
        <v>Capital expenditure purpose - WASTEWATER additional line 7 [Other categories]</v>
      </c>
      <c r="G3801" s="1882" t="str">
        <f>IF('4M'!K43="","##BLANK",'4M'!K43)</f>
        <v>##BLANK</v>
      </c>
    </row>
    <row r="3802" spans="2:7">
      <c r="B3802" s="821" t="str">
        <f>+'4M'!BM44</f>
        <v>S3A00008SLT</v>
      </c>
      <c r="D3802" s="1882"/>
      <c r="E3802" s="1628" t="s">
        <v>8339</v>
      </c>
      <c r="F3802" s="1882" t="str">
        <f>+'4M'!C$44</f>
        <v>Capital expenditure purpose - WASTEWATER additional line 8 [Other categories]</v>
      </c>
      <c r="G3802" s="1882" t="str">
        <f>IF('4M'!K44="","##BLANK",'4M'!K44)</f>
        <v>##BLANK</v>
      </c>
    </row>
    <row r="3803" spans="2:7">
      <c r="B3803" s="821" t="str">
        <f>+'4M'!BM45</f>
        <v>S3A00009SLT</v>
      </c>
      <c r="D3803" s="1882"/>
      <c r="E3803" s="1628" t="s">
        <v>8339</v>
      </c>
      <c r="F3803" s="1882" t="str">
        <f>+'4M'!C$45</f>
        <v>Capital expenditure purpose - WASTEWATER additional line 9 [Other categories]</v>
      </c>
      <c r="G3803" s="1882" t="str">
        <f>IF('4M'!K45="","##BLANK",'4M'!K45)</f>
        <v>##BLANK</v>
      </c>
    </row>
    <row r="3804" spans="2:7">
      <c r="B3804" s="821" t="str">
        <f>+'4M'!BM46</f>
        <v>S3A00010SLT</v>
      </c>
      <c r="D3804" s="1882"/>
      <c r="E3804" s="1628" t="s">
        <v>8339</v>
      </c>
      <c r="F3804" s="1882" t="str">
        <f>+'4M'!C$46</f>
        <v>Capital expenditure purpose - WASTEWATER additional line 10 [Other categories]</v>
      </c>
      <c r="G3804" s="1882" t="str">
        <f>IF('4M'!K46="","##BLANK",'4M'!K46)</f>
        <v>##BLANK</v>
      </c>
    </row>
    <row r="3805" spans="2:7">
      <c r="B3805" s="821" t="str">
        <f>+'4M'!BM47</f>
        <v>S3A00011SLT</v>
      </c>
      <c r="D3805" s="1882"/>
      <c r="E3805" s="1628" t="s">
        <v>8339</v>
      </c>
      <c r="F3805" s="1882" t="str">
        <f>+'4M'!C$47</f>
        <v>Capital expenditure purpose - WASTEWATER additional line 11 [Other categories]</v>
      </c>
      <c r="G3805" s="1882" t="str">
        <f>IF('4M'!K47="","##BLANK",'4M'!K47)</f>
        <v>##BLANK</v>
      </c>
    </row>
    <row r="3806" spans="2:7">
      <c r="B3806" s="821" t="str">
        <f>+'4M'!BM48</f>
        <v>S3A00012SLT</v>
      </c>
      <c r="D3806" s="1882"/>
      <c r="E3806" s="1628" t="s">
        <v>8339</v>
      </c>
      <c r="F3806" s="1882" t="str">
        <f>+'4M'!C$48</f>
        <v>Capital expenditure purpose - WASTEWATER additional line 12 [Other categories]</v>
      </c>
      <c r="G3806" s="1882" t="str">
        <f>IF('4M'!K48="","##BLANK",'4M'!K48)</f>
        <v>##BLANK</v>
      </c>
    </row>
    <row r="3807" spans="2:7">
      <c r="B3807" s="821" t="str">
        <f>+'4M'!BM49</f>
        <v>S3A00013SLT</v>
      </c>
      <c r="D3807" s="1882"/>
      <c r="E3807" s="1628" t="s">
        <v>8339</v>
      </c>
      <c r="F3807" s="1882" t="str">
        <f>+'4M'!C$49</f>
        <v>Capital expenditure purpose - WASTEWATER additional line 13 [Other categories]</v>
      </c>
      <c r="G3807" s="1882" t="str">
        <f>IF('4M'!K49="","##BLANK",'4M'!K49)</f>
        <v>##BLANK</v>
      </c>
    </row>
    <row r="3808" spans="2:7">
      <c r="B3808" s="821" t="str">
        <f>+'4M'!BM50</f>
        <v>S3A00014SLT</v>
      </c>
      <c r="D3808" s="1882"/>
      <c r="E3808" s="1628" t="s">
        <v>8339</v>
      </c>
      <c r="F3808" s="1882" t="str">
        <f>+'4M'!C$50</f>
        <v>Capital expenditure purpose - WASTEWATER additional line 14 [Other categories]</v>
      </c>
      <c r="G3808" s="1882" t="str">
        <f>IF('4M'!K50="","##BLANK",'4M'!K50)</f>
        <v>##BLANK</v>
      </c>
    </row>
    <row r="3809" spans="2:7">
      <c r="B3809" s="821" t="str">
        <f>+'4M'!BM51</f>
        <v>S3A00015SLT</v>
      </c>
      <c r="D3809" s="1882"/>
      <c r="E3809" s="1628" t="s">
        <v>8339</v>
      </c>
      <c r="F3809" s="1882" t="str">
        <f>+'4M'!C$51</f>
        <v>Capital expenditure purpose - WASTEWATER additional line 15 [Other categories]</v>
      </c>
      <c r="G3809" s="1882" t="str">
        <f>IF('4M'!K51="","##BLANK",'4M'!K51)</f>
        <v>##BLANK</v>
      </c>
    </row>
    <row r="3810" spans="2:7">
      <c r="B3810" s="821" t="str">
        <f>+'4M'!BM52</f>
        <v>S3025ENHSLT</v>
      </c>
      <c r="D3810" s="1882"/>
      <c r="E3810" s="1628" t="s">
        <v>8339</v>
      </c>
      <c r="F3810" s="1882"/>
      <c r="G3810" s="1882">
        <f>IF('4M'!K52="","##BLANK",'4M'!K52)</f>
        <v>0</v>
      </c>
    </row>
    <row r="3811" spans="2:7">
      <c r="B3811" s="821" t="str">
        <f>+'4M'!BN8</f>
        <v>BC31379STP</v>
      </c>
      <c r="D3811" s="1882"/>
      <c r="E3811" s="1628" t="s">
        <v>8339</v>
      </c>
      <c r="F3811" s="1882"/>
      <c r="G3811" s="1882" t="str">
        <f>IF('4M'!L8="","##BLANK",'4M'!L8)</f>
        <v>##BLANK</v>
      </c>
    </row>
    <row r="3812" spans="2:7">
      <c r="B3812" s="821" t="str">
        <f>+'4M'!BN9</f>
        <v>S3035QSTP</v>
      </c>
      <c r="D3812" s="1882"/>
      <c r="E3812" s="1628" t="s">
        <v>8339</v>
      </c>
      <c r="F3812" s="1882"/>
      <c r="G3812" s="1882" t="str">
        <f>IF('4M'!L9="","##BLANK",'4M'!L9)</f>
        <v>##BLANK</v>
      </c>
    </row>
    <row r="3813" spans="2:7">
      <c r="B3813" s="821" t="str">
        <f>+'4M'!BN10</f>
        <v>S3036GSTP</v>
      </c>
      <c r="D3813" s="1882"/>
      <c r="E3813" s="1628" t="s">
        <v>8339</v>
      </c>
      <c r="F3813" s="1882"/>
      <c r="G3813" s="1882" t="str">
        <f>IF('4M'!L10="","##BLANK",'4M'!L10)</f>
        <v>##BLANK</v>
      </c>
    </row>
    <row r="3814" spans="2:7">
      <c r="B3814" s="821" t="str">
        <f>+'4M'!BN11</f>
        <v>S3004STP</v>
      </c>
      <c r="D3814" s="1882"/>
      <c r="E3814" s="1628" t="s">
        <v>8339</v>
      </c>
      <c r="F3814" s="1882"/>
      <c r="G3814" s="1882" t="str">
        <f>IF('4M'!L11="","##BLANK",'4M'!L11)</f>
        <v>##BLANK</v>
      </c>
    </row>
    <row r="3815" spans="2:7">
      <c r="B3815" s="821" t="str">
        <f>+'4M'!BN12</f>
        <v>WWS2001STP</v>
      </c>
      <c r="D3815" s="1882"/>
      <c r="E3815" s="1628" t="s">
        <v>8339</v>
      </c>
      <c r="F3815" s="1882"/>
      <c r="G3815" s="1882" t="str">
        <f>IF('4M'!L12="","##BLANK",'4M'!L12)</f>
        <v>##BLANK</v>
      </c>
    </row>
    <row r="3816" spans="2:7">
      <c r="B3816" s="821" t="str">
        <f>+'4M'!BN13</f>
        <v>S3005STP</v>
      </c>
      <c r="D3816" s="1882"/>
      <c r="E3816" s="1628" t="s">
        <v>8339</v>
      </c>
      <c r="F3816" s="1882"/>
      <c r="G3816" s="1882" t="str">
        <f>IF('4M'!L13="","##BLANK",'4M'!L13)</f>
        <v>##BLANK</v>
      </c>
    </row>
    <row r="3817" spans="2:7">
      <c r="B3817" s="821" t="str">
        <f>+'4M'!BN14</f>
        <v>S3006STP</v>
      </c>
      <c r="D3817" s="1882"/>
      <c r="E3817" s="1628" t="s">
        <v>8339</v>
      </c>
      <c r="F3817" s="1882"/>
      <c r="G3817" s="1882" t="str">
        <f>IF('4M'!L14="","##BLANK",'4M'!L14)</f>
        <v>##BLANK</v>
      </c>
    </row>
    <row r="3818" spans="2:7">
      <c r="B3818" s="821" t="str">
        <f>+'4M'!BN15</f>
        <v>S3007STP</v>
      </c>
      <c r="D3818" s="1882"/>
      <c r="E3818" s="1628" t="s">
        <v>8339</v>
      </c>
      <c r="F3818" s="1882"/>
      <c r="G3818" s="1882" t="str">
        <f>IF('4M'!L15="","##BLANK",'4M'!L15)</f>
        <v>##BLANK</v>
      </c>
    </row>
    <row r="3819" spans="2:7">
      <c r="B3819" s="821" t="str">
        <f>+'4M'!BN16</f>
        <v>WWS2002STP</v>
      </c>
      <c r="D3819" s="1882"/>
      <c r="E3819" s="1628" t="s">
        <v>8339</v>
      </c>
      <c r="F3819" s="1882"/>
      <c r="G3819" s="1882" t="str">
        <f>IF('4M'!L16="","##BLANK",'4M'!L16)</f>
        <v>##BLANK</v>
      </c>
    </row>
    <row r="3820" spans="2:7">
      <c r="B3820" s="821" t="str">
        <f>+'4M'!BN17</f>
        <v>WWS2003STP</v>
      </c>
      <c r="D3820" s="1882"/>
      <c r="E3820" s="1628" t="s">
        <v>8339</v>
      </c>
      <c r="F3820" s="1882"/>
      <c r="G3820" s="1882" t="str">
        <f>IF('4M'!L17="","##BLANK",'4M'!L17)</f>
        <v>##BLANK</v>
      </c>
    </row>
    <row r="3821" spans="2:7">
      <c r="B3821" s="821" t="str">
        <f>+'4M'!BN18</f>
        <v>S3008STP</v>
      </c>
      <c r="D3821" s="1882"/>
      <c r="E3821" s="1628" t="s">
        <v>8339</v>
      </c>
      <c r="F3821" s="1882"/>
      <c r="G3821" s="1882" t="str">
        <f>IF('4M'!L18="","##BLANK",'4M'!L18)</f>
        <v>##BLANK</v>
      </c>
    </row>
    <row r="3822" spans="2:7">
      <c r="B3822" s="821" t="str">
        <f>+'4M'!BN19</f>
        <v>S3009STP</v>
      </c>
      <c r="D3822" s="1882"/>
      <c r="E3822" s="1628" t="s">
        <v>8339</v>
      </c>
      <c r="F3822" s="1882"/>
      <c r="G3822" s="1882" t="str">
        <f>IF('4M'!L19="","##BLANK",'4M'!L19)</f>
        <v>##BLANK</v>
      </c>
    </row>
    <row r="3823" spans="2:7">
      <c r="B3823" s="821" t="str">
        <f>+'4M'!BN20</f>
        <v>WWS2007STP</v>
      </c>
      <c r="D3823" s="1882"/>
      <c r="E3823" s="1628" t="s">
        <v>8339</v>
      </c>
      <c r="F3823" s="1882"/>
      <c r="G3823" s="1882" t="str">
        <f>IF('4M'!L20="","##BLANK",'4M'!L20)</f>
        <v>##BLANK</v>
      </c>
    </row>
    <row r="3824" spans="2:7">
      <c r="B3824" s="821" t="str">
        <f>+'4M'!BN21</f>
        <v>S3010STP</v>
      </c>
      <c r="D3824" s="1882"/>
      <c r="E3824" s="1628" t="s">
        <v>8339</v>
      </c>
      <c r="F3824" s="1882"/>
      <c r="G3824" s="1882" t="str">
        <f>IF('4M'!L21="","##BLANK",'4M'!L21)</f>
        <v>##BLANK</v>
      </c>
    </row>
    <row r="3825" spans="2:7">
      <c r="B3825" s="821" t="str">
        <f>+'4M'!BN22</f>
        <v>S3011STP</v>
      </c>
      <c r="D3825" s="1882"/>
      <c r="E3825" s="1628" t="s">
        <v>8339</v>
      </c>
      <c r="F3825" s="1882"/>
      <c r="G3825" s="1882" t="str">
        <f>IF('4M'!L22="","##BLANK",'4M'!L22)</f>
        <v>##BLANK</v>
      </c>
    </row>
    <row r="3826" spans="2:7">
      <c r="B3826" s="821" t="str">
        <f>+'4M'!BN23</f>
        <v>S3012STP</v>
      </c>
      <c r="D3826" s="1882"/>
      <c r="E3826" s="1628" t="s">
        <v>8339</v>
      </c>
      <c r="F3826" s="1882"/>
      <c r="G3826" s="1882" t="str">
        <f>IF('4M'!L23="","##BLANK",'4M'!L23)</f>
        <v>##BLANK</v>
      </c>
    </row>
    <row r="3827" spans="2:7">
      <c r="B3827" s="821" t="str">
        <f>+'4M'!BN24</f>
        <v>S3013STP</v>
      </c>
      <c r="D3827" s="1882"/>
      <c r="E3827" s="1628" t="s">
        <v>8339</v>
      </c>
      <c r="F3827" s="1882"/>
      <c r="G3827" s="1882" t="str">
        <f>IF('4M'!L24="","##BLANK",'4M'!L24)</f>
        <v>##BLANK</v>
      </c>
    </row>
    <row r="3828" spans="2:7">
      <c r="B3828" s="821" t="str">
        <f>+'4M'!BN25</f>
        <v>S3014STP</v>
      </c>
      <c r="D3828" s="1882"/>
      <c r="E3828" s="1628" t="s">
        <v>8339</v>
      </c>
      <c r="F3828" s="1882"/>
      <c r="G3828" s="1882" t="str">
        <f>IF('4M'!L25="","##BLANK",'4M'!L25)</f>
        <v>##BLANK</v>
      </c>
    </row>
    <row r="3829" spans="2:7">
      <c r="B3829" s="821" t="str">
        <f>+'4M'!BN26</f>
        <v>S3015STP</v>
      </c>
      <c r="D3829" s="1882"/>
      <c r="E3829" s="1628" t="s">
        <v>8339</v>
      </c>
      <c r="F3829" s="1882"/>
      <c r="G3829" s="1882" t="str">
        <f>IF('4M'!L26="","##BLANK",'4M'!L26)</f>
        <v>##BLANK</v>
      </c>
    </row>
    <row r="3830" spans="2:7">
      <c r="B3830" s="821" t="str">
        <f>+'4M'!BN27</f>
        <v>S3016STP</v>
      </c>
      <c r="D3830" s="1882"/>
      <c r="E3830" s="1628" t="s">
        <v>8339</v>
      </c>
      <c r="F3830" s="1882"/>
      <c r="G3830" s="1882" t="str">
        <f>IF('4M'!L27="","##BLANK",'4M'!L27)</f>
        <v>##BLANK</v>
      </c>
    </row>
    <row r="3831" spans="2:7">
      <c r="B3831" s="821" t="str">
        <f>+'4M'!BN28</f>
        <v>S3017STP</v>
      </c>
      <c r="D3831" s="1882"/>
      <c r="E3831" s="1628" t="s">
        <v>8339</v>
      </c>
      <c r="F3831" s="1882"/>
      <c r="G3831" s="1882" t="str">
        <f>IF('4M'!L28="","##BLANK",'4M'!L28)</f>
        <v>##BLANK</v>
      </c>
    </row>
    <row r="3832" spans="2:7">
      <c r="B3832" s="821" t="str">
        <f>+'4M'!BN29</f>
        <v>S3018STP</v>
      </c>
      <c r="D3832" s="1882"/>
      <c r="E3832" s="1628" t="s">
        <v>8339</v>
      </c>
      <c r="F3832" s="1882"/>
      <c r="G3832" s="1882" t="str">
        <f>IF('4M'!L29="","##BLANK",'4M'!L29)</f>
        <v>##BLANK</v>
      </c>
    </row>
    <row r="3833" spans="2:7">
      <c r="B3833" s="821" t="str">
        <f>+'4M'!BN30</f>
        <v>S3019STP</v>
      </c>
      <c r="D3833" s="1882"/>
      <c r="E3833" s="1628" t="s">
        <v>8339</v>
      </c>
      <c r="F3833" s="1882"/>
      <c r="G3833" s="1882" t="str">
        <f>IF('4M'!L30="","##BLANK",'4M'!L30)</f>
        <v>##BLANK</v>
      </c>
    </row>
    <row r="3834" spans="2:7">
      <c r="B3834" s="821" t="str">
        <f>+'4M'!BN31</f>
        <v>S3020STP</v>
      </c>
      <c r="D3834" s="1882"/>
      <c r="E3834" s="1628" t="s">
        <v>8339</v>
      </c>
      <c r="F3834" s="1882"/>
      <c r="G3834" s="1882" t="str">
        <f>IF('4M'!L31="","##BLANK",'4M'!L31)</f>
        <v>##BLANK</v>
      </c>
    </row>
    <row r="3835" spans="2:7">
      <c r="B3835" s="821" t="str">
        <f>+'4M'!BN32</f>
        <v>S3021STP</v>
      </c>
      <c r="D3835" s="1882"/>
      <c r="E3835" s="1628" t="s">
        <v>8339</v>
      </c>
      <c r="F3835" s="1882"/>
      <c r="G3835" s="1882" t="str">
        <f>IF('4M'!L32="","##BLANK",'4M'!L32)</f>
        <v>##BLANK</v>
      </c>
    </row>
    <row r="3836" spans="2:7">
      <c r="B3836" s="821" t="str">
        <f>+'4M'!BN33</f>
        <v>S3022STP</v>
      </c>
      <c r="D3836" s="1882"/>
      <c r="E3836" s="1628" t="s">
        <v>8339</v>
      </c>
      <c r="F3836" s="1882"/>
      <c r="G3836" s="1882" t="str">
        <f>IF('4M'!L33="","##BLANK",'4M'!L33)</f>
        <v>##BLANK</v>
      </c>
    </row>
    <row r="3837" spans="2:7">
      <c r="B3837" s="821" t="str">
        <f>+'4M'!BN34</f>
        <v>BC31785STP</v>
      </c>
      <c r="D3837" s="1882"/>
      <c r="E3837" s="1628" t="s">
        <v>8339</v>
      </c>
      <c r="F3837" s="1882"/>
      <c r="G3837" s="1882" t="str">
        <f>IF('4M'!L34="","##BLANK",'4M'!L34)</f>
        <v>##BLANK</v>
      </c>
    </row>
    <row r="3838" spans="2:7">
      <c r="B3838" s="821" t="str">
        <f>+'4M'!BN35</f>
        <v>S3023STP</v>
      </c>
      <c r="D3838" s="1882"/>
      <c r="E3838" s="1628" t="s">
        <v>8339</v>
      </c>
      <c r="F3838" s="1882"/>
      <c r="G3838" s="1882" t="str">
        <f>IF('4M'!L35="","##BLANK",'4M'!L35)</f>
        <v>##BLANK</v>
      </c>
    </row>
    <row r="3839" spans="2:7">
      <c r="B3839" s="821" t="str">
        <f>+'4M'!BN36</f>
        <v>S3024STP</v>
      </c>
      <c r="D3839" s="1882"/>
      <c r="E3839" s="1628" t="s">
        <v>8339</v>
      </c>
      <c r="F3839" s="1882"/>
      <c r="G3839" s="1882" t="str">
        <f>IF('4M'!L36="","##BLANK",'4M'!L36)</f>
        <v>##BLANK</v>
      </c>
    </row>
    <row r="3840" spans="2:7">
      <c r="B3840" s="821" t="str">
        <f>+'4M'!BN37</f>
        <v>S3A00001STP</v>
      </c>
      <c r="D3840" s="1882"/>
      <c r="E3840" s="1628" t="s">
        <v>8339</v>
      </c>
      <c r="F3840" s="1882" t="str">
        <f>+'4M'!C$37</f>
        <v>Capital expenditure purpose - WASTEWATER additional line 1 [Other categories]</v>
      </c>
      <c r="G3840" s="1882" t="str">
        <f>IF('4M'!L37="","##BLANK",'4M'!L37)</f>
        <v>##BLANK</v>
      </c>
    </row>
    <row r="3841" spans="2:7">
      <c r="B3841" s="821" t="str">
        <f>+'4M'!BN38</f>
        <v>S3A00002STP</v>
      </c>
      <c r="D3841" s="1882"/>
      <c r="E3841" s="1628" t="s">
        <v>8339</v>
      </c>
      <c r="F3841" s="1882" t="str">
        <f>+'4M'!C$38</f>
        <v>Capital expenditure purpose - WASTEWATER additional line 2 [Other categories]</v>
      </c>
      <c r="G3841" s="1882" t="str">
        <f>IF('4M'!L38="","##BLANK",'4M'!L38)</f>
        <v>##BLANK</v>
      </c>
    </row>
    <row r="3842" spans="2:7">
      <c r="B3842" s="821" t="str">
        <f>+'4M'!BN39</f>
        <v>S3A00003STP</v>
      </c>
      <c r="D3842" s="1882"/>
      <c r="E3842" s="1628" t="s">
        <v>8339</v>
      </c>
      <c r="F3842" s="1882" t="str">
        <f>+'4M'!C$39</f>
        <v>Capital expenditure purpose - WASTEWATER additional line 3 [Other categories]</v>
      </c>
      <c r="G3842" s="1882" t="str">
        <f>IF('4M'!L39="","##BLANK",'4M'!L39)</f>
        <v>##BLANK</v>
      </c>
    </row>
    <row r="3843" spans="2:7">
      <c r="B3843" s="821" t="str">
        <f>+'4M'!BN40</f>
        <v>S3A00004STP</v>
      </c>
      <c r="D3843" s="1882"/>
      <c r="E3843" s="1628" t="s">
        <v>8339</v>
      </c>
      <c r="F3843" s="1882" t="str">
        <f>+'4M'!C$40</f>
        <v>Capital expenditure purpose - WASTEWATER additional line 4 [Other categories]</v>
      </c>
      <c r="G3843" s="1882" t="str">
        <f>IF('4M'!L40="","##BLANK",'4M'!L40)</f>
        <v>##BLANK</v>
      </c>
    </row>
    <row r="3844" spans="2:7">
      <c r="B3844" s="821" t="str">
        <f>+'4M'!BN41</f>
        <v>S3A00005STP</v>
      </c>
      <c r="D3844" s="1882"/>
      <c r="E3844" s="1628" t="s">
        <v>8339</v>
      </c>
      <c r="F3844" s="1882" t="str">
        <f>+'4M'!C$41</f>
        <v>Capital expenditure purpose - WASTEWATER additional line 5 [Other categories]</v>
      </c>
      <c r="G3844" s="1882" t="str">
        <f>IF('4M'!L41="","##BLANK",'4M'!L41)</f>
        <v>##BLANK</v>
      </c>
    </row>
    <row r="3845" spans="2:7">
      <c r="B3845" s="821" t="str">
        <f>+'4M'!BN42</f>
        <v>S3A00006STP</v>
      </c>
      <c r="D3845" s="1882"/>
      <c r="E3845" s="1628" t="s">
        <v>8339</v>
      </c>
      <c r="F3845" s="1882" t="str">
        <f>+'4M'!C$42</f>
        <v>Capital expenditure purpose - WASTEWATER additional line 6 [Other categories]</v>
      </c>
      <c r="G3845" s="1882" t="str">
        <f>IF('4M'!L42="","##BLANK",'4M'!L42)</f>
        <v>##BLANK</v>
      </c>
    </row>
    <row r="3846" spans="2:7">
      <c r="B3846" s="821" t="str">
        <f>+'4M'!BN43</f>
        <v>S3A00007STP</v>
      </c>
      <c r="D3846" s="1882"/>
      <c r="E3846" s="1628" t="s">
        <v>8339</v>
      </c>
      <c r="F3846" s="1882" t="str">
        <f>+'4M'!C$43</f>
        <v>Capital expenditure purpose - WASTEWATER additional line 7 [Other categories]</v>
      </c>
      <c r="G3846" s="1882" t="str">
        <f>IF('4M'!L43="","##BLANK",'4M'!L43)</f>
        <v>##BLANK</v>
      </c>
    </row>
    <row r="3847" spans="2:7">
      <c r="B3847" s="821" t="str">
        <f>+'4M'!BN44</f>
        <v>S3A00008STP</v>
      </c>
      <c r="D3847" s="1882"/>
      <c r="E3847" s="1628" t="s">
        <v>8339</v>
      </c>
      <c r="F3847" s="1882" t="str">
        <f>+'4M'!C$44</f>
        <v>Capital expenditure purpose - WASTEWATER additional line 8 [Other categories]</v>
      </c>
      <c r="G3847" s="1882" t="str">
        <f>IF('4M'!L44="","##BLANK",'4M'!L44)</f>
        <v>##BLANK</v>
      </c>
    </row>
    <row r="3848" spans="2:7">
      <c r="B3848" s="821" t="str">
        <f>+'4M'!BN45</f>
        <v>S3A00009STP</v>
      </c>
      <c r="D3848" s="1882"/>
      <c r="E3848" s="1628" t="s">
        <v>8339</v>
      </c>
      <c r="F3848" s="1882" t="str">
        <f>+'4M'!C$45</f>
        <v>Capital expenditure purpose - WASTEWATER additional line 9 [Other categories]</v>
      </c>
      <c r="G3848" s="1882" t="str">
        <f>IF('4M'!L45="","##BLANK",'4M'!L45)</f>
        <v>##BLANK</v>
      </c>
    </row>
    <row r="3849" spans="2:7">
      <c r="B3849" s="821" t="str">
        <f>+'4M'!BN46</f>
        <v>S3A00010STP</v>
      </c>
      <c r="D3849" s="1882"/>
      <c r="E3849" s="1628" t="s">
        <v>8339</v>
      </c>
      <c r="F3849" s="1882" t="str">
        <f>+'4M'!C$46</f>
        <v>Capital expenditure purpose - WASTEWATER additional line 10 [Other categories]</v>
      </c>
      <c r="G3849" s="1882" t="str">
        <f>IF('4M'!L46="","##BLANK",'4M'!L46)</f>
        <v>##BLANK</v>
      </c>
    </row>
    <row r="3850" spans="2:7">
      <c r="B3850" s="821" t="str">
        <f>+'4M'!BN47</f>
        <v>S3A00011STP</v>
      </c>
      <c r="D3850" s="1882"/>
      <c r="E3850" s="1628" t="s">
        <v>8339</v>
      </c>
      <c r="F3850" s="1882" t="str">
        <f>+'4M'!C$47</f>
        <v>Capital expenditure purpose - WASTEWATER additional line 11 [Other categories]</v>
      </c>
      <c r="G3850" s="1882" t="str">
        <f>IF('4M'!L47="","##BLANK",'4M'!L47)</f>
        <v>##BLANK</v>
      </c>
    </row>
    <row r="3851" spans="2:7">
      <c r="B3851" s="821" t="str">
        <f>+'4M'!BN48</f>
        <v>S3A00012STP</v>
      </c>
      <c r="D3851" s="1882"/>
      <c r="E3851" s="1628" t="s">
        <v>8339</v>
      </c>
      <c r="F3851" s="1882" t="str">
        <f>+'4M'!C$48</f>
        <v>Capital expenditure purpose - WASTEWATER additional line 12 [Other categories]</v>
      </c>
      <c r="G3851" s="1882" t="str">
        <f>IF('4M'!L48="","##BLANK",'4M'!L48)</f>
        <v>##BLANK</v>
      </c>
    </row>
    <row r="3852" spans="2:7">
      <c r="B3852" s="821" t="str">
        <f>+'4M'!BN49</f>
        <v>S3A00013STP</v>
      </c>
      <c r="D3852" s="1882"/>
      <c r="E3852" s="1628" t="s">
        <v>8339</v>
      </c>
      <c r="F3852" s="1882" t="str">
        <f>+'4M'!C$49</f>
        <v>Capital expenditure purpose - WASTEWATER additional line 13 [Other categories]</v>
      </c>
      <c r="G3852" s="1882" t="str">
        <f>IF('4M'!L49="","##BLANK",'4M'!L49)</f>
        <v>##BLANK</v>
      </c>
    </row>
    <row r="3853" spans="2:7">
      <c r="B3853" s="821" t="str">
        <f>+'4M'!BN50</f>
        <v>S3A00014STP</v>
      </c>
      <c r="D3853" s="1882"/>
      <c r="E3853" s="1628" t="s">
        <v>8339</v>
      </c>
      <c r="F3853" s="1882" t="str">
        <f>+'4M'!C$50</f>
        <v>Capital expenditure purpose - WASTEWATER additional line 14 [Other categories]</v>
      </c>
      <c r="G3853" s="1882" t="str">
        <f>IF('4M'!L50="","##BLANK",'4M'!L50)</f>
        <v>##BLANK</v>
      </c>
    </row>
    <row r="3854" spans="2:7">
      <c r="B3854" s="821" t="str">
        <f>+'4M'!BN51</f>
        <v>S3A00015STP</v>
      </c>
      <c r="D3854" s="1882"/>
      <c r="E3854" s="1628" t="s">
        <v>8339</v>
      </c>
      <c r="F3854" s="1882" t="str">
        <f>+'4M'!C$51</f>
        <v>Capital expenditure purpose - WASTEWATER additional line 15 [Other categories]</v>
      </c>
      <c r="G3854" s="1882" t="str">
        <f>IF('4M'!L51="","##BLANK",'4M'!L51)</f>
        <v>##BLANK</v>
      </c>
    </row>
    <row r="3855" spans="2:7">
      <c r="B3855" s="821" t="str">
        <f>+'4M'!BN52</f>
        <v>S3025ENHSTP</v>
      </c>
      <c r="D3855" s="1882"/>
      <c r="E3855" s="1628" t="s">
        <v>8339</v>
      </c>
      <c r="F3855" s="1882"/>
      <c r="G3855" s="1882">
        <f>IF('4M'!L52="","##BLANK",'4M'!L52)</f>
        <v>0</v>
      </c>
    </row>
    <row r="3856" spans="2:7">
      <c r="B3856" s="821" t="str">
        <f>+'4M'!BO8</f>
        <v>BC31379SDT</v>
      </c>
      <c r="D3856" s="1882"/>
      <c r="E3856" s="1628" t="s">
        <v>8339</v>
      </c>
      <c r="F3856" s="1882"/>
      <c r="G3856" s="1882" t="str">
        <f>IF('4M'!M8="","##BLANK",'4M'!M8)</f>
        <v>##BLANK</v>
      </c>
    </row>
    <row r="3857" spans="2:7">
      <c r="B3857" s="821" t="str">
        <f>+'4M'!BO9</f>
        <v>S3035QSDT</v>
      </c>
      <c r="D3857" s="1882"/>
      <c r="E3857" s="1628" t="s">
        <v>8339</v>
      </c>
      <c r="F3857" s="1882"/>
      <c r="G3857" s="1882" t="str">
        <f>IF('4M'!M9="","##BLANK",'4M'!M9)</f>
        <v>##BLANK</v>
      </c>
    </row>
    <row r="3858" spans="2:7">
      <c r="B3858" s="821" t="str">
        <f>+'4M'!BO10</f>
        <v>S3036GSDT</v>
      </c>
      <c r="D3858" s="1882"/>
      <c r="E3858" s="1628" t="s">
        <v>8339</v>
      </c>
      <c r="F3858" s="1882"/>
      <c r="G3858" s="1882" t="str">
        <f>IF('4M'!M10="","##BLANK",'4M'!M10)</f>
        <v>##BLANK</v>
      </c>
    </row>
    <row r="3859" spans="2:7">
      <c r="B3859" s="821" t="str">
        <f>+'4M'!BO11</f>
        <v>S3004SDT</v>
      </c>
      <c r="D3859" s="1882"/>
      <c r="E3859" s="1628" t="s">
        <v>8339</v>
      </c>
      <c r="F3859" s="1882"/>
      <c r="G3859" s="1882" t="str">
        <f>IF('4M'!M11="","##BLANK",'4M'!M11)</f>
        <v>##BLANK</v>
      </c>
    </row>
    <row r="3860" spans="2:7">
      <c r="B3860" s="821" t="str">
        <f>+'4M'!BO12</f>
        <v>WWS2001SDT</v>
      </c>
      <c r="D3860" s="1882"/>
      <c r="E3860" s="1628" t="s">
        <v>8339</v>
      </c>
      <c r="F3860" s="1882"/>
      <c r="G3860" s="1882" t="str">
        <f>IF('4M'!M12="","##BLANK",'4M'!M12)</f>
        <v>##BLANK</v>
      </c>
    </row>
    <row r="3861" spans="2:7">
      <c r="B3861" s="821" t="str">
        <f>+'4M'!BO13</f>
        <v>S3005SDT</v>
      </c>
      <c r="D3861" s="1882"/>
      <c r="E3861" s="1628" t="s">
        <v>8339</v>
      </c>
      <c r="F3861" s="1882"/>
      <c r="G3861" s="1882" t="str">
        <f>IF('4M'!M13="","##BLANK",'4M'!M13)</f>
        <v>##BLANK</v>
      </c>
    </row>
    <row r="3862" spans="2:7">
      <c r="B3862" s="821" t="str">
        <f>+'4M'!BO14</f>
        <v>S3006SDT</v>
      </c>
      <c r="D3862" s="1882"/>
      <c r="E3862" s="1628" t="s">
        <v>8339</v>
      </c>
      <c r="F3862" s="1882"/>
      <c r="G3862" s="1882" t="str">
        <f>IF('4M'!M14="","##BLANK",'4M'!M14)</f>
        <v>##BLANK</v>
      </c>
    </row>
    <row r="3863" spans="2:7">
      <c r="B3863" s="821" t="str">
        <f>+'4M'!BO15</f>
        <v>S3007SDT</v>
      </c>
      <c r="D3863" s="1882"/>
      <c r="E3863" s="1628" t="s">
        <v>8339</v>
      </c>
      <c r="F3863" s="1882"/>
      <c r="G3863" s="1882" t="str">
        <f>IF('4M'!M15="","##BLANK",'4M'!M15)</f>
        <v>##BLANK</v>
      </c>
    </row>
    <row r="3864" spans="2:7">
      <c r="B3864" s="821" t="str">
        <f>+'4M'!BO16</f>
        <v>WWS2002SDT</v>
      </c>
      <c r="D3864" s="1882"/>
      <c r="E3864" s="1628" t="s">
        <v>8339</v>
      </c>
      <c r="F3864" s="1882"/>
      <c r="G3864" s="1882" t="str">
        <f>IF('4M'!M16="","##BLANK",'4M'!M16)</f>
        <v>##BLANK</v>
      </c>
    </row>
    <row r="3865" spans="2:7">
      <c r="B3865" s="821" t="str">
        <f>+'4M'!BO17</f>
        <v>WWS2003SDT</v>
      </c>
      <c r="D3865" s="1882"/>
      <c r="E3865" s="1628" t="s">
        <v>8339</v>
      </c>
      <c r="F3865" s="1882"/>
      <c r="G3865" s="1882" t="str">
        <f>IF('4M'!M17="","##BLANK",'4M'!M17)</f>
        <v>##BLANK</v>
      </c>
    </row>
    <row r="3866" spans="2:7">
      <c r="B3866" s="821" t="str">
        <f>+'4M'!BO18</f>
        <v>S3008SDT</v>
      </c>
      <c r="D3866" s="1882"/>
      <c r="E3866" s="1628" t="s">
        <v>8339</v>
      </c>
      <c r="F3866" s="1882"/>
      <c r="G3866" s="1882" t="str">
        <f>IF('4M'!M18="","##BLANK",'4M'!M18)</f>
        <v>##BLANK</v>
      </c>
    </row>
    <row r="3867" spans="2:7">
      <c r="B3867" s="821" t="str">
        <f>+'4M'!BO19</f>
        <v>S3009SDT</v>
      </c>
      <c r="D3867" s="1882"/>
      <c r="E3867" s="1628" t="s">
        <v>8339</v>
      </c>
      <c r="F3867" s="1882"/>
      <c r="G3867" s="1882" t="str">
        <f>IF('4M'!M19="","##BLANK",'4M'!M19)</f>
        <v>##BLANK</v>
      </c>
    </row>
    <row r="3868" spans="2:7">
      <c r="B3868" s="821" t="str">
        <f>+'4M'!BO20</f>
        <v>WWS2007SDT</v>
      </c>
      <c r="D3868" s="1882"/>
      <c r="E3868" s="1628" t="s">
        <v>8339</v>
      </c>
      <c r="F3868" s="1882"/>
      <c r="G3868" s="1882" t="str">
        <f>IF('4M'!M20="","##BLANK",'4M'!M20)</f>
        <v>##BLANK</v>
      </c>
    </row>
    <row r="3869" spans="2:7">
      <c r="B3869" s="821" t="str">
        <f>+'4M'!BO21</f>
        <v>S3010SDT</v>
      </c>
      <c r="D3869" s="1882"/>
      <c r="E3869" s="1628" t="s">
        <v>8339</v>
      </c>
      <c r="F3869" s="1882"/>
      <c r="G3869" s="1882" t="str">
        <f>IF('4M'!M21="","##BLANK",'4M'!M21)</f>
        <v>##BLANK</v>
      </c>
    </row>
    <row r="3870" spans="2:7">
      <c r="B3870" s="821" t="str">
        <f>+'4M'!BO22</f>
        <v>S3011SDT</v>
      </c>
      <c r="D3870" s="1882"/>
      <c r="E3870" s="1628" t="s">
        <v>8339</v>
      </c>
      <c r="F3870" s="1882"/>
      <c r="G3870" s="1882" t="str">
        <f>IF('4M'!M22="","##BLANK",'4M'!M22)</f>
        <v>##BLANK</v>
      </c>
    </row>
    <row r="3871" spans="2:7">
      <c r="B3871" s="821" t="str">
        <f>+'4M'!BO23</f>
        <v>S3012SDT</v>
      </c>
      <c r="D3871" s="1882"/>
      <c r="E3871" s="1628" t="s">
        <v>8339</v>
      </c>
      <c r="F3871" s="1882"/>
      <c r="G3871" s="1882" t="str">
        <f>IF('4M'!M23="","##BLANK",'4M'!M23)</f>
        <v>##BLANK</v>
      </c>
    </row>
    <row r="3872" spans="2:7">
      <c r="B3872" s="821" t="str">
        <f>+'4M'!BO24</f>
        <v>S3013SDT</v>
      </c>
      <c r="D3872" s="1882"/>
      <c r="E3872" s="1628" t="s">
        <v>8339</v>
      </c>
      <c r="F3872" s="1882"/>
      <c r="G3872" s="1882" t="str">
        <f>IF('4M'!M24="","##BLANK",'4M'!M24)</f>
        <v>##BLANK</v>
      </c>
    </row>
    <row r="3873" spans="2:7">
      <c r="B3873" s="821" t="str">
        <f>+'4M'!BO25</f>
        <v>S3014SDT</v>
      </c>
      <c r="D3873" s="1882"/>
      <c r="E3873" s="1628" t="s">
        <v>8339</v>
      </c>
      <c r="F3873" s="1882"/>
      <c r="G3873" s="1882" t="str">
        <f>IF('4M'!M25="","##BLANK",'4M'!M25)</f>
        <v>##BLANK</v>
      </c>
    </row>
    <row r="3874" spans="2:7">
      <c r="B3874" s="821" t="str">
        <f>+'4M'!BO26</f>
        <v>S3015SDT</v>
      </c>
      <c r="D3874" s="1882"/>
      <c r="E3874" s="1628" t="s">
        <v>8339</v>
      </c>
      <c r="F3874" s="1882"/>
      <c r="G3874" s="1882" t="str">
        <f>IF('4M'!M26="","##BLANK",'4M'!M26)</f>
        <v>##BLANK</v>
      </c>
    </row>
    <row r="3875" spans="2:7">
      <c r="B3875" s="821" t="str">
        <f>+'4M'!BO27</f>
        <v>S3016SDT</v>
      </c>
      <c r="D3875" s="1882"/>
      <c r="E3875" s="1628" t="s">
        <v>8339</v>
      </c>
      <c r="F3875" s="1882"/>
      <c r="G3875" s="1882" t="str">
        <f>IF('4M'!M27="","##BLANK",'4M'!M27)</f>
        <v>##BLANK</v>
      </c>
    </row>
    <row r="3876" spans="2:7">
      <c r="B3876" s="821" t="str">
        <f>+'4M'!BO28</f>
        <v>S3017SDT</v>
      </c>
      <c r="D3876" s="1882"/>
      <c r="E3876" s="1628" t="s">
        <v>8339</v>
      </c>
      <c r="F3876" s="1882"/>
      <c r="G3876" s="1882" t="str">
        <f>IF('4M'!M28="","##BLANK",'4M'!M28)</f>
        <v>##BLANK</v>
      </c>
    </row>
    <row r="3877" spans="2:7">
      <c r="B3877" s="821" t="str">
        <f>+'4M'!BO29</f>
        <v>S3018SDT</v>
      </c>
      <c r="D3877" s="1882"/>
      <c r="E3877" s="1628" t="s">
        <v>8339</v>
      </c>
      <c r="F3877" s="1882"/>
      <c r="G3877" s="1882" t="str">
        <f>IF('4M'!M29="","##BLANK",'4M'!M29)</f>
        <v>##BLANK</v>
      </c>
    </row>
    <row r="3878" spans="2:7">
      <c r="B3878" s="821" t="str">
        <f>+'4M'!BO30</f>
        <v>S3019SDT</v>
      </c>
      <c r="D3878" s="1882"/>
      <c r="E3878" s="1628" t="s">
        <v>8339</v>
      </c>
      <c r="F3878" s="1882"/>
      <c r="G3878" s="1882" t="str">
        <f>IF('4M'!M30="","##BLANK",'4M'!M30)</f>
        <v>##BLANK</v>
      </c>
    </row>
    <row r="3879" spans="2:7">
      <c r="B3879" s="821" t="str">
        <f>+'4M'!BO31</f>
        <v>S3020SDT</v>
      </c>
      <c r="D3879" s="1882"/>
      <c r="E3879" s="1628" t="s">
        <v>8339</v>
      </c>
      <c r="F3879" s="1882"/>
      <c r="G3879" s="1882" t="str">
        <f>IF('4M'!M31="","##BLANK",'4M'!M31)</f>
        <v>##BLANK</v>
      </c>
    </row>
    <row r="3880" spans="2:7">
      <c r="B3880" s="821" t="str">
        <f>+'4M'!BO32</f>
        <v>S3021SDT</v>
      </c>
      <c r="D3880" s="1882"/>
      <c r="E3880" s="1628" t="s">
        <v>8339</v>
      </c>
      <c r="F3880" s="1882"/>
      <c r="G3880" s="1882" t="str">
        <f>IF('4M'!M32="","##BLANK",'4M'!M32)</f>
        <v>##BLANK</v>
      </c>
    </row>
    <row r="3881" spans="2:7">
      <c r="B3881" s="821" t="str">
        <f>+'4M'!BO33</f>
        <v>S3022SDT</v>
      </c>
      <c r="D3881" s="1882"/>
      <c r="E3881" s="1628" t="s">
        <v>8339</v>
      </c>
      <c r="F3881" s="1882"/>
      <c r="G3881" s="1882" t="str">
        <f>IF('4M'!M33="","##BLANK",'4M'!M33)</f>
        <v>##BLANK</v>
      </c>
    </row>
    <row r="3882" spans="2:7">
      <c r="B3882" s="821" t="str">
        <f>+'4M'!BO34</f>
        <v>BC31785SDT</v>
      </c>
      <c r="D3882" s="1882"/>
      <c r="E3882" s="1628" t="s">
        <v>8339</v>
      </c>
      <c r="F3882" s="1882"/>
      <c r="G3882" s="1882" t="str">
        <f>IF('4M'!M34="","##BLANK",'4M'!M34)</f>
        <v>##BLANK</v>
      </c>
    </row>
    <row r="3883" spans="2:7">
      <c r="B3883" s="821" t="str">
        <f>+'4M'!BO35</f>
        <v>S3023SDT</v>
      </c>
      <c r="D3883" s="1882"/>
      <c r="E3883" s="1628" t="s">
        <v>8339</v>
      </c>
      <c r="F3883" s="1882"/>
      <c r="G3883" s="1882" t="str">
        <f>IF('4M'!M35="","##BLANK",'4M'!M35)</f>
        <v>##BLANK</v>
      </c>
    </row>
    <row r="3884" spans="2:7">
      <c r="B3884" s="821" t="str">
        <f>+'4M'!BO36</f>
        <v>S3024SDT</v>
      </c>
      <c r="D3884" s="1882"/>
      <c r="E3884" s="1628" t="s">
        <v>8339</v>
      </c>
      <c r="F3884" s="1882"/>
      <c r="G3884" s="1882" t="str">
        <f>IF('4M'!M36="","##BLANK",'4M'!M36)</f>
        <v>##BLANK</v>
      </c>
    </row>
    <row r="3885" spans="2:7">
      <c r="B3885" s="821" t="str">
        <f>+'4M'!BO37</f>
        <v>S3A00001SDT</v>
      </c>
      <c r="D3885" s="1882"/>
      <c r="E3885" s="1628" t="s">
        <v>8339</v>
      </c>
      <c r="F3885" s="1882" t="str">
        <f>+'4M'!C$37</f>
        <v>Capital expenditure purpose - WASTEWATER additional line 1 [Other categories]</v>
      </c>
      <c r="G3885" s="1882" t="str">
        <f>IF('4M'!M37="","##BLANK",'4M'!M37)</f>
        <v>##BLANK</v>
      </c>
    </row>
    <row r="3886" spans="2:7">
      <c r="B3886" s="821" t="str">
        <f>+'4M'!BO38</f>
        <v>S3A00002SDT</v>
      </c>
      <c r="D3886" s="1882"/>
      <c r="E3886" s="1628" t="s">
        <v>8339</v>
      </c>
      <c r="F3886" s="1882" t="str">
        <f>+'4M'!C$38</f>
        <v>Capital expenditure purpose - WASTEWATER additional line 2 [Other categories]</v>
      </c>
      <c r="G3886" s="1882" t="str">
        <f>IF('4M'!M38="","##BLANK",'4M'!M38)</f>
        <v>##BLANK</v>
      </c>
    </row>
    <row r="3887" spans="2:7">
      <c r="B3887" s="821" t="str">
        <f>+'4M'!BO39</f>
        <v>S3A00003SDT</v>
      </c>
      <c r="D3887" s="1882"/>
      <c r="E3887" s="1628" t="s">
        <v>8339</v>
      </c>
      <c r="F3887" s="1882" t="str">
        <f>+'4M'!C$39</f>
        <v>Capital expenditure purpose - WASTEWATER additional line 3 [Other categories]</v>
      </c>
      <c r="G3887" s="1882" t="str">
        <f>IF('4M'!M39="","##BLANK",'4M'!M39)</f>
        <v>##BLANK</v>
      </c>
    </row>
    <row r="3888" spans="2:7">
      <c r="B3888" s="821" t="str">
        <f>+'4M'!BO40</f>
        <v>S3A00004SDT</v>
      </c>
      <c r="D3888" s="1882"/>
      <c r="E3888" s="1628" t="s">
        <v>8339</v>
      </c>
      <c r="F3888" s="1882" t="str">
        <f>+'4M'!C$40</f>
        <v>Capital expenditure purpose - WASTEWATER additional line 4 [Other categories]</v>
      </c>
      <c r="G3888" s="1882" t="str">
        <f>IF('4M'!M40="","##BLANK",'4M'!M40)</f>
        <v>##BLANK</v>
      </c>
    </row>
    <row r="3889" spans="2:7">
      <c r="B3889" s="821" t="str">
        <f>+'4M'!BO41</f>
        <v>S3A00005SDT</v>
      </c>
      <c r="D3889" s="1882"/>
      <c r="E3889" s="1628" t="s">
        <v>8339</v>
      </c>
      <c r="F3889" s="1882" t="str">
        <f>+'4M'!C$41</f>
        <v>Capital expenditure purpose - WASTEWATER additional line 5 [Other categories]</v>
      </c>
      <c r="G3889" s="1882" t="str">
        <f>IF('4M'!M41="","##BLANK",'4M'!M41)</f>
        <v>##BLANK</v>
      </c>
    </row>
    <row r="3890" spans="2:7">
      <c r="B3890" s="821" t="str">
        <f>+'4M'!BO42</f>
        <v>S3A00006SDT</v>
      </c>
      <c r="D3890" s="1882"/>
      <c r="E3890" s="1628" t="s">
        <v>8339</v>
      </c>
      <c r="F3890" s="1882" t="str">
        <f>+'4M'!C$42</f>
        <v>Capital expenditure purpose - WASTEWATER additional line 6 [Other categories]</v>
      </c>
      <c r="G3890" s="1882" t="str">
        <f>IF('4M'!M42="","##BLANK",'4M'!M42)</f>
        <v>##BLANK</v>
      </c>
    </row>
    <row r="3891" spans="2:7">
      <c r="B3891" s="821" t="str">
        <f>+'4M'!BO43</f>
        <v>S3A00007SDT</v>
      </c>
      <c r="D3891" s="1882"/>
      <c r="E3891" s="1628" t="s">
        <v>8339</v>
      </c>
      <c r="F3891" s="1882" t="str">
        <f>+'4M'!C$43</f>
        <v>Capital expenditure purpose - WASTEWATER additional line 7 [Other categories]</v>
      </c>
      <c r="G3891" s="1882" t="str">
        <f>IF('4M'!M43="","##BLANK",'4M'!M43)</f>
        <v>##BLANK</v>
      </c>
    </row>
    <row r="3892" spans="2:7">
      <c r="B3892" s="821" t="str">
        <f>+'4M'!BO44</f>
        <v>S3A00008SDT</v>
      </c>
      <c r="D3892" s="1882"/>
      <c r="E3892" s="1628" t="s">
        <v>8339</v>
      </c>
      <c r="F3892" s="1882" t="str">
        <f>+'4M'!C$44</f>
        <v>Capital expenditure purpose - WASTEWATER additional line 8 [Other categories]</v>
      </c>
      <c r="G3892" s="1882" t="str">
        <f>IF('4M'!M44="","##BLANK",'4M'!M44)</f>
        <v>##BLANK</v>
      </c>
    </row>
    <row r="3893" spans="2:7">
      <c r="B3893" s="821" t="str">
        <f>+'4M'!BO45</f>
        <v>S3A00009SDT</v>
      </c>
      <c r="D3893" s="1882"/>
      <c r="E3893" s="1628" t="s">
        <v>8339</v>
      </c>
      <c r="F3893" s="1882" t="str">
        <f>+'4M'!C$45</f>
        <v>Capital expenditure purpose - WASTEWATER additional line 9 [Other categories]</v>
      </c>
      <c r="G3893" s="1882" t="str">
        <f>IF('4M'!M45="","##BLANK",'4M'!M45)</f>
        <v>##BLANK</v>
      </c>
    </row>
    <row r="3894" spans="2:7">
      <c r="B3894" s="821" t="str">
        <f>+'4M'!BO46</f>
        <v>S3A00010SDT</v>
      </c>
      <c r="D3894" s="1882"/>
      <c r="E3894" s="1628" t="s">
        <v>8339</v>
      </c>
      <c r="F3894" s="1882" t="str">
        <f>+'4M'!C$46</f>
        <v>Capital expenditure purpose - WASTEWATER additional line 10 [Other categories]</v>
      </c>
      <c r="G3894" s="1882" t="str">
        <f>IF('4M'!M46="","##BLANK",'4M'!M46)</f>
        <v>##BLANK</v>
      </c>
    </row>
    <row r="3895" spans="2:7">
      <c r="B3895" s="821" t="str">
        <f>+'4M'!BO47</f>
        <v>S3A00011SDT</v>
      </c>
      <c r="D3895" s="1882"/>
      <c r="E3895" s="1628" t="s">
        <v>8339</v>
      </c>
      <c r="F3895" s="1882" t="str">
        <f>+'4M'!C$47</f>
        <v>Capital expenditure purpose - WASTEWATER additional line 11 [Other categories]</v>
      </c>
      <c r="G3895" s="1882" t="str">
        <f>IF('4M'!M47="","##BLANK",'4M'!M47)</f>
        <v>##BLANK</v>
      </c>
    </row>
    <row r="3896" spans="2:7">
      <c r="B3896" s="821" t="str">
        <f>+'4M'!BO48</f>
        <v>S3A00012SDT</v>
      </c>
      <c r="D3896" s="1882"/>
      <c r="E3896" s="1628" t="s">
        <v>8339</v>
      </c>
      <c r="F3896" s="1882" t="str">
        <f>+'4M'!C$48</f>
        <v>Capital expenditure purpose - WASTEWATER additional line 12 [Other categories]</v>
      </c>
      <c r="G3896" s="1882" t="str">
        <f>IF('4M'!M48="","##BLANK",'4M'!M48)</f>
        <v>##BLANK</v>
      </c>
    </row>
    <row r="3897" spans="2:7">
      <c r="B3897" s="821" t="str">
        <f>+'4M'!BO49</f>
        <v>S3A00013SDT</v>
      </c>
      <c r="D3897" s="1882"/>
      <c r="E3897" s="1628" t="s">
        <v>8339</v>
      </c>
      <c r="F3897" s="1882" t="str">
        <f>+'4M'!C$49</f>
        <v>Capital expenditure purpose - WASTEWATER additional line 13 [Other categories]</v>
      </c>
      <c r="G3897" s="1882" t="str">
        <f>IF('4M'!M49="","##BLANK",'4M'!M49)</f>
        <v>##BLANK</v>
      </c>
    </row>
    <row r="3898" spans="2:7">
      <c r="B3898" s="821" t="str">
        <f>+'4M'!BO50</f>
        <v>S3A00014SDT</v>
      </c>
      <c r="D3898" s="1882"/>
      <c r="E3898" s="1628" t="s">
        <v>8339</v>
      </c>
      <c r="F3898" s="1882" t="str">
        <f>+'4M'!C$50</f>
        <v>Capital expenditure purpose - WASTEWATER additional line 14 [Other categories]</v>
      </c>
      <c r="G3898" s="1882" t="str">
        <f>IF('4M'!M50="","##BLANK",'4M'!M50)</f>
        <v>##BLANK</v>
      </c>
    </row>
    <row r="3899" spans="2:7">
      <c r="B3899" s="821" t="str">
        <f>+'4M'!BO51</f>
        <v>S3A00015SDT</v>
      </c>
      <c r="D3899" s="1882"/>
      <c r="E3899" s="1628" t="s">
        <v>8339</v>
      </c>
      <c r="F3899" s="1882" t="str">
        <f>+'4M'!C$51</f>
        <v>Capital expenditure purpose - WASTEWATER additional line 15 [Other categories]</v>
      </c>
      <c r="G3899" s="1882" t="str">
        <f>IF('4M'!M51="","##BLANK",'4M'!M51)</f>
        <v>##BLANK</v>
      </c>
    </row>
    <row r="3900" spans="2:7">
      <c r="B3900" s="821" t="str">
        <f>+'4M'!BO52</f>
        <v>S3025ENHSDT</v>
      </c>
      <c r="D3900" s="1882"/>
      <c r="E3900" s="1628" t="s">
        <v>8339</v>
      </c>
      <c r="F3900" s="1882"/>
      <c r="G3900" s="1882">
        <f>IF('4M'!M52="","##BLANK",'4M'!M52)</f>
        <v>0</v>
      </c>
    </row>
    <row r="3901" spans="2:7">
      <c r="B3901" s="821" t="str">
        <f>+'4M'!BP8</f>
        <v>BC31379SDD</v>
      </c>
      <c r="D3901" s="1882"/>
      <c r="E3901" s="1628" t="s">
        <v>8339</v>
      </c>
      <c r="F3901" s="1882"/>
      <c r="G3901" s="1882" t="str">
        <f>IF('4M'!N8="","##BLANK",'4M'!N8)</f>
        <v>##BLANK</v>
      </c>
    </row>
    <row r="3902" spans="2:7">
      <c r="B3902" s="821" t="str">
        <f>+'4M'!BP9</f>
        <v>S3035QSDD</v>
      </c>
      <c r="D3902" s="1882"/>
      <c r="E3902" s="1628" t="s">
        <v>8339</v>
      </c>
      <c r="F3902" s="1882"/>
      <c r="G3902" s="1882" t="str">
        <f>IF('4M'!N9="","##BLANK",'4M'!N9)</f>
        <v>##BLANK</v>
      </c>
    </row>
    <row r="3903" spans="2:7">
      <c r="B3903" s="821" t="str">
        <f>+'4M'!BP10</f>
        <v>S3036GSDD</v>
      </c>
      <c r="D3903" s="1882"/>
      <c r="E3903" s="1628" t="s">
        <v>8339</v>
      </c>
      <c r="F3903" s="1882"/>
      <c r="G3903" s="1882" t="str">
        <f>IF('4M'!N10="","##BLANK",'4M'!N10)</f>
        <v>##BLANK</v>
      </c>
    </row>
    <row r="3904" spans="2:7">
      <c r="B3904" s="821" t="str">
        <f>+'4M'!BP11</f>
        <v>S3004SDD</v>
      </c>
      <c r="D3904" s="1882"/>
      <c r="E3904" s="1628" t="s">
        <v>8339</v>
      </c>
      <c r="F3904" s="1882"/>
      <c r="G3904" s="1882" t="str">
        <f>IF('4M'!N11="","##BLANK",'4M'!N11)</f>
        <v>##BLANK</v>
      </c>
    </row>
    <row r="3905" spans="2:7">
      <c r="B3905" s="821" t="str">
        <f>+'4M'!BP12</f>
        <v>WWS2001SDD</v>
      </c>
      <c r="D3905" s="1882"/>
      <c r="E3905" s="1628" t="s">
        <v>8339</v>
      </c>
      <c r="F3905" s="1882"/>
      <c r="G3905" s="1882" t="str">
        <f>IF('4M'!N12="","##BLANK",'4M'!N12)</f>
        <v>##BLANK</v>
      </c>
    </row>
    <row r="3906" spans="2:7">
      <c r="B3906" s="821" t="str">
        <f>+'4M'!BP13</f>
        <v>S3005SDD</v>
      </c>
      <c r="D3906" s="1882"/>
      <c r="E3906" s="1628" t="s">
        <v>8339</v>
      </c>
      <c r="F3906" s="1882"/>
      <c r="G3906" s="1882" t="str">
        <f>IF('4M'!N13="","##BLANK",'4M'!N13)</f>
        <v>##BLANK</v>
      </c>
    </row>
    <row r="3907" spans="2:7">
      <c r="B3907" s="821" t="str">
        <f>+'4M'!BP14</f>
        <v>S3006SDD</v>
      </c>
      <c r="D3907" s="1882"/>
      <c r="E3907" s="1628" t="s">
        <v>8339</v>
      </c>
      <c r="F3907" s="1882"/>
      <c r="G3907" s="1882" t="str">
        <f>IF('4M'!N14="","##BLANK",'4M'!N14)</f>
        <v>##BLANK</v>
      </c>
    </row>
    <row r="3908" spans="2:7">
      <c r="B3908" s="821" t="str">
        <f>+'4M'!BP15</f>
        <v>S3007SDD</v>
      </c>
      <c r="D3908" s="1882"/>
      <c r="E3908" s="1628" t="s">
        <v>8339</v>
      </c>
      <c r="F3908" s="1882"/>
      <c r="G3908" s="1882" t="str">
        <f>IF('4M'!N15="","##BLANK",'4M'!N15)</f>
        <v>##BLANK</v>
      </c>
    </row>
    <row r="3909" spans="2:7">
      <c r="B3909" s="821" t="str">
        <f>+'4M'!BP16</f>
        <v>WWS2002SDD</v>
      </c>
      <c r="D3909" s="1882"/>
      <c r="E3909" s="1628" t="s">
        <v>8339</v>
      </c>
      <c r="F3909" s="1882"/>
      <c r="G3909" s="1882" t="str">
        <f>IF('4M'!N16="","##BLANK",'4M'!N16)</f>
        <v>##BLANK</v>
      </c>
    </row>
    <row r="3910" spans="2:7">
      <c r="B3910" s="821" t="str">
        <f>+'4M'!BP17</f>
        <v>WWS2003SDD</v>
      </c>
      <c r="D3910" s="1882"/>
      <c r="E3910" s="1628" t="s">
        <v>8339</v>
      </c>
      <c r="F3910" s="1882"/>
      <c r="G3910" s="1882" t="str">
        <f>IF('4M'!N17="","##BLANK",'4M'!N17)</f>
        <v>##BLANK</v>
      </c>
    </row>
    <row r="3911" spans="2:7">
      <c r="B3911" s="821" t="str">
        <f>+'4M'!BP18</f>
        <v>S3008SDD</v>
      </c>
      <c r="D3911" s="1882"/>
      <c r="E3911" s="1628" t="s">
        <v>8339</v>
      </c>
      <c r="F3911" s="1882"/>
      <c r="G3911" s="1882" t="str">
        <f>IF('4M'!N18="","##BLANK",'4M'!N18)</f>
        <v>##BLANK</v>
      </c>
    </row>
    <row r="3912" spans="2:7">
      <c r="B3912" s="821" t="str">
        <f>+'4M'!BP19</f>
        <v>S3009SDD</v>
      </c>
      <c r="D3912" s="1882"/>
      <c r="E3912" s="1628" t="s">
        <v>8339</v>
      </c>
      <c r="F3912" s="1882"/>
      <c r="G3912" s="1882" t="str">
        <f>IF('4M'!N19="","##BLANK",'4M'!N19)</f>
        <v>##BLANK</v>
      </c>
    </row>
    <row r="3913" spans="2:7">
      <c r="B3913" s="821" t="str">
        <f>+'4M'!BP20</f>
        <v>WWS2007SDD</v>
      </c>
      <c r="D3913" s="1882"/>
      <c r="E3913" s="1628" t="s">
        <v>8339</v>
      </c>
      <c r="F3913" s="1882"/>
      <c r="G3913" s="1882" t="str">
        <f>IF('4M'!N20="","##BLANK",'4M'!N20)</f>
        <v>##BLANK</v>
      </c>
    </row>
    <row r="3914" spans="2:7">
      <c r="B3914" s="821" t="str">
        <f>+'4M'!BP21</f>
        <v>S3010SDD</v>
      </c>
      <c r="D3914" s="1882"/>
      <c r="E3914" s="1628" t="s">
        <v>8339</v>
      </c>
      <c r="F3914" s="1882"/>
      <c r="G3914" s="1882" t="str">
        <f>IF('4M'!N21="","##BLANK",'4M'!N21)</f>
        <v>##BLANK</v>
      </c>
    </row>
    <row r="3915" spans="2:7">
      <c r="B3915" s="821" t="str">
        <f>+'4M'!BP22</f>
        <v>S3011SDD</v>
      </c>
      <c r="D3915" s="1882"/>
      <c r="E3915" s="1628" t="s">
        <v>8339</v>
      </c>
      <c r="F3915" s="1882"/>
      <c r="G3915" s="1882" t="str">
        <f>IF('4M'!N22="","##BLANK",'4M'!N22)</f>
        <v>##BLANK</v>
      </c>
    </row>
    <row r="3916" spans="2:7">
      <c r="B3916" s="821" t="str">
        <f>+'4M'!BP23</f>
        <v>S3012SDD</v>
      </c>
      <c r="D3916" s="1882"/>
      <c r="E3916" s="1628" t="s">
        <v>8339</v>
      </c>
      <c r="F3916" s="1882"/>
      <c r="G3916" s="1882" t="str">
        <f>IF('4M'!N23="","##BLANK",'4M'!N23)</f>
        <v>##BLANK</v>
      </c>
    </row>
    <row r="3917" spans="2:7">
      <c r="B3917" s="821" t="str">
        <f>+'4M'!BP24</f>
        <v>S3013SDD</v>
      </c>
      <c r="D3917" s="1882"/>
      <c r="E3917" s="1628" t="s">
        <v>8339</v>
      </c>
      <c r="F3917" s="1882"/>
      <c r="G3917" s="1882" t="str">
        <f>IF('4M'!N24="","##BLANK",'4M'!N24)</f>
        <v>##BLANK</v>
      </c>
    </row>
    <row r="3918" spans="2:7">
      <c r="B3918" s="821" t="str">
        <f>+'4M'!BP25</f>
        <v>S3014SDD</v>
      </c>
      <c r="D3918" s="1882"/>
      <c r="E3918" s="1628" t="s">
        <v>8339</v>
      </c>
      <c r="F3918" s="1882"/>
      <c r="G3918" s="1882" t="str">
        <f>IF('4M'!N25="","##BLANK",'4M'!N25)</f>
        <v>##BLANK</v>
      </c>
    </row>
    <row r="3919" spans="2:7">
      <c r="B3919" s="821" t="str">
        <f>+'4M'!BP26</f>
        <v>S3015SDD</v>
      </c>
      <c r="D3919" s="1882"/>
      <c r="E3919" s="1628" t="s">
        <v>8339</v>
      </c>
      <c r="F3919" s="1882"/>
      <c r="G3919" s="1882" t="str">
        <f>IF('4M'!N26="","##BLANK",'4M'!N26)</f>
        <v>##BLANK</v>
      </c>
    </row>
    <row r="3920" spans="2:7">
      <c r="B3920" s="821" t="str">
        <f>+'4M'!BP27</f>
        <v>S3016SDD</v>
      </c>
      <c r="D3920" s="1882"/>
      <c r="E3920" s="1628" t="s">
        <v>8339</v>
      </c>
      <c r="F3920" s="1882"/>
      <c r="G3920" s="1882" t="str">
        <f>IF('4M'!N27="","##BLANK",'4M'!N27)</f>
        <v>##BLANK</v>
      </c>
    </row>
    <row r="3921" spans="2:7">
      <c r="B3921" s="821" t="str">
        <f>+'4M'!BP28</f>
        <v>S3017SDD</v>
      </c>
      <c r="D3921" s="1882"/>
      <c r="E3921" s="1628" t="s">
        <v>8339</v>
      </c>
      <c r="F3921" s="1882"/>
      <c r="G3921" s="1882" t="str">
        <f>IF('4M'!N28="","##BLANK",'4M'!N28)</f>
        <v>##BLANK</v>
      </c>
    </row>
    <row r="3922" spans="2:7">
      <c r="B3922" s="821" t="str">
        <f>+'4M'!BP29</f>
        <v>S3018SDD</v>
      </c>
      <c r="D3922" s="1882"/>
      <c r="E3922" s="1628" t="s">
        <v>8339</v>
      </c>
      <c r="F3922" s="1882"/>
      <c r="G3922" s="1882" t="str">
        <f>IF('4M'!N29="","##BLANK",'4M'!N29)</f>
        <v>##BLANK</v>
      </c>
    </row>
    <row r="3923" spans="2:7">
      <c r="B3923" s="821" t="str">
        <f>+'4M'!BP30</f>
        <v>S3019SDD</v>
      </c>
      <c r="D3923" s="1882"/>
      <c r="E3923" s="1628" t="s">
        <v>8339</v>
      </c>
      <c r="F3923" s="1882"/>
      <c r="G3923" s="1882" t="str">
        <f>IF('4M'!N30="","##BLANK",'4M'!N30)</f>
        <v>##BLANK</v>
      </c>
    </row>
    <row r="3924" spans="2:7">
      <c r="B3924" s="821" t="str">
        <f>+'4M'!BP31</f>
        <v>S3020SDD</v>
      </c>
      <c r="D3924" s="1882"/>
      <c r="E3924" s="1628" t="s">
        <v>8339</v>
      </c>
      <c r="F3924" s="1882"/>
      <c r="G3924" s="1882" t="str">
        <f>IF('4M'!N31="","##BLANK",'4M'!N31)</f>
        <v>##BLANK</v>
      </c>
    </row>
    <row r="3925" spans="2:7">
      <c r="B3925" s="821" t="str">
        <f>+'4M'!BP32</f>
        <v>S3021SDD</v>
      </c>
      <c r="D3925" s="1882"/>
      <c r="E3925" s="1628" t="s">
        <v>8339</v>
      </c>
      <c r="F3925" s="1882"/>
      <c r="G3925" s="1882" t="str">
        <f>IF('4M'!N32="","##BLANK",'4M'!N32)</f>
        <v>##BLANK</v>
      </c>
    </row>
    <row r="3926" spans="2:7">
      <c r="B3926" s="821" t="str">
        <f>+'4M'!BP33</f>
        <v>S3022SDD</v>
      </c>
      <c r="D3926" s="1882"/>
      <c r="E3926" s="1628" t="s">
        <v>8339</v>
      </c>
      <c r="F3926" s="1882"/>
      <c r="G3926" s="1882" t="str">
        <f>IF('4M'!N33="","##BLANK",'4M'!N33)</f>
        <v>##BLANK</v>
      </c>
    </row>
    <row r="3927" spans="2:7">
      <c r="B3927" s="821" t="str">
        <f>+'4M'!BP34</f>
        <v>BC31785SDD</v>
      </c>
      <c r="D3927" s="1882"/>
      <c r="E3927" s="1628" t="s">
        <v>8339</v>
      </c>
      <c r="F3927" s="1882"/>
      <c r="G3927" s="1882" t="str">
        <f>IF('4M'!N34="","##BLANK",'4M'!N34)</f>
        <v>##BLANK</v>
      </c>
    </row>
    <row r="3928" spans="2:7">
      <c r="B3928" s="821" t="str">
        <f>+'4M'!BP35</f>
        <v>S3023SDD</v>
      </c>
      <c r="D3928" s="1882"/>
      <c r="E3928" s="1628" t="s">
        <v>8339</v>
      </c>
      <c r="F3928" s="1882"/>
      <c r="G3928" s="1882" t="str">
        <f>IF('4M'!N35="","##BLANK",'4M'!N35)</f>
        <v>##BLANK</v>
      </c>
    </row>
    <row r="3929" spans="2:7">
      <c r="B3929" s="821" t="str">
        <f>+'4M'!BP36</f>
        <v>S3024SDD</v>
      </c>
      <c r="D3929" s="1882"/>
      <c r="E3929" s="1628" t="s">
        <v>8339</v>
      </c>
      <c r="F3929" s="1882"/>
      <c r="G3929" s="1882" t="str">
        <f>IF('4M'!N36="","##BLANK",'4M'!N36)</f>
        <v>##BLANK</v>
      </c>
    </row>
    <row r="3930" spans="2:7">
      <c r="B3930" s="821" t="str">
        <f>+'4M'!BP37</f>
        <v>S3A00001SDD</v>
      </c>
      <c r="D3930" s="1882"/>
      <c r="E3930" s="1628" t="s">
        <v>8339</v>
      </c>
      <c r="F3930" s="1882" t="str">
        <f>+'4M'!C$37</f>
        <v>Capital expenditure purpose - WASTEWATER additional line 1 [Other categories]</v>
      </c>
      <c r="G3930" s="1882" t="str">
        <f>IF('4M'!N37="","##BLANK",'4M'!N37)</f>
        <v>##BLANK</v>
      </c>
    </row>
    <row r="3931" spans="2:7">
      <c r="B3931" s="821" t="str">
        <f>+'4M'!BP38</f>
        <v>S3A00002SDD</v>
      </c>
      <c r="D3931" s="1882"/>
      <c r="E3931" s="1628" t="s">
        <v>8339</v>
      </c>
      <c r="F3931" s="1882" t="str">
        <f>+'4M'!C$38</f>
        <v>Capital expenditure purpose - WASTEWATER additional line 2 [Other categories]</v>
      </c>
      <c r="G3931" s="1882" t="str">
        <f>IF('4M'!N38="","##BLANK",'4M'!N38)</f>
        <v>##BLANK</v>
      </c>
    </row>
    <row r="3932" spans="2:7">
      <c r="B3932" s="821" t="str">
        <f>+'4M'!BP39</f>
        <v>S3A00003SDD</v>
      </c>
      <c r="D3932" s="1882"/>
      <c r="E3932" s="1628" t="s">
        <v>8339</v>
      </c>
      <c r="F3932" s="1882" t="str">
        <f>+'4M'!C$39</f>
        <v>Capital expenditure purpose - WASTEWATER additional line 3 [Other categories]</v>
      </c>
      <c r="G3932" s="1882" t="str">
        <f>IF('4M'!N39="","##BLANK",'4M'!N39)</f>
        <v>##BLANK</v>
      </c>
    </row>
    <row r="3933" spans="2:7">
      <c r="B3933" s="821" t="str">
        <f>+'4M'!BP40</f>
        <v>S3A00004SDD</v>
      </c>
      <c r="D3933" s="1882"/>
      <c r="E3933" s="1628" t="s">
        <v>8339</v>
      </c>
      <c r="F3933" s="1882" t="str">
        <f>+'4M'!C$40</f>
        <v>Capital expenditure purpose - WASTEWATER additional line 4 [Other categories]</v>
      </c>
      <c r="G3933" s="1882" t="str">
        <f>IF('4M'!N40="","##BLANK",'4M'!N40)</f>
        <v>##BLANK</v>
      </c>
    </row>
    <row r="3934" spans="2:7">
      <c r="B3934" s="821" t="str">
        <f>+'4M'!BP41</f>
        <v>S3A00005SDD</v>
      </c>
      <c r="D3934" s="1882"/>
      <c r="E3934" s="1628" t="s">
        <v>8339</v>
      </c>
      <c r="F3934" s="1882" t="str">
        <f>+'4M'!C$41</f>
        <v>Capital expenditure purpose - WASTEWATER additional line 5 [Other categories]</v>
      </c>
      <c r="G3934" s="1882" t="str">
        <f>IF('4M'!N41="","##BLANK",'4M'!N41)</f>
        <v>##BLANK</v>
      </c>
    </row>
    <row r="3935" spans="2:7">
      <c r="B3935" s="821" t="str">
        <f>+'4M'!BP42</f>
        <v>S3A00006SDD</v>
      </c>
      <c r="D3935" s="1882"/>
      <c r="E3935" s="1628" t="s">
        <v>8339</v>
      </c>
      <c r="F3935" s="1882" t="str">
        <f>+'4M'!C$42</f>
        <v>Capital expenditure purpose - WASTEWATER additional line 6 [Other categories]</v>
      </c>
      <c r="G3935" s="1882" t="str">
        <f>IF('4M'!N42="","##BLANK",'4M'!N42)</f>
        <v>##BLANK</v>
      </c>
    </row>
    <row r="3936" spans="2:7">
      <c r="B3936" s="821" t="str">
        <f>+'4M'!BP43</f>
        <v>S3A00007SDD</v>
      </c>
      <c r="D3936" s="1882"/>
      <c r="E3936" s="1628" t="s">
        <v>8339</v>
      </c>
      <c r="F3936" s="1882" t="str">
        <f>+'4M'!C$43</f>
        <v>Capital expenditure purpose - WASTEWATER additional line 7 [Other categories]</v>
      </c>
      <c r="G3936" s="1882" t="str">
        <f>IF('4M'!N43="","##BLANK",'4M'!N43)</f>
        <v>##BLANK</v>
      </c>
    </row>
    <row r="3937" spans="2:7">
      <c r="B3937" s="821" t="str">
        <f>+'4M'!BP44</f>
        <v>S3A00008SDD</v>
      </c>
      <c r="D3937" s="1882"/>
      <c r="E3937" s="1628" t="s">
        <v>8339</v>
      </c>
      <c r="F3937" s="1882" t="str">
        <f>+'4M'!C$44</f>
        <v>Capital expenditure purpose - WASTEWATER additional line 8 [Other categories]</v>
      </c>
      <c r="G3937" s="1882" t="str">
        <f>IF('4M'!N44="","##BLANK",'4M'!N44)</f>
        <v>##BLANK</v>
      </c>
    </row>
    <row r="3938" spans="2:7">
      <c r="B3938" s="821" t="str">
        <f>+'4M'!BP45</f>
        <v>S3A00009SDD</v>
      </c>
      <c r="D3938" s="1882"/>
      <c r="E3938" s="1628" t="s">
        <v>8339</v>
      </c>
      <c r="F3938" s="1882" t="str">
        <f>+'4M'!C$45</f>
        <v>Capital expenditure purpose - WASTEWATER additional line 9 [Other categories]</v>
      </c>
      <c r="G3938" s="1882" t="str">
        <f>IF('4M'!N45="","##BLANK",'4M'!N45)</f>
        <v>##BLANK</v>
      </c>
    </row>
    <row r="3939" spans="2:7">
      <c r="B3939" s="821" t="str">
        <f>+'4M'!BP46</f>
        <v>S3A00010SDD</v>
      </c>
      <c r="D3939" s="1882"/>
      <c r="E3939" s="1628" t="s">
        <v>8339</v>
      </c>
      <c r="F3939" s="1882" t="str">
        <f>+'4M'!C$46</f>
        <v>Capital expenditure purpose - WASTEWATER additional line 10 [Other categories]</v>
      </c>
      <c r="G3939" s="1882" t="str">
        <f>IF('4M'!N46="","##BLANK",'4M'!N46)</f>
        <v>##BLANK</v>
      </c>
    </row>
    <row r="3940" spans="2:7">
      <c r="B3940" s="821" t="str">
        <f>+'4M'!BP47</f>
        <v>S3A00011SDD</v>
      </c>
      <c r="D3940" s="1882"/>
      <c r="E3940" s="1628" t="s">
        <v>8339</v>
      </c>
      <c r="F3940" s="1882" t="str">
        <f>+'4M'!C$47</f>
        <v>Capital expenditure purpose - WASTEWATER additional line 11 [Other categories]</v>
      </c>
      <c r="G3940" s="1882" t="str">
        <f>IF('4M'!N47="","##BLANK",'4M'!N47)</f>
        <v>##BLANK</v>
      </c>
    </row>
    <row r="3941" spans="2:7">
      <c r="B3941" s="821" t="str">
        <f>+'4M'!BP48</f>
        <v>S3A00012SDD</v>
      </c>
      <c r="D3941" s="1882"/>
      <c r="E3941" s="1628" t="s">
        <v>8339</v>
      </c>
      <c r="F3941" s="1882" t="str">
        <f>+'4M'!C$48</f>
        <v>Capital expenditure purpose - WASTEWATER additional line 12 [Other categories]</v>
      </c>
      <c r="G3941" s="1882" t="str">
        <f>IF('4M'!N48="","##BLANK",'4M'!N48)</f>
        <v>##BLANK</v>
      </c>
    </row>
    <row r="3942" spans="2:7">
      <c r="B3942" s="821" t="str">
        <f>+'4M'!BP49</f>
        <v>S3A00013SDD</v>
      </c>
      <c r="D3942" s="1882"/>
      <c r="E3942" s="1628" t="s">
        <v>8339</v>
      </c>
      <c r="F3942" s="1882" t="str">
        <f>+'4M'!C$49</f>
        <v>Capital expenditure purpose - WASTEWATER additional line 13 [Other categories]</v>
      </c>
      <c r="G3942" s="1882" t="str">
        <f>IF('4M'!N49="","##BLANK",'4M'!N49)</f>
        <v>##BLANK</v>
      </c>
    </row>
    <row r="3943" spans="2:7">
      <c r="B3943" s="821" t="str">
        <f>+'4M'!BP50</f>
        <v>S3A00014SDD</v>
      </c>
      <c r="D3943" s="1882"/>
      <c r="E3943" s="1628" t="s">
        <v>8339</v>
      </c>
      <c r="F3943" s="1882" t="str">
        <f>+'4M'!C$50</f>
        <v>Capital expenditure purpose - WASTEWATER additional line 14 [Other categories]</v>
      </c>
      <c r="G3943" s="1882" t="str">
        <f>IF('4M'!N50="","##BLANK",'4M'!N50)</f>
        <v>##BLANK</v>
      </c>
    </row>
    <row r="3944" spans="2:7">
      <c r="B3944" s="821" t="str">
        <f>+'4M'!BP51</f>
        <v>S3A00015SDD</v>
      </c>
      <c r="D3944" s="1882"/>
      <c r="E3944" s="1628" t="s">
        <v>8339</v>
      </c>
      <c r="F3944" s="1882" t="str">
        <f>+'4M'!C$51</f>
        <v>Capital expenditure purpose - WASTEWATER additional line 15 [Other categories]</v>
      </c>
      <c r="G3944" s="1882" t="str">
        <f>IF('4M'!N51="","##BLANK",'4M'!N51)</f>
        <v>##BLANK</v>
      </c>
    </row>
    <row r="3945" spans="2:7">
      <c r="B3945" s="821" t="str">
        <f>+'4M'!BP52</f>
        <v>S3025ENHSDD</v>
      </c>
      <c r="D3945" s="1882"/>
      <c r="E3945" s="1628" t="s">
        <v>8339</v>
      </c>
      <c r="F3945" s="1882"/>
      <c r="G3945" s="1882">
        <f>IF('4M'!N52="","##BLANK",'4M'!N52)</f>
        <v>0</v>
      </c>
    </row>
    <row r="3946" spans="2:7">
      <c r="B3946" s="821" t="str">
        <f>+'4M'!BQ8</f>
        <v>BC31379CAS</v>
      </c>
      <c r="D3946" s="1882"/>
      <c r="E3946" s="1628" t="s">
        <v>8339</v>
      </c>
      <c r="F3946" s="1882"/>
      <c r="G3946" s="1882">
        <f>IF('4M'!O8="","##BLANK",'4M'!O8)</f>
        <v>0</v>
      </c>
    </row>
    <row r="3947" spans="2:7">
      <c r="B3947" s="821" t="str">
        <f>+'4M'!BQ9</f>
        <v>S3035QCAS</v>
      </c>
      <c r="D3947" s="1882"/>
      <c r="E3947" s="1628" t="s">
        <v>8339</v>
      </c>
      <c r="F3947" s="1882"/>
      <c r="G3947" s="1882">
        <f>IF('4M'!O9="","##BLANK",'4M'!O9)</f>
        <v>0</v>
      </c>
    </row>
    <row r="3948" spans="2:7">
      <c r="B3948" s="821" t="str">
        <f>+'4M'!BQ10</f>
        <v>S3036GCAS</v>
      </c>
      <c r="D3948" s="1882"/>
      <c r="E3948" s="1628" t="s">
        <v>8339</v>
      </c>
      <c r="F3948" s="1882"/>
      <c r="G3948" s="1882">
        <f>IF('4M'!O10="","##BLANK",'4M'!O10)</f>
        <v>0</v>
      </c>
    </row>
    <row r="3949" spans="2:7">
      <c r="B3949" s="821" t="str">
        <f>+'4M'!BQ11</f>
        <v>S3004CAS</v>
      </c>
      <c r="D3949" s="1882"/>
      <c r="E3949" s="1628" t="s">
        <v>8339</v>
      </c>
      <c r="F3949" s="1882"/>
      <c r="G3949" s="1882">
        <f>IF('4M'!O11="","##BLANK",'4M'!O11)</f>
        <v>0</v>
      </c>
    </row>
    <row r="3950" spans="2:7">
      <c r="B3950" s="821" t="str">
        <f>+'4M'!BQ12</f>
        <v>WWS2001CAS</v>
      </c>
      <c r="D3950" s="1882"/>
      <c r="E3950" s="1628" t="s">
        <v>8339</v>
      </c>
      <c r="F3950" s="1882"/>
      <c r="G3950" s="1882">
        <f>IF('4M'!O12="","##BLANK",'4M'!O12)</f>
        <v>0</v>
      </c>
    </row>
    <row r="3951" spans="2:7">
      <c r="B3951" s="821" t="str">
        <f>+'4M'!BQ13</f>
        <v>S3005CAS</v>
      </c>
      <c r="D3951" s="1882"/>
      <c r="E3951" s="1628" t="s">
        <v>8339</v>
      </c>
      <c r="F3951" s="1882"/>
      <c r="G3951" s="1882">
        <f>IF('4M'!O13="","##BLANK",'4M'!O13)</f>
        <v>0</v>
      </c>
    </row>
    <row r="3952" spans="2:7">
      <c r="B3952" s="821" t="str">
        <f>+'4M'!BQ14</f>
        <v>S3006CAS</v>
      </c>
      <c r="D3952" s="1882"/>
      <c r="E3952" s="1628" t="s">
        <v>8339</v>
      </c>
      <c r="F3952" s="1882"/>
      <c r="G3952" s="1882">
        <f>IF('4M'!O14="","##BLANK",'4M'!O14)</f>
        <v>0</v>
      </c>
    </row>
    <row r="3953" spans="2:7">
      <c r="B3953" s="821" t="str">
        <f>+'4M'!BQ15</f>
        <v>S3007CAS</v>
      </c>
      <c r="D3953" s="1882"/>
      <c r="E3953" s="1628" t="s">
        <v>8339</v>
      </c>
      <c r="F3953" s="1882"/>
      <c r="G3953" s="1882">
        <f>IF('4M'!O15="","##BLANK",'4M'!O15)</f>
        <v>0</v>
      </c>
    </row>
    <row r="3954" spans="2:7">
      <c r="B3954" s="821" t="str">
        <f>+'4M'!BQ16</f>
        <v>WWS2002CAS</v>
      </c>
      <c r="D3954" s="1882"/>
      <c r="E3954" s="1628" t="s">
        <v>8339</v>
      </c>
      <c r="F3954" s="1882"/>
      <c r="G3954" s="1882">
        <f>IF('4M'!O16="","##BLANK",'4M'!O16)</f>
        <v>0</v>
      </c>
    </row>
    <row r="3955" spans="2:7">
      <c r="B3955" s="821" t="str">
        <f>+'4M'!BQ17</f>
        <v>WWS2003CAS</v>
      </c>
      <c r="D3955" s="1882"/>
      <c r="E3955" s="1628" t="s">
        <v>8339</v>
      </c>
      <c r="F3955" s="1882"/>
      <c r="G3955" s="1882">
        <f>IF('4M'!O17="","##BLANK",'4M'!O17)</f>
        <v>0</v>
      </c>
    </row>
    <row r="3956" spans="2:7">
      <c r="B3956" s="821" t="str">
        <f>+'4M'!BQ18</f>
        <v>S3008CAS</v>
      </c>
      <c r="D3956" s="1882"/>
      <c r="E3956" s="1628" t="s">
        <v>8339</v>
      </c>
      <c r="F3956" s="1882"/>
      <c r="G3956" s="1882">
        <f>IF('4M'!O18="","##BLANK",'4M'!O18)</f>
        <v>0</v>
      </c>
    </row>
    <row r="3957" spans="2:7">
      <c r="B3957" s="821" t="str">
        <f>+'4M'!BQ19</f>
        <v>S3009CAS</v>
      </c>
      <c r="D3957" s="1882"/>
      <c r="E3957" s="1628" t="s">
        <v>8339</v>
      </c>
      <c r="F3957" s="1882"/>
      <c r="G3957" s="1882">
        <f>IF('4M'!O19="","##BLANK",'4M'!O19)</f>
        <v>0</v>
      </c>
    </row>
    <row r="3958" spans="2:7">
      <c r="B3958" s="821" t="str">
        <f>+'4M'!BQ20</f>
        <v>WWS2007CAS</v>
      </c>
      <c r="D3958" s="1882"/>
      <c r="E3958" s="1628" t="s">
        <v>8339</v>
      </c>
      <c r="F3958" s="1882"/>
      <c r="G3958" s="1882">
        <f>IF('4M'!O20="","##BLANK",'4M'!O20)</f>
        <v>0</v>
      </c>
    </row>
    <row r="3959" spans="2:7">
      <c r="B3959" s="821" t="str">
        <f>+'4M'!BQ21</f>
        <v>S3010CAS</v>
      </c>
      <c r="D3959" s="1882"/>
      <c r="E3959" s="1628" t="s">
        <v>8339</v>
      </c>
      <c r="F3959" s="1882"/>
      <c r="G3959" s="1882">
        <f>IF('4M'!O21="","##BLANK",'4M'!O21)</f>
        <v>0</v>
      </c>
    </row>
    <row r="3960" spans="2:7">
      <c r="B3960" s="821" t="str">
        <f>+'4M'!BQ22</f>
        <v>S3011CAS</v>
      </c>
      <c r="D3960" s="1882"/>
      <c r="E3960" s="1628" t="s">
        <v>8339</v>
      </c>
      <c r="F3960" s="1882"/>
      <c r="G3960" s="1882">
        <f>IF('4M'!O22="","##BLANK",'4M'!O22)</f>
        <v>0</v>
      </c>
    </row>
    <row r="3961" spans="2:7">
      <c r="B3961" s="821" t="str">
        <f>+'4M'!BQ23</f>
        <v>S3012CAS</v>
      </c>
      <c r="D3961" s="1882"/>
      <c r="E3961" s="1628" t="s">
        <v>8339</v>
      </c>
      <c r="F3961" s="1882"/>
      <c r="G3961" s="1882">
        <f>IF('4M'!O23="","##BLANK",'4M'!O23)</f>
        <v>0</v>
      </c>
    </row>
    <row r="3962" spans="2:7">
      <c r="B3962" s="821" t="str">
        <f>+'4M'!BQ24</f>
        <v>S3013CAS</v>
      </c>
      <c r="D3962" s="1882"/>
      <c r="E3962" s="1628" t="s">
        <v>8339</v>
      </c>
      <c r="F3962" s="1882"/>
      <c r="G3962" s="1882">
        <f>IF('4M'!O24="","##BLANK",'4M'!O24)</f>
        <v>0</v>
      </c>
    </row>
    <row r="3963" spans="2:7">
      <c r="B3963" s="821" t="str">
        <f>+'4M'!BQ25</f>
        <v>S3014CAS</v>
      </c>
      <c r="D3963" s="1882"/>
      <c r="E3963" s="1628" t="s">
        <v>8339</v>
      </c>
      <c r="F3963" s="1882"/>
      <c r="G3963" s="1882">
        <f>IF('4M'!O25="","##BLANK",'4M'!O25)</f>
        <v>0</v>
      </c>
    </row>
    <row r="3964" spans="2:7">
      <c r="B3964" s="821" t="str">
        <f>+'4M'!BQ26</f>
        <v>S3015CAS</v>
      </c>
      <c r="D3964" s="1882"/>
      <c r="E3964" s="1628" t="s">
        <v>8339</v>
      </c>
      <c r="F3964" s="1882"/>
      <c r="G3964" s="1882">
        <f>IF('4M'!O26="","##BLANK",'4M'!O26)</f>
        <v>0</v>
      </c>
    </row>
    <row r="3965" spans="2:7">
      <c r="B3965" s="821" t="str">
        <f>+'4M'!BQ27</f>
        <v>S3016CAS</v>
      </c>
      <c r="D3965" s="1882"/>
      <c r="E3965" s="1628" t="s">
        <v>8339</v>
      </c>
      <c r="F3965" s="1882"/>
      <c r="G3965" s="1882">
        <f>IF('4M'!O27="","##BLANK",'4M'!O27)</f>
        <v>0</v>
      </c>
    </row>
    <row r="3966" spans="2:7">
      <c r="B3966" s="821" t="str">
        <f>+'4M'!BQ28</f>
        <v>S3017CAS</v>
      </c>
      <c r="D3966" s="1882"/>
      <c r="E3966" s="1628" t="s">
        <v>8339</v>
      </c>
      <c r="F3966" s="1882"/>
      <c r="G3966" s="1882">
        <f>IF('4M'!O28="","##BLANK",'4M'!O28)</f>
        <v>0</v>
      </c>
    </row>
    <row r="3967" spans="2:7">
      <c r="B3967" s="821" t="str">
        <f>+'4M'!BQ29</f>
        <v>S3018CAS</v>
      </c>
      <c r="D3967" s="1882"/>
      <c r="E3967" s="1628" t="s">
        <v>8339</v>
      </c>
      <c r="F3967" s="1882"/>
      <c r="G3967" s="1882">
        <f>IF('4M'!O29="","##BLANK",'4M'!O29)</f>
        <v>0</v>
      </c>
    </row>
    <row r="3968" spans="2:7">
      <c r="B3968" s="821" t="str">
        <f>+'4M'!BQ30</f>
        <v>S3019CAS</v>
      </c>
      <c r="D3968" s="1882"/>
      <c r="E3968" s="1628" t="s">
        <v>8339</v>
      </c>
      <c r="F3968" s="1882"/>
      <c r="G3968" s="1882">
        <f>IF('4M'!O30="","##BLANK",'4M'!O30)</f>
        <v>0</v>
      </c>
    </row>
    <row r="3969" spans="2:7">
      <c r="B3969" s="821" t="str">
        <f>+'4M'!BQ31</f>
        <v>S3020CAS</v>
      </c>
      <c r="D3969" s="1882"/>
      <c r="E3969" s="1628" t="s">
        <v>8339</v>
      </c>
      <c r="F3969" s="1882"/>
      <c r="G3969" s="1882">
        <f>IF('4M'!O31="","##BLANK",'4M'!O31)</f>
        <v>0</v>
      </c>
    </row>
    <row r="3970" spans="2:7">
      <c r="B3970" s="821" t="str">
        <f>+'4M'!BQ32</f>
        <v>S3021CAS</v>
      </c>
      <c r="D3970" s="1882"/>
      <c r="E3970" s="1628" t="s">
        <v>8339</v>
      </c>
      <c r="F3970" s="1882"/>
      <c r="G3970" s="1882">
        <f>IF('4M'!O32="","##BLANK",'4M'!O32)</f>
        <v>0</v>
      </c>
    </row>
    <row r="3971" spans="2:7">
      <c r="B3971" s="821" t="str">
        <f>+'4M'!BQ33</f>
        <v>S3022CAS</v>
      </c>
      <c r="D3971" s="1882"/>
      <c r="E3971" s="1628" t="s">
        <v>8339</v>
      </c>
      <c r="F3971" s="1882"/>
      <c r="G3971" s="1882">
        <f>IF('4M'!O33="","##BLANK",'4M'!O33)</f>
        <v>0</v>
      </c>
    </row>
    <row r="3972" spans="2:7">
      <c r="B3972" s="821" t="str">
        <f>+'4M'!BQ34</f>
        <v>BC31785CAS</v>
      </c>
      <c r="D3972" s="1882"/>
      <c r="E3972" s="1628" t="s">
        <v>8339</v>
      </c>
      <c r="F3972" s="1882"/>
      <c r="G3972" s="1882">
        <f>IF('4M'!O34="","##BLANK",'4M'!O34)</f>
        <v>0</v>
      </c>
    </row>
    <row r="3973" spans="2:7">
      <c r="B3973" s="821" t="str">
        <f>+'4M'!BQ35</f>
        <v>S3023CAS</v>
      </c>
      <c r="D3973" s="1882"/>
      <c r="E3973" s="1628" t="s">
        <v>8339</v>
      </c>
      <c r="F3973" s="1882"/>
      <c r="G3973" s="1882">
        <f>IF('4M'!O35="","##BLANK",'4M'!O35)</f>
        <v>0</v>
      </c>
    </row>
    <row r="3974" spans="2:7">
      <c r="B3974" s="821" t="str">
        <f>+'4M'!BQ36</f>
        <v>S3024CAS</v>
      </c>
      <c r="D3974" s="1882"/>
      <c r="E3974" s="1628" t="s">
        <v>8339</v>
      </c>
      <c r="F3974" s="1882"/>
      <c r="G3974" s="1882">
        <f>IF('4M'!O36="","##BLANK",'4M'!O36)</f>
        <v>0</v>
      </c>
    </row>
    <row r="3975" spans="2:7">
      <c r="B3975" s="821" t="str">
        <f>+'4M'!BQ37</f>
        <v>S3A00001CAS</v>
      </c>
      <c r="D3975" s="1882"/>
      <c r="E3975" s="1628" t="s">
        <v>8339</v>
      </c>
      <c r="F3975" s="1882" t="str">
        <f>+'4M'!C$37</f>
        <v>Capital expenditure purpose - WASTEWATER additional line 1 [Other categories]</v>
      </c>
      <c r="G3975" s="1882">
        <f>IF('4M'!O37="","##BLANK",'4M'!O37)</f>
        <v>0</v>
      </c>
    </row>
    <row r="3976" spans="2:7">
      <c r="B3976" s="821" t="str">
        <f>+'4M'!BQ38</f>
        <v>S3A00002CAS</v>
      </c>
      <c r="D3976" s="1882"/>
      <c r="E3976" s="1628" t="s">
        <v>8339</v>
      </c>
      <c r="F3976" s="1882" t="str">
        <f>+'4M'!C$38</f>
        <v>Capital expenditure purpose - WASTEWATER additional line 2 [Other categories]</v>
      </c>
      <c r="G3976" s="1882">
        <f>IF('4M'!O38="","##BLANK",'4M'!O38)</f>
        <v>0</v>
      </c>
    </row>
    <row r="3977" spans="2:7">
      <c r="B3977" s="821" t="str">
        <f>+'4M'!BQ39</f>
        <v>S3A00003CAS</v>
      </c>
      <c r="D3977" s="1882"/>
      <c r="E3977" s="1628" t="s">
        <v>8339</v>
      </c>
      <c r="F3977" s="1882" t="str">
        <f>+'4M'!C$39</f>
        <v>Capital expenditure purpose - WASTEWATER additional line 3 [Other categories]</v>
      </c>
      <c r="G3977" s="1882">
        <f>IF('4M'!O39="","##BLANK",'4M'!O39)</f>
        <v>0</v>
      </c>
    </row>
    <row r="3978" spans="2:7">
      <c r="B3978" s="821" t="str">
        <f>+'4M'!BQ40</f>
        <v>S3A00004CAS</v>
      </c>
      <c r="D3978" s="1882"/>
      <c r="E3978" s="1628" t="s">
        <v>8339</v>
      </c>
      <c r="F3978" s="1882" t="str">
        <f>+'4M'!C$40</f>
        <v>Capital expenditure purpose - WASTEWATER additional line 4 [Other categories]</v>
      </c>
      <c r="G3978" s="1882">
        <f>IF('4M'!O40="","##BLANK",'4M'!O40)</f>
        <v>0</v>
      </c>
    </row>
    <row r="3979" spans="2:7">
      <c r="B3979" s="821" t="str">
        <f>+'4M'!BQ41</f>
        <v>S3A00005CAS</v>
      </c>
      <c r="D3979" s="1882"/>
      <c r="E3979" s="1628" t="s">
        <v>8339</v>
      </c>
      <c r="F3979" s="1882" t="str">
        <f>+'4M'!C$41</f>
        <v>Capital expenditure purpose - WASTEWATER additional line 5 [Other categories]</v>
      </c>
      <c r="G3979" s="1882">
        <f>IF('4M'!O41="","##BLANK",'4M'!O41)</f>
        <v>0</v>
      </c>
    </row>
    <row r="3980" spans="2:7">
      <c r="B3980" s="821" t="str">
        <f>+'4M'!BQ42</f>
        <v>S3A00006CAS</v>
      </c>
      <c r="D3980" s="1882"/>
      <c r="E3980" s="1628" t="s">
        <v>8339</v>
      </c>
      <c r="F3980" s="1882" t="str">
        <f>+'4M'!C$42</f>
        <v>Capital expenditure purpose - WASTEWATER additional line 6 [Other categories]</v>
      </c>
      <c r="G3980" s="1882">
        <f>IF('4M'!O42="","##BLANK",'4M'!O42)</f>
        <v>0</v>
      </c>
    </row>
    <row r="3981" spans="2:7">
      <c r="B3981" s="821" t="str">
        <f>+'4M'!BQ43</f>
        <v>S3A00007CAS</v>
      </c>
      <c r="D3981" s="1882"/>
      <c r="E3981" s="1628" t="s">
        <v>8339</v>
      </c>
      <c r="F3981" s="1882" t="str">
        <f>+'4M'!C$43</f>
        <v>Capital expenditure purpose - WASTEWATER additional line 7 [Other categories]</v>
      </c>
      <c r="G3981" s="1882">
        <f>IF('4M'!O43="","##BLANK",'4M'!O43)</f>
        <v>0</v>
      </c>
    </row>
    <row r="3982" spans="2:7">
      <c r="B3982" s="821" t="str">
        <f>+'4M'!BQ44</f>
        <v>S3A00008CAS</v>
      </c>
      <c r="D3982" s="1882"/>
      <c r="E3982" s="1628" t="s">
        <v>8339</v>
      </c>
      <c r="F3982" s="1882" t="str">
        <f>+'4M'!C$44</f>
        <v>Capital expenditure purpose - WASTEWATER additional line 8 [Other categories]</v>
      </c>
      <c r="G3982" s="1882">
        <f>IF('4M'!O44="","##BLANK",'4M'!O44)</f>
        <v>0</v>
      </c>
    </row>
    <row r="3983" spans="2:7">
      <c r="B3983" s="821" t="str">
        <f>+'4M'!BQ45</f>
        <v>S3A00009CAS</v>
      </c>
      <c r="D3983" s="1882"/>
      <c r="E3983" s="1628" t="s">
        <v>8339</v>
      </c>
      <c r="F3983" s="1882" t="str">
        <f>+'4M'!C$45</f>
        <v>Capital expenditure purpose - WASTEWATER additional line 9 [Other categories]</v>
      </c>
      <c r="G3983" s="1882">
        <f>IF('4M'!O45="","##BLANK",'4M'!O45)</f>
        <v>0</v>
      </c>
    </row>
    <row r="3984" spans="2:7">
      <c r="B3984" s="821" t="str">
        <f>+'4M'!BQ46</f>
        <v>S3A00010CAS</v>
      </c>
      <c r="D3984" s="1882"/>
      <c r="E3984" s="1628" t="s">
        <v>8339</v>
      </c>
      <c r="F3984" s="1882" t="str">
        <f>+'4M'!C$46</f>
        <v>Capital expenditure purpose - WASTEWATER additional line 10 [Other categories]</v>
      </c>
      <c r="G3984" s="1882">
        <f>IF('4M'!O46="","##BLANK",'4M'!O46)</f>
        <v>0</v>
      </c>
    </row>
    <row r="3985" spans="2:7">
      <c r="B3985" s="821" t="str">
        <f>+'4M'!BQ47</f>
        <v>S3A00011CAS</v>
      </c>
      <c r="D3985" s="1882"/>
      <c r="E3985" s="1628" t="s">
        <v>8339</v>
      </c>
      <c r="F3985" s="1882" t="str">
        <f>+'4M'!C$47</f>
        <v>Capital expenditure purpose - WASTEWATER additional line 11 [Other categories]</v>
      </c>
      <c r="G3985" s="1882">
        <f>IF('4M'!O47="","##BLANK",'4M'!O47)</f>
        <v>0</v>
      </c>
    </row>
    <row r="3986" spans="2:7">
      <c r="B3986" s="821" t="str">
        <f>+'4M'!BQ48</f>
        <v>S3A00012CAS</v>
      </c>
      <c r="D3986" s="1882"/>
      <c r="E3986" s="1628" t="s">
        <v>8339</v>
      </c>
      <c r="F3986" s="1882" t="str">
        <f>+'4M'!C$48</f>
        <v>Capital expenditure purpose - WASTEWATER additional line 12 [Other categories]</v>
      </c>
      <c r="G3986" s="1882">
        <f>IF('4M'!O48="","##BLANK",'4M'!O48)</f>
        <v>0</v>
      </c>
    </row>
    <row r="3987" spans="2:7">
      <c r="B3987" s="821" t="str">
        <f>+'4M'!BQ49</f>
        <v>S3A00013CAS</v>
      </c>
      <c r="D3987" s="1882"/>
      <c r="E3987" s="1628" t="s">
        <v>8339</v>
      </c>
      <c r="F3987" s="1882" t="str">
        <f>+'4M'!C$49</f>
        <v>Capital expenditure purpose - WASTEWATER additional line 13 [Other categories]</v>
      </c>
      <c r="G3987" s="1882">
        <f>IF('4M'!O49="","##BLANK",'4M'!O49)</f>
        <v>0</v>
      </c>
    </row>
    <row r="3988" spans="2:7">
      <c r="B3988" s="821" t="str">
        <f>+'4M'!BQ50</f>
        <v>S3A00014CAS</v>
      </c>
      <c r="D3988" s="1882"/>
      <c r="E3988" s="1628" t="s">
        <v>8339</v>
      </c>
      <c r="F3988" s="1882" t="str">
        <f>+'4M'!C$50</f>
        <v>Capital expenditure purpose - WASTEWATER additional line 14 [Other categories]</v>
      </c>
      <c r="G3988" s="1882">
        <f>IF('4M'!O50="","##BLANK",'4M'!O50)</f>
        <v>0</v>
      </c>
    </row>
    <row r="3989" spans="2:7">
      <c r="B3989" s="821" t="str">
        <f>+'4M'!BQ51</f>
        <v>S3A00015CAS</v>
      </c>
      <c r="D3989" s="1882"/>
      <c r="E3989" s="1628" t="s">
        <v>8339</v>
      </c>
      <c r="F3989" s="1882" t="str">
        <f>+'4M'!C$51</f>
        <v>Capital expenditure purpose - WASTEWATER additional line 15 [Other categories]</v>
      </c>
      <c r="G3989" s="1882">
        <f>IF('4M'!O51="","##BLANK",'4M'!O51)</f>
        <v>0</v>
      </c>
    </row>
    <row r="3990" spans="2:7">
      <c r="B3990" s="821" t="str">
        <f>+'4M'!BQ52</f>
        <v>S3025ENHCAS</v>
      </c>
      <c r="D3990" s="1882"/>
      <c r="E3990" s="1628" t="s">
        <v>8339</v>
      </c>
      <c r="F3990" s="1882"/>
      <c r="G3990" s="1882">
        <f>IF('4M'!O52="","##BLANK",'4M'!O52)</f>
        <v>0</v>
      </c>
    </row>
    <row r="3991" spans="2:7">
      <c r="B3991" s="821" t="str">
        <f>+'4M'!BR8</f>
        <v>BC31379FLCUM</v>
      </c>
      <c r="D3991" s="1882"/>
      <c r="E3991" s="1628" t="s">
        <v>8339</v>
      </c>
      <c r="F3991" s="1882"/>
      <c r="G3991" s="1882" t="str">
        <f>IF('4M'!P8="","##BLANK",'4M'!P8)</f>
        <v>##BLANK</v>
      </c>
    </row>
    <row r="3992" spans="2:7">
      <c r="B3992" s="821" t="str">
        <f>+'4M'!BR9</f>
        <v>S3035QFLCUM</v>
      </c>
      <c r="D3992" s="1882"/>
      <c r="E3992" s="1628" t="s">
        <v>8339</v>
      </c>
      <c r="F3992" s="1882"/>
      <c r="G3992" s="1882" t="str">
        <f>IF('4M'!P9="","##BLANK",'4M'!P9)</f>
        <v>##BLANK</v>
      </c>
    </row>
    <row r="3993" spans="2:7">
      <c r="B3993" s="821" t="str">
        <f>+'4M'!BR10</f>
        <v>S3036GFLCUM</v>
      </c>
      <c r="D3993" s="1882"/>
      <c r="E3993" s="1628" t="s">
        <v>8339</v>
      </c>
      <c r="F3993" s="1882"/>
      <c r="G3993" s="1882" t="str">
        <f>IF('4M'!P10="","##BLANK",'4M'!P10)</f>
        <v>##BLANK</v>
      </c>
    </row>
    <row r="3994" spans="2:7">
      <c r="B3994" s="821" t="str">
        <f>+'4M'!BR11</f>
        <v>S3004FLCUM</v>
      </c>
      <c r="D3994" s="1882"/>
      <c r="E3994" s="1628" t="s">
        <v>8339</v>
      </c>
      <c r="F3994" s="1882"/>
      <c r="G3994" s="1882" t="str">
        <f>IF('4M'!P11="","##BLANK",'4M'!P11)</f>
        <v>##BLANK</v>
      </c>
    </row>
    <row r="3995" spans="2:7">
      <c r="B3995" s="821" t="str">
        <f>+'4M'!BR12</f>
        <v>WWS2001FLCUM</v>
      </c>
      <c r="D3995" s="1882"/>
      <c r="E3995" s="1628" t="s">
        <v>8339</v>
      </c>
      <c r="F3995" s="1882"/>
      <c r="G3995" s="1882" t="str">
        <f>IF('4M'!P12="","##BLANK",'4M'!P12)</f>
        <v>##BLANK</v>
      </c>
    </row>
    <row r="3996" spans="2:7">
      <c r="B3996" s="821" t="str">
        <f>+'4M'!BR13</f>
        <v>S3005FLCUM</v>
      </c>
      <c r="D3996" s="1882"/>
      <c r="E3996" s="1628" t="s">
        <v>8339</v>
      </c>
      <c r="F3996" s="1882"/>
      <c r="G3996" s="1882" t="str">
        <f>IF('4M'!P13="","##BLANK",'4M'!P13)</f>
        <v>##BLANK</v>
      </c>
    </row>
    <row r="3997" spans="2:7">
      <c r="B3997" s="821" t="str">
        <f>+'4M'!BR14</f>
        <v>S3006FLCUM</v>
      </c>
      <c r="D3997" s="1882"/>
      <c r="E3997" s="1628" t="s">
        <v>8339</v>
      </c>
      <c r="F3997" s="1882"/>
      <c r="G3997" s="1882" t="str">
        <f>IF('4M'!P14="","##BLANK",'4M'!P14)</f>
        <v>##BLANK</v>
      </c>
    </row>
    <row r="3998" spans="2:7">
      <c r="B3998" s="821" t="str">
        <f>+'4M'!BR15</f>
        <v>S3007FLCUM</v>
      </c>
      <c r="D3998" s="1882"/>
      <c r="E3998" s="1628" t="s">
        <v>8339</v>
      </c>
      <c r="F3998" s="1882"/>
      <c r="G3998" s="1882" t="str">
        <f>IF('4M'!P15="","##BLANK",'4M'!P15)</f>
        <v>##BLANK</v>
      </c>
    </row>
    <row r="3999" spans="2:7">
      <c r="B3999" s="821" t="str">
        <f>+'4M'!BR16</f>
        <v>WWS2002FLCUM</v>
      </c>
      <c r="D3999" s="1882"/>
      <c r="E3999" s="1628" t="s">
        <v>8339</v>
      </c>
      <c r="F3999" s="1882"/>
      <c r="G3999" s="1882" t="str">
        <f>IF('4M'!P16="","##BLANK",'4M'!P16)</f>
        <v>##BLANK</v>
      </c>
    </row>
    <row r="4000" spans="2:7">
      <c r="B4000" s="821" t="str">
        <f>+'4M'!BR17</f>
        <v>WWS2003FLCUM</v>
      </c>
      <c r="D4000" s="1882"/>
      <c r="E4000" s="1628" t="s">
        <v>8339</v>
      </c>
      <c r="F4000" s="1882"/>
      <c r="G4000" s="1882" t="str">
        <f>IF('4M'!P17="","##BLANK",'4M'!P17)</f>
        <v>##BLANK</v>
      </c>
    </row>
    <row r="4001" spans="2:7">
      <c r="B4001" s="821" t="str">
        <f>+'4M'!BR18</f>
        <v>S3008FLCUM</v>
      </c>
      <c r="D4001" s="1882"/>
      <c r="E4001" s="1628" t="s">
        <v>8339</v>
      </c>
      <c r="F4001" s="1882"/>
      <c r="G4001" s="1882" t="str">
        <f>IF('4M'!P18="","##BLANK",'4M'!P18)</f>
        <v>##BLANK</v>
      </c>
    </row>
    <row r="4002" spans="2:7">
      <c r="B4002" s="821" t="str">
        <f>+'4M'!BR19</f>
        <v>S3009FLCUM</v>
      </c>
      <c r="D4002" s="1882"/>
      <c r="E4002" s="1628" t="s">
        <v>8339</v>
      </c>
      <c r="F4002" s="1882"/>
      <c r="G4002" s="1882" t="str">
        <f>IF('4M'!P19="","##BLANK",'4M'!P19)</f>
        <v>##BLANK</v>
      </c>
    </row>
    <row r="4003" spans="2:7">
      <c r="B4003" s="821" t="str">
        <f>+'4M'!BR20</f>
        <v>WWS2007FLCUM</v>
      </c>
      <c r="D4003" s="1882"/>
      <c r="E4003" s="1628" t="s">
        <v>8339</v>
      </c>
      <c r="F4003" s="1882"/>
      <c r="G4003" s="1882" t="str">
        <f>IF('4M'!P20="","##BLANK",'4M'!P20)</f>
        <v>##BLANK</v>
      </c>
    </row>
    <row r="4004" spans="2:7">
      <c r="B4004" s="821" t="str">
        <f>+'4M'!BR21</f>
        <v>S3010FLCUM</v>
      </c>
      <c r="D4004" s="1882"/>
      <c r="E4004" s="1628" t="s">
        <v>8339</v>
      </c>
      <c r="F4004" s="1882"/>
      <c r="G4004" s="1882" t="str">
        <f>IF('4M'!P21="","##BLANK",'4M'!P21)</f>
        <v>##BLANK</v>
      </c>
    </row>
    <row r="4005" spans="2:7">
      <c r="B4005" s="821" t="str">
        <f>+'4M'!BR22</f>
        <v>S3011FLCUM</v>
      </c>
      <c r="D4005" s="1882"/>
      <c r="E4005" s="1628" t="s">
        <v>8339</v>
      </c>
      <c r="F4005" s="1882"/>
      <c r="G4005" s="1882" t="str">
        <f>IF('4M'!P22="","##BLANK",'4M'!P22)</f>
        <v>##BLANK</v>
      </c>
    </row>
    <row r="4006" spans="2:7">
      <c r="B4006" s="821" t="str">
        <f>+'4M'!BR23</f>
        <v>S3012FLCUM</v>
      </c>
      <c r="D4006" s="1882"/>
      <c r="E4006" s="1628" t="s">
        <v>8339</v>
      </c>
      <c r="F4006" s="1882"/>
      <c r="G4006" s="1882" t="str">
        <f>IF('4M'!P23="","##BLANK",'4M'!P23)</f>
        <v>##BLANK</v>
      </c>
    </row>
    <row r="4007" spans="2:7">
      <c r="B4007" s="821" t="str">
        <f>+'4M'!BR24</f>
        <v>S3013FLCUM</v>
      </c>
      <c r="D4007" s="1882"/>
      <c r="E4007" s="1628" t="s">
        <v>8339</v>
      </c>
      <c r="F4007" s="1882"/>
      <c r="G4007" s="1882" t="str">
        <f>IF('4M'!P24="","##BLANK",'4M'!P24)</f>
        <v>##BLANK</v>
      </c>
    </row>
    <row r="4008" spans="2:7">
      <c r="B4008" s="821" t="str">
        <f>+'4M'!BR25</f>
        <v>S3014FLCUM</v>
      </c>
      <c r="D4008" s="1882"/>
      <c r="E4008" s="1628" t="s">
        <v>8339</v>
      </c>
      <c r="F4008" s="1882"/>
      <c r="G4008" s="1882" t="str">
        <f>IF('4M'!P25="","##BLANK",'4M'!P25)</f>
        <v>##BLANK</v>
      </c>
    </row>
    <row r="4009" spans="2:7">
      <c r="B4009" s="821" t="str">
        <f>+'4M'!BR26</f>
        <v>S3015FLCUM</v>
      </c>
      <c r="D4009" s="1882"/>
      <c r="E4009" s="1628" t="s">
        <v>8339</v>
      </c>
      <c r="F4009" s="1882"/>
      <c r="G4009" s="1882" t="str">
        <f>IF('4M'!P26="","##BLANK",'4M'!P26)</f>
        <v>##BLANK</v>
      </c>
    </row>
    <row r="4010" spans="2:7">
      <c r="B4010" s="821" t="str">
        <f>+'4M'!BR27</f>
        <v>S3016FLCUM</v>
      </c>
      <c r="D4010" s="1882"/>
      <c r="E4010" s="1628" t="s">
        <v>8339</v>
      </c>
      <c r="F4010" s="1882"/>
      <c r="G4010" s="1882" t="str">
        <f>IF('4M'!P27="","##BLANK",'4M'!P27)</f>
        <v>##BLANK</v>
      </c>
    </row>
    <row r="4011" spans="2:7">
      <c r="B4011" s="821" t="str">
        <f>+'4M'!BR28</f>
        <v>S3017FLCUM</v>
      </c>
      <c r="D4011" s="1882"/>
      <c r="E4011" s="1628" t="s">
        <v>8339</v>
      </c>
      <c r="F4011" s="1882"/>
      <c r="G4011" s="1882" t="str">
        <f>IF('4M'!P28="","##BLANK",'4M'!P28)</f>
        <v>##BLANK</v>
      </c>
    </row>
    <row r="4012" spans="2:7">
      <c r="B4012" s="821" t="str">
        <f>+'4M'!BR29</f>
        <v>S3018FLCUM</v>
      </c>
      <c r="D4012" s="1882"/>
      <c r="E4012" s="1628" t="s">
        <v>8339</v>
      </c>
      <c r="F4012" s="1882"/>
      <c r="G4012" s="1882" t="str">
        <f>IF('4M'!P29="","##BLANK",'4M'!P29)</f>
        <v>##BLANK</v>
      </c>
    </row>
    <row r="4013" spans="2:7">
      <c r="B4013" s="821" t="str">
        <f>+'4M'!BR30</f>
        <v>S3019FLCUM</v>
      </c>
      <c r="D4013" s="1882"/>
      <c r="E4013" s="1628" t="s">
        <v>8339</v>
      </c>
      <c r="F4013" s="1882"/>
      <c r="G4013" s="1882" t="str">
        <f>IF('4M'!P30="","##BLANK",'4M'!P30)</f>
        <v>##BLANK</v>
      </c>
    </row>
    <row r="4014" spans="2:7">
      <c r="B4014" s="821" t="str">
        <f>+'4M'!BR31</f>
        <v>S3020FLCUM</v>
      </c>
      <c r="D4014" s="1882"/>
      <c r="E4014" s="1628" t="s">
        <v>8339</v>
      </c>
      <c r="F4014" s="1882"/>
      <c r="G4014" s="1882" t="str">
        <f>IF('4M'!P31="","##BLANK",'4M'!P31)</f>
        <v>##BLANK</v>
      </c>
    </row>
    <row r="4015" spans="2:7">
      <c r="B4015" s="821" t="str">
        <f>+'4M'!BR32</f>
        <v>S3021FLCUM</v>
      </c>
      <c r="D4015" s="1882"/>
      <c r="E4015" s="1628" t="s">
        <v>8339</v>
      </c>
      <c r="F4015" s="1882"/>
      <c r="G4015" s="1882" t="str">
        <f>IF('4M'!P32="","##BLANK",'4M'!P32)</f>
        <v>##BLANK</v>
      </c>
    </row>
    <row r="4016" spans="2:7">
      <c r="B4016" s="821" t="str">
        <f>+'4M'!BR33</f>
        <v>S3022FLCUM</v>
      </c>
      <c r="D4016" s="1882"/>
      <c r="E4016" s="1628" t="s">
        <v>8339</v>
      </c>
      <c r="F4016" s="1882"/>
      <c r="G4016" s="1882" t="str">
        <f>IF('4M'!P33="","##BLANK",'4M'!P33)</f>
        <v>##BLANK</v>
      </c>
    </row>
    <row r="4017" spans="2:7">
      <c r="B4017" s="821" t="str">
        <f>+'4M'!BR34</f>
        <v>BC31785FLCUM</v>
      </c>
      <c r="D4017" s="1882"/>
      <c r="E4017" s="1628" t="s">
        <v>8339</v>
      </c>
      <c r="F4017" s="1882"/>
      <c r="G4017" s="1882" t="str">
        <f>IF('4M'!P34="","##BLANK",'4M'!P34)</f>
        <v>##BLANK</v>
      </c>
    </row>
    <row r="4018" spans="2:7">
      <c r="B4018" s="821" t="str">
        <f>+'4M'!BR35</f>
        <v>S3023FLCUM</v>
      </c>
      <c r="D4018" s="1882"/>
      <c r="E4018" s="1628" t="s">
        <v>8339</v>
      </c>
      <c r="F4018" s="1882"/>
      <c r="G4018" s="1882" t="str">
        <f>IF('4M'!P35="","##BLANK",'4M'!P35)</f>
        <v>##BLANK</v>
      </c>
    </row>
    <row r="4019" spans="2:7">
      <c r="B4019" s="821" t="str">
        <f>+'4M'!BR36</f>
        <v>S3024FLCUM</v>
      </c>
      <c r="D4019" s="1882"/>
      <c r="E4019" s="1628" t="s">
        <v>8339</v>
      </c>
      <c r="F4019" s="1882"/>
      <c r="G4019" s="1882" t="str">
        <f>IF('4M'!P36="","##BLANK",'4M'!P36)</f>
        <v>##BLANK</v>
      </c>
    </row>
    <row r="4020" spans="2:7">
      <c r="B4020" s="821" t="str">
        <f>+'4M'!BR37</f>
        <v>S3A00001FLCUM</v>
      </c>
      <c r="D4020" s="1882"/>
      <c r="E4020" s="1628" t="s">
        <v>8339</v>
      </c>
      <c r="F4020" s="1882" t="str">
        <f>+'4M'!C$37</f>
        <v>Capital expenditure purpose - WASTEWATER additional line 1 [Other categories]</v>
      </c>
      <c r="G4020" s="1882" t="str">
        <f>IF('4M'!P37="","##BLANK",'4M'!P37)</f>
        <v>##BLANK</v>
      </c>
    </row>
    <row r="4021" spans="2:7">
      <c r="B4021" s="821" t="str">
        <f>+'4M'!BR38</f>
        <v>S3A00002FLCUM</v>
      </c>
      <c r="D4021" s="1882"/>
      <c r="E4021" s="1628" t="s">
        <v>8339</v>
      </c>
      <c r="F4021" s="1882" t="str">
        <f>+'4M'!C$38</f>
        <v>Capital expenditure purpose - WASTEWATER additional line 2 [Other categories]</v>
      </c>
      <c r="G4021" s="1882" t="str">
        <f>IF('4M'!P38="","##BLANK",'4M'!P38)</f>
        <v>##BLANK</v>
      </c>
    </row>
    <row r="4022" spans="2:7">
      <c r="B4022" s="821" t="str">
        <f>+'4M'!BR39</f>
        <v>S3A00003FLCUM</v>
      </c>
      <c r="D4022" s="1882"/>
      <c r="E4022" s="1628" t="s">
        <v>8339</v>
      </c>
      <c r="F4022" s="1882" t="str">
        <f>+'4M'!C$39</f>
        <v>Capital expenditure purpose - WASTEWATER additional line 3 [Other categories]</v>
      </c>
      <c r="G4022" s="1882" t="str">
        <f>IF('4M'!P39="","##BLANK",'4M'!P39)</f>
        <v>##BLANK</v>
      </c>
    </row>
    <row r="4023" spans="2:7">
      <c r="B4023" s="821" t="str">
        <f>+'4M'!BR40</f>
        <v>S3A00004FLCUM</v>
      </c>
      <c r="D4023" s="1882"/>
      <c r="E4023" s="1628" t="s">
        <v>8339</v>
      </c>
      <c r="F4023" s="1882" t="str">
        <f>+'4M'!C$40</f>
        <v>Capital expenditure purpose - WASTEWATER additional line 4 [Other categories]</v>
      </c>
      <c r="G4023" s="1882" t="str">
        <f>IF('4M'!P40="","##BLANK",'4M'!P40)</f>
        <v>##BLANK</v>
      </c>
    </row>
    <row r="4024" spans="2:7">
      <c r="B4024" s="821" t="str">
        <f>+'4M'!BR41</f>
        <v>S3A00005FLCUM</v>
      </c>
      <c r="D4024" s="1882"/>
      <c r="E4024" s="1628" t="s">
        <v>8339</v>
      </c>
      <c r="F4024" s="1882" t="str">
        <f>+'4M'!C$41</f>
        <v>Capital expenditure purpose - WASTEWATER additional line 5 [Other categories]</v>
      </c>
      <c r="G4024" s="1882" t="str">
        <f>IF('4M'!P41="","##BLANK",'4M'!P41)</f>
        <v>##BLANK</v>
      </c>
    </row>
    <row r="4025" spans="2:7">
      <c r="B4025" s="821" t="str">
        <f>+'4M'!BR42</f>
        <v>S3A00006FLCUM</v>
      </c>
      <c r="D4025" s="1882"/>
      <c r="E4025" s="1628" t="s">
        <v>8339</v>
      </c>
      <c r="F4025" s="1882" t="str">
        <f>+'4M'!C$42</f>
        <v>Capital expenditure purpose - WASTEWATER additional line 6 [Other categories]</v>
      </c>
      <c r="G4025" s="1882" t="str">
        <f>IF('4M'!P42="","##BLANK",'4M'!P42)</f>
        <v>##BLANK</v>
      </c>
    </row>
    <row r="4026" spans="2:7">
      <c r="B4026" s="821" t="str">
        <f>+'4M'!BR43</f>
        <v>S3A00007FLCUM</v>
      </c>
      <c r="D4026" s="1882"/>
      <c r="E4026" s="1628" t="s">
        <v>8339</v>
      </c>
      <c r="F4026" s="1882" t="str">
        <f>+'4M'!C$43</f>
        <v>Capital expenditure purpose - WASTEWATER additional line 7 [Other categories]</v>
      </c>
      <c r="G4026" s="1882" t="str">
        <f>IF('4M'!P43="","##BLANK",'4M'!P43)</f>
        <v>##BLANK</v>
      </c>
    </row>
    <row r="4027" spans="2:7">
      <c r="B4027" s="821" t="str">
        <f>+'4M'!BR44</f>
        <v>S3A00008FLCUM</v>
      </c>
      <c r="D4027" s="1882"/>
      <c r="E4027" s="1628" t="s">
        <v>8339</v>
      </c>
      <c r="F4027" s="1882" t="str">
        <f>+'4M'!C$44</f>
        <v>Capital expenditure purpose - WASTEWATER additional line 8 [Other categories]</v>
      </c>
      <c r="G4027" s="1882" t="str">
        <f>IF('4M'!P44="","##BLANK",'4M'!P44)</f>
        <v>##BLANK</v>
      </c>
    </row>
    <row r="4028" spans="2:7">
      <c r="B4028" s="821" t="str">
        <f>+'4M'!BR45</f>
        <v>S3A00009FLCUM</v>
      </c>
      <c r="D4028" s="1882"/>
      <c r="E4028" s="1628" t="s">
        <v>8339</v>
      </c>
      <c r="F4028" s="1882" t="str">
        <f>+'4M'!C$45</f>
        <v>Capital expenditure purpose - WASTEWATER additional line 9 [Other categories]</v>
      </c>
      <c r="G4028" s="1882" t="str">
        <f>IF('4M'!P45="","##BLANK",'4M'!P45)</f>
        <v>##BLANK</v>
      </c>
    </row>
    <row r="4029" spans="2:7">
      <c r="B4029" s="821" t="str">
        <f>+'4M'!BR46</f>
        <v>S3A00010FLCUM</v>
      </c>
      <c r="D4029" s="1882"/>
      <c r="E4029" s="1628" t="s">
        <v>8339</v>
      </c>
      <c r="F4029" s="1882" t="str">
        <f>+'4M'!C$46</f>
        <v>Capital expenditure purpose - WASTEWATER additional line 10 [Other categories]</v>
      </c>
      <c r="G4029" s="1882" t="str">
        <f>IF('4M'!P46="","##BLANK",'4M'!P46)</f>
        <v>##BLANK</v>
      </c>
    </row>
    <row r="4030" spans="2:7">
      <c r="B4030" s="821" t="str">
        <f>+'4M'!BR47</f>
        <v>S3A00011FLCUM</v>
      </c>
      <c r="D4030" s="1882"/>
      <c r="E4030" s="1628" t="s">
        <v>8339</v>
      </c>
      <c r="F4030" s="1882" t="str">
        <f>+'4M'!C$47</f>
        <v>Capital expenditure purpose - WASTEWATER additional line 11 [Other categories]</v>
      </c>
      <c r="G4030" s="1882" t="str">
        <f>IF('4M'!P47="","##BLANK",'4M'!P47)</f>
        <v>##BLANK</v>
      </c>
    </row>
    <row r="4031" spans="2:7">
      <c r="B4031" s="821" t="str">
        <f>+'4M'!BR48</f>
        <v>S3A00012FLCUM</v>
      </c>
      <c r="D4031" s="1882"/>
      <c r="E4031" s="1628" t="s">
        <v>8339</v>
      </c>
      <c r="F4031" s="1882" t="str">
        <f>+'4M'!C$48</f>
        <v>Capital expenditure purpose - WASTEWATER additional line 12 [Other categories]</v>
      </c>
      <c r="G4031" s="1882" t="str">
        <f>IF('4M'!P48="","##BLANK",'4M'!P48)</f>
        <v>##BLANK</v>
      </c>
    </row>
    <row r="4032" spans="2:7">
      <c r="B4032" s="821" t="str">
        <f>+'4M'!BR49</f>
        <v>S3A00013FLCUM</v>
      </c>
      <c r="D4032" s="1882"/>
      <c r="E4032" s="1628" t="s">
        <v>8339</v>
      </c>
      <c r="F4032" s="1882" t="str">
        <f>+'4M'!C$49</f>
        <v>Capital expenditure purpose - WASTEWATER additional line 13 [Other categories]</v>
      </c>
      <c r="G4032" s="1882" t="str">
        <f>IF('4M'!P49="","##BLANK",'4M'!P49)</f>
        <v>##BLANK</v>
      </c>
    </row>
    <row r="4033" spans="2:7">
      <c r="B4033" s="821" t="str">
        <f>+'4M'!BR50</f>
        <v>S3A00014FLCUM</v>
      </c>
      <c r="D4033" s="1882"/>
      <c r="E4033" s="1628" t="s">
        <v>8339</v>
      </c>
      <c r="F4033" s="1882" t="str">
        <f>+'4M'!C$50</f>
        <v>Capital expenditure purpose - WASTEWATER additional line 14 [Other categories]</v>
      </c>
      <c r="G4033" s="1882" t="str">
        <f>IF('4M'!P50="","##BLANK",'4M'!P50)</f>
        <v>##BLANK</v>
      </c>
    </row>
    <row r="4034" spans="2:7">
      <c r="B4034" s="821" t="str">
        <f>+'4M'!BR51</f>
        <v>S3A00015FLCUM</v>
      </c>
      <c r="D4034" s="1882"/>
      <c r="E4034" s="1628" t="s">
        <v>8339</v>
      </c>
      <c r="F4034" s="1882" t="str">
        <f>+'4M'!C$51</f>
        <v>Capital expenditure purpose - WASTEWATER additional line 15 [Other categories]</v>
      </c>
      <c r="G4034" s="1882" t="str">
        <f>IF('4M'!P51="","##BLANK",'4M'!P51)</f>
        <v>##BLANK</v>
      </c>
    </row>
    <row r="4035" spans="2:7">
      <c r="B4035" s="821" t="str">
        <f>+'4M'!BR52</f>
        <v>S3025ENHFLCUM</v>
      </c>
      <c r="D4035" s="1882"/>
      <c r="E4035" s="1628" t="s">
        <v>8339</v>
      </c>
      <c r="F4035" s="1882"/>
      <c r="G4035" s="1882">
        <f>IF('4M'!P52="","##BLANK",'4M'!P52)</f>
        <v>0</v>
      </c>
    </row>
    <row r="4036" spans="2:7">
      <c r="B4036" s="821" t="str">
        <f>+'4M'!BS8</f>
        <v>BC31379SWDCUM</v>
      </c>
      <c r="D4036" s="1882"/>
      <c r="E4036" s="1628" t="s">
        <v>8339</v>
      </c>
      <c r="F4036" s="1882"/>
      <c r="G4036" s="1882" t="str">
        <f>IF('4M'!Q8="","##BLANK",'4M'!Q8)</f>
        <v>##BLANK</v>
      </c>
    </row>
    <row r="4037" spans="2:7">
      <c r="B4037" s="821" t="str">
        <f>+'4M'!BS9</f>
        <v>S3035QSWDCUM</v>
      </c>
      <c r="D4037" s="1882"/>
      <c r="E4037" s="1628" t="s">
        <v>8339</v>
      </c>
      <c r="F4037" s="1882"/>
      <c r="G4037" s="1882" t="str">
        <f>IF('4M'!Q9="","##BLANK",'4M'!Q9)</f>
        <v>##BLANK</v>
      </c>
    </row>
    <row r="4038" spans="2:7">
      <c r="B4038" s="821" t="str">
        <f>+'4M'!BS10</f>
        <v>S3036GSWDCUM</v>
      </c>
      <c r="D4038" s="1882"/>
      <c r="E4038" s="1628" t="s">
        <v>8339</v>
      </c>
      <c r="F4038" s="1882"/>
      <c r="G4038" s="1882" t="str">
        <f>IF('4M'!Q10="","##BLANK",'4M'!Q10)</f>
        <v>##BLANK</v>
      </c>
    </row>
    <row r="4039" spans="2:7">
      <c r="B4039" s="821" t="str">
        <f>+'4M'!BS11</f>
        <v>S3004SWDCUM</v>
      </c>
      <c r="D4039" s="1882"/>
      <c r="E4039" s="1628" t="s">
        <v>8339</v>
      </c>
      <c r="F4039" s="1882"/>
      <c r="G4039" s="1882" t="str">
        <f>IF('4M'!Q11="","##BLANK",'4M'!Q11)</f>
        <v>##BLANK</v>
      </c>
    </row>
    <row r="4040" spans="2:7">
      <c r="B4040" s="821" t="str">
        <f>+'4M'!BS12</f>
        <v>WWS2001SWDCUM</v>
      </c>
      <c r="D4040" s="1882"/>
      <c r="E4040" s="1628" t="s">
        <v>8339</v>
      </c>
      <c r="F4040" s="1882"/>
      <c r="G4040" s="1882" t="str">
        <f>IF('4M'!Q12="","##BLANK",'4M'!Q12)</f>
        <v>##BLANK</v>
      </c>
    </row>
    <row r="4041" spans="2:7">
      <c r="B4041" s="821" t="str">
        <f>+'4M'!BS13</f>
        <v>S3005SWDCUM</v>
      </c>
      <c r="D4041" s="1882"/>
      <c r="E4041" s="1628" t="s">
        <v>8339</v>
      </c>
      <c r="F4041" s="1882"/>
      <c r="G4041" s="1882" t="str">
        <f>IF('4M'!Q13="","##BLANK",'4M'!Q13)</f>
        <v>##BLANK</v>
      </c>
    </row>
    <row r="4042" spans="2:7">
      <c r="B4042" s="821" t="str">
        <f>+'4M'!BS14</f>
        <v>S3006SWDCUM</v>
      </c>
      <c r="D4042" s="1882"/>
      <c r="E4042" s="1628" t="s">
        <v>8339</v>
      </c>
      <c r="F4042" s="1882"/>
      <c r="G4042" s="1882" t="str">
        <f>IF('4M'!Q14="","##BLANK",'4M'!Q14)</f>
        <v>##BLANK</v>
      </c>
    </row>
    <row r="4043" spans="2:7">
      <c r="B4043" s="821" t="str">
        <f>+'4M'!BS15</f>
        <v>S3007SWDCUM</v>
      </c>
      <c r="D4043" s="1882"/>
      <c r="E4043" s="1628" t="s">
        <v>8339</v>
      </c>
      <c r="F4043" s="1882"/>
      <c r="G4043" s="1882" t="str">
        <f>IF('4M'!Q15="","##BLANK",'4M'!Q15)</f>
        <v>##BLANK</v>
      </c>
    </row>
    <row r="4044" spans="2:7">
      <c r="B4044" s="821" t="str">
        <f>+'4M'!BS16</f>
        <v>WWS2002SWDCUM</v>
      </c>
      <c r="D4044" s="1882"/>
      <c r="E4044" s="1628" t="s">
        <v>8339</v>
      </c>
      <c r="F4044" s="1882"/>
      <c r="G4044" s="1882" t="str">
        <f>IF('4M'!Q16="","##BLANK",'4M'!Q16)</f>
        <v>##BLANK</v>
      </c>
    </row>
    <row r="4045" spans="2:7">
      <c r="B4045" s="821" t="str">
        <f>+'4M'!BS17</f>
        <v>WWS2003SWDCUM</v>
      </c>
      <c r="D4045" s="1882"/>
      <c r="E4045" s="1628" t="s">
        <v>8339</v>
      </c>
      <c r="F4045" s="1882"/>
      <c r="G4045" s="1882" t="str">
        <f>IF('4M'!Q17="","##BLANK",'4M'!Q17)</f>
        <v>##BLANK</v>
      </c>
    </row>
    <row r="4046" spans="2:7">
      <c r="B4046" s="821" t="str">
        <f>+'4M'!BS18</f>
        <v>S3008SWDCUM</v>
      </c>
      <c r="D4046" s="1882"/>
      <c r="E4046" s="1628" t="s">
        <v>8339</v>
      </c>
      <c r="F4046" s="1882"/>
      <c r="G4046" s="1882" t="str">
        <f>IF('4M'!Q18="","##BLANK",'4M'!Q18)</f>
        <v>##BLANK</v>
      </c>
    </row>
    <row r="4047" spans="2:7">
      <c r="B4047" s="821" t="str">
        <f>+'4M'!BS19</f>
        <v>S3009SWDCUM</v>
      </c>
      <c r="D4047" s="1882"/>
      <c r="E4047" s="1628" t="s">
        <v>8339</v>
      </c>
      <c r="F4047" s="1882"/>
      <c r="G4047" s="1882" t="str">
        <f>IF('4M'!Q19="","##BLANK",'4M'!Q19)</f>
        <v>##BLANK</v>
      </c>
    </row>
    <row r="4048" spans="2:7">
      <c r="B4048" s="821" t="str">
        <f>+'4M'!BS20</f>
        <v>WWS2007SWDCUM</v>
      </c>
      <c r="D4048" s="1882"/>
      <c r="E4048" s="1628" t="s">
        <v>8339</v>
      </c>
      <c r="F4048" s="1882"/>
      <c r="G4048" s="1882" t="str">
        <f>IF('4M'!Q20="","##BLANK",'4M'!Q20)</f>
        <v>##BLANK</v>
      </c>
    </row>
    <row r="4049" spans="2:7">
      <c r="B4049" s="821" t="str">
        <f>+'4M'!BS21</f>
        <v>S3010SWDCUM</v>
      </c>
      <c r="D4049" s="1882"/>
      <c r="E4049" s="1628" t="s">
        <v>8339</v>
      </c>
      <c r="F4049" s="1882"/>
      <c r="G4049" s="1882" t="str">
        <f>IF('4M'!Q21="","##BLANK",'4M'!Q21)</f>
        <v>##BLANK</v>
      </c>
    </row>
    <row r="4050" spans="2:7">
      <c r="B4050" s="821" t="str">
        <f>+'4M'!BS22</f>
        <v>S3011SWDCUM</v>
      </c>
      <c r="D4050" s="1882"/>
      <c r="E4050" s="1628" t="s">
        <v>8339</v>
      </c>
      <c r="F4050" s="1882"/>
      <c r="G4050" s="1882" t="str">
        <f>IF('4M'!Q22="","##BLANK",'4M'!Q22)</f>
        <v>##BLANK</v>
      </c>
    </row>
    <row r="4051" spans="2:7">
      <c r="B4051" s="821" t="str">
        <f>+'4M'!BS23</f>
        <v>S3012SWDCUM</v>
      </c>
      <c r="D4051" s="1882"/>
      <c r="E4051" s="1628" t="s">
        <v>8339</v>
      </c>
      <c r="F4051" s="1882"/>
      <c r="G4051" s="1882" t="str">
        <f>IF('4M'!Q23="","##BLANK",'4M'!Q23)</f>
        <v>##BLANK</v>
      </c>
    </row>
    <row r="4052" spans="2:7">
      <c r="B4052" s="821" t="str">
        <f>+'4M'!BS24</f>
        <v>S3013SWDCUM</v>
      </c>
      <c r="D4052" s="1882"/>
      <c r="E4052" s="1628" t="s">
        <v>8339</v>
      </c>
      <c r="F4052" s="1882"/>
      <c r="G4052" s="1882" t="str">
        <f>IF('4M'!Q24="","##BLANK",'4M'!Q24)</f>
        <v>##BLANK</v>
      </c>
    </row>
    <row r="4053" spans="2:7">
      <c r="B4053" s="821" t="str">
        <f>+'4M'!BS25</f>
        <v>S3014SWDCUM</v>
      </c>
      <c r="D4053" s="1882"/>
      <c r="E4053" s="1628" t="s">
        <v>8339</v>
      </c>
      <c r="F4053" s="1882"/>
      <c r="G4053" s="1882" t="str">
        <f>IF('4M'!Q25="","##BLANK",'4M'!Q25)</f>
        <v>##BLANK</v>
      </c>
    </row>
    <row r="4054" spans="2:7">
      <c r="B4054" s="821" t="str">
        <f>+'4M'!BS26</f>
        <v>S3015SWDCUM</v>
      </c>
      <c r="D4054" s="1882"/>
      <c r="E4054" s="1628" t="s">
        <v>8339</v>
      </c>
      <c r="F4054" s="1882"/>
      <c r="G4054" s="1882" t="str">
        <f>IF('4M'!Q26="","##BLANK",'4M'!Q26)</f>
        <v>##BLANK</v>
      </c>
    </row>
    <row r="4055" spans="2:7">
      <c r="B4055" s="821" t="str">
        <f>+'4M'!BS27</f>
        <v>S3016SWDCUM</v>
      </c>
      <c r="D4055" s="1882"/>
      <c r="E4055" s="1628" t="s">
        <v>8339</v>
      </c>
      <c r="F4055" s="1882"/>
      <c r="G4055" s="1882" t="str">
        <f>IF('4M'!Q27="","##BLANK",'4M'!Q27)</f>
        <v>##BLANK</v>
      </c>
    </row>
    <row r="4056" spans="2:7">
      <c r="B4056" s="821" t="str">
        <f>+'4M'!BS28</f>
        <v>S3017SWDCUM</v>
      </c>
      <c r="D4056" s="1882"/>
      <c r="E4056" s="1628" t="s">
        <v>8339</v>
      </c>
      <c r="F4056" s="1882"/>
      <c r="G4056" s="1882" t="str">
        <f>IF('4M'!Q28="","##BLANK",'4M'!Q28)</f>
        <v>##BLANK</v>
      </c>
    </row>
    <row r="4057" spans="2:7">
      <c r="B4057" s="821" t="str">
        <f>+'4M'!BS29</f>
        <v>S3018SWDCUM</v>
      </c>
      <c r="D4057" s="1882"/>
      <c r="E4057" s="1628" t="s">
        <v>8339</v>
      </c>
      <c r="F4057" s="1882"/>
      <c r="G4057" s="1882" t="str">
        <f>IF('4M'!Q29="","##BLANK",'4M'!Q29)</f>
        <v>##BLANK</v>
      </c>
    </row>
    <row r="4058" spans="2:7">
      <c r="B4058" s="821" t="str">
        <f>+'4M'!BS30</f>
        <v>S3019SWDCUM</v>
      </c>
      <c r="D4058" s="1882"/>
      <c r="E4058" s="1628" t="s">
        <v>8339</v>
      </c>
      <c r="F4058" s="1882"/>
      <c r="G4058" s="1882" t="str">
        <f>IF('4M'!Q30="","##BLANK",'4M'!Q30)</f>
        <v>##BLANK</v>
      </c>
    </row>
    <row r="4059" spans="2:7">
      <c r="B4059" s="821" t="str">
        <f>+'4M'!BS31</f>
        <v>S3020SWDCUM</v>
      </c>
      <c r="D4059" s="1882"/>
      <c r="E4059" s="1628" t="s">
        <v>8339</v>
      </c>
      <c r="F4059" s="1882"/>
      <c r="G4059" s="1882" t="str">
        <f>IF('4M'!Q31="","##BLANK",'4M'!Q31)</f>
        <v>##BLANK</v>
      </c>
    </row>
    <row r="4060" spans="2:7">
      <c r="B4060" s="821" t="str">
        <f>+'4M'!BS32</f>
        <v>S3021SWDCUM</v>
      </c>
      <c r="D4060" s="1882"/>
      <c r="E4060" s="1628" t="s">
        <v>8339</v>
      </c>
      <c r="F4060" s="1882"/>
      <c r="G4060" s="1882" t="str">
        <f>IF('4M'!Q32="","##BLANK",'4M'!Q32)</f>
        <v>##BLANK</v>
      </c>
    </row>
    <row r="4061" spans="2:7">
      <c r="B4061" s="821" t="str">
        <f>+'4M'!BS33</f>
        <v>S3022SWDCUM</v>
      </c>
      <c r="D4061" s="1882"/>
      <c r="E4061" s="1628" t="s">
        <v>8339</v>
      </c>
      <c r="F4061" s="1882"/>
      <c r="G4061" s="1882" t="str">
        <f>IF('4M'!Q33="","##BLANK",'4M'!Q33)</f>
        <v>##BLANK</v>
      </c>
    </row>
    <row r="4062" spans="2:7">
      <c r="B4062" s="821" t="str">
        <f>+'4M'!BS34</f>
        <v>BC31785SWDCUM</v>
      </c>
      <c r="D4062" s="1882"/>
      <c r="E4062" s="1628" t="s">
        <v>8339</v>
      </c>
      <c r="F4062" s="1882"/>
      <c r="G4062" s="1882" t="str">
        <f>IF('4M'!Q34="","##BLANK",'4M'!Q34)</f>
        <v>##BLANK</v>
      </c>
    </row>
    <row r="4063" spans="2:7">
      <c r="B4063" s="821" t="str">
        <f>+'4M'!BS35</f>
        <v>S3023SWDCUM</v>
      </c>
      <c r="D4063" s="1882"/>
      <c r="E4063" s="1628" t="s">
        <v>8339</v>
      </c>
      <c r="F4063" s="1882"/>
      <c r="G4063" s="1882" t="str">
        <f>IF('4M'!Q35="","##BLANK",'4M'!Q35)</f>
        <v>##BLANK</v>
      </c>
    </row>
    <row r="4064" spans="2:7">
      <c r="B4064" s="821" t="str">
        <f>+'4M'!BS36</f>
        <v>S3024SWDCUM</v>
      </c>
      <c r="D4064" s="1882"/>
      <c r="E4064" s="1628" t="s">
        <v>8339</v>
      </c>
      <c r="F4064" s="1882"/>
      <c r="G4064" s="1882" t="str">
        <f>IF('4M'!Q36="","##BLANK",'4M'!Q36)</f>
        <v>##BLANK</v>
      </c>
    </row>
    <row r="4065" spans="2:7">
      <c r="B4065" s="821" t="str">
        <f>+'4M'!BS37</f>
        <v>S3A00001SWDCUM</v>
      </c>
      <c r="D4065" s="1882"/>
      <c r="E4065" s="1628" t="s">
        <v>8339</v>
      </c>
      <c r="F4065" s="1882" t="str">
        <f>+'4M'!C$37</f>
        <v>Capital expenditure purpose - WASTEWATER additional line 1 [Other categories]</v>
      </c>
      <c r="G4065" s="1882" t="str">
        <f>IF('4M'!Q37="","##BLANK",'4M'!Q37)</f>
        <v>##BLANK</v>
      </c>
    </row>
    <row r="4066" spans="2:7">
      <c r="B4066" s="821" t="str">
        <f>+'4M'!BS38</f>
        <v>S3A00002SWDCUM</v>
      </c>
      <c r="D4066" s="1882"/>
      <c r="E4066" s="1628" t="s">
        <v>8339</v>
      </c>
      <c r="F4066" s="1882" t="str">
        <f>+'4M'!C$38</f>
        <v>Capital expenditure purpose - WASTEWATER additional line 2 [Other categories]</v>
      </c>
      <c r="G4066" s="1882" t="str">
        <f>IF('4M'!Q38="","##BLANK",'4M'!Q38)</f>
        <v>##BLANK</v>
      </c>
    </row>
    <row r="4067" spans="2:7">
      <c r="B4067" s="821" t="str">
        <f>+'4M'!BS39</f>
        <v>S3A00003SWDCUM</v>
      </c>
      <c r="D4067" s="1882"/>
      <c r="E4067" s="1628" t="s">
        <v>8339</v>
      </c>
      <c r="F4067" s="1882" t="str">
        <f>+'4M'!C$39</f>
        <v>Capital expenditure purpose - WASTEWATER additional line 3 [Other categories]</v>
      </c>
      <c r="G4067" s="1882" t="str">
        <f>IF('4M'!Q39="","##BLANK",'4M'!Q39)</f>
        <v>##BLANK</v>
      </c>
    </row>
    <row r="4068" spans="2:7">
      <c r="B4068" s="821" t="str">
        <f>+'4M'!BS40</f>
        <v>S3A00004SWDCUM</v>
      </c>
      <c r="D4068" s="1882"/>
      <c r="E4068" s="1628" t="s">
        <v>8339</v>
      </c>
      <c r="F4068" s="1882" t="str">
        <f>+'4M'!C$40</f>
        <v>Capital expenditure purpose - WASTEWATER additional line 4 [Other categories]</v>
      </c>
      <c r="G4068" s="1882" t="str">
        <f>IF('4M'!Q40="","##BLANK",'4M'!Q40)</f>
        <v>##BLANK</v>
      </c>
    </row>
    <row r="4069" spans="2:7">
      <c r="B4069" s="821" t="str">
        <f>+'4M'!BS41</f>
        <v>S3A00005SWDCUM</v>
      </c>
      <c r="D4069" s="1882"/>
      <c r="E4069" s="1628" t="s">
        <v>8339</v>
      </c>
      <c r="F4069" s="1882" t="str">
        <f>+'4M'!C$41</f>
        <v>Capital expenditure purpose - WASTEWATER additional line 5 [Other categories]</v>
      </c>
      <c r="G4069" s="1882" t="str">
        <f>IF('4M'!Q41="","##BLANK",'4M'!Q41)</f>
        <v>##BLANK</v>
      </c>
    </row>
    <row r="4070" spans="2:7">
      <c r="B4070" s="821" t="str">
        <f>+'4M'!BS42</f>
        <v>S3A00006SWDCUM</v>
      </c>
      <c r="D4070" s="1882"/>
      <c r="E4070" s="1628" t="s">
        <v>8339</v>
      </c>
      <c r="F4070" s="1882" t="str">
        <f>+'4M'!C$42</f>
        <v>Capital expenditure purpose - WASTEWATER additional line 6 [Other categories]</v>
      </c>
      <c r="G4070" s="1882" t="str">
        <f>IF('4M'!Q42="","##BLANK",'4M'!Q42)</f>
        <v>##BLANK</v>
      </c>
    </row>
    <row r="4071" spans="2:7">
      <c r="B4071" s="821" t="str">
        <f>+'4M'!BS43</f>
        <v>S3A00007SWDCUM</v>
      </c>
      <c r="D4071" s="1882"/>
      <c r="E4071" s="1628" t="s">
        <v>8339</v>
      </c>
      <c r="F4071" s="1882" t="str">
        <f>+'4M'!C$43</f>
        <v>Capital expenditure purpose - WASTEWATER additional line 7 [Other categories]</v>
      </c>
      <c r="G4071" s="1882" t="str">
        <f>IF('4M'!Q43="","##BLANK",'4M'!Q43)</f>
        <v>##BLANK</v>
      </c>
    </row>
    <row r="4072" spans="2:7">
      <c r="B4072" s="821" t="str">
        <f>+'4M'!BS44</f>
        <v>S3A00008SWDCUM</v>
      </c>
      <c r="D4072" s="1882"/>
      <c r="E4072" s="1628" t="s">
        <v>8339</v>
      </c>
      <c r="F4072" s="1882" t="str">
        <f>+'4M'!C$44</f>
        <v>Capital expenditure purpose - WASTEWATER additional line 8 [Other categories]</v>
      </c>
      <c r="G4072" s="1882" t="str">
        <f>IF('4M'!Q44="","##BLANK",'4M'!Q44)</f>
        <v>##BLANK</v>
      </c>
    </row>
    <row r="4073" spans="2:7">
      <c r="B4073" s="821" t="str">
        <f>+'4M'!BS45</f>
        <v>S3A00009SWDCUM</v>
      </c>
      <c r="D4073" s="1882"/>
      <c r="E4073" s="1628" t="s">
        <v>8339</v>
      </c>
      <c r="F4073" s="1882" t="str">
        <f>+'4M'!C$45</f>
        <v>Capital expenditure purpose - WASTEWATER additional line 9 [Other categories]</v>
      </c>
      <c r="G4073" s="1882" t="str">
        <f>IF('4M'!Q45="","##BLANK",'4M'!Q45)</f>
        <v>##BLANK</v>
      </c>
    </row>
    <row r="4074" spans="2:7">
      <c r="B4074" s="821" t="str">
        <f>+'4M'!BS46</f>
        <v>S3A00010SWDCUM</v>
      </c>
      <c r="D4074" s="1882"/>
      <c r="E4074" s="1628" t="s">
        <v>8339</v>
      </c>
      <c r="F4074" s="1882" t="str">
        <f>+'4M'!C$46</f>
        <v>Capital expenditure purpose - WASTEWATER additional line 10 [Other categories]</v>
      </c>
      <c r="G4074" s="1882" t="str">
        <f>IF('4M'!Q46="","##BLANK",'4M'!Q46)</f>
        <v>##BLANK</v>
      </c>
    </row>
    <row r="4075" spans="2:7">
      <c r="B4075" s="821" t="str">
        <f>+'4M'!BS47</f>
        <v>S3A00011SWDCUM</v>
      </c>
      <c r="D4075" s="1882"/>
      <c r="E4075" s="1628" t="s">
        <v>8339</v>
      </c>
      <c r="F4075" s="1882" t="str">
        <f>+'4M'!C$47</f>
        <v>Capital expenditure purpose - WASTEWATER additional line 11 [Other categories]</v>
      </c>
      <c r="G4075" s="1882" t="str">
        <f>IF('4M'!Q47="","##BLANK",'4M'!Q47)</f>
        <v>##BLANK</v>
      </c>
    </row>
    <row r="4076" spans="2:7">
      <c r="B4076" s="821" t="str">
        <f>+'4M'!BS48</f>
        <v>S3A00012SWDCUM</v>
      </c>
      <c r="D4076" s="1882"/>
      <c r="E4076" s="1628" t="s">
        <v>8339</v>
      </c>
      <c r="F4076" s="1882" t="str">
        <f>+'4M'!C$48</f>
        <v>Capital expenditure purpose - WASTEWATER additional line 12 [Other categories]</v>
      </c>
      <c r="G4076" s="1882" t="str">
        <f>IF('4M'!Q48="","##BLANK",'4M'!Q48)</f>
        <v>##BLANK</v>
      </c>
    </row>
    <row r="4077" spans="2:7">
      <c r="B4077" s="821" t="str">
        <f>+'4M'!BS49</f>
        <v>S3A00013SWDCUM</v>
      </c>
      <c r="D4077" s="1882"/>
      <c r="E4077" s="1628" t="s">
        <v>8339</v>
      </c>
      <c r="F4077" s="1882" t="str">
        <f>+'4M'!C$49</f>
        <v>Capital expenditure purpose - WASTEWATER additional line 13 [Other categories]</v>
      </c>
      <c r="G4077" s="1882" t="str">
        <f>IF('4M'!Q49="","##BLANK",'4M'!Q49)</f>
        <v>##BLANK</v>
      </c>
    </row>
    <row r="4078" spans="2:7">
      <c r="B4078" s="821" t="str">
        <f>+'4M'!BS50</f>
        <v>S3A00014SWDCUM</v>
      </c>
      <c r="D4078" s="1882"/>
      <c r="E4078" s="1628" t="s">
        <v>8339</v>
      </c>
      <c r="F4078" s="1882" t="str">
        <f>+'4M'!C$50</f>
        <v>Capital expenditure purpose - WASTEWATER additional line 14 [Other categories]</v>
      </c>
      <c r="G4078" s="1882" t="str">
        <f>IF('4M'!Q50="","##BLANK",'4M'!Q50)</f>
        <v>##BLANK</v>
      </c>
    </row>
    <row r="4079" spans="2:7">
      <c r="B4079" s="821" t="str">
        <f>+'4M'!BS51</f>
        <v>S3A00015SWDCUM</v>
      </c>
      <c r="D4079" s="1882"/>
      <c r="E4079" s="1628" t="s">
        <v>8339</v>
      </c>
      <c r="F4079" s="1882" t="str">
        <f>+'4M'!C$51</f>
        <v>Capital expenditure purpose - WASTEWATER additional line 15 [Other categories]</v>
      </c>
      <c r="G4079" s="1882" t="str">
        <f>IF('4M'!Q51="","##BLANK",'4M'!Q51)</f>
        <v>##BLANK</v>
      </c>
    </row>
    <row r="4080" spans="2:7">
      <c r="B4080" s="821" t="str">
        <f>+'4M'!BS52</f>
        <v>S3025ENHSWDCUM</v>
      </c>
      <c r="D4080" s="1882"/>
      <c r="E4080" s="1628" t="s">
        <v>8339</v>
      </c>
      <c r="F4080" s="1882"/>
      <c r="G4080" s="1882">
        <f>IF('4M'!Q52="","##BLANK",'4M'!Q52)</f>
        <v>0</v>
      </c>
    </row>
    <row r="4081" spans="2:7">
      <c r="B4081" s="821" t="str">
        <f>+'4M'!BT8</f>
        <v>BC31379HDCUM</v>
      </c>
      <c r="D4081" s="1882"/>
      <c r="E4081" s="1628" t="s">
        <v>8339</v>
      </c>
      <c r="F4081" s="1882"/>
      <c r="G4081" s="1882" t="str">
        <f>IF('4M'!R8="","##BLANK",'4M'!R8)</f>
        <v>##BLANK</v>
      </c>
    </row>
    <row r="4082" spans="2:7">
      <c r="B4082" s="821" t="str">
        <f>+'4M'!BT9</f>
        <v>S3035QHDCUM</v>
      </c>
      <c r="D4082" s="1882"/>
      <c r="E4082" s="1628" t="s">
        <v>8339</v>
      </c>
      <c r="F4082" s="1882"/>
      <c r="G4082" s="1882" t="str">
        <f>IF('4M'!R9="","##BLANK",'4M'!R9)</f>
        <v>##BLANK</v>
      </c>
    </row>
    <row r="4083" spans="2:7">
      <c r="B4083" s="821" t="str">
        <f>+'4M'!BT10</f>
        <v>S3036GHDCUM</v>
      </c>
      <c r="D4083" s="1882"/>
      <c r="E4083" s="1628" t="s">
        <v>8339</v>
      </c>
      <c r="F4083" s="1882"/>
      <c r="G4083" s="1882" t="str">
        <f>IF('4M'!R10="","##BLANK",'4M'!R10)</f>
        <v>##BLANK</v>
      </c>
    </row>
    <row r="4084" spans="2:7">
      <c r="B4084" s="821" t="str">
        <f>+'4M'!BT11</f>
        <v>S3004HDCUM</v>
      </c>
      <c r="D4084" s="1882"/>
      <c r="E4084" s="1628" t="s">
        <v>8339</v>
      </c>
      <c r="F4084" s="1882"/>
      <c r="G4084" s="1882" t="str">
        <f>IF('4M'!R11="","##BLANK",'4M'!R11)</f>
        <v>##BLANK</v>
      </c>
    </row>
    <row r="4085" spans="2:7">
      <c r="B4085" s="821" t="str">
        <f>+'4M'!BT12</f>
        <v>WWS2001HDCUM</v>
      </c>
      <c r="D4085" s="1882"/>
      <c r="E4085" s="1628" t="s">
        <v>8339</v>
      </c>
      <c r="F4085" s="1882"/>
      <c r="G4085" s="1882" t="str">
        <f>IF('4M'!R12="","##BLANK",'4M'!R12)</f>
        <v>##BLANK</v>
      </c>
    </row>
    <row r="4086" spans="2:7">
      <c r="B4086" s="821" t="str">
        <f>+'4M'!BT13</f>
        <v>S3005HDCUM</v>
      </c>
      <c r="D4086" s="1882"/>
      <c r="E4086" s="1628" t="s">
        <v>8339</v>
      </c>
      <c r="F4086" s="1882"/>
      <c r="G4086" s="1882" t="str">
        <f>IF('4M'!R13="","##BLANK",'4M'!R13)</f>
        <v>##BLANK</v>
      </c>
    </row>
    <row r="4087" spans="2:7">
      <c r="B4087" s="821" t="str">
        <f>+'4M'!BT14</f>
        <v>S3006HDCUM</v>
      </c>
      <c r="D4087" s="1882"/>
      <c r="E4087" s="1628" t="s">
        <v>8339</v>
      </c>
      <c r="F4087" s="1882"/>
      <c r="G4087" s="1882" t="str">
        <f>IF('4M'!R14="","##BLANK",'4M'!R14)</f>
        <v>##BLANK</v>
      </c>
    </row>
    <row r="4088" spans="2:7">
      <c r="B4088" s="821" t="str">
        <f>+'4M'!BT15</f>
        <v>S3007HDCUM</v>
      </c>
      <c r="D4088" s="1882"/>
      <c r="E4088" s="1628" t="s">
        <v>8339</v>
      </c>
      <c r="F4088" s="1882"/>
      <c r="G4088" s="1882" t="str">
        <f>IF('4M'!R15="","##BLANK",'4M'!R15)</f>
        <v>##BLANK</v>
      </c>
    </row>
    <row r="4089" spans="2:7">
      <c r="B4089" s="821" t="str">
        <f>+'4M'!BT16</f>
        <v>WWS2002HDCUM</v>
      </c>
      <c r="D4089" s="1882"/>
      <c r="E4089" s="1628" t="s">
        <v>8339</v>
      </c>
      <c r="F4089" s="1882"/>
      <c r="G4089" s="1882" t="str">
        <f>IF('4M'!R16="","##BLANK",'4M'!R16)</f>
        <v>##BLANK</v>
      </c>
    </row>
    <row r="4090" spans="2:7">
      <c r="B4090" s="821" t="str">
        <f>+'4M'!BT17</f>
        <v>WWS2003HDCUM</v>
      </c>
      <c r="D4090" s="1882"/>
      <c r="E4090" s="1628" t="s">
        <v>8339</v>
      </c>
      <c r="F4090" s="1882"/>
      <c r="G4090" s="1882" t="str">
        <f>IF('4M'!R17="","##BLANK",'4M'!R17)</f>
        <v>##BLANK</v>
      </c>
    </row>
    <row r="4091" spans="2:7">
      <c r="B4091" s="821" t="str">
        <f>+'4M'!BT18</f>
        <v>S3008HDCUM</v>
      </c>
      <c r="D4091" s="1882"/>
      <c r="E4091" s="1628" t="s">
        <v>8339</v>
      </c>
      <c r="F4091" s="1882"/>
      <c r="G4091" s="1882" t="str">
        <f>IF('4M'!R18="","##BLANK",'4M'!R18)</f>
        <v>##BLANK</v>
      </c>
    </row>
    <row r="4092" spans="2:7">
      <c r="B4092" s="821" t="str">
        <f>+'4M'!BT19</f>
        <v>S3009HDCUM</v>
      </c>
      <c r="D4092" s="1882"/>
      <c r="E4092" s="1628" t="s">
        <v>8339</v>
      </c>
      <c r="F4092" s="1882"/>
      <c r="G4092" s="1882" t="str">
        <f>IF('4M'!R19="","##BLANK",'4M'!R19)</f>
        <v>##BLANK</v>
      </c>
    </row>
    <row r="4093" spans="2:7">
      <c r="B4093" s="821" t="str">
        <f>+'4M'!BT20</f>
        <v>WWS2007HDCUM</v>
      </c>
      <c r="D4093" s="1882"/>
      <c r="E4093" s="1628" t="s">
        <v>8339</v>
      </c>
      <c r="F4093" s="1882"/>
      <c r="G4093" s="1882" t="str">
        <f>IF('4M'!R20="","##BLANK",'4M'!R20)</f>
        <v>##BLANK</v>
      </c>
    </row>
    <row r="4094" spans="2:7">
      <c r="B4094" s="821" t="str">
        <f>+'4M'!BT21</f>
        <v>S3010HDCUM</v>
      </c>
      <c r="D4094" s="1882"/>
      <c r="E4094" s="1628" t="s">
        <v>8339</v>
      </c>
      <c r="F4094" s="1882"/>
      <c r="G4094" s="1882" t="str">
        <f>IF('4M'!R21="","##BLANK",'4M'!R21)</f>
        <v>##BLANK</v>
      </c>
    </row>
    <row r="4095" spans="2:7">
      <c r="B4095" s="821" t="str">
        <f>+'4M'!BT22</f>
        <v>S3011HDCUM</v>
      </c>
      <c r="D4095" s="1882"/>
      <c r="E4095" s="1628" t="s">
        <v>8339</v>
      </c>
      <c r="F4095" s="1882"/>
      <c r="G4095" s="1882" t="str">
        <f>IF('4M'!R22="","##BLANK",'4M'!R22)</f>
        <v>##BLANK</v>
      </c>
    </row>
    <row r="4096" spans="2:7">
      <c r="B4096" s="821" t="str">
        <f>+'4M'!BT23</f>
        <v>S3012HDCUM</v>
      </c>
      <c r="D4096" s="1882"/>
      <c r="E4096" s="1628" t="s">
        <v>8339</v>
      </c>
      <c r="F4096" s="1882"/>
      <c r="G4096" s="1882" t="str">
        <f>IF('4M'!R23="","##BLANK",'4M'!R23)</f>
        <v>##BLANK</v>
      </c>
    </row>
    <row r="4097" spans="2:7">
      <c r="B4097" s="821" t="str">
        <f>+'4M'!BT24</f>
        <v>S3013HDCUM</v>
      </c>
      <c r="D4097" s="1882"/>
      <c r="E4097" s="1628" t="s">
        <v>8339</v>
      </c>
      <c r="F4097" s="1882"/>
      <c r="G4097" s="1882" t="str">
        <f>IF('4M'!R24="","##BLANK",'4M'!R24)</f>
        <v>##BLANK</v>
      </c>
    </row>
    <row r="4098" spans="2:7">
      <c r="B4098" s="821" t="str">
        <f>+'4M'!BT25</f>
        <v>S3014HDCUM</v>
      </c>
      <c r="D4098" s="1882"/>
      <c r="E4098" s="1628" t="s">
        <v>8339</v>
      </c>
      <c r="F4098" s="1882"/>
      <c r="G4098" s="1882" t="str">
        <f>IF('4M'!R25="","##BLANK",'4M'!R25)</f>
        <v>##BLANK</v>
      </c>
    </row>
    <row r="4099" spans="2:7">
      <c r="B4099" s="821" t="str">
        <f>+'4M'!BT26</f>
        <v>S3015HDCUM</v>
      </c>
      <c r="D4099" s="1882"/>
      <c r="E4099" s="1628" t="s">
        <v>8339</v>
      </c>
      <c r="F4099" s="1882"/>
      <c r="G4099" s="1882" t="str">
        <f>IF('4M'!R26="","##BLANK",'4M'!R26)</f>
        <v>##BLANK</v>
      </c>
    </row>
    <row r="4100" spans="2:7">
      <c r="B4100" s="821" t="str">
        <f>+'4M'!BT27</f>
        <v>S3016HDCUM</v>
      </c>
      <c r="D4100" s="1882"/>
      <c r="E4100" s="1628" t="s">
        <v>8339</v>
      </c>
      <c r="F4100" s="1882"/>
      <c r="G4100" s="1882" t="str">
        <f>IF('4M'!R27="","##BLANK",'4M'!R27)</f>
        <v>##BLANK</v>
      </c>
    </row>
    <row r="4101" spans="2:7">
      <c r="B4101" s="821" t="str">
        <f>+'4M'!BT28</f>
        <v>S3017HDCUM</v>
      </c>
      <c r="D4101" s="1882"/>
      <c r="E4101" s="1628" t="s">
        <v>8339</v>
      </c>
      <c r="F4101" s="1882"/>
      <c r="G4101" s="1882" t="str">
        <f>IF('4M'!R28="","##BLANK",'4M'!R28)</f>
        <v>##BLANK</v>
      </c>
    </row>
    <row r="4102" spans="2:7">
      <c r="B4102" s="821" t="str">
        <f>+'4M'!BT29</f>
        <v>S3018HDCUM</v>
      </c>
      <c r="D4102" s="1882"/>
      <c r="E4102" s="1628" t="s">
        <v>8339</v>
      </c>
      <c r="F4102" s="1882"/>
      <c r="G4102" s="1882" t="str">
        <f>IF('4M'!R29="","##BLANK",'4M'!R29)</f>
        <v>##BLANK</v>
      </c>
    </row>
    <row r="4103" spans="2:7">
      <c r="B4103" s="821" t="str">
        <f>+'4M'!BT30</f>
        <v>S3019HDCUM</v>
      </c>
      <c r="D4103" s="1882"/>
      <c r="E4103" s="1628" t="s">
        <v>8339</v>
      </c>
      <c r="F4103" s="1882"/>
      <c r="G4103" s="1882" t="str">
        <f>IF('4M'!R30="","##BLANK",'4M'!R30)</f>
        <v>##BLANK</v>
      </c>
    </row>
    <row r="4104" spans="2:7">
      <c r="B4104" s="821" t="str">
        <f>+'4M'!BT31</f>
        <v>S3020HDCUM</v>
      </c>
      <c r="D4104" s="1882"/>
      <c r="E4104" s="1628" t="s">
        <v>8339</v>
      </c>
      <c r="F4104" s="1882"/>
      <c r="G4104" s="1882" t="str">
        <f>IF('4M'!R31="","##BLANK",'4M'!R31)</f>
        <v>##BLANK</v>
      </c>
    </row>
    <row r="4105" spans="2:7">
      <c r="B4105" s="821" t="str">
        <f>+'4M'!BT32</f>
        <v>S3021HDCUM</v>
      </c>
      <c r="D4105" s="1882"/>
      <c r="E4105" s="1628" t="s">
        <v>8339</v>
      </c>
      <c r="F4105" s="1882"/>
      <c r="G4105" s="1882" t="str">
        <f>IF('4M'!R32="","##BLANK",'4M'!R32)</f>
        <v>##BLANK</v>
      </c>
    </row>
    <row r="4106" spans="2:7">
      <c r="B4106" s="821" t="str">
        <f>+'4M'!BT33</f>
        <v>S3022HDCUM</v>
      </c>
      <c r="D4106" s="1882"/>
      <c r="E4106" s="1628" t="s">
        <v>8339</v>
      </c>
      <c r="F4106" s="1882"/>
      <c r="G4106" s="1882" t="str">
        <f>IF('4M'!R33="","##BLANK",'4M'!R33)</f>
        <v>##BLANK</v>
      </c>
    </row>
    <row r="4107" spans="2:7">
      <c r="B4107" s="821" t="str">
        <f>+'4M'!BT34</f>
        <v>BC31785HDCUM</v>
      </c>
      <c r="D4107" s="1882"/>
      <c r="E4107" s="1628" t="s">
        <v>8339</v>
      </c>
      <c r="F4107" s="1882"/>
      <c r="G4107" s="1882" t="str">
        <f>IF('4M'!R34="","##BLANK",'4M'!R34)</f>
        <v>##BLANK</v>
      </c>
    </row>
    <row r="4108" spans="2:7">
      <c r="B4108" s="821" t="str">
        <f>+'4M'!BT35</f>
        <v>S3023HDCUM</v>
      </c>
      <c r="D4108" s="1882"/>
      <c r="E4108" s="1628" t="s">
        <v>8339</v>
      </c>
      <c r="F4108" s="1882"/>
      <c r="G4108" s="1882" t="str">
        <f>IF('4M'!R35="","##BLANK",'4M'!R35)</f>
        <v>##BLANK</v>
      </c>
    </row>
    <row r="4109" spans="2:7">
      <c r="B4109" s="821" t="str">
        <f>+'4M'!BT36</f>
        <v>S3024HDCUM</v>
      </c>
      <c r="D4109" s="1882"/>
      <c r="E4109" s="1628" t="s">
        <v>8339</v>
      </c>
      <c r="F4109" s="1882"/>
      <c r="G4109" s="1882" t="str">
        <f>IF('4M'!R36="","##BLANK",'4M'!R36)</f>
        <v>##BLANK</v>
      </c>
    </row>
    <row r="4110" spans="2:7">
      <c r="B4110" s="821" t="str">
        <f>+'4M'!BT37</f>
        <v>S3A00001HDCUM</v>
      </c>
      <c r="D4110" s="1882"/>
      <c r="E4110" s="1628" t="s">
        <v>8339</v>
      </c>
      <c r="F4110" s="1882" t="str">
        <f>+'4M'!C$37</f>
        <v>Capital expenditure purpose - WASTEWATER additional line 1 [Other categories]</v>
      </c>
      <c r="G4110" s="1882" t="str">
        <f>IF('4M'!R37="","##BLANK",'4M'!R37)</f>
        <v>##BLANK</v>
      </c>
    </row>
    <row r="4111" spans="2:7">
      <c r="B4111" s="821" t="str">
        <f>+'4M'!BT38</f>
        <v>S3A00002HDCUM</v>
      </c>
      <c r="D4111" s="1882"/>
      <c r="E4111" s="1628" t="s">
        <v>8339</v>
      </c>
      <c r="F4111" s="1882" t="str">
        <f>+'4M'!C$38</f>
        <v>Capital expenditure purpose - WASTEWATER additional line 2 [Other categories]</v>
      </c>
      <c r="G4111" s="1882" t="str">
        <f>IF('4M'!R38="","##BLANK",'4M'!R38)</f>
        <v>##BLANK</v>
      </c>
    </row>
    <row r="4112" spans="2:7">
      <c r="B4112" s="821" t="str">
        <f>+'4M'!BT39</f>
        <v>S3A00003HDCUM</v>
      </c>
      <c r="D4112" s="1882"/>
      <c r="E4112" s="1628" t="s">
        <v>8339</v>
      </c>
      <c r="F4112" s="1882" t="str">
        <f>+'4M'!C$39</f>
        <v>Capital expenditure purpose - WASTEWATER additional line 3 [Other categories]</v>
      </c>
      <c r="G4112" s="1882" t="str">
        <f>IF('4M'!R39="","##BLANK",'4M'!R39)</f>
        <v>##BLANK</v>
      </c>
    </row>
    <row r="4113" spans="2:7">
      <c r="B4113" s="821" t="str">
        <f>+'4M'!BT40</f>
        <v>S3A00004HDCUM</v>
      </c>
      <c r="D4113" s="1882"/>
      <c r="E4113" s="1628" t="s">
        <v>8339</v>
      </c>
      <c r="F4113" s="1882" t="str">
        <f>+'4M'!C$40</f>
        <v>Capital expenditure purpose - WASTEWATER additional line 4 [Other categories]</v>
      </c>
      <c r="G4113" s="1882" t="str">
        <f>IF('4M'!R40="","##BLANK",'4M'!R40)</f>
        <v>##BLANK</v>
      </c>
    </row>
    <row r="4114" spans="2:7">
      <c r="B4114" s="821" t="str">
        <f>+'4M'!BT41</f>
        <v>S3A00005HDCUM</v>
      </c>
      <c r="D4114" s="1882"/>
      <c r="E4114" s="1628" t="s">
        <v>8339</v>
      </c>
      <c r="F4114" s="1882" t="str">
        <f>+'4M'!C$41</f>
        <v>Capital expenditure purpose - WASTEWATER additional line 5 [Other categories]</v>
      </c>
      <c r="G4114" s="1882" t="str">
        <f>IF('4M'!R41="","##BLANK",'4M'!R41)</f>
        <v>##BLANK</v>
      </c>
    </row>
    <row r="4115" spans="2:7">
      <c r="B4115" s="821" t="str">
        <f>+'4M'!BT42</f>
        <v>S3A00006HDCUM</v>
      </c>
      <c r="D4115" s="1882"/>
      <c r="E4115" s="1628" t="s">
        <v>8339</v>
      </c>
      <c r="F4115" s="1882" t="str">
        <f>+'4M'!C$42</f>
        <v>Capital expenditure purpose - WASTEWATER additional line 6 [Other categories]</v>
      </c>
      <c r="G4115" s="1882" t="str">
        <f>IF('4M'!R42="","##BLANK",'4M'!R42)</f>
        <v>##BLANK</v>
      </c>
    </row>
    <row r="4116" spans="2:7">
      <c r="B4116" s="821" t="str">
        <f>+'4M'!BT43</f>
        <v>S3A00007HDCUM</v>
      </c>
      <c r="D4116" s="1882"/>
      <c r="E4116" s="1628" t="s">
        <v>8339</v>
      </c>
      <c r="F4116" s="1882" t="str">
        <f>+'4M'!C$43</f>
        <v>Capital expenditure purpose - WASTEWATER additional line 7 [Other categories]</v>
      </c>
      <c r="G4116" s="1882" t="str">
        <f>IF('4M'!R43="","##BLANK",'4M'!R43)</f>
        <v>##BLANK</v>
      </c>
    </row>
    <row r="4117" spans="2:7">
      <c r="B4117" s="821" t="str">
        <f>+'4M'!BT44</f>
        <v>S3A00008HDCUM</v>
      </c>
      <c r="D4117" s="1882"/>
      <c r="E4117" s="1628" t="s">
        <v>8339</v>
      </c>
      <c r="F4117" s="1882" t="str">
        <f>+'4M'!C$44</f>
        <v>Capital expenditure purpose - WASTEWATER additional line 8 [Other categories]</v>
      </c>
      <c r="G4117" s="1882" t="str">
        <f>IF('4M'!R44="","##BLANK",'4M'!R44)</f>
        <v>##BLANK</v>
      </c>
    </row>
    <row r="4118" spans="2:7">
      <c r="B4118" s="821" t="str">
        <f>+'4M'!BT45</f>
        <v>S3A00009HDCUM</v>
      </c>
      <c r="D4118" s="1882"/>
      <c r="E4118" s="1628" t="s">
        <v>8339</v>
      </c>
      <c r="F4118" s="1882" t="str">
        <f>+'4M'!C$45</f>
        <v>Capital expenditure purpose - WASTEWATER additional line 9 [Other categories]</v>
      </c>
      <c r="G4118" s="1882" t="str">
        <f>IF('4M'!R45="","##BLANK",'4M'!R45)</f>
        <v>##BLANK</v>
      </c>
    </row>
    <row r="4119" spans="2:7">
      <c r="B4119" s="821" t="str">
        <f>+'4M'!BT46</f>
        <v>S3A00010HDCUM</v>
      </c>
      <c r="D4119" s="1882"/>
      <c r="E4119" s="1628" t="s">
        <v>8339</v>
      </c>
      <c r="F4119" s="1882" t="str">
        <f>+'4M'!C$46</f>
        <v>Capital expenditure purpose - WASTEWATER additional line 10 [Other categories]</v>
      </c>
      <c r="G4119" s="1882" t="str">
        <f>IF('4M'!R46="","##BLANK",'4M'!R46)</f>
        <v>##BLANK</v>
      </c>
    </row>
    <row r="4120" spans="2:7">
      <c r="B4120" s="821" t="str">
        <f>+'4M'!BT47</f>
        <v>S3A00011HDCUM</v>
      </c>
      <c r="D4120" s="1882"/>
      <c r="E4120" s="1628" t="s">
        <v>8339</v>
      </c>
      <c r="F4120" s="1882" t="str">
        <f>+'4M'!C$47</f>
        <v>Capital expenditure purpose - WASTEWATER additional line 11 [Other categories]</v>
      </c>
      <c r="G4120" s="1882" t="str">
        <f>IF('4M'!R47="","##BLANK",'4M'!R47)</f>
        <v>##BLANK</v>
      </c>
    </row>
    <row r="4121" spans="2:7">
      <c r="B4121" s="821" t="str">
        <f>+'4M'!BT48</f>
        <v>S3A00012HDCUM</v>
      </c>
      <c r="D4121" s="1882"/>
      <c r="E4121" s="1628" t="s">
        <v>8339</v>
      </c>
      <c r="F4121" s="1882" t="str">
        <f>+'4M'!C$48</f>
        <v>Capital expenditure purpose - WASTEWATER additional line 12 [Other categories]</v>
      </c>
      <c r="G4121" s="1882" t="str">
        <f>IF('4M'!R48="","##BLANK",'4M'!R48)</f>
        <v>##BLANK</v>
      </c>
    </row>
    <row r="4122" spans="2:7">
      <c r="B4122" s="821" t="str">
        <f>+'4M'!BT49</f>
        <v>S3A00013HDCUM</v>
      </c>
      <c r="D4122" s="1882"/>
      <c r="E4122" s="1628" t="s">
        <v>8339</v>
      </c>
      <c r="F4122" s="1882" t="str">
        <f>+'4M'!C$49</f>
        <v>Capital expenditure purpose - WASTEWATER additional line 13 [Other categories]</v>
      </c>
      <c r="G4122" s="1882" t="str">
        <f>IF('4M'!R49="","##BLANK",'4M'!R49)</f>
        <v>##BLANK</v>
      </c>
    </row>
    <row r="4123" spans="2:7">
      <c r="B4123" s="821" t="str">
        <f>+'4M'!BT50</f>
        <v>S3A00014HDCUM</v>
      </c>
      <c r="D4123" s="1882"/>
      <c r="E4123" s="1628" t="s">
        <v>8339</v>
      </c>
      <c r="F4123" s="1882" t="str">
        <f>+'4M'!C$50</f>
        <v>Capital expenditure purpose - WASTEWATER additional line 14 [Other categories]</v>
      </c>
      <c r="G4123" s="1882" t="str">
        <f>IF('4M'!R50="","##BLANK",'4M'!R50)</f>
        <v>##BLANK</v>
      </c>
    </row>
    <row r="4124" spans="2:7">
      <c r="B4124" s="821" t="str">
        <f>+'4M'!BT51</f>
        <v>S3A00015HDCUM</v>
      </c>
      <c r="D4124" s="1882"/>
      <c r="E4124" s="1628" t="s">
        <v>8339</v>
      </c>
      <c r="F4124" s="1882" t="str">
        <f>+'4M'!C$51</f>
        <v>Capital expenditure purpose - WASTEWATER additional line 15 [Other categories]</v>
      </c>
      <c r="G4124" s="1882" t="str">
        <f>IF('4M'!R51="","##BLANK",'4M'!R51)</f>
        <v>##BLANK</v>
      </c>
    </row>
    <row r="4125" spans="2:7">
      <c r="B4125" s="821" t="str">
        <f>+'4M'!BT52</f>
        <v>S3025ENHHDCUM</v>
      </c>
      <c r="D4125" s="1882"/>
      <c r="E4125" s="1628" t="s">
        <v>8339</v>
      </c>
      <c r="F4125" s="1882"/>
      <c r="G4125" s="1882">
        <f>IF('4M'!R52="","##BLANK",'4M'!R52)</f>
        <v>0</v>
      </c>
    </row>
    <row r="4126" spans="2:7">
      <c r="B4126" s="821" t="str">
        <f>+'4M'!BU8</f>
        <v>BC31379STDCUM</v>
      </c>
      <c r="D4126" s="1882"/>
      <c r="E4126" s="1628" t="s">
        <v>8339</v>
      </c>
      <c r="F4126" s="1882"/>
      <c r="G4126" s="1882" t="str">
        <f>IF('4M'!S8="","##BLANK",'4M'!S8)</f>
        <v>##BLANK</v>
      </c>
    </row>
    <row r="4127" spans="2:7">
      <c r="B4127" s="821" t="str">
        <f>+'4M'!BU9</f>
        <v>S3035QSTDCUM</v>
      </c>
      <c r="D4127" s="1882"/>
      <c r="E4127" s="1628" t="s">
        <v>8339</v>
      </c>
      <c r="F4127" s="1882"/>
      <c r="G4127" s="1882" t="str">
        <f>IF('4M'!S9="","##BLANK",'4M'!S9)</f>
        <v>##BLANK</v>
      </c>
    </row>
    <row r="4128" spans="2:7">
      <c r="B4128" s="821" t="str">
        <f>+'4M'!BU10</f>
        <v>S3036GSTDCUM</v>
      </c>
      <c r="D4128" s="1882"/>
      <c r="E4128" s="1628" t="s">
        <v>8339</v>
      </c>
      <c r="F4128" s="1882"/>
      <c r="G4128" s="1882" t="str">
        <f>IF('4M'!S10="","##BLANK",'4M'!S10)</f>
        <v>##BLANK</v>
      </c>
    </row>
    <row r="4129" spans="2:7">
      <c r="B4129" s="821" t="str">
        <f>+'4M'!BU11</f>
        <v>S3004STDCUM</v>
      </c>
      <c r="D4129" s="1882"/>
      <c r="E4129" s="1628" t="s">
        <v>8339</v>
      </c>
      <c r="F4129" s="1882"/>
      <c r="G4129" s="1882" t="str">
        <f>IF('4M'!S11="","##BLANK",'4M'!S11)</f>
        <v>##BLANK</v>
      </c>
    </row>
    <row r="4130" spans="2:7">
      <c r="B4130" s="821" t="str">
        <f>+'4M'!BU12</f>
        <v>WWS2001STDCUM</v>
      </c>
      <c r="D4130" s="1882"/>
      <c r="E4130" s="1628" t="s">
        <v>8339</v>
      </c>
      <c r="F4130" s="1882"/>
      <c r="G4130" s="1882" t="str">
        <f>IF('4M'!S12="","##BLANK",'4M'!S12)</f>
        <v>##BLANK</v>
      </c>
    </row>
    <row r="4131" spans="2:7">
      <c r="B4131" s="821" t="str">
        <f>+'4M'!BU13</f>
        <v>S3005STDCUM</v>
      </c>
      <c r="D4131" s="1882"/>
      <c r="E4131" s="1628" t="s">
        <v>8339</v>
      </c>
      <c r="F4131" s="1882"/>
      <c r="G4131" s="1882" t="str">
        <f>IF('4M'!S13="","##BLANK",'4M'!S13)</f>
        <v>##BLANK</v>
      </c>
    </row>
    <row r="4132" spans="2:7">
      <c r="B4132" s="821" t="str">
        <f>+'4M'!BU14</f>
        <v>S3006STDCUM</v>
      </c>
      <c r="D4132" s="1882"/>
      <c r="E4132" s="1628" t="s">
        <v>8339</v>
      </c>
      <c r="F4132" s="1882"/>
      <c r="G4132" s="1882" t="str">
        <f>IF('4M'!S14="","##BLANK",'4M'!S14)</f>
        <v>##BLANK</v>
      </c>
    </row>
    <row r="4133" spans="2:7">
      <c r="B4133" s="821" t="str">
        <f>+'4M'!BU15</f>
        <v>S3007STDCUM</v>
      </c>
      <c r="D4133" s="1882"/>
      <c r="E4133" s="1628" t="s">
        <v>8339</v>
      </c>
      <c r="F4133" s="1882"/>
      <c r="G4133" s="1882" t="str">
        <f>IF('4M'!S15="","##BLANK",'4M'!S15)</f>
        <v>##BLANK</v>
      </c>
    </row>
    <row r="4134" spans="2:7">
      <c r="B4134" s="821" t="str">
        <f>+'4M'!BU16</f>
        <v>WWS2002STDCUM</v>
      </c>
      <c r="D4134" s="1882"/>
      <c r="E4134" s="1628" t="s">
        <v>8339</v>
      </c>
      <c r="F4134" s="1882"/>
      <c r="G4134" s="1882" t="str">
        <f>IF('4M'!S16="","##BLANK",'4M'!S16)</f>
        <v>##BLANK</v>
      </c>
    </row>
    <row r="4135" spans="2:7">
      <c r="B4135" s="821" t="str">
        <f>+'4M'!BU17</f>
        <v>WWS2003STDCUM</v>
      </c>
      <c r="D4135" s="1882"/>
      <c r="E4135" s="1628" t="s">
        <v>8339</v>
      </c>
      <c r="F4135" s="1882"/>
      <c r="G4135" s="1882" t="str">
        <f>IF('4M'!S17="","##BLANK",'4M'!S17)</f>
        <v>##BLANK</v>
      </c>
    </row>
    <row r="4136" spans="2:7">
      <c r="B4136" s="821" t="str">
        <f>+'4M'!BU18</f>
        <v>S3008STDCUM</v>
      </c>
      <c r="D4136" s="1882"/>
      <c r="E4136" s="1628" t="s">
        <v>8339</v>
      </c>
      <c r="F4136" s="1882"/>
      <c r="G4136" s="1882" t="str">
        <f>IF('4M'!S18="","##BLANK",'4M'!S18)</f>
        <v>##BLANK</v>
      </c>
    </row>
    <row r="4137" spans="2:7">
      <c r="B4137" s="821" t="str">
        <f>+'4M'!BU19</f>
        <v>S3009STDCUM</v>
      </c>
      <c r="D4137" s="1882"/>
      <c r="E4137" s="1628" t="s">
        <v>8339</v>
      </c>
      <c r="F4137" s="1882"/>
      <c r="G4137" s="1882" t="str">
        <f>IF('4M'!S19="","##BLANK",'4M'!S19)</f>
        <v>##BLANK</v>
      </c>
    </row>
    <row r="4138" spans="2:7">
      <c r="B4138" s="821" t="str">
        <f>+'4M'!BU20</f>
        <v>WWS2007STDCUM</v>
      </c>
      <c r="D4138" s="1882"/>
      <c r="E4138" s="1628" t="s">
        <v>8339</v>
      </c>
      <c r="F4138" s="1882"/>
      <c r="G4138" s="1882" t="str">
        <f>IF('4M'!S20="","##BLANK",'4M'!S20)</f>
        <v>##BLANK</v>
      </c>
    </row>
    <row r="4139" spans="2:7">
      <c r="B4139" s="821" t="str">
        <f>+'4M'!BU21</f>
        <v>S3010STDCUM</v>
      </c>
      <c r="D4139" s="1882"/>
      <c r="E4139" s="1628" t="s">
        <v>8339</v>
      </c>
      <c r="F4139" s="1882"/>
      <c r="G4139" s="1882" t="str">
        <f>IF('4M'!S21="","##BLANK",'4M'!S21)</f>
        <v>##BLANK</v>
      </c>
    </row>
    <row r="4140" spans="2:7">
      <c r="B4140" s="821" t="str">
        <f>+'4M'!BU22</f>
        <v>S3011STDCUM</v>
      </c>
      <c r="D4140" s="1882"/>
      <c r="E4140" s="1628" t="s">
        <v>8339</v>
      </c>
      <c r="F4140" s="1882"/>
      <c r="G4140" s="1882" t="str">
        <f>IF('4M'!S22="","##BLANK",'4M'!S22)</f>
        <v>##BLANK</v>
      </c>
    </row>
    <row r="4141" spans="2:7">
      <c r="B4141" s="821" t="str">
        <f>+'4M'!BU23</f>
        <v>S3012STDCUM</v>
      </c>
      <c r="D4141" s="1882"/>
      <c r="E4141" s="1628" t="s">
        <v>8339</v>
      </c>
      <c r="F4141" s="1882"/>
      <c r="G4141" s="1882" t="str">
        <f>IF('4M'!S23="","##BLANK",'4M'!S23)</f>
        <v>##BLANK</v>
      </c>
    </row>
    <row r="4142" spans="2:7">
      <c r="B4142" s="821" t="str">
        <f>+'4M'!BU24</f>
        <v>S3013STDCUM</v>
      </c>
      <c r="D4142" s="1882"/>
      <c r="E4142" s="1628" t="s">
        <v>8339</v>
      </c>
      <c r="F4142" s="1882"/>
      <c r="G4142" s="1882" t="str">
        <f>IF('4M'!S24="","##BLANK",'4M'!S24)</f>
        <v>##BLANK</v>
      </c>
    </row>
    <row r="4143" spans="2:7">
      <c r="B4143" s="821" t="str">
        <f>+'4M'!BU25</f>
        <v>S3014STDCUM</v>
      </c>
      <c r="D4143" s="1882"/>
      <c r="E4143" s="1628" t="s">
        <v>8339</v>
      </c>
      <c r="F4143" s="1882"/>
      <c r="G4143" s="1882" t="str">
        <f>IF('4M'!S25="","##BLANK",'4M'!S25)</f>
        <v>##BLANK</v>
      </c>
    </row>
    <row r="4144" spans="2:7">
      <c r="B4144" s="821" t="str">
        <f>+'4M'!BU26</f>
        <v>S3015STDCUM</v>
      </c>
      <c r="D4144" s="1882"/>
      <c r="E4144" s="1628" t="s">
        <v>8339</v>
      </c>
      <c r="F4144" s="1882"/>
      <c r="G4144" s="1882" t="str">
        <f>IF('4M'!S26="","##BLANK",'4M'!S26)</f>
        <v>##BLANK</v>
      </c>
    </row>
    <row r="4145" spans="2:7">
      <c r="B4145" s="821" t="str">
        <f>+'4M'!BU27</f>
        <v>S3016STDCUM</v>
      </c>
      <c r="D4145" s="1882"/>
      <c r="E4145" s="1628" t="s">
        <v>8339</v>
      </c>
      <c r="F4145" s="1882"/>
      <c r="G4145" s="1882" t="str">
        <f>IF('4M'!S27="","##BLANK",'4M'!S27)</f>
        <v>##BLANK</v>
      </c>
    </row>
    <row r="4146" spans="2:7">
      <c r="B4146" s="821" t="str">
        <f>+'4M'!BU28</f>
        <v>S3017STDCUM</v>
      </c>
      <c r="D4146" s="1882"/>
      <c r="E4146" s="1628" t="s">
        <v>8339</v>
      </c>
      <c r="F4146" s="1882"/>
      <c r="G4146" s="1882" t="str">
        <f>IF('4M'!S28="","##BLANK",'4M'!S28)</f>
        <v>##BLANK</v>
      </c>
    </row>
    <row r="4147" spans="2:7">
      <c r="B4147" s="821" t="str">
        <f>+'4M'!BU29</f>
        <v>S3018STDCUM</v>
      </c>
      <c r="D4147" s="1882"/>
      <c r="E4147" s="1628" t="s">
        <v>8339</v>
      </c>
      <c r="F4147" s="1882"/>
      <c r="G4147" s="1882" t="str">
        <f>IF('4M'!S29="","##BLANK",'4M'!S29)</f>
        <v>##BLANK</v>
      </c>
    </row>
    <row r="4148" spans="2:7">
      <c r="B4148" s="821" t="str">
        <f>+'4M'!BU30</f>
        <v>S3019STDCUM</v>
      </c>
      <c r="D4148" s="1882"/>
      <c r="E4148" s="1628" t="s">
        <v>8339</v>
      </c>
      <c r="F4148" s="1882"/>
      <c r="G4148" s="1882" t="str">
        <f>IF('4M'!S30="","##BLANK",'4M'!S30)</f>
        <v>##BLANK</v>
      </c>
    </row>
    <row r="4149" spans="2:7">
      <c r="B4149" s="821" t="str">
        <f>+'4M'!BU31</f>
        <v>S3020STDCUM</v>
      </c>
      <c r="D4149" s="1882"/>
      <c r="E4149" s="1628" t="s">
        <v>8339</v>
      </c>
      <c r="F4149" s="1882"/>
      <c r="G4149" s="1882" t="str">
        <f>IF('4M'!S31="","##BLANK",'4M'!S31)</f>
        <v>##BLANK</v>
      </c>
    </row>
    <row r="4150" spans="2:7">
      <c r="B4150" s="821" t="str">
        <f>+'4M'!BU32</f>
        <v>S3021STDCUM</v>
      </c>
      <c r="D4150" s="1882"/>
      <c r="E4150" s="1628" t="s">
        <v>8339</v>
      </c>
      <c r="F4150" s="1882"/>
      <c r="G4150" s="1882" t="str">
        <f>IF('4M'!S32="","##BLANK",'4M'!S32)</f>
        <v>##BLANK</v>
      </c>
    </row>
    <row r="4151" spans="2:7">
      <c r="B4151" s="821" t="str">
        <f>+'4M'!BU33</f>
        <v>S3022STDCUM</v>
      </c>
      <c r="D4151" s="1882"/>
      <c r="E4151" s="1628" t="s">
        <v>8339</v>
      </c>
      <c r="F4151" s="1882"/>
      <c r="G4151" s="1882" t="str">
        <f>IF('4M'!S33="","##BLANK",'4M'!S33)</f>
        <v>##BLANK</v>
      </c>
    </row>
    <row r="4152" spans="2:7">
      <c r="B4152" s="821" t="str">
        <f>+'4M'!BU34</f>
        <v>BC31785STDCUM</v>
      </c>
      <c r="D4152" s="1882"/>
      <c r="E4152" s="1628" t="s">
        <v>8339</v>
      </c>
      <c r="F4152" s="1882"/>
      <c r="G4152" s="1882" t="str">
        <f>IF('4M'!S34="","##BLANK",'4M'!S34)</f>
        <v>##BLANK</v>
      </c>
    </row>
    <row r="4153" spans="2:7">
      <c r="B4153" s="821" t="str">
        <f>+'4M'!BU35</f>
        <v>S3023STDCUM</v>
      </c>
      <c r="D4153" s="1882"/>
      <c r="E4153" s="1628" t="s">
        <v>8339</v>
      </c>
      <c r="F4153" s="1882"/>
      <c r="G4153" s="1882" t="str">
        <f>IF('4M'!S35="","##BLANK",'4M'!S35)</f>
        <v>##BLANK</v>
      </c>
    </row>
    <row r="4154" spans="2:7">
      <c r="B4154" s="821" t="str">
        <f>+'4M'!BU36</f>
        <v>S3024STDCUM</v>
      </c>
      <c r="D4154" s="1882"/>
      <c r="E4154" s="1628" t="s">
        <v>8339</v>
      </c>
      <c r="F4154" s="1882"/>
      <c r="G4154" s="1882" t="str">
        <f>IF('4M'!S36="","##BLANK",'4M'!S36)</f>
        <v>##BLANK</v>
      </c>
    </row>
    <row r="4155" spans="2:7">
      <c r="B4155" s="821" t="str">
        <f>+'4M'!BU37</f>
        <v>S3A00001STDCUM</v>
      </c>
      <c r="D4155" s="1882"/>
      <c r="E4155" s="1628" t="s">
        <v>8339</v>
      </c>
      <c r="F4155" s="1882" t="str">
        <f>+'4M'!C$37</f>
        <v>Capital expenditure purpose - WASTEWATER additional line 1 [Other categories]</v>
      </c>
      <c r="G4155" s="1882" t="str">
        <f>IF('4M'!S37="","##BLANK",'4M'!S37)</f>
        <v>##BLANK</v>
      </c>
    </row>
    <row r="4156" spans="2:7">
      <c r="B4156" s="821" t="str">
        <f>+'4M'!BU38</f>
        <v>S3A00002STDCUM</v>
      </c>
      <c r="D4156" s="1882"/>
      <c r="E4156" s="1628" t="s">
        <v>8339</v>
      </c>
      <c r="F4156" s="1882" t="str">
        <f>+'4M'!C$38</f>
        <v>Capital expenditure purpose - WASTEWATER additional line 2 [Other categories]</v>
      </c>
      <c r="G4156" s="1882" t="str">
        <f>IF('4M'!S38="","##BLANK",'4M'!S38)</f>
        <v>##BLANK</v>
      </c>
    </row>
    <row r="4157" spans="2:7">
      <c r="B4157" s="821" t="str">
        <f>+'4M'!BU39</f>
        <v>S3A00003STDCUM</v>
      </c>
      <c r="D4157" s="1882"/>
      <c r="E4157" s="1628" t="s">
        <v>8339</v>
      </c>
      <c r="F4157" s="1882" t="str">
        <f>+'4M'!C$39</f>
        <v>Capital expenditure purpose - WASTEWATER additional line 3 [Other categories]</v>
      </c>
      <c r="G4157" s="1882" t="str">
        <f>IF('4M'!S39="","##BLANK",'4M'!S39)</f>
        <v>##BLANK</v>
      </c>
    </row>
    <row r="4158" spans="2:7">
      <c r="B4158" s="821" t="str">
        <f>+'4M'!BU40</f>
        <v>S3A00004STDCUM</v>
      </c>
      <c r="D4158" s="1882"/>
      <c r="E4158" s="1628" t="s">
        <v>8339</v>
      </c>
      <c r="F4158" s="1882" t="str">
        <f>+'4M'!C$40</f>
        <v>Capital expenditure purpose - WASTEWATER additional line 4 [Other categories]</v>
      </c>
      <c r="G4158" s="1882" t="str">
        <f>IF('4M'!S40="","##BLANK",'4M'!S40)</f>
        <v>##BLANK</v>
      </c>
    </row>
    <row r="4159" spans="2:7">
      <c r="B4159" s="821" t="str">
        <f>+'4M'!BU41</f>
        <v>S3A00005STDCUM</v>
      </c>
      <c r="D4159" s="1882"/>
      <c r="E4159" s="1628" t="s">
        <v>8339</v>
      </c>
      <c r="F4159" s="1882" t="str">
        <f>+'4M'!C$41</f>
        <v>Capital expenditure purpose - WASTEWATER additional line 5 [Other categories]</v>
      </c>
      <c r="G4159" s="1882" t="str">
        <f>IF('4M'!S41="","##BLANK",'4M'!S41)</f>
        <v>##BLANK</v>
      </c>
    </row>
    <row r="4160" spans="2:7">
      <c r="B4160" s="821" t="str">
        <f>+'4M'!BU42</f>
        <v>S3A00006STDCUM</v>
      </c>
      <c r="D4160" s="1882"/>
      <c r="E4160" s="1628" t="s">
        <v>8339</v>
      </c>
      <c r="F4160" s="1882" t="str">
        <f>+'4M'!C$42</f>
        <v>Capital expenditure purpose - WASTEWATER additional line 6 [Other categories]</v>
      </c>
      <c r="G4160" s="1882" t="str">
        <f>IF('4M'!S42="","##BLANK",'4M'!S42)</f>
        <v>##BLANK</v>
      </c>
    </row>
    <row r="4161" spans="2:7">
      <c r="B4161" s="821" t="str">
        <f>+'4M'!BU43</f>
        <v>S3A00007STDCUM</v>
      </c>
      <c r="D4161" s="1882"/>
      <c r="E4161" s="1628" t="s">
        <v>8339</v>
      </c>
      <c r="F4161" s="1882" t="str">
        <f>+'4M'!C$43</f>
        <v>Capital expenditure purpose - WASTEWATER additional line 7 [Other categories]</v>
      </c>
      <c r="G4161" s="1882" t="str">
        <f>IF('4M'!S43="","##BLANK",'4M'!S43)</f>
        <v>##BLANK</v>
      </c>
    </row>
    <row r="4162" spans="2:7">
      <c r="B4162" s="821" t="str">
        <f>+'4M'!BU44</f>
        <v>S3A00008STDCUM</v>
      </c>
      <c r="D4162" s="1882"/>
      <c r="E4162" s="1628" t="s">
        <v>8339</v>
      </c>
      <c r="F4162" s="1882" t="str">
        <f>+'4M'!C$44</f>
        <v>Capital expenditure purpose - WASTEWATER additional line 8 [Other categories]</v>
      </c>
      <c r="G4162" s="1882" t="str">
        <f>IF('4M'!S44="","##BLANK",'4M'!S44)</f>
        <v>##BLANK</v>
      </c>
    </row>
    <row r="4163" spans="2:7">
      <c r="B4163" s="821" t="str">
        <f>+'4M'!BU45</f>
        <v>S3A00009STDCUM</v>
      </c>
      <c r="D4163" s="1882"/>
      <c r="E4163" s="1628" t="s">
        <v>8339</v>
      </c>
      <c r="F4163" s="1882" t="str">
        <f>+'4M'!C$45</f>
        <v>Capital expenditure purpose - WASTEWATER additional line 9 [Other categories]</v>
      </c>
      <c r="G4163" s="1882" t="str">
        <f>IF('4M'!S45="","##BLANK",'4M'!S45)</f>
        <v>##BLANK</v>
      </c>
    </row>
    <row r="4164" spans="2:7">
      <c r="B4164" s="821" t="str">
        <f>+'4M'!BU46</f>
        <v>S3A00010STDCUM</v>
      </c>
      <c r="D4164" s="1882"/>
      <c r="E4164" s="1628" t="s">
        <v>8339</v>
      </c>
      <c r="F4164" s="1882" t="str">
        <f>+'4M'!C$46</f>
        <v>Capital expenditure purpose - WASTEWATER additional line 10 [Other categories]</v>
      </c>
      <c r="G4164" s="1882" t="str">
        <f>IF('4M'!S46="","##BLANK",'4M'!S46)</f>
        <v>##BLANK</v>
      </c>
    </row>
    <row r="4165" spans="2:7">
      <c r="B4165" s="821" t="str">
        <f>+'4M'!BU47</f>
        <v>S3A00011STDCUM</v>
      </c>
      <c r="D4165" s="1882"/>
      <c r="E4165" s="1628" t="s">
        <v>8339</v>
      </c>
      <c r="F4165" s="1882" t="str">
        <f>+'4M'!C$47</f>
        <v>Capital expenditure purpose - WASTEWATER additional line 11 [Other categories]</v>
      </c>
      <c r="G4165" s="1882" t="str">
        <f>IF('4M'!S47="","##BLANK",'4M'!S47)</f>
        <v>##BLANK</v>
      </c>
    </row>
    <row r="4166" spans="2:7">
      <c r="B4166" s="821" t="str">
        <f>+'4M'!BU48</f>
        <v>S3A00012STDCUM</v>
      </c>
      <c r="D4166" s="1882"/>
      <c r="E4166" s="1628" t="s">
        <v>8339</v>
      </c>
      <c r="F4166" s="1882" t="str">
        <f>+'4M'!C$48</f>
        <v>Capital expenditure purpose - WASTEWATER additional line 12 [Other categories]</v>
      </c>
      <c r="G4166" s="1882" t="str">
        <f>IF('4M'!S48="","##BLANK",'4M'!S48)</f>
        <v>##BLANK</v>
      </c>
    </row>
    <row r="4167" spans="2:7">
      <c r="B4167" s="821" t="str">
        <f>+'4M'!BU49</f>
        <v>S3A00013STDCUM</v>
      </c>
      <c r="D4167" s="1882"/>
      <c r="E4167" s="1628" t="s">
        <v>8339</v>
      </c>
      <c r="F4167" s="1882" t="str">
        <f>+'4M'!C$49</f>
        <v>Capital expenditure purpose - WASTEWATER additional line 13 [Other categories]</v>
      </c>
      <c r="G4167" s="1882" t="str">
        <f>IF('4M'!S49="","##BLANK",'4M'!S49)</f>
        <v>##BLANK</v>
      </c>
    </row>
    <row r="4168" spans="2:7">
      <c r="B4168" s="821" t="str">
        <f>+'4M'!BU50</f>
        <v>S3A00014STDCUM</v>
      </c>
      <c r="D4168" s="1882"/>
      <c r="E4168" s="1628" t="s">
        <v>8339</v>
      </c>
      <c r="F4168" s="1882" t="str">
        <f>+'4M'!C$50</f>
        <v>Capital expenditure purpose - WASTEWATER additional line 14 [Other categories]</v>
      </c>
      <c r="G4168" s="1882" t="str">
        <f>IF('4M'!S50="","##BLANK",'4M'!S50)</f>
        <v>##BLANK</v>
      </c>
    </row>
    <row r="4169" spans="2:7">
      <c r="B4169" s="821" t="str">
        <f>+'4M'!BU51</f>
        <v>S3A00015STDCUM</v>
      </c>
      <c r="D4169" s="1882"/>
      <c r="E4169" s="1628" t="s">
        <v>8339</v>
      </c>
      <c r="F4169" s="1882" t="str">
        <f>+'4M'!C$51</f>
        <v>Capital expenditure purpose - WASTEWATER additional line 15 [Other categories]</v>
      </c>
      <c r="G4169" s="1882" t="str">
        <f>IF('4M'!S51="","##BLANK",'4M'!S51)</f>
        <v>##BLANK</v>
      </c>
    </row>
    <row r="4170" spans="2:7">
      <c r="B4170" s="821" t="str">
        <f>+'4M'!BU52</f>
        <v>S3025ENHSTDCUM</v>
      </c>
      <c r="D4170" s="1882"/>
      <c r="E4170" s="1628" t="s">
        <v>8339</v>
      </c>
      <c r="F4170" s="1882"/>
      <c r="G4170" s="1882">
        <f>IF('4M'!S52="","##BLANK",'4M'!S52)</f>
        <v>0</v>
      </c>
    </row>
    <row r="4171" spans="2:7">
      <c r="B4171" s="821" t="str">
        <f>+'4M'!BV8</f>
        <v>BC31379SLTCUM</v>
      </c>
      <c r="D4171" s="1882"/>
      <c r="E4171" s="1628" t="s">
        <v>8339</v>
      </c>
      <c r="F4171" s="1882"/>
      <c r="G4171" s="1882" t="str">
        <f>IF('4M'!T8="","##BLANK",'4M'!T8)</f>
        <v>##BLANK</v>
      </c>
    </row>
    <row r="4172" spans="2:7">
      <c r="B4172" s="821" t="str">
        <f>+'4M'!BV9</f>
        <v>S3035QSLTCUM</v>
      </c>
      <c r="D4172" s="1882"/>
      <c r="E4172" s="1628" t="s">
        <v>8339</v>
      </c>
      <c r="F4172" s="1882"/>
      <c r="G4172" s="1882" t="str">
        <f>IF('4M'!T9="","##BLANK",'4M'!T9)</f>
        <v>##BLANK</v>
      </c>
    </row>
    <row r="4173" spans="2:7">
      <c r="B4173" s="821" t="str">
        <f>+'4M'!BV10</f>
        <v>S3036GSLTCUM</v>
      </c>
      <c r="D4173" s="1882"/>
      <c r="E4173" s="1628" t="s">
        <v>8339</v>
      </c>
      <c r="F4173" s="1882"/>
      <c r="G4173" s="1882" t="str">
        <f>IF('4M'!T10="","##BLANK",'4M'!T10)</f>
        <v>##BLANK</v>
      </c>
    </row>
    <row r="4174" spans="2:7">
      <c r="B4174" s="821" t="str">
        <f>+'4M'!BV11</f>
        <v>S3004SLTCUM</v>
      </c>
      <c r="D4174" s="1882"/>
      <c r="E4174" s="1628" t="s">
        <v>8339</v>
      </c>
      <c r="F4174" s="1882"/>
      <c r="G4174" s="1882" t="str">
        <f>IF('4M'!T11="","##BLANK",'4M'!T11)</f>
        <v>##BLANK</v>
      </c>
    </row>
    <row r="4175" spans="2:7">
      <c r="B4175" s="821" t="str">
        <f>+'4M'!BV12</f>
        <v>WWS2001SLTCUM</v>
      </c>
      <c r="D4175" s="1882"/>
      <c r="E4175" s="1628" t="s">
        <v>8339</v>
      </c>
      <c r="F4175" s="1882"/>
      <c r="G4175" s="1882" t="str">
        <f>IF('4M'!T12="","##BLANK",'4M'!T12)</f>
        <v>##BLANK</v>
      </c>
    </row>
    <row r="4176" spans="2:7">
      <c r="B4176" s="821" t="str">
        <f>+'4M'!BV13</f>
        <v>S3005SLTCUM</v>
      </c>
      <c r="D4176" s="1882"/>
      <c r="E4176" s="1628" t="s">
        <v>8339</v>
      </c>
      <c r="F4176" s="1882"/>
      <c r="G4176" s="1882" t="str">
        <f>IF('4M'!T13="","##BLANK",'4M'!T13)</f>
        <v>##BLANK</v>
      </c>
    </row>
    <row r="4177" spans="2:7">
      <c r="B4177" s="821" t="str">
        <f>+'4M'!BV14</f>
        <v>S3006SLTCUM</v>
      </c>
      <c r="D4177" s="1882"/>
      <c r="E4177" s="1628" t="s">
        <v>8339</v>
      </c>
      <c r="F4177" s="1882"/>
      <c r="G4177" s="1882" t="str">
        <f>IF('4M'!T14="","##BLANK",'4M'!T14)</f>
        <v>##BLANK</v>
      </c>
    </row>
    <row r="4178" spans="2:7">
      <c r="B4178" s="821" t="str">
        <f>+'4M'!BV15</f>
        <v>S3007SLTCUM</v>
      </c>
      <c r="D4178" s="1882"/>
      <c r="E4178" s="1628" t="s">
        <v>8339</v>
      </c>
      <c r="F4178" s="1882"/>
      <c r="G4178" s="1882" t="str">
        <f>IF('4M'!T15="","##BLANK",'4M'!T15)</f>
        <v>##BLANK</v>
      </c>
    </row>
    <row r="4179" spans="2:7">
      <c r="B4179" s="821" t="str">
        <f>+'4M'!BV16</f>
        <v>WWS2002SLTCUM</v>
      </c>
      <c r="D4179" s="1882"/>
      <c r="E4179" s="1628" t="s">
        <v>8339</v>
      </c>
      <c r="F4179" s="1882"/>
      <c r="G4179" s="1882" t="str">
        <f>IF('4M'!T16="","##BLANK",'4M'!T16)</f>
        <v>##BLANK</v>
      </c>
    </row>
    <row r="4180" spans="2:7">
      <c r="B4180" s="821" t="str">
        <f>+'4M'!BV17</f>
        <v>WWS2003SLTCUM</v>
      </c>
      <c r="D4180" s="1882"/>
      <c r="E4180" s="1628" t="s">
        <v>8339</v>
      </c>
      <c r="F4180" s="1882"/>
      <c r="G4180" s="1882" t="str">
        <f>IF('4M'!T17="","##BLANK",'4M'!T17)</f>
        <v>##BLANK</v>
      </c>
    </row>
    <row r="4181" spans="2:7">
      <c r="B4181" s="821" t="str">
        <f>+'4M'!BV18</f>
        <v>S3008SLTCUM</v>
      </c>
      <c r="D4181" s="1882"/>
      <c r="E4181" s="1628" t="s">
        <v>8339</v>
      </c>
      <c r="F4181" s="1882"/>
      <c r="G4181" s="1882" t="str">
        <f>IF('4M'!T18="","##BLANK",'4M'!T18)</f>
        <v>##BLANK</v>
      </c>
    </row>
    <row r="4182" spans="2:7">
      <c r="B4182" s="821" t="str">
        <f>+'4M'!BV19</f>
        <v>S3009SLTCUM</v>
      </c>
      <c r="D4182" s="1882"/>
      <c r="E4182" s="1628" t="s">
        <v>8339</v>
      </c>
      <c r="F4182" s="1882"/>
      <c r="G4182" s="1882" t="str">
        <f>IF('4M'!T19="","##BLANK",'4M'!T19)</f>
        <v>##BLANK</v>
      </c>
    </row>
    <row r="4183" spans="2:7">
      <c r="B4183" s="821" t="str">
        <f>+'4M'!BV20</f>
        <v>WWS2007SLTCUM</v>
      </c>
      <c r="D4183" s="1882"/>
      <c r="E4183" s="1628" t="s">
        <v>8339</v>
      </c>
      <c r="F4183" s="1882"/>
      <c r="G4183" s="1882" t="str">
        <f>IF('4M'!T20="","##BLANK",'4M'!T20)</f>
        <v>##BLANK</v>
      </c>
    </row>
    <row r="4184" spans="2:7">
      <c r="B4184" s="821" t="str">
        <f>+'4M'!BV21</f>
        <v>S3010SLTCUM</v>
      </c>
      <c r="D4184" s="1882"/>
      <c r="E4184" s="1628" t="s">
        <v>8339</v>
      </c>
      <c r="F4184" s="1882"/>
      <c r="G4184" s="1882" t="str">
        <f>IF('4M'!T21="","##BLANK",'4M'!T21)</f>
        <v>##BLANK</v>
      </c>
    </row>
    <row r="4185" spans="2:7">
      <c r="B4185" s="821" t="str">
        <f>+'4M'!BV22</f>
        <v>S3011SLTCUM</v>
      </c>
      <c r="D4185" s="1882"/>
      <c r="E4185" s="1628" t="s">
        <v>8339</v>
      </c>
      <c r="F4185" s="1882"/>
      <c r="G4185" s="1882" t="str">
        <f>IF('4M'!T22="","##BLANK",'4M'!T22)</f>
        <v>##BLANK</v>
      </c>
    </row>
    <row r="4186" spans="2:7">
      <c r="B4186" s="821" t="str">
        <f>+'4M'!BV23</f>
        <v>S3012SLTCUM</v>
      </c>
      <c r="D4186" s="1882"/>
      <c r="E4186" s="1628" t="s">
        <v>8339</v>
      </c>
      <c r="F4186" s="1882"/>
      <c r="G4186" s="1882" t="str">
        <f>IF('4M'!T23="","##BLANK",'4M'!T23)</f>
        <v>##BLANK</v>
      </c>
    </row>
    <row r="4187" spans="2:7">
      <c r="B4187" s="821" t="str">
        <f>+'4M'!BV24</f>
        <v>S3013SLTCUM</v>
      </c>
      <c r="D4187" s="1882"/>
      <c r="E4187" s="1628" t="s">
        <v>8339</v>
      </c>
      <c r="F4187" s="1882"/>
      <c r="G4187" s="1882" t="str">
        <f>IF('4M'!T24="","##BLANK",'4M'!T24)</f>
        <v>##BLANK</v>
      </c>
    </row>
    <row r="4188" spans="2:7">
      <c r="B4188" s="821" t="str">
        <f>+'4M'!BV25</f>
        <v>S3014SLTCUM</v>
      </c>
      <c r="D4188" s="1882"/>
      <c r="E4188" s="1628" t="s">
        <v>8339</v>
      </c>
      <c r="F4188" s="1882"/>
      <c r="G4188" s="1882" t="str">
        <f>IF('4M'!T25="","##BLANK",'4M'!T25)</f>
        <v>##BLANK</v>
      </c>
    </row>
    <row r="4189" spans="2:7">
      <c r="B4189" s="821" t="str">
        <f>+'4M'!BV26</f>
        <v>S3015SLTCUM</v>
      </c>
      <c r="D4189" s="1882"/>
      <c r="E4189" s="1628" t="s">
        <v>8339</v>
      </c>
      <c r="F4189" s="1882"/>
      <c r="G4189" s="1882" t="str">
        <f>IF('4M'!T26="","##BLANK",'4M'!T26)</f>
        <v>##BLANK</v>
      </c>
    </row>
    <row r="4190" spans="2:7">
      <c r="B4190" s="821" t="str">
        <f>+'4M'!BV27</f>
        <v>S3016SLTCUM</v>
      </c>
      <c r="D4190" s="1882"/>
      <c r="E4190" s="1628" t="s">
        <v>8339</v>
      </c>
      <c r="F4190" s="1882"/>
      <c r="G4190" s="1882" t="str">
        <f>IF('4M'!T27="","##BLANK",'4M'!T27)</f>
        <v>##BLANK</v>
      </c>
    </row>
    <row r="4191" spans="2:7">
      <c r="B4191" s="821" t="str">
        <f>+'4M'!BV28</f>
        <v>S3017SLTCUM</v>
      </c>
      <c r="D4191" s="1882"/>
      <c r="E4191" s="1628" t="s">
        <v>8339</v>
      </c>
      <c r="F4191" s="1882"/>
      <c r="G4191" s="1882" t="str">
        <f>IF('4M'!T28="","##BLANK",'4M'!T28)</f>
        <v>##BLANK</v>
      </c>
    </row>
    <row r="4192" spans="2:7">
      <c r="B4192" s="821" t="str">
        <f>+'4M'!BV29</f>
        <v>S3018SLTCUM</v>
      </c>
      <c r="D4192" s="1882"/>
      <c r="E4192" s="1628" t="s">
        <v>8339</v>
      </c>
      <c r="F4192" s="1882"/>
      <c r="G4192" s="1882" t="str">
        <f>IF('4M'!T29="","##BLANK",'4M'!T29)</f>
        <v>##BLANK</v>
      </c>
    </row>
    <row r="4193" spans="2:7">
      <c r="B4193" s="821" t="str">
        <f>+'4M'!BV30</f>
        <v>S3019SLTCUM</v>
      </c>
      <c r="D4193" s="1882"/>
      <c r="E4193" s="1628" t="s">
        <v>8339</v>
      </c>
      <c r="F4193" s="1882"/>
      <c r="G4193" s="1882" t="str">
        <f>IF('4M'!T30="","##BLANK",'4M'!T30)</f>
        <v>##BLANK</v>
      </c>
    </row>
    <row r="4194" spans="2:7">
      <c r="B4194" s="821" t="str">
        <f>+'4M'!BV31</f>
        <v>S3020SLTCUM</v>
      </c>
      <c r="D4194" s="1882"/>
      <c r="E4194" s="1628" t="s">
        <v>8339</v>
      </c>
      <c r="F4194" s="1882"/>
      <c r="G4194" s="1882" t="str">
        <f>IF('4M'!T31="","##BLANK",'4M'!T31)</f>
        <v>##BLANK</v>
      </c>
    </row>
    <row r="4195" spans="2:7">
      <c r="B4195" s="821" t="str">
        <f>+'4M'!BV32</f>
        <v>S3021SLTCUM</v>
      </c>
      <c r="D4195" s="1882"/>
      <c r="E4195" s="1628" t="s">
        <v>8339</v>
      </c>
      <c r="F4195" s="1882"/>
      <c r="G4195" s="1882" t="str">
        <f>IF('4M'!T32="","##BLANK",'4M'!T32)</f>
        <v>##BLANK</v>
      </c>
    </row>
    <row r="4196" spans="2:7">
      <c r="B4196" s="821" t="str">
        <f>+'4M'!BV33</f>
        <v>S3022SLTCUM</v>
      </c>
      <c r="D4196" s="1882"/>
      <c r="E4196" s="1628" t="s">
        <v>8339</v>
      </c>
      <c r="F4196" s="1882"/>
      <c r="G4196" s="1882" t="str">
        <f>IF('4M'!T33="","##BLANK",'4M'!T33)</f>
        <v>##BLANK</v>
      </c>
    </row>
    <row r="4197" spans="2:7">
      <c r="B4197" s="821" t="str">
        <f>+'4M'!BV34</f>
        <v>BC31785SLTCUM</v>
      </c>
      <c r="D4197" s="1882"/>
      <c r="E4197" s="1628" t="s">
        <v>8339</v>
      </c>
      <c r="F4197" s="1882"/>
      <c r="G4197" s="1882" t="str">
        <f>IF('4M'!T34="","##BLANK",'4M'!T34)</f>
        <v>##BLANK</v>
      </c>
    </row>
    <row r="4198" spans="2:7">
      <c r="B4198" s="821" t="str">
        <f>+'4M'!BV35</f>
        <v>S3023SLTCUM</v>
      </c>
      <c r="D4198" s="1882"/>
      <c r="E4198" s="1628" t="s">
        <v>8339</v>
      </c>
      <c r="F4198" s="1882"/>
      <c r="G4198" s="1882" t="str">
        <f>IF('4M'!T35="","##BLANK",'4M'!T35)</f>
        <v>##BLANK</v>
      </c>
    </row>
    <row r="4199" spans="2:7">
      <c r="B4199" s="821" t="str">
        <f>+'4M'!BV36</f>
        <v>S3024SLTCUM</v>
      </c>
      <c r="D4199" s="1882"/>
      <c r="E4199" s="1628" t="s">
        <v>8339</v>
      </c>
      <c r="F4199" s="1882"/>
      <c r="G4199" s="1882" t="str">
        <f>IF('4M'!T36="","##BLANK",'4M'!T36)</f>
        <v>##BLANK</v>
      </c>
    </row>
    <row r="4200" spans="2:7">
      <c r="B4200" s="821" t="str">
        <f>+'4M'!BV37</f>
        <v>S3A00001SLTCUM</v>
      </c>
      <c r="D4200" s="1882"/>
      <c r="E4200" s="1628" t="s">
        <v>8339</v>
      </c>
      <c r="F4200" s="1882" t="str">
        <f>+'4M'!C$37</f>
        <v>Capital expenditure purpose - WASTEWATER additional line 1 [Other categories]</v>
      </c>
      <c r="G4200" s="1882" t="str">
        <f>IF('4M'!T37="","##BLANK",'4M'!T37)</f>
        <v>##BLANK</v>
      </c>
    </row>
    <row r="4201" spans="2:7">
      <c r="B4201" s="821" t="str">
        <f>+'4M'!BV38</f>
        <v>S3A00002SLTCUM</v>
      </c>
      <c r="D4201" s="1882"/>
      <c r="E4201" s="1628" t="s">
        <v>8339</v>
      </c>
      <c r="F4201" s="1882" t="str">
        <f>+'4M'!C$38</f>
        <v>Capital expenditure purpose - WASTEWATER additional line 2 [Other categories]</v>
      </c>
      <c r="G4201" s="1882" t="str">
        <f>IF('4M'!T38="","##BLANK",'4M'!T38)</f>
        <v>##BLANK</v>
      </c>
    </row>
    <row r="4202" spans="2:7">
      <c r="B4202" s="821" t="str">
        <f>+'4M'!BV39</f>
        <v>S3A00003SLTCUM</v>
      </c>
      <c r="D4202" s="1882"/>
      <c r="E4202" s="1628" t="s">
        <v>8339</v>
      </c>
      <c r="F4202" s="1882" t="str">
        <f>+'4M'!C$39</f>
        <v>Capital expenditure purpose - WASTEWATER additional line 3 [Other categories]</v>
      </c>
      <c r="G4202" s="1882" t="str">
        <f>IF('4M'!T39="","##BLANK",'4M'!T39)</f>
        <v>##BLANK</v>
      </c>
    </row>
    <row r="4203" spans="2:7">
      <c r="B4203" s="821" t="str">
        <f>+'4M'!BV40</f>
        <v>S3A00004SLTCUM</v>
      </c>
      <c r="D4203" s="1882"/>
      <c r="E4203" s="1628" t="s">
        <v>8339</v>
      </c>
      <c r="F4203" s="1882" t="str">
        <f>+'4M'!C$40</f>
        <v>Capital expenditure purpose - WASTEWATER additional line 4 [Other categories]</v>
      </c>
      <c r="G4203" s="1882" t="str">
        <f>IF('4M'!T40="","##BLANK",'4M'!T40)</f>
        <v>##BLANK</v>
      </c>
    </row>
    <row r="4204" spans="2:7">
      <c r="B4204" s="821" t="str">
        <f>+'4M'!BV41</f>
        <v>S3A00005SLTCUM</v>
      </c>
      <c r="D4204" s="1882"/>
      <c r="E4204" s="1628" t="s">
        <v>8339</v>
      </c>
      <c r="F4204" s="1882" t="str">
        <f>+'4M'!C$41</f>
        <v>Capital expenditure purpose - WASTEWATER additional line 5 [Other categories]</v>
      </c>
      <c r="G4204" s="1882" t="str">
        <f>IF('4M'!T41="","##BLANK",'4M'!T41)</f>
        <v>##BLANK</v>
      </c>
    </row>
    <row r="4205" spans="2:7">
      <c r="B4205" s="821" t="str">
        <f>+'4M'!BV42</f>
        <v>S3A00006SLTCUM</v>
      </c>
      <c r="D4205" s="1882"/>
      <c r="E4205" s="1628" t="s">
        <v>8339</v>
      </c>
      <c r="F4205" s="1882" t="str">
        <f>+'4M'!C$42</f>
        <v>Capital expenditure purpose - WASTEWATER additional line 6 [Other categories]</v>
      </c>
      <c r="G4205" s="1882" t="str">
        <f>IF('4M'!T42="","##BLANK",'4M'!T42)</f>
        <v>##BLANK</v>
      </c>
    </row>
    <row r="4206" spans="2:7">
      <c r="B4206" s="821" t="str">
        <f>+'4M'!BV43</f>
        <v>S3A00007SLTCUM</v>
      </c>
      <c r="D4206" s="1882"/>
      <c r="E4206" s="1628" t="s">
        <v>8339</v>
      </c>
      <c r="F4206" s="1882" t="str">
        <f>+'4M'!C$43</f>
        <v>Capital expenditure purpose - WASTEWATER additional line 7 [Other categories]</v>
      </c>
      <c r="G4206" s="1882" t="str">
        <f>IF('4M'!T43="","##BLANK",'4M'!T43)</f>
        <v>##BLANK</v>
      </c>
    </row>
    <row r="4207" spans="2:7">
      <c r="B4207" s="821" t="str">
        <f>+'4M'!BV44</f>
        <v>S3A00008SLTCUM</v>
      </c>
      <c r="D4207" s="1882"/>
      <c r="E4207" s="1628" t="s">
        <v>8339</v>
      </c>
      <c r="F4207" s="1882" t="str">
        <f>+'4M'!C$44</f>
        <v>Capital expenditure purpose - WASTEWATER additional line 8 [Other categories]</v>
      </c>
      <c r="G4207" s="1882" t="str">
        <f>IF('4M'!T44="","##BLANK",'4M'!T44)</f>
        <v>##BLANK</v>
      </c>
    </row>
    <row r="4208" spans="2:7">
      <c r="B4208" s="821" t="str">
        <f>+'4M'!BV45</f>
        <v>S3A00009SLTCUM</v>
      </c>
      <c r="D4208" s="1882"/>
      <c r="E4208" s="1628" t="s">
        <v>8339</v>
      </c>
      <c r="F4208" s="1882" t="str">
        <f>+'4M'!C$45</f>
        <v>Capital expenditure purpose - WASTEWATER additional line 9 [Other categories]</v>
      </c>
      <c r="G4208" s="1882" t="str">
        <f>IF('4M'!T45="","##BLANK",'4M'!T45)</f>
        <v>##BLANK</v>
      </c>
    </row>
    <row r="4209" spans="2:7">
      <c r="B4209" s="821" t="str">
        <f>+'4M'!BV46</f>
        <v>S3A00010SLTCUM</v>
      </c>
      <c r="D4209" s="1882"/>
      <c r="E4209" s="1628" t="s">
        <v>8339</v>
      </c>
      <c r="F4209" s="1882" t="str">
        <f>+'4M'!C$46</f>
        <v>Capital expenditure purpose - WASTEWATER additional line 10 [Other categories]</v>
      </c>
      <c r="G4209" s="1882" t="str">
        <f>IF('4M'!T46="","##BLANK",'4M'!T46)</f>
        <v>##BLANK</v>
      </c>
    </row>
    <row r="4210" spans="2:7">
      <c r="B4210" s="821" t="str">
        <f>+'4M'!BV47</f>
        <v>S3A00011SLTCUM</v>
      </c>
      <c r="D4210" s="1882"/>
      <c r="E4210" s="1628" t="s">
        <v>8339</v>
      </c>
      <c r="F4210" s="1882" t="str">
        <f>+'4M'!C$47</f>
        <v>Capital expenditure purpose - WASTEWATER additional line 11 [Other categories]</v>
      </c>
      <c r="G4210" s="1882" t="str">
        <f>IF('4M'!T47="","##BLANK",'4M'!T47)</f>
        <v>##BLANK</v>
      </c>
    </row>
    <row r="4211" spans="2:7">
      <c r="B4211" s="821" t="str">
        <f>+'4M'!BV48</f>
        <v>S3A00012SLTCUM</v>
      </c>
      <c r="D4211" s="1882"/>
      <c r="E4211" s="1628" t="s">
        <v>8339</v>
      </c>
      <c r="F4211" s="1882" t="str">
        <f>+'4M'!C$48</f>
        <v>Capital expenditure purpose - WASTEWATER additional line 12 [Other categories]</v>
      </c>
      <c r="G4211" s="1882" t="str">
        <f>IF('4M'!T48="","##BLANK",'4M'!T48)</f>
        <v>##BLANK</v>
      </c>
    </row>
    <row r="4212" spans="2:7">
      <c r="B4212" s="821" t="str">
        <f>+'4M'!BV49</f>
        <v>S3A00013SLTCUM</v>
      </c>
      <c r="D4212" s="1882"/>
      <c r="E4212" s="1628" t="s">
        <v>8339</v>
      </c>
      <c r="F4212" s="1882" t="str">
        <f>+'4M'!C$49</f>
        <v>Capital expenditure purpose - WASTEWATER additional line 13 [Other categories]</v>
      </c>
      <c r="G4212" s="1882" t="str">
        <f>IF('4M'!T49="","##BLANK",'4M'!T49)</f>
        <v>##BLANK</v>
      </c>
    </row>
    <row r="4213" spans="2:7">
      <c r="B4213" s="821" t="str">
        <f>+'4M'!BV50</f>
        <v>S3A00014SLTCUM</v>
      </c>
      <c r="D4213" s="1882"/>
      <c r="E4213" s="1628" t="s">
        <v>8339</v>
      </c>
      <c r="F4213" s="1882" t="str">
        <f>+'4M'!C$50</f>
        <v>Capital expenditure purpose - WASTEWATER additional line 14 [Other categories]</v>
      </c>
      <c r="G4213" s="1882" t="str">
        <f>IF('4M'!T50="","##BLANK",'4M'!T50)</f>
        <v>##BLANK</v>
      </c>
    </row>
    <row r="4214" spans="2:7">
      <c r="B4214" s="821" t="str">
        <f>+'4M'!BV51</f>
        <v>S3A00015SLTCUM</v>
      </c>
      <c r="D4214" s="1882"/>
      <c r="E4214" s="1628" t="s">
        <v>8339</v>
      </c>
      <c r="F4214" s="1882" t="str">
        <f>+'4M'!C$51</f>
        <v>Capital expenditure purpose - WASTEWATER additional line 15 [Other categories]</v>
      </c>
      <c r="G4214" s="1882" t="str">
        <f>IF('4M'!T51="","##BLANK",'4M'!T51)</f>
        <v>##BLANK</v>
      </c>
    </row>
    <row r="4215" spans="2:7">
      <c r="B4215" s="821" t="str">
        <f>+'4M'!BV52</f>
        <v>S3025ENHSLTCUM</v>
      </c>
      <c r="D4215" s="1882"/>
      <c r="E4215" s="1628" t="s">
        <v>8339</v>
      </c>
      <c r="F4215" s="1882"/>
      <c r="G4215" s="1882">
        <f>IF('4M'!T52="","##BLANK",'4M'!T52)</f>
        <v>0</v>
      </c>
    </row>
    <row r="4216" spans="2:7">
      <c r="B4216" s="821" t="str">
        <f>+'4M'!BW8</f>
        <v>BC31379STPCUM</v>
      </c>
      <c r="D4216" s="1882"/>
      <c r="E4216" s="1628" t="s">
        <v>8339</v>
      </c>
      <c r="F4216" s="1882"/>
      <c r="G4216" s="1882" t="str">
        <f>IF('4M'!U8="","##BLANK",'4M'!U8)</f>
        <v>##BLANK</v>
      </c>
    </row>
    <row r="4217" spans="2:7">
      <c r="B4217" s="821" t="str">
        <f>+'4M'!BW9</f>
        <v>S3035QSTPCUM</v>
      </c>
      <c r="D4217" s="1882"/>
      <c r="E4217" s="1628" t="s">
        <v>8339</v>
      </c>
      <c r="F4217" s="1882"/>
      <c r="G4217" s="1882" t="str">
        <f>IF('4M'!U9="","##BLANK",'4M'!U9)</f>
        <v>##BLANK</v>
      </c>
    </row>
    <row r="4218" spans="2:7">
      <c r="B4218" s="821" t="str">
        <f>+'4M'!BW10</f>
        <v>S3036GSTPCUM</v>
      </c>
      <c r="D4218" s="1882"/>
      <c r="E4218" s="1628" t="s">
        <v>8339</v>
      </c>
      <c r="F4218" s="1882"/>
      <c r="G4218" s="1882" t="str">
        <f>IF('4M'!U10="","##BLANK",'4M'!U10)</f>
        <v>##BLANK</v>
      </c>
    </row>
    <row r="4219" spans="2:7">
      <c r="B4219" s="821" t="str">
        <f>+'4M'!BW11</f>
        <v>S3004STPCUM</v>
      </c>
      <c r="D4219" s="1882"/>
      <c r="E4219" s="1628" t="s">
        <v>8339</v>
      </c>
      <c r="F4219" s="1882"/>
      <c r="G4219" s="1882" t="str">
        <f>IF('4M'!U11="","##BLANK",'4M'!U11)</f>
        <v>##BLANK</v>
      </c>
    </row>
    <row r="4220" spans="2:7">
      <c r="B4220" s="821" t="str">
        <f>+'4M'!BW12</f>
        <v>WWS2001STPCUM</v>
      </c>
      <c r="D4220" s="1882"/>
      <c r="E4220" s="1628" t="s">
        <v>8339</v>
      </c>
      <c r="F4220" s="1882"/>
      <c r="G4220" s="1882" t="str">
        <f>IF('4M'!U12="","##BLANK",'4M'!U12)</f>
        <v>##BLANK</v>
      </c>
    </row>
    <row r="4221" spans="2:7">
      <c r="B4221" s="821" t="str">
        <f>+'4M'!BW13</f>
        <v>S3005STPCUM</v>
      </c>
      <c r="D4221" s="1882"/>
      <c r="E4221" s="1628" t="s">
        <v>8339</v>
      </c>
      <c r="F4221" s="1882"/>
      <c r="G4221" s="1882" t="str">
        <f>IF('4M'!U13="","##BLANK",'4M'!U13)</f>
        <v>##BLANK</v>
      </c>
    </row>
    <row r="4222" spans="2:7">
      <c r="B4222" s="821" t="str">
        <f>+'4M'!BW14</f>
        <v>S3006STPCUM</v>
      </c>
      <c r="D4222" s="1882"/>
      <c r="E4222" s="1628" t="s">
        <v>8339</v>
      </c>
      <c r="F4222" s="1882"/>
      <c r="G4222" s="1882" t="str">
        <f>IF('4M'!U14="","##BLANK",'4M'!U14)</f>
        <v>##BLANK</v>
      </c>
    </row>
    <row r="4223" spans="2:7">
      <c r="B4223" s="821" t="str">
        <f>+'4M'!BW15</f>
        <v>S3007STPCUM</v>
      </c>
      <c r="D4223" s="1882"/>
      <c r="E4223" s="1628" t="s">
        <v>8339</v>
      </c>
      <c r="F4223" s="1882"/>
      <c r="G4223" s="1882" t="str">
        <f>IF('4M'!U15="","##BLANK",'4M'!U15)</f>
        <v>##BLANK</v>
      </c>
    </row>
    <row r="4224" spans="2:7">
      <c r="B4224" s="821" t="str">
        <f>+'4M'!BW16</f>
        <v>WWS2002STPCUM</v>
      </c>
      <c r="D4224" s="1882"/>
      <c r="E4224" s="1628" t="s">
        <v>8339</v>
      </c>
      <c r="F4224" s="1882"/>
      <c r="G4224" s="1882" t="str">
        <f>IF('4M'!U16="","##BLANK",'4M'!U16)</f>
        <v>##BLANK</v>
      </c>
    </row>
    <row r="4225" spans="2:7">
      <c r="B4225" s="821" t="str">
        <f>+'4M'!BW17</f>
        <v>WWS2003STPCUM</v>
      </c>
      <c r="D4225" s="1882"/>
      <c r="E4225" s="1628" t="s">
        <v>8339</v>
      </c>
      <c r="F4225" s="1882"/>
      <c r="G4225" s="1882" t="str">
        <f>IF('4M'!U17="","##BLANK",'4M'!U17)</f>
        <v>##BLANK</v>
      </c>
    </row>
    <row r="4226" spans="2:7">
      <c r="B4226" s="821" t="str">
        <f>+'4M'!BW18</f>
        <v>S3008STPCUM</v>
      </c>
      <c r="D4226" s="1882"/>
      <c r="E4226" s="1628" t="s">
        <v>8339</v>
      </c>
      <c r="F4226" s="1882"/>
      <c r="G4226" s="1882" t="str">
        <f>IF('4M'!U18="","##BLANK",'4M'!U18)</f>
        <v>##BLANK</v>
      </c>
    </row>
    <row r="4227" spans="2:7">
      <c r="B4227" s="821" t="str">
        <f>+'4M'!BW19</f>
        <v>S3009STPCUM</v>
      </c>
      <c r="D4227" s="1882"/>
      <c r="E4227" s="1628" t="s">
        <v>8339</v>
      </c>
      <c r="F4227" s="1882"/>
      <c r="G4227" s="1882" t="str">
        <f>IF('4M'!U19="","##BLANK",'4M'!U19)</f>
        <v>##BLANK</v>
      </c>
    </row>
    <row r="4228" spans="2:7">
      <c r="B4228" s="821" t="str">
        <f>+'4M'!BW20</f>
        <v>WWS2007STPCUM</v>
      </c>
      <c r="D4228" s="1882"/>
      <c r="E4228" s="1628" t="s">
        <v>8339</v>
      </c>
      <c r="F4228" s="1882"/>
      <c r="G4228" s="1882" t="str">
        <f>IF('4M'!U20="","##BLANK",'4M'!U20)</f>
        <v>##BLANK</v>
      </c>
    </row>
    <row r="4229" spans="2:7">
      <c r="B4229" s="821" t="str">
        <f>+'4M'!BW21</f>
        <v>S3010STPCUM</v>
      </c>
      <c r="D4229" s="1882"/>
      <c r="E4229" s="1628" t="s">
        <v>8339</v>
      </c>
      <c r="F4229" s="1882"/>
      <c r="G4229" s="1882" t="str">
        <f>IF('4M'!U21="","##BLANK",'4M'!U21)</f>
        <v>##BLANK</v>
      </c>
    </row>
    <row r="4230" spans="2:7">
      <c r="B4230" s="821" t="str">
        <f>+'4M'!BW22</f>
        <v>S3011STPCUM</v>
      </c>
      <c r="D4230" s="1882"/>
      <c r="E4230" s="1628" t="s">
        <v>8339</v>
      </c>
      <c r="F4230" s="1882"/>
      <c r="G4230" s="1882" t="str">
        <f>IF('4M'!U22="","##BLANK",'4M'!U22)</f>
        <v>##BLANK</v>
      </c>
    </row>
    <row r="4231" spans="2:7">
      <c r="B4231" s="821" t="str">
        <f>+'4M'!BW23</f>
        <v>S3012STPCUM</v>
      </c>
      <c r="D4231" s="1882"/>
      <c r="E4231" s="1628" t="s">
        <v>8339</v>
      </c>
      <c r="F4231" s="1882"/>
      <c r="G4231" s="1882" t="str">
        <f>IF('4M'!U23="","##BLANK",'4M'!U23)</f>
        <v>##BLANK</v>
      </c>
    </row>
    <row r="4232" spans="2:7">
      <c r="B4232" s="821" t="str">
        <f>+'4M'!BW24</f>
        <v>S3013STPCUM</v>
      </c>
      <c r="D4232" s="1882"/>
      <c r="E4232" s="1628" t="s">
        <v>8339</v>
      </c>
      <c r="F4232" s="1882"/>
      <c r="G4232" s="1882" t="str">
        <f>IF('4M'!U24="","##BLANK",'4M'!U24)</f>
        <v>##BLANK</v>
      </c>
    </row>
    <row r="4233" spans="2:7">
      <c r="B4233" s="821" t="str">
        <f>+'4M'!BW25</f>
        <v>S3014STPCUM</v>
      </c>
      <c r="D4233" s="1882"/>
      <c r="E4233" s="1628" t="s">
        <v>8339</v>
      </c>
      <c r="F4233" s="1882"/>
      <c r="G4233" s="1882" t="str">
        <f>IF('4M'!U25="","##BLANK",'4M'!U25)</f>
        <v>##BLANK</v>
      </c>
    </row>
    <row r="4234" spans="2:7">
      <c r="B4234" s="821" t="str">
        <f>+'4M'!BW26</f>
        <v>S3015STPCUM</v>
      </c>
      <c r="D4234" s="1882"/>
      <c r="E4234" s="1628" t="s">
        <v>8339</v>
      </c>
      <c r="F4234" s="1882"/>
      <c r="G4234" s="1882" t="str">
        <f>IF('4M'!U26="","##BLANK",'4M'!U26)</f>
        <v>##BLANK</v>
      </c>
    </row>
    <row r="4235" spans="2:7">
      <c r="B4235" s="821" t="str">
        <f>+'4M'!BW27</f>
        <v>S3016STPCUM</v>
      </c>
      <c r="D4235" s="1882"/>
      <c r="E4235" s="1628" t="s">
        <v>8339</v>
      </c>
      <c r="F4235" s="1882"/>
      <c r="G4235" s="1882" t="str">
        <f>IF('4M'!U27="","##BLANK",'4M'!U27)</f>
        <v>##BLANK</v>
      </c>
    </row>
    <row r="4236" spans="2:7">
      <c r="B4236" s="821" t="str">
        <f>+'4M'!BW28</f>
        <v>S3017STPCUM</v>
      </c>
      <c r="D4236" s="1882"/>
      <c r="E4236" s="1628" t="s">
        <v>8339</v>
      </c>
      <c r="F4236" s="1882"/>
      <c r="G4236" s="1882" t="str">
        <f>IF('4M'!U28="","##BLANK",'4M'!U28)</f>
        <v>##BLANK</v>
      </c>
    </row>
    <row r="4237" spans="2:7">
      <c r="B4237" s="821" t="str">
        <f>+'4M'!BW29</f>
        <v>S3018STPCUM</v>
      </c>
      <c r="D4237" s="1882"/>
      <c r="E4237" s="1628" t="s">
        <v>8339</v>
      </c>
      <c r="F4237" s="1882"/>
      <c r="G4237" s="1882" t="str">
        <f>IF('4M'!U29="","##BLANK",'4M'!U29)</f>
        <v>##BLANK</v>
      </c>
    </row>
    <row r="4238" spans="2:7">
      <c r="B4238" s="821" t="str">
        <f>+'4M'!BW30</f>
        <v>S3019STPCUM</v>
      </c>
      <c r="D4238" s="1882"/>
      <c r="E4238" s="1628" t="s">
        <v>8339</v>
      </c>
      <c r="F4238" s="1882"/>
      <c r="G4238" s="1882" t="str">
        <f>IF('4M'!U30="","##BLANK",'4M'!U30)</f>
        <v>##BLANK</v>
      </c>
    </row>
    <row r="4239" spans="2:7">
      <c r="B4239" s="821" t="str">
        <f>+'4M'!BW31</f>
        <v>S3020STPCUM</v>
      </c>
      <c r="D4239" s="1882"/>
      <c r="E4239" s="1628" t="s">
        <v>8339</v>
      </c>
      <c r="F4239" s="1882"/>
      <c r="G4239" s="1882" t="str">
        <f>IF('4M'!U31="","##BLANK",'4M'!U31)</f>
        <v>##BLANK</v>
      </c>
    </row>
    <row r="4240" spans="2:7">
      <c r="B4240" s="821" t="str">
        <f>+'4M'!BW32</f>
        <v>S3021STPCUM</v>
      </c>
      <c r="D4240" s="1882"/>
      <c r="E4240" s="1628" t="s">
        <v>8339</v>
      </c>
      <c r="F4240" s="1882"/>
      <c r="G4240" s="1882" t="str">
        <f>IF('4M'!U32="","##BLANK",'4M'!U32)</f>
        <v>##BLANK</v>
      </c>
    </row>
    <row r="4241" spans="2:7">
      <c r="B4241" s="821" t="str">
        <f>+'4M'!BW33</f>
        <v>S3022STPCUM</v>
      </c>
      <c r="D4241" s="1882"/>
      <c r="E4241" s="1628" t="s">
        <v>8339</v>
      </c>
      <c r="F4241" s="1882"/>
      <c r="G4241" s="1882" t="str">
        <f>IF('4M'!U33="","##BLANK",'4M'!U33)</f>
        <v>##BLANK</v>
      </c>
    </row>
    <row r="4242" spans="2:7">
      <c r="B4242" s="821" t="str">
        <f>+'4M'!BW34</f>
        <v>BC31785STPCUM</v>
      </c>
      <c r="D4242" s="1882"/>
      <c r="E4242" s="1628" t="s">
        <v>8339</v>
      </c>
      <c r="F4242" s="1882"/>
      <c r="G4242" s="1882" t="str">
        <f>IF('4M'!U34="","##BLANK",'4M'!U34)</f>
        <v>##BLANK</v>
      </c>
    </row>
    <row r="4243" spans="2:7">
      <c r="B4243" s="821" t="str">
        <f>+'4M'!BW35</f>
        <v>S3023STPCUM</v>
      </c>
      <c r="D4243" s="1882"/>
      <c r="E4243" s="1628" t="s">
        <v>8339</v>
      </c>
      <c r="F4243" s="1882"/>
      <c r="G4243" s="1882" t="str">
        <f>IF('4M'!U35="","##BLANK",'4M'!U35)</f>
        <v>##BLANK</v>
      </c>
    </row>
    <row r="4244" spans="2:7">
      <c r="B4244" s="821" t="str">
        <f>+'4M'!BW36</f>
        <v>S3024STPCUM</v>
      </c>
      <c r="D4244" s="1882"/>
      <c r="E4244" s="1628" t="s">
        <v>8339</v>
      </c>
      <c r="F4244" s="1882"/>
      <c r="G4244" s="1882" t="str">
        <f>IF('4M'!U36="","##BLANK",'4M'!U36)</f>
        <v>##BLANK</v>
      </c>
    </row>
    <row r="4245" spans="2:7">
      <c r="B4245" s="821" t="str">
        <f>+'4M'!BW37</f>
        <v>S3A00001STPCUM</v>
      </c>
      <c r="D4245" s="1882"/>
      <c r="E4245" s="1628" t="s">
        <v>8339</v>
      </c>
      <c r="F4245" s="1882" t="str">
        <f>+'4M'!C$37</f>
        <v>Capital expenditure purpose - WASTEWATER additional line 1 [Other categories]</v>
      </c>
      <c r="G4245" s="1882" t="str">
        <f>IF('4M'!U37="","##BLANK",'4M'!U37)</f>
        <v>##BLANK</v>
      </c>
    </row>
    <row r="4246" spans="2:7">
      <c r="B4246" s="821" t="str">
        <f>+'4M'!BW38</f>
        <v>S3A00002STPCUM</v>
      </c>
      <c r="D4246" s="1882"/>
      <c r="E4246" s="1628" t="s">
        <v>8339</v>
      </c>
      <c r="F4246" s="1882" t="str">
        <f>+'4M'!C$38</f>
        <v>Capital expenditure purpose - WASTEWATER additional line 2 [Other categories]</v>
      </c>
      <c r="G4246" s="1882" t="str">
        <f>IF('4M'!U38="","##BLANK",'4M'!U38)</f>
        <v>##BLANK</v>
      </c>
    </row>
    <row r="4247" spans="2:7">
      <c r="B4247" s="821" t="str">
        <f>+'4M'!BW39</f>
        <v>S3A00003STPCUM</v>
      </c>
      <c r="D4247" s="1882"/>
      <c r="E4247" s="1628" t="s">
        <v>8339</v>
      </c>
      <c r="F4247" s="1882" t="str">
        <f>+'4M'!C$39</f>
        <v>Capital expenditure purpose - WASTEWATER additional line 3 [Other categories]</v>
      </c>
      <c r="G4247" s="1882" t="str">
        <f>IF('4M'!U39="","##BLANK",'4M'!U39)</f>
        <v>##BLANK</v>
      </c>
    </row>
    <row r="4248" spans="2:7">
      <c r="B4248" s="821" t="str">
        <f>+'4M'!BW40</f>
        <v>S3A00004STPCUM</v>
      </c>
      <c r="D4248" s="1882"/>
      <c r="E4248" s="1628" t="s">
        <v>8339</v>
      </c>
      <c r="F4248" s="1882" t="str">
        <f>+'4M'!C$40</f>
        <v>Capital expenditure purpose - WASTEWATER additional line 4 [Other categories]</v>
      </c>
      <c r="G4248" s="1882" t="str">
        <f>IF('4M'!U40="","##BLANK",'4M'!U40)</f>
        <v>##BLANK</v>
      </c>
    </row>
    <row r="4249" spans="2:7">
      <c r="B4249" s="821" t="str">
        <f>+'4M'!BW41</f>
        <v>S3A00005STPCUM</v>
      </c>
      <c r="D4249" s="1882"/>
      <c r="E4249" s="1628" t="s">
        <v>8339</v>
      </c>
      <c r="F4249" s="1882" t="str">
        <f>+'4M'!C$41</f>
        <v>Capital expenditure purpose - WASTEWATER additional line 5 [Other categories]</v>
      </c>
      <c r="G4249" s="1882" t="str">
        <f>IF('4M'!U41="","##BLANK",'4M'!U41)</f>
        <v>##BLANK</v>
      </c>
    </row>
    <row r="4250" spans="2:7">
      <c r="B4250" s="821" t="str">
        <f>+'4M'!BW42</f>
        <v>S3A00006STPCUM</v>
      </c>
      <c r="D4250" s="1882"/>
      <c r="E4250" s="1628" t="s">
        <v>8339</v>
      </c>
      <c r="F4250" s="1882" t="str">
        <f>+'4M'!C$42</f>
        <v>Capital expenditure purpose - WASTEWATER additional line 6 [Other categories]</v>
      </c>
      <c r="G4250" s="1882" t="str">
        <f>IF('4M'!U42="","##BLANK",'4M'!U42)</f>
        <v>##BLANK</v>
      </c>
    </row>
    <row r="4251" spans="2:7">
      <c r="B4251" s="821" t="str">
        <f>+'4M'!BW43</f>
        <v>S3A00007STPCUM</v>
      </c>
      <c r="D4251" s="1882"/>
      <c r="E4251" s="1628" t="s">
        <v>8339</v>
      </c>
      <c r="F4251" s="1882" t="str">
        <f>+'4M'!C$43</f>
        <v>Capital expenditure purpose - WASTEWATER additional line 7 [Other categories]</v>
      </c>
      <c r="G4251" s="1882" t="str">
        <f>IF('4M'!U43="","##BLANK",'4M'!U43)</f>
        <v>##BLANK</v>
      </c>
    </row>
    <row r="4252" spans="2:7">
      <c r="B4252" s="821" t="str">
        <f>+'4M'!BW44</f>
        <v>S3A00008STPCUM</v>
      </c>
      <c r="D4252" s="1882"/>
      <c r="E4252" s="1628" t="s">
        <v>8339</v>
      </c>
      <c r="F4252" s="1882" t="str">
        <f>+'4M'!C$44</f>
        <v>Capital expenditure purpose - WASTEWATER additional line 8 [Other categories]</v>
      </c>
      <c r="G4252" s="1882" t="str">
        <f>IF('4M'!U44="","##BLANK",'4M'!U44)</f>
        <v>##BLANK</v>
      </c>
    </row>
    <row r="4253" spans="2:7">
      <c r="B4253" s="821" t="str">
        <f>+'4M'!BW45</f>
        <v>S3A00009STPCUM</v>
      </c>
      <c r="D4253" s="1882"/>
      <c r="E4253" s="1628" t="s">
        <v>8339</v>
      </c>
      <c r="F4253" s="1882" t="str">
        <f>+'4M'!C$45</f>
        <v>Capital expenditure purpose - WASTEWATER additional line 9 [Other categories]</v>
      </c>
      <c r="G4253" s="1882" t="str">
        <f>IF('4M'!U45="","##BLANK",'4M'!U45)</f>
        <v>##BLANK</v>
      </c>
    </row>
    <row r="4254" spans="2:7">
      <c r="B4254" s="821" t="str">
        <f>+'4M'!BW46</f>
        <v>S3A00010STPCUM</v>
      </c>
      <c r="D4254" s="1882"/>
      <c r="E4254" s="1628" t="s">
        <v>8339</v>
      </c>
      <c r="F4254" s="1882" t="str">
        <f>+'4M'!C$46</f>
        <v>Capital expenditure purpose - WASTEWATER additional line 10 [Other categories]</v>
      </c>
      <c r="G4254" s="1882" t="str">
        <f>IF('4M'!U46="","##BLANK",'4M'!U46)</f>
        <v>##BLANK</v>
      </c>
    </row>
    <row r="4255" spans="2:7">
      <c r="B4255" s="821" t="str">
        <f>+'4M'!BW47</f>
        <v>S3A00011STPCUM</v>
      </c>
      <c r="D4255" s="1882"/>
      <c r="E4255" s="1628" t="s">
        <v>8339</v>
      </c>
      <c r="F4255" s="1882" t="str">
        <f>+'4M'!C$47</f>
        <v>Capital expenditure purpose - WASTEWATER additional line 11 [Other categories]</v>
      </c>
      <c r="G4255" s="1882" t="str">
        <f>IF('4M'!U47="","##BLANK",'4M'!U47)</f>
        <v>##BLANK</v>
      </c>
    </row>
    <row r="4256" spans="2:7">
      <c r="B4256" s="821" t="str">
        <f>+'4M'!BW48</f>
        <v>S3A00012STPCUM</v>
      </c>
      <c r="D4256" s="1882"/>
      <c r="E4256" s="1628" t="s">
        <v>8339</v>
      </c>
      <c r="F4256" s="1882" t="str">
        <f>+'4M'!C$48</f>
        <v>Capital expenditure purpose - WASTEWATER additional line 12 [Other categories]</v>
      </c>
      <c r="G4256" s="1882" t="str">
        <f>IF('4M'!U48="","##BLANK",'4M'!U48)</f>
        <v>##BLANK</v>
      </c>
    </row>
    <row r="4257" spans="2:7">
      <c r="B4257" s="821" t="str">
        <f>+'4M'!BW49</f>
        <v>S3A00013STPCUM</v>
      </c>
      <c r="D4257" s="1882"/>
      <c r="E4257" s="1628" t="s">
        <v>8339</v>
      </c>
      <c r="F4257" s="1882" t="str">
        <f>+'4M'!C$49</f>
        <v>Capital expenditure purpose - WASTEWATER additional line 13 [Other categories]</v>
      </c>
      <c r="G4257" s="1882" t="str">
        <f>IF('4M'!U49="","##BLANK",'4M'!U49)</f>
        <v>##BLANK</v>
      </c>
    </row>
    <row r="4258" spans="2:7">
      <c r="B4258" s="821" t="str">
        <f>+'4M'!BW50</f>
        <v>S3A00014STPCUM</v>
      </c>
      <c r="D4258" s="1882"/>
      <c r="E4258" s="1628" t="s">
        <v>8339</v>
      </c>
      <c r="F4258" s="1882" t="str">
        <f>+'4M'!C$50</f>
        <v>Capital expenditure purpose - WASTEWATER additional line 14 [Other categories]</v>
      </c>
      <c r="G4258" s="1882" t="str">
        <f>IF('4M'!U50="","##BLANK",'4M'!U50)</f>
        <v>##BLANK</v>
      </c>
    </row>
    <row r="4259" spans="2:7">
      <c r="B4259" s="821" t="str">
        <f>+'4M'!BW51</f>
        <v>S3A00015STPCUM</v>
      </c>
      <c r="D4259" s="1882"/>
      <c r="E4259" s="1628" t="s">
        <v>8339</v>
      </c>
      <c r="F4259" s="1882" t="str">
        <f>+'4M'!C$51</f>
        <v>Capital expenditure purpose - WASTEWATER additional line 15 [Other categories]</v>
      </c>
      <c r="G4259" s="1882" t="str">
        <f>IF('4M'!U51="","##BLANK",'4M'!U51)</f>
        <v>##BLANK</v>
      </c>
    </row>
    <row r="4260" spans="2:7">
      <c r="B4260" s="821" t="str">
        <f>+'4M'!BW52</f>
        <v>S3025ENHSTPCUM</v>
      </c>
      <c r="D4260" s="1882"/>
      <c r="E4260" s="1628" t="s">
        <v>8339</v>
      </c>
      <c r="F4260" s="1882"/>
      <c r="G4260" s="1882">
        <f>IF('4M'!U52="","##BLANK",'4M'!U52)</f>
        <v>0</v>
      </c>
    </row>
    <row r="4261" spans="2:7">
      <c r="B4261" s="821" t="str">
        <f>+'4M'!BX8</f>
        <v>BC31379SDTCUM</v>
      </c>
      <c r="D4261" s="1882"/>
      <c r="E4261" s="1628" t="s">
        <v>8339</v>
      </c>
      <c r="F4261" s="1882"/>
      <c r="G4261" s="1882" t="str">
        <f>IF('4M'!V8="","##BLANK",'4M'!V8)</f>
        <v>##BLANK</v>
      </c>
    </row>
    <row r="4262" spans="2:7">
      <c r="B4262" s="821" t="str">
        <f>+'4M'!BX9</f>
        <v>S3035QSDTCUM</v>
      </c>
      <c r="D4262" s="1882"/>
      <c r="E4262" s="1628" t="s">
        <v>8339</v>
      </c>
      <c r="F4262" s="1882"/>
      <c r="G4262" s="1882" t="str">
        <f>IF('4M'!V9="","##BLANK",'4M'!V9)</f>
        <v>##BLANK</v>
      </c>
    </row>
    <row r="4263" spans="2:7">
      <c r="B4263" s="821" t="str">
        <f>+'4M'!BX10</f>
        <v>S3036GSDTCUM</v>
      </c>
      <c r="D4263" s="1882"/>
      <c r="E4263" s="1628" t="s">
        <v>8339</v>
      </c>
      <c r="F4263" s="1882"/>
      <c r="G4263" s="1882" t="str">
        <f>IF('4M'!V10="","##BLANK",'4M'!V10)</f>
        <v>##BLANK</v>
      </c>
    </row>
    <row r="4264" spans="2:7">
      <c r="B4264" s="821" t="str">
        <f>+'4M'!BX11</f>
        <v>S3004SDTCUM</v>
      </c>
      <c r="D4264" s="1882"/>
      <c r="E4264" s="1628" t="s">
        <v>8339</v>
      </c>
      <c r="F4264" s="1882"/>
      <c r="G4264" s="1882" t="str">
        <f>IF('4M'!V11="","##BLANK",'4M'!V11)</f>
        <v>##BLANK</v>
      </c>
    </row>
    <row r="4265" spans="2:7">
      <c r="B4265" s="821" t="str">
        <f>+'4M'!BX12</f>
        <v>WWS2001SDTCUM</v>
      </c>
      <c r="D4265" s="1882"/>
      <c r="E4265" s="1628" t="s">
        <v>8339</v>
      </c>
      <c r="F4265" s="1882"/>
      <c r="G4265" s="1882" t="str">
        <f>IF('4M'!V12="","##BLANK",'4M'!V12)</f>
        <v>##BLANK</v>
      </c>
    </row>
    <row r="4266" spans="2:7">
      <c r="B4266" s="821" t="str">
        <f>+'4M'!BX13</f>
        <v>S3005SDTCUM</v>
      </c>
      <c r="D4266" s="1882"/>
      <c r="E4266" s="1628" t="s">
        <v>8339</v>
      </c>
      <c r="F4266" s="1882"/>
      <c r="G4266" s="1882" t="str">
        <f>IF('4M'!V13="","##BLANK",'4M'!V13)</f>
        <v>##BLANK</v>
      </c>
    </row>
    <row r="4267" spans="2:7">
      <c r="B4267" s="821" t="str">
        <f>+'4M'!BX14</f>
        <v>S3006SDTCUM</v>
      </c>
      <c r="D4267" s="1882"/>
      <c r="E4267" s="1628" t="s">
        <v>8339</v>
      </c>
      <c r="F4267" s="1882"/>
      <c r="G4267" s="1882" t="str">
        <f>IF('4M'!V14="","##BLANK",'4M'!V14)</f>
        <v>##BLANK</v>
      </c>
    </row>
    <row r="4268" spans="2:7">
      <c r="B4268" s="821" t="str">
        <f>+'4M'!BX15</f>
        <v>S3007SDTCUM</v>
      </c>
      <c r="D4268" s="1882"/>
      <c r="E4268" s="1628" t="s">
        <v>8339</v>
      </c>
      <c r="F4268" s="1882"/>
      <c r="G4268" s="1882" t="str">
        <f>IF('4M'!V15="","##BLANK",'4M'!V15)</f>
        <v>##BLANK</v>
      </c>
    </row>
    <row r="4269" spans="2:7">
      <c r="B4269" s="821" t="str">
        <f>+'4M'!BX16</f>
        <v>WWS2002SDTCUM</v>
      </c>
      <c r="D4269" s="1882"/>
      <c r="E4269" s="1628" t="s">
        <v>8339</v>
      </c>
      <c r="F4269" s="1882"/>
      <c r="G4269" s="1882" t="str">
        <f>IF('4M'!V16="","##BLANK",'4M'!V16)</f>
        <v>##BLANK</v>
      </c>
    </row>
    <row r="4270" spans="2:7">
      <c r="B4270" s="821" t="str">
        <f>+'4M'!BX17</f>
        <v>WWS2003SDTCUM</v>
      </c>
      <c r="D4270" s="1882"/>
      <c r="E4270" s="1628" t="s">
        <v>8339</v>
      </c>
      <c r="F4270" s="1882"/>
      <c r="G4270" s="1882" t="str">
        <f>IF('4M'!V17="","##BLANK",'4M'!V17)</f>
        <v>##BLANK</v>
      </c>
    </row>
    <row r="4271" spans="2:7">
      <c r="B4271" s="821" t="str">
        <f>+'4M'!BX18</f>
        <v>S3008SDTCUM</v>
      </c>
      <c r="D4271" s="1882"/>
      <c r="E4271" s="1628" t="s">
        <v>8339</v>
      </c>
      <c r="F4271" s="1882"/>
      <c r="G4271" s="1882" t="str">
        <f>IF('4M'!V18="","##BLANK",'4M'!V18)</f>
        <v>##BLANK</v>
      </c>
    </row>
    <row r="4272" spans="2:7">
      <c r="B4272" s="821" t="str">
        <f>+'4M'!BX19</f>
        <v>S3009SDTCUM</v>
      </c>
      <c r="D4272" s="1882"/>
      <c r="E4272" s="1628" t="s">
        <v>8339</v>
      </c>
      <c r="F4272" s="1882"/>
      <c r="G4272" s="1882" t="str">
        <f>IF('4M'!V19="","##BLANK",'4M'!V19)</f>
        <v>##BLANK</v>
      </c>
    </row>
    <row r="4273" spans="2:7">
      <c r="B4273" s="821" t="str">
        <f>+'4M'!BX20</f>
        <v>WWS2007SDTCUM</v>
      </c>
      <c r="D4273" s="1882"/>
      <c r="E4273" s="1628" t="s">
        <v>8339</v>
      </c>
      <c r="F4273" s="1882"/>
      <c r="G4273" s="1882" t="str">
        <f>IF('4M'!V20="","##BLANK",'4M'!V20)</f>
        <v>##BLANK</v>
      </c>
    </row>
    <row r="4274" spans="2:7">
      <c r="B4274" s="821" t="str">
        <f>+'4M'!BX21</f>
        <v>S3010SDTCUM</v>
      </c>
      <c r="D4274" s="1882"/>
      <c r="E4274" s="1628" t="s">
        <v>8339</v>
      </c>
      <c r="F4274" s="1882"/>
      <c r="G4274" s="1882" t="str">
        <f>IF('4M'!V21="","##BLANK",'4M'!V21)</f>
        <v>##BLANK</v>
      </c>
    </row>
    <row r="4275" spans="2:7">
      <c r="B4275" s="821" t="str">
        <f>+'4M'!BX22</f>
        <v>S3011SDTCUM</v>
      </c>
      <c r="D4275" s="1882"/>
      <c r="E4275" s="1628" t="s">
        <v>8339</v>
      </c>
      <c r="F4275" s="1882"/>
      <c r="G4275" s="1882" t="str">
        <f>IF('4M'!V22="","##BLANK",'4M'!V22)</f>
        <v>##BLANK</v>
      </c>
    </row>
    <row r="4276" spans="2:7">
      <c r="B4276" s="821" t="str">
        <f>+'4M'!BX23</f>
        <v>S3012SDTCUM</v>
      </c>
      <c r="D4276" s="1882"/>
      <c r="E4276" s="1628" t="s">
        <v>8339</v>
      </c>
      <c r="F4276" s="1882"/>
      <c r="G4276" s="1882" t="str">
        <f>IF('4M'!V23="","##BLANK",'4M'!V23)</f>
        <v>##BLANK</v>
      </c>
    </row>
    <row r="4277" spans="2:7">
      <c r="B4277" s="821" t="str">
        <f>+'4M'!BX24</f>
        <v>S3013SDTCUM</v>
      </c>
      <c r="D4277" s="1882"/>
      <c r="E4277" s="1628" t="s">
        <v>8339</v>
      </c>
      <c r="F4277" s="1882"/>
      <c r="G4277" s="1882" t="str">
        <f>IF('4M'!V24="","##BLANK",'4M'!V24)</f>
        <v>##BLANK</v>
      </c>
    </row>
    <row r="4278" spans="2:7">
      <c r="B4278" s="821" t="str">
        <f>+'4M'!BX25</f>
        <v>S3014SDTCUM</v>
      </c>
      <c r="D4278" s="1882"/>
      <c r="E4278" s="1628" t="s">
        <v>8339</v>
      </c>
      <c r="F4278" s="1882"/>
      <c r="G4278" s="1882" t="str">
        <f>IF('4M'!V25="","##BLANK",'4M'!V25)</f>
        <v>##BLANK</v>
      </c>
    </row>
    <row r="4279" spans="2:7">
      <c r="B4279" s="821" t="str">
        <f>+'4M'!BX26</f>
        <v>S3015SDTCUM</v>
      </c>
      <c r="D4279" s="1882"/>
      <c r="E4279" s="1628" t="s">
        <v>8339</v>
      </c>
      <c r="F4279" s="1882"/>
      <c r="G4279" s="1882" t="str">
        <f>IF('4M'!V26="","##BLANK",'4M'!V26)</f>
        <v>##BLANK</v>
      </c>
    </row>
    <row r="4280" spans="2:7">
      <c r="B4280" s="821" t="str">
        <f>+'4M'!BX27</f>
        <v>S3016SDTCUM</v>
      </c>
      <c r="D4280" s="1882"/>
      <c r="E4280" s="1628" t="s">
        <v>8339</v>
      </c>
      <c r="F4280" s="1882"/>
      <c r="G4280" s="1882" t="str">
        <f>IF('4M'!V27="","##BLANK",'4M'!V27)</f>
        <v>##BLANK</v>
      </c>
    </row>
    <row r="4281" spans="2:7">
      <c r="B4281" s="821" t="str">
        <f>+'4M'!BX28</f>
        <v>S3017SDTCUM</v>
      </c>
      <c r="D4281" s="1882"/>
      <c r="E4281" s="1628" t="s">
        <v>8339</v>
      </c>
      <c r="F4281" s="1882"/>
      <c r="G4281" s="1882" t="str">
        <f>IF('4M'!V28="","##BLANK",'4M'!V28)</f>
        <v>##BLANK</v>
      </c>
    </row>
    <row r="4282" spans="2:7">
      <c r="B4282" s="821" t="str">
        <f>+'4M'!BX29</f>
        <v>S3018SDTCUM</v>
      </c>
      <c r="D4282" s="1882"/>
      <c r="E4282" s="1628" t="s">
        <v>8339</v>
      </c>
      <c r="F4282" s="1882"/>
      <c r="G4282" s="1882" t="str">
        <f>IF('4M'!V29="","##BLANK",'4M'!V29)</f>
        <v>##BLANK</v>
      </c>
    </row>
    <row r="4283" spans="2:7">
      <c r="B4283" s="821" t="str">
        <f>+'4M'!BX30</f>
        <v>S3019SDTCUM</v>
      </c>
      <c r="D4283" s="1882"/>
      <c r="E4283" s="1628" t="s">
        <v>8339</v>
      </c>
      <c r="F4283" s="1882"/>
      <c r="G4283" s="1882" t="str">
        <f>IF('4M'!V30="","##BLANK",'4M'!V30)</f>
        <v>##BLANK</v>
      </c>
    </row>
    <row r="4284" spans="2:7">
      <c r="B4284" s="821" t="str">
        <f>+'4M'!BX31</f>
        <v>S3020SDTCUM</v>
      </c>
      <c r="D4284" s="1882"/>
      <c r="E4284" s="1628" t="s">
        <v>8339</v>
      </c>
      <c r="F4284" s="1882"/>
      <c r="G4284" s="1882" t="str">
        <f>IF('4M'!V31="","##BLANK",'4M'!V31)</f>
        <v>##BLANK</v>
      </c>
    </row>
    <row r="4285" spans="2:7">
      <c r="B4285" s="821" t="str">
        <f>+'4M'!BX32</f>
        <v>S3021SDTCUM</v>
      </c>
      <c r="D4285" s="1882"/>
      <c r="E4285" s="1628" t="s">
        <v>8339</v>
      </c>
      <c r="F4285" s="1882"/>
      <c r="G4285" s="1882" t="str">
        <f>IF('4M'!V32="","##BLANK",'4M'!V32)</f>
        <v>##BLANK</v>
      </c>
    </row>
    <row r="4286" spans="2:7">
      <c r="B4286" s="821" t="str">
        <f>+'4M'!BX33</f>
        <v>S3022SDTCUM</v>
      </c>
      <c r="D4286" s="1882"/>
      <c r="E4286" s="1628" t="s">
        <v>8339</v>
      </c>
      <c r="F4286" s="1882"/>
      <c r="G4286" s="1882" t="str">
        <f>IF('4M'!V33="","##BLANK",'4M'!V33)</f>
        <v>##BLANK</v>
      </c>
    </row>
    <row r="4287" spans="2:7">
      <c r="B4287" s="821" t="str">
        <f>+'4M'!BX34</f>
        <v>BC31785SDTCUM</v>
      </c>
      <c r="D4287" s="1882"/>
      <c r="E4287" s="1628" t="s">
        <v>8339</v>
      </c>
      <c r="F4287" s="1882"/>
      <c r="G4287" s="1882" t="str">
        <f>IF('4M'!V34="","##BLANK",'4M'!V34)</f>
        <v>##BLANK</v>
      </c>
    </row>
    <row r="4288" spans="2:7">
      <c r="B4288" s="821" t="str">
        <f>+'4M'!BX35</f>
        <v>S3023SDTCUM</v>
      </c>
      <c r="D4288" s="1882"/>
      <c r="E4288" s="1628" t="s">
        <v>8339</v>
      </c>
      <c r="F4288" s="1882"/>
      <c r="G4288" s="1882" t="str">
        <f>IF('4M'!V35="","##BLANK",'4M'!V35)</f>
        <v>##BLANK</v>
      </c>
    </row>
    <row r="4289" spans="2:7">
      <c r="B4289" s="821" t="str">
        <f>+'4M'!BX36</f>
        <v>S3024SDTCUM</v>
      </c>
      <c r="D4289" s="1882"/>
      <c r="E4289" s="1628" t="s">
        <v>8339</v>
      </c>
      <c r="F4289" s="1882"/>
      <c r="G4289" s="1882" t="str">
        <f>IF('4M'!V36="","##BLANK",'4M'!V36)</f>
        <v>##BLANK</v>
      </c>
    </row>
    <row r="4290" spans="2:7">
      <c r="B4290" s="821" t="str">
        <f>+'4M'!BX37</f>
        <v>S3A00001SDTCUM</v>
      </c>
      <c r="D4290" s="1882"/>
      <c r="E4290" s="1628" t="s">
        <v>8339</v>
      </c>
      <c r="F4290" s="1882" t="str">
        <f>+'4M'!C$37</f>
        <v>Capital expenditure purpose - WASTEWATER additional line 1 [Other categories]</v>
      </c>
      <c r="G4290" s="1882" t="str">
        <f>IF('4M'!V37="","##BLANK",'4M'!V37)</f>
        <v>##BLANK</v>
      </c>
    </row>
    <row r="4291" spans="2:7">
      <c r="B4291" s="821" t="str">
        <f>+'4M'!BX38</f>
        <v>S3A00002SDTCUM</v>
      </c>
      <c r="D4291" s="1882"/>
      <c r="E4291" s="1628" t="s">
        <v>8339</v>
      </c>
      <c r="F4291" s="1882" t="str">
        <f>+'4M'!C$38</f>
        <v>Capital expenditure purpose - WASTEWATER additional line 2 [Other categories]</v>
      </c>
      <c r="G4291" s="1882" t="str">
        <f>IF('4M'!V38="","##BLANK",'4M'!V38)</f>
        <v>##BLANK</v>
      </c>
    </row>
    <row r="4292" spans="2:7">
      <c r="B4292" s="821" t="str">
        <f>+'4M'!BX39</f>
        <v>S3A00003SDTCUM</v>
      </c>
      <c r="D4292" s="1882"/>
      <c r="E4292" s="1628" t="s">
        <v>8339</v>
      </c>
      <c r="F4292" s="1882" t="str">
        <f>+'4M'!C$39</f>
        <v>Capital expenditure purpose - WASTEWATER additional line 3 [Other categories]</v>
      </c>
      <c r="G4292" s="1882" t="str">
        <f>IF('4M'!V39="","##BLANK",'4M'!V39)</f>
        <v>##BLANK</v>
      </c>
    </row>
    <row r="4293" spans="2:7">
      <c r="B4293" s="821" t="str">
        <f>+'4M'!BX40</f>
        <v>S3A00004SDTCUM</v>
      </c>
      <c r="D4293" s="1882"/>
      <c r="E4293" s="1628" t="s">
        <v>8339</v>
      </c>
      <c r="F4293" s="1882" t="str">
        <f>+'4M'!C$40</f>
        <v>Capital expenditure purpose - WASTEWATER additional line 4 [Other categories]</v>
      </c>
      <c r="G4293" s="1882" t="str">
        <f>IF('4M'!V40="","##BLANK",'4M'!V40)</f>
        <v>##BLANK</v>
      </c>
    </row>
    <row r="4294" spans="2:7">
      <c r="B4294" s="821" t="str">
        <f>+'4M'!BX41</f>
        <v>S3A00005SDTCUM</v>
      </c>
      <c r="D4294" s="1882"/>
      <c r="E4294" s="1628" t="s">
        <v>8339</v>
      </c>
      <c r="F4294" s="1882" t="str">
        <f>+'4M'!C$41</f>
        <v>Capital expenditure purpose - WASTEWATER additional line 5 [Other categories]</v>
      </c>
      <c r="G4294" s="1882" t="str">
        <f>IF('4M'!V41="","##BLANK",'4M'!V41)</f>
        <v>##BLANK</v>
      </c>
    </row>
    <row r="4295" spans="2:7">
      <c r="B4295" s="821" t="str">
        <f>+'4M'!BX42</f>
        <v>S3A00006SDTCUM</v>
      </c>
      <c r="D4295" s="1882"/>
      <c r="E4295" s="1628" t="s">
        <v>8339</v>
      </c>
      <c r="F4295" s="1882" t="str">
        <f>+'4M'!C$42</f>
        <v>Capital expenditure purpose - WASTEWATER additional line 6 [Other categories]</v>
      </c>
      <c r="G4295" s="1882" t="str">
        <f>IF('4M'!V42="","##BLANK",'4M'!V42)</f>
        <v>##BLANK</v>
      </c>
    </row>
    <row r="4296" spans="2:7">
      <c r="B4296" s="821" t="str">
        <f>+'4M'!BX43</f>
        <v>S3A00007SDTCUM</v>
      </c>
      <c r="D4296" s="1882"/>
      <c r="E4296" s="1628" t="s">
        <v>8339</v>
      </c>
      <c r="F4296" s="1882" t="str">
        <f>+'4M'!C$43</f>
        <v>Capital expenditure purpose - WASTEWATER additional line 7 [Other categories]</v>
      </c>
      <c r="G4296" s="1882" t="str">
        <f>IF('4M'!V43="","##BLANK",'4M'!V43)</f>
        <v>##BLANK</v>
      </c>
    </row>
    <row r="4297" spans="2:7">
      <c r="B4297" s="821" t="str">
        <f>+'4M'!BX44</f>
        <v>S3A00008SDTCUM</v>
      </c>
      <c r="D4297" s="1882"/>
      <c r="E4297" s="1628" t="s">
        <v>8339</v>
      </c>
      <c r="F4297" s="1882" t="str">
        <f>+'4M'!C$44</f>
        <v>Capital expenditure purpose - WASTEWATER additional line 8 [Other categories]</v>
      </c>
      <c r="G4297" s="1882" t="str">
        <f>IF('4M'!V44="","##BLANK",'4M'!V44)</f>
        <v>##BLANK</v>
      </c>
    </row>
    <row r="4298" spans="2:7">
      <c r="B4298" s="821" t="str">
        <f>+'4M'!BX45</f>
        <v>S3A00009SDTCUM</v>
      </c>
      <c r="D4298" s="1882"/>
      <c r="E4298" s="1628" t="s">
        <v>8339</v>
      </c>
      <c r="F4298" s="1882" t="str">
        <f>+'4M'!C$45</f>
        <v>Capital expenditure purpose - WASTEWATER additional line 9 [Other categories]</v>
      </c>
      <c r="G4298" s="1882" t="str">
        <f>IF('4M'!V45="","##BLANK",'4M'!V45)</f>
        <v>##BLANK</v>
      </c>
    </row>
    <row r="4299" spans="2:7">
      <c r="B4299" s="821" t="str">
        <f>+'4M'!BX46</f>
        <v>S3A00010SDTCUM</v>
      </c>
      <c r="D4299" s="1882"/>
      <c r="E4299" s="1628" t="s">
        <v>8339</v>
      </c>
      <c r="F4299" s="1882" t="str">
        <f>+'4M'!C$46</f>
        <v>Capital expenditure purpose - WASTEWATER additional line 10 [Other categories]</v>
      </c>
      <c r="G4299" s="1882" t="str">
        <f>IF('4M'!V46="","##BLANK",'4M'!V46)</f>
        <v>##BLANK</v>
      </c>
    </row>
    <row r="4300" spans="2:7">
      <c r="B4300" s="821" t="str">
        <f>+'4M'!BX47</f>
        <v>S3A00011SDTCUM</v>
      </c>
      <c r="D4300" s="1882"/>
      <c r="E4300" s="1628" t="s">
        <v>8339</v>
      </c>
      <c r="F4300" s="1882" t="str">
        <f>+'4M'!C$47</f>
        <v>Capital expenditure purpose - WASTEWATER additional line 11 [Other categories]</v>
      </c>
      <c r="G4300" s="1882" t="str">
        <f>IF('4M'!V47="","##BLANK",'4M'!V47)</f>
        <v>##BLANK</v>
      </c>
    </row>
    <row r="4301" spans="2:7">
      <c r="B4301" s="821" t="str">
        <f>+'4M'!BX48</f>
        <v>S3A00012SDTCUM</v>
      </c>
      <c r="D4301" s="1882"/>
      <c r="E4301" s="1628" t="s">
        <v>8339</v>
      </c>
      <c r="F4301" s="1882" t="str">
        <f>+'4M'!C$48</f>
        <v>Capital expenditure purpose - WASTEWATER additional line 12 [Other categories]</v>
      </c>
      <c r="G4301" s="1882" t="str">
        <f>IF('4M'!V48="","##BLANK",'4M'!V48)</f>
        <v>##BLANK</v>
      </c>
    </row>
    <row r="4302" spans="2:7">
      <c r="B4302" s="821" t="str">
        <f>+'4M'!BX49</f>
        <v>S3A00013SDTCUM</v>
      </c>
      <c r="D4302" s="1882"/>
      <c r="E4302" s="1628" t="s">
        <v>8339</v>
      </c>
      <c r="F4302" s="1882" t="str">
        <f>+'4M'!C$49</f>
        <v>Capital expenditure purpose - WASTEWATER additional line 13 [Other categories]</v>
      </c>
      <c r="G4302" s="1882" t="str">
        <f>IF('4M'!V49="","##BLANK",'4M'!V49)</f>
        <v>##BLANK</v>
      </c>
    </row>
    <row r="4303" spans="2:7">
      <c r="B4303" s="821" t="str">
        <f>+'4M'!BX50</f>
        <v>S3A00014SDTCUM</v>
      </c>
      <c r="D4303" s="1882"/>
      <c r="E4303" s="1628" t="s">
        <v>8339</v>
      </c>
      <c r="F4303" s="1882" t="str">
        <f>+'4M'!C$50</f>
        <v>Capital expenditure purpose - WASTEWATER additional line 14 [Other categories]</v>
      </c>
      <c r="G4303" s="1882" t="str">
        <f>IF('4M'!V50="","##BLANK",'4M'!V50)</f>
        <v>##BLANK</v>
      </c>
    </row>
    <row r="4304" spans="2:7">
      <c r="B4304" s="821" t="str">
        <f>+'4M'!BX51</f>
        <v>S3A00015SDTCUM</v>
      </c>
      <c r="D4304" s="1882"/>
      <c r="E4304" s="1628" t="s">
        <v>8339</v>
      </c>
      <c r="F4304" s="1882" t="str">
        <f>+'4M'!C$51</f>
        <v>Capital expenditure purpose - WASTEWATER additional line 15 [Other categories]</v>
      </c>
      <c r="G4304" s="1882" t="str">
        <f>IF('4M'!V51="","##BLANK",'4M'!V51)</f>
        <v>##BLANK</v>
      </c>
    </row>
    <row r="4305" spans="2:7" s="1882" customFormat="1">
      <c r="B4305" s="821" t="str">
        <f>+'4M'!BX52</f>
        <v>S3025ENHSDTCUM</v>
      </c>
      <c r="C4305" s="1293"/>
      <c r="E4305" s="1628" t="s">
        <v>8339</v>
      </c>
      <c r="G4305" s="1882">
        <f>IF('4M'!V52="","##BLANK",'4M'!V52)</f>
        <v>0</v>
      </c>
    </row>
    <row r="4306" spans="2:7" s="1882" customFormat="1">
      <c r="B4306" s="821" t="str">
        <f>+'4M'!BY8</f>
        <v>BC31379SDDCUM</v>
      </c>
      <c r="C4306" s="1293"/>
      <c r="E4306" s="1628" t="s">
        <v>8339</v>
      </c>
      <c r="G4306" s="1882" t="str">
        <f>IF('4M'!W8="","##BLANK",'4M'!W8)</f>
        <v>##BLANK</v>
      </c>
    </row>
    <row r="4307" spans="2:7" s="1882" customFormat="1">
      <c r="B4307" s="821" t="str">
        <f>+'4M'!BY9</f>
        <v>S3035QSDDCUM</v>
      </c>
      <c r="C4307" s="1293"/>
      <c r="E4307" s="1628" t="s">
        <v>8339</v>
      </c>
      <c r="G4307" s="1882" t="str">
        <f>IF('4M'!W9="","##BLANK",'4M'!W9)</f>
        <v>##BLANK</v>
      </c>
    </row>
    <row r="4308" spans="2:7" s="1882" customFormat="1">
      <c r="B4308" s="821" t="str">
        <f>+'4M'!BY10</f>
        <v>S3036GSDDCUM</v>
      </c>
      <c r="C4308" s="1293"/>
      <c r="E4308" s="1628" t="s">
        <v>8339</v>
      </c>
      <c r="G4308" s="1882" t="str">
        <f>IF('4M'!W10="","##BLANK",'4M'!W10)</f>
        <v>##BLANK</v>
      </c>
    </row>
    <row r="4309" spans="2:7" s="1882" customFormat="1">
      <c r="B4309" s="821" t="str">
        <f>+'4M'!BY11</f>
        <v>S3004SDDCUM</v>
      </c>
      <c r="C4309" s="1293"/>
      <c r="E4309" s="1628" t="s">
        <v>8339</v>
      </c>
      <c r="G4309" s="1882" t="str">
        <f>IF('4M'!W11="","##BLANK",'4M'!W11)</f>
        <v>##BLANK</v>
      </c>
    </row>
    <row r="4310" spans="2:7" s="1882" customFormat="1">
      <c r="B4310" s="821" t="str">
        <f>+'4M'!BY12</f>
        <v>WWS2001SDDCUM</v>
      </c>
      <c r="C4310" s="1293"/>
      <c r="E4310" s="1628" t="s">
        <v>8339</v>
      </c>
      <c r="G4310" s="1882" t="str">
        <f>IF('4M'!W12="","##BLANK",'4M'!W12)</f>
        <v>##BLANK</v>
      </c>
    </row>
    <row r="4311" spans="2:7" s="1882" customFormat="1">
      <c r="B4311" s="821" t="str">
        <f>+'4M'!BY13</f>
        <v>S3005SDDCUM</v>
      </c>
      <c r="C4311" s="1293"/>
      <c r="E4311" s="1628" t="s">
        <v>8339</v>
      </c>
      <c r="G4311" s="1882" t="str">
        <f>IF('4M'!W13="","##BLANK",'4M'!W13)</f>
        <v>##BLANK</v>
      </c>
    </row>
    <row r="4312" spans="2:7" s="1882" customFormat="1">
      <c r="B4312" s="821" t="str">
        <f>+'4M'!BY14</f>
        <v>S3006SDDCUM</v>
      </c>
      <c r="C4312" s="1293"/>
      <c r="E4312" s="1628" t="s">
        <v>8339</v>
      </c>
      <c r="G4312" s="1882" t="str">
        <f>IF('4M'!W14="","##BLANK",'4M'!W14)</f>
        <v>##BLANK</v>
      </c>
    </row>
    <row r="4313" spans="2:7" s="1882" customFormat="1">
      <c r="B4313" s="821" t="str">
        <f>+'4M'!BY15</f>
        <v>S3007SDDCUM</v>
      </c>
      <c r="C4313" s="1293"/>
      <c r="E4313" s="1628" t="s">
        <v>8339</v>
      </c>
      <c r="G4313" s="1882" t="str">
        <f>IF('4M'!W15="","##BLANK",'4M'!W15)</f>
        <v>##BLANK</v>
      </c>
    </row>
    <row r="4314" spans="2:7" s="1882" customFormat="1">
      <c r="B4314" s="821" t="str">
        <f>+'4M'!BY16</f>
        <v>WWS2002SDDCUM</v>
      </c>
      <c r="C4314" s="1293"/>
      <c r="E4314" s="1628" t="s">
        <v>8339</v>
      </c>
      <c r="G4314" s="1882" t="str">
        <f>IF('4M'!W16="","##BLANK",'4M'!W16)</f>
        <v>##BLANK</v>
      </c>
    </row>
    <row r="4315" spans="2:7" s="1882" customFormat="1">
      <c r="B4315" s="821" t="str">
        <f>+'4M'!BY17</f>
        <v>WWS2003SDDCUM</v>
      </c>
      <c r="C4315" s="1293"/>
      <c r="E4315" s="1628" t="s">
        <v>8339</v>
      </c>
      <c r="G4315" s="1882" t="str">
        <f>IF('4M'!W17="","##BLANK",'4M'!W17)</f>
        <v>##BLANK</v>
      </c>
    </row>
    <row r="4316" spans="2:7" s="1882" customFormat="1">
      <c r="B4316" s="821" t="str">
        <f>+'4M'!BY18</f>
        <v>S3008SDDCUM</v>
      </c>
      <c r="C4316" s="1293"/>
      <c r="E4316" s="1628" t="s">
        <v>8339</v>
      </c>
      <c r="G4316" s="1882" t="str">
        <f>IF('4M'!W18="","##BLANK",'4M'!W18)</f>
        <v>##BLANK</v>
      </c>
    </row>
    <row r="4317" spans="2:7" s="1882" customFormat="1">
      <c r="B4317" s="821" t="str">
        <f>+'4M'!BY19</f>
        <v>S3009SDDCUM</v>
      </c>
      <c r="C4317" s="1293"/>
      <c r="E4317" s="1628" t="s">
        <v>8339</v>
      </c>
      <c r="G4317" s="1882" t="str">
        <f>IF('4M'!W19="","##BLANK",'4M'!W19)</f>
        <v>##BLANK</v>
      </c>
    </row>
    <row r="4318" spans="2:7" s="1882" customFormat="1">
      <c r="B4318" s="821" t="str">
        <f>+'4M'!BY20</f>
        <v>WWS2007SDDCUM</v>
      </c>
      <c r="C4318" s="1293"/>
      <c r="E4318" s="1628" t="s">
        <v>8339</v>
      </c>
      <c r="G4318" s="1882" t="str">
        <f>IF('4M'!W20="","##BLANK",'4M'!W20)</f>
        <v>##BLANK</v>
      </c>
    </row>
    <row r="4319" spans="2:7" s="1882" customFormat="1">
      <c r="B4319" s="821" t="str">
        <f>+'4M'!BY21</f>
        <v>S3010SDDCUM</v>
      </c>
      <c r="C4319" s="1293"/>
      <c r="E4319" s="1628" t="s">
        <v>8339</v>
      </c>
      <c r="G4319" s="1882" t="str">
        <f>IF('4M'!W21="","##BLANK",'4M'!W21)</f>
        <v>##BLANK</v>
      </c>
    </row>
    <row r="4320" spans="2:7" s="1882" customFormat="1">
      <c r="B4320" s="821" t="str">
        <f>+'4M'!BY22</f>
        <v>S3011SDDCUM</v>
      </c>
      <c r="C4320" s="1293"/>
      <c r="E4320" s="1628" t="s">
        <v>8339</v>
      </c>
      <c r="G4320" s="1882" t="str">
        <f>IF('4M'!W22="","##BLANK",'4M'!W22)</f>
        <v>##BLANK</v>
      </c>
    </row>
    <row r="4321" spans="2:7" s="1882" customFormat="1">
      <c r="B4321" s="821" t="str">
        <f>+'4M'!BY23</f>
        <v>S3012SDDCUM</v>
      </c>
      <c r="C4321" s="1293"/>
      <c r="E4321" s="1628" t="s">
        <v>8339</v>
      </c>
      <c r="G4321" s="1882" t="str">
        <f>IF('4M'!W23="","##BLANK",'4M'!W23)</f>
        <v>##BLANK</v>
      </c>
    </row>
    <row r="4322" spans="2:7" s="1882" customFormat="1">
      <c r="B4322" s="821" t="str">
        <f>+'4M'!BY24</f>
        <v>S3013SDDCUM</v>
      </c>
      <c r="C4322" s="1293"/>
      <c r="E4322" s="1628" t="s">
        <v>8339</v>
      </c>
      <c r="G4322" s="1882" t="str">
        <f>IF('4M'!W24="","##BLANK",'4M'!W24)</f>
        <v>##BLANK</v>
      </c>
    </row>
    <row r="4323" spans="2:7" s="1882" customFormat="1">
      <c r="B4323" s="821" t="str">
        <f>+'4M'!BY25</f>
        <v>S3014SDDCUM</v>
      </c>
      <c r="C4323" s="1293"/>
      <c r="E4323" s="1628" t="s">
        <v>8339</v>
      </c>
      <c r="G4323" s="1882" t="str">
        <f>IF('4M'!W25="","##BLANK",'4M'!W25)</f>
        <v>##BLANK</v>
      </c>
    </row>
    <row r="4324" spans="2:7" s="1882" customFormat="1">
      <c r="B4324" s="821" t="str">
        <f>+'4M'!BY26</f>
        <v>S3015SDDCUM</v>
      </c>
      <c r="C4324" s="1293"/>
      <c r="E4324" s="1628" t="s">
        <v>8339</v>
      </c>
      <c r="G4324" s="1882" t="str">
        <f>IF('4M'!W26="","##BLANK",'4M'!W26)</f>
        <v>##BLANK</v>
      </c>
    </row>
    <row r="4325" spans="2:7" s="1882" customFormat="1">
      <c r="B4325" s="821" t="str">
        <f>+'4M'!BY27</f>
        <v>S3016SDDCUM</v>
      </c>
      <c r="C4325" s="1293"/>
      <c r="E4325" s="1628" t="s">
        <v>8339</v>
      </c>
      <c r="G4325" s="1882" t="str">
        <f>IF('4M'!W27="","##BLANK",'4M'!W27)</f>
        <v>##BLANK</v>
      </c>
    </row>
    <row r="4326" spans="2:7" s="1882" customFormat="1">
      <c r="B4326" s="821" t="str">
        <f>+'4M'!BY28</f>
        <v>S3017SDDCUM</v>
      </c>
      <c r="C4326" s="1293"/>
      <c r="E4326" s="1628" t="s">
        <v>8339</v>
      </c>
      <c r="G4326" s="1882" t="str">
        <f>IF('4M'!W28="","##BLANK",'4M'!W28)</f>
        <v>##BLANK</v>
      </c>
    </row>
    <row r="4327" spans="2:7" s="1882" customFormat="1">
      <c r="B4327" s="821" t="str">
        <f>+'4M'!BY29</f>
        <v>S3018SDDCUM</v>
      </c>
      <c r="C4327" s="1293"/>
      <c r="E4327" s="1628" t="s">
        <v>8339</v>
      </c>
      <c r="G4327" s="1882" t="str">
        <f>IF('4M'!W29="","##BLANK",'4M'!W29)</f>
        <v>##BLANK</v>
      </c>
    </row>
    <row r="4328" spans="2:7" s="1882" customFormat="1">
      <c r="B4328" s="821" t="str">
        <f>+'4M'!BY30</f>
        <v>S3019SDDCUM</v>
      </c>
      <c r="C4328" s="1293"/>
      <c r="E4328" s="1628" t="s">
        <v>8339</v>
      </c>
      <c r="G4328" s="1882" t="str">
        <f>IF('4M'!W30="","##BLANK",'4M'!W30)</f>
        <v>##BLANK</v>
      </c>
    </row>
    <row r="4329" spans="2:7" s="1882" customFormat="1">
      <c r="B4329" s="821" t="str">
        <f>+'4M'!BY31</f>
        <v>S3020SDDCUM</v>
      </c>
      <c r="C4329" s="1293"/>
      <c r="E4329" s="1628" t="s">
        <v>8339</v>
      </c>
      <c r="G4329" s="1882" t="str">
        <f>IF('4M'!W31="","##BLANK",'4M'!W31)</f>
        <v>##BLANK</v>
      </c>
    </row>
    <row r="4330" spans="2:7" s="1882" customFormat="1">
      <c r="B4330" s="821" t="str">
        <f>+'4M'!BY32</f>
        <v>S3021SDDCUM</v>
      </c>
      <c r="C4330" s="1293"/>
      <c r="E4330" s="1628" t="s">
        <v>8339</v>
      </c>
      <c r="G4330" s="1882" t="str">
        <f>IF('4M'!W32="","##BLANK",'4M'!W32)</f>
        <v>##BLANK</v>
      </c>
    </row>
    <row r="4331" spans="2:7" s="1882" customFormat="1">
      <c r="B4331" s="821" t="str">
        <f>+'4M'!BY33</f>
        <v>S3022SDDCUM</v>
      </c>
      <c r="C4331" s="1293"/>
      <c r="E4331" s="1628" t="s">
        <v>8339</v>
      </c>
      <c r="G4331" s="1882" t="str">
        <f>IF('4M'!W33="","##BLANK",'4M'!W33)</f>
        <v>##BLANK</v>
      </c>
    </row>
    <row r="4332" spans="2:7" s="1882" customFormat="1">
      <c r="B4332" s="821" t="str">
        <f>+'4M'!BY34</f>
        <v>BC31785SDDCUM</v>
      </c>
      <c r="C4332" s="1293"/>
      <c r="E4332" s="1628" t="s">
        <v>8339</v>
      </c>
      <c r="G4332" s="1882" t="str">
        <f>IF('4M'!W34="","##BLANK",'4M'!W34)</f>
        <v>##BLANK</v>
      </c>
    </row>
    <row r="4333" spans="2:7" s="1882" customFormat="1">
      <c r="B4333" s="821" t="str">
        <f>+'4M'!BY35</f>
        <v>S3023SDDCUM</v>
      </c>
      <c r="C4333" s="1293"/>
      <c r="E4333" s="1628" t="s">
        <v>8339</v>
      </c>
      <c r="G4333" s="1882" t="str">
        <f>IF('4M'!W35="","##BLANK",'4M'!W35)</f>
        <v>##BLANK</v>
      </c>
    </row>
    <row r="4334" spans="2:7" s="1882" customFormat="1">
      <c r="B4334" s="821" t="str">
        <f>+'4M'!BY36</f>
        <v>S3024SDDCUM</v>
      </c>
      <c r="C4334" s="1293"/>
      <c r="E4334" s="1628" t="s">
        <v>8339</v>
      </c>
      <c r="G4334" s="1882" t="str">
        <f>IF('4M'!W36="","##BLANK",'4M'!W36)</f>
        <v>##BLANK</v>
      </c>
    </row>
    <row r="4335" spans="2:7" s="1882" customFormat="1">
      <c r="B4335" s="821" t="str">
        <f>+'4M'!BY37</f>
        <v>S3A00001SDDCUM</v>
      </c>
      <c r="C4335" s="1293"/>
      <c r="E4335" s="1628" t="s">
        <v>8339</v>
      </c>
      <c r="F4335" s="1882" t="str">
        <f>+'4M'!C$37</f>
        <v>Capital expenditure purpose - WASTEWATER additional line 1 [Other categories]</v>
      </c>
      <c r="G4335" s="1882" t="str">
        <f>IF('4M'!W37="","##BLANK",'4M'!W37)</f>
        <v>##BLANK</v>
      </c>
    </row>
    <row r="4336" spans="2:7" s="1882" customFormat="1">
      <c r="B4336" s="821" t="str">
        <f>+'4M'!BY38</f>
        <v>S3A00002SDDCUM</v>
      </c>
      <c r="C4336" s="1293"/>
      <c r="E4336" s="1628" t="s">
        <v>8339</v>
      </c>
      <c r="F4336" s="1882" t="str">
        <f>+'4M'!C$38</f>
        <v>Capital expenditure purpose - WASTEWATER additional line 2 [Other categories]</v>
      </c>
      <c r="G4336" s="1882" t="str">
        <f>IF('4M'!W38="","##BLANK",'4M'!W38)</f>
        <v>##BLANK</v>
      </c>
    </row>
    <row r="4337" spans="2:7" s="1882" customFormat="1">
      <c r="B4337" s="821" t="str">
        <f>+'4M'!BY39</f>
        <v>S3A00003SDDCUM</v>
      </c>
      <c r="C4337" s="1293"/>
      <c r="E4337" s="1628" t="s">
        <v>8339</v>
      </c>
      <c r="F4337" s="1882" t="str">
        <f>+'4M'!C$39</f>
        <v>Capital expenditure purpose - WASTEWATER additional line 3 [Other categories]</v>
      </c>
      <c r="G4337" s="1882" t="str">
        <f>IF('4M'!W39="","##BLANK",'4M'!W39)</f>
        <v>##BLANK</v>
      </c>
    </row>
    <row r="4338" spans="2:7" s="1882" customFormat="1">
      <c r="B4338" s="821" t="str">
        <f>+'4M'!BY40</f>
        <v>S3A00004SDDCUM</v>
      </c>
      <c r="C4338" s="1293"/>
      <c r="E4338" s="1628" t="s">
        <v>8339</v>
      </c>
      <c r="F4338" s="1882" t="str">
        <f>+'4M'!C$40</f>
        <v>Capital expenditure purpose - WASTEWATER additional line 4 [Other categories]</v>
      </c>
      <c r="G4338" s="1882" t="str">
        <f>IF('4M'!W40="","##BLANK",'4M'!W40)</f>
        <v>##BLANK</v>
      </c>
    </row>
    <row r="4339" spans="2:7" s="1882" customFormat="1">
      <c r="B4339" s="821" t="str">
        <f>+'4M'!BY41</f>
        <v>S3A00005SDDCUM</v>
      </c>
      <c r="C4339" s="1293"/>
      <c r="E4339" s="1628" t="s">
        <v>8339</v>
      </c>
      <c r="F4339" s="1882" t="str">
        <f>+'4M'!C$41</f>
        <v>Capital expenditure purpose - WASTEWATER additional line 5 [Other categories]</v>
      </c>
      <c r="G4339" s="1882" t="str">
        <f>IF('4M'!W41="","##BLANK",'4M'!W41)</f>
        <v>##BLANK</v>
      </c>
    </row>
    <row r="4340" spans="2:7" s="1882" customFormat="1">
      <c r="B4340" s="821" t="str">
        <f>+'4M'!BY42</f>
        <v>S3A00006SDDCUM</v>
      </c>
      <c r="C4340" s="1293"/>
      <c r="E4340" s="1628" t="s">
        <v>8339</v>
      </c>
      <c r="F4340" s="1882" t="str">
        <f>+'4M'!C$42</f>
        <v>Capital expenditure purpose - WASTEWATER additional line 6 [Other categories]</v>
      </c>
      <c r="G4340" s="1882" t="str">
        <f>IF('4M'!W42="","##BLANK",'4M'!W42)</f>
        <v>##BLANK</v>
      </c>
    </row>
    <row r="4341" spans="2:7" s="1882" customFormat="1">
      <c r="B4341" s="821" t="str">
        <f>+'4M'!BY43</f>
        <v>S3A00007SDDCUM</v>
      </c>
      <c r="C4341" s="1293"/>
      <c r="E4341" s="1628" t="s">
        <v>8339</v>
      </c>
      <c r="F4341" s="1882" t="str">
        <f>+'4M'!C$43</f>
        <v>Capital expenditure purpose - WASTEWATER additional line 7 [Other categories]</v>
      </c>
      <c r="G4341" s="1882" t="str">
        <f>IF('4M'!W43="","##BLANK",'4M'!W43)</f>
        <v>##BLANK</v>
      </c>
    </row>
    <row r="4342" spans="2:7" s="1882" customFormat="1">
      <c r="B4342" s="821" t="str">
        <f>+'4M'!BY44</f>
        <v>S3A00008SDDCUM</v>
      </c>
      <c r="C4342" s="1293"/>
      <c r="E4342" s="1628" t="s">
        <v>8339</v>
      </c>
      <c r="F4342" s="1882" t="str">
        <f>+'4M'!C$44</f>
        <v>Capital expenditure purpose - WASTEWATER additional line 8 [Other categories]</v>
      </c>
      <c r="G4342" s="1882" t="str">
        <f>IF('4M'!W44="","##BLANK",'4M'!W44)</f>
        <v>##BLANK</v>
      </c>
    </row>
    <row r="4343" spans="2:7" s="1882" customFormat="1">
      <c r="B4343" s="821" t="str">
        <f>+'4M'!BY45</f>
        <v>S3A00009SDDCUM</v>
      </c>
      <c r="C4343" s="1293"/>
      <c r="E4343" s="1628" t="s">
        <v>8339</v>
      </c>
      <c r="F4343" s="1882" t="str">
        <f>+'4M'!C$45</f>
        <v>Capital expenditure purpose - WASTEWATER additional line 9 [Other categories]</v>
      </c>
      <c r="G4343" s="1882" t="str">
        <f>IF('4M'!W45="","##BLANK",'4M'!W45)</f>
        <v>##BLANK</v>
      </c>
    </row>
    <row r="4344" spans="2:7" s="1882" customFormat="1">
      <c r="B4344" s="821" t="str">
        <f>+'4M'!BY46</f>
        <v>S3A00010SDDCUM</v>
      </c>
      <c r="C4344" s="1293"/>
      <c r="E4344" s="1628" t="s">
        <v>8339</v>
      </c>
      <c r="F4344" s="1882" t="str">
        <f>+'4M'!C$46</f>
        <v>Capital expenditure purpose - WASTEWATER additional line 10 [Other categories]</v>
      </c>
      <c r="G4344" s="1882" t="str">
        <f>IF('4M'!W46="","##BLANK",'4M'!W46)</f>
        <v>##BLANK</v>
      </c>
    </row>
    <row r="4345" spans="2:7" s="1882" customFormat="1">
      <c r="B4345" s="821" t="str">
        <f>+'4M'!BY47</f>
        <v>S3A00011SDDCUM</v>
      </c>
      <c r="C4345" s="1293"/>
      <c r="E4345" s="1628" t="s">
        <v>8339</v>
      </c>
      <c r="F4345" s="1882" t="str">
        <f>+'4M'!C$47</f>
        <v>Capital expenditure purpose - WASTEWATER additional line 11 [Other categories]</v>
      </c>
      <c r="G4345" s="1882" t="str">
        <f>IF('4M'!W47="","##BLANK",'4M'!W47)</f>
        <v>##BLANK</v>
      </c>
    </row>
    <row r="4346" spans="2:7" s="1882" customFormat="1">
      <c r="B4346" s="821" t="str">
        <f>+'4M'!BY48</f>
        <v>S3A00012SDDCUM</v>
      </c>
      <c r="C4346" s="1293"/>
      <c r="E4346" s="1628" t="s">
        <v>8339</v>
      </c>
      <c r="F4346" s="1882" t="str">
        <f>+'4M'!C$48</f>
        <v>Capital expenditure purpose - WASTEWATER additional line 12 [Other categories]</v>
      </c>
      <c r="G4346" s="1882" t="str">
        <f>IF('4M'!W48="","##BLANK",'4M'!W48)</f>
        <v>##BLANK</v>
      </c>
    </row>
    <row r="4347" spans="2:7" s="1882" customFormat="1">
      <c r="B4347" s="821" t="str">
        <f>+'4M'!BY49</f>
        <v>S3A00013SDDCUM</v>
      </c>
      <c r="C4347" s="1293"/>
      <c r="E4347" s="1628" t="s">
        <v>8339</v>
      </c>
      <c r="F4347" s="1882" t="str">
        <f>+'4M'!C$49</f>
        <v>Capital expenditure purpose - WASTEWATER additional line 13 [Other categories]</v>
      </c>
      <c r="G4347" s="1882" t="str">
        <f>IF('4M'!W49="","##BLANK",'4M'!W49)</f>
        <v>##BLANK</v>
      </c>
    </row>
    <row r="4348" spans="2:7" s="1882" customFormat="1">
      <c r="B4348" s="821" t="str">
        <f>+'4M'!BY50</f>
        <v>S3A00014SDDCUM</v>
      </c>
      <c r="C4348" s="1293"/>
      <c r="E4348" s="1628" t="s">
        <v>8339</v>
      </c>
      <c r="F4348" s="1882" t="str">
        <f>+'4M'!C$50</f>
        <v>Capital expenditure purpose - WASTEWATER additional line 14 [Other categories]</v>
      </c>
      <c r="G4348" s="1882" t="str">
        <f>IF('4M'!W50="","##BLANK",'4M'!W50)</f>
        <v>##BLANK</v>
      </c>
    </row>
    <row r="4349" spans="2:7" s="1882" customFormat="1">
      <c r="B4349" s="821" t="str">
        <f>+'4M'!BY51</f>
        <v>S3A00015SDDCUM</v>
      </c>
      <c r="C4349" s="1293"/>
      <c r="E4349" s="1628" t="s">
        <v>8339</v>
      </c>
      <c r="F4349" s="1882" t="str">
        <f>+'4M'!C$51</f>
        <v>Capital expenditure purpose - WASTEWATER additional line 15 [Other categories]</v>
      </c>
      <c r="G4349" s="1882" t="str">
        <f>IF('4M'!W51="","##BLANK",'4M'!W51)</f>
        <v>##BLANK</v>
      </c>
    </row>
    <row r="4350" spans="2:7" s="1882" customFormat="1">
      <c r="B4350" s="821" t="str">
        <f>+'4M'!BY52</f>
        <v>S3025ENHSDDCUM</v>
      </c>
      <c r="C4350" s="1293"/>
      <c r="E4350" s="1628" t="s">
        <v>8339</v>
      </c>
      <c r="G4350" s="1882">
        <f>IF('4M'!W52="","##BLANK",'4M'!W52)</f>
        <v>0</v>
      </c>
    </row>
    <row r="4351" spans="2:7">
      <c r="B4351" s="821" t="str">
        <f>+'4M'!BZ8</f>
        <v>BC31379CASCUM</v>
      </c>
      <c r="D4351" s="1882"/>
      <c r="E4351" s="1628" t="s">
        <v>8339</v>
      </c>
      <c r="F4351" s="1882"/>
      <c r="G4351" s="1882">
        <f>IF('4M'!X8="","##BLANK",'4M'!X8)</f>
        <v>0</v>
      </c>
    </row>
    <row r="4352" spans="2:7">
      <c r="B4352" s="821" t="str">
        <f>+'4M'!BZ9</f>
        <v>S3035QCASCUM</v>
      </c>
      <c r="D4352" s="1882"/>
      <c r="E4352" s="1628" t="s">
        <v>8339</v>
      </c>
      <c r="F4352" s="1882"/>
      <c r="G4352" s="1882">
        <f>IF('4M'!X9="","##BLANK",'4M'!X9)</f>
        <v>0</v>
      </c>
    </row>
    <row r="4353" spans="2:7">
      <c r="B4353" s="821" t="str">
        <f>+'4M'!BZ10</f>
        <v>S3036GCASCUM</v>
      </c>
      <c r="D4353" s="1882"/>
      <c r="E4353" s="1628" t="s">
        <v>8339</v>
      </c>
      <c r="F4353" s="1882"/>
      <c r="G4353" s="1882">
        <f>IF('4M'!X10="","##BLANK",'4M'!X10)</f>
        <v>0</v>
      </c>
    </row>
    <row r="4354" spans="2:7">
      <c r="B4354" s="821" t="str">
        <f>+'4M'!BZ11</f>
        <v>S3004CASCUM</v>
      </c>
      <c r="D4354" s="1882"/>
      <c r="E4354" s="1628" t="s">
        <v>8339</v>
      </c>
      <c r="F4354" s="1882"/>
      <c r="G4354" s="1882">
        <f>IF('4M'!X11="","##BLANK",'4M'!X11)</f>
        <v>0</v>
      </c>
    </row>
    <row r="4355" spans="2:7">
      <c r="B4355" s="821" t="str">
        <f>+'4M'!BZ12</f>
        <v>WWS2001CASCUM</v>
      </c>
      <c r="D4355" s="1882"/>
      <c r="E4355" s="1628" t="s">
        <v>8339</v>
      </c>
      <c r="F4355" s="1882"/>
      <c r="G4355" s="1882">
        <f>IF('4M'!X12="","##BLANK",'4M'!X12)</f>
        <v>0</v>
      </c>
    </row>
    <row r="4356" spans="2:7">
      <c r="B4356" s="821" t="str">
        <f>+'4M'!BZ13</f>
        <v>S3005CASCUM</v>
      </c>
      <c r="D4356" s="1882"/>
      <c r="E4356" s="1628" t="s">
        <v>8339</v>
      </c>
      <c r="F4356" s="1882"/>
      <c r="G4356" s="1882">
        <f>IF('4M'!X13="","##BLANK",'4M'!X13)</f>
        <v>0</v>
      </c>
    </row>
    <row r="4357" spans="2:7">
      <c r="B4357" s="821" t="str">
        <f>+'4M'!BZ14</f>
        <v>S3006CASCUM</v>
      </c>
      <c r="D4357" s="1882"/>
      <c r="E4357" s="1628" t="s">
        <v>8339</v>
      </c>
      <c r="F4357" s="1882"/>
      <c r="G4357" s="1882">
        <f>IF('4M'!X14="","##BLANK",'4M'!X14)</f>
        <v>0</v>
      </c>
    </row>
    <row r="4358" spans="2:7">
      <c r="B4358" s="821" t="str">
        <f>+'4M'!BZ15</f>
        <v>S3007CASCUM</v>
      </c>
      <c r="D4358" s="1882"/>
      <c r="E4358" s="1628" t="s">
        <v>8339</v>
      </c>
      <c r="F4358" s="1882"/>
      <c r="G4358" s="1882">
        <f>IF('4M'!X15="","##BLANK",'4M'!X15)</f>
        <v>0</v>
      </c>
    </row>
    <row r="4359" spans="2:7">
      <c r="B4359" s="821" t="str">
        <f>+'4M'!BZ16</f>
        <v>WWS2002CASCUM</v>
      </c>
      <c r="D4359" s="1882"/>
      <c r="E4359" s="1628" t="s">
        <v>8339</v>
      </c>
      <c r="F4359" s="1882"/>
      <c r="G4359" s="1882">
        <f>IF('4M'!X16="","##BLANK",'4M'!X16)</f>
        <v>0</v>
      </c>
    </row>
    <row r="4360" spans="2:7">
      <c r="B4360" s="821" t="str">
        <f>+'4M'!BZ17</f>
        <v>WWS2003CASCUM</v>
      </c>
      <c r="D4360" s="1882"/>
      <c r="E4360" s="1628" t="s">
        <v>8339</v>
      </c>
      <c r="F4360" s="1882"/>
      <c r="G4360" s="1882">
        <f>IF('4M'!X17="","##BLANK",'4M'!X17)</f>
        <v>0</v>
      </c>
    </row>
    <row r="4361" spans="2:7">
      <c r="B4361" s="821" t="str">
        <f>+'4M'!BZ18</f>
        <v>S3008CASCUM</v>
      </c>
      <c r="D4361" s="1882"/>
      <c r="E4361" s="1628" t="s">
        <v>8339</v>
      </c>
      <c r="F4361" s="1882"/>
      <c r="G4361" s="1882">
        <f>IF('4M'!X18="","##BLANK",'4M'!X18)</f>
        <v>0</v>
      </c>
    </row>
    <row r="4362" spans="2:7">
      <c r="B4362" s="821" t="str">
        <f>+'4M'!BZ19</f>
        <v>S3009CASCUM</v>
      </c>
      <c r="D4362" s="1882"/>
      <c r="E4362" s="1628" t="s">
        <v>8339</v>
      </c>
      <c r="F4362" s="1882"/>
      <c r="G4362" s="1882">
        <f>IF('4M'!X19="","##BLANK",'4M'!X19)</f>
        <v>0</v>
      </c>
    </row>
    <row r="4363" spans="2:7">
      <c r="B4363" s="821" t="str">
        <f>+'4M'!BZ20</f>
        <v>WWS2007CASCUM</v>
      </c>
      <c r="D4363" s="1882"/>
      <c r="E4363" s="1628" t="s">
        <v>8339</v>
      </c>
      <c r="F4363" s="1882"/>
      <c r="G4363" s="1882">
        <f>IF('4M'!X20="","##BLANK",'4M'!X20)</f>
        <v>0</v>
      </c>
    </row>
    <row r="4364" spans="2:7">
      <c r="B4364" s="821" t="str">
        <f>+'4M'!BZ21</f>
        <v>S3010CASCUM</v>
      </c>
      <c r="D4364" s="1882"/>
      <c r="E4364" s="1628" t="s">
        <v>8339</v>
      </c>
      <c r="F4364" s="1882"/>
      <c r="G4364" s="1882">
        <f>IF('4M'!X21="","##BLANK",'4M'!X21)</f>
        <v>0</v>
      </c>
    </row>
    <row r="4365" spans="2:7">
      <c r="B4365" s="821" t="str">
        <f>+'4M'!BZ22</f>
        <v>S3011CASCUM</v>
      </c>
      <c r="D4365" s="1882"/>
      <c r="E4365" s="1628" t="s">
        <v>8339</v>
      </c>
      <c r="F4365" s="1882"/>
      <c r="G4365" s="1882">
        <f>IF('4M'!X22="","##BLANK",'4M'!X22)</f>
        <v>0</v>
      </c>
    </row>
    <row r="4366" spans="2:7">
      <c r="B4366" s="821" t="str">
        <f>+'4M'!BZ23</f>
        <v>S3012CASCUM</v>
      </c>
      <c r="D4366" s="1882"/>
      <c r="E4366" s="1628" t="s">
        <v>8339</v>
      </c>
      <c r="F4366" s="1882"/>
      <c r="G4366" s="1882">
        <f>IF('4M'!X23="","##BLANK",'4M'!X23)</f>
        <v>0</v>
      </c>
    </row>
    <row r="4367" spans="2:7">
      <c r="B4367" s="821" t="str">
        <f>+'4M'!BZ24</f>
        <v>S3013CASCUM</v>
      </c>
      <c r="D4367" s="1882"/>
      <c r="E4367" s="1628" t="s">
        <v>8339</v>
      </c>
      <c r="F4367" s="1882"/>
      <c r="G4367" s="1882">
        <f>IF('4M'!X24="","##BLANK",'4M'!X24)</f>
        <v>0</v>
      </c>
    </row>
    <row r="4368" spans="2:7">
      <c r="B4368" s="821" t="str">
        <f>+'4M'!BZ25</f>
        <v>S3014CASCUM</v>
      </c>
      <c r="D4368" s="1882"/>
      <c r="E4368" s="1628" t="s">
        <v>8339</v>
      </c>
      <c r="F4368" s="1882"/>
      <c r="G4368" s="1882">
        <f>IF('4M'!X25="","##BLANK",'4M'!X25)</f>
        <v>0</v>
      </c>
    </row>
    <row r="4369" spans="2:7">
      <c r="B4369" s="821" t="str">
        <f>+'4M'!BZ26</f>
        <v>S3015CASCUM</v>
      </c>
      <c r="D4369" s="1882"/>
      <c r="E4369" s="1628" t="s">
        <v>8339</v>
      </c>
      <c r="F4369" s="1882"/>
      <c r="G4369" s="1882">
        <f>IF('4M'!X26="","##BLANK",'4M'!X26)</f>
        <v>0</v>
      </c>
    </row>
    <row r="4370" spans="2:7">
      <c r="B4370" s="821" t="str">
        <f>+'4M'!BZ27</f>
        <v>S3016CASCUM</v>
      </c>
      <c r="D4370" s="1882"/>
      <c r="E4370" s="1628" t="s">
        <v>8339</v>
      </c>
      <c r="F4370" s="1882"/>
      <c r="G4370" s="1882">
        <f>IF('4M'!X27="","##BLANK",'4M'!X27)</f>
        <v>0</v>
      </c>
    </row>
    <row r="4371" spans="2:7">
      <c r="B4371" s="821" t="str">
        <f>+'4M'!BZ28</f>
        <v>S3017CASCUM</v>
      </c>
      <c r="D4371" s="1882"/>
      <c r="E4371" s="1628" t="s">
        <v>8339</v>
      </c>
      <c r="F4371" s="1882"/>
      <c r="G4371" s="1882">
        <f>IF('4M'!X28="","##BLANK",'4M'!X28)</f>
        <v>0</v>
      </c>
    </row>
    <row r="4372" spans="2:7">
      <c r="B4372" s="821" t="str">
        <f>+'4M'!BZ29</f>
        <v>S3018CASCUM</v>
      </c>
      <c r="D4372" s="1882"/>
      <c r="E4372" s="1628" t="s">
        <v>8339</v>
      </c>
      <c r="F4372" s="1882"/>
      <c r="G4372" s="1882">
        <f>IF('4M'!X29="","##BLANK",'4M'!X29)</f>
        <v>0</v>
      </c>
    </row>
    <row r="4373" spans="2:7">
      <c r="B4373" s="821" t="str">
        <f>+'4M'!BZ30</f>
        <v>S3019CASCUM</v>
      </c>
      <c r="D4373" s="1882"/>
      <c r="E4373" s="1628" t="s">
        <v>8339</v>
      </c>
      <c r="F4373" s="1882"/>
      <c r="G4373" s="1882">
        <f>IF('4M'!X30="","##BLANK",'4M'!X30)</f>
        <v>0</v>
      </c>
    </row>
    <row r="4374" spans="2:7">
      <c r="B4374" s="821" t="str">
        <f>+'4M'!BZ31</f>
        <v>S3020CASCUM</v>
      </c>
      <c r="D4374" s="1882"/>
      <c r="E4374" s="1628" t="s">
        <v>8339</v>
      </c>
      <c r="F4374" s="1882"/>
      <c r="G4374" s="1882">
        <f>IF('4M'!X31="","##BLANK",'4M'!X31)</f>
        <v>0</v>
      </c>
    </row>
    <row r="4375" spans="2:7">
      <c r="B4375" s="821" t="str">
        <f>+'4M'!BZ32</f>
        <v>S3021CASCUM</v>
      </c>
      <c r="D4375" s="1882"/>
      <c r="E4375" s="1628" t="s">
        <v>8339</v>
      </c>
      <c r="F4375" s="1882"/>
      <c r="G4375" s="1882">
        <f>IF('4M'!X32="","##BLANK",'4M'!X32)</f>
        <v>0</v>
      </c>
    </row>
    <row r="4376" spans="2:7">
      <c r="B4376" s="821" t="str">
        <f>+'4M'!BZ33</f>
        <v>S3022CASCUM</v>
      </c>
      <c r="D4376" s="1882"/>
      <c r="E4376" s="1628" t="s">
        <v>8339</v>
      </c>
      <c r="F4376" s="1882"/>
      <c r="G4376" s="1882">
        <f>IF('4M'!X33="","##BLANK",'4M'!X33)</f>
        <v>0</v>
      </c>
    </row>
    <row r="4377" spans="2:7">
      <c r="B4377" s="821" t="str">
        <f>+'4M'!BZ34</f>
        <v>BC31785CASCUM</v>
      </c>
      <c r="D4377" s="1882"/>
      <c r="E4377" s="1628" t="s">
        <v>8339</v>
      </c>
      <c r="F4377" s="1882"/>
      <c r="G4377" s="1882">
        <f>IF('4M'!X34="","##BLANK",'4M'!X34)</f>
        <v>0</v>
      </c>
    </row>
    <row r="4378" spans="2:7">
      <c r="B4378" s="821" t="str">
        <f>+'4M'!BZ35</f>
        <v>S3023CASCUM</v>
      </c>
      <c r="D4378" s="1882"/>
      <c r="E4378" s="1628" t="s">
        <v>8339</v>
      </c>
      <c r="F4378" s="1882"/>
      <c r="G4378" s="1882">
        <f>IF('4M'!X35="","##BLANK",'4M'!X35)</f>
        <v>0</v>
      </c>
    </row>
    <row r="4379" spans="2:7">
      <c r="B4379" s="821" t="str">
        <f>+'4M'!BZ36</f>
        <v>S3024CASCUM</v>
      </c>
      <c r="D4379" s="1882"/>
      <c r="E4379" s="1628" t="s">
        <v>8339</v>
      </c>
      <c r="F4379" s="1882"/>
      <c r="G4379" s="1882">
        <f>IF('4M'!X36="","##BLANK",'4M'!X36)</f>
        <v>0</v>
      </c>
    </row>
    <row r="4380" spans="2:7">
      <c r="B4380" s="821" t="str">
        <f>+'4M'!BZ37</f>
        <v>S3A00001CASCUM</v>
      </c>
      <c r="D4380" s="1882"/>
      <c r="E4380" s="1628" t="s">
        <v>8339</v>
      </c>
      <c r="F4380" s="1882" t="str">
        <f>+'4M'!C$37</f>
        <v>Capital expenditure purpose - WASTEWATER additional line 1 [Other categories]</v>
      </c>
      <c r="G4380" s="1882">
        <f>IF('4M'!X37="","##BLANK",'4M'!X37)</f>
        <v>0</v>
      </c>
    </row>
    <row r="4381" spans="2:7">
      <c r="B4381" s="821" t="str">
        <f>+'4M'!BZ38</f>
        <v>S3A00002CASCUM</v>
      </c>
      <c r="D4381" s="1882"/>
      <c r="E4381" s="1628" t="s">
        <v>8339</v>
      </c>
      <c r="F4381" s="1882" t="str">
        <f>+'4M'!C$38</f>
        <v>Capital expenditure purpose - WASTEWATER additional line 2 [Other categories]</v>
      </c>
      <c r="G4381" s="1882">
        <f>IF('4M'!X38="","##BLANK",'4M'!X38)</f>
        <v>0</v>
      </c>
    </row>
    <row r="4382" spans="2:7">
      <c r="B4382" s="821" t="str">
        <f>+'4M'!BZ39</f>
        <v>S3A00003CASCUM</v>
      </c>
      <c r="D4382" s="1882"/>
      <c r="E4382" s="1628" t="s">
        <v>8339</v>
      </c>
      <c r="F4382" s="1882" t="str">
        <f>+'4M'!C$39</f>
        <v>Capital expenditure purpose - WASTEWATER additional line 3 [Other categories]</v>
      </c>
      <c r="G4382" s="1882">
        <f>IF('4M'!X39="","##BLANK",'4M'!X39)</f>
        <v>0</v>
      </c>
    </row>
    <row r="4383" spans="2:7">
      <c r="B4383" s="821" t="str">
        <f>+'4M'!BZ40</f>
        <v>S3A00004CASCUM</v>
      </c>
      <c r="D4383" s="1882"/>
      <c r="E4383" s="1628" t="s">
        <v>8339</v>
      </c>
      <c r="F4383" s="1882" t="str">
        <f>+'4M'!C$40</f>
        <v>Capital expenditure purpose - WASTEWATER additional line 4 [Other categories]</v>
      </c>
      <c r="G4383" s="1882">
        <f>IF('4M'!X40="","##BLANK",'4M'!X40)</f>
        <v>0</v>
      </c>
    </row>
    <row r="4384" spans="2:7">
      <c r="B4384" s="821" t="str">
        <f>+'4M'!BZ41</f>
        <v>S3A00005CASCUM</v>
      </c>
      <c r="D4384" s="1882"/>
      <c r="E4384" s="1628" t="s">
        <v>8339</v>
      </c>
      <c r="F4384" s="1882" t="str">
        <f>+'4M'!C$41</f>
        <v>Capital expenditure purpose - WASTEWATER additional line 5 [Other categories]</v>
      </c>
      <c r="G4384" s="1882">
        <f>IF('4M'!X41="","##BLANK",'4M'!X41)</f>
        <v>0</v>
      </c>
    </row>
    <row r="4385" spans="2:7">
      <c r="B4385" s="821" t="str">
        <f>+'4M'!BZ42</f>
        <v>S3A00006CASCUM</v>
      </c>
      <c r="D4385" s="1882"/>
      <c r="E4385" s="1628" t="s">
        <v>8339</v>
      </c>
      <c r="F4385" s="1882" t="str">
        <f>+'4M'!C$42</f>
        <v>Capital expenditure purpose - WASTEWATER additional line 6 [Other categories]</v>
      </c>
      <c r="G4385" s="1882">
        <f>IF('4M'!X42="","##BLANK",'4M'!X42)</f>
        <v>0</v>
      </c>
    </row>
    <row r="4386" spans="2:7">
      <c r="B4386" s="821" t="str">
        <f>+'4M'!BZ43</f>
        <v>S3A00007CASCUM</v>
      </c>
      <c r="D4386" s="1882"/>
      <c r="E4386" s="1628" t="s">
        <v>8339</v>
      </c>
      <c r="F4386" s="1882" t="str">
        <f>+'4M'!C$43</f>
        <v>Capital expenditure purpose - WASTEWATER additional line 7 [Other categories]</v>
      </c>
      <c r="G4386" s="1882">
        <f>IF('4M'!X43="","##BLANK",'4M'!X43)</f>
        <v>0</v>
      </c>
    </row>
    <row r="4387" spans="2:7">
      <c r="B4387" s="821" t="str">
        <f>+'4M'!BZ44</f>
        <v>S3A00008CASCUM</v>
      </c>
      <c r="D4387" s="1882"/>
      <c r="E4387" s="1628" t="s">
        <v>8339</v>
      </c>
      <c r="F4387" s="1882" t="str">
        <f>+'4M'!C$44</f>
        <v>Capital expenditure purpose - WASTEWATER additional line 8 [Other categories]</v>
      </c>
      <c r="G4387" s="1882">
        <f>IF('4M'!X44="","##BLANK",'4M'!X44)</f>
        <v>0</v>
      </c>
    </row>
    <row r="4388" spans="2:7">
      <c r="B4388" s="821" t="str">
        <f>+'4M'!BZ45</f>
        <v>S3A00009CASCUM</v>
      </c>
      <c r="D4388" s="1882"/>
      <c r="E4388" s="1628" t="s">
        <v>8339</v>
      </c>
      <c r="F4388" s="1882" t="str">
        <f>+'4M'!C$45</f>
        <v>Capital expenditure purpose - WASTEWATER additional line 9 [Other categories]</v>
      </c>
      <c r="G4388" s="1882">
        <f>IF('4M'!X45="","##BLANK",'4M'!X45)</f>
        <v>0</v>
      </c>
    </row>
    <row r="4389" spans="2:7">
      <c r="B4389" s="821" t="str">
        <f>+'4M'!BZ46</f>
        <v>S3A00010CASCUM</v>
      </c>
      <c r="D4389" s="1882"/>
      <c r="E4389" s="1628" t="s">
        <v>8339</v>
      </c>
      <c r="F4389" s="1882" t="str">
        <f>+'4M'!C$46</f>
        <v>Capital expenditure purpose - WASTEWATER additional line 10 [Other categories]</v>
      </c>
      <c r="G4389" s="1882">
        <f>IF('4M'!X46="","##BLANK",'4M'!X46)</f>
        <v>0</v>
      </c>
    </row>
    <row r="4390" spans="2:7">
      <c r="B4390" s="821" t="str">
        <f>+'4M'!BZ47</f>
        <v>S3A00011CASCUM</v>
      </c>
      <c r="D4390" s="1882"/>
      <c r="E4390" s="1628" t="s">
        <v>8339</v>
      </c>
      <c r="F4390" s="1882" t="str">
        <f>+'4M'!C$47</f>
        <v>Capital expenditure purpose - WASTEWATER additional line 11 [Other categories]</v>
      </c>
      <c r="G4390" s="1882">
        <f>IF('4M'!X47="","##BLANK",'4M'!X47)</f>
        <v>0</v>
      </c>
    </row>
    <row r="4391" spans="2:7">
      <c r="B4391" s="821" t="str">
        <f>+'4M'!BZ48</f>
        <v>S3A00012CASCUM</v>
      </c>
      <c r="D4391" s="1882"/>
      <c r="E4391" s="1628" t="s">
        <v>8339</v>
      </c>
      <c r="F4391" s="1882" t="str">
        <f>+'4M'!C$48</f>
        <v>Capital expenditure purpose - WASTEWATER additional line 12 [Other categories]</v>
      </c>
      <c r="G4391" s="1882">
        <f>IF('4M'!X48="","##BLANK",'4M'!X48)</f>
        <v>0</v>
      </c>
    </row>
    <row r="4392" spans="2:7">
      <c r="B4392" s="821" t="str">
        <f>+'4M'!BZ49</f>
        <v>S3A00013CASCUM</v>
      </c>
      <c r="D4392" s="1882"/>
      <c r="E4392" s="1628" t="s">
        <v>8339</v>
      </c>
      <c r="F4392" s="1882" t="str">
        <f>+'4M'!C$49</f>
        <v>Capital expenditure purpose - WASTEWATER additional line 13 [Other categories]</v>
      </c>
      <c r="G4392" s="1882">
        <f>IF('4M'!X49="","##BLANK",'4M'!X49)</f>
        <v>0</v>
      </c>
    </row>
    <row r="4393" spans="2:7">
      <c r="B4393" s="821" t="str">
        <f>+'4M'!BZ50</f>
        <v>S3A00014CASCUM</v>
      </c>
      <c r="D4393" s="1882"/>
      <c r="E4393" s="1628" t="s">
        <v>8339</v>
      </c>
      <c r="F4393" s="1882" t="str">
        <f>+'4M'!C$50</f>
        <v>Capital expenditure purpose - WASTEWATER additional line 14 [Other categories]</v>
      </c>
      <c r="G4393" s="1882">
        <f>IF('4M'!X50="","##BLANK",'4M'!X50)</f>
        <v>0</v>
      </c>
    </row>
    <row r="4394" spans="2:7">
      <c r="B4394" s="821" t="str">
        <f>+'4M'!BZ51</f>
        <v>S3A00015CASCUM</v>
      </c>
      <c r="D4394" s="1882"/>
      <c r="E4394" s="1628" t="s">
        <v>8339</v>
      </c>
      <c r="F4394" s="1882" t="str">
        <f>+'4M'!C$51</f>
        <v>Capital expenditure purpose - WASTEWATER additional line 15 [Other categories]</v>
      </c>
      <c r="G4394" s="1882">
        <f>IF('4M'!X51="","##BLANK",'4M'!X51)</f>
        <v>0</v>
      </c>
    </row>
    <row r="4395" spans="2:7">
      <c r="B4395" s="821" t="str">
        <f>+'4M'!BZ52</f>
        <v>S3025ENHCASCUM</v>
      </c>
      <c r="D4395" s="1882"/>
      <c r="E4395" s="1628" t="s">
        <v>8339</v>
      </c>
      <c r="F4395" s="1882"/>
      <c r="G4395" s="1882">
        <f>IF('4M'!X52="","##BLANK",'4M'!X52)</f>
        <v>0</v>
      </c>
    </row>
    <row r="4396" spans="2:7">
      <c r="B4396" s="821" t="str">
        <f>+'4N'!U6</f>
        <v>STWF011</v>
      </c>
      <c r="D4396" s="1882"/>
      <c r="E4396" s="1628" t="s">
        <v>8339</v>
      </c>
      <c r="F4396" s="1882"/>
      <c r="G4396" s="1882" t="str">
        <f>IF('4N'!G6="","##BLANK",'4N'!G6)</f>
        <v>##BLANK</v>
      </c>
    </row>
    <row r="4397" spans="2:7">
      <c r="B4397" s="821" t="str">
        <f>+'4N'!U7</f>
        <v>STWF025</v>
      </c>
      <c r="D4397" s="1882"/>
      <c r="E4397" s="1628" t="s">
        <v>8339</v>
      </c>
      <c r="F4397" s="1882"/>
      <c r="G4397" s="1882" t="str">
        <f>IF('4N'!G7="","##BLANK",'4N'!G7)</f>
        <v>##BLANK</v>
      </c>
    </row>
    <row r="4398" spans="2:7">
      <c r="B4398" s="821" t="str">
        <f>+'4N'!U8</f>
        <v>STWF039</v>
      </c>
      <c r="D4398" s="1882"/>
      <c r="E4398" s="1628" t="s">
        <v>8339</v>
      </c>
      <c r="F4398" s="1882"/>
      <c r="G4398" s="1882" t="str">
        <f>IF('4N'!G8="","##BLANK",'4N'!G8)</f>
        <v>##BLANK</v>
      </c>
    </row>
    <row r="4399" spans="2:7">
      <c r="B4399" s="821" t="str">
        <f>+'4N'!U9</f>
        <v>STWF053</v>
      </c>
      <c r="D4399" s="1882"/>
      <c r="E4399" s="1628" t="s">
        <v>8339</v>
      </c>
      <c r="F4399" s="1882"/>
      <c r="G4399" s="1882" t="str">
        <f>IF('4N'!G9="","##BLANK",'4N'!G9)</f>
        <v>##BLANK</v>
      </c>
    </row>
    <row r="4400" spans="2:7">
      <c r="B4400" s="821" t="str">
        <f>+'4N'!U10</f>
        <v>STWF067</v>
      </c>
      <c r="D4400" s="1882"/>
      <c r="E4400" s="1628" t="s">
        <v>8339</v>
      </c>
      <c r="F4400" s="1882"/>
      <c r="G4400" s="1882" t="str">
        <f>IF('4N'!G10="","##BLANK",'4N'!G10)</f>
        <v>##BLANK</v>
      </c>
    </row>
    <row r="4401" spans="2:7">
      <c r="B4401" s="821" t="str">
        <f>+'4N'!U11</f>
        <v>S3026</v>
      </c>
      <c r="D4401" s="1882"/>
      <c r="E4401" s="1628" t="s">
        <v>8339</v>
      </c>
      <c r="F4401" s="1882"/>
      <c r="G4401" s="1882" t="str">
        <f>IF('4N'!G11="","##BLANK",'4N'!G11)</f>
        <v>##BLANK</v>
      </c>
    </row>
    <row r="4402" spans="2:7">
      <c r="B4402" s="821" t="str">
        <f>+'4N'!U12</f>
        <v>STWF012</v>
      </c>
      <c r="D4402" s="1882"/>
      <c r="E4402" s="1628" t="s">
        <v>8339</v>
      </c>
      <c r="F4402" s="1882"/>
      <c r="G4402" s="1882">
        <f>IF('4N'!G12="","##BLANK",'4N'!G12)</f>
        <v>0</v>
      </c>
    </row>
    <row r="4403" spans="2:7">
      <c r="B4403" s="821" t="str">
        <f>+'4N'!U15</f>
        <v>STWB040TOT</v>
      </c>
      <c r="D4403" s="1882"/>
      <c r="E4403" s="1628" t="s">
        <v>8339</v>
      </c>
      <c r="F4403" s="1882"/>
      <c r="G4403" s="1882">
        <f>IF('4N'!G15="","##BLANK",'4N'!G15)</f>
        <v>0</v>
      </c>
    </row>
    <row r="4404" spans="2:7">
      <c r="B4404" s="821" t="str">
        <f>+'4N'!U16</f>
        <v>STWB038TOT</v>
      </c>
      <c r="D4404" s="1882"/>
      <c r="E4404" s="1628" t="s">
        <v>8339</v>
      </c>
      <c r="F4404" s="1882"/>
      <c r="G4404" s="1882">
        <f>IF('4N'!G16="","##BLANK",'4N'!G16)</f>
        <v>0</v>
      </c>
    </row>
    <row r="4405" spans="2:7">
      <c r="B4405" s="821" t="str">
        <f>+'4N'!U17</f>
        <v>STWB041TOT</v>
      </c>
      <c r="D4405" s="1882"/>
      <c r="E4405" s="1628" t="s">
        <v>8339</v>
      </c>
      <c r="F4405" s="1882"/>
      <c r="G4405" s="1882">
        <f>IF('4N'!G17="","##BLANK",'4N'!G17)</f>
        <v>0</v>
      </c>
    </row>
    <row r="4406" spans="2:7">
      <c r="B4406" s="821" t="str">
        <f>+'4N'!U18</f>
        <v>STWB033TOT</v>
      </c>
      <c r="D4406" s="1882"/>
      <c r="E4406" s="1628" t="s">
        <v>8339</v>
      </c>
      <c r="F4406" s="1882"/>
      <c r="G4406" s="1882">
        <f>IF('4N'!G18="","##BLANK",'4N'!G18)</f>
        <v>0</v>
      </c>
    </row>
    <row r="4407" spans="2:7">
      <c r="B4407" s="821" t="str">
        <f>+'4N'!U19</f>
        <v>STWB036TOT</v>
      </c>
      <c r="D4407" s="1882"/>
      <c r="E4407" s="1628" t="s">
        <v>8339</v>
      </c>
      <c r="F4407" s="1882"/>
      <c r="G4407" s="1882">
        <f>IF('4N'!G19="","##BLANK",'4N'!G19)</f>
        <v>0</v>
      </c>
    </row>
    <row r="4408" spans="2:7">
      <c r="B4408" s="821" t="str">
        <f>+'4N'!U20</f>
        <v>STWB042TOT</v>
      </c>
      <c r="D4408" s="1882"/>
      <c r="E4408" s="1628" t="s">
        <v>8339</v>
      </c>
      <c r="F4408" s="1882"/>
      <c r="G4408" s="1882">
        <f>IF('4N'!G20="","##BLANK",'4N'!G20)</f>
        <v>0</v>
      </c>
    </row>
    <row r="4409" spans="2:7">
      <c r="B4409" s="821" t="str">
        <f>+'4N'!U21</f>
        <v>STWB043TOT</v>
      </c>
      <c r="D4409" s="1882"/>
      <c r="E4409" s="1628" t="s">
        <v>8339</v>
      </c>
      <c r="F4409" s="1882"/>
      <c r="G4409" s="1882">
        <f>IF('4N'!G21="","##BLANK",'4N'!G21)</f>
        <v>0</v>
      </c>
    </row>
    <row r="4410" spans="2:7">
      <c r="B4410" s="821" t="str">
        <f>+'4P'!D6</f>
        <v>BN4833</v>
      </c>
      <c r="D4410" s="1882"/>
      <c r="E4410" s="1628" t="s">
        <v>8339</v>
      </c>
      <c r="F4410" s="1882"/>
      <c r="G4410" s="1882">
        <f>IF('4P'!G6="","##BLANK",'4P'!G6)</f>
        <v>0.21199999999999999</v>
      </c>
    </row>
    <row r="4411" spans="2:7">
      <c r="B4411" s="821" t="str">
        <f>+'4P'!D7</f>
        <v>BN4834</v>
      </c>
      <c r="D4411" s="1882"/>
      <c r="E4411" s="1628" t="s">
        <v>8339</v>
      </c>
      <c r="F4411" s="1882"/>
      <c r="G4411" s="1882">
        <f>IF('4P'!G7="","##BLANK",'4P'!G7)</f>
        <v>0.628</v>
      </c>
    </row>
    <row r="4412" spans="2:7">
      <c r="B4412" s="821" t="str">
        <f>+'4P'!D8</f>
        <v>BN4838</v>
      </c>
      <c r="D4412" s="1882"/>
      <c r="E4412" s="1628" t="s">
        <v>8339</v>
      </c>
      <c r="F4412" s="1882"/>
      <c r="G4412" s="1882">
        <f>IF('4P'!G8="","##BLANK",'4P'!G8)</f>
        <v>0</v>
      </c>
    </row>
    <row r="4413" spans="2:7">
      <c r="B4413" s="821" t="str">
        <f>+'4P'!D9</f>
        <v>BN4848</v>
      </c>
      <c r="D4413" s="1882"/>
      <c r="E4413" s="1628" t="s">
        <v>8339</v>
      </c>
      <c r="F4413" s="1882"/>
      <c r="G4413" s="1882">
        <f>IF('4P'!G9="","##BLANK",'4P'!G9)</f>
        <v>0.16</v>
      </c>
    </row>
    <row r="4414" spans="2:7">
      <c r="B4414" s="821" t="str">
        <f>+'4P'!D10</f>
        <v>BN4846</v>
      </c>
      <c r="D4414" s="1882"/>
      <c r="E4414" s="1628" t="s">
        <v>8339</v>
      </c>
      <c r="F4414" s="1882"/>
      <c r="G4414" s="1882">
        <f>IF('4P'!G10="","##BLANK",'4P'!G10)</f>
        <v>0</v>
      </c>
    </row>
    <row r="4415" spans="2:7">
      <c r="B4415" s="821" t="str">
        <f>+'4P'!D11</f>
        <v>BN4847</v>
      </c>
      <c r="D4415" s="1882"/>
      <c r="E4415" s="1628" t="s">
        <v>8339</v>
      </c>
      <c r="F4415" s="1882"/>
      <c r="G4415" s="1882">
        <f>IF('4P'!G11="","##BLANK",'4P'!G11)</f>
        <v>0</v>
      </c>
    </row>
    <row r="4416" spans="2:7">
      <c r="B4416" s="821" t="str">
        <f>+'4P'!D12</f>
        <v>BN4854</v>
      </c>
      <c r="D4416" s="1882"/>
      <c r="E4416" s="1628" t="s">
        <v>8339</v>
      </c>
      <c r="F4416" s="1882"/>
      <c r="G4416" s="1882">
        <f>IF('4P'!G12="","##BLANK",'4P'!G12)</f>
        <v>0</v>
      </c>
    </row>
    <row r="4417" spans="2:7">
      <c r="B4417" s="821" t="str">
        <f>+'4P'!D13</f>
        <v>BN4855</v>
      </c>
      <c r="D4417" s="1882"/>
      <c r="E4417" s="1628" t="s">
        <v>8339</v>
      </c>
      <c r="F4417" s="1882"/>
      <c r="G4417" s="1882">
        <f>IF('4P'!G13="","##BLANK",'4P'!G13)</f>
        <v>0</v>
      </c>
    </row>
    <row r="4418" spans="2:7">
      <c r="B4418" s="821" t="str">
        <f>+'4P'!D14</f>
        <v>BN4830</v>
      </c>
      <c r="D4418" s="1882"/>
      <c r="E4418" s="1628" t="s">
        <v>8339</v>
      </c>
      <c r="F4418" s="1882"/>
      <c r="G4418" s="1882">
        <f>IF('4P'!G14="","##BLANK",'4P'!G14)</f>
        <v>3</v>
      </c>
    </row>
    <row r="4419" spans="2:7">
      <c r="B4419" s="821" t="str">
        <f>+'4P'!D15</f>
        <v>BN4849</v>
      </c>
      <c r="D4419" s="1882"/>
      <c r="E4419" s="1628" t="s">
        <v>8339</v>
      </c>
      <c r="F4419" s="1882"/>
      <c r="G4419" s="1882">
        <f>IF('4P'!G15="","##BLANK",'4P'!G15)</f>
        <v>8</v>
      </c>
    </row>
    <row r="4420" spans="2:7">
      <c r="B4420" s="821" t="str">
        <f>+'4P'!D16</f>
        <v>BN4835</v>
      </c>
      <c r="D4420" s="1882"/>
      <c r="E4420" s="1628" t="s">
        <v>8339</v>
      </c>
      <c r="F4420" s="1882"/>
      <c r="G4420" s="1882">
        <f>IF('4P'!G16="","##BLANK",'4P'!G16)</f>
        <v>0</v>
      </c>
    </row>
    <row r="4421" spans="2:7">
      <c r="B4421" s="821" t="str">
        <f>+'4P'!D17</f>
        <v>BN4851</v>
      </c>
      <c r="D4421" s="1882"/>
      <c r="E4421" s="1628" t="s">
        <v>8339</v>
      </c>
      <c r="F4421" s="1882"/>
      <c r="G4421" s="1882">
        <f>IF('4P'!G17="","##BLANK",'4P'!G17)</f>
        <v>14</v>
      </c>
    </row>
    <row r="4422" spans="2:7">
      <c r="B4422" s="821" t="str">
        <f>+'4P'!D18</f>
        <v>BN4852</v>
      </c>
      <c r="D4422" s="1882"/>
      <c r="E4422" s="1628" t="s">
        <v>8339</v>
      </c>
      <c r="F4422" s="1882"/>
      <c r="G4422" s="1882">
        <f>IF('4P'!G18="","##BLANK",'4P'!G18)</f>
        <v>0</v>
      </c>
    </row>
    <row r="4423" spans="2:7">
      <c r="B4423" s="821" t="str">
        <f>+'4P'!D19</f>
        <v>BN4853</v>
      </c>
      <c r="D4423" s="1882"/>
      <c r="E4423" s="1628" t="s">
        <v>8339</v>
      </c>
      <c r="F4423" s="1882"/>
      <c r="G4423" s="1882">
        <f>IF('4P'!G19="","##BLANK",'4P'!G19)</f>
        <v>0</v>
      </c>
    </row>
    <row r="4424" spans="2:7">
      <c r="B4424" s="821" t="str">
        <f>+'4P'!D20</f>
        <v>BN4856</v>
      </c>
      <c r="D4424" s="1882"/>
      <c r="E4424" s="1628" t="s">
        <v>8339</v>
      </c>
      <c r="F4424" s="1882"/>
      <c r="G4424" s="1882">
        <f>IF('4P'!G20="","##BLANK",'4P'!G20)</f>
        <v>0</v>
      </c>
    </row>
    <row r="4425" spans="2:7">
      <c r="B4425" s="821" t="str">
        <f>+'4P'!D21</f>
        <v>BN4843</v>
      </c>
      <c r="D4425" s="1882"/>
      <c r="E4425" s="1628" t="s">
        <v>8339</v>
      </c>
      <c r="F4425" s="1882"/>
      <c r="G4425" s="1882">
        <f>IF('4P'!G21="","##BLANK",'4P'!G21)</f>
        <v>25</v>
      </c>
    </row>
    <row r="4426" spans="2:7">
      <c r="B4426" s="821" t="str">
        <f>+'4P'!D22</f>
        <v>BN4857</v>
      </c>
      <c r="D4426" s="1882"/>
      <c r="E4426" s="1628" t="s">
        <v>8339</v>
      </c>
      <c r="F4426" s="1882"/>
      <c r="G4426" s="1882">
        <f>IF('4P'!G22="","##BLANK",'4P'!G22)</f>
        <v>0</v>
      </c>
    </row>
    <row r="4427" spans="2:7">
      <c r="B4427" s="821" t="str">
        <f>+'4P'!D23</f>
        <v>BN10190</v>
      </c>
      <c r="D4427" s="1882"/>
      <c r="E4427" s="1628" t="s">
        <v>8339</v>
      </c>
      <c r="F4427" s="1882"/>
      <c r="G4427" s="1882">
        <f>IF('4P'!G23="","##BLANK",'4P'!G23)</f>
        <v>11</v>
      </c>
    </row>
    <row r="4428" spans="2:7">
      <c r="B4428" s="821" t="str">
        <f>+'4P'!D24</f>
        <v>BN10191</v>
      </c>
      <c r="D4428" s="1882"/>
      <c r="E4428" s="1628" t="s">
        <v>8339</v>
      </c>
      <c r="F4428" s="1882"/>
      <c r="G4428" s="1882">
        <f>IF('4P'!G24="","##BLANK",'4P'!G24)</f>
        <v>38604</v>
      </c>
    </row>
    <row r="4429" spans="2:7">
      <c r="B4429" s="821" t="str">
        <f>+'4P'!D25</f>
        <v>W5003</v>
      </c>
      <c r="D4429" s="1882"/>
      <c r="E4429" s="1628" t="s">
        <v>8339</v>
      </c>
      <c r="F4429" s="1882"/>
      <c r="G4429" s="1882">
        <f>IF('4P'!G25="","##BLANK",'4P'!G25)</f>
        <v>15</v>
      </c>
    </row>
    <row r="4430" spans="2:7">
      <c r="B4430" s="821" t="str">
        <f>+'4P'!D26</f>
        <v>WR001</v>
      </c>
      <c r="D4430" s="1882"/>
      <c r="E4430" s="1628" t="s">
        <v>8339</v>
      </c>
      <c r="F4430" s="1882"/>
      <c r="G4430" s="1882">
        <f>IF('4P'!G26="","##BLANK",'4P'!G26)</f>
        <v>8</v>
      </c>
    </row>
    <row r="4431" spans="2:7">
      <c r="B4431" s="821" t="str">
        <f>+'4P'!D27</f>
        <v>W5003CAP</v>
      </c>
      <c r="D4431" s="1882"/>
      <c r="E4431" s="1628" t="s">
        <v>8339</v>
      </c>
      <c r="F4431" s="1882"/>
      <c r="G4431" s="1882">
        <f>IF('4P'!G27="","##BLANK",'4P'!G27)</f>
        <v>6794</v>
      </c>
    </row>
    <row r="4432" spans="2:7">
      <c r="B4432" s="821" t="str">
        <f>+'4P'!D28</f>
        <v>WR002</v>
      </c>
      <c r="D4432" s="1882"/>
      <c r="E4432" s="1628" t="s">
        <v>8339</v>
      </c>
      <c r="F4432" s="1882"/>
      <c r="G4432" s="1882">
        <f>IF('4P'!G28="","##BLANK",'4P'!G28)</f>
        <v>3584</v>
      </c>
    </row>
    <row r="4433" spans="2:7">
      <c r="B4433" s="821" t="str">
        <f>+'4P'!D29</f>
        <v>BN10290</v>
      </c>
      <c r="D4433" s="1882"/>
      <c r="E4433" s="1628" t="s">
        <v>8339</v>
      </c>
      <c r="F4433" s="1882"/>
      <c r="G4433" s="1882">
        <f>IF('4P'!G29="","##BLANK",'4P'!G29)</f>
        <v>42.75</v>
      </c>
    </row>
    <row r="4434" spans="2:7">
      <c r="B4434" s="821" t="str">
        <f>+'4P'!D30</f>
        <v>BN4861</v>
      </c>
      <c r="D4434" s="1882"/>
      <c r="E4434" s="1628" t="s">
        <v>8339</v>
      </c>
      <c r="F4434" s="1882"/>
      <c r="G4434" s="1882">
        <f>IF('4P'!G30="","##BLANK",'4P'!G30)</f>
        <v>22.22</v>
      </c>
    </row>
    <row r="4435" spans="2:7">
      <c r="B4435" s="821" t="str">
        <f>+'4P'!D31</f>
        <v>BN4862</v>
      </c>
      <c r="D4435" s="1882"/>
      <c r="E4435" s="1628" t="s">
        <v>8339</v>
      </c>
      <c r="F4435" s="1882"/>
      <c r="G4435" s="1882">
        <f>IF('4P'!G31="","##BLANK",'4P'!G31)</f>
        <v>45.43</v>
      </c>
    </row>
    <row r="4436" spans="2:7">
      <c r="B4436" s="821" t="str">
        <f>+'4P'!D32</f>
        <v>BN4858</v>
      </c>
      <c r="D4436" s="1882"/>
      <c r="E4436" s="1628" t="s">
        <v>8339</v>
      </c>
      <c r="F4436" s="1882"/>
      <c r="G4436" s="1882">
        <f>IF('4P'!G32="","##BLANK",'4P'!G32)</f>
        <v>105.36</v>
      </c>
    </row>
    <row r="4437" spans="2:7">
      <c r="B4437" s="821" t="str">
        <f>+'4P'!D33</f>
        <v>BN4859</v>
      </c>
      <c r="D4437" s="1882"/>
      <c r="E4437" s="1628" t="s">
        <v>8339</v>
      </c>
      <c r="F4437" s="1882"/>
      <c r="G4437" s="1882">
        <f>IF('4P'!G33="","##BLANK",'4P'!G33)</f>
        <v>337.95</v>
      </c>
    </row>
    <row r="4438" spans="2:7">
      <c r="B4438" s="821" t="str">
        <f>+'4P'!D36</f>
        <v>CPMW0098</v>
      </c>
      <c r="D4438" s="1882"/>
      <c r="E4438" s="1628" t="s">
        <v>8339</v>
      </c>
      <c r="F4438" s="1882"/>
      <c r="G4438" s="1882">
        <f>IF('4P'!G36="","##BLANK",'4P'!G36)</f>
        <v>0</v>
      </c>
    </row>
    <row r="4439" spans="2:7">
      <c r="B4439" s="821" t="str">
        <f>+'4P'!D37</f>
        <v>CPMW0104</v>
      </c>
      <c r="D4439" s="1882"/>
      <c r="E4439" s="1628" t="s">
        <v>8339</v>
      </c>
      <c r="F4439" s="1882"/>
      <c r="G4439" s="1882">
        <f>IF('4P'!G37="","##BLANK",'4P'!G37)</f>
        <v>0</v>
      </c>
    </row>
    <row r="4440" spans="2:7">
      <c r="B4440" s="821" t="str">
        <f>+'4P'!D38</f>
        <v>CPMW0110</v>
      </c>
      <c r="D4440" s="1882"/>
      <c r="E4440" s="1628" t="s">
        <v>8339</v>
      </c>
      <c r="F4440" s="1882"/>
      <c r="G4440" s="1882">
        <f>IF('4P'!G38="","##BLANK",'4P'!G38)</f>
        <v>0</v>
      </c>
    </row>
    <row r="4441" spans="2:7">
      <c r="B4441" s="821" t="str">
        <f>+'4P'!D39</f>
        <v>CPMW0116</v>
      </c>
      <c r="D4441" s="1882"/>
      <c r="E4441" s="1628" t="s">
        <v>8339</v>
      </c>
      <c r="F4441" s="1882"/>
      <c r="G4441" s="1882">
        <f>IF('4P'!G39="","##BLANK",'4P'!G39)</f>
        <v>0</v>
      </c>
    </row>
    <row r="4442" spans="2:7">
      <c r="B4442" s="821" t="str">
        <f>+'4P'!D40</f>
        <v>CPMW0165</v>
      </c>
      <c r="D4442" s="1882"/>
      <c r="E4442" s="1628" t="s">
        <v>8339</v>
      </c>
      <c r="F4442" s="1882"/>
      <c r="G4442" s="1882">
        <f>IF('4P'!G40="","##BLANK",'4P'!G40)</f>
        <v>20.45</v>
      </c>
    </row>
    <row r="4443" spans="2:7">
      <c r="B4443" s="821" t="str">
        <f>+'4P'!D41</f>
        <v>CPMW0166</v>
      </c>
      <c r="D4443" s="1882"/>
      <c r="E4443" s="1628" t="s">
        <v>8339</v>
      </c>
      <c r="F4443" s="1882"/>
      <c r="G4443" s="1882">
        <f>IF('4P'!G41="","##BLANK",'4P'!G41)</f>
        <v>221.13</v>
      </c>
    </row>
    <row r="4444" spans="2:7">
      <c r="B4444" s="821" t="str">
        <f>+'4P'!D42</f>
        <v>CPMW0167</v>
      </c>
      <c r="D4444" s="1882"/>
      <c r="E4444" s="1628" t="s">
        <v>8339</v>
      </c>
      <c r="F4444" s="1882"/>
      <c r="G4444" s="1882">
        <f>IF('4P'!G42="","##BLANK",'4P'!G42)</f>
        <v>0</v>
      </c>
    </row>
    <row r="4445" spans="2:7">
      <c r="B4445" s="821" t="str">
        <f>+'4P'!D43</f>
        <v>CPMW0027</v>
      </c>
      <c r="D4445" s="1882"/>
      <c r="E4445" s="1628" t="s">
        <v>8339</v>
      </c>
      <c r="F4445" s="1882"/>
      <c r="G4445" s="1882">
        <f>IF('4P'!G43="","##BLANK",'4P'!G43)</f>
        <v>0.83</v>
      </c>
    </row>
    <row r="4446" spans="2:7">
      <c r="B4446" s="821" t="str">
        <f>+'4P'!D44</f>
        <v>CPMW0033</v>
      </c>
      <c r="D4446" s="1882"/>
      <c r="E4446" s="1628" t="s">
        <v>8339</v>
      </c>
      <c r="F4446" s="1882"/>
      <c r="G4446" s="1882">
        <f>IF('4P'!G44="","##BLANK",'4P'!G44)</f>
        <v>0</v>
      </c>
    </row>
    <row r="4447" spans="2:7">
      <c r="B4447" s="821" t="str">
        <f>+'4P'!D45</f>
        <v>CPMW0039</v>
      </c>
      <c r="D4447" s="1882"/>
      <c r="E4447" s="1628" t="s">
        <v>8339</v>
      </c>
      <c r="F4447" s="1882"/>
      <c r="G4447" s="1882">
        <f>IF('4P'!G45="","##BLANK",'4P'!G45)</f>
        <v>0</v>
      </c>
    </row>
    <row r="4448" spans="2:7">
      <c r="B4448" s="821" t="str">
        <f>+'4P'!D46</f>
        <v>CPMW0045</v>
      </c>
      <c r="D4448" s="1882"/>
      <c r="E4448" s="1628" t="s">
        <v>8339</v>
      </c>
      <c r="F4448" s="1882"/>
      <c r="G4448" s="1882">
        <f>IF('4P'!G46="","##BLANK",'4P'!G46)</f>
        <v>0</v>
      </c>
    </row>
    <row r="4449" spans="2:7">
      <c r="B4449" s="821" t="str">
        <f>+'4P'!D47</f>
        <v>CPMW0185</v>
      </c>
      <c r="D4449" s="1882"/>
      <c r="E4449" s="1628" t="s">
        <v>8339</v>
      </c>
      <c r="F4449" s="1882"/>
      <c r="G4449" s="1882">
        <f>IF('4P'!G47="","##BLANK",'4P'!G47)</f>
        <v>33.130000000000003</v>
      </c>
    </row>
    <row r="4450" spans="2:7">
      <c r="B4450" s="821" t="str">
        <f>+'4P'!D48</f>
        <v>CPMW0197</v>
      </c>
      <c r="D4450" s="1882"/>
      <c r="E4450" s="1628" t="s">
        <v>8339</v>
      </c>
      <c r="F4450" s="1882"/>
      <c r="G4450" s="1882">
        <f>IF('4P'!G48="","##BLANK",'4P'!G48)</f>
        <v>0</v>
      </c>
    </row>
    <row r="4451" spans="2:7">
      <c r="B4451" s="821" t="str">
        <f>+'4P'!D49</f>
        <v>CPMW0198</v>
      </c>
      <c r="D4451" s="1882"/>
      <c r="E4451" s="1628" t="s">
        <v>8339</v>
      </c>
      <c r="F4451" s="1882"/>
      <c r="G4451" s="1882">
        <f>IF('4P'!G49="","##BLANK",'4P'!G49)</f>
        <v>0</v>
      </c>
    </row>
    <row r="4452" spans="2:7">
      <c r="B4452" s="821" t="str">
        <f>+'4P'!D50</f>
        <v>CPMW001A</v>
      </c>
      <c r="D4452" s="1882"/>
      <c r="E4452" s="1628" t="s">
        <v>8339</v>
      </c>
      <c r="F4452" s="1882"/>
      <c r="G4452" s="1882">
        <f>IF('4P'!G50="","##BLANK",'4P'!G50)</f>
        <v>0</v>
      </c>
    </row>
    <row r="4453" spans="2:7">
      <c r="B4453" s="821" t="str">
        <f>+'4P'!D51</f>
        <v>CPMW0015</v>
      </c>
      <c r="D4453" s="1882"/>
      <c r="E4453" s="1628" t="s">
        <v>8339</v>
      </c>
      <c r="F4453" s="1882"/>
      <c r="G4453" s="1882">
        <f>IF('4P'!G51="","##BLANK",'4P'!G51)</f>
        <v>0</v>
      </c>
    </row>
    <row r="4454" spans="2:7">
      <c r="B4454" s="821" t="str">
        <f>+'4P'!D52</f>
        <v>BN10491</v>
      </c>
      <c r="D4454" s="1882"/>
      <c r="E4454" s="1628" t="s">
        <v>8339</v>
      </c>
      <c r="F4454" s="1882"/>
      <c r="G4454" s="1882">
        <f>IF('4P'!G52="","##BLANK",'4P'!G52)</f>
        <v>0</v>
      </c>
    </row>
    <row r="4455" spans="2:7">
      <c r="B4455" s="821" t="str">
        <f>+'4P'!D53</f>
        <v>BN10490</v>
      </c>
      <c r="D4455" s="1882"/>
      <c r="E4455" s="1628" t="s">
        <v>8339</v>
      </c>
      <c r="F4455" s="1882"/>
      <c r="G4455" s="1882">
        <f>IF('4P'!G53="","##BLANK",'4P'!G53)</f>
        <v>0</v>
      </c>
    </row>
    <row r="4456" spans="2:7">
      <c r="B4456" s="821" t="str">
        <f>+'4P'!D54</f>
        <v>BN10590</v>
      </c>
      <c r="D4456" s="1882"/>
      <c r="E4456" s="1628" t="s">
        <v>8339</v>
      </c>
      <c r="F4456" s="1882"/>
      <c r="G4456" s="1882">
        <f>IF('4P'!G54="","##BLANK",'4P'!G54)</f>
        <v>0</v>
      </c>
    </row>
    <row r="4457" spans="2:7">
      <c r="B4457" s="821" t="str">
        <f>+'4P'!D55</f>
        <v>BN10597</v>
      </c>
      <c r="D4457" s="1882"/>
      <c r="E4457" s="1628" t="s">
        <v>8339</v>
      </c>
      <c r="F4457" s="1882"/>
      <c r="G4457" s="1882">
        <f>IF('4P'!G55="","##BLANK",'4P'!G55)</f>
        <v>1</v>
      </c>
    </row>
    <row r="4458" spans="2:7">
      <c r="B4458" s="821" t="str">
        <f>+'4P'!D56</f>
        <v>BN10598</v>
      </c>
      <c r="D4458" s="1882"/>
      <c r="E4458" s="1628" t="s">
        <v>8339</v>
      </c>
      <c r="F4458" s="1882"/>
      <c r="G4458" s="1882">
        <f>IF('4P'!G56="","##BLANK",'4P'!G56)</f>
        <v>5</v>
      </c>
    </row>
    <row r="4459" spans="2:7">
      <c r="B4459" s="821" t="str">
        <f>+'4P'!D57</f>
        <v>BN10599</v>
      </c>
      <c r="D4459" s="1882"/>
      <c r="E4459" s="1628" t="s">
        <v>8339</v>
      </c>
      <c r="F4459" s="1882"/>
      <c r="G4459" s="1882">
        <f>IF('4P'!G57="","##BLANK",'4P'!G57)</f>
        <v>0</v>
      </c>
    </row>
    <row r="4460" spans="2:7">
      <c r="B4460" s="821" t="str">
        <f>+'4P'!D58</f>
        <v>CPMW0021</v>
      </c>
      <c r="D4460" s="1882"/>
      <c r="E4460" s="1628" t="s">
        <v>8339</v>
      </c>
      <c r="F4460" s="1882"/>
      <c r="G4460" s="1882">
        <f>IF('4P'!G58="","##BLANK",'4P'!G58)</f>
        <v>2</v>
      </c>
    </row>
    <row r="4461" spans="2:7">
      <c r="B4461" s="821" t="str">
        <f>+'4P'!D59</f>
        <v>BN10791</v>
      </c>
      <c r="D4461" s="1882"/>
      <c r="E4461" s="1628" t="s">
        <v>8339</v>
      </c>
      <c r="F4461" s="1882"/>
      <c r="G4461" s="1882">
        <f>IF('4P'!G59="","##BLANK",'4P'!G59)</f>
        <v>0</v>
      </c>
    </row>
    <row r="4462" spans="2:7">
      <c r="B4462" s="821" t="str">
        <f>+'4P'!D60</f>
        <v>BN10790</v>
      </c>
      <c r="D4462" s="1882"/>
      <c r="E4462" s="1628" t="s">
        <v>8339</v>
      </c>
      <c r="F4462" s="1882"/>
      <c r="G4462" s="1882">
        <f>IF('4P'!G60="","##BLANK",'4P'!G60)</f>
        <v>0</v>
      </c>
    </row>
    <row r="4463" spans="2:7">
      <c r="B4463" s="821" t="str">
        <f>+'4P'!D61</f>
        <v>BN10890</v>
      </c>
      <c r="D4463" s="1882"/>
      <c r="E4463" s="1628" t="s">
        <v>8339</v>
      </c>
      <c r="F4463" s="1882"/>
      <c r="G4463" s="1882">
        <f>IF('4P'!G61="","##BLANK",'4P'!G61)</f>
        <v>0</v>
      </c>
    </row>
    <row r="4464" spans="2:7">
      <c r="B4464" s="821" t="str">
        <f>+'4P'!D62</f>
        <v>BN10897</v>
      </c>
      <c r="D4464" s="1882"/>
      <c r="E4464" s="1628" t="s">
        <v>8339</v>
      </c>
      <c r="F4464" s="1882"/>
      <c r="G4464" s="1882">
        <f>IF('4P'!G62="","##BLANK",'4P'!G62)</f>
        <v>8</v>
      </c>
    </row>
    <row r="4465" spans="2:7">
      <c r="B4465" s="821" t="str">
        <f>+'4P'!D63</f>
        <v>BN10898</v>
      </c>
      <c r="D4465" s="1882"/>
      <c r="E4465" s="1628" t="s">
        <v>8339</v>
      </c>
      <c r="F4465" s="1882"/>
      <c r="G4465" s="1882">
        <f>IF('4P'!G63="","##BLANK",'4P'!G63)</f>
        <v>0</v>
      </c>
    </row>
    <row r="4466" spans="2:7">
      <c r="B4466" s="821" t="str">
        <f>+'4P'!D64</f>
        <v>BN10899</v>
      </c>
      <c r="D4466" s="1882"/>
      <c r="E4466" s="1628" t="s">
        <v>8339</v>
      </c>
      <c r="F4466" s="1882"/>
      <c r="G4466" s="1882">
        <f>IF('4P'!G64="","##BLANK",'4P'!G64)</f>
        <v>0</v>
      </c>
    </row>
    <row r="4467" spans="2:7">
      <c r="B4467" s="821" t="str">
        <f>+'4P'!D65</f>
        <v>W4005</v>
      </c>
      <c r="D4467" s="1882"/>
      <c r="E4467" s="1628" t="s">
        <v>8339</v>
      </c>
      <c r="F4467" s="1882"/>
      <c r="G4467" s="1882">
        <f>IF('4P'!G65="","##BLANK",'4P'!G65)</f>
        <v>0</v>
      </c>
    </row>
    <row r="4468" spans="2:7">
      <c r="B4468" s="821" t="str">
        <f>+'4P'!D66</f>
        <v>BN10901</v>
      </c>
      <c r="D4468" s="1882"/>
      <c r="E4468" s="1628" t="s">
        <v>8339</v>
      </c>
      <c r="F4468" s="1882"/>
      <c r="G4468" s="1882">
        <f>IF('4P'!G66="","##BLANK",'4P'!G66)</f>
        <v>1219.002</v>
      </c>
    </row>
    <row r="4469" spans="2:7">
      <c r="B4469" s="821" t="str">
        <f>+'4P'!D67</f>
        <v>BN10902</v>
      </c>
      <c r="D4469" s="1882"/>
      <c r="E4469" s="1628" t="s">
        <v>8339</v>
      </c>
      <c r="F4469" s="1882"/>
      <c r="G4469" s="1882">
        <f>IF('4P'!G67="","##BLANK",'4P'!G67)</f>
        <v>9.69</v>
      </c>
    </row>
    <row r="4470" spans="2:7">
      <c r="B4470" s="821" t="str">
        <f>+'4P'!D70</f>
        <v>BN1100</v>
      </c>
      <c r="D4470" s="1882"/>
      <c r="E4470" s="1628" t="s">
        <v>8339</v>
      </c>
      <c r="F4470" s="1882"/>
      <c r="G4470" s="1882">
        <f>IF('4P'!G70="","##BLANK",'4P'!G70)</f>
        <v>6874.91</v>
      </c>
    </row>
    <row r="4471" spans="2:7">
      <c r="B4471" s="821" t="str">
        <f>+'4P'!D71</f>
        <v>BN1204</v>
      </c>
      <c r="D4471" s="1882"/>
      <c r="E4471" s="1628" t="s">
        <v>8339</v>
      </c>
      <c r="F4471" s="1882"/>
      <c r="G4471" s="1882">
        <f>IF('4P'!G71="","##BLANK",'4P'!G71)</f>
        <v>0</v>
      </c>
    </row>
    <row r="4472" spans="2:7">
      <c r="B4472" s="821" t="str">
        <f>+'4P'!D72</f>
        <v>BN1200</v>
      </c>
      <c r="D4472" s="1882"/>
      <c r="E4472" s="1628" t="s">
        <v>8339</v>
      </c>
      <c r="F4472" s="1882"/>
      <c r="G4472" s="1882">
        <f>IF('4P'!G72="","##BLANK",'4P'!G72)</f>
        <v>32.11</v>
      </c>
    </row>
    <row r="4473" spans="2:7">
      <c r="B4473" s="821" t="str">
        <f>+'4P'!D73</f>
        <v>BN1208</v>
      </c>
      <c r="D4473" s="1882"/>
      <c r="E4473" s="1628" t="s">
        <v>8339</v>
      </c>
      <c r="F4473" s="1882"/>
      <c r="G4473" s="1882">
        <f>IF('4P'!G73="","##BLANK",'4P'!G73)</f>
        <v>35.61</v>
      </c>
    </row>
    <row r="4474" spans="2:7">
      <c r="B4474" s="821" t="str">
        <f>+'4P'!D74</f>
        <v>BN14990</v>
      </c>
      <c r="D4474" s="1882"/>
      <c r="E4474" s="1628" t="s">
        <v>8339</v>
      </c>
      <c r="F4474" s="1882"/>
      <c r="G4474" s="1882">
        <f>IF('4P'!G74="","##BLANK",'4P'!G74)</f>
        <v>6328.43</v>
      </c>
    </row>
    <row r="4475" spans="2:7">
      <c r="B4475" s="821" t="str">
        <f>+'4P'!D75</f>
        <v>BN14890</v>
      </c>
      <c r="D4475" s="1882"/>
      <c r="E4475" s="1628" t="s">
        <v>8339</v>
      </c>
      <c r="F4475" s="1882"/>
      <c r="G4475" s="1882">
        <f>IF('4P'!G75="","##BLANK",'4P'!G75)</f>
        <v>232.16</v>
      </c>
    </row>
    <row r="4476" spans="2:7">
      <c r="B4476" s="821" t="str">
        <f>+'4P'!D76</f>
        <v>BN14790</v>
      </c>
      <c r="D4476" s="1882"/>
      <c r="E4476" s="1628" t="s">
        <v>8339</v>
      </c>
      <c r="F4476" s="1882"/>
      <c r="G4476" s="1882">
        <f>IF('4P'!G76="","##BLANK",'4P'!G76)</f>
        <v>191.86</v>
      </c>
    </row>
    <row r="4477" spans="2:7">
      <c r="B4477" s="821" t="str">
        <f>+'4P'!D77</f>
        <v>BN14690</v>
      </c>
      <c r="D4477" s="1882"/>
      <c r="E4477" s="1628" t="s">
        <v>8339</v>
      </c>
      <c r="F4477" s="1882"/>
      <c r="G4477" s="1882">
        <f>IF('4P'!G77="","##BLANK",'4P'!G77)</f>
        <v>122.46</v>
      </c>
    </row>
    <row r="4478" spans="2:7">
      <c r="B4478" s="821" t="str">
        <f>+'4P'!D78</f>
        <v>BN11300CAP</v>
      </c>
      <c r="D4478" s="1882"/>
      <c r="E4478" s="1628" t="s">
        <v>8339</v>
      </c>
      <c r="F4478" s="1882"/>
      <c r="G4478" s="1882">
        <f>IF('4P'!G78="","##BLANK",'4P'!G78)</f>
        <v>24632</v>
      </c>
    </row>
    <row r="4479" spans="2:7">
      <c r="B4479" s="821" t="str">
        <f>+'4P'!D79</f>
        <v>BN10900CAP</v>
      </c>
      <c r="D4479" s="1882"/>
      <c r="E4479" s="1628" t="s">
        <v>8339</v>
      </c>
      <c r="F4479" s="1882"/>
      <c r="G4479" s="1882">
        <f>IF('4P'!G79="","##BLANK",'4P'!G79)</f>
        <v>537</v>
      </c>
    </row>
    <row r="4480" spans="2:7">
      <c r="B4480" s="821" t="str">
        <f>+'4P'!D80</f>
        <v>BN11030CAP</v>
      </c>
      <c r="D4480" s="1882"/>
      <c r="E4480" s="1628" t="s">
        <v>8339</v>
      </c>
      <c r="F4480" s="1882"/>
      <c r="G4480" s="1882">
        <f>IF('4P'!G80="","##BLANK",'4P'!G80)</f>
        <v>3</v>
      </c>
    </row>
    <row r="4481" spans="2:7">
      <c r="B4481" s="821" t="str">
        <f>+'4P'!D82</f>
        <v>BN2350</v>
      </c>
      <c r="D4481" s="1882"/>
      <c r="E4481" s="1628" t="s">
        <v>8339</v>
      </c>
      <c r="F4481" s="1882"/>
      <c r="G4481" s="1882">
        <f>IF('4P'!G82="","##BLANK",'4P'!G82)</f>
        <v>0.28000000000000003</v>
      </c>
    </row>
    <row r="4482" spans="2:7">
      <c r="B4482" s="821" t="str">
        <f>+'4P'!D83</f>
        <v>BN2330</v>
      </c>
      <c r="D4482" s="1882"/>
      <c r="E4482" s="1628" t="s">
        <v>8339</v>
      </c>
      <c r="F4482" s="1882"/>
      <c r="G4482" s="1882">
        <f>IF('4P'!G83="","##BLANK",'4P'!G83)</f>
        <v>241.96</v>
      </c>
    </row>
    <row r="4483" spans="2:7">
      <c r="B4483" s="821" t="str">
        <f>+'4P'!D84</f>
        <v>BN2000</v>
      </c>
      <c r="D4483" s="1882"/>
      <c r="E4483" s="1628" t="s">
        <v>8339</v>
      </c>
      <c r="F4483" s="1882"/>
      <c r="G4483" s="1882">
        <f>IF('4P'!G84="","##BLANK",'4P'!G84)</f>
        <v>84.92</v>
      </c>
    </row>
    <row r="4484" spans="2:7">
      <c r="B4484" s="821" t="str">
        <f>+'4P'!D85</f>
        <v>BN2010</v>
      </c>
      <c r="D4484" s="1882"/>
      <c r="E4484" s="1628" t="s">
        <v>8339</v>
      </c>
      <c r="F4484" s="1882"/>
      <c r="G4484" s="1882">
        <f>IF('4P'!G85="","##BLANK",'4P'!G85)</f>
        <v>58.84</v>
      </c>
    </row>
    <row r="4485" spans="2:7">
      <c r="B4485" s="821" t="str">
        <f>+'4P'!D86</f>
        <v>BN2345</v>
      </c>
      <c r="D4485" s="1882"/>
      <c r="E4485" s="1628" t="s">
        <v>8339</v>
      </c>
      <c r="F4485" s="1882"/>
      <c r="G4485" s="1882">
        <f>IF('4P'!G86="","##BLANK",'4P'!G86)</f>
        <v>37.21</v>
      </c>
    </row>
    <row r="4486" spans="2:7">
      <c r="B4486" s="821" t="str">
        <f>+'4P'!D87</f>
        <v>BN2340</v>
      </c>
      <c r="D4486" s="1882"/>
      <c r="E4486" s="1628" t="s">
        <v>8339</v>
      </c>
      <c r="F4486" s="1882"/>
      <c r="G4486" s="1882">
        <f>IF('4P'!G87="","##BLANK",'4P'!G87)</f>
        <v>25.55</v>
      </c>
    </row>
    <row r="4487" spans="2:7">
      <c r="B4487" s="821" t="str">
        <f>+'4P'!D88</f>
        <v>BN2327</v>
      </c>
      <c r="D4487" s="1882"/>
      <c r="E4487" s="1628" t="s">
        <v>8339</v>
      </c>
      <c r="F4487" s="1882"/>
      <c r="G4487" s="1882">
        <f>IF('4P'!G88="","##BLANK",'4P'!G88)</f>
        <v>0.81</v>
      </c>
    </row>
    <row r="4488" spans="2:7">
      <c r="B4488" s="821" t="str">
        <f>+'4P'!D89</f>
        <v>BN11600</v>
      </c>
      <c r="D4488" s="1882"/>
      <c r="E4488" s="1628" t="s">
        <v>8339</v>
      </c>
      <c r="F4488" s="1882"/>
      <c r="G4488" s="1882">
        <f>IF('4P'!G89="","##BLANK",'4P'!G89)</f>
        <v>140481</v>
      </c>
    </row>
    <row r="4489" spans="2:7">
      <c r="B4489" s="821" t="str">
        <f>+'4P'!D90</f>
        <v>BN11610</v>
      </c>
      <c r="D4489" s="1882"/>
      <c r="E4489" s="1628" t="s">
        <v>8339</v>
      </c>
      <c r="F4489" s="1882"/>
      <c r="G4489" s="1882">
        <f>IF('4P'!G90="","##BLANK",'4P'!G90)</f>
        <v>8124</v>
      </c>
    </row>
    <row r="4490" spans="2:7">
      <c r="B4490" s="821" t="str">
        <f>+'4P'!D91</f>
        <v>BN11620</v>
      </c>
      <c r="D4490" s="1882"/>
      <c r="E4490" s="1628" t="s">
        <v>8339</v>
      </c>
      <c r="F4490" s="1882"/>
      <c r="G4490" s="1882">
        <f>IF('4P'!G91="","##BLANK",'4P'!G91)</f>
        <v>334294</v>
      </c>
    </row>
    <row r="4491" spans="2:7">
      <c r="B4491" s="821" t="str">
        <f>+'4P'!D92</f>
        <v>BN11390</v>
      </c>
      <c r="D4491" s="1882"/>
      <c r="E4491" s="1628" t="s">
        <v>8339</v>
      </c>
      <c r="F4491" s="1882"/>
      <c r="G4491" s="1882">
        <f>IF('4P'!G92="","##BLANK",'4P'!G92)</f>
        <v>114</v>
      </c>
    </row>
    <row r="4492" spans="2:7">
      <c r="B4492" s="821" t="str">
        <f>+'4P'!D93</f>
        <v>BN10990</v>
      </c>
      <c r="D4492" s="1882"/>
      <c r="E4492" s="1628" t="s">
        <v>8339</v>
      </c>
      <c r="F4492" s="1882"/>
      <c r="G4492" s="1882">
        <f>IF('4P'!G93="","##BLANK",'4P'!G93)</f>
        <v>114</v>
      </c>
    </row>
    <row r="4493" spans="2:7">
      <c r="B4493" s="821" t="str">
        <f>+'4P'!D94</f>
        <v>BN11090</v>
      </c>
      <c r="D4493" s="1882"/>
      <c r="E4493" s="1628" t="s">
        <v>8339</v>
      </c>
      <c r="F4493" s="1882"/>
      <c r="G4493" s="1882">
        <f>IF('4P'!G94="","##BLANK",'4P'!G94)</f>
        <v>5</v>
      </c>
    </row>
    <row r="4494" spans="2:7">
      <c r="B4494" s="821" t="str">
        <f>+'4P'!D95</f>
        <v>BB13000</v>
      </c>
      <c r="D4494" s="1882"/>
      <c r="E4494" s="1628" t="s">
        <v>8339</v>
      </c>
      <c r="F4494" s="1882"/>
      <c r="G4494" s="1882">
        <f>IF('4P'!G95="","##BLANK",'4P'!G95)</f>
        <v>116.28</v>
      </c>
    </row>
    <row r="4495" spans="2:7">
      <c r="B4495" s="821" t="str">
        <f>+'4P'!D96</f>
        <v>BB13010</v>
      </c>
      <c r="D4495" s="1882"/>
      <c r="E4495" s="1628" t="s">
        <v>8339</v>
      </c>
      <c r="F4495" s="1882"/>
      <c r="G4495" s="1882">
        <f>IF('4P'!G96="","##BLANK",'4P'!G96)</f>
        <v>847.99</v>
      </c>
    </row>
    <row r="4496" spans="2:7">
      <c r="B4496" s="821" t="str">
        <f>+'4P'!D97</f>
        <v>BB13020</v>
      </c>
      <c r="D4496" s="1882"/>
      <c r="E4496" s="1628" t="s">
        <v>8339</v>
      </c>
      <c r="F4496" s="1882"/>
      <c r="G4496" s="1882">
        <f>IF('4P'!G97="","##BLANK",'4P'!G97)</f>
        <v>469.14</v>
      </c>
    </row>
    <row r="4497" spans="2:7">
      <c r="B4497" s="821" t="str">
        <f>+'4P'!D98</f>
        <v>BB13030</v>
      </c>
      <c r="D4497" s="1882"/>
      <c r="E4497" s="1628" t="s">
        <v>8339</v>
      </c>
      <c r="F4497" s="1882"/>
      <c r="G4497" s="1882">
        <f>IF('4P'!G98="","##BLANK",'4P'!G98)</f>
        <v>913.54</v>
      </c>
    </row>
    <row r="4498" spans="2:7">
      <c r="B4498" s="821" t="str">
        <f>+'4P'!D99</f>
        <v>BB13040</v>
      </c>
      <c r="D4498" s="1882"/>
      <c r="E4498" s="1628" t="s">
        <v>8339</v>
      </c>
      <c r="F4498" s="1882"/>
      <c r="G4498" s="1882">
        <f>IF('4P'!G99="","##BLANK",'4P'!G99)</f>
        <v>887.7</v>
      </c>
    </row>
    <row r="4499" spans="2:7">
      <c r="B4499" s="821" t="str">
        <f>+'4P'!D100</f>
        <v>BB13050</v>
      </c>
      <c r="D4499" s="1882"/>
      <c r="E4499" s="1628" t="s">
        <v>8339</v>
      </c>
      <c r="F4499" s="1882"/>
      <c r="G4499" s="1882">
        <f>IF('4P'!G100="","##BLANK",'4P'!G100)</f>
        <v>1278.23</v>
      </c>
    </row>
    <row r="4500" spans="2:7">
      <c r="B4500" s="821" t="str">
        <f>+'4P'!D101</f>
        <v>BB13060</v>
      </c>
      <c r="D4500" s="1882"/>
      <c r="E4500" s="1628" t="s">
        <v>8339</v>
      </c>
      <c r="F4500" s="1882"/>
      <c r="G4500" s="1882">
        <f>IF('4P'!G101="","##BLANK",'4P'!G101)</f>
        <v>1244.6300000000001</v>
      </c>
    </row>
    <row r="4501" spans="2:7">
      <c r="B4501" s="821" t="str">
        <f>+'4P'!D102</f>
        <v>BB13070</v>
      </c>
      <c r="D4501" s="1882"/>
      <c r="E4501" s="1628" t="s">
        <v>8339</v>
      </c>
      <c r="F4501" s="1882"/>
      <c r="G4501" s="1882">
        <f>IF('4P'!G102="","##BLANK",'4P'!G102)</f>
        <v>1117.4000000000001</v>
      </c>
    </row>
    <row r="4502" spans="2:7">
      <c r="B4502" s="821" t="str">
        <f>+'4P'!D103</f>
        <v>BN4870</v>
      </c>
      <c r="D4502" s="1882"/>
      <c r="E4502" s="1628" t="s">
        <v>8339</v>
      </c>
      <c r="F4502" s="1882"/>
      <c r="G4502" s="1882">
        <f>IF('4P'!G103="","##BLANK",'4P'!G103)</f>
        <v>97.02</v>
      </c>
    </row>
    <row r="4503" spans="2:7">
      <c r="B4503" s="821" t="str">
        <f>+'4P'!D106</f>
        <v>WTW001NR</v>
      </c>
      <c r="D4503" s="1882"/>
      <c r="E4503" s="1628" t="s">
        <v>8339</v>
      </c>
      <c r="F4503" s="1882"/>
      <c r="G4503" s="1882">
        <f>IF('4P'!G106="","##BLANK",'4P'!G106)</f>
        <v>5</v>
      </c>
    </row>
    <row r="4504" spans="2:7">
      <c r="B4504" s="821" t="str">
        <f>+'4P'!D107</f>
        <v>WTW002NR</v>
      </c>
      <c r="D4504" s="1882"/>
      <c r="E4504" s="1628" t="s">
        <v>8339</v>
      </c>
      <c r="F4504" s="1882"/>
      <c r="G4504" s="1882">
        <f>IF('4P'!G107="","##BLANK",'4P'!G107)</f>
        <v>2</v>
      </c>
    </row>
    <row r="4505" spans="2:7">
      <c r="B4505" s="821" t="str">
        <f>+'4P'!D108</f>
        <v>WTW003NR</v>
      </c>
      <c r="D4505" s="1882"/>
      <c r="E4505" s="1628" t="s">
        <v>8339</v>
      </c>
      <c r="F4505" s="1882"/>
      <c r="G4505" s="1882">
        <f>IF('4P'!G108="","##BLANK",'4P'!G108)</f>
        <v>1</v>
      </c>
    </row>
    <row r="4506" spans="2:7">
      <c r="B4506" s="821" t="str">
        <f>+'4P'!D109</f>
        <v>WTW004NR</v>
      </c>
      <c r="D4506" s="1882"/>
      <c r="E4506" s="1628" t="s">
        <v>8339</v>
      </c>
      <c r="F4506" s="1882"/>
      <c r="G4506" s="1882">
        <f>IF('4P'!G109="","##BLANK",'4P'!G109)</f>
        <v>3</v>
      </c>
    </row>
    <row r="4507" spans="2:7">
      <c r="B4507" s="821" t="str">
        <f>+'4P'!D110</f>
        <v>WTW005NR</v>
      </c>
      <c r="D4507" s="1882"/>
      <c r="E4507" s="1628" t="s">
        <v>8339</v>
      </c>
      <c r="F4507" s="1882"/>
      <c r="G4507" s="1882">
        <f>IF('4P'!G110="","##BLANK",'4P'!G110)</f>
        <v>3</v>
      </c>
    </row>
    <row r="4508" spans="2:7">
      <c r="B4508" s="821" t="str">
        <f>+'4P'!D111</f>
        <v>WTW006NR</v>
      </c>
      <c r="D4508" s="1882"/>
      <c r="E4508" s="1628" t="s">
        <v>8339</v>
      </c>
      <c r="F4508" s="1882"/>
      <c r="G4508" s="1882">
        <f>IF('4P'!G111="","##BLANK",'4P'!G111)</f>
        <v>0</v>
      </c>
    </row>
    <row r="4509" spans="2:7">
      <c r="B4509" s="821" t="str">
        <f>+'4P'!D112</f>
        <v>WTW007NR</v>
      </c>
      <c r="D4509" s="1882"/>
      <c r="E4509" s="1628" t="s">
        <v>8339</v>
      </c>
      <c r="F4509" s="1882"/>
      <c r="G4509" s="1882">
        <f>IF('4P'!G112="","##BLANK",'4P'!G112)</f>
        <v>2</v>
      </c>
    </row>
    <row r="4510" spans="2:7">
      <c r="B4510" s="821" t="str">
        <f>+'4P'!D113</f>
        <v>WTW008NR</v>
      </c>
      <c r="D4510" s="1882"/>
      <c r="E4510" s="1628" t="s">
        <v>8339</v>
      </c>
      <c r="F4510" s="1882"/>
      <c r="G4510" s="1882">
        <f>IF('4P'!G113="","##BLANK",'4P'!G113)</f>
        <v>0</v>
      </c>
    </row>
    <row r="4511" spans="2:7">
      <c r="B4511" s="821" t="str">
        <f>+'4P'!D116</f>
        <v>WTW001PN</v>
      </c>
      <c r="D4511" s="1882"/>
      <c r="E4511" s="1628" t="s">
        <v>8339</v>
      </c>
      <c r="F4511" s="1882"/>
      <c r="G4511" s="1882">
        <f>IF('4P'!G116="","##BLANK",'4P'!G116)</f>
        <v>5.3E-3</v>
      </c>
    </row>
    <row r="4512" spans="2:7">
      <c r="B4512" s="821" t="str">
        <f>+'4P'!D117</f>
        <v>WTW002PN</v>
      </c>
      <c r="D4512" s="1882"/>
      <c r="E4512" s="1628" t="s">
        <v>8339</v>
      </c>
      <c r="F4512" s="1882"/>
      <c r="G4512" s="1882">
        <f>IF('4P'!G117="","##BLANK",'4P'!G117)</f>
        <v>2.58E-2</v>
      </c>
    </row>
    <row r="4513" spans="2:7">
      <c r="B4513" s="821" t="str">
        <f>+'4P'!D118</f>
        <v>WTW003PN</v>
      </c>
      <c r="D4513" s="1882"/>
      <c r="E4513" s="1628" t="s">
        <v>8339</v>
      </c>
      <c r="F4513" s="1882"/>
      <c r="G4513" s="1882">
        <f>IF('4P'!G118="","##BLANK",'4P'!G118)</f>
        <v>1.7399999999999999E-2</v>
      </c>
    </row>
    <row r="4514" spans="2:7">
      <c r="B4514" s="821" t="str">
        <f>+'4P'!D119</f>
        <v>WTW004PN</v>
      </c>
      <c r="D4514" s="1882"/>
      <c r="E4514" s="1628" t="s">
        <v>8339</v>
      </c>
      <c r="F4514" s="1882"/>
      <c r="G4514" s="1882">
        <f>IF('4P'!G119="","##BLANK",'4P'!G119)</f>
        <v>0.129</v>
      </c>
    </row>
    <row r="4515" spans="2:7">
      <c r="B4515" s="821" t="str">
        <f>+'4P'!D120</f>
        <v>WTW005PN</v>
      </c>
      <c r="D4515" s="1882"/>
      <c r="E4515" s="1628" t="s">
        <v>8339</v>
      </c>
      <c r="F4515" s="1882"/>
      <c r="G4515" s="1882">
        <f>IF('4P'!G120="","##BLANK",'4P'!G120)</f>
        <v>0.2482</v>
      </c>
    </row>
    <row r="4516" spans="2:7">
      <c r="B4516" s="821" t="str">
        <f>+'4P'!D121</f>
        <v>WTW006PN</v>
      </c>
      <c r="D4516" s="1882"/>
      <c r="E4516" s="1628" t="s">
        <v>8339</v>
      </c>
      <c r="F4516" s="1882"/>
      <c r="G4516" s="1882">
        <f>IF('4P'!G121="","##BLANK",'4P'!G121)</f>
        <v>0</v>
      </c>
    </row>
    <row r="4517" spans="2:7">
      <c r="B4517" s="821" t="str">
        <f>+'4P'!D122</f>
        <v>WTW007PN</v>
      </c>
      <c r="D4517" s="1882"/>
      <c r="E4517" s="1628" t="s">
        <v>8339</v>
      </c>
      <c r="F4517" s="1882"/>
      <c r="G4517" s="1882">
        <f>IF('4P'!G122="","##BLANK",'4P'!G122)</f>
        <v>0.57430000000000003</v>
      </c>
    </row>
    <row r="4518" spans="2:7">
      <c r="B4518" s="821" t="str">
        <f>+'4P'!D123</f>
        <v>WTW008PN</v>
      </c>
      <c r="D4518" s="1882"/>
      <c r="E4518" s="1628" t="s">
        <v>8339</v>
      </c>
      <c r="F4518" s="1882"/>
      <c r="G4518" s="1882">
        <f>IF('4P'!G123="","##BLANK",'4P'!G123)</f>
        <v>0</v>
      </c>
    </row>
    <row r="4519" spans="2:7">
      <c r="B4519" s="821" t="str">
        <f>+'4Q'!D6</f>
        <v>BN2110</v>
      </c>
      <c r="D4519" s="1882"/>
      <c r="E4519" s="1628" t="s">
        <v>8339</v>
      </c>
      <c r="F4519" s="1882"/>
      <c r="G4519" s="1882">
        <f>IF('4Q'!G6="","##BLANK",'4Q'!G6)</f>
        <v>251.13499999999999</v>
      </c>
    </row>
    <row r="4520" spans="2:7">
      <c r="B4520" s="821" t="str">
        <f>+'4Q'!D7</f>
        <v>BN2115</v>
      </c>
      <c r="D4520" s="1882"/>
      <c r="E4520" s="1628" t="s">
        <v>8339</v>
      </c>
      <c r="F4520" s="1882"/>
      <c r="G4520" s="1882">
        <f>IF('4Q'!G7="","##BLANK",'4Q'!G7)</f>
        <v>35.338000000000001</v>
      </c>
    </row>
    <row r="4521" spans="2:7">
      <c r="B4521" s="821" t="str">
        <f>+'4Q'!D8</f>
        <v>BN2210</v>
      </c>
      <c r="D4521" s="1882"/>
      <c r="E4521" s="1628" t="s">
        <v>8339</v>
      </c>
      <c r="F4521" s="1882"/>
      <c r="G4521" s="1882">
        <f>IF('4Q'!G8="","##BLANK",'4Q'!G8)</f>
        <v>30.408999999999999</v>
      </c>
    </row>
    <row r="4522" spans="2:7">
      <c r="B4522" s="821" t="str">
        <f>+'4Q'!D9</f>
        <v>BN2100</v>
      </c>
      <c r="D4522" s="1882"/>
      <c r="E4522" s="1628" t="s">
        <v>8339</v>
      </c>
      <c r="F4522" s="1882"/>
      <c r="G4522" s="1882">
        <f>IF('4Q'!G9="","##BLANK",'4Q'!G9)</f>
        <v>210.76499999999999</v>
      </c>
    </row>
    <row r="4523" spans="2:7">
      <c r="B4523" s="821" t="str">
        <f>+'4Q'!D10</f>
        <v>BN2200</v>
      </c>
      <c r="D4523" s="1882"/>
      <c r="E4523" s="1628" t="s">
        <v>8339</v>
      </c>
      <c r="F4523" s="1882"/>
      <c r="G4523" s="1882">
        <f>IF('4Q'!G10="","##BLANK",'4Q'!G10)</f>
        <v>1.1020000000000001</v>
      </c>
    </row>
    <row r="4524" spans="2:7">
      <c r="B4524" s="821" t="str">
        <f>+'4Q'!D11</f>
        <v>BN2221</v>
      </c>
      <c r="D4524" s="1882"/>
      <c r="E4524" s="1628" t="s">
        <v>8339</v>
      </c>
      <c r="F4524" s="1882"/>
      <c r="G4524" s="1882">
        <f>IF('4Q'!G11="","##BLANK",'4Q'!G11)</f>
        <v>33.470999999999997</v>
      </c>
    </row>
    <row r="4525" spans="2:7">
      <c r="B4525" s="821" t="str">
        <f>+'4Q'!D12</f>
        <v>BN2161</v>
      </c>
      <c r="D4525" s="1882"/>
      <c r="E4525" s="1628" t="s">
        <v>8339</v>
      </c>
      <c r="F4525" s="1882"/>
      <c r="G4525" s="1882">
        <f>IF('4Q'!G12="","##BLANK",'4Q'!G12)</f>
        <v>512.48500000000001</v>
      </c>
    </row>
    <row r="4526" spans="2:7">
      <c r="B4526" s="821" t="str">
        <f>+'4Q'!D13</f>
        <v>BN1001</v>
      </c>
      <c r="D4526" s="1882"/>
      <c r="E4526" s="1628" t="s">
        <v>8339</v>
      </c>
      <c r="F4526" s="1882"/>
      <c r="G4526" s="1882">
        <f>IF('4Q'!G13="","##BLANK",'4Q'!G13)</f>
        <v>545.95600000000002</v>
      </c>
    </row>
    <row r="4527" spans="2:7">
      <c r="B4527" s="821" t="str">
        <f>+'4Q'!D14</f>
        <v>BN1765</v>
      </c>
      <c r="D4527" s="1882"/>
      <c r="E4527" s="1628" t="s">
        <v>8339</v>
      </c>
      <c r="F4527" s="1882"/>
      <c r="G4527" s="1882">
        <f>IF('4Q'!G14="","##BLANK",'4Q'!G14)</f>
        <v>2.3620000000000001</v>
      </c>
    </row>
    <row r="4528" spans="2:7">
      <c r="B4528" s="821" t="str">
        <f>+'4Q'!D15</f>
        <v>BN1767</v>
      </c>
      <c r="D4528" s="1882"/>
      <c r="E4528" s="1628" t="s">
        <v>8339</v>
      </c>
      <c r="F4528" s="1882"/>
      <c r="G4528" s="1882">
        <f>IF('4Q'!G15="","##BLANK",'4Q'!G15)</f>
        <v>0.50900000000000001</v>
      </c>
    </row>
    <row r="4529" spans="2:7">
      <c r="B4529" s="821" t="str">
        <f>+'4Q'!D16</f>
        <v>BN1715</v>
      </c>
      <c r="D4529" s="1882"/>
      <c r="E4529" s="1628" t="s">
        <v>8339</v>
      </c>
      <c r="F4529" s="1882"/>
      <c r="G4529" s="1882">
        <f>IF('4Q'!G16="","##BLANK",'4Q'!G16)</f>
        <v>3.972</v>
      </c>
    </row>
    <row r="4530" spans="2:7">
      <c r="B4530" s="821" t="str">
        <f>+'4Q'!D17</f>
        <v>BN1711</v>
      </c>
      <c r="D4530" s="1882"/>
      <c r="E4530" s="1628" t="s">
        <v>8339</v>
      </c>
      <c r="F4530" s="1882"/>
      <c r="G4530" s="1882">
        <f>IF('4Q'!G17="","##BLANK",'4Q'!G17)</f>
        <v>7.4429999999999996</v>
      </c>
    </row>
    <row r="4531" spans="2:7">
      <c r="B4531" s="821" t="str">
        <f>+'4Q'!D18</f>
        <v>BP3405</v>
      </c>
      <c r="D4531" s="1882"/>
      <c r="E4531" s="1628" t="s">
        <v>8339</v>
      </c>
      <c r="F4531" s="1882"/>
      <c r="G4531" s="1882">
        <f>IF('4Q'!G18="","##BLANK",'4Q'!G18)</f>
        <v>0.23200000000000001</v>
      </c>
    </row>
    <row r="4532" spans="2:7">
      <c r="B4532" s="821" t="str">
        <f>+'4Q'!D19</f>
        <v>BP3400</v>
      </c>
      <c r="D4532" s="1882"/>
      <c r="E4532" s="1628" t="s">
        <v>8339</v>
      </c>
      <c r="F4532" s="1882"/>
      <c r="G4532" s="1882">
        <f>IF('4Q'!G19="","##BLANK",'4Q'!G19)</f>
        <v>4.9779999999999998</v>
      </c>
    </row>
    <row r="4533" spans="2:7">
      <c r="B4533" s="821" t="str">
        <f>+'4Q'!D20</f>
        <v>BN2590</v>
      </c>
      <c r="D4533" s="1882"/>
      <c r="E4533" s="1628" t="s">
        <v>8339</v>
      </c>
      <c r="F4533" s="1882"/>
      <c r="G4533" s="1882">
        <f>IF('4Q'!G20="","##BLANK",'4Q'!G20)</f>
        <v>1227.0360000000001</v>
      </c>
    </row>
    <row r="4534" spans="2:7">
      <c r="B4534" s="821" t="str">
        <f>+'4Q'!D21</f>
        <v>BN11630</v>
      </c>
      <c r="D4534" s="1882"/>
      <c r="E4534" s="1628" t="s">
        <v>8339</v>
      </c>
      <c r="F4534" s="1882"/>
      <c r="G4534" s="1882">
        <f>IF('4Q'!G21="","##BLANK",'4Q'!G21)</f>
        <v>34.787999999999997</v>
      </c>
    </row>
    <row r="4535" spans="2:7">
      <c r="B4535" s="821" t="str">
        <f>+'4Q'!D22</f>
        <v>BN11640</v>
      </c>
      <c r="D4535" s="1882"/>
      <c r="E4535" s="1628" t="s">
        <v>8339</v>
      </c>
      <c r="F4535" s="1882"/>
      <c r="G4535" s="1882">
        <f>IF('4Q'!G22="","##BLANK",'4Q'!G22)</f>
        <v>301.68799999999999</v>
      </c>
    </row>
    <row r="4536" spans="2:7">
      <c r="B4536" s="821" t="str">
        <f>+'4Q'!D23</f>
        <v>SYS03</v>
      </c>
      <c r="D4536" s="1882"/>
      <c r="E4536" s="1628" t="s">
        <v>8339</v>
      </c>
      <c r="F4536" s="1882"/>
      <c r="G4536" s="1882">
        <f>IF('4Q'!G23="","##BLANK",'4Q'!G23)</f>
        <v>2366.5700000000002</v>
      </c>
    </row>
    <row r="4537" spans="2:7">
      <c r="B4537" s="821" t="str">
        <f>+'4Q'!D26</f>
        <v>BN1231</v>
      </c>
      <c r="D4537" s="1882"/>
      <c r="E4537" s="1628" t="s">
        <v>8339</v>
      </c>
      <c r="F4537" s="1882"/>
      <c r="G4537" s="1882">
        <f>IF('4Q'!G26="","##BLANK",'4Q'!G26)</f>
        <v>40</v>
      </c>
    </row>
    <row r="4538" spans="2:7">
      <c r="B4538" s="821" t="str">
        <f>+'4Q'!D27</f>
        <v>W3007SO</v>
      </c>
      <c r="D4538" s="1882"/>
      <c r="E4538" s="1628" t="s">
        <v>8339</v>
      </c>
      <c r="F4538" s="1882"/>
      <c r="G4538" s="1882">
        <f>IF('4Q'!G27="","##BLANK",'4Q'!G27)</f>
        <v>0</v>
      </c>
    </row>
    <row r="4539" spans="2:7">
      <c r="B4539" s="821" t="str">
        <f>+'4Q'!D28</f>
        <v>W3008SO</v>
      </c>
      <c r="D4539" s="1882"/>
      <c r="E4539" s="1628" t="s">
        <v>8339</v>
      </c>
      <c r="F4539" s="1882"/>
      <c r="G4539" s="1882">
        <f>IF('4Q'!G28="","##BLANK",'4Q'!G28)</f>
        <v>0</v>
      </c>
    </row>
    <row r="4540" spans="2:7">
      <c r="B4540" s="821" t="str">
        <f>+'4Q'!D29</f>
        <v>W3007DO</v>
      </c>
      <c r="D4540" s="1882"/>
      <c r="E4540" s="1628" t="s">
        <v>8339</v>
      </c>
      <c r="F4540" s="1882"/>
      <c r="G4540" s="1882">
        <f>IF('4Q'!G29="","##BLANK",'4Q'!G29)</f>
        <v>4.87</v>
      </c>
    </row>
    <row r="4541" spans="2:7">
      <c r="B4541" s="821" t="str">
        <f>+'4Q'!D30</f>
        <v>W3008DO</v>
      </c>
      <c r="D4541" s="1882"/>
      <c r="E4541" s="1628" t="s">
        <v>8339</v>
      </c>
      <c r="F4541" s="1882"/>
      <c r="G4541" s="1882">
        <f>IF('4Q'!G30="","##BLANK",'4Q'!G30)</f>
        <v>4.87</v>
      </c>
    </row>
    <row r="4542" spans="2:7">
      <c r="B4542" s="821" t="str">
        <f>+'4Q'!D31</f>
        <v>BM902ECNP</v>
      </c>
      <c r="D4542" s="1882"/>
      <c r="E4542" s="1628" t="s">
        <v>8339</v>
      </c>
      <c r="F4542" s="1882"/>
      <c r="G4542" s="1882">
        <f>IF('4Q'!G31="","##BLANK",'4Q'!G31)</f>
        <v>72834</v>
      </c>
    </row>
    <row r="4543" spans="2:7">
      <c r="B4543" s="821" t="str">
        <f>+'4Q'!D32</f>
        <v>BM902ECWR</v>
      </c>
      <c r="D4543" s="1882"/>
      <c r="E4543" s="1628" t="s">
        <v>8339</v>
      </c>
      <c r="F4543" s="1882"/>
      <c r="G4543" s="1882">
        <f>IF('4Q'!G32="","##BLANK",'4Q'!G32)</f>
        <v>12021</v>
      </c>
    </row>
    <row r="4544" spans="2:7">
      <c r="B4544" s="821" t="str">
        <f>+'4Q'!D33</f>
        <v>BM102ECWW</v>
      </c>
      <c r="D4544" s="1882"/>
      <c r="E4544" s="1628" t="s">
        <v>8339</v>
      </c>
      <c r="F4544" s="1882"/>
      <c r="G4544" s="1882">
        <f>IF('4Q'!G33="","##BLANK",'4Q'!G33)</f>
        <v>84855</v>
      </c>
    </row>
    <row r="4545" spans="2:7">
      <c r="B4545" s="821" t="str">
        <f>+'4Q'!D34</f>
        <v>QEBW0180</v>
      </c>
      <c r="D4545" s="1882"/>
      <c r="E4545" s="1628" t="s">
        <v>8339</v>
      </c>
      <c r="F4545" s="1882"/>
      <c r="G4545" s="1882">
        <f>IF('4Q'!G34="","##BLANK",'4Q'!G34)</f>
        <v>0.99970000000000003</v>
      </c>
    </row>
    <row r="4546" spans="2:7">
      <c r="B4546" s="821" t="str">
        <f>+'4Q'!D35</f>
        <v>QEBW0183</v>
      </c>
      <c r="D4546" s="1882"/>
      <c r="E4546" s="1628" t="s">
        <v>8339</v>
      </c>
      <c r="F4546" s="1882"/>
      <c r="G4546" s="1882">
        <f>IF('4Q'!G35="","##BLANK",'4Q'!G35)</f>
        <v>2.2999999999999998</v>
      </c>
    </row>
    <row r="4547" spans="2:7">
      <c r="B4547" s="821" t="str">
        <f>+'4Q'!D36</f>
        <v>QEBW0184</v>
      </c>
      <c r="D4547" s="1882"/>
      <c r="E4547" s="1628" t="s">
        <v>8339</v>
      </c>
      <c r="F4547" s="1882"/>
      <c r="G4547" s="1882">
        <f>IF('4Q'!G36="","##BLANK",'4Q'!G36)</f>
        <v>121.2</v>
      </c>
    </row>
    <row r="4548" spans="2:7">
      <c r="B4548" s="821" t="str">
        <f>+'4Q'!D37</f>
        <v>BN2341</v>
      </c>
      <c r="D4548" s="1882"/>
      <c r="E4548" s="1628" t="s">
        <v>8339</v>
      </c>
      <c r="F4548" s="1882"/>
      <c r="G4548" s="1882">
        <f>IF('4Q'!G37="","##BLANK",'4Q'!G37)</f>
        <v>-18.795000000000002</v>
      </c>
    </row>
    <row r="4549" spans="2:7">
      <c r="B4549" s="821" t="str">
        <f>+'4R'!D6</f>
        <v>S4002</v>
      </c>
      <c r="D4549" s="1882"/>
      <c r="E4549" s="1628" t="s">
        <v>8339</v>
      </c>
      <c r="F4549" s="1882"/>
      <c r="G4549" s="1882" t="str">
        <f>IF('4R'!G6="","##BLANK",'4R'!G6)</f>
        <v>##BLANK</v>
      </c>
    </row>
    <row r="4550" spans="2:7">
      <c r="B4550" s="821" t="str">
        <f>+'4R'!D7</f>
        <v>S4002A</v>
      </c>
      <c r="D4550" s="1882"/>
      <c r="E4550" s="1628" t="s">
        <v>8339</v>
      </c>
      <c r="F4550" s="1882"/>
      <c r="G4550" s="1882" t="str">
        <f>IF('4R'!G7="","##BLANK",'4R'!G7)</f>
        <v>##BLANK</v>
      </c>
    </row>
    <row r="4551" spans="2:7">
      <c r="B4551" s="821" t="str">
        <f>+'4R'!D8</f>
        <v>S4029</v>
      </c>
      <c r="D4551" s="1882"/>
      <c r="E4551" s="1628" t="s">
        <v>8339</v>
      </c>
      <c r="F4551" s="1882"/>
      <c r="G4551" s="1882" t="str">
        <f>IF('4R'!G8="","##BLANK",'4R'!G8)</f>
        <v>##BLANK</v>
      </c>
    </row>
    <row r="4552" spans="2:7">
      <c r="B4552" s="821" t="str">
        <f>+'4R'!D9</f>
        <v>S6019</v>
      </c>
      <c r="D4552" s="1882"/>
      <c r="E4552" s="1628" t="s">
        <v>8339</v>
      </c>
      <c r="F4552" s="1882"/>
      <c r="G4552" s="1882" t="str">
        <f>IF('4R'!G9="","##BLANK",'4R'!G9)</f>
        <v>##BLANK</v>
      </c>
    </row>
    <row r="4553" spans="2:7">
      <c r="B4553" s="821" t="str">
        <f>+'4R'!D10</f>
        <v>BN13522</v>
      </c>
      <c r="D4553" s="1882"/>
      <c r="E4553" s="1628" t="s">
        <v>8339</v>
      </c>
      <c r="F4553" s="1882"/>
      <c r="G4553" s="1882" t="str">
        <f>IF('4R'!G10="","##BLANK",'4R'!G10)</f>
        <v>##BLANK</v>
      </c>
    </row>
    <row r="4554" spans="2:7">
      <c r="B4554" s="821" t="str">
        <f>+'4R'!D11</f>
        <v>BN13521</v>
      </c>
      <c r="D4554" s="1882"/>
      <c r="E4554" s="1628" t="s">
        <v>8339</v>
      </c>
      <c r="F4554" s="1882"/>
      <c r="G4554" s="1882" t="str">
        <f>IF('4R'!G11="","##BLANK",'4R'!G11)</f>
        <v>##BLANK</v>
      </c>
    </row>
    <row r="4555" spans="2:7">
      <c r="B4555" s="821" t="str">
        <f>+'4R'!D12</f>
        <v>BN13520</v>
      </c>
      <c r="D4555" s="1882"/>
      <c r="E4555" s="1628" t="s">
        <v>8339</v>
      </c>
      <c r="F4555" s="1882"/>
      <c r="G4555" s="1882" t="str">
        <f>IF('4R'!G12="","##BLANK",'4R'!G12)</f>
        <v>##BLANK</v>
      </c>
    </row>
    <row r="4556" spans="2:7">
      <c r="B4556" s="821" t="str">
        <f>+'4R'!D13</f>
        <v>CPMS2005</v>
      </c>
      <c r="D4556" s="1882"/>
      <c r="E4556" s="1628" t="s">
        <v>8339</v>
      </c>
      <c r="F4556" s="1882"/>
      <c r="G4556" s="1882" t="str">
        <f>IF('4R'!G13="","##BLANK",'4R'!G13)</f>
        <v>##BLANK</v>
      </c>
    </row>
    <row r="4557" spans="2:7">
      <c r="B4557" s="821" t="str">
        <f>+'4R'!D14</f>
        <v>CPMS2004</v>
      </c>
      <c r="D4557" s="1882"/>
      <c r="E4557" s="1628" t="s">
        <v>8339</v>
      </c>
      <c r="F4557" s="1882"/>
      <c r="G4557" s="1882" t="str">
        <f>IF('4R'!G14="","##BLANK",'4R'!G14)</f>
        <v>##BLANK</v>
      </c>
    </row>
    <row r="4558" spans="2:7">
      <c r="B4558" s="821" t="str">
        <f>+'4R'!D15</f>
        <v>CPMS2014</v>
      </c>
      <c r="D4558" s="1882"/>
      <c r="E4558" s="1628" t="s">
        <v>8339</v>
      </c>
      <c r="F4558" s="1882"/>
      <c r="G4558" s="1882" t="str">
        <f>IF('4R'!G15="","##BLANK",'4R'!G15)</f>
        <v>##BLANK</v>
      </c>
    </row>
    <row r="4559" spans="2:7">
      <c r="B4559" s="821" t="str">
        <f>+'4R'!D16</f>
        <v>BB2370</v>
      </c>
      <c r="D4559" s="1882"/>
      <c r="E4559" s="1628" t="s">
        <v>8339</v>
      </c>
      <c r="F4559" s="1882"/>
      <c r="G4559" s="1882" t="str">
        <f>IF('4R'!G16="","##BLANK",'4R'!G16)</f>
        <v>##BLANK</v>
      </c>
    </row>
    <row r="4560" spans="2:7">
      <c r="B4560" s="821" t="str">
        <f>+'4R'!D17</f>
        <v>CPMS2012</v>
      </c>
      <c r="D4560" s="1882"/>
      <c r="E4560" s="1628" t="s">
        <v>8339</v>
      </c>
      <c r="F4560" s="1882"/>
      <c r="G4560" s="1882" t="str">
        <f>IF('4R'!G17="","##BLANK",'4R'!G17)</f>
        <v>##BLANK</v>
      </c>
    </row>
    <row r="4561" spans="2:7">
      <c r="B4561" s="821" t="str">
        <f>+'4R'!D18</f>
        <v>CPMS2015</v>
      </c>
      <c r="D4561" s="1882"/>
      <c r="E4561" s="1628" t="s">
        <v>8339</v>
      </c>
      <c r="F4561" s="1882"/>
      <c r="G4561" s="1882" t="str">
        <f>IF('4R'!G18="","##BLANK",'4R'!G18)</f>
        <v>##BLANK</v>
      </c>
    </row>
    <row r="4562" spans="2:7">
      <c r="B4562" s="821" t="str">
        <f>+'4R'!D19</f>
        <v>BN13519</v>
      </c>
      <c r="D4562" s="1882"/>
      <c r="E4562" s="1628" t="s">
        <v>8339</v>
      </c>
      <c r="F4562" s="1882"/>
      <c r="G4562" s="1882" t="str">
        <f>IF('4R'!G19="","##BLANK",'4R'!G19)</f>
        <v>##BLANK</v>
      </c>
    </row>
    <row r="4563" spans="2:7">
      <c r="B4563" s="821" t="str">
        <f>+'4R'!D20</f>
        <v>BN13523</v>
      </c>
      <c r="D4563" s="1882"/>
      <c r="E4563" s="1628" t="s">
        <v>8339</v>
      </c>
      <c r="F4563" s="1882"/>
      <c r="G4563" s="1882" t="str">
        <f>IF('4R'!G20="","##BLANK",'4R'!G20)</f>
        <v>##BLANK</v>
      </c>
    </row>
    <row r="4564" spans="2:7">
      <c r="B4564" s="821" t="str">
        <f>+'4R'!D21</f>
        <v>BN13524</v>
      </c>
      <c r="D4564" s="1882"/>
      <c r="E4564" s="1628" t="s">
        <v>8339</v>
      </c>
      <c r="F4564" s="1882"/>
      <c r="G4564" s="1882" t="str">
        <f>IF('4R'!G21="","##BLANK",'4R'!G21)</f>
        <v>##BLANK</v>
      </c>
    </row>
    <row r="4565" spans="2:7">
      <c r="B4565" s="821" t="str">
        <f>+'4R'!D22</f>
        <v>BN13525</v>
      </c>
      <c r="D4565" s="1882"/>
      <c r="E4565" s="1628" t="s">
        <v>8339</v>
      </c>
      <c r="F4565" s="1882"/>
      <c r="G4565" s="1882" t="str">
        <f>IF('4R'!G22="","##BLANK",'4R'!G22)</f>
        <v>##BLANK</v>
      </c>
    </row>
    <row r="4566" spans="2:7">
      <c r="B4566" s="821" t="str">
        <f>+'4R'!D23</f>
        <v>BN13526</v>
      </c>
      <c r="D4566" s="1882"/>
      <c r="E4566" s="1628" t="s">
        <v>8339</v>
      </c>
      <c r="F4566" s="1882"/>
      <c r="G4566" s="1882" t="str">
        <f>IF('4R'!G23="","##BLANK",'4R'!G23)</f>
        <v>##BLANK</v>
      </c>
    </row>
    <row r="4567" spans="2:7">
      <c r="B4567" s="821" t="str">
        <f>+'4R'!D24</f>
        <v>BN13527</v>
      </c>
      <c r="D4567" s="1882"/>
      <c r="E4567" s="1628" t="s">
        <v>8339</v>
      </c>
      <c r="F4567" s="1882"/>
      <c r="G4567" s="1882" t="str">
        <f>IF('4R'!G24="","##BLANK",'4R'!G24)</f>
        <v>##BLANK</v>
      </c>
    </row>
    <row r="4568" spans="2:7">
      <c r="B4568" s="821" t="str">
        <f>+'4R'!D25</f>
        <v>BN13534</v>
      </c>
      <c r="D4568" s="1882"/>
      <c r="E4568" s="1628" t="s">
        <v>8339</v>
      </c>
      <c r="F4568" s="1882"/>
      <c r="G4568" s="1882" t="str">
        <f>IF('4R'!G25="","##BLANK",'4R'!G25)</f>
        <v>##BLANK</v>
      </c>
    </row>
    <row r="4569" spans="2:7">
      <c r="B4569" s="821" t="str">
        <f>+'4R'!D26</f>
        <v>BN13535</v>
      </c>
      <c r="D4569" s="1882"/>
      <c r="E4569" s="1628" t="s">
        <v>8339</v>
      </c>
      <c r="F4569" s="1882"/>
      <c r="G4569" s="1882">
        <f>IF('4R'!G26="","##BLANK",'4R'!G26)</f>
        <v>0</v>
      </c>
    </row>
    <row r="4570" spans="2:7">
      <c r="B4570" s="821" t="str">
        <f>+'4R'!D27</f>
        <v>BN13528</v>
      </c>
      <c r="D4570" s="1882"/>
      <c r="E4570" s="1628" t="s">
        <v>8339</v>
      </c>
      <c r="F4570" s="1882"/>
      <c r="G4570" s="1882" t="str">
        <f>IF('4R'!G27="","##BLANK",'4R'!G27)</f>
        <v>##BLANK</v>
      </c>
    </row>
    <row r="4571" spans="2:7">
      <c r="B4571" s="821" t="str">
        <f>+'4R'!D30</f>
        <v>BP05613</v>
      </c>
      <c r="D4571" s="1882"/>
      <c r="E4571" s="1628" t="s">
        <v>8339</v>
      </c>
      <c r="F4571" s="1882"/>
      <c r="G4571" s="1882" t="str">
        <f>IF('4R'!G30="","##BLANK",'4R'!G30)</f>
        <v>##BLANK</v>
      </c>
    </row>
    <row r="4572" spans="2:7">
      <c r="B4572" s="821" t="str">
        <f>+'4R'!D31</f>
        <v>MP05614</v>
      </c>
      <c r="D4572" s="1882"/>
      <c r="E4572" s="1628" t="s">
        <v>8339</v>
      </c>
      <c r="F4572" s="1882"/>
      <c r="G4572" s="1882" t="str">
        <f>IF('4R'!G31="","##BLANK",'4R'!G31)</f>
        <v>##BLANK</v>
      </c>
    </row>
    <row r="4573" spans="2:7">
      <c r="B4573" s="821" t="str">
        <f>+'4R'!D32</f>
        <v>MP05611</v>
      </c>
      <c r="D4573" s="1882"/>
      <c r="E4573" s="1628" t="s">
        <v>8339</v>
      </c>
      <c r="F4573" s="1882"/>
      <c r="G4573" s="1882">
        <f>IF('4R'!G32="","##BLANK",'4R'!G32)</f>
        <v>0</v>
      </c>
    </row>
    <row r="4574" spans="2:7">
      <c r="B4574" s="821" t="str">
        <f>+'4R'!D33</f>
        <v>MP05613</v>
      </c>
      <c r="D4574" s="1882"/>
      <c r="E4574" s="1628" t="s">
        <v>8339</v>
      </c>
      <c r="F4574" s="1882"/>
      <c r="G4574" s="1882" t="str">
        <f>IF('4R'!G33="","##BLANK",'4R'!G33)</f>
        <v>##BLANK</v>
      </c>
    </row>
    <row r="4575" spans="2:7">
      <c r="B4575" s="821" t="str">
        <f>+'4R'!D35</f>
        <v>MP05615</v>
      </c>
      <c r="D4575" s="1882"/>
      <c r="E4575" s="1628" t="s">
        <v>8339</v>
      </c>
      <c r="F4575" s="1882"/>
      <c r="G4575" s="1882" t="str">
        <f>IF('4R'!G35="","##BLANK",'4R'!G35)</f>
        <v>##BLANK</v>
      </c>
    </row>
    <row r="4576" spans="2:7">
      <c r="B4576" s="821" t="str">
        <f>+'4R'!D37</f>
        <v>BN1623</v>
      </c>
      <c r="D4576" s="1882"/>
      <c r="E4576" s="1628" t="s">
        <v>8339</v>
      </c>
      <c r="F4576" s="1882"/>
      <c r="G4576" s="1882" t="str">
        <f>IF('4R'!G37="","##BLANK",'4R'!G37)</f>
        <v>##BLANK</v>
      </c>
    </row>
    <row r="4577" spans="2:7">
      <c r="B4577" s="821" t="str">
        <f>+'4R'!D38</f>
        <v>BN1622</v>
      </c>
      <c r="D4577" s="1882"/>
      <c r="E4577" s="1628" t="s">
        <v>8339</v>
      </c>
      <c r="F4577" s="1882"/>
      <c r="G4577" s="1882" t="str">
        <f>IF('4R'!G38="","##BLANK",'4R'!G38)</f>
        <v>##BLANK</v>
      </c>
    </row>
    <row r="4578" spans="2:7">
      <c r="B4578" s="821" t="str">
        <f>+'4R'!D39</f>
        <v>BN1621</v>
      </c>
      <c r="D4578" s="1882"/>
      <c r="E4578" s="1628" t="s">
        <v>8339</v>
      </c>
      <c r="F4578" s="1882"/>
      <c r="G4578" s="1882">
        <f>IF('4R'!G39="","##BLANK",'4R'!G39)</f>
        <v>0</v>
      </c>
    </row>
    <row r="4579" spans="2:7">
      <c r="B4579" s="821" t="str">
        <f>+'4R'!D41</f>
        <v>BN1640</v>
      </c>
      <c r="D4579" s="1882"/>
      <c r="E4579" s="1628" t="s">
        <v>8339</v>
      </c>
      <c r="F4579" s="1882"/>
      <c r="G4579" s="1882" t="str">
        <f>IF('4R'!G41="","##BLANK",'4R'!G41)</f>
        <v>##BLANK</v>
      </c>
    </row>
    <row r="4580" spans="2:7">
      <c r="B4580" s="821" t="str">
        <f>+'4R'!D42</f>
        <v>BN1641</v>
      </c>
      <c r="D4580" s="1882"/>
      <c r="E4580" s="1628" t="s">
        <v>8339</v>
      </c>
      <c r="F4580" s="1882"/>
      <c r="G4580" s="1882" t="str">
        <f>IF('4R'!G42="","##BLANK",'4R'!G42)</f>
        <v>##BLANK</v>
      </c>
    </row>
    <row r="4581" spans="2:7">
      <c r="B4581" s="821" t="str">
        <f>+'4R'!D43</f>
        <v>BN1642</v>
      </c>
      <c r="D4581" s="1882"/>
      <c r="E4581" s="1628" t="s">
        <v>8339</v>
      </c>
      <c r="F4581" s="1882"/>
      <c r="G4581" s="1882" t="str">
        <f>IF('4R'!G43="","##BLANK",'4R'!G43)</f>
        <v>##BLANK</v>
      </c>
    </row>
    <row r="4582" spans="2:7">
      <c r="B4582" s="821" t="str">
        <f>+'4R'!D44</f>
        <v>BN1643</v>
      </c>
      <c r="D4582" s="1882"/>
      <c r="E4582" s="1628" t="s">
        <v>8339</v>
      </c>
      <c r="F4582" s="1882"/>
      <c r="G4582" s="1882">
        <f>IF('4R'!G44="","##BLANK",'4R'!G44)</f>
        <v>0</v>
      </c>
    </row>
    <row r="4583" spans="2:7">
      <c r="B4583" s="821" t="str">
        <f>+'4R'!D46</f>
        <v>BN1644</v>
      </c>
      <c r="D4583" s="1882"/>
      <c r="E4583" s="1628" t="s">
        <v>8339</v>
      </c>
      <c r="F4583" s="1882"/>
      <c r="G4583" s="1882" t="str">
        <f>IF('4R'!G46="","##BLANK",'4R'!G46)</f>
        <v>##BLANK</v>
      </c>
    </row>
    <row r="4584" spans="2:7">
      <c r="B4584" s="821" t="str">
        <f>+'4R'!D48</f>
        <v>BN1648</v>
      </c>
      <c r="D4584" s="1882"/>
      <c r="E4584" s="1628" t="s">
        <v>8339</v>
      </c>
      <c r="F4584" s="1882"/>
      <c r="G4584" s="1882" t="str">
        <f>IF('4R'!G48="","##BLANK",'4R'!G48)</f>
        <v>##BLANK</v>
      </c>
    </row>
    <row r="4585" spans="2:7">
      <c r="B4585" s="821" t="str">
        <f>+'4R'!D49</f>
        <v>BN1645</v>
      </c>
      <c r="D4585" s="1882"/>
      <c r="E4585" s="1628" t="s">
        <v>8339</v>
      </c>
      <c r="F4585" s="1882"/>
      <c r="G4585" s="1882" t="str">
        <f>IF('4R'!G49="","##BLANK",'4R'!G49)</f>
        <v>##BLANK</v>
      </c>
    </row>
    <row r="4586" spans="2:7">
      <c r="B4586" s="821" t="str">
        <f>+'4R'!D50</f>
        <v>BN1646</v>
      </c>
      <c r="D4586" s="1882"/>
      <c r="E4586" s="1628" t="s">
        <v>8339</v>
      </c>
      <c r="F4586" s="1882"/>
      <c r="G4586" s="1882" t="str">
        <f>IF('4R'!G50="","##BLANK",'4R'!G50)</f>
        <v>##BLANK</v>
      </c>
    </row>
    <row r="4587" spans="2:7">
      <c r="B4587" s="821" t="str">
        <f>+'4R'!D51</f>
        <v>BN1647</v>
      </c>
      <c r="D4587" s="1882"/>
      <c r="E4587" s="1628" t="s">
        <v>8339</v>
      </c>
      <c r="F4587" s="1882"/>
      <c r="G4587" s="1882">
        <f>IF('4R'!G51="","##BLANK",'4R'!G51)</f>
        <v>0</v>
      </c>
    </row>
    <row r="4588" spans="2:7">
      <c r="B4588" s="821" t="str">
        <f>+'4R'!D53</f>
        <v>BN1649</v>
      </c>
      <c r="D4588" s="1882"/>
      <c r="E4588" s="1628" t="s">
        <v>8339</v>
      </c>
      <c r="F4588" s="1882"/>
      <c r="G4588" s="1882" t="str">
        <f>IF('4R'!G53="","##BLANK",'4R'!G53)</f>
        <v>##BLANK</v>
      </c>
    </row>
    <row r="4589" spans="2:7">
      <c r="B4589" s="821" t="str">
        <f>+'4R'!D55</f>
        <v>MP05616</v>
      </c>
      <c r="D4589" s="1882"/>
      <c r="E4589" s="1628" t="s">
        <v>8339</v>
      </c>
      <c r="F4589" s="1882"/>
      <c r="G4589" s="1882" t="str">
        <f>IF('4R'!G55="","##BLANK",'4R'!G55)</f>
        <v>##BLANK</v>
      </c>
    </row>
    <row r="4590" spans="2:7">
      <c r="B4590" s="1709" t="str">
        <f>'4S'!BS8</f>
        <v>STWD001</v>
      </c>
      <c r="D4590" s="1882"/>
      <c r="E4590" s="1628" t="s">
        <v>8339</v>
      </c>
      <c r="F4590" s="1882"/>
      <c r="G4590" s="1882" t="str">
        <f>IF('4S'!G8="","##BLANK",'4S'!G8)</f>
        <v>##BLANK</v>
      </c>
    </row>
    <row r="4591" spans="2:7">
      <c r="B4591" s="1709" t="str">
        <f>'4S'!BS9</f>
        <v>STWD015</v>
      </c>
      <c r="D4591" s="1882"/>
      <c r="E4591" s="1628" t="s">
        <v>8339</v>
      </c>
      <c r="F4591" s="1882"/>
      <c r="G4591" s="1882" t="str">
        <f>IF('4S'!G9="","##BLANK",'4S'!G9)</f>
        <v>##BLANK</v>
      </c>
    </row>
    <row r="4592" spans="2:7">
      <c r="B4592" s="1709" t="str">
        <f>'4S'!BS10</f>
        <v>STWD029</v>
      </c>
      <c r="D4592" s="1882"/>
      <c r="E4592" s="1628" t="s">
        <v>8339</v>
      </c>
      <c r="F4592" s="1882"/>
      <c r="G4592" s="1882" t="str">
        <f>IF('4S'!G10="","##BLANK",'4S'!G10)</f>
        <v>##BLANK</v>
      </c>
    </row>
    <row r="4593" spans="2:7">
      <c r="B4593" s="1709" t="str">
        <f>'4S'!BS11</f>
        <v>STWD043</v>
      </c>
      <c r="D4593" s="1882"/>
      <c r="E4593" s="1628" t="s">
        <v>8339</v>
      </c>
      <c r="F4593" s="1882"/>
      <c r="G4593" s="1882" t="str">
        <f>IF('4S'!G11="","##BLANK",'4S'!G11)</f>
        <v>##BLANK</v>
      </c>
    </row>
    <row r="4594" spans="2:7">
      <c r="B4594" s="1709" t="str">
        <f>'4S'!BS12</f>
        <v>STWD057</v>
      </c>
      <c r="D4594" s="1882"/>
      <c r="E4594" s="1628" t="s">
        <v>8339</v>
      </c>
      <c r="F4594" s="1882"/>
      <c r="G4594" s="1882" t="str">
        <f>IF('4S'!G12="","##BLANK",'4S'!G12)</f>
        <v>##BLANK</v>
      </c>
    </row>
    <row r="4595" spans="2:7">
      <c r="B4595" s="1709" t="str">
        <f>'4S'!BS13</f>
        <v>STWD101</v>
      </c>
      <c r="D4595" s="1882"/>
      <c r="E4595" s="1628" t="s">
        <v>8339</v>
      </c>
      <c r="F4595" s="1882"/>
      <c r="G4595" s="1882" t="str">
        <f>IF('4S'!G13="","##BLANK",'4S'!G13)</f>
        <v>##BLANK</v>
      </c>
    </row>
    <row r="4596" spans="2:7">
      <c r="B4596" s="1709" t="str">
        <f>'4S'!BS14</f>
        <v>STWD121</v>
      </c>
      <c r="D4596" s="1882"/>
      <c r="E4596" s="1628" t="s">
        <v>8339</v>
      </c>
      <c r="F4596" s="1882"/>
      <c r="G4596" s="1882">
        <f>IF('4S'!G14="","##BLANK",'4S'!G14)</f>
        <v>0</v>
      </c>
    </row>
    <row r="4597" spans="2:7">
      <c r="B4597" s="1709" t="str">
        <f>'4S'!BS18</f>
        <v>STWC001</v>
      </c>
      <c r="D4597" s="1882"/>
      <c r="E4597" s="1628" t="s">
        <v>8339</v>
      </c>
      <c r="F4597" s="1882"/>
      <c r="G4597" s="1882" t="str">
        <f>IF('4S'!G18="","##BLANK",'4S'!G18)</f>
        <v>##BLANK</v>
      </c>
    </row>
    <row r="4598" spans="2:7">
      <c r="B4598" s="1709" t="str">
        <f>'4S'!BS19</f>
        <v>STWC015</v>
      </c>
      <c r="D4598" s="1882"/>
      <c r="E4598" s="1628" t="s">
        <v>8339</v>
      </c>
      <c r="F4598" s="1882"/>
      <c r="G4598" s="1882" t="str">
        <f>IF('4S'!G19="","##BLANK",'4S'!G19)</f>
        <v>##BLANK</v>
      </c>
    </row>
    <row r="4599" spans="2:7">
      <c r="B4599" s="1709" t="str">
        <f>'4S'!BS20</f>
        <v>STWC029</v>
      </c>
      <c r="D4599" s="1882"/>
      <c r="E4599" s="1628" t="s">
        <v>8339</v>
      </c>
      <c r="F4599" s="1882"/>
      <c r="G4599" s="1882" t="str">
        <f>IF('4S'!G20="","##BLANK",'4S'!G20)</f>
        <v>##BLANK</v>
      </c>
    </row>
    <row r="4600" spans="2:7">
      <c r="B4600" s="1709" t="str">
        <f>'4S'!BS21</f>
        <v>STWC043</v>
      </c>
      <c r="D4600" s="1882"/>
      <c r="E4600" s="1628" t="s">
        <v>8339</v>
      </c>
      <c r="F4600" s="1882"/>
      <c r="G4600" s="1882" t="str">
        <f>IF('4S'!G21="","##BLANK",'4S'!G21)</f>
        <v>##BLANK</v>
      </c>
    </row>
    <row r="4601" spans="2:7">
      <c r="B4601" s="1709" t="str">
        <f>'4S'!BS22</f>
        <v>STWC057</v>
      </c>
      <c r="D4601" s="1882"/>
      <c r="E4601" s="1628" t="s">
        <v>8339</v>
      </c>
      <c r="F4601" s="1882"/>
      <c r="G4601" s="1882" t="str">
        <f>IF('4S'!G22="","##BLANK",'4S'!G22)</f>
        <v>##BLANK</v>
      </c>
    </row>
    <row r="4602" spans="2:7">
      <c r="B4602" s="1709" t="str">
        <f>'4S'!BS23</f>
        <v>STWC101</v>
      </c>
      <c r="D4602" s="1882"/>
      <c r="E4602" s="1628" t="s">
        <v>8339</v>
      </c>
      <c r="F4602" s="1882"/>
      <c r="G4602" s="1882" t="str">
        <f>IF('4S'!G23="","##BLANK",'4S'!G23)</f>
        <v>##BLANK</v>
      </c>
    </row>
    <row r="4603" spans="2:7">
      <c r="B4603" s="1709" t="str">
        <f>'4S'!BS24</f>
        <v>STWC121</v>
      </c>
      <c r="D4603" s="1882"/>
      <c r="E4603" s="1628" t="s">
        <v>8339</v>
      </c>
      <c r="F4603" s="1882"/>
      <c r="G4603" s="1882">
        <f>IF('4S'!G24="","##BLANK",'4S'!G24)</f>
        <v>0</v>
      </c>
    </row>
    <row r="4604" spans="2:7">
      <c r="B4604" s="1709" t="str">
        <f>'4S'!BT8</f>
        <v>STWD002</v>
      </c>
      <c r="D4604" s="1882"/>
      <c r="E4604" s="1628" t="s">
        <v>8339</v>
      </c>
      <c r="F4604" s="1882"/>
      <c r="G4604" s="1882" t="str">
        <f>IF('4S'!H8="","##BLANK",'4S'!H8)</f>
        <v>##BLANK</v>
      </c>
    </row>
    <row r="4605" spans="2:7">
      <c r="B4605" s="1709" t="str">
        <f>'4S'!BT9</f>
        <v>STWD016</v>
      </c>
      <c r="D4605" s="1882"/>
      <c r="E4605" s="1628" t="s">
        <v>8339</v>
      </c>
      <c r="F4605" s="1882"/>
      <c r="G4605" s="1882" t="str">
        <f>IF('4S'!H9="","##BLANK",'4S'!H9)</f>
        <v>##BLANK</v>
      </c>
    </row>
    <row r="4606" spans="2:7">
      <c r="B4606" s="1709" t="str">
        <f>'4S'!BT10</f>
        <v>STWD030</v>
      </c>
      <c r="D4606" s="1882"/>
      <c r="E4606" s="1628" t="s">
        <v>8339</v>
      </c>
      <c r="F4606" s="1882"/>
      <c r="G4606" s="1882" t="str">
        <f>IF('4S'!H10="","##BLANK",'4S'!H10)</f>
        <v>##BLANK</v>
      </c>
    </row>
    <row r="4607" spans="2:7">
      <c r="B4607" s="1709" t="str">
        <f>'4S'!BT11</f>
        <v>STWD044</v>
      </c>
      <c r="D4607" s="1882"/>
      <c r="E4607" s="1628" t="s">
        <v>8339</v>
      </c>
      <c r="F4607" s="1882"/>
      <c r="G4607" s="1882" t="str">
        <f>IF('4S'!H11="","##BLANK",'4S'!H11)</f>
        <v>##BLANK</v>
      </c>
    </row>
    <row r="4608" spans="2:7">
      <c r="B4608" s="1709" t="str">
        <f>'4S'!BT12</f>
        <v>STWD058</v>
      </c>
      <c r="D4608" s="1882"/>
      <c r="E4608" s="1628" t="s">
        <v>8339</v>
      </c>
      <c r="F4608" s="1882"/>
      <c r="G4608" s="1882" t="str">
        <f>IF('4S'!H12="","##BLANK",'4S'!H12)</f>
        <v>##BLANK</v>
      </c>
    </row>
    <row r="4609" spans="2:7">
      <c r="B4609" s="1709" t="str">
        <f>'4S'!BT13</f>
        <v>STWD102</v>
      </c>
      <c r="D4609" s="1882"/>
      <c r="E4609" s="1628" t="s">
        <v>8339</v>
      </c>
      <c r="F4609" s="1882"/>
      <c r="G4609" s="1882" t="str">
        <f>IF('4S'!H13="","##BLANK",'4S'!H13)</f>
        <v>##BLANK</v>
      </c>
    </row>
    <row r="4610" spans="2:7">
      <c r="B4610" s="1709" t="str">
        <f>'4S'!BT14</f>
        <v>STWD122</v>
      </c>
      <c r="D4610" s="1882"/>
      <c r="E4610" s="1628" t="s">
        <v>8339</v>
      </c>
      <c r="F4610" s="1882"/>
      <c r="G4610" s="1882">
        <f>IF('4S'!H14="","##BLANK",'4S'!H14)</f>
        <v>0</v>
      </c>
    </row>
    <row r="4611" spans="2:7">
      <c r="B4611" s="1709" t="str">
        <f>'4S'!BT18</f>
        <v>STWC002</v>
      </c>
      <c r="D4611" s="1882"/>
      <c r="E4611" s="1628" t="s">
        <v>8339</v>
      </c>
      <c r="F4611" s="1882"/>
      <c r="G4611" s="1882" t="str">
        <f>IF('4S'!H18="","##BLANK",'4S'!H18)</f>
        <v>##BLANK</v>
      </c>
    </row>
    <row r="4612" spans="2:7">
      <c r="B4612" s="1709" t="str">
        <f>'4S'!BT19</f>
        <v>STWC016</v>
      </c>
      <c r="D4612" s="1882"/>
      <c r="E4612" s="1628" t="s">
        <v>8339</v>
      </c>
      <c r="F4612" s="1882"/>
      <c r="G4612" s="1882" t="str">
        <f>IF('4S'!H19="","##BLANK",'4S'!H19)</f>
        <v>##BLANK</v>
      </c>
    </row>
    <row r="4613" spans="2:7">
      <c r="B4613" s="1709" t="str">
        <f>'4S'!BT20</f>
        <v>STWC030</v>
      </c>
      <c r="D4613" s="1882"/>
      <c r="E4613" s="1628" t="s">
        <v>8339</v>
      </c>
      <c r="F4613" s="1882"/>
      <c r="G4613" s="1882" t="str">
        <f>IF('4S'!H20="","##BLANK",'4S'!H20)</f>
        <v>##BLANK</v>
      </c>
    </row>
    <row r="4614" spans="2:7">
      <c r="B4614" s="1709" t="str">
        <f>'4S'!BT21</f>
        <v>STWC044</v>
      </c>
      <c r="D4614" s="1882"/>
      <c r="E4614" s="1628" t="s">
        <v>8339</v>
      </c>
      <c r="F4614" s="1882"/>
      <c r="G4614" s="1882" t="str">
        <f>IF('4S'!H21="","##BLANK",'4S'!H21)</f>
        <v>##BLANK</v>
      </c>
    </row>
    <row r="4615" spans="2:7">
      <c r="B4615" s="1709" t="str">
        <f>'4S'!BT22</f>
        <v>STWC058</v>
      </c>
      <c r="D4615" s="1882"/>
      <c r="E4615" s="1628" t="s">
        <v>8339</v>
      </c>
      <c r="F4615" s="1882"/>
      <c r="G4615" s="1882" t="str">
        <f>IF('4S'!H22="","##BLANK",'4S'!H22)</f>
        <v>##BLANK</v>
      </c>
    </row>
    <row r="4616" spans="2:7">
      <c r="B4616" s="1709" t="str">
        <f>'4S'!BT23</f>
        <v>STWC102</v>
      </c>
      <c r="D4616" s="1882"/>
      <c r="E4616" s="1628" t="s">
        <v>8339</v>
      </c>
      <c r="F4616" s="1882"/>
      <c r="G4616" s="1882" t="str">
        <f>IF('4S'!H23="","##BLANK",'4S'!H23)</f>
        <v>##BLANK</v>
      </c>
    </row>
    <row r="4617" spans="2:7">
      <c r="B4617" s="1709" t="str">
        <f>'4S'!BT24</f>
        <v>STWC122</v>
      </c>
      <c r="D4617" s="1882"/>
      <c r="E4617" s="1628" t="s">
        <v>8339</v>
      </c>
      <c r="F4617" s="1882"/>
      <c r="G4617" s="1882">
        <f>IF('4S'!H24="","##BLANK",'4S'!H24)</f>
        <v>0</v>
      </c>
    </row>
    <row r="4618" spans="2:7">
      <c r="B4618" s="1709" t="str">
        <f>'4S'!BU8</f>
        <v>STWD003</v>
      </c>
      <c r="D4618" s="1882"/>
      <c r="E4618" s="1628" t="s">
        <v>8339</v>
      </c>
      <c r="F4618" s="1882"/>
      <c r="G4618" s="1882" t="str">
        <f>IF('4S'!I8="","##BLANK",'4S'!I8)</f>
        <v>##BLANK</v>
      </c>
    </row>
    <row r="4619" spans="2:7">
      <c r="B4619" s="1709" t="str">
        <f>'4S'!BU9</f>
        <v>STWD017</v>
      </c>
      <c r="D4619" s="1882"/>
      <c r="E4619" s="1628" t="s">
        <v>8339</v>
      </c>
      <c r="F4619" s="1882"/>
      <c r="G4619" s="1882" t="str">
        <f>IF('4S'!I9="","##BLANK",'4S'!I9)</f>
        <v>##BLANK</v>
      </c>
    </row>
    <row r="4620" spans="2:7">
      <c r="B4620" s="1709" t="str">
        <f>'4S'!BU10</f>
        <v>STWD031</v>
      </c>
      <c r="D4620" s="1882"/>
      <c r="E4620" s="1628" t="s">
        <v>8339</v>
      </c>
      <c r="F4620" s="1882"/>
      <c r="G4620" s="1882" t="str">
        <f>IF('4S'!I10="","##BLANK",'4S'!I10)</f>
        <v>##BLANK</v>
      </c>
    </row>
    <row r="4621" spans="2:7">
      <c r="B4621" s="1709" t="str">
        <f>'4S'!BU11</f>
        <v>STWD045</v>
      </c>
      <c r="D4621" s="1882"/>
      <c r="E4621" s="1628" t="s">
        <v>8339</v>
      </c>
      <c r="F4621" s="1882"/>
      <c r="G4621" s="1882" t="str">
        <f>IF('4S'!I11="","##BLANK",'4S'!I11)</f>
        <v>##BLANK</v>
      </c>
    </row>
    <row r="4622" spans="2:7">
      <c r="B4622" s="1709" t="str">
        <f>'4S'!BU12</f>
        <v>STWD059</v>
      </c>
      <c r="D4622" s="1882"/>
      <c r="E4622" s="1628" t="s">
        <v>8339</v>
      </c>
      <c r="F4622" s="1882"/>
      <c r="G4622" s="1882" t="str">
        <f>IF('4S'!I12="","##BLANK",'4S'!I12)</f>
        <v>##BLANK</v>
      </c>
    </row>
    <row r="4623" spans="2:7">
      <c r="B4623" s="1709" t="str">
        <f>'4S'!BU13</f>
        <v>STWD103</v>
      </c>
      <c r="D4623" s="1882"/>
      <c r="E4623" s="1628" t="s">
        <v>8339</v>
      </c>
      <c r="F4623" s="1882"/>
      <c r="G4623" s="1882" t="str">
        <f>IF('4S'!I13="","##BLANK",'4S'!I13)</f>
        <v>##BLANK</v>
      </c>
    </row>
    <row r="4624" spans="2:7">
      <c r="B4624" s="1709" t="str">
        <f>'4S'!BU14</f>
        <v>STWD123</v>
      </c>
      <c r="D4624" s="1882"/>
      <c r="E4624" s="1628" t="s">
        <v>8339</v>
      </c>
      <c r="F4624" s="1882"/>
      <c r="G4624" s="1882">
        <f>IF('4S'!I14="","##BLANK",'4S'!I14)</f>
        <v>0</v>
      </c>
    </row>
    <row r="4625" spans="2:7">
      <c r="B4625" s="1709" t="str">
        <f>'4S'!BU18</f>
        <v>STWC003</v>
      </c>
      <c r="D4625" s="1882"/>
      <c r="E4625" s="1628" t="s">
        <v>8339</v>
      </c>
      <c r="F4625" s="1882"/>
      <c r="G4625" s="1882" t="str">
        <f>IF('4S'!I18="","##BLANK",'4S'!I18)</f>
        <v>##BLANK</v>
      </c>
    </row>
    <row r="4626" spans="2:7">
      <c r="B4626" s="1709" t="str">
        <f>'4S'!BU19</f>
        <v>STWC017</v>
      </c>
      <c r="D4626" s="1882"/>
      <c r="E4626" s="1628" t="s">
        <v>8339</v>
      </c>
      <c r="F4626" s="1882"/>
      <c r="G4626" s="1882" t="str">
        <f>IF('4S'!I19="","##BLANK",'4S'!I19)</f>
        <v>##BLANK</v>
      </c>
    </row>
    <row r="4627" spans="2:7">
      <c r="B4627" s="1709" t="str">
        <f>'4S'!BU20</f>
        <v>STWC031</v>
      </c>
      <c r="D4627" s="1882"/>
      <c r="E4627" s="1628" t="s">
        <v>8339</v>
      </c>
      <c r="F4627" s="1882"/>
      <c r="G4627" s="1882" t="str">
        <f>IF('4S'!I20="","##BLANK",'4S'!I20)</f>
        <v>##BLANK</v>
      </c>
    </row>
    <row r="4628" spans="2:7">
      <c r="B4628" s="1709" t="str">
        <f>'4S'!BU21</f>
        <v>STWC045</v>
      </c>
      <c r="D4628" s="1882"/>
      <c r="E4628" s="1628" t="s">
        <v>8339</v>
      </c>
      <c r="F4628" s="1882"/>
      <c r="G4628" s="1882" t="str">
        <f>IF('4S'!I21="","##BLANK",'4S'!I21)</f>
        <v>##BLANK</v>
      </c>
    </row>
    <row r="4629" spans="2:7">
      <c r="B4629" s="1709" t="str">
        <f>'4S'!BU22</f>
        <v>STWC059</v>
      </c>
      <c r="D4629" s="1882"/>
      <c r="E4629" s="1628" t="s">
        <v>8339</v>
      </c>
      <c r="F4629" s="1882"/>
      <c r="G4629" s="1882" t="str">
        <f>IF('4S'!I22="","##BLANK",'4S'!I22)</f>
        <v>##BLANK</v>
      </c>
    </row>
    <row r="4630" spans="2:7">
      <c r="B4630" s="1709" t="str">
        <f>'4S'!BU23</f>
        <v>STWC103</v>
      </c>
      <c r="D4630" s="1882"/>
      <c r="E4630" s="1628" t="s">
        <v>8339</v>
      </c>
      <c r="F4630" s="1882"/>
      <c r="G4630" s="1882" t="str">
        <f>IF('4S'!I23="","##BLANK",'4S'!I23)</f>
        <v>##BLANK</v>
      </c>
    </row>
    <row r="4631" spans="2:7">
      <c r="B4631" s="1709" t="str">
        <f>'4S'!BU24</f>
        <v>STWC123</v>
      </c>
      <c r="D4631" s="1882"/>
      <c r="E4631" s="1628" t="s">
        <v>8339</v>
      </c>
      <c r="F4631" s="1882"/>
      <c r="G4631" s="1882">
        <f>IF('4S'!I24="","##BLANK",'4S'!I24)</f>
        <v>0</v>
      </c>
    </row>
    <row r="4632" spans="2:7">
      <c r="B4632" s="1709" t="str">
        <f>'4S'!BV8</f>
        <v>STWD004</v>
      </c>
      <c r="D4632" s="1882"/>
      <c r="E4632" s="1628" t="s">
        <v>8339</v>
      </c>
      <c r="F4632" s="1882"/>
      <c r="G4632" s="1882" t="str">
        <f>IF('4S'!J8="","##BLANK",'4S'!J8)</f>
        <v>##BLANK</v>
      </c>
    </row>
    <row r="4633" spans="2:7">
      <c r="B4633" s="1709" t="str">
        <f>'4S'!BV9</f>
        <v>STWD018</v>
      </c>
      <c r="D4633" s="1882"/>
      <c r="E4633" s="1628" t="s">
        <v>8339</v>
      </c>
      <c r="F4633" s="1882"/>
      <c r="G4633" s="1882" t="str">
        <f>IF('4S'!J9="","##BLANK",'4S'!J9)</f>
        <v>##BLANK</v>
      </c>
    </row>
    <row r="4634" spans="2:7">
      <c r="B4634" s="1709" t="str">
        <f>'4S'!BV10</f>
        <v>STWD032</v>
      </c>
      <c r="D4634" s="1882"/>
      <c r="E4634" s="1628" t="s">
        <v>8339</v>
      </c>
      <c r="F4634" s="1882"/>
      <c r="G4634" s="1882" t="str">
        <f>IF('4S'!J10="","##BLANK",'4S'!J10)</f>
        <v>##BLANK</v>
      </c>
    </row>
    <row r="4635" spans="2:7">
      <c r="B4635" s="1709" t="str">
        <f>'4S'!BV11</f>
        <v>STWD046</v>
      </c>
      <c r="D4635" s="1882"/>
      <c r="E4635" s="1628" t="s">
        <v>8339</v>
      </c>
      <c r="F4635" s="1882"/>
      <c r="G4635" s="1882" t="str">
        <f>IF('4S'!J11="","##BLANK",'4S'!J11)</f>
        <v>##BLANK</v>
      </c>
    </row>
    <row r="4636" spans="2:7">
      <c r="B4636" s="1709" t="str">
        <f>'4S'!BV12</f>
        <v>STWD060</v>
      </c>
      <c r="D4636" s="1882"/>
      <c r="E4636" s="1628" t="s">
        <v>8339</v>
      </c>
      <c r="F4636" s="1882"/>
      <c r="G4636" s="1882" t="str">
        <f>IF('4S'!J12="","##BLANK",'4S'!J12)</f>
        <v>##BLANK</v>
      </c>
    </row>
    <row r="4637" spans="2:7">
      <c r="B4637" s="1709" t="str">
        <f>'4S'!BV13</f>
        <v>STWD104</v>
      </c>
      <c r="D4637" s="1882"/>
      <c r="E4637" s="1628" t="s">
        <v>8339</v>
      </c>
      <c r="F4637" s="1882"/>
      <c r="G4637" s="1882" t="str">
        <f>IF('4S'!J13="","##BLANK",'4S'!J13)</f>
        <v>##BLANK</v>
      </c>
    </row>
    <row r="4638" spans="2:7">
      <c r="B4638" s="1709" t="str">
        <f>'4S'!BV14</f>
        <v>STWD124</v>
      </c>
      <c r="D4638" s="1882"/>
      <c r="E4638" s="1628" t="s">
        <v>8339</v>
      </c>
      <c r="F4638" s="1882"/>
      <c r="G4638" s="1882">
        <f>IF('4S'!J14="","##BLANK",'4S'!J14)</f>
        <v>0</v>
      </c>
    </row>
    <row r="4639" spans="2:7">
      <c r="B4639" s="1709" t="str">
        <f>'4S'!BV18</f>
        <v>STWC004</v>
      </c>
      <c r="D4639" s="1882"/>
      <c r="E4639" s="1628" t="s">
        <v>8339</v>
      </c>
      <c r="F4639" s="1882"/>
      <c r="G4639" s="1882" t="str">
        <f>IF('4S'!J18="","##BLANK",'4S'!J18)</f>
        <v>##BLANK</v>
      </c>
    </row>
    <row r="4640" spans="2:7">
      <c r="B4640" s="1709" t="str">
        <f>'4S'!BV19</f>
        <v>STWC018</v>
      </c>
      <c r="D4640" s="1882"/>
      <c r="E4640" s="1628" t="s">
        <v>8339</v>
      </c>
      <c r="F4640" s="1882"/>
      <c r="G4640" s="1882" t="str">
        <f>IF('4S'!J19="","##BLANK",'4S'!J19)</f>
        <v>##BLANK</v>
      </c>
    </row>
    <row r="4641" spans="2:7">
      <c r="B4641" s="1709" t="str">
        <f>'4S'!BV20</f>
        <v>STWC032</v>
      </c>
      <c r="D4641" s="1882"/>
      <c r="E4641" s="1628" t="s">
        <v>8339</v>
      </c>
      <c r="F4641" s="1882"/>
      <c r="G4641" s="1882" t="str">
        <f>IF('4S'!J20="","##BLANK",'4S'!J20)</f>
        <v>##BLANK</v>
      </c>
    </row>
    <row r="4642" spans="2:7">
      <c r="B4642" s="1709" t="str">
        <f>'4S'!BV21</f>
        <v>STWC046</v>
      </c>
      <c r="D4642" s="1882"/>
      <c r="E4642" s="1628" t="s">
        <v>8339</v>
      </c>
      <c r="F4642" s="1882"/>
      <c r="G4642" s="1882" t="str">
        <f>IF('4S'!J21="","##BLANK",'4S'!J21)</f>
        <v>##BLANK</v>
      </c>
    </row>
    <row r="4643" spans="2:7">
      <c r="B4643" s="1709" t="str">
        <f>'4S'!BV22</f>
        <v>STWC060</v>
      </c>
      <c r="D4643" s="1882"/>
      <c r="E4643" s="1628" t="s">
        <v>8339</v>
      </c>
      <c r="F4643" s="1882"/>
      <c r="G4643" s="1882" t="str">
        <f>IF('4S'!J22="","##BLANK",'4S'!J22)</f>
        <v>##BLANK</v>
      </c>
    </row>
    <row r="4644" spans="2:7">
      <c r="B4644" s="1709" t="str">
        <f>'4S'!BV23</f>
        <v>STWC104</v>
      </c>
      <c r="D4644" s="1882"/>
      <c r="E4644" s="1628" t="s">
        <v>8339</v>
      </c>
      <c r="F4644" s="1882"/>
      <c r="G4644" s="1882" t="str">
        <f>IF('4S'!J23="","##BLANK",'4S'!J23)</f>
        <v>##BLANK</v>
      </c>
    </row>
    <row r="4645" spans="2:7">
      <c r="B4645" s="1709" t="str">
        <f>'4S'!BV24</f>
        <v>STWC124</v>
      </c>
      <c r="D4645" s="1882"/>
      <c r="E4645" s="1628" t="s">
        <v>8339</v>
      </c>
      <c r="F4645" s="1882"/>
      <c r="G4645" s="1882">
        <f>IF('4S'!J24="","##BLANK",'4S'!J24)</f>
        <v>0</v>
      </c>
    </row>
    <row r="4646" spans="2:7">
      <c r="B4646" s="1709" t="str">
        <f>'4S'!BW8</f>
        <v>STWD005</v>
      </c>
      <c r="D4646" s="1882"/>
      <c r="E4646" s="1628" t="s">
        <v>8339</v>
      </c>
      <c r="F4646" s="1882"/>
      <c r="G4646" s="1882" t="str">
        <f>IF('4S'!K8="","##BLANK",'4S'!K8)</f>
        <v>##BLANK</v>
      </c>
    </row>
    <row r="4647" spans="2:7">
      <c r="B4647" s="1709" t="str">
        <f>'4S'!BW9</f>
        <v>STWD019</v>
      </c>
      <c r="D4647" s="1882"/>
      <c r="E4647" s="1628" t="s">
        <v>8339</v>
      </c>
      <c r="F4647" s="1882"/>
      <c r="G4647" s="1882" t="str">
        <f>IF('4S'!K9="","##BLANK",'4S'!K9)</f>
        <v>##BLANK</v>
      </c>
    </row>
    <row r="4648" spans="2:7">
      <c r="B4648" s="1709" t="str">
        <f>'4S'!BW10</f>
        <v>STWD033</v>
      </c>
      <c r="D4648" s="1882"/>
      <c r="E4648" s="1628" t="s">
        <v>8339</v>
      </c>
      <c r="F4648" s="1882"/>
      <c r="G4648" s="1882" t="str">
        <f>IF('4S'!K10="","##BLANK",'4S'!K10)</f>
        <v>##BLANK</v>
      </c>
    </row>
    <row r="4649" spans="2:7">
      <c r="B4649" s="1709" t="str">
        <f>'4S'!BW11</f>
        <v>STWD047</v>
      </c>
      <c r="D4649" s="1882"/>
      <c r="E4649" s="1628" t="s">
        <v>8339</v>
      </c>
      <c r="F4649" s="1882"/>
      <c r="G4649" s="1882" t="str">
        <f>IF('4S'!K11="","##BLANK",'4S'!K11)</f>
        <v>##BLANK</v>
      </c>
    </row>
    <row r="4650" spans="2:7">
      <c r="B4650" s="1709" t="str">
        <f>'4S'!BW12</f>
        <v>STWD061</v>
      </c>
      <c r="D4650" s="1882"/>
      <c r="E4650" s="1628" t="s">
        <v>8339</v>
      </c>
      <c r="F4650" s="1882"/>
      <c r="G4650" s="1882" t="str">
        <f>IF('4S'!K12="","##BLANK",'4S'!K12)</f>
        <v>##BLANK</v>
      </c>
    </row>
    <row r="4651" spans="2:7">
      <c r="B4651" s="1709" t="str">
        <f>'4S'!BW13</f>
        <v>STWD105</v>
      </c>
      <c r="D4651" s="1882"/>
      <c r="E4651" s="1628" t="s">
        <v>8339</v>
      </c>
      <c r="F4651" s="1882"/>
      <c r="G4651" s="1882" t="str">
        <f>IF('4S'!K13="","##BLANK",'4S'!K13)</f>
        <v>##BLANK</v>
      </c>
    </row>
    <row r="4652" spans="2:7">
      <c r="B4652" s="1709" t="str">
        <f>'4S'!BW14</f>
        <v>STWD125</v>
      </c>
      <c r="D4652" s="1882"/>
      <c r="E4652" s="1628" t="s">
        <v>8339</v>
      </c>
      <c r="F4652" s="1882"/>
      <c r="G4652" s="1882">
        <f>IF('4S'!K14="","##BLANK",'4S'!K14)</f>
        <v>0</v>
      </c>
    </row>
    <row r="4653" spans="2:7">
      <c r="B4653" s="1709" t="str">
        <f>'4S'!BW18</f>
        <v>STWC005</v>
      </c>
      <c r="D4653" s="1882"/>
      <c r="E4653" s="1628" t="s">
        <v>8339</v>
      </c>
      <c r="F4653" s="1882"/>
      <c r="G4653" s="1882" t="str">
        <f>IF('4S'!K18="","##BLANK",'4S'!K18)</f>
        <v>##BLANK</v>
      </c>
    </row>
    <row r="4654" spans="2:7">
      <c r="B4654" s="1709" t="str">
        <f>'4S'!BW19</f>
        <v>STWC019</v>
      </c>
      <c r="D4654" s="1882"/>
      <c r="E4654" s="1628" t="s">
        <v>8339</v>
      </c>
      <c r="F4654" s="1882"/>
      <c r="G4654" s="1882" t="str">
        <f>IF('4S'!K19="","##BLANK",'4S'!K19)</f>
        <v>##BLANK</v>
      </c>
    </row>
    <row r="4655" spans="2:7">
      <c r="B4655" s="1709" t="str">
        <f>'4S'!BW20</f>
        <v>STWC033</v>
      </c>
      <c r="D4655" s="1882"/>
      <c r="E4655" s="1628" t="s">
        <v>8339</v>
      </c>
      <c r="F4655" s="1882"/>
      <c r="G4655" s="1882" t="str">
        <f>IF('4S'!K20="","##BLANK",'4S'!K20)</f>
        <v>##BLANK</v>
      </c>
    </row>
    <row r="4656" spans="2:7">
      <c r="B4656" s="1709" t="str">
        <f>'4S'!BW21</f>
        <v>STWC047</v>
      </c>
      <c r="D4656" s="1882"/>
      <c r="E4656" s="1628" t="s">
        <v>8339</v>
      </c>
      <c r="F4656" s="1882"/>
      <c r="G4656" s="1882" t="str">
        <f>IF('4S'!K21="","##BLANK",'4S'!K21)</f>
        <v>##BLANK</v>
      </c>
    </row>
    <row r="4657" spans="2:7">
      <c r="B4657" s="1709" t="str">
        <f>'4S'!BW22</f>
        <v>STWC061</v>
      </c>
      <c r="D4657" s="1882"/>
      <c r="E4657" s="1628" t="s">
        <v>8339</v>
      </c>
      <c r="F4657" s="1882"/>
      <c r="G4657" s="1882" t="str">
        <f>IF('4S'!K22="","##BLANK",'4S'!K22)</f>
        <v>##BLANK</v>
      </c>
    </row>
    <row r="4658" spans="2:7">
      <c r="B4658" s="1709" t="str">
        <f>'4S'!BW23</f>
        <v>STWC105</v>
      </c>
      <c r="D4658" s="1882"/>
      <c r="E4658" s="1628" t="s">
        <v>8339</v>
      </c>
      <c r="F4658" s="1882"/>
      <c r="G4658" s="1882" t="str">
        <f>IF('4S'!K23="","##BLANK",'4S'!K23)</f>
        <v>##BLANK</v>
      </c>
    </row>
    <row r="4659" spans="2:7">
      <c r="B4659" s="1709" t="str">
        <f>'4S'!BW24</f>
        <v>STWC125</v>
      </c>
      <c r="D4659" s="1882"/>
      <c r="E4659" s="1628" t="s">
        <v>8339</v>
      </c>
      <c r="F4659" s="1882"/>
      <c r="G4659" s="1882">
        <f>IF('4S'!K24="","##BLANK",'4S'!K24)</f>
        <v>0</v>
      </c>
    </row>
    <row r="4660" spans="2:7">
      <c r="B4660" s="1709" t="str">
        <f>'4S'!BX8</f>
        <v>STWD006</v>
      </c>
      <c r="D4660" s="1882"/>
      <c r="E4660" s="1628" t="s">
        <v>8339</v>
      </c>
      <c r="F4660" s="1882"/>
      <c r="G4660" s="1882" t="str">
        <f>IF('4S'!L8="","##BLANK",'4S'!L8)</f>
        <v>##BLANK</v>
      </c>
    </row>
    <row r="4661" spans="2:7">
      <c r="B4661" s="1709" t="str">
        <f>'4S'!BX9</f>
        <v>STWD020</v>
      </c>
      <c r="D4661" s="1882"/>
      <c r="E4661" s="1628" t="s">
        <v>8339</v>
      </c>
      <c r="F4661" s="1882"/>
      <c r="G4661" s="1882" t="str">
        <f>IF('4S'!L9="","##BLANK",'4S'!L9)</f>
        <v>##BLANK</v>
      </c>
    </row>
    <row r="4662" spans="2:7">
      <c r="B4662" s="1709" t="str">
        <f>'4S'!BX10</f>
        <v>STWD034</v>
      </c>
      <c r="D4662" s="1882"/>
      <c r="E4662" s="1628" t="s">
        <v>8339</v>
      </c>
      <c r="F4662" s="1882"/>
      <c r="G4662" s="1882" t="str">
        <f>IF('4S'!L10="","##BLANK",'4S'!L10)</f>
        <v>##BLANK</v>
      </c>
    </row>
    <row r="4663" spans="2:7">
      <c r="B4663" s="1709" t="str">
        <f>'4S'!BX11</f>
        <v>STWD048</v>
      </c>
      <c r="D4663" s="1882"/>
      <c r="E4663" s="1628" t="s">
        <v>8339</v>
      </c>
      <c r="F4663" s="1882"/>
      <c r="G4663" s="1882" t="str">
        <f>IF('4S'!L11="","##BLANK",'4S'!L11)</f>
        <v>##BLANK</v>
      </c>
    </row>
    <row r="4664" spans="2:7">
      <c r="B4664" s="1709" t="str">
        <f>'4S'!BX12</f>
        <v>STWD062</v>
      </c>
      <c r="D4664" s="1882"/>
      <c r="E4664" s="1628" t="s">
        <v>8339</v>
      </c>
      <c r="F4664" s="1882"/>
      <c r="G4664" s="1882" t="str">
        <f>IF('4S'!L12="","##BLANK",'4S'!L12)</f>
        <v>##BLANK</v>
      </c>
    </row>
    <row r="4665" spans="2:7">
      <c r="B4665" s="1709" t="str">
        <f>'4S'!BX13</f>
        <v>STWD106</v>
      </c>
      <c r="D4665" s="1882"/>
      <c r="E4665" s="1628" t="s">
        <v>8339</v>
      </c>
      <c r="F4665" s="1882"/>
      <c r="G4665" s="1882" t="str">
        <f>IF('4S'!L13="","##BLANK",'4S'!L13)</f>
        <v>##BLANK</v>
      </c>
    </row>
    <row r="4666" spans="2:7">
      <c r="B4666" s="1709" t="str">
        <f>'4S'!BX14</f>
        <v>STWD126</v>
      </c>
      <c r="D4666" s="1882"/>
      <c r="E4666" s="1628" t="s">
        <v>8339</v>
      </c>
      <c r="F4666" s="1882"/>
      <c r="G4666" s="1882">
        <f>IF('4S'!L14="","##BLANK",'4S'!L14)</f>
        <v>0</v>
      </c>
    </row>
    <row r="4667" spans="2:7">
      <c r="B4667" s="1709" t="str">
        <f>'4S'!BX18</f>
        <v>STWC006</v>
      </c>
      <c r="D4667" s="1882"/>
      <c r="E4667" s="1628" t="s">
        <v>8339</v>
      </c>
      <c r="F4667" s="1882"/>
      <c r="G4667" s="1882" t="str">
        <f>IF('4S'!L18="","##BLANK",'4S'!L18)</f>
        <v>##BLANK</v>
      </c>
    </row>
    <row r="4668" spans="2:7">
      <c r="B4668" s="1709" t="str">
        <f>'4S'!BX19</f>
        <v>STWC020</v>
      </c>
      <c r="D4668" s="1882"/>
      <c r="E4668" s="1628" t="s">
        <v>8339</v>
      </c>
      <c r="F4668" s="1882"/>
      <c r="G4668" s="1882" t="str">
        <f>IF('4S'!L19="","##BLANK",'4S'!L19)</f>
        <v>##BLANK</v>
      </c>
    </row>
    <row r="4669" spans="2:7">
      <c r="B4669" s="1709" t="str">
        <f>'4S'!BX20</f>
        <v>STWC034</v>
      </c>
      <c r="D4669" s="1882"/>
      <c r="E4669" s="1628" t="s">
        <v>8339</v>
      </c>
      <c r="F4669" s="1882"/>
      <c r="G4669" s="1882" t="str">
        <f>IF('4S'!L20="","##BLANK",'4S'!L20)</f>
        <v>##BLANK</v>
      </c>
    </row>
    <row r="4670" spans="2:7">
      <c r="B4670" s="1709" t="str">
        <f>'4S'!BX21</f>
        <v>STWC048</v>
      </c>
      <c r="D4670" s="1882"/>
      <c r="E4670" s="1628" t="s">
        <v>8339</v>
      </c>
      <c r="F4670" s="1882"/>
      <c r="G4670" s="1882" t="str">
        <f>IF('4S'!L21="","##BLANK",'4S'!L21)</f>
        <v>##BLANK</v>
      </c>
    </row>
    <row r="4671" spans="2:7">
      <c r="B4671" s="1709" t="str">
        <f>'4S'!BX22</f>
        <v>STWC062</v>
      </c>
      <c r="D4671" s="1882"/>
      <c r="E4671" s="1628" t="s">
        <v>8339</v>
      </c>
      <c r="F4671" s="1882"/>
      <c r="G4671" s="1882" t="str">
        <f>IF('4S'!L22="","##BLANK",'4S'!L22)</f>
        <v>##BLANK</v>
      </c>
    </row>
    <row r="4672" spans="2:7">
      <c r="B4672" s="1709" t="str">
        <f>'4S'!BX23</f>
        <v>STWC106</v>
      </c>
      <c r="D4672" s="1882"/>
      <c r="E4672" s="1628" t="s">
        <v>8339</v>
      </c>
      <c r="F4672" s="1882"/>
      <c r="G4672" s="1882" t="str">
        <f>IF('4S'!L23="","##BLANK",'4S'!L23)</f>
        <v>##BLANK</v>
      </c>
    </row>
    <row r="4673" spans="2:7">
      <c r="B4673" s="1709" t="str">
        <f>'4S'!BX24</f>
        <v>STWC126</v>
      </c>
      <c r="D4673" s="1882"/>
      <c r="E4673" s="1628" t="s">
        <v>8339</v>
      </c>
      <c r="F4673" s="1882"/>
      <c r="G4673" s="1882">
        <f>IF('4S'!L24="","##BLANK",'4S'!L24)</f>
        <v>0</v>
      </c>
    </row>
    <row r="4674" spans="2:7">
      <c r="B4674" s="1709" t="str">
        <f>'4S'!BY8</f>
        <v>STWD007</v>
      </c>
      <c r="D4674" s="1882"/>
      <c r="E4674" s="1628" t="s">
        <v>8339</v>
      </c>
      <c r="F4674" s="1882"/>
      <c r="G4674" s="1882" t="str">
        <f>IF('4S'!M8="","##BLANK",'4S'!M8)</f>
        <v>##BLANK</v>
      </c>
    </row>
    <row r="4675" spans="2:7">
      <c r="B4675" s="1709" t="str">
        <f>'4S'!BY9</f>
        <v>STWD021</v>
      </c>
      <c r="D4675" s="1882"/>
      <c r="E4675" s="1628" t="s">
        <v>8339</v>
      </c>
      <c r="F4675" s="1882"/>
      <c r="G4675" s="1882" t="str">
        <f>IF('4S'!M9="","##BLANK",'4S'!M9)</f>
        <v>##BLANK</v>
      </c>
    </row>
    <row r="4676" spans="2:7">
      <c r="B4676" s="1709" t="str">
        <f>'4S'!BY10</f>
        <v>STWD035</v>
      </c>
      <c r="D4676" s="1882"/>
      <c r="E4676" s="1628" t="s">
        <v>8339</v>
      </c>
      <c r="F4676" s="1882"/>
      <c r="G4676" s="1882" t="str">
        <f>IF('4S'!M10="","##BLANK",'4S'!M10)</f>
        <v>##BLANK</v>
      </c>
    </row>
    <row r="4677" spans="2:7">
      <c r="B4677" s="1709" t="str">
        <f>'4S'!BY11</f>
        <v>STWD049</v>
      </c>
      <c r="D4677" s="1882"/>
      <c r="E4677" s="1628" t="s">
        <v>8339</v>
      </c>
      <c r="F4677" s="1882"/>
      <c r="G4677" s="1882" t="str">
        <f>IF('4S'!M11="","##BLANK",'4S'!M11)</f>
        <v>##BLANK</v>
      </c>
    </row>
    <row r="4678" spans="2:7">
      <c r="B4678" s="1709" t="str">
        <f>'4S'!BY12</f>
        <v>STWD063</v>
      </c>
      <c r="D4678" s="1882"/>
      <c r="E4678" s="1628" t="s">
        <v>8339</v>
      </c>
      <c r="F4678" s="1882"/>
      <c r="G4678" s="1882" t="str">
        <f>IF('4S'!M12="","##BLANK",'4S'!M12)</f>
        <v>##BLANK</v>
      </c>
    </row>
    <row r="4679" spans="2:7">
      <c r="B4679" s="1709" t="str">
        <f>'4S'!BY13</f>
        <v>STWD107</v>
      </c>
      <c r="D4679" s="1882"/>
      <c r="E4679" s="1628" t="s">
        <v>8339</v>
      </c>
      <c r="F4679" s="1882"/>
      <c r="G4679" s="1882" t="str">
        <f>IF('4S'!M13="","##BLANK",'4S'!M13)</f>
        <v>##BLANK</v>
      </c>
    </row>
    <row r="4680" spans="2:7">
      <c r="B4680" s="1709" t="str">
        <f>'4S'!BY14</f>
        <v>STWD127</v>
      </c>
      <c r="D4680" s="1882"/>
      <c r="E4680" s="1628" t="s">
        <v>8339</v>
      </c>
      <c r="F4680" s="1882"/>
      <c r="G4680" s="1882">
        <f>IF('4S'!M14="","##BLANK",'4S'!M14)</f>
        <v>0</v>
      </c>
    </row>
    <row r="4681" spans="2:7">
      <c r="B4681" s="1709" t="str">
        <f>'4S'!BY18</f>
        <v>STWC007</v>
      </c>
      <c r="D4681" s="1882"/>
      <c r="E4681" s="1628" t="s">
        <v>8339</v>
      </c>
      <c r="F4681" s="1882"/>
      <c r="G4681" s="1882" t="str">
        <f>IF('4S'!M18="","##BLANK",'4S'!M18)</f>
        <v>##BLANK</v>
      </c>
    </row>
    <row r="4682" spans="2:7">
      <c r="B4682" s="1709" t="str">
        <f>'4S'!BY19</f>
        <v>STWC021</v>
      </c>
      <c r="D4682" s="1882"/>
      <c r="E4682" s="1628" t="s">
        <v>8339</v>
      </c>
      <c r="F4682" s="1882"/>
      <c r="G4682" s="1882" t="str">
        <f>IF('4S'!M19="","##BLANK",'4S'!M19)</f>
        <v>##BLANK</v>
      </c>
    </row>
    <row r="4683" spans="2:7">
      <c r="B4683" s="1709" t="str">
        <f>'4S'!BY20</f>
        <v>STWC035</v>
      </c>
      <c r="D4683" s="1882"/>
      <c r="E4683" s="1628" t="s">
        <v>8339</v>
      </c>
      <c r="F4683" s="1882"/>
      <c r="G4683" s="1882" t="str">
        <f>IF('4S'!M20="","##BLANK",'4S'!M20)</f>
        <v>##BLANK</v>
      </c>
    </row>
    <row r="4684" spans="2:7">
      <c r="B4684" s="1709" t="str">
        <f>'4S'!BY21</f>
        <v>STWC049</v>
      </c>
      <c r="D4684" s="1882"/>
      <c r="E4684" s="1628" t="s">
        <v>8339</v>
      </c>
      <c r="F4684" s="1882"/>
      <c r="G4684" s="1882" t="str">
        <f>IF('4S'!M21="","##BLANK",'4S'!M21)</f>
        <v>##BLANK</v>
      </c>
    </row>
    <row r="4685" spans="2:7">
      <c r="B4685" s="1709" t="str">
        <f>'4S'!BY22</f>
        <v>STWC063</v>
      </c>
      <c r="D4685" s="1882"/>
      <c r="E4685" s="1628" t="s">
        <v>8339</v>
      </c>
      <c r="F4685" s="1882"/>
      <c r="G4685" s="1882" t="str">
        <f>IF('4S'!M22="","##BLANK",'4S'!M22)</f>
        <v>##BLANK</v>
      </c>
    </row>
    <row r="4686" spans="2:7">
      <c r="B4686" s="1709" t="str">
        <f>'4S'!BY23</f>
        <v>STWC107</v>
      </c>
      <c r="D4686" s="1882"/>
      <c r="E4686" s="1628" t="s">
        <v>8339</v>
      </c>
      <c r="F4686" s="1882"/>
      <c r="G4686" s="1882" t="str">
        <f>IF('4S'!M23="","##BLANK",'4S'!M23)</f>
        <v>##BLANK</v>
      </c>
    </row>
    <row r="4687" spans="2:7">
      <c r="B4687" s="1709" t="str">
        <f>'4S'!BY24</f>
        <v>STWC127</v>
      </c>
      <c r="D4687" s="1882"/>
      <c r="E4687" s="1628" t="s">
        <v>8339</v>
      </c>
      <c r="F4687" s="1882"/>
      <c r="G4687" s="1882">
        <f>IF('4S'!M24="","##BLANK",'4S'!M24)</f>
        <v>0</v>
      </c>
    </row>
    <row r="4688" spans="2:7">
      <c r="B4688" s="1709" t="str">
        <f>'4S'!BZ8</f>
        <v>STWD012</v>
      </c>
      <c r="D4688" s="1882"/>
      <c r="E4688" s="1628" t="s">
        <v>8339</v>
      </c>
      <c r="F4688" s="1882"/>
      <c r="G4688" s="1882">
        <f>IF('4S'!N8="","##BLANK",'4S'!N8)</f>
        <v>0</v>
      </c>
    </row>
    <row r="4689" spans="2:7">
      <c r="B4689" s="1709" t="str">
        <f>'4S'!BZ9</f>
        <v>STWD026</v>
      </c>
      <c r="D4689" s="1882"/>
      <c r="E4689" s="1628" t="s">
        <v>8339</v>
      </c>
      <c r="F4689" s="1882"/>
      <c r="G4689" s="1882">
        <f>IF('4S'!N9="","##BLANK",'4S'!N9)</f>
        <v>0</v>
      </c>
    </row>
    <row r="4690" spans="2:7">
      <c r="B4690" s="1709" t="str">
        <f>'4S'!BZ10</f>
        <v>STWD040</v>
      </c>
      <c r="D4690" s="1882"/>
      <c r="E4690" s="1628" t="s">
        <v>8339</v>
      </c>
      <c r="F4690" s="1882"/>
      <c r="G4690" s="1882">
        <f>IF('4S'!N10="","##BLANK",'4S'!N10)</f>
        <v>0</v>
      </c>
    </row>
    <row r="4691" spans="2:7">
      <c r="B4691" s="1709" t="str">
        <f>'4S'!BZ11</f>
        <v>STWD054</v>
      </c>
      <c r="D4691" s="1882"/>
      <c r="E4691" s="1628" t="s">
        <v>8339</v>
      </c>
      <c r="F4691" s="1882"/>
      <c r="G4691" s="1882">
        <f>IF('4S'!N11="","##BLANK",'4S'!N11)</f>
        <v>0</v>
      </c>
    </row>
    <row r="4692" spans="2:7">
      <c r="B4692" s="1709" t="str">
        <f>'4S'!BZ12</f>
        <v>STWD068</v>
      </c>
      <c r="D4692" s="1882"/>
      <c r="E4692" s="1628" t="s">
        <v>8339</v>
      </c>
      <c r="F4692" s="1882"/>
      <c r="G4692" s="1882">
        <f>IF('4S'!N12="","##BLANK",'4S'!N12)</f>
        <v>0</v>
      </c>
    </row>
    <row r="4693" spans="2:7">
      <c r="B4693" s="1709" t="str">
        <f>'4S'!BZ13</f>
        <v>STWD108</v>
      </c>
      <c r="D4693" s="1882"/>
      <c r="E4693" s="1628" t="s">
        <v>8339</v>
      </c>
      <c r="F4693" s="1882"/>
      <c r="G4693" s="1882">
        <f>IF('4S'!N13="","##BLANK",'4S'!N13)</f>
        <v>0</v>
      </c>
    </row>
    <row r="4694" spans="2:7">
      <c r="B4694" s="1709" t="str">
        <f>'4S'!BZ14</f>
        <v>STWD128</v>
      </c>
      <c r="D4694" s="1882"/>
      <c r="E4694" s="1628" t="s">
        <v>8339</v>
      </c>
      <c r="F4694" s="1882"/>
      <c r="G4694" s="1882">
        <f>IF('4S'!N14="","##BLANK",'4S'!N14)</f>
        <v>0</v>
      </c>
    </row>
    <row r="4695" spans="2:7" s="1882" customFormat="1">
      <c r="B4695" s="1709" t="str">
        <f>'4S'!BZ15</f>
        <v>STWD130</v>
      </c>
      <c r="C4695" s="1293"/>
      <c r="E4695" s="1628" t="s">
        <v>8339</v>
      </c>
      <c r="G4695" s="1882" t="str">
        <f>IF('4S'!N15="","##BLANK",'4S'!N15)</f>
        <v>##BLANK</v>
      </c>
    </row>
    <row r="4696" spans="2:7">
      <c r="B4696" s="1709" t="str">
        <f>'4S'!BZ18</f>
        <v>STWC108</v>
      </c>
      <c r="D4696" s="1882"/>
      <c r="E4696" s="1628" t="s">
        <v>8339</v>
      </c>
      <c r="F4696" s="1882"/>
      <c r="G4696" s="1882">
        <f>IF('4S'!N18="","##BLANK",'4S'!N18)</f>
        <v>0</v>
      </c>
    </row>
    <row r="4697" spans="2:7">
      <c r="B4697" s="1709" t="str">
        <f>'4S'!BZ19</f>
        <v>STWC109</v>
      </c>
      <c r="D4697" s="1882"/>
      <c r="E4697" s="1628" t="s">
        <v>8339</v>
      </c>
      <c r="F4697" s="1882"/>
      <c r="G4697" s="1882">
        <f>IF('4S'!N19="","##BLANK",'4S'!N19)</f>
        <v>0</v>
      </c>
    </row>
    <row r="4698" spans="2:7">
      <c r="B4698" s="1709" t="str">
        <f>'4S'!BZ20</f>
        <v>STWC110</v>
      </c>
      <c r="D4698" s="1882"/>
      <c r="E4698" s="1628" t="s">
        <v>8339</v>
      </c>
      <c r="F4698" s="1882"/>
      <c r="G4698" s="1882">
        <f>IF('4S'!N20="","##BLANK",'4S'!N20)</f>
        <v>0</v>
      </c>
    </row>
    <row r="4699" spans="2:7">
      <c r="B4699" s="1709" t="str">
        <f>'4S'!BZ21</f>
        <v>STWC111</v>
      </c>
      <c r="D4699" s="1882"/>
      <c r="E4699" s="1628" t="s">
        <v>8339</v>
      </c>
      <c r="F4699" s="1882"/>
      <c r="G4699" s="1882">
        <f>IF('4S'!N21="","##BLANK",'4S'!N21)</f>
        <v>0</v>
      </c>
    </row>
    <row r="4700" spans="2:7">
      <c r="B4700" s="1709" t="str">
        <f>'4S'!BZ22</f>
        <v>STWC112</v>
      </c>
      <c r="D4700" s="1882"/>
      <c r="E4700" s="1628" t="s">
        <v>8339</v>
      </c>
      <c r="F4700" s="1882"/>
      <c r="G4700" s="1882">
        <f>IF('4S'!N22="","##BLANK",'4S'!N22)</f>
        <v>0</v>
      </c>
    </row>
    <row r="4701" spans="2:7">
      <c r="B4701" s="1709" t="str">
        <f>'4S'!BZ23</f>
        <v>STWC114</v>
      </c>
      <c r="D4701" s="1882"/>
      <c r="E4701" s="1628" t="s">
        <v>8339</v>
      </c>
      <c r="F4701" s="1882"/>
      <c r="G4701" s="1882">
        <f>IF('4S'!N23="","##BLANK",'4S'!N23)</f>
        <v>0</v>
      </c>
    </row>
    <row r="4702" spans="2:7">
      <c r="B4702" s="1709" t="str">
        <f>'4S'!BZ24</f>
        <v>STWC115</v>
      </c>
      <c r="D4702" s="1882"/>
      <c r="E4702" s="1628" t="s">
        <v>8339</v>
      </c>
      <c r="F4702" s="1882"/>
      <c r="G4702" s="1882">
        <f>IF('4S'!N24="","##BLANK",'4S'!N24)</f>
        <v>0</v>
      </c>
    </row>
    <row r="4703" spans="2:7">
      <c r="B4703" s="1709" t="str">
        <f>'4S'!CB8</f>
        <v>STWDP001</v>
      </c>
      <c r="D4703" s="1882"/>
      <c r="E4703" s="1628" t="s">
        <v>8339</v>
      </c>
      <c r="F4703" s="1882"/>
      <c r="G4703" s="1882" t="str">
        <f>IF('4S'!P8="","##BLANK",'4S'!P8)</f>
        <v>##BLANK</v>
      </c>
    </row>
    <row r="4704" spans="2:7">
      <c r="B4704" s="1709" t="str">
        <f>'4S'!CB9</f>
        <v>STWDP015</v>
      </c>
      <c r="D4704" s="1882"/>
      <c r="E4704" s="1628" t="s">
        <v>8339</v>
      </c>
      <c r="F4704" s="1882"/>
      <c r="G4704" s="1882" t="str">
        <f>IF('4S'!P9="","##BLANK",'4S'!P9)</f>
        <v>##BLANK</v>
      </c>
    </row>
    <row r="4705" spans="2:7">
      <c r="B4705" s="1709" t="str">
        <f>'4S'!CB10</f>
        <v>STWDP029</v>
      </c>
      <c r="D4705" s="1882"/>
      <c r="E4705" s="1628" t="s">
        <v>8339</v>
      </c>
      <c r="F4705" s="1882"/>
      <c r="G4705" s="1882" t="str">
        <f>IF('4S'!P10="","##BLANK",'4S'!P10)</f>
        <v>##BLANK</v>
      </c>
    </row>
    <row r="4706" spans="2:7">
      <c r="B4706" s="1709" t="str">
        <f>'4S'!CB11</f>
        <v>STWDP043</v>
      </c>
      <c r="D4706" s="1882"/>
      <c r="E4706" s="1628" t="s">
        <v>8339</v>
      </c>
      <c r="F4706" s="1882"/>
      <c r="G4706" s="1882" t="str">
        <f>IF('4S'!P11="","##BLANK",'4S'!P11)</f>
        <v>##BLANK</v>
      </c>
    </row>
    <row r="4707" spans="2:7">
      <c r="B4707" s="1709" t="str">
        <f>'4S'!CB12</f>
        <v>STWDP057</v>
      </c>
      <c r="D4707" s="1882"/>
      <c r="E4707" s="1628" t="s">
        <v>8339</v>
      </c>
      <c r="F4707" s="1882"/>
      <c r="G4707" s="1882" t="str">
        <f>IF('4S'!P12="","##BLANK",'4S'!P12)</f>
        <v>##BLANK</v>
      </c>
    </row>
    <row r="4708" spans="2:7">
      <c r="B4708" s="1709" t="str">
        <f>'4S'!CB13</f>
        <v>STWDP101</v>
      </c>
      <c r="D4708" s="1882"/>
      <c r="E4708" s="1628" t="s">
        <v>8339</v>
      </c>
      <c r="F4708" s="1882"/>
      <c r="G4708" s="1882" t="str">
        <f>IF('4S'!P13="","##BLANK",'4S'!P13)</f>
        <v>##BLANK</v>
      </c>
    </row>
    <row r="4709" spans="2:7">
      <c r="B4709" s="1709" t="str">
        <f>'4S'!CB14</f>
        <v>STWDP121</v>
      </c>
      <c r="D4709" s="1882"/>
      <c r="E4709" s="1628" t="s">
        <v>8339</v>
      </c>
      <c r="F4709" s="1882"/>
      <c r="G4709" s="1882">
        <f>IF('4S'!P14="","##BLANK",'4S'!P14)</f>
        <v>0</v>
      </c>
    </row>
    <row r="4710" spans="2:7">
      <c r="B4710" s="1709" t="str">
        <f>'4S'!CB18</f>
        <v>STWCP001</v>
      </c>
      <c r="D4710" s="1882"/>
      <c r="E4710" s="1628" t="s">
        <v>8339</v>
      </c>
      <c r="F4710" s="1882"/>
      <c r="G4710" s="1882" t="str">
        <f>IF('4S'!P18="","##BLANK",'4S'!P18)</f>
        <v>##BLANK</v>
      </c>
    </row>
    <row r="4711" spans="2:7">
      <c r="B4711" s="1709" t="str">
        <f>'4S'!CB19</f>
        <v>STWCP015</v>
      </c>
      <c r="D4711" s="1882"/>
      <c r="E4711" s="1628" t="s">
        <v>8339</v>
      </c>
      <c r="F4711" s="1882"/>
      <c r="G4711" s="1882" t="str">
        <f>IF('4S'!P19="","##BLANK",'4S'!P19)</f>
        <v>##BLANK</v>
      </c>
    </row>
    <row r="4712" spans="2:7">
      <c r="B4712" s="1709" t="str">
        <f>'4S'!CB20</f>
        <v>STWCP029</v>
      </c>
      <c r="D4712" s="1882"/>
      <c r="E4712" s="1628" t="s">
        <v>8339</v>
      </c>
      <c r="F4712" s="1882"/>
      <c r="G4712" s="1882" t="str">
        <f>IF('4S'!P20="","##BLANK",'4S'!P20)</f>
        <v>##BLANK</v>
      </c>
    </row>
    <row r="4713" spans="2:7">
      <c r="B4713" s="1709" t="str">
        <f>'4S'!CB21</f>
        <v>STWCP043</v>
      </c>
      <c r="D4713" s="1882"/>
      <c r="E4713" s="1628" t="s">
        <v>8339</v>
      </c>
      <c r="F4713" s="1882"/>
      <c r="G4713" s="1882" t="str">
        <f>IF('4S'!P21="","##BLANK",'4S'!P21)</f>
        <v>##BLANK</v>
      </c>
    </row>
    <row r="4714" spans="2:7">
      <c r="B4714" s="1709" t="str">
        <f>'4S'!CB22</f>
        <v>STWCP057</v>
      </c>
      <c r="D4714" s="1882"/>
      <c r="E4714" s="1628" t="s">
        <v>8339</v>
      </c>
      <c r="F4714" s="1882"/>
      <c r="G4714" s="1882" t="str">
        <f>IF('4S'!P22="","##BLANK",'4S'!P22)</f>
        <v>##BLANK</v>
      </c>
    </row>
    <row r="4715" spans="2:7">
      <c r="B4715" s="1709" t="str">
        <f>'4S'!CB23</f>
        <v>STWCP101</v>
      </c>
      <c r="D4715" s="1882"/>
      <c r="E4715" s="1628" t="s">
        <v>8339</v>
      </c>
      <c r="F4715" s="1882"/>
      <c r="G4715" s="1882" t="str">
        <f>IF('4S'!P23="","##BLANK",'4S'!P23)</f>
        <v>##BLANK</v>
      </c>
    </row>
    <row r="4716" spans="2:7">
      <c r="B4716" s="1709" t="str">
        <f>'4S'!CB24</f>
        <v>STWCP121</v>
      </c>
      <c r="D4716" s="1882"/>
      <c r="E4716" s="1628" t="s">
        <v>8339</v>
      </c>
      <c r="F4716" s="1882"/>
      <c r="G4716" s="1882">
        <f>IF('4S'!P24="","##BLANK",'4S'!P24)</f>
        <v>0</v>
      </c>
    </row>
    <row r="4717" spans="2:7">
      <c r="B4717" s="1709" t="str">
        <f>'4S'!CC8</f>
        <v>STWDP002</v>
      </c>
      <c r="D4717" s="1882"/>
      <c r="E4717" s="1628" t="s">
        <v>8339</v>
      </c>
      <c r="F4717" s="1882"/>
      <c r="G4717" s="1882" t="str">
        <f>IF('4S'!Q8="","##BLANK",'4S'!Q8)</f>
        <v>##BLANK</v>
      </c>
    </row>
    <row r="4718" spans="2:7">
      <c r="B4718" s="1709" t="str">
        <f>'4S'!CC9</f>
        <v>STWDP016</v>
      </c>
      <c r="D4718" s="1882"/>
      <c r="E4718" s="1628" t="s">
        <v>8339</v>
      </c>
      <c r="F4718" s="1882"/>
      <c r="G4718" s="1882" t="str">
        <f>IF('4S'!Q9="","##BLANK",'4S'!Q9)</f>
        <v>##BLANK</v>
      </c>
    </row>
    <row r="4719" spans="2:7">
      <c r="B4719" s="1709" t="str">
        <f>'4S'!CC10</f>
        <v>STWDP030</v>
      </c>
      <c r="D4719" s="1882"/>
      <c r="E4719" s="1628" t="s">
        <v>8339</v>
      </c>
      <c r="F4719" s="1882"/>
      <c r="G4719" s="1882" t="str">
        <f>IF('4S'!Q10="","##BLANK",'4S'!Q10)</f>
        <v>##BLANK</v>
      </c>
    </row>
    <row r="4720" spans="2:7">
      <c r="B4720" s="1709" t="str">
        <f>'4S'!CC11</f>
        <v>STWDP044</v>
      </c>
      <c r="D4720" s="1882"/>
      <c r="E4720" s="1628" t="s">
        <v>8339</v>
      </c>
      <c r="F4720" s="1882"/>
      <c r="G4720" s="1882" t="str">
        <f>IF('4S'!Q11="","##BLANK",'4S'!Q11)</f>
        <v>##BLANK</v>
      </c>
    </row>
    <row r="4721" spans="2:7">
      <c r="B4721" s="1709" t="str">
        <f>'4S'!CC12</f>
        <v>STWDP058</v>
      </c>
      <c r="D4721" s="1882"/>
      <c r="E4721" s="1628" t="s">
        <v>8339</v>
      </c>
      <c r="F4721" s="1882"/>
      <c r="G4721" s="1882" t="str">
        <f>IF('4S'!Q12="","##BLANK",'4S'!Q12)</f>
        <v>##BLANK</v>
      </c>
    </row>
    <row r="4722" spans="2:7">
      <c r="B4722" s="1709" t="str">
        <f>'4S'!CC13</f>
        <v>STWDP102</v>
      </c>
      <c r="D4722" s="1882"/>
      <c r="E4722" s="1628" t="s">
        <v>8339</v>
      </c>
      <c r="F4722" s="1882"/>
      <c r="G4722" s="1882" t="str">
        <f>IF('4S'!Q13="","##BLANK",'4S'!Q13)</f>
        <v>##BLANK</v>
      </c>
    </row>
    <row r="4723" spans="2:7">
      <c r="B4723" s="1709" t="str">
        <f>'4S'!CC14</f>
        <v>STWDP122</v>
      </c>
      <c r="D4723" s="1882"/>
      <c r="E4723" s="1628" t="s">
        <v>8339</v>
      </c>
      <c r="F4723" s="1882"/>
      <c r="G4723" s="1882">
        <f>IF('4S'!Q14="","##BLANK",'4S'!Q14)</f>
        <v>0</v>
      </c>
    </row>
    <row r="4724" spans="2:7">
      <c r="B4724" s="1709" t="str">
        <f>'4S'!CC18</f>
        <v>STWCP002</v>
      </c>
      <c r="D4724" s="1882"/>
      <c r="E4724" s="1628" t="s">
        <v>8339</v>
      </c>
      <c r="F4724" s="1882"/>
      <c r="G4724" s="1882" t="str">
        <f>IF('4S'!Q18="","##BLANK",'4S'!Q18)</f>
        <v>##BLANK</v>
      </c>
    </row>
    <row r="4725" spans="2:7">
      <c r="B4725" s="1709" t="str">
        <f>'4S'!CC19</f>
        <v>STWCP016</v>
      </c>
      <c r="D4725" s="1882"/>
      <c r="E4725" s="1628" t="s">
        <v>8339</v>
      </c>
      <c r="F4725" s="1882"/>
      <c r="G4725" s="1882" t="str">
        <f>IF('4S'!Q19="","##BLANK",'4S'!Q19)</f>
        <v>##BLANK</v>
      </c>
    </row>
    <row r="4726" spans="2:7">
      <c r="B4726" s="1709" t="str">
        <f>'4S'!CC20</f>
        <v>STWCP030</v>
      </c>
      <c r="D4726" s="1882"/>
      <c r="E4726" s="1628" t="s">
        <v>8339</v>
      </c>
      <c r="F4726" s="1882"/>
      <c r="G4726" s="1882" t="str">
        <f>IF('4S'!Q20="","##BLANK",'4S'!Q20)</f>
        <v>##BLANK</v>
      </c>
    </row>
    <row r="4727" spans="2:7">
      <c r="B4727" s="1709" t="str">
        <f>'4S'!CC21</f>
        <v>STWCP044</v>
      </c>
      <c r="D4727" s="1882"/>
      <c r="E4727" s="1628" t="s">
        <v>8339</v>
      </c>
      <c r="F4727" s="1882"/>
      <c r="G4727" s="1882" t="str">
        <f>IF('4S'!Q21="","##BLANK",'4S'!Q21)</f>
        <v>##BLANK</v>
      </c>
    </row>
    <row r="4728" spans="2:7">
      <c r="B4728" s="1709" t="str">
        <f>'4S'!CC22</f>
        <v>STWCP058</v>
      </c>
      <c r="D4728" s="1882"/>
      <c r="E4728" s="1628" t="s">
        <v>8339</v>
      </c>
      <c r="F4728" s="1882"/>
      <c r="G4728" s="1882" t="str">
        <f>IF('4S'!Q22="","##BLANK",'4S'!Q22)</f>
        <v>##BLANK</v>
      </c>
    </row>
    <row r="4729" spans="2:7">
      <c r="B4729" s="1709" t="str">
        <f>'4S'!CC23</f>
        <v>STWCP102</v>
      </c>
      <c r="D4729" s="1882"/>
      <c r="E4729" s="1628" t="s">
        <v>8339</v>
      </c>
      <c r="F4729" s="1882"/>
      <c r="G4729" s="1882" t="str">
        <f>IF('4S'!Q23="","##BLANK",'4S'!Q23)</f>
        <v>##BLANK</v>
      </c>
    </row>
    <row r="4730" spans="2:7">
      <c r="B4730" s="1709" t="str">
        <f>'4S'!CC24</f>
        <v>STWCP122</v>
      </c>
      <c r="D4730" s="1882"/>
      <c r="E4730" s="1628" t="s">
        <v>8339</v>
      </c>
      <c r="F4730" s="1882"/>
      <c r="G4730" s="1882">
        <f>IF('4S'!Q24="","##BLANK",'4S'!Q24)</f>
        <v>0</v>
      </c>
    </row>
    <row r="4731" spans="2:7">
      <c r="B4731" s="1709" t="str">
        <f>'4S'!CD8</f>
        <v>STWDP003</v>
      </c>
      <c r="D4731" s="1882"/>
      <c r="E4731" s="1628" t="s">
        <v>8339</v>
      </c>
      <c r="F4731" s="1882"/>
      <c r="G4731" s="1882" t="str">
        <f>IF('4S'!R8="","##BLANK",'4S'!R8)</f>
        <v>##BLANK</v>
      </c>
    </row>
    <row r="4732" spans="2:7">
      <c r="B4732" s="1709" t="str">
        <f>'4S'!CD9</f>
        <v>STWDP017</v>
      </c>
      <c r="D4732" s="1882"/>
      <c r="E4732" s="1628" t="s">
        <v>8339</v>
      </c>
      <c r="F4732" s="1882"/>
      <c r="G4732" s="1882" t="str">
        <f>IF('4S'!R9="","##BLANK",'4S'!R9)</f>
        <v>##BLANK</v>
      </c>
    </row>
    <row r="4733" spans="2:7">
      <c r="B4733" s="1709" t="str">
        <f>'4S'!CD10</f>
        <v>STWDP031</v>
      </c>
      <c r="D4733" s="1882"/>
      <c r="E4733" s="1628" t="s">
        <v>8339</v>
      </c>
      <c r="F4733" s="1882"/>
      <c r="G4733" s="1882" t="str">
        <f>IF('4S'!R10="","##BLANK",'4S'!R10)</f>
        <v>##BLANK</v>
      </c>
    </row>
    <row r="4734" spans="2:7">
      <c r="B4734" s="1709" t="str">
        <f>'4S'!CD11</f>
        <v>STWDP045</v>
      </c>
      <c r="D4734" s="1882"/>
      <c r="E4734" s="1628" t="s">
        <v>8339</v>
      </c>
      <c r="F4734" s="1882"/>
      <c r="G4734" s="1882" t="str">
        <f>IF('4S'!R11="","##BLANK",'4S'!R11)</f>
        <v>##BLANK</v>
      </c>
    </row>
    <row r="4735" spans="2:7">
      <c r="B4735" s="1709" t="str">
        <f>'4S'!CD12</f>
        <v>STWDP059</v>
      </c>
      <c r="D4735" s="1882"/>
      <c r="E4735" s="1628" t="s">
        <v>8339</v>
      </c>
      <c r="F4735" s="1882"/>
      <c r="G4735" s="1882" t="str">
        <f>IF('4S'!R12="","##BLANK",'4S'!R12)</f>
        <v>##BLANK</v>
      </c>
    </row>
    <row r="4736" spans="2:7">
      <c r="B4736" s="1709" t="str">
        <f>'4S'!CD13</f>
        <v>STWDP103</v>
      </c>
      <c r="D4736" s="1882"/>
      <c r="E4736" s="1628" t="s">
        <v>8339</v>
      </c>
      <c r="F4736" s="1882"/>
      <c r="G4736" s="1882" t="str">
        <f>IF('4S'!R13="","##BLANK",'4S'!R13)</f>
        <v>##BLANK</v>
      </c>
    </row>
    <row r="4737" spans="2:7">
      <c r="B4737" s="1709" t="str">
        <f>'4S'!CD14</f>
        <v>STWDP123</v>
      </c>
      <c r="D4737" s="1882"/>
      <c r="E4737" s="1628" t="s">
        <v>8339</v>
      </c>
      <c r="F4737" s="1882"/>
      <c r="G4737" s="1882">
        <f>IF('4S'!R14="","##BLANK",'4S'!R14)</f>
        <v>0</v>
      </c>
    </row>
    <row r="4738" spans="2:7">
      <c r="B4738" s="1709" t="str">
        <f>'4S'!CD18</f>
        <v>STWCP003</v>
      </c>
      <c r="D4738" s="1882"/>
      <c r="E4738" s="1628" t="s">
        <v>8339</v>
      </c>
      <c r="F4738" s="1882"/>
      <c r="G4738" s="1882" t="str">
        <f>IF('4S'!R18="","##BLANK",'4S'!R18)</f>
        <v>##BLANK</v>
      </c>
    </row>
    <row r="4739" spans="2:7">
      <c r="B4739" s="1709" t="str">
        <f>'4S'!CD19</f>
        <v>STWCP017</v>
      </c>
      <c r="D4739" s="1882"/>
      <c r="E4739" s="1628" t="s">
        <v>8339</v>
      </c>
      <c r="F4739" s="1882"/>
      <c r="G4739" s="1882" t="str">
        <f>IF('4S'!R19="","##BLANK",'4S'!R19)</f>
        <v>##BLANK</v>
      </c>
    </row>
    <row r="4740" spans="2:7">
      <c r="B4740" s="1709" t="str">
        <f>'4S'!CD20</f>
        <v>STWCP031</v>
      </c>
      <c r="D4740" s="1882"/>
      <c r="E4740" s="1628" t="s">
        <v>8339</v>
      </c>
      <c r="F4740" s="1882"/>
      <c r="G4740" s="1882" t="str">
        <f>IF('4S'!R20="","##BLANK",'4S'!R20)</f>
        <v>##BLANK</v>
      </c>
    </row>
    <row r="4741" spans="2:7">
      <c r="B4741" s="1709" t="str">
        <f>'4S'!CD21</f>
        <v>STWCP045</v>
      </c>
      <c r="D4741" s="1882"/>
      <c r="E4741" s="1628" t="s">
        <v>8339</v>
      </c>
      <c r="F4741" s="1882"/>
      <c r="G4741" s="1882" t="str">
        <f>IF('4S'!R21="","##BLANK",'4S'!R21)</f>
        <v>##BLANK</v>
      </c>
    </row>
    <row r="4742" spans="2:7">
      <c r="B4742" s="1709" t="str">
        <f>'4S'!CD22</f>
        <v>STWCP059</v>
      </c>
      <c r="D4742" s="1882"/>
      <c r="E4742" s="1628" t="s">
        <v>8339</v>
      </c>
      <c r="F4742" s="1882"/>
      <c r="G4742" s="1882" t="str">
        <f>IF('4S'!R22="","##BLANK",'4S'!R22)</f>
        <v>##BLANK</v>
      </c>
    </row>
    <row r="4743" spans="2:7">
      <c r="B4743" s="1709" t="str">
        <f>'4S'!CD23</f>
        <v>STWCP103</v>
      </c>
      <c r="D4743" s="1882"/>
      <c r="E4743" s="1628" t="s">
        <v>8339</v>
      </c>
      <c r="F4743" s="1882"/>
      <c r="G4743" s="1882" t="str">
        <f>IF('4S'!R23="","##BLANK",'4S'!R23)</f>
        <v>##BLANK</v>
      </c>
    </row>
    <row r="4744" spans="2:7">
      <c r="B4744" s="1709" t="str">
        <f>'4S'!CD24</f>
        <v>STWCP123</v>
      </c>
      <c r="D4744" s="1882"/>
      <c r="E4744" s="1628" t="s">
        <v>8339</v>
      </c>
      <c r="F4744" s="1882"/>
      <c r="G4744" s="1882">
        <f>IF('4S'!R24="","##BLANK",'4S'!R24)</f>
        <v>0</v>
      </c>
    </row>
    <row r="4745" spans="2:7">
      <c r="B4745" s="1709" t="str">
        <f>'4S'!CE8</f>
        <v>STWDP004</v>
      </c>
      <c r="D4745" s="1882"/>
      <c r="E4745" s="1628" t="s">
        <v>8339</v>
      </c>
      <c r="F4745" s="1882"/>
      <c r="G4745" s="1882" t="str">
        <f>IF('4S'!S8="","##BLANK",'4S'!S8)</f>
        <v>##BLANK</v>
      </c>
    </row>
    <row r="4746" spans="2:7">
      <c r="B4746" s="1709" t="str">
        <f>'4S'!CE9</f>
        <v>STWDP018</v>
      </c>
      <c r="D4746" s="1882"/>
      <c r="E4746" s="1628" t="s">
        <v>8339</v>
      </c>
      <c r="F4746" s="1882"/>
      <c r="G4746" s="1882" t="str">
        <f>IF('4S'!S9="","##BLANK",'4S'!S9)</f>
        <v>##BLANK</v>
      </c>
    </row>
    <row r="4747" spans="2:7">
      <c r="B4747" s="1709" t="str">
        <f>'4S'!CE10</f>
        <v>STWDP032</v>
      </c>
      <c r="D4747" s="1882"/>
      <c r="E4747" s="1628" t="s">
        <v>8339</v>
      </c>
      <c r="F4747" s="1882"/>
      <c r="G4747" s="1882" t="str">
        <f>IF('4S'!S10="","##BLANK",'4S'!S10)</f>
        <v>##BLANK</v>
      </c>
    </row>
    <row r="4748" spans="2:7">
      <c r="B4748" s="1709" t="str">
        <f>'4S'!CE11</f>
        <v>STWDP046</v>
      </c>
      <c r="D4748" s="1882"/>
      <c r="E4748" s="1628" t="s">
        <v>8339</v>
      </c>
      <c r="F4748" s="1882"/>
      <c r="G4748" s="1882" t="str">
        <f>IF('4S'!S11="","##BLANK",'4S'!S11)</f>
        <v>##BLANK</v>
      </c>
    </row>
    <row r="4749" spans="2:7">
      <c r="B4749" s="1709" t="str">
        <f>'4S'!CE12</f>
        <v>STWDP060</v>
      </c>
      <c r="D4749" s="1882"/>
      <c r="E4749" s="1628" t="s">
        <v>8339</v>
      </c>
      <c r="F4749" s="1882"/>
      <c r="G4749" s="1882" t="str">
        <f>IF('4S'!S12="","##BLANK",'4S'!S12)</f>
        <v>##BLANK</v>
      </c>
    </row>
    <row r="4750" spans="2:7">
      <c r="B4750" s="1709" t="str">
        <f>'4S'!CE13</f>
        <v>STWDP104</v>
      </c>
      <c r="D4750" s="1882"/>
      <c r="E4750" s="1628" t="s">
        <v>8339</v>
      </c>
      <c r="F4750" s="1882"/>
      <c r="G4750" s="1882" t="str">
        <f>IF('4S'!S13="","##BLANK",'4S'!S13)</f>
        <v>##BLANK</v>
      </c>
    </row>
    <row r="4751" spans="2:7">
      <c r="B4751" s="1709" t="str">
        <f>'4S'!CE14</f>
        <v>STWDP124</v>
      </c>
      <c r="D4751" s="1882"/>
      <c r="E4751" s="1628" t="s">
        <v>8339</v>
      </c>
      <c r="F4751" s="1882"/>
      <c r="G4751" s="1882">
        <f>IF('4S'!S14="","##BLANK",'4S'!S14)</f>
        <v>0</v>
      </c>
    </row>
    <row r="4752" spans="2:7">
      <c r="B4752" s="1709" t="str">
        <f>'4S'!CE18</f>
        <v>STWCP004</v>
      </c>
      <c r="D4752" s="1882"/>
      <c r="E4752" s="1628" t="s">
        <v>8339</v>
      </c>
      <c r="F4752" s="1882"/>
      <c r="G4752" s="1882" t="str">
        <f>IF('4S'!S18="","##BLANK",'4S'!S18)</f>
        <v>##BLANK</v>
      </c>
    </row>
    <row r="4753" spans="2:7">
      <c r="B4753" s="1709" t="str">
        <f>'4S'!CE19</f>
        <v>STWCP018</v>
      </c>
      <c r="D4753" s="1882"/>
      <c r="E4753" s="1628" t="s">
        <v>8339</v>
      </c>
      <c r="F4753" s="1882"/>
      <c r="G4753" s="1882" t="str">
        <f>IF('4S'!S19="","##BLANK",'4S'!S19)</f>
        <v>##BLANK</v>
      </c>
    </row>
    <row r="4754" spans="2:7">
      <c r="B4754" s="1709" t="str">
        <f>'4S'!CE20</f>
        <v>STWCP032</v>
      </c>
      <c r="D4754" s="1882"/>
      <c r="E4754" s="1628" t="s">
        <v>8339</v>
      </c>
      <c r="F4754" s="1882"/>
      <c r="G4754" s="1882" t="str">
        <f>IF('4S'!S20="","##BLANK",'4S'!S20)</f>
        <v>##BLANK</v>
      </c>
    </row>
    <row r="4755" spans="2:7">
      <c r="B4755" s="1709" t="str">
        <f>'4S'!CE21</f>
        <v>STWCP046</v>
      </c>
      <c r="D4755" s="1882"/>
      <c r="E4755" s="1628" t="s">
        <v>8339</v>
      </c>
      <c r="F4755" s="1882"/>
      <c r="G4755" s="1882" t="str">
        <f>IF('4S'!S21="","##BLANK",'4S'!S21)</f>
        <v>##BLANK</v>
      </c>
    </row>
    <row r="4756" spans="2:7">
      <c r="B4756" s="1709" t="str">
        <f>'4S'!CE22</f>
        <v>STWCP060</v>
      </c>
      <c r="D4756" s="1882"/>
      <c r="E4756" s="1628" t="s">
        <v>8339</v>
      </c>
      <c r="F4756" s="1882"/>
      <c r="G4756" s="1882" t="str">
        <f>IF('4S'!S22="","##BLANK",'4S'!S22)</f>
        <v>##BLANK</v>
      </c>
    </row>
    <row r="4757" spans="2:7">
      <c r="B4757" s="1709" t="str">
        <f>'4S'!CE23</f>
        <v>STWCP104</v>
      </c>
      <c r="D4757" s="1882"/>
      <c r="E4757" s="1628" t="s">
        <v>8339</v>
      </c>
      <c r="F4757" s="1882"/>
      <c r="G4757" s="1882" t="str">
        <f>IF('4S'!S23="","##BLANK",'4S'!S23)</f>
        <v>##BLANK</v>
      </c>
    </row>
    <row r="4758" spans="2:7">
      <c r="B4758" s="1709" t="str">
        <f>'4S'!CE24</f>
        <v>STWCP124</v>
      </c>
      <c r="D4758" s="1882"/>
      <c r="E4758" s="1628" t="s">
        <v>8339</v>
      </c>
      <c r="F4758" s="1882"/>
      <c r="G4758" s="1882">
        <f>IF('4S'!S24="","##BLANK",'4S'!S24)</f>
        <v>0</v>
      </c>
    </row>
    <row r="4759" spans="2:7">
      <c r="B4759" s="1709" t="str">
        <f>'4S'!CF8</f>
        <v>STWDP005</v>
      </c>
      <c r="D4759" s="1882"/>
      <c r="E4759" s="1628" t="s">
        <v>8339</v>
      </c>
      <c r="F4759" s="1882"/>
      <c r="G4759" s="1882">
        <f>IF('4S'!T8="","##BLANK",'4S'!T8)</f>
        <v>0</v>
      </c>
    </row>
    <row r="4760" spans="2:7">
      <c r="B4760" s="1709" t="str">
        <f>'4S'!CF9</f>
        <v>STWDP019</v>
      </c>
      <c r="D4760" s="1882"/>
      <c r="E4760" s="1628" t="s">
        <v>8339</v>
      </c>
      <c r="F4760" s="1882"/>
      <c r="G4760" s="1882">
        <f>IF('4S'!T9="","##BLANK",'4S'!T9)</f>
        <v>0</v>
      </c>
    </row>
    <row r="4761" spans="2:7">
      <c r="B4761" s="1709" t="str">
        <f>'4S'!CF10</f>
        <v>STWDP033</v>
      </c>
      <c r="D4761" s="1882"/>
      <c r="E4761" s="1628" t="s">
        <v>8339</v>
      </c>
      <c r="F4761" s="1882"/>
      <c r="G4761" s="1882">
        <f>IF('4S'!T10="","##BLANK",'4S'!T10)</f>
        <v>0</v>
      </c>
    </row>
    <row r="4762" spans="2:7">
      <c r="B4762" s="1709" t="str">
        <f>'4S'!CF11</f>
        <v>STWDP047</v>
      </c>
      <c r="D4762" s="1882"/>
      <c r="E4762" s="1628" t="s">
        <v>8339</v>
      </c>
      <c r="F4762" s="1882"/>
      <c r="G4762" s="1882">
        <f>IF('4S'!T11="","##BLANK",'4S'!T11)</f>
        <v>0</v>
      </c>
    </row>
    <row r="4763" spans="2:7">
      <c r="B4763" s="1709" t="str">
        <f>'4S'!CF12</f>
        <v>STWDP061</v>
      </c>
      <c r="D4763" s="1882"/>
      <c r="E4763" s="1628" t="s">
        <v>8339</v>
      </c>
      <c r="F4763" s="1882"/>
      <c r="G4763" s="1882">
        <f>IF('4S'!T12="","##BLANK",'4S'!T12)</f>
        <v>0</v>
      </c>
    </row>
    <row r="4764" spans="2:7">
      <c r="B4764" s="1709" t="str">
        <f>'4S'!CF13</f>
        <v>STWDP105</v>
      </c>
      <c r="D4764" s="1882"/>
      <c r="E4764" s="1628" t="s">
        <v>8339</v>
      </c>
      <c r="F4764" s="1882"/>
      <c r="G4764" s="1882">
        <f>IF('4S'!T13="","##BLANK",'4S'!T13)</f>
        <v>0</v>
      </c>
    </row>
    <row r="4765" spans="2:7">
      <c r="B4765" s="1709" t="str">
        <f>'4S'!CF14</f>
        <v>STWDP125</v>
      </c>
      <c r="D4765" s="1882"/>
      <c r="E4765" s="1628" t="s">
        <v>8339</v>
      </c>
      <c r="F4765" s="1882"/>
      <c r="G4765" s="1882">
        <f>IF('4S'!T14="","##BLANK",'4S'!T14)</f>
        <v>0</v>
      </c>
    </row>
    <row r="4766" spans="2:7">
      <c r="B4766" s="1709" t="str">
        <f>'4S'!CF18</f>
        <v>STWCP005</v>
      </c>
      <c r="D4766" s="1882"/>
      <c r="E4766" s="1628" t="s">
        <v>8339</v>
      </c>
      <c r="F4766" s="1882"/>
      <c r="G4766" s="1882">
        <f>IF('4S'!T18="","##BLANK",'4S'!T18)</f>
        <v>0</v>
      </c>
    </row>
    <row r="4767" spans="2:7">
      <c r="B4767" s="1709" t="str">
        <f>'4S'!CF19</f>
        <v>STWCP019</v>
      </c>
      <c r="D4767" s="1882"/>
      <c r="E4767" s="1628" t="s">
        <v>8339</v>
      </c>
      <c r="F4767" s="1882"/>
      <c r="G4767" s="1882">
        <f>IF('4S'!T19="","##BLANK",'4S'!T19)</f>
        <v>0</v>
      </c>
    </row>
    <row r="4768" spans="2:7">
      <c r="B4768" s="1709" t="str">
        <f>'4S'!CF20</f>
        <v>STWCP033</v>
      </c>
      <c r="D4768" s="1882"/>
      <c r="E4768" s="1628" t="s">
        <v>8339</v>
      </c>
      <c r="F4768" s="1882"/>
      <c r="G4768" s="1882">
        <f>IF('4S'!T20="","##BLANK",'4S'!T20)</f>
        <v>0</v>
      </c>
    </row>
    <row r="4769" spans="2:7">
      <c r="B4769" s="1709" t="str">
        <f>'4S'!CF21</f>
        <v>STWCP047</v>
      </c>
      <c r="D4769" s="1882"/>
      <c r="E4769" s="1628" t="s">
        <v>8339</v>
      </c>
      <c r="F4769" s="1882"/>
      <c r="G4769" s="1882">
        <f>IF('4S'!T21="","##BLANK",'4S'!T21)</f>
        <v>0</v>
      </c>
    </row>
    <row r="4770" spans="2:7">
      <c r="B4770" s="1709" t="str">
        <f>'4S'!CF22</f>
        <v>STWCP061</v>
      </c>
      <c r="D4770" s="1882"/>
      <c r="E4770" s="1628" t="s">
        <v>8339</v>
      </c>
      <c r="F4770" s="1882"/>
      <c r="G4770" s="1882">
        <f>IF('4S'!T22="","##BLANK",'4S'!T22)</f>
        <v>0</v>
      </c>
    </row>
    <row r="4771" spans="2:7">
      <c r="B4771" s="1709" t="str">
        <f>'4S'!CF23</f>
        <v>STWCP105</v>
      </c>
      <c r="D4771" s="1882"/>
      <c r="E4771" s="1628" t="s">
        <v>8339</v>
      </c>
      <c r="F4771" s="1882"/>
      <c r="G4771" s="1882">
        <f>IF('4S'!T23="","##BLANK",'4S'!T23)</f>
        <v>0</v>
      </c>
    </row>
    <row r="4772" spans="2:7">
      <c r="B4772" s="1709" t="str">
        <f>'4S'!CF24</f>
        <v>STWCP125</v>
      </c>
      <c r="D4772" s="1882"/>
      <c r="E4772" s="1628" t="s">
        <v>8339</v>
      </c>
      <c r="F4772" s="1882"/>
      <c r="G4772" s="1882">
        <f>IF('4S'!T24="","##BLANK",'4S'!T24)</f>
        <v>0</v>
      </c>
    </row>
    <row r="4773" spans="2:7">
      <c r="B4773" s="1709" t="str">
        <f>'4S'!CG8</f>
        <v>STWDB001</v>
      </c>
      <c r="D4773" s="1882"/>
      <c r="E4773" s="1628" t="s">
        <v>8339</v>
      </c>
      <c r="F4773" s="1882"/>
      <c r="G4773" s="1882" t="str">
        <f>IF('4S'!U8="","##BLANK",'4S'!U8)</f>
        <v>##BLANK</v>
      </c>
    </row>
    <row r="4774" spans="2:7">
      <c r="B4774" s="1709" t="str">
        <f>'4S'!CG9</f>
        <v>STWDB015</v>
      </c>
      <c r="D4774" s="1882"/>
      <c r="E4774" s="1628" t="s">
        <v>8339</v>
      </c>
      <c r="F4774" s="1882"/>
      <c r="G4774" s="1882" t="str">
        <f>IF('4S'!U9="","##BLANK",'4S'!U9)</f>
        <v>##BLANK</v>
      </c>
    </row>
    <row r="4775" spans="2:7">
      <c r="B4775" s="1709" t="str">
        <f>'4S'!CG10</f>
        <v>STWDB029</v>
      </c>
      <c r="D4775" s="1882"/>
      <c r="E4775" s="1628" t="s">
        <v>8339</v>
      </c>
      <c r="F4775" s="1882"/>
      <c r="G4775" s="1882" t="str">
        <f>IF('4S'!U10="","##BLANK",'4S'!U10)</f>
        <v>##BLANK</v>
      </c>
    </row>
    <row r="4776" spans="2:7">
      <c r="B4776" s="1709" t="str">
        <f>'4S'!CG11</f>
        <v>STWDB043</v>
      </c>
      <c r="D4776" s="1882"/>
      <c r="E4776" s="1628" t="s">
        <v>8339</v>
      </c>
      <c r="F4776" s="1882"/>
      <c r="G4776" s="1882" t="str">
        <f>IF('4S'!U11="","##BLANK",'4S'!U11)</f>
        <v>##BLANK</v>
      </c>
    </row>
    <row r="4777" spans="2:7">
      <c r="B4777" s="1709" t="str">
        <f>'4S'!CG12</f>
        <v>STWDB057</v>
      </c>
      <c r="D4777" s="1882"/>
      <c r="E4777" s="1628" t="s">
        <v>8339</v>
      </c>
      <c r="F4777" s="1882"/>
      <c r="G4777" s="1882" t="str">
        <f>IF('4S'!U12="","##BLANK",'4S'!U12)</f>
        <v>##BLANK</v>
      </c>
    </row>
    <row r="4778" spans="2:7">
      <c r="B4778" s="1709" t="str">
        <f>'4S'!CG13</f>
        <v>STWDB101</v>
      </c>
      <c r="D4778" s="1882"/>
      <c r="E4778" s="1628" t="s">
        <v>8339</v>
      </c>
      <c r="F4778" s="1882"/>
      <c r="G4778" s="1882" t="str">
        <f>IF('4S'!U13="","##BLANK",'4S'!U13)</f>
        <v>##BLANK</v>
      </c>
    </row>
    <row r="4779" spans="2:7">
      <c r="B4779" s="1709" t="str">
        <f>'4S'!CG14</f>
        <v>STWDB121</v>
      </c>
      <c r="D4779" s="1882"/>
      <c r="E4779" s="1628" t="s">
        <v>8339</v>
      </c>
      <c r="F4779" s="1882"/>
      <c r="G4779" s="1882">
        <f>IF('4S'!U14="","##BLANK",'4S'!U14)</f>
        <v>0</v>
      </c>
    </row>
    <row r="4780" spans="2:7">
      <c r="B4780" s="1709" t="str">
        <f>'4S'!CG18</f>
        <v>STWCB001</v>
      </c>
      <c r="D4780" s="1882"/>
      <c r="E4780" s="1628" t="s">
        <v>8339</v>
      </c>
      <c r="F4780" s="1882"/>
      <c r="G4780" s="1882" t="str">
        <f>IF('4S'!U18="","##BLANK",'4S'!U18)</f>
        <v>##BLANK</v>
      </c>
    </row>
    <row r="4781" spans="2:7">
      <c r="B4781" s="1709" t="str">
        <f>'4S'!CG19</f>
        <v>STWCB015</v>
      </c>
      <c r="D4781" s="1882"/>
      <c r="E4781" s="1628" t="s">
        <v>8339</v>
      </c>
      <c r="F4781" s="1882"/>
      <c r="G4781" s="1882" t="str">
        <f>IF('4S'!U19="","##BLANK",'4S'!U19)</f>
        <v>##BLANK</v>
      </c>
    </row>
    <row r="4782" spans="2:7">
      <c r="B4782" s="1709" t="str">
        <f>'4S'!CG20</f>
        <v>STWCB029</v>
      </c>
      <c r="D4782" s="1882"/>
      <c r="E4782" s="1628" t="s">
        <v>8339</v>
      </c>
      <c r="F4782" s="1882"/>
      <c r="G4782" s="1882" t="str">
        <f>IF('4S'!U20="","##BLANK",'4S'!U20)</f>
        <v>##BLANK</v>
      </c>
    </row>
    <row r="4783" spans="2:7">
      <c r="B4783" s="1709" t="str">
        <f>'4S'!CG21</f>
        <v>STWCB043</v>
      </c>
      <c r="D4783" s="1882"/>
      <c r="E4783" s="1628" t="s">
        <v>8339</v>
      </c>
      <c r="F4783" s="1882"/>
      <c r="G4783" s="1882" t="str">
        <f>IF('4S'!U21="","##BLANK",'4S'!U21)</f>
        <v>##BLANK</v>
      </c>
    </row>
    <row r="4784" spans="2:7">
      <c r="B4784" s="1709" t="str">
        <f>'4S'!CG22</f>
        <v>STWCB057</v>
      </c>
      <c r="D4784" s="1882"/>
      <c r="E4784" s="1628" t="s">
        <v>8339</v>
      </c>
      <c r="F4784" s="1882"/>
      <c r="G4784" s="1882" t="str">
        <f>IF('4S'!U22="","##BLANK",'4S'!U22)</f>
        <v>##BLANK</v>
      </c>
    </row>
    <row r="4785" spans="2:7">
      <c r="B4785" s="1709" t="str">
        <f>'4S'!CG23</f>
        <v>STWCB101</v>
      </c>
      <c r="D4785" s="1882"/>
      <c r="E4785" s="1628" t="s">
        <v>8339</v>
      </c>
      <c r="F4785" s="1882"/>
      <c r="G4785" s="1882" t="str">
        <f>IF('4S'!U23="","##BLANK",'4S'!U23)</f>
        <v>##BLANK</v>
      </c>
    </row>
    <row r="4786" spans="2:7">
      <c r="B4786" s="1709" t="str">
        <f>'4S'!CG24</f>
        <v>STWCB121</v>
      </c>
      <c r="D4786" s="1882"/>
      <c r="E4786" s="1628" t="s">
        <v>8339</v>
      </c>
      <c r="F4786" s="1882"/>
      <c r="G4786" s="1882">
        <f>IF('4S'!U24="","##BLANK",'4S'!U24)</f>
        <v>0</v>
      </c>
    </row>
    <row r="4787" spans="2:7">
      <c r="B4787" s="1709" t="str">
        <f>'4S'!CH8</f>
        <v>STWDB002</v>
      </c>
      <c r="D4787" s="1882"/>
      <c r="E4787" s="1628" t="s">
        <v>8339</v>
      </c>
      <c r="F4787" s="1882"/>
      <c r="G4787" s="1882" t="str">
        <f>IF('4S'!V8="","##BLANK",'4S'!V8)</f>
        <v>##BLANK</v>
      </c>
    </row>
    <row r="4788" spans="2:7">
      <c r="B4788" s="1709" t="str">
        <f>'4S'!CH9</f>
        <v>STWDB016</v>
      </c>
      <c r="D4788" s="1882"/>
      <c r="E4788" s="1628" t="s">
        <v>8339</v>
      </c>
      <c r="F4788" s="1882"/>
      <c r="G4788" s="1882" t="str">
        <f>IF('4S'!V9="","##BLANK",'4S'!V9)</f>
        <v>##BLANK</v>
      </c>
    </row>
    <row r="4789" spans="2:7">
      <c r="B4789" s="1709" t="str">
        <f>'4S'!CH10</f>
        <v>STWDB030</v>
      </c>
      <c r="D4789" s="1882"/>
      <c r="E4789" s="1628" t="s">
        <v>8339</v>
      </c>
      <c r="F4789" s="1882"/>
      <c r="G4789" s="1882" t="str">
        <f>IF('4S'!V10="","##BLANK",'4S'!V10)</f>
        <v>##BLANK</v>
      </c>
    </row>
    <row r="4790" spans="2:7">
      <c r="B4790" s="1709" t="str">
        <f>'4S'!CH11</f>
        <v>STWDB044</v>
      </c>
      <c r="D4790" s="1882"/>
      <c r="E4790" s="1628" t="s">
        <v>8339</v>
      </c>
      <c r="F4790" s="1882"/>
      <c r="G4790" s="1882" t="str">
        <f>IF('4S'!V11="","##BLANK",'4S'!V11)</f>
        <v>##BLANK</v>
      </c>
    </row>
    <row r="4791" spans="2:7">
      <c r="B4791" s="1709" t="str">
        <f>'4S'!CH12</f>
        <v>STWDB058</v>
      </c>
      <c r="D4791" s="1882"/>
      <c r="E4791" s="1628" t="s">
        <v>8339</v>
      </c>
      <c r="F4791" s="1882"/>
      <c r="G4791" s="1882" t="str">
        <f>IF('4S'!V12="","##BLANK",'4S'!V12)</f>
        <v>##BLANK</v>
      </c>
    </row>
    <row r="4792" spans="2:7">
      <c r="B4792" s="1709" t="str">
        <f>'4S'!CH13</f>
        <v>STWDB102</v>
      </c>
      <c r="D4792" s="1882"/>
      <c r="E4792" s="1628" t="s">
        <v>8339</v>
      </c>
      <c r="F4792" s="1882"/>
      <c r="G4792" s="1882" t="str">
        <f>IF('4S'!V13="","##BLANK",'4S'!V13)</f>
        <v>##BLANK</v>
      </c>
    </row>
    <row r="4793" spans="2:7">
      <c r="B4793" s="1709" t="str">
        <f>'4S'!CH14</f>
        <v>STWDB122</v>
      </c>
      <c r="D4793" s="1882"/>
      <c r="E4793" s="1628" t="s">
        <v>8339</v>
      </c>
      <c r="F4793" s="1882"/>
      <c r="G4793" s="1882">
        <f>IF('4S'!V14="","##BLANK",'4S'!V14)</f>
        <v>0</v>
      </c>
    </row>
    <row r="4794" spans="2:7">
      <c r="B4794" s="1709" t="str">
        <f>'4S'!CH18</f>
        <v>STWCB002</v>
      </c>
      <c r="D4794" s="1882"/>
      <c r="E4794" s="1628" t="s">
        <v>8339</v>
      </c>
      <c r="F4794" s="1882"/>
      <c r="G4794" s="1882" t="str">
        <f>IF('4S'!V18="","##BLANK",'4S'!V18)</f>
        <v>##BLANK</v>
      </c>
    </row>
    <row r="4795" spans="2:7">
      <c r="B4795" s="1709" t="str">
        <f>'4S'!CH19</f>
        <v>STWCB016</v>
      </c>
      <c r="D4795" s="1882"/>
      <c r="E4795" s="1628" t="s">
        <v>8339</v>
      </c>
      <c r="F4795" s="1882"/>
      <c r="G4795" s="1882" t="str">
        <f>IF('4S'!V19="","##BLANK",'4S'!V19)</f>
        <v>##BLANK</v>
      </c>
    </row>
    <row r="4796" spans="2:7">
      <c r="B4796" s="1709" t="str">
        <f>'4S'!CH20</f>
        <v>STWCB030</v>
      </c>
      <c r="D4796" s="1882"/>
      <c r="E4796" s="1628" t="s">
        <v>8339</v>
      </c>
      <c r="F4796" s="1882"/>
      <c r="G4796" s="1882" t="str">
        <f>IF('4S'!V20="","##BLANK",'4S'!V20)</f>
        <v>##BLANK</v>
      </c>
    </row>
    <row r="4797" spans="2:7">
      <c r="B4797" s="1709" t="str">
        <f>'4S'!CH21</f>
        <v>STWCB044</v>
      </c>
      <c r="D4797" s="1882"/>
      <c r="E4797" s="1628" t="s">
        <v>8339</v>
      </c>
      <c r="F4797" s="1882"/>
      <c r="G4797" s="1882" t="str">
        <f>IF('4S'!V21="","##BLANK",'4S'!V21)</f>
        <v>##BLANK</v>
      </c>
    </row>
    <row r="4798" spans="2:7">
      <c r="B4798" s="1709" t="str">
        <f>'4S'!CH22</f>
        <v>STWCB058</v>
      </c>
      <c r="D4798" s="1882"/>
      <c r="E4798" s="1628" t="s">
        <v>8339</v>
      </c>
      <c r="F4798" s="1882"/>
      <c r="G4798" s="1882" t="str">
        <f>IF('4S'!V22="","##BLANK",'4S'!V22)</f>
        <v>##BLANK</v>
      </c>
    </row>
    <row r="4799" spans="2:7">
      <c r="B4799" s="1709" t="str">
        <f>'4S'!CH23</f>
        <v>STWCB102</v>
      </c>
      <c r="D4799" s="1882"/>
      <c r="E4799" s="1628" t="s">
        <v>8339</v>
      </c>
      <c r="F4799" s="1882"/>
      <c r="G4799" s="1882" t="str">
        <f>IF('4S'!V23="","##BLANK",'4S'!V23)</f>
        <v>##BLANK</v>
      </c>
    </row>
    <row r="4800" spans="2:7">
      <c r="B4800" s="1709" t="str">
        <f>'4S'!CH24</f>
        <v>STWCB122</v>
      </c>
      <c r="D4800" s="1882"/>
      <c r="E4800" s="1628" t="s">
        <v>8339</v>
      </c>
      <c r="F4800" s="1882"/>
      <c r="G4800" s="1882">
        <f>IF('4S'!V24="","##BLANK",'4S'!V24)</f>
        <v>0</v>
      </c>
    </row>
    <row r="4801" spans="2:7">
      <c r="B4801" s="1709" t="str">
        <f>'4S'!CI8</f>
        <v>STWDB003</v>
      </c>
      <c r="D4801" s="1882"/>
      <c r="E4801" s="1628" t="s">
        <v>8339</v>
      </c>
      <c r="F4801" s="1882"/>
      <c r="G4801" s="1882" t="str">
        <f>IF('4S'!W8="","##BLANK",'4S'!W8)</f>
        <v>##BLANK</v>
      </c>
    </row>
    <row r="4802" spans="2:7">
      <c r="B4802" s="1709" t="str">
        <f>'4S'!CI9</f>
        <v>STWDB017</v>
      </c>
      <c r="D4802" s="1882"/>
      <c r="E4802" s="1628" t="s">
        <v>8339</v>
      </c>
      <c r="F4802" s="1882"/>
      <c r="G4802" s="1882" t="str">
        <f>IF('4S'!W9="","##BLANK",'4S'!W9)</f>
        <v>##BLANK</v>
      </c>
    </row>
    <row r="4803" spans="2:7">
      <c r="B4803" s="1709" t="str">
        <f>'4S'!CI10</f>
        <v>STWDB031</v>
      </c>
      <c r="D4803" s="1882"/>
      <c r="E4803" s="1628" t="s">
        <v>8339</v>
      </c>
      <c r="F4803" s="1882"/>
      <c r="G4803" s="1882" t="str">
        <f>IF('4S'!W10="","##BLANK",'4S'!W10)</f>
        <v>##BLANK</v>
      </c>
    </row>
    <row r="4804" spans="2:7">
      <c r="B4804" s="1709" t="str">
        <f>'4S'!CI11</f>
        <v>STWDB045</v>
      </c>
      <c r="D4804" s="1882"/>
      <c r="E4804" s="1628" t="s">
        <v>8339</v>
      </c>
      <c r="F4804" s="1882"/>
      <c r="G4804" s="1882" t="str">
        <f>IF('4S'!W11="","##BLANK",'4S'!W11)</f>
        <v>##BLANK</v>
      </c>
    </row>
    <row r="4805" spans="2:7">
      <c r="B4805" s="1709" t="str">
        <f>'4S'!CI12</f>
        <v>STWDB059</v>
      </c>
      <c r="D4805" s="1882"/>
      <c r="E4805" s="1628" t="s">
        <v>8339</v>
      </c>
      <c r="F4805" s="1882"/>
      <c r="G4805" s="1882" t="str">
        <f>IF('4S'!W12="","##BLANK",'4S'!W12)</f>
        <v>##BLANK</v>
      </c>
    </row>
    <row r="4806" spans="2:7">
      <c r="B4806" s="1709" t="str">
        <f>'4S'!CI13</f>
        <v>STWDB103</v>
      </c>
      <c r="D4806" s="1882"/>
      <c r="E4806" s="1628" t="s">
        <v>8339</v>
      </c>
      <c r="F4806" s="1882"/>
      <c r="G4806" s="1882" t="str">
        <f>IF('4S'!W13="","##BLANK",'4S'!W13)</f>
        <v>##BLANK</v>
      </c>
    </row>
    <row r="4807" spans="2:7">
      <c r="B4807" s="1709" t="str">
        <f>'4S'!CI14</f>
        <v>STWDB123</v>
      </c>
      <c r="D4807" s="1882"/>
      <c r="E4807" s="1628" t="s">
        <v>8339</v>
      </c>
      <c r="F4807" s="1882"/>
      <c r="G4807" s="1882">
        <f>IF('4S'!W14="","##BLANK",'4S'!W14)</f>
        <v>0</v>
      </c>
    </row>
    <row r="4808" spans="2:7">
      <c r="B4808" s="1709" t="str">
        <f>'4S'!CI18</f>
        <v>STWCB003</v>
      </c>
      <c r="D4808" s="1882"/>
      <c r="E4808" s="1628" t="s">
        <v>8339</v>
      </c>
      <c r="F4808" s="1882"/>
      <c r="G4808" s="1882" t="str">
        <f>IF('4S'!W18="","##BLANK",'4S'!W18)</f>
        <v>##BLANK</v>
      </c>
    </row>
    <row r="4809" spans="2:7">
      <c r="B4809" s="1709" t="str">
        <f>'4S'!CI19</f>
        <v>STWCB017</v>
      </c>
      <c r="D4809" s="1882"/>
      <c r="E4809" s="1628" t="s">
        <v>8339</v>
      </c>
      <c r="F4809" s="1882"/>
      <c r="G4809" s="1882" t="str">
        <f>IF('4S'!W19="","##BLANK",'4S'!W19)</f>
        <v>##BLANK</v>
      </c>
    </row>
    <row r="4810" spans="2:7">
      <c r="B4810" s="1709" t="str">
        <f>'4S'!CI20</f>
        <v>STWCB031</v>
      </c>
      <c r="D4810" s="1882"/>
      <c r="E4810" s="1628" t="s">
        <v>8339</v>
      </c>
      <c r="F4810" s="1882"/>
      <c r="G4810" s="1882" t="str">
        <f>IF('4S'!W20="","##BLANK",'4S'!W20)</f>
        <v>##BLANK</v>
      </c>
    </row>
    <row r="4811" spans="2:7">
      <c r="B4811" s="1709" t="str">
        <f>'4S'!CI21</f>
        <v>STWCB045</v>
      </c>
      <c r="D4811" s="1882"/>
      <c r="E4811" s="1628" t="s">
        <v>8339</v>
      </c>
      <c r="F4811" s="1882"/>
      <c r="G4811" s="1882" t="str">
        <f>IF('4S'!W21="","##BLANK",'4S'!W21)</f>
        <v>##BLANK</v>
      </c>
    </row>
    <row r="4812" spans="2:7">
      <c r="B4812" s="1709" t="str">
        <f>'4S'!CI22</f>
        <v>STWCB059</v>
      </c>
      <c r="D4812" s="1882"/>
      <c r="E4812" s="1628" t="s">
        <v>8339</v>
      </c>
      <c r="F4812" s="1882"/>
      <c r="G4812" s="1882" t="str">
        <f>IF('4S'!W22="","##BLANK",'4S'!W22)</f>
        <v>##BLANK</v>
      </c>
    </row>
    <row r="4813" spans="2:7">
      <c r="B4813" s="1709" t="str">
        <f>'4S'!CI23</f>
        <v>STWCB103</v>
      </c>
      <c r="D4813" s="1882"/>
      <c r="E4813" s="1628" t="s">
        <v>8339</v>
      </c>
      <c r="F4813" s="1882"/>
      <c r="G4813" s="1882" t="str">
        <f>IF('4S'!W23="","##BLANK",'4S'!W23)</f>
        <v>##BLANK</v>
      </c>
    </row>
    <row r="4814" spans="2:7">
      <c r="B4814" s="1709" t="str">
        <f>'4S'!CI24</f>
        <v>STWCB123</v>
      </c>
      <c r="D4814" s="1882"/>
      <c r="E4814" s="1628" t="s">
        <v>8339</v>
      </c>
      <c r="F4814" s="1882"/>
      <c r="G4814" s="1882">
        <f>IF('4S'!W24="","##BLANK",'4S'!W24)</f>
        <v>0</v>
      </c>
    </row>
    <row r="4815" spans="2:7">
      <c r="B4815" s="1709" t="str">
        <f>'4S'!CJ8</f>
        <v>STWDB004</v>
      </c>
      <c r="D4815" s="1882"/>
      <c r="E4815" s="1628" t="s">
        <v>8339</v>
      </c>
      <c r="F4815" s="1882"/>
      <c r="G4815" s="1882" t="str">
        <f>IF('4S'!X8="","##BLANK",'4S'!X8)</f>
        <v>##BLANK</v>
      </c>
    </row>
    <row r="4816" spans="2:7">
      <c r="B4816" s="1709" t="str">
        <f>'4S'!CJ9</f>
        <v>STWDB018</v>
      </c>
      <c r="D4816" s="1882"/>
      <c r="E4816" s="1628" t="s">
        <v>8339</v>
      </c>
      <c r="F4816" s="1882"/>
      <c r="G4816" s="1882" t="str">
        <f>IF('4S'!X9="","##BLANK",'4S'!X9)</f>
        <v>##BLANK</v>
      </c>
    </row>
    <row r="4817" spans="2:7">
      <c r="B4817" s="1709" t="str">
        <f>'4S'!CJ10</f>
        <v>STWDB032</v>
      </c>
      <c r="D4817" s="1882"/>
      <c r="E4817" s="1628" t="s">
        <v>8339</v>
      </c>
      <c r="F4817" s="1882"/>
      <c r="G4817" s="1882" t="str">
        <f>IF('4S'!X10="","##BLANK",'4S'!X10)</f>
        <v>##BLANK</v>
      </c>
    </row>
    <row r="4818" spans="2:7">
      <c r="B4818" s="1709" t="str">
        <f>'4S'!CJ11</f>
        <v>STWDB046</v>
      </c>
      <c r="D4818" s="1882"/>
      <c r="E4818" s="1628" t="s">
        <v>8339</v>
      </c>
      <c r="F4818" s="1882"/>
      <c r="G4818" s="1882" t="str">
        <f>IF('4S'!X11="","##BLANK",'4S'!X11)</f>
        <v>##BLANK</v>
      </c>
    </row>
    <row r="4819" spans="2:7">
      <c r="B4819" s="1709" t="str">
        <f>'4S'!CJ12</f>
        <v>STWDB060</v>
      </c>
      <c r="D4819" s="1882"/>
      <c r="E4819" s="1628" t="s">
        <v>8339</v>
      </c>
      <c r="F4819" s="1882"/>
      <c r="G4819" s="1882" t="str">
        <f>IF('4S'!X12="","##BLANK",'4S'!X12)</f>
        <v>##BLANK</v>
      </c>
    </row>
    <row r="4820" spans="2:7">
      <c r="B4820" s="1709" t="str">
        <f>'4S'!CJ13</f>
        <v>STWDB104</v>
      </c>
      <c r="D4820" s="1882"/>
      <c r="E4820" s="1628" t="s">
        <v>8339</v>
      </c>
      <c r="F4820" s="1882"/>
      <c r="G4820" s="1882" t="str">
        <f>IF('4S'!X13="","##BLANK",'4S'!X13)</f>
        <v>##BLANK</v>
      </c>
    </row>
    <row r="4821" spans="2:7">
      <c r="B4821" s="1709" t="str">
        <f>'4S'!CJ14</f>
        <v>STWDB124</v>
      </c>
      <c r="D4821" s="1882"/>
      <c r="E4821" s="1628" t="s">
        <v>8339</v>
      </c>
      <c r="F4821" s="1882"/>
      <c r="G4821" s="1882">
        <f>IF('4S'!X14="","##BLANK",'4S'!X14)</f>
        <v>0</v>
      </c>
    </row>
    <row r="4822" spans="2:7">
      <c r="B4822" s="1709" t="str">
        <f>'4S'!CJ18</f>
        <v>STWCB004</v>
      </c>
      <c r="D4822" s="1882"/>
      <c r="E4822" s="1628" t="s">
        <v>8339</v>
      </c>
      <c r="F4822" s="1882"/>
      <c r="G4822" s="1882" t="str">
        <f>IF('4S'!X18="","##BLANK",'4S'!X18)</f>
        <v>##BLANK</v>
      </c>
    </row>
    <row r="4823" spans="2:7">
      <c r="B4823" s="1709" t="str">
        <f>'4S'!CJ19</f>
        <v>STWCB018</v>
      </c>
      <c r="D4823" s="1882"/>
      <c r="E4823" s="1628" t="s">
        <v>8339</v>
      </c>
      <c r="F4823" s="1882"/>
      <c r="G4823" s="1882" t="str">
        <f>IF('4S'!X19="","##BLANK",'4S'!X19)</f>
        <v>##BLANK</v>
      </c>
    </row>
    <row r="4824" spans="2:7">
      <c r="B4824" s="1709" t="str">
        <f>'4S'!CJ20</f>
        <v>STWCB032</v>
      </c>
      <c r="D4824" s="1882"/>
      <c r="E4824" s="1628" t="s">
        <v>8339</v>
      </c>
      <c r="F4824" s="1882"/>
      <c r="G4824" s="1882" t="str">
        <f>IF('4S'!X20="","##BLANK",'4S'!X20)</f>
        <v>##BLANK</v>
      </c>
    </row>
    <row r="4825" spans="2:7">
      <c r="B4825" s="1709" t="str">
        <f>'4S'!CJ21</f>
        <v>STWCB046</v>
      </c>
      <c r="D4825" s="1882"/>
      <c r="E4825" s="1628" t="s">
        <v>8339</v>
      </c>
      <c r="F4825" s="1882"/>
      <c r="G4825" s="1882" t="str">
        <f>IF('4S'!X21="","##BLANK",'4S'!X21)</f>
        <v>##BLANK</v>
      </c>
    </row>
    <row r="4826" spans="2:7">
      <c r="B4826" s="1709" t="str">
        <f>'4S'!CJ22</f>
        <v>STWCB060</v>
      </c>
      <c r="D4826" s="1882"/>
      <c r="E4826" s="1628" t="s">
        <v>8339</v>
      </c>
      <c r="F4826" s="1882"/>
      <c r="G4826" s="1882" t="str">
        <f>IF('4S'!X22="","##BLANK",'4S'!X22)</f>
        <v>##BLANK</v>
      </c>
    </row>
    <row r="4827" spans="2:7">
      <c r="B4827" s="1709" t="str">
        <f>'4S'!CJ23</f>
        <v>STWCB104</v>
      </c>
      <c r="D4827" s="1882"/>
      <c r="E4827" s="1628" t="s">
        <v>8339</v>
      </c>
      <c r="F4827" s="1882"/>
      <c r="G4827" s="1882" t="str">
        <f>IF('4S'!X23="","##BLANK",'4S'!X23)</f>
        <v>##BLANK</v>
      </c>
    </row>
    <row r="4828" spans="2:7">
      <c r="B4828" s="1709" t="str">
        <f>'4S'!CJ24</f>
        <v>STWCB124</v>
      </c>
      <c r="D4828" s="1882"/>
      <c r="E4828" s="1628" t="s">
        <v>8339</v>
      </c>
      <c r="F4828" s="1882"/>
      <c r="G4828" s="1882">
        <f>IF('4S'!X24="","##BLANK",'4S'!X24)</f>
        <v>0</v>
      </c>
    </row>
    <row r="4829" spans="2:7">
      <c r="B4829" s="1709" t="str">
        <f>'4S'!CK8</f>
        <v>STWDB005</v>
      </c>
      <c r="D4829" s="1882"/>
      <c r="E4829" s="1628" t="s">
        <v>8339</v>
      </c>
      <c r="F4829" s="1882"/>
      <c r="G4829" s="1882" t="str">
        <f>IF('4S'!Y8="","##BLANK",'4S'!Y8)</f>
        <v>##BLANK</v>
      </c>
    </row>
    <row r="4830" spans="2:7">
      <c r="B4830" s="1709" t="str">
        <f>'4S'!CK9</f>
        <v>STWDB019</v>
      </c>
      <c r="D4830" s="1882"/>
      <c r="E4830" s="1628" t="s">
        <v>8339</v>
      </c>
      <c r="F4830" s="1882"/>
      <c r="G4830" s="1882" t="str">
        <f>IF('4S'!Y9="","##BLANK",'4S'!Y9)</f>
        <v>##BLANK</v>
      </c>
    </row>
    <row r="4831" spans="2:7">
      <c r="B4831" s="1709" t="str">
        <f>'4S'!CK10</f>
        <v>STWDB033</v>
      </c>
      <c r="D4831" s="1882"/>
      <c r="E4831" s="1628" t="s">
        <v>8339</v>
      </c>
      <c r="F4831" s="1882"/>
      <c r="G4831" s="1882" t="str">
        <f>IF('4S'!Y10="","##BLANK",'4S'!Y10)</f>
        <v>##BLANK</v>
      </c>
    </row>
    <row r="4832" spans="2:7">
      <c r="B4832" s="1709" t="str">
        <f>'4S'!CK11</f>
        <v>STWDB047</v>
      </c>
      <c r="D4832" s="1882"/>
      <c r="E4832" s="1628" t="s">
        <v>8339</v>
      </c>
      <c r="F4832" s="1882"/>
      <c r="G4832" s="1882" t="str">
        <f>IF('4S'!Y11="","##BLANK",'4S'!Y11)</f>
        <v>##BLANK</v>
      </c>
    </row>
    <row r="4833" spans="2:7">
      <c r="B4833" s="1709" t="str">
        <f>'4S'!CK12</f>
        <v>STWDB061</v>
      </c>
      <c r="D4833" s="1882"/>
      <c r="E4833" s="1628" t="s">
        <v>8339</v>
      </c>
      <c r="F4833" s="1882"/>
      <c r="G4833" s="1882" t="str">
        <f>IF('4S'!Y12="","##BLANK",'4S'!Y12)</f>
        <v>##BLANK</v>
      </c>
    </row>
    <row r="4834" spans="2:7">
      <c r="B4834" s="1709" t="str">
        <f>'4S'!CK13</f>
        <v>STWDB105</v>
      </c>
      <c r="D4834" s="1882"/>
      <c r="E4834" s="1628" t="s">
        <v>8339</v>
      </c>
      <c r="F4834" s="1882"/>
      <c r="G4834" s="1882" t="str">
        <f>IF('4S'!Y13="","##BLANK",'4S'!Y13)</f>
        <v>##BLANK</v>
      </c>
    </row>
    <row r="4835" spans="2:7">
      <c r="B4835" s="1709" t="str">
        <f>'4S'!CK14</f>
        <v>STWDB125</v>
      </c>
      <c r="D4835" s="1882"/>
      <c r="E4835" s="1628" t="s">
        <v>8339</v>
      </c>
      <c r="F4835" s="1882"/>
      <c r="G4835" s="1882">
        <f>IF('4S'!Y14="","##BLANK",'4S'!Y14)</f>
        <v>0</v>
      </c>
    </row>
    <row r="4836" spans="2:7">
      <c r="B4836" s="1709" t="str">
        <f>'4S'!CK18</f>
        <v>STWCB005</v>
      </c>
      <c r="D4836" s="1882"/>
      <c r="E4836" s="1628" t="s">
        <v>8339</v>
      </c>
      <c r="F4836" s="1882"/>
      <c r="G4836" s="1882" t="str">
        <f>IF('4S'!Y18="","##BLANK",'4S'!Y18)</f>
        <v>##BLANK</v>
      </c>
    </row>
    <row r="4837" spans="2:7">
      <c r="B4837" s="1709" t="str">
        <f>'4S'!CK19</f>
        <v>STWCB019</v>
      </c>
      <c r="D4837" s="1882"/>
      <c r="E4837" s="1628" t="s">
        <v>8339</v>
      </c>
      <c r="F4837" s="1882"/>
      <c r="G4837" s="1882" t="str">
        <f>IF('4S'!Y19="","##BLANK",'4S'!Y19)</f>
        <v>##BLANK</v>
      </c>
    </row>
    <row r="4838" spans="2:7">
      <c r="B4838" s="1709" t="str">
        <f>'4S'!CK20</f>
        <v>STWCB033</v>
      </c>
      <c r="D4838" s="1882"/>
      <c r="E4838" s="1628" t="s">
        <v>8339</v>
      </c>
      <c r="F4838" s="1882"/>
      <c r="G4838" s="1882" t="str">
        <f>IF('4S'!Y20="","##BLANK",'4S'!Y20)</f>
        <v>##BLANK</v>
      </c>
    </row>
    <row r="4839" spans="2:7">
      <c r="B4839" s="1709" t="str">
        <f>'4S'!CK21</f>
        <v>STWCB047</v>
      </c>
      <c r="D4839" s="1882"/>
      <c r="E4839" s="1628" t="s">
        <v>8339</v>
      </c>
      <c r="F4839" s="1882"/>
      <c r="G4839" s="1882" t="str">
        <f>IF('4S'!Y21="","##BLANK",'4S'!Y21)</f>
        <v>##BLANK</v>
      </c>
    </row>
    <row r="4840" spans="2:7">
      <c r="B4840" s="1709" t="str">
        <f>'4S'!CK22</f>
        <v>STWCB061</v>
      </c>
      <c r="D4840" s="1882"/>
      <c r="E4840" s="1628" t="s">
        <v>8339</v>
      </c>
      <c r="F4840" s="1882"/>
      <c r="G4840" s="1882" t="str">
        <f>IF('4S'!Y22="","##BLANK",'4S'!Y22)</f>
        <v>##BLANK</v>
      </c>
    </row>
    <row r="4841" spans="2:7">
      <c r="B4841" s="1709" t="str">
        <f>'4S'!CK23</f>
        <v>STWCB105</v>
      </c>
      <c r="D4841" s="1882"/>
      <c r="E4841" s="1628" t="s">
        <v>8339</v>
      </c>
      <c r="F4841" s="1882"/>
      <c r="G4841" s="1882" t="str">
        <f>IF('4S'!Y23="","##BLANK",'4S'!Y23)</f>
        <v>##BLANK</v>
      </c>
    </row>
    <row r="4842" spans="2:7">
      <c r="B4842" s="1709" t="str">
        <f>'4S'!CK24</f>
        <v>STWCB125</v>
      </c>
      <c r="D4842" s="1882"/>
      <c r="E4842" s="1628" t="s">
        <v>8339</v>
      </c>
      <c r="F4842" s="1882"/>
      <c r="G4842" s="1882">
        <f>IF('4S'!Y24="","##BLANK",'4S'!Y24)</f>
        <v>0</v>
      </c>
    </row>
    <row r="4843" spans="2:7">
      <c r="B4843" s="1709" t="str">
        <f>'4S'!CL8</f>
        <v>STWDB006</v>
      </c>
      <c r="D4843" s="1882"/>
      <c r="E4843" s="1628" t="s">
        <v>8339</v>
      </c>
      <c r="F4843" s="1882"/>
      <c r="G4843" s="1882">
        <f>IF('4S'!Z8="","##BLANK",'4S'!Z8)</f>
        <v>0</v>
      </c>
    </row>
    <row r="4844" spans="2:7">
      <c r="B4844" s="1709" t="str">
        <f>'4S'!CL9</f>
        <v>STWDB020</v>
      </c>
      <c r="D4844" s="1882"/>
      <c r="E4844" s="1628" t="s">
        <v>8339</v>
      </c>
      <c r="F4844" s="1882"/>
      <c r="G4844" s="1882">
        <f>IF('4S'!Z9="","##BLANK",'4S'!Z9)</f>
        <v>0</v>
      </c>
    </row>
    <row r="4845" spans="2:7">
      <c r="B4845" s="1709" t="str">
        <f>'4S'!CL10</f>
        <v>STWDB034</v>
      </c>
      <c r="D4845" s="1882"/>
      <c r="E4845" s="1628" t="s">
        <v>8339</v>
      </c>
      <c r="F4845" s="1882"/>
      <c r="G4845" s="1882">
        <f>IF('4S'!Z10="","##BLANK",'4S'!Z10)</f>
        <v>0</v>
      </c>
    </row>
    <row r="4846" spans="2:7">
      <c r="B4846" s="1709" t="str">
        <f>'4S'!CL11</f>
        <v>STWDB048</v>
      </c>
      <c r="D4846" s="1882"/>
      <c r="E4846" s="1628" t="s">
        <v>8339</v>
      </c>
      <c r="F4846" s="1882"/>
      <c r="G4846" s="1882">
        <f>IF('4S'!Z11="","##BLANK",'4S'!Z11)</f>
        <v>0</v>
      </c>
    </row>
    <row r="4847" spans="2:7">
      <c r="B4847" s="1709" t="str">
        <f>'4S'!CL12</f>
        <v>STWDB062</v>
      </c>
      <c r="D4847" s="1882"/>
      <c r="E4847" s="1628" t="s">
        <v>8339</v>
      </c>
      <c r="F4847" s="1882"/>
      <c r="G4847" s="1882">
        <f>IF('4S'!Z12="","##BLANK",'4S'!Z12)</f>
        <v>0</v>
      </c>
    </row>
    <row r="4848" spans="2:7">
      <c r="B4848" s="1709" t="str">
        <f>'4S'!CL13</f>
        <v>STWDB106</v>
      </c>
      <c r="D4848" s="1882"/>
      <c r="E4848" s="1628" t="s">
        <v>8339</v>
      </c>
      <c r="F4848" s="1882"/>
      <c r="G4848" s="1882">
        <f>IF('4S'!Z13="","##BLANK",'4S'!Z13)</f>
        <v>0</v>
      </c>
    </row>
    <row r="4849" spans="2:7">
      <c r="B4849" s="1709" t="str">
        <f>'4S'!CL14</f>
        <v>STWDB126</v>
      </c>
      <c r="D4849" s="1882"/>
      <c r="E4849" s="1628" t="s">
        <v>8339</v>
      </c>
      <c r="F4849" s="1882"/>
      <c r="G4849" s="1882">
        <f>IF('4S'!Z14="","##BLANK",'4S'!Z14)</f>
        <v>0</v>
      </c>
    </row>
    <row r="4850" spans="2:7">
      <c r="B4850" s="1709" t="str">
        <f>'4S'!CL18</f>
        <v>STWCB006</v>
      </c>
      <c r="D4850" s="1882"/>
      <c r="E4850" s="1628" t="s">
        <v>8339</v>
      </c>
      <c r="F4850" s="1882"/>
      <c r="G4850" s="1882">
        <f>IF('4S'!Z18="","##BLANK",'4S'!Z18)</f>
        <v>0</v>
      </c>
    </row>
    <row r="4851" spans="2:7">
      <c r="B4851" s="1709" t="str">
        <f>'4S'!CL19</f>
        <v>STWCB020</v>
      </c>
      <c r="D4851" s="1882"/>
      <c r="E4851" s="1628" t="s">
        <v>8339</v>
      </c>
      <c r="F4851" s="1882"/>
      <c r="G4851" s="1882">
        <f>IF('4S'!Z19="","##BLANK",'4S'!Z19)</f>
        <v>0</v>
      </c>
    </row>
    <row r="4852" spans="2:7">
      <c r="B4852" s="1709" t="str">
        <f>'4S'!CL20</f>
        <v>STWCB034</v>
      </c>
      <c r="D4852" s="1882"/>
      <c r="E4852" s="1628" t="s">
        <v>8339</v>
      </c>
      <c r="F4852" s="1882"/>
      <c r="G4852" s="1882">
        <f>IF('4S'!Z20="","##BLANK",'4S'!Z20)</f>
        <v>0</v>
      </c>
    </row>
    <row r="4853" spans="2:7">
      <c r="B4853" s="1709" t="str">
        <f>'4S'!CL21</f>
        <v>STWCB048</v>
      </c>
      <c r="D4853" s="1882"/>
      <c r="E4853" s="1628" t="s">
        <v>8339</v>
      </c>
      <c r="F4853" s="1882"/>
      <c r="G4853" s="1882">
        <f>IF('4S'!Z21="","##BLANK",'4S'!Z21)</f>
        <v>0</v>
      </c>
    </row>
    <row r="4854" spans="2:7">
      <c r="B4854" s="1709" t="str">
        <f>'4S'!CL22</f>
        <v>STWCB062</v>
      </c>
      <c r="D4854" s="1882"/>
      <c r="E4854" s="1628" t="s">
        <v>8339</v>
      </c>
      <c r="F4854" s="1882"/>
      <c r="G4854" s="1882">
        <f>IF('4S'!Z22="","##BLANK",'4S'!Z22)</f>
        <v>0</v>
      </c>
    </row>
    <row r="4855" spans="2:7">
      <c r="B4855" s="1709" t="str">
        <f>'4S'!CL23</f>
        <v>STWCB106</v>
      </c>
      <c r="D4855" s="1882"/>
      <c r="E4855" s="1628" t="s">
        <v>8339</v>
      </c>
      <c r="F4855" s="1882"/>
      <c r="G4855" s="1882">
        <f>IF('4S'!Z23="","##BLANK",'4S'!Z23)</f>
        <v>0</v>
      </c>
    </row>
    <row r="4856" spans="2:7">
      <c r="B4856" s="1709" t="str">
        <f>'4S'!CL24</f>
        <v>STWCB126</v>
      </c>
      <c r="D4856" s="1882"/>
      <c r="E4856" s="1628" t="s">
        <v>8339</v>
      </c>
      <c r="F4856" s="1882"/>
      <c r="G4856" s="1882">
        <f>IF('4S'!Z24="","##BLANK",'4S'!Z24)</f>
        <v>0</v>
      </c>
    </row>
    <row r="4857" spans="2:7">
      <c r="B4857" s="1709" t="str">
        <f>'4S'!CM8</f>
        <v>STWDA001</v>
      </c>
      <c r="D4857" s="1882"/>
      <c r="E4857" s="1628" t="s">
        <v>8339</v>
      </c>
      <c r="F4857" s="1882"/>
      <c r="G4857" s="1882" t="str">
        <f>IF('4S'!AA8="","##BLANK",'4S'!AA8)</f>
        <v>##BLANK</v>
      </c>
    </row>
    <row r="4858" spans="2:7">
      <c r="B4858" s="1709" t="str">
        <f>'4S'!CM9</f>
        <v>STWDA015</v>
      </c>
      <c r="D4858" s="1882"/>
      <c r="E4858" s="1628" t="s">
        <v>8339</v>
      </c>
      <c r="F4858" s="1882"/>
      <c r="G4858" s="1882" t="str">
        <f>IF('4S'!AA9="","##BLANK",'4S'!AA9)</f>
        <v>##BLANK</v>
      </c>
    </row>
    <row r="4859" spans="2:7">
      <c r="B4859" s="1709" t="str">
        <f>'4S'!CM10</f>
        <v>STWDA029</v>
      </c>
      <c r="D4859" s="1882"/>
      <c r="E4859" s="1628" t="s">
        <v>8339</v>
      </c>
      <c r="F4859" s="1882"/>
      <c r="G4859" s="1882" t="str">
        <f>IF('4S'!AA10="","##BLANK",'4S'!AA10)</f>
        <v>##BLANK</v>
      </c>
    </row>
    <row r="4860" spans="2:7">
      <c r="B4860" s="1709" t="str">
        <f>'4S'!CM11</f>
        <v>STWDA043</v>
      </c>
      <c r="D4860" s="1882"/>
      <c r="E4860" s="1628" t="s">
        <v>8339</v>
      </c>
      <c r="F4860" s="1882"/>
      <c r="G4860" s="1882" t="str">
        <f>IF('4S'!AA11="","##BLANK",'4S'!AA11)</f>
        <v>##BLANK</v>
      </c>
    </row>
    <row r="4861" spans="2:7">
      <c r="B4861" s="1709" t="str">
        <f>'4S'!CM12</f>
        <v>STWDA057</v>
      </c>
      <c r="D4861" s="1882"/>
      <c r="E4861" s="1628" t="s">
        <v>8339</v>
      </c>
      <c r="F4861" s="1882"/>
      <c r="G4861" s="1882" t="str">
        <f>IF('4S'!AA12="","##BLANK",'4S'!AA12)</f>
        <v>##BLANK</v>
      </c>
    </row>
    <row r="4862" spans="2:7">
      <c r="B4862" s="1709" t="str">
        <f>'4S'!CM13</f>
        <v>STWDA101</v>
      </c>
      <c r="D4862" s="1882"/>
      <c r="E4862" s="1628" t="s">
        <v>8339</v>
      </c>
      <c r="F4862" s="1882"/>
      <c r="G4862" s="1882" t="str">
        <f>IF('4S'!AA13="","##BLANK",'4S'!AA13)</f>
        <v>##BLANK</v>
      </c>
    </row>
    <row r="4863" spans="2:7">
      <c r="B4863" s="1709" t="str">
        <f>'4S'!CM14</f>
        <v>STWDA121</v>
      </c>
      <c r="D4863" s="1882"/>
      <c r="E4863" s="1628" t="s">
        <v>8339</v>
      </c>
      <c r="F4863" s="1882"/>
      <c r="G4863" s="1882">
        <f>IF('4S'!AA14="","##BLANK",'4S'!AA14)</f>
        <v>0</v>
      </c>
    </row>
    <row r="4864" spans="2:7">
      <c r="B4864" s="1709" t="str">
        <f>'4S'!CM18</f>
        <v>STWCA001</v>
      </c>
      <c r="D4864" s="1882"/>
      <c r="E4864" s="1628" t="s">
        <v>8339</v>
      </c>
      <c r="F4864" s="1882"/>
      <c r="G4864" s="1882" t="str">
        <f>IF('4S'!AA18="","##BLANK",'4S'!AA18)</f>
        <v>##BLANK</v>
      </c>
    </row>
    <row r="4865" spans="2:7">
      <c r="B4865" s="1709" t="str">
        <f>'4S'!CM19</f>
        <v>STWCA015</v>
      </c>
      <c r="D4865" s="1882"/>
      <c r="E4865" s="1628" t="s">
        <v>8339</v>
      </c>
      <c r="F4865" s="1882"/>
      <c r="G4865" s="1882" t="str">
        <f>IF('4S'!AA19="","##BLANK",'4S'!AA19)</f>
        <v>##BLANK</v>
      </c>
    </row>
    <row r="4866" spans="2:7">
      <c r="B4866" s="1709" t="str">
        <f>'4S'!CM20</f>
        <v>STWCA029</v>
      </c>
      <c r="D4866" s="1882"/>
      <c r="E4866" s="1628" t="s">
        <v>8339</v>
      </c>
      <c r="F4866" s="1882"/>
      <c r="G4866" s="1882" t="str">
        <f>IF('4S'!AA20="","##BLANK",'4S'!AA20)</f>
        <v>##BLANK</v>
      </c>
    </row>
    <row r="4867" spans="2:7">
      <c r="B4867" s="1709" t="str">
        <f>'4S'!CM21</f>
        <v>STWCA043</v>
      </c>
      <c r="D4867" s="1882"/>
      <c r="E4867" s="1628" t="s">
        <v>8339</v>
      </c>
      <c r="F4867" s="1882"/>
      <c r="G4867" s="1882" t="str">
        <f>IF('4S'!AA21="","##BLANK",'4S'!AA21)</f>
        <v>##BLANK</v>
      </c>
    </row>
    <row r="4868" spans="2:7">
      <c r="B4868" s="1709" t="str">
        <f>'4S'!CM22</f>
        <v>STWCA057</v>
      </c>
      <c r="D4868" s="1882"/>
      <c r="E4868" s="1628" t="s">
        <v>8339</v>
      </c>
      <c r="F4868" s="1882"/>
      <c r="G4868" s="1882" t="str">
        <f>IF('4S'!AA22="","##BLANK",'4S'!AA22)</f>
        <v>##BLANK</v>
      </c>
    </row>
    <row r="4869" spans="2:7">
      <c r="B4869" s="1709" t="str">
        <f>'4S'!CM23</f>
        <v>STWCA101</v>
      </c>
      <c r="D4869" s="1882"/>
      <c r="E4869" s="1628" t="s">
        <v>8339</v>
      </c>
      <c r="F4869" s="1882"/>
      <c r="G4869" s="1882" t="str">
        <f>IF('4S'!AA23="","##BLANK",'4S'!AA23)</f>
        <v>##BLANK</v>
      </c>
    </row>
    <row r="4870" spans="2:7">
      <c r="B4870" s="1709" t="str">
        <f>'4S'!CM24</f>
        <v>STWCA121</v>
      </c>
      <c r="D4870" s="1882"/>
      <c r="E4870" s="1628" t="s">
        <v>8339</v>
      </c>
      <c r="F4870" s="1882"/>
      <c r="G4870" s="1882">
        <f>IF('4S'!AA24="","##BLANK",'4S'!AA24)</f>
        <v>0</v>
      </c>
    </row>
    <row r="4871" spans="2:7">
      <c r="B4871" s="1709" t="str">
        <f>'4S'!CN8</f>
        <v>STWDA002</v>
      </c>
      <c r="D4871" s="1882"/>
      <c r="E4871" s="1628" t="s">
        <v>8339</v>
      </c>
      <c r="F4871" s="1882"/>
      <c r="G4871" s="1882" t="str">
        <f>IF('4S'!AB8="","##BLANK",'4S'!AB8)</f>
        <v>##BLANK</v>
      </c>
    </row>
    <row r="4872" spans="2:7">
      <c r="B4872" s="1709" t="str">
        <f>'4S'!CN9</f>
        <v>STWDA016</v>
      </c>
      <c r="D4872" s="1882"/>
      <c r="E4872" s="1628" t="s">
        <v>8339</v>
      </c>
      <c r="F4872" s="1882"/>
      <c r="G4872" s="1882" t="str">
        <f>IF('4S'!AB9="","##BLANK",'4S'!AB9)</f>
        <v>##BLANK</v>
      </c>
    </row>
    <row r="4873" spans="2:7">
      <c r="B4873" s="1709" t="str">
        <f>'4S'!CN10</f>
        <v>STWDA030</v>
      </c>
      <c r="D4873" s="1882"/>
      <c r="E4873" s="1628" t="s">
        <v>8339</v>
      </c>
      <c r="F4873" s="1882"/>
      <c r="G4873" s="1882" t="str">
        <f>IF('4S'!AB10="","##BLANK",'4S'!AB10)</f>
        <v>##BLANK</v>
      </c>
    </row>
    <row r="4874" spans="2:7">
      <c r="B4874" s="1709" t="str">
        <f>'4S'!CN11</f>
        <v>STWDA044</v>
      </c>
      <c r="D4874" s="1882"/>
      <c r="E4874" s="1628" t="s">
        <v>8339</v>
      </c>
      <c r="F4874" s="1882"/>
      <c r="G4874" s="1882" t="str">
        <f>IF('4S'!AB11="","##BLANK",'4S'!AB11)</f>
        <v>##BLANK</v>
      </c>
    </row>
    <row r="4875" spans="2:7">
      <c r="B4875" s="1709" t="str">
        <f>'4S'!CN12</f>
        <v>STWDA058</v>
      </c>
      <c r="D4875" s="1882"/>
      <c r="E4875" s="1628" t="s">
        <v>8339</v>
      </c>
      <c r="F4875" s="1882"/>
      <c r="G4875" s="1882" t="str">
        <f>IF('4S'!AB12="","##BLANK",'4S'!AB12)</f>
        <v>##BLANK</v>
      </c>
    </row>
    <row r="4876" spans="2:7">
      <c r="B4876" s="1709" t="str">
        <f>'4S'!CN13</f>
        <v>STWDA102</v>
      </c>
      <c r="D4876" s="1882"/>
      <c r="E4876" s="1628" t="s">
        <v>8339</v>
      </c>
      <c r="F4876" s="1882"/>
      <c r="G4876" s="1882" t="str">
        <f>IF('4S'!AB13="","##BLANK",'4S'!AB13)</f>
        <v>##BLANK</v>
      </c>
    </row>
    <row r="4877" spans="2:7">
      <c r="B4877" s="1709" t="str">
        <f>'4S'!CN14</f>
        <v>STWDA122</v>
      </c>
      <c r="D4877" s="1882"/>
      <c r="E4877" s="1628" t="s">
        <v>8339</v>
      </c>
      <c r="F4877" s="1882"/>
      <c r="G4877" s="1882">
        <f>IF('4S'!AB14="","##BLANK",'4S'!AB14)</f>
        <v>0</v>
      </c>
    </row>
    <row r="4878" spans="2:7">
      <c r="B4878" s="1709" t="str">
        <f>'4S'!CN18</f>
        <v>STWCA002</v>
      </c>
      <c r="D4878" s="1882"/>
      <c r="E4878" s="1628" t="s">
        <v>8339</v>
      </c>
      <c r="F4878" s="1882"/>
      <c r="G4878" s="1882" t="str">
        <f>IF('4S'!AB18="","##BLANK",'4S'!AB18)</f>
        <v>##BLANK</v>
      </c>
    </row>
    <row r="4879" spans="2:7">
      <c r="B4879" s="1709" t="str">
        <f>'4S'!CN19</f>
        <v>STWCA016</v>
      </c>
      <c r="D4879" s="1882"/>
      <c r="E4879" s="1628" t="s">
        <v>8339</v>
      </c>
      <c r="F4879" s="1882"/>
      <c r="G4879" s="1882" t="str">
        <f>IF('4S'!AB19="","##BLANK",'4S'!AB19)</f>
        <v>##BLANK</v>
      </c>
    </row>
    <row r="4880" spans="2:7">
      <c r="B4880" s="1709" t="str">
        <f>'4S'!CN20</f>
        <v>STWCA030</v>
      </c>
      <c r="D4880" s="1882"/>
      <c r="E4880" s="1628" t="s">
        <v>8339</v>
      </c>
      <c r="F4880" s="1882"/>
      <c r="G4880" s="1882" t="str">
        <f>IF('4S'!AB20="","##BLANK",'4S'!AB20)</f>
        <v>##BLANK</v>
      </c>
    </row>
    <row r="4881" spans="2:7">
      <c r="B4881" s="1709" t="str">
        <f>'4S'!CN21</f>
        <v>STWCA044</v>
      </c>
      <c r="D4881" s="1882"/>
      <c r="E4881" s="1628" t="s">
        <v>8339</v>
      </c>
      <c r="F4881" s="1882"/>
      <c r="G4881" s="1882" t="str">
        <f>IF('4S'!AB21="","##BLANK",'4S'!AB21)</f>
        <v>##BLANK</v>
      </c>
    </row>
    <row r="4882" spans="2:7">
      <c r="B4882" s="1709" t="str">
        <f>'4S'!CN22</f>
        <v>STWCA058</v>
      </c>
      <c r="D4882" s="1882"/>
      <c r="E4882" s="1628" t="s">
        <v>8339</v>
      </c>
      <c r="F4882" s="1882"/>
      <c r="G4882" s="1882" t="str">
        <f>IF('4S'!AB22="","##BLANK",'4S'!AB22)</f>
        <v>##BLANK</v>
      </c>
    </row>
    <row r="4883" spans="2:7">
      <c r="B4883" s="1709" t="str">
        <f>'4S'!CN23</f>
        <v>STWCA102</v>
      </c>
      <c r="D4883" s="1882"/>
      <c r="E4883" s="1628" t="s">
        <v>8339</v>
      </c>
      <c r="F4883" s="1882"/>
      <c r="G4883" s="1882" t="str">
        <f>IF('4S'!AB23="","##BLANK",'4S'!AB23)</f>
        <v>##BLANK</v>
      </c>
    </row>
    <row r="4884" spans="2:7">
      <c r="B4884" s="1709" t="str">
        <f>'4S'!CN24</f>
        <v>STWCA122</v>
      </c>
      <c r="D4884" s="1882"/>
      <c r="E4884" s="1628" t="s">
        <v>8339</v>
      </c>
      <c r="F4884" s="1882"/>
      <c r="G4884" s="1882">
        <f>IF('4S'!AB24="","##BLANK",'4S'!AB24)</f>
        <v>0</v>
      </c>
    </row>
    <row r="4885" spans="2:7">
      <c r="B4885" s="1709" t="str">
        <f>'4S'!CO8</f>
        <v>STWDA003</v>
      </c>
      <c r="D4885" s="1882"/>
      <c r="E4885" s="1628" t="s">
        <v>8339</v>
      </c>
      <c r="F4885" s="1882"/>
      <c r="G4885" s="1882" t="str">
        <f>IF('4S'!AC8="","##BLANK",'4S'!AC8)</f>
        <v>##BLANK</v>
      </c>
    </row>
    <row r="4886" spans="2:7">
      <c r="B4886" s="1709" t="str">
        <f>'4S'!CO9</f>
        <v>STWDA017</v>
      </c>
      <c r="D4886" s="1882"/>
      <c r="E4886" s="1628" t="s">
        <v>8339</v>
      </c>
      <c r="F4886" s="1882"/>
      <c r="G4886" s="1882" t="str">
        <f>IF('4S'!AC9="","##BLANK",'4S'!AC9)</f>
        <v>##BLANK</v>
      </c>
    </row>
    <row r="4887" spans="2:7">
      <c r="B4887" s="1709" t="str">
        <f>'4S'!CO10</f>
        <v>STWDA031</v>
      </c>
      <c r="D4887" s="1882"/>
      <c r="E4887" s="1628" t="s">
        <v>8339</v>
      </c>
      <c r="F4887" s="1882"/>
      <c r="G4887" s="1882" t="str">
        <f>IF('4S'!AC10="","##BLANK",'4S'!AC10)</f>
        <v>##BLANK</v>
      </c>
    </row>
    <row r="4888" spans="2:7">
      <c r="B4888" s="1709" t="str">
        <f>'4S'!CO11</f>
        <v>STWDA045</v>
      </c>
      <c r="D4888" s="1882"/>
      <c r="E4888" s="1628" t="s">
        <v>8339</v>
      </c>
      <c r="F4888" s="1882"/>
      <c r="G4888" s="1882" t="str">
        <f>IF('4S'!AC11="","##BLANK",'4S'!AC11)</f>
        <v>##BLANK</v>
      </c>
    </row>
    <row r="4889" spans="2:7">
      <c r="B4889" s="1709" t="str">
        <f>'4S'!CO12</f>
        <v>STWDA059</v>
      </c>
      <c r="D4889" s="1882"/>
      <c r="E4889" s="1628" t="s">
        <v>8339</v>
      </c>
      <c r="F4889" s="1882"/>
      <c r="G4889" s="1882" t="str">
        <f>IF('4S'!AC12="","##BLANK",'4S'!AC12)</f>
        <v>##BLANK</v>
      </c>
    </row>
    <row r="4890" spans="2:7">
      <c r="B4890" s="1709" t="str">
        <f>'4S'!CO13</f>
        <v>STWDA103</v>
      </c>
      <c r="D4890" s="1882"/>
      <c r="E4890" s="1628" t="s">
        <v>8339</v>
      </c>
      <c r="F4890" s="1882"/>
      <c r="G4890" s="1882" t="str">
        <f>IF('4S'!AC13="","##BLANK",'4S'!AC13)</f>
        <v>##BLANK</v>
      </c>
    </row>
    <row r="4891" spans="2:7">
      <c r="B4891" s="1709" t="str">
        <f>'4S'!CO14</f>
        <v>STWDA123</v>
      </c>
      <c r="D4891" s="1882"/>
      <c r="E4891" s="1628" t="s">
        <v>8339</v>
      </c>
      <c r="F4891" s="1882"/>
      <c r="G4891" s="1882">
        <f>IF('4S'!AC14="","##BLANK",'4S'!AC14)</f>
        <v>0</v>
      </c>
    </row>
    <row r="4892" spans="2:7">
      <c r="B4892" s="1709" t="str">
        <f>'4S'!CO18</f>
        <v>STWCA003</v>
      </c>
      <c r="D4892" s="1882"/>
      <c r="E4892" s="1628" t="s">
        <v>8339</v>
      </c>
      <c r="F4892" s="1882"/>
      <c r="G4892" s="1882" t="str">
        <f>IF('4S'!AC18="","##BLANK",'4S'!AC18)</f>
        <v>##BLANK</v>
      </c>
    </row>
    <row r="4893" spans="2:7">
      <c r="B4893" s="1709" t="str">
        <f>'4S'!CO19</f>
        <v>STWCA017</v>
      </c>
      <c r="D4893" s="1882"/>
      <c r="E4893" s="1628" t="s">
        <v>8339</v>
      </c>
      <c r="F4893" s="1882"/>
      <c r="G4893" s="1882" t="str">
        <f>IF('4S'!AC19="","##BLANK",'4S'!AC19)</f>
        <v>##BLANK</v>
      </c>
    </row>
    <row r="4894" spans="2:7">
      <c r="B4894" s="1709" t="str">
        <f>'4S'!CO20</f>
        <v>STWCA031</v>
      </c>
      <c r="D4894" s="1882"/>
      <c r="E4894" s="1628" t="s">
        <v>8339</v>
      </c>
      <c r="F4894" s="1882"/>
      <c r="G4894" s="1882" t="str">
        <f>IF('4S'!AC20="","##BLANK",'4S'!AC20)</f>
        <v>##BLANK</v>
      </c>
    </row>
    <row r="4895" spans="2:7">
      <c r="B4895" s="1709" t="str">
        <f>'4S'!CO21</f>
        <v>STWCA045</v>
      </c>
      <c r="D4895" s="1882"/>
      <c r="E4895" s="1628" t="s">
        <v>8339</v>
      </c>
      <c r="F4895" s="1882"/>
      <c r="G4895" s="1882" t="str">
        <f>IF('4S'!AC21="","##BLANK",'4S'!AC21)</f>
        <v>##BLANK</v>
      </c>
    </row>
    <row r="4896" spans="2:7">
      <c r="B4896" s="1709" t="str">
        <f>'4S'!CO22</f>
        <v>STWCA059</v>
      </c>
      <c r="D4896" s="1882"/>
      <c r="E4896" s="1628" t="s">
        <v>8339</v>
      </c>
      <c r="F4896" s="1882"/>
      <c r="G4896" s="1882" t="str">
        <f>IF('4S'!AC22="","##BLANK",'4S'!AC22)</f>
        <v>##BLANK</v>
      </c>
    </row>
    <row r="4897" spans="2:7">
      <c r="B4897" s="1709" t="str">
        <f>'4S'!CO23</f>
        <v>STWCA103</v>
      </c>
      <c r="D4897" s="1882"/>
      <c r="E4897" s="1628" t="s">
        <v>8339</v>
      </c>
      <c r="F4897" s="1882"/>
      <c r="G4897" s="1882" t="str">
        <f>IF('4S'!AC23="","##BLANK",'4S'!AC23)</f>
        <v>##BLANK</v>
      </c>
    </row>
    <row r="4898" spans="2:7">
      <c r="B4898" s="1709" t="str">
        <f>'4S'!CO24</f>
        <v>STWCA123</v>
      </c>
      <c r="D4898" s="1882"/>
      <c r="E4898" s="1628" t="s">
        <v>8339</v>
      </c>
      <c r="F4898" s="1882"/>
      <c r="G4898" s="1882">
        <f>IF('4S'!AC24="","##BLANK",'4S'!AC24)</f>
        <v>0</v>
      </c>
    </row>
    <row r="4899" spans="2:7">
      <c r="B4899" s="1709" t="str">
        <f>'4S'!CP8</f>
        <v>STWDA004</v>
      </c>
      <c r="D4899" s="1882"/>
      <c r="E4899" s="1628" t="s">
        <v>8339</v>
      </c>
      <c r="F4899" s="1882"/>
      <c r="G4899" s="1882" t="str">
        <f>IF('4S'!AD8="","##BLANK",'4S'!AD8)</f>
        <v>##BLANK</v>
      </c>
    </row>
    <row r="4900" spans="2:7">
      <c r="B4900" s="1709" t="str">
        <f>'4S'!CP9</f>
        <v>STWDA018</v>
      </c>
      <c r="D4900" s="1882"/>
      <c r="E4900" s="1628" t="s">
        <v>8339</v>
      </c>
      <c r="F4900" s="1882"/>
      <c r="G4900" s="1882" t="str">
        <f>IF('4S'!AD9="","##BLANK",'4S'!AD9)</f>
        <v>##BLANK</v>
      </c>
    </row>
    <row r="4901" spans="2:7">
      <c r="B4901" s="1709" t="str">
        <f>'4S'!CP10</f>
        <v>STWDA032</v>
      </c>
      <c r="D4901" s="1882"/>
      <c r="E4901" s="1628" t="s">
        <v>8339</v>
      </c>
      <c r="F4901" s="1882"/>
      <c r="G4901" s="1882" t="str">
        <f>IF('4S'!AD10="","##BLANK",'4S'!AD10)</f>
        <v>##BLANK</v>
      </c>
    </row>
    <row r="4902" spans="2:7">
      <c r="B4902" s="1709" t="str">
        <f>'4S'!CP11</f>
        <v>STWDA046</v>
      </c>
      <c r="D4902" s="1882"/>
      <c r="E4902" s="1628" t="s">
        <v>8339</v>
      </c>
      <c r="F4902" s="1882"/>
      <c r="G4902" s="1882" t="str">
        <f>IF('4S'!AD11="","##BLANK",'4S'!AD11)</f>
        <v>##BLANK</v>
      </c>
    </row>
    <row r="4903" spans="2:7">
      <c r="B4903" s="1709" t="str">
        <f>'4S'!CP12</f>
        <v>STWDA060</v>
      </c>
      <c r="D4903" s="1882"/>
      <c r="E4903" s="1628" t="s">
        <v>8339</v>
      </c>
      <c r="F4903" s="1882"/>
      <c r="G4903" s="1882" t="str">
        <f>IF('4S'!AD12="","##BLANK",'4S'!AD12)</f>
        <v>##BLANK</v>
      </c>
    </row>
    <row r="4904" spans="2:7">
      <c r="B4904" s="1709" t="str">
        <f>'4S'!CP13</f>
        <v>STWDA104</v>
      </c>
      <c r="D4904" s="1882"/>
      <c r="E4904" s="1628" t="s">
        <v>8339</v>
      </c>
      <c r="F4904" s="1882"/>
      <c r="G4904" s="1882" t="str">
        <f>IF('4S'!AD13="","##BLANK",'4S'!AD13)</f>
        <v>##BLANK</v>
      </c>
    </row>
    <row r="4905" spans="2:7">
      <c r="B4905" s="1709" t="str">
        <f>'4S'!CP14</f>
        <v>STWDA124</v>
      </c>
      <c r="D4905" s="1882"/>
      <c r="E4905" s="1628" t="s">
        <v>8339</v>
      </c>
      <c r="F4905" s="1882"/>
      <c r="G4905" s="1882">
        <f>IF('4S'!AD14="","##BLANK",'4S'!AD14)</f>
        <v>0</v>
      </c>
    </row>
    <row r="4906" spans="2:7">
      <c r="B4906" s="1709" t="str">
        <f>'4S'!CP18</f>
        <v>STWCA004</v>
      </c>
      <c r="D4906" s="1882"/>
      <c r="E4906" s="1628" t="s">
        <v>8339</v>
      </c>
      <c r="F4906" s="1882"/>
      <c r="G4906" s="1882" t="str">
        <f>IF('4S'!AD18="","##BLANK",'4S'!AD18)</f>
        <v>##BLANK</v>
      </c>
    </row>
    <row r="4907" spans="2:7">
      <c r="B4907" s="1709" t="str">
        <f>'4S'!CP19</f>
        <v>STWCA018</v>
      </c>
      <c r="D4907" s="1882"/>
      <c r="E4907" s="1628" t="s">
        <v>8339</v>
      </c>
      <c r="F4907" s="1882"/>
      <c r="G4907" s="1882" t="str">
        <f>IF('4S'!AD19="","##BLANK",'4S'!AD19)</f>
        <v>##BLANK</v>
      </c>
    </row>
    <row r="4908" spans="2:7">
      <c r="B4908" s="1709" t="str">
        <f>'4S'!CP20</f>
        <v>STWCA032</v>
      </c>
      <c r="D4908" s="1882"/>
      <c r="E4908" s="1628" t="s">
        <v>8339</v>
      </c>
      <c r="F4908" s="1882"/>
      <c r="G4908" s="1882" t="str">
        <f>IF('4S'!AD20="","##BLANK",'4S'!AD20)</f>
        <v>##BLANK</v>
      </c>
    </row>
    <row r="4909" spans="2:7">
      <c r="B4909" s="1709" t="str">
        <f>'4S'!CP21</f>
        <v>STWCA046</v>
      </c>
      <c r="D4909" s="1882"/>
      <c r="E4909" s="1628" t="s">
        <v>8339</v>
      </c>
      <c r="F4909" s="1882"/>
      <c r="G4909" s="1882" t="str">
        <f>IF('4S'!AD21="","##BLANK",'4S'!AD21)</f>
        <v>##BLANK</v>
      </c>
    </row>
    <row r="4910" spans="2:7">
      <c r="B4910" s="1709" t="str">
        <f>'4S'!CP22</f>
        <v>STWCA060</v>
      </c>
      <c r="D4910" s="1882"/>
      <c r="E4910" s="1628" t="s">
        <v>8339</v>
      </c>
      <c r="F4910" s="1882"/>
      <c r="G4910" s="1882" t="str">
        <f>IF('4S'!AD22="","##BLANK",'4S'!AD22)</f>
        <v>##BLANK</v>
      </c>
    </row>
    <row r="4911" spans="2:7">
      <c r="B4911" s="1709" t="str">
        <f>'4S'!CP23</f>
        <v>STWCA104</v>
      </c>
      <c r="D4911" s="1882"/>
      <c r="E4911" s="1628" t="s">
        <v>8339</v>
      </c>
      <c r="F4911" s="1882"/>
      <c r="G4911" s="1882" t="str">
        <f>IF('4S'!AD23="","##BLANK",'4S'!AD23)</f>
        <v>##BLANK</v>
      </c>
    </row>
    <row r="4912" spans="2:7">
      <c r="B4912" s="1709" t="str">
        <f>'4S'!CP24</f>
        <v>STWCA124</v>
      </c>
      <c r="D4912" s="1882"/>
      <c r="E4912" s="1628" t="s">
        <v>8339</v>
      </c>
      <c r="F4912" s="1882"/>
      <c r="G4912" s="1882">
        <f>IF('4S'!AD24="","##BLANK",'4S'!AD24)</f>
        <v>0</v>
      </c>
    </row>
    <row r="4913" spans="2:7">
      <c r="B4913" s="1709" t="str">
        <f>'4S'!CQ8</f>
        <v>STWDA005</v>
      </c>
      <c r="D4913" s="1882"/>
      <c r="E4913" s="1628" t="s">
        <v>8339</v>
      </c>
      <c r="F4913" s="1882"/>
      <c r="G4913" s="1882" t="str">
        <f>IF('4S'!AE8="","##BLANK",'4S'!AE8)</f>
        <v>##BLANK</v>
      </c>
    </row>
    <row r="4914" spans="2:7">
      <c r="B4914" s="1709" t="str">
        <f>'4S'!CQ9</f>
        <v>STWDA019</v>
      </c>
      <c r="D4914" s="1882"/>
      <c r="E4914" s="1628" t="s">
        <v>8339</v>
      </c>
      <c r="F4914" s="1882"/>
      <c r="G4914" s="1882" t="str">
        <f>IF('4S'!AE9="","##BLANK",'4S'!AE9)</f>
        <v>##BLANK</v>
      </c>
    </row>
    <row r="4915" spans="2:7">
      <c r="B4915" s="1709" t="str">
        <f>'4S'!CQ10</f>
        <v>STWDA033</v>
      </c>
      <c r="D4915" s="1882"/>
      <c r="E4915" s="1628" t="s">
        <v>8339</v>
      </c>
      <c r="F4915" s="1882"/>
      <c r="G4915" s="1882" t="str">
        <f>IF('4S'!AE10="","##BLANK",'4S'!AE10)</f>
        <v>##BLANK</v>
      </c>
    </row>
    <row r="4916" spans="2:7">
      <c r="B4916" s="1709" t="str">
        <f>'4S'!CQ11</f>
        <v>STWDA047</v>
      </c>
      <c r="D4916" s="1882"/>
      <c r="E4916" s="1628" t="s">
        <v>8339</v>
      </c>
      <c r="F4916" s="1882"/>
      <c r="G4916" s="1882" t="str">
        <f>IF('4S'!AE11="","##BLANK",'4S'!AE11)</f>
        <v>##BLANK</v>
      </c>
    </row>
    <row r="4917" spans="2:7">
      <c r="B4917" s="1709" t="str">
        <f>'4S'!CQ12</f>
        <v>STWDA061</v>
      </c>
      <c r="D4917" s="1882"/>
      <c r="E4917" s="1628" t="s">
        <v>8339</v>
      </c>
      <c r="F4917" s="1882"/>
      <c r="G4917" s="1882" t="str">
        <f>IF('4S'!AE12="","##BLANK",'4S'!AE12)</f>
        <v>##BLANK</v>
      </c>
    </row>
    <row r="4918" spans="2:7">
      <c r="B4918" s="1709" t="str">
        <f>'4S'!CQ13</f>
        <v>STWDA105</v>
      </c>
      <c r="D4918" s="1882"/>
      <c r="E4918" s="1628" t="s">
        <v>8339</v>
      </c>
      <c r="F4918" s="1882"/>
      <c r="G4918" s="1882" t="str">
        <f>IF('4S'!AE13="","##BLANK",'4S'!AE13)</f>
        <v>##BLANK</v>
      </c>
    </row>
    <row r="4919" spans="2:7">
      <c r="B4919" s="1709" t="str">
        <f>'4S'!CQ14</f>
        <v>STWDA125</v>
      </c>
      <c r="D4919" s="1882"/>
      <c r="E4919" s="1628" t="s">
        <v>8339</v>
      </c>
      <c r="F4919" s="1882"/>
      <c r="G4919" s="1882">
        <f>IF('4S'!AE14="","##BLANK",'4S'!AE14)</f>
        <v>0</v>
      </c>
    </row>
    <row r="4920" spans="2:7">
      <c r="B4920" s="1709" t="str">
        <f>'4S'!CQ18</f>
        <v>STWCA005</v>
      </c>
      <c r="D4920" s="1882"/>
      <c r="E4920" s="1628" t="s">
        <v>8339</v>
      </c>
      <c r="F4920" s="1882"/>
      <c r="G4920" s="1882" t="str">
        <f>IF('4S'!AE18="","##BLANK",'4S'!AE18)</f>
        <v>##BLANK</v>
      </c>
    </row>
    <row r="4921" spans="2:7">
      <c r="B4921" s="1709" t="str">
        <f>'4S'!CQ19</f>
        <v>STWCA019</v>
      </c>
      <c r="D4921" s="1882"/>
      <c r="E4921" s="1628" t="s">
        <v>8339</v>
      </c>
      <c r="F4921" s="1882"/>
      <c r="G4921" s="1882" t="str">
        <f>IF('4S'!AE19="","##BLANK",'4S'!AE19)</f>
        <v>##BLANK</v>
      </c>
    </row>
    <row r="4922" spans="2:7">
      <c r="B4922" s="1709" t="str">
        <f>'4S'!CQ20</f>
        <v>STWCA033</v>
      </c>
      <c r="D4922" s="1882"/>
      <c r="E4922" s="1628" t="s">
        <v>8339</v>
      </c>
      <c r="F4922" s="1882"/>
      <c r="G4922" s="1882" t="str">
        <f>IF('4S'!AE20="","##BLANK",'4S'!AE20)</f>
        <v>##BLANK</v>
      </c>
    </row>
    <row r="4923" spans="2:7">
      <c r="B4923" s="1709" t="str">
        <f>'4S'!CQ21</f>
        <v>STWCA047</v>
      </c>
      <c r="D4923" s="1882"/>
      <c r="E4923" s="1628" t="s">
        <v>8339</v>
      </c>
      <c r="F4923" s="1882"/>
      <c r="G4923" s="1882" t="str">
        <f>IF('4S'!AE21="","##BLANK",'4S'!AE21)</f>
        <v>##BLANK</v>
      </c>
    </row>
    <row r="4924" spans="2:7">
      <c r="B4924" s="1709" t="str">
        <f>'4S'!CQ22</f>
        <v>STWCA061</v>
      </c>
      <c r="D4924" s="1882"/>
      <c r="E4924" s="1628" t="s">
        <v>8339</v>
      </c>
      <c r="F4924" s="1882"/>
      <c r="G4924" s="1882" t="str">
        <f>IF('4S'!AE22="","##BLANK",'4S'!AE22)</f>
        <v>##BLANK</v>
      </c>
    </row>
    <row r="4925" spans="2:7">
      <c r="B4925" s="1709" t="str">
        <f>'4S'!CQ23</f>
        <v>STWCA105</v>
      </c>
      <c r="D4925" s="1882"/>
      <c r="E4925" s="1628" t="s">
        <v>8339</v>
      </c>
      <c r="F4925" s="1882"/>
      <c r="G4925" s="1882" t="str">
        <f>IF('4S'!AE23="","##BLANK",'4S'!AE23)</f>
        <v>##BLANK</v>
      </c>
    </row>
    <row r="4926" spans="2:7">
      <c r="B4926" s="1709" t="str">
        <f>'4S'!CQ24</f>
        <v>STWCA125</v>
      </c>
      <c r="D4926" s="1882"/>
      <c r="E4926" s="1628" t="s">
        <v>8339</v>
      </c>
      <c r="F4926" s="1882"/>
      <c r="G4926" s="1882">
        <f>IF('4S'!AE24="","##BLANK",'4S'!AE24)</f>
        <v>0</v>
      </c>
    </row>
    <row r="4927" spans="2:7">
      <c r="B4927" s="1709" t="str">
        <f>'4S'!CR8</f>
        <v>STWDA006</v>
      </c>
      <c r="D4927" s="1882"/>
      <c r="E4927" s="1628" t="s">
        <v>8339</v>
      </c>
      <c r="F4927" s="1882"/>
      <c r="G4927" s="1882">
        <f>IF('4S'!AF8="","##BLANK",'4S'!AF8)</f>
        <v>0</v>
      </c>
    </row>
    <row r="4928" spans="2:7">
      <c r="B4928" s="1709" t="str">
        <f>'4S'!CR9</f>
        <v>STWDA020</v>
      </c>
      <c r="D4928" s="1882"/>
      <c r="E4928" s="1628" t="s">
        <v>8339</v>
      </c>
      <c r="F4928" s="1882"/>
      <c r="G4928" s="1882">
        <f>IF('4S'!AF9="","##BLANK",'4S'!AF9)</f>
        <v>0</v>
      </c>
    </row>
    <row r="4929" spans="2:7">
      <c r="B4929" s="1709" t="str">
        <f>'4S'!CR10</f>
        <v>STWDA034</v>
      </c>
      <c r="D4929" s="1882"/>
      <c r="E4929" s="1628" t="s">
        <v>8339</v>
      </c>
      <c r="F4929" s="1882"/>
      <c r="G4929" s="1882">
        <f>IF('4S'!AF10="","##BLANK",'4S'!AF10)</f>
        <v>0</v>
      </c>
    </row>
    <row r="4930" spans="2:7">
      <c r="B4930" s="1709" t="str">
        <f>'4S'!CR11</f>
        <v>STWDA048</v>
      </c>
      <c r="D4930" s="1882"/>
      <c r="E4930" s="1628" t="s">
        <v>8339</v>
      </c>
      <c r="F4930" s="1882"/>
      <c r="G4930" s="1882">
        <f>IF('4S'!AF11="","##BLANK",'4S'!AF11)</f>
        <v>0</v>
      </c>
    </row>
    <row r="4931" spans="2:7">
      <c r="B4931" s="1709" t="str">
        <f>'4S'!CR12</f>
        <v>STWDA062</v>
      </c>
      <c r="D4931" s="1882"/>
      <c r="E4931" s="1628" t="s">
        <v>8339</v>
      </c>
      <c r="F4931" s="1882"/>
      <c r="G4931" s="1882">
        <f>IF('4S'!AF12="","##BLANK",'4S'!AF12)</f>
        <v>0</v>
      </c>
    </row>
    <row r="4932" spans="2:7">
      <c r="B4932" s="1709" t="str">
        <f>'4S'!CR13</f>
        <v>STWDA106</v>
      </c>
      <c r="D4932" s="1882"/>
      <c r="E4932" s="1628" t="s">
        <v>8339</v>
      </c>
      <c r="F4932" s="1882"/>
      <c r="G4932" s="1882">
        <f>IF('4S'!AF13="","##BLANK",'4S'!AF13)</f>
        <v>0</v>
      </c>
    </row>
    <row r="4933" spans="2:7">
      <c r="B4933" s="1709" t="str">
        <f>'4S'!CR14</f>
        <v>STWDA126</v>
      </c>
      <c r="D4933" s="1882"/>
      <c r="E4933" s="1628" t="s">
        <v>8339</v>
      </c>
      <c r="F4933" s="1882"/>
      <c r="G4933" s="1882">
        <f>IF('4S'!AF14="","##BLANK",'4S'!AF14)</f>
        <v>0</v>
      </c>
    </row>
    <row r="4934" spans="2:7">
      <c r="B4934" s="1709" t="str">
        <f>'4S'!CR18</f>
        <v>STWCA006</v>
      </c>
      <c r="D4934" s="1882"/>
      <c r="E4934" s="1628" t="s">
        <v>8339</v>
      </c>
      <c r="F4934" s="1882"/>
      <c r="G4934" s="1882">
        <f>IF('4S'!AF18="","##BLANK",'4S'!AF18)</f>
        <v>0</v>
      </c>
    </row>
    <row r="4935" spans="2:7">
      <c r="B4935" s="1709" t="str">
        <f>'4S'!CR19</f>
        <v>STWCA020</v>
      </c>
      <c r="D4935" s="1882"/>
      <c r="E4935" s="1628" t="s">
        <v>8339</v>
      </c>
      <c r="F4935" s="1882"/>
      <c r="G4935" s="1882">
        <f>IF('4S'!AF19="","##BLANK",'4S'!AF19)</f>
        <v>0</v>
      </c>
    </row>
    <row r="4936" spans="2:7">
      <c r="B4936" s="1709" t="str">
        <f>'4S'!CR20</f>
        <v>STWCA034</v>
      </c>
      <c r="D4936" s="1882"/>
      <c r="E4936" s="1628" t="s">
        <v>8339</v>
      </c>
      <c r="F4936" s="1882"/>
      <c r="G4936" s="1882">
        <f>IF('4S'!AF20="","##BLANK",'4S'!AF20)</f>
        <v>0</v>
      </c>
    </row>
    <row r="4937" spans="2:7">
      <c r="B4937" s="1709" t="str">
        <f>'4S'!CR21</f>
        <v>STWCA048</v>
      </c>
      <c r="D4937" s="1882"/>
      <c r="E4937" s="1628" t="s">
        <v>8339</v>
      </c>
      <c r="F4937" s="1882"/>
      <c r="G4937" s="1882">
        <f>IF('4S'!AF21="","##BLANK",'4S'!AF21)</f>
        <v>0</v>
      </c>
    </row>
    <row r="4938" spans="2:7">
      <c r="B4938" s="1709" t="str">
        <f>'4S'!CR22</f>
        <v>STWCA062</v>
      </c>
      <c r="D4938" s="1882"/>
      <c r="E4938" s="1628" t="s">
        <v>8339</v>
      </c>
      <c r="F4938" s="1882"/>
      <c r="G4938" s="1882">
        <f>IF('4S'!AF22="","##BLANK",'4S'!AF22)</f>
        <v>0</v>
      </c>
    </row>
    <row r="4939" spans="2:7">
      <c r="B4939" s="1709" t="str">
        <f>'4S'!CR23</f>
        <v>STWCA106</v>
      </c>
      <c r="D4939" s="1882"/>
      <c r="E4939" s="1628" t="s">
        <v>8339</v>
      </c>
      <c r="F4939" s="1882"/>
      <c r="G4939" s="1882">
        <f>IF('4S'!AF23="","##BLANK",'4S'!AF23)</f>
        <v>0</v>
      </c>
    </row>
    <row r="4940" spans="2:7">
      <c r="B4940" s="1709" t="str">
        <f>'4S'!CR24</f>
        <v>STWCA126</v>
      </c>
      <c r="D4940" s="1882"/>
      <c r="E4940" s="1628" t="s">
        <v>8339</v>
      </c>
      <c r="F4940" s="1882"/>
      <c r="G4940" s="1882">
        <f>IF('4S'!AF24="","##BLANK",'4S'!AF24)</f>
        <v>0</v>
      </c>
    </row>
    <row r="4941" spans="2:7">
      <c r="B4941" s="821" t="str">
        <f>'4S'!BP29</f>
        <v>BN1603</v>
      </c>
      <c r="D4941" s="1882"/>
      <c r="E4941" s="1628" t="s">
        <v>8339</v>
      </c>
      <c r="F4941" s="1882"/>
      <c r="G4941" s="1882" t="str">
        <f>IF('4S'!G29="","##BLANK",'4S'!G29)</f>
        <v>##BLANK</v>
      </c>
    </row>
    <row r="4942" spans="2:7">
      <c r="B4942" s="821" t="str">
        <f>'4S'!BP30</f>
        <v>S4019</v>
      </c>
      <c r="D4942" s="1882"/>
      <c r="E4942" s="1628" t="s">
        <v>8339</v>
      </c>
      <c r="F4942" s="1882"/>
      <c r="G4942" s="1882" t="str">
        <f>IF('4S'!G30="","##BLANK",'4S'!G30)</f>
        <v>##BLANK</v>
      </c>
    </row>
    <row r="4943" spans="2:7">
      <c r="B4943" s="821" t="str">
        <f>'4S'!BP31</f>
        <v>S4020</v>
      </c>
      <c r="D4943" s="1882"/>
      <c r="E4943" s="1628" t="s">
        <v>8339</v>
      </c>
      <c r="F4943" s="1882"/>
      <c r="G4943" s="1882" t="str">
        <f>IF('4S'!G31="","##BLANK",'4S'!G31)</f>
        <v>##BLANK</v>
      </c>
    </row>
    <row r="4944" spans="2:7">
      <c r="B4944" s="821" t="str">
        <f>'4S'!BP32</f>
        <v>S4018</v>
      </c>
      <c r="D4944" s="1882"/>
      <c r="E4944" s="1628" t="s">
        <v>8339</v>
      </c>
      <c r="F4944" s="1882"/>
      <c r="G4944" s="1882" t="str">
        <f>IF('4S'!G32="","##BLANK",'4S'!G32)</f>
        <v>##BLANK</v>
      </c>
    </row>
    <row r="4945" spans="2:7">
      <c r="B4945" s="821" t="str">
        <f>'4S'!BP33</f>
        <v>S4021</v>
      </c>
      <c r="D4945" s="1882"/>
      <c r="E4945" s="1628" t="s">
        <v>8339</v>
      </c>
      <c r="F4945" s="1882"/>
      <c r="G4945" s="1882" t="str">
        <f>IF('4S'!G33="","##BLANK",'4S'!G33)</f>
        <v>##BLANK</v>
      </c>
    </row>
    <row r="4946" spans="2:7">
      <c r="B4946" s="821" t="str">
        <f>'4S'!BP34</f>
        <v>S4022</v>
      </c>
      <c r="D4946" s="1882"/>
      <c r="E4946" s="1628" t="s">
        <v>8339</v>
      </c>
      <c r="F4946" s="1882"/>
      <c r="G4946" s="1882" t="str">
        <f>IF('4S'!G34="","##BLANK",'4S'!G34)</f>
        <v>##BLANK</v>
      </c>
    </row>
    <row r="4947" spans="2:7">
      <c r="B4947" s="821" t="str">
        <f>'4S'!BP35</f>
        <v>S4023</v>
      </c>
      <c r="D4947" s="1882"/>
      <c r="E4947" s="1628" t="s">
        <v>8339</v>
      </c>
      <c r="F4947" s="1882"/>
      <c r="G4947" s="1882" t="str">
        <f>IF('4S'!G35="","##BLANK",'4S'!G35)</f>
        <v>##BLANK</v>
      </c>
    </row>
    <row r="4948" spans="2:7">
      <c r="B4948" s="821" t="str">
        <f>'4S'!BP36</f>
        <v>S4024</v>
      </c>
      <c r="D4948" s="1882"/>
      <c r="E4948" s="1628" t="s">
        <v>8339</v>
      </c>
      <c r="F4948" s="1882"/>
      <c r="G4948" s="1882" t="str">
        <f>IF('4S'!G36="","##BLANK",'4S'!G36)</f>
        <v>##BLANK</v>
      </c>
    </row>
    <row r="4949" spans="2:7">
      <c r="B4949" s="821" t="str">
        <f>'4S'!BP37</f>
        <v>S4025</v>
      </c>
      <c r="D4949" s="1882"/>
      <c r="E4949" s="1628" t="s">
        <v>8339</v>
      </c>
      <c r="F4949" s="1882"/>
      <c r="G4949" s="1882" t="str">
        <f>IF('4S'!G37="","##BLANK",'4S'!G37)</f>
        <v>##BLANK</v>
      </c>
    </row>
    <row r="4950" spans="2:7">
      <c r="B4950" s="821" t="str">
        <f>'4S'!BP38</f>
        <v>S4027</v>
      </c>
      <c r="D4950" s="1882"/>
      <c r="E4950" s="1628" t="s">
        <v>8339</v>
      </c>
      <c r="F4950" s="1882"/>
      <c r="G4950" s="1882" t="str">
        <f>IF('4S'!G38="","##BLANK",'4S'!G38)</f>
        <v>##BLANK</v>
      </c>
    </row>
    <row r="4951" spans="2:7">
      <c r="B4951" s="821" t="str">
        <f>'4T'!AC6</f>
        <v>BN5611INC</v>
      </c>
      <c r="D4951" s="1882"/>
      <c r="E4951" s="1628" t="s">
        <v>8339</v>
      </c>
      <c r="F4951" s="1882"/>
      <c r="G4951" s="1882" t="str">
        <f>IF('4T'!G6="","##BLANK",'4T'!G6)</f>
        <v>##BLANK</v>
      </c>
    </row>
    <row r="4952" spans="2:7">
      <c r="B4952" s="821" t="str">
        <f>'4T'!AC7</f>
        <v>BN5612INC</v>
      </c>
      <c r="D4952" s="1882"/>
      <c r="E4952" s="1628" t="s">
        <v>8339</v>
      </c>
      <c r="F4952" s="1882"/>
      <c r="G4952" s="1882" t="str">
        <f>IF('4T'!G7="","##BLANK",'4T'!G7)</f>
        <v>##BLANK</v>
      </c>
    </row>
    <row r="4953" spans="2:7">
      <c r="B4953" s="821" t="str">
        <f>'4T'!AC8</f>
        <v>BN5613INC</v>
      </c>
      <c r="D4953" s="1882"/>
      <c r="E4953" s="1628" t="s">
        <v>8339</v>
      </c>
      <c r="F4953" s="1882"/>
      <c r="G4953" s="1882" t="str">
        <f>IF('4T'!G8="","##BLANK",'4T'!G8)</f>
        <v>##BLANK</v>
      </c>
    </row>
    <row r="4954" spans="2:7">
      <c r="B4954" s="821" t="str">
        <f>'4T'!AC9</f>
        <v>BN5614INC</v>
      </c>
      <c r="D4954" s="1882"/>
      <c r="E4954" s="1628" t="s">
        <v>8339</v>
      </c>
      <c r="F4954" s="1882"/>
      <c r="G4954" s="1882" t="str">
        <f>IF('4T'!G9="","##BLANK",'4T'!G9)</f>
        <v>##BLANK</v>
      </c>
    </row>
    <row r="4955" spans="2:7">
      <c r="B4955" s="821" t="str">
        <f>'4T'!AC10</f>
        <v>BN5615INC</v>
      </c>
      <c r="D4955" s="1882"/>
      <c r="E4955" s="1628" t="s">
        <v>8339</v>
      </c>
      <c r="F4955" s="1882"/>
      <c r="G4955" s="1882" t="str">
        <f>IF('4T'!G10="","##BLANK",'4T'!G10)</f>
        <v>##BLANK</v>
      </c>
    </row>
    <row r="4956" spans="2:7">
      <c r="B4956" s="821" t="str">
        <f>'4T'!AC11</f>
        <v>BN5616INC</v>
      </c>
      <c r="D4956" s="1882"/>
      <c r="E4956" s="1628" t="s">
        <v>8339</v>
      </c>
      <c r="F4956" s="1882"/>
      <c r="G4956" s="1882" t="str">
        <f>IF('4T'!G11="","##BLANK",'4T'!G11)</f>
        <v>##BLANK</v>
      </c>
    </row>
    <row r="4957" spans="2:7">
      <c r="B4957" s="821" t="str">
        <f>'4T'!AC12</f>
        <v>BN5617INC</v>
      </c>
      <c r="D4957" s="1882"/>
      <c r="E4957" s="1628" t="s">
        <v>8339</v>
      </c>
      <c r="F4957" s="1882"/>
      <c r="G4957" s="1882" t="str">
        <f>IF('4T'!G12="","##BLANK",'4T'!G12)</f>
        <v>##BLANK</v>
      </c>
    </row>
    <row r="4958" spans="2:7">
      <c r="B4958" s="821" t="str">
        <f>'4T'!AC13</f>
        <v>BN5618INC</v>
      </c>
      <c r="D4958" s="1882"/>
      <c r="E4958" s="1628" t="s">
        <v>8339</v>
      </c>
      <c r="F4958" s="1882"/>
      <c r="G4958" s="1882" t="str">
        <f>IF('4T'!G13="","##BLANK",'4T'!G13)</f>
        <v>##BLANK</v>
      </c>
    </row>
    <row r="4959" spans="2:7">
      <c r="B4959" s="821" t="str">
        <f>'4T'!AC14</f>
        <v>BN5619INC</v>
      </c>
      <c r="D4959" s="1882"/>
      <c r="E4959" s="1628" t="s">
        <v>8339</v>
      </c>
      <c r="F4959" s="1882"/>
      <c r="G4959" s="1882">
        <f>IF('4T'!G14="","##BLANK",'4T'!G14)</f>
        <v>0</v>
      </c>
    </row>
    <row r="4960" spans="2:7">
      <c r="B4960" s="821" t="str">
        <f>'4T'!AC17</f>
        <v>BN5620INC</v>
      </c>
      <c r="D4960" s="1882"/>
      <c r="E4960" s="1628" t="s">
        <v>8339</v>
      </c>
      <c r="F4960" s="1882"/>
      <c r="G4960" s="1882" t="str">
        <f>IF('4T'!G17="","##BLANK",'4T'!G17)</f>
        <v>##BLANK</v>
      </c>
    </row>
    <row r="4961" spans="2:7">
      <c r="B4961" s="821" t="str">
        <f>'4T'!AC18</f>
        <v>BN5621INC</v>
      </c>
      <c r="D4961" s="1882"/>
      <c r="E4961" s="1628" t="s">
        <v>8339</v>
      </c>
      <c r="F4961" s="1882"/>
      <c r="G4961" s="1882" t="str">
        <f>IF('4T'!G18="","##BLANK",'4T'!G18)</f>
        <v>##BLANK</v>
      </c>
    </row>
    <row r="4962" spans="2:7">
      <c r="B4962" s="821" t="str">
        <f>'4T'!AC19</f>
        <v>BN5622INC</v>
      </c>
      <c r="D4962" s="1882"/>
      <c r="E4962" s="1628" t="s">
        <v>8339</v>
      </c>
      <c r="F4962" s="1882"/>
      <c r="G4962" s="1882" t="str">
        <f>IF('4T'!G19="","##BLANK",'4T'!G19)</f>
        <v>##BLANK</v>
      </c>
    </row>
    <row r="4963" spans="2:7">
      <c r="B4963" s="821" t="str">
        <f>'4T'!AC20</f>
        <v>BN5623INC</v>
      </c>
      <c r="D4963" s="1882"/>
      <c r="E4963" s="1628" t="s">
        <v>8339</v>
      </c>
      <c r="F4963" s="1882"/>
      <c r="G4963" s="1882" t="str">
        <f>IF('4T'!G20="","##BLANK",'4T'!G20)</f>
        <v>##BLANK</v>
      </c>
    </row>
    <row r="4964" spans="2:7">
      <c r="B4964" s="821" t="str">
        <f>'4T'!AC21</f>
        <v>BN5624INC</v>
      </c>
      <c r="D4964" s="1882"/>
      <c r="E4964" s="1628" t="s">
        <v>8339</v>
      </c>
      <c r="F4964" s="1882"/>
      <c r="G4964" s="1882" t="str">
        <f>IF('4T'!G21="","##BLANK",'4T'!G21)</f>
        <v>##BLANK</v>
      </c>
    </row>
    <row r="4965" spans="2:7">
      <c r="B4965" s="821" t="str">
        <f>'4T'!AC22</f>
        <v>BN5625INC</v>
      </c>
      <c r="D4965" s="1882"/>
      <c r="E4965" s="1628" t="s">
        <v>8339</v>
      </c>
      <c r="F4965" s="1882"/>
      <c r="G4965" s="1882">
        <f>IF('4T'!G22="","##BLANK",'4T'!G22)</f>
        <v>0</v>
      </c>
    </row>
    <row r="4966" spans="2:7">
      <c r="B4966" s="821" t="str">
        <f>'4T'!AD6</f>
        <v>BN5611TPS</v>
      </c>
      <c r="D4966" s="1882"/>
      <c r="E4966" s="1628" t="s">
        <v>8339</v>
      </c>
      <c r="F4966" s="1882"/>
      <c r="G4966" s="1882" t="str">
        <f>IF('4T'!H6="","##BLANK",'4T'!H6)</f>
        <v>##BLANK</v>
      </c>
    </row>
    <row r="4967" spans="2:7">
      <c r="B4967" s="821" t="str">
        <f>'4T'!AD7</f>
        <v>BN5612TPS</v>
      </c>
      <c r="D4967" s="1882"/>
      <c r="E4967" s="1628" t="s">
        <v>8339</v>
      </c>
      <c r="F4967" s="1882"/>
      <c r="G4967" s="1882" t="str">
        <f>IF('4T'!H7="","##BLANK",'4T'!H7)</f>
        <v>##BLANK</v>
      </c>
    </row>
    <row r="4968" spans="2:7">
      <c r="B4968" s="821" t="str">
        <f>'4T'!AD8</f>
        <v>BN5613TPS</v>
      </c>
      <c r="D4968" s="1882"/>
      <c r="E4968" s="1628" t="s">
        <v>8339</v>
      </c>
      <c r="F4968" s="1882"/>
      <c r="G4968" s="1882" t="str">
        <f>IF('4T'!H8="","##BLANK",'4T'!H8)</f>
        <v>##BLANK</v>
      </c>
    </row>
    <row r="4969" spans="2:7">
      <c r="B4969" s="821" t="str">
        <f>'4T'!AD9</f>
        <v>BN5614TPS</v>
      </c>
      <c r="D4969" s="1882"/>
      <c r="E4969" s="1628" t="s">
        <v>8339</v>
      </c>
      <c r="F4969" s="1882"/>
      <c r="G4969" s="1882" t="str">
        <f>IF('4T'!H9="","##BLANK",'4T'!H9)</f>
        <v>##BLANK</v>
      </c>
    </row>
    <row r="4970" spans="2:7">
      <c r="B4970" s="821" t="str">
        <f>'4T'!AD10</f>
        <v>BN5615TPS</v>
      </c>
      <c r="D4970" s="1882"/>
      <c r="E4970" s="1628" t="s">
        <v>8339</v>
      </c>
      <c r="F4970" s="1882"/>
      <c r="G4970" s="1882" t="str">
        <f>IF('4T'!H10="","##BLANK",'4T'!H10)</f>
        <v>##BLANK</v>
      </c>
    </row>
    <row r="4971" spans="2:7">
      <c r="B4971" s="821" t="str">
        <f>'4T'!AD11</f>
        <v>BN5616TPS</v>
      </c>
      <c r="D4971" s="1882"/>
      <c r="E4971" s="1628" t="s">
        <v>8339</v>
      </c>
      <c r="F4971" s="1882"/>
      <c r="G4971" s="1882" t="str">
        <f>IF('4T'!H11="","##BLANK",'4T'!H11)</f>
        <v>##BLANK</v>
      </c>
    </row>
    <row r="4972" spans="2:7">
      <c r="B4972" s="821" t="str">
        <f>'4T'!AD12</f>
        <v>BN5617TPS</v>
      </c>
      <c r="D4972" s="1882"/>
      <c r="E4972" s="1628" t="s">
        <v>8339</v>
      </c>
      <c r="F4972" s="1882"/>
      <c r="G4972" s="1882" t="str">
        <f>IF('4T'!H12="","##BLANK",'4T'!H12)</f>
        <v>##BLANK</v>
      </c>
    </row>
    <row r="4973" spans="2:7">
      <c r="B4973" s="821" t="str">
        <f>'4T'!AD13</f>
        <v>BN5618TPS</v>
      </c>
      <c r="D4973" s="1882"/>
      <c r="E4973" s="1628" t="s">
        <v>8339</v>
      </c>
      <c r="F4973" s="1882"/>
      <c r="G4973" s="1882" t="str">
        <f>IF('4T'!H13="","##BLANK",'4T'!H13)</f>
        <v>##BLANK</v>
      </c>
    </row>
    <row r="4974" spans="2:7">
      <c r="B4974" s="821" t="str">
        <f>'4T'!AD14</f>
        <v>BN5619TPS</v>
      </c>
      <c r="D4974" s="1882"/>
      <c r="E4974" s="1628" t="s">
        <v>8339</v>
      </c>
      <c r="F4974" s="1882"/>
      <c r="G4974" s="1882">
        <f>IF('4T'!H14="","##BLANK",'4T'!H14)</f>
        <v>0</v>
      </c>
    </row>
    <row r="4975" spans="2:7">
      <c r="B4975" s="821" t="str">
        <f>'4T'!AD17</f>
        <v>BN5620TPS</v>
      </c>
      <c r="D4975" s="1882"/>
      <c r="E4975" s="1628" t="s">
        <v>8339</v>
      </c>
      <c r="F4975" s="1882"/>
      <c r="G4975" s="1882" t="str">
        <f>IF('4T'!H17="","##BLANK",'4T'!H17)</f>
        <v>##BLANK</v>
      </c>
    </row>
    <row r="4976" spans="2:7">
      <c r="B4976" s="821" t="str">
        <f>'4T'!AD18</f>
        <v>BN5621TPS</v>
      </c>
      <c r="D4976" s="1882"/>
      <c r="E4976" s="1628" t="s">
        <v>8339</v>
      </c>
      <c r="F4976" s="1882"/>
      <c r="G4976" s="1882" t="str">
        <f>IF('4T'!H18="","##BLANK",'4T'!H18)</f>
        <v>##BLANK</v>
      </c>
    </row>
    <row r="4977" spans="2:7">
      <c r="B4977" s="821" t="str">
        <f>'4T'!AD19</f>
        <v>BN5622TPS</v>
      </c>
      <c r="D4977" s="1882"/>
      <c r="E4977" s="1628" t="s">
        <v>8339</v>
      </c>
      <c r="F4977" s="1882"/>
      <c r="G4977" s="1882" t="str">
        <f>IF('4T'!H19="","##BLANK",'4T'!H19)</f>
        <v>##BLANK</v>
      </c>
    </row>
    <row r="4978" spans="2:7">
      <c r="B4978" s="821" t="str">
        <f>'4T'!AD20</f>
        <v>BN5623TPS</v>
      </c>
      <c r="D4978" s="1882"/>
      <c r="E4978" s="1628" t="s">
        <v>8339</v>
      </c>
      <c r="F4978" s="1882"/>
      <c r="G4978" s="1882" t="str">
        <f>IF('4T'!H20="","##BLANK",'4T'!H20)</f>
        <v>##BLANK</v>
      </c>
    </row>
    <row r="4979" spans="2:7">
      <c r="B4979" s="821" t="str">
        <f>'4T'!AD21</f>
        <v>BN5624TPS</v>
      </c>
      <c r="D4979" s="1882"/>
      <c r="E4979" s="1628" t="s">
        <v>8339</v>
      </c>
      <c r="F4979" s="1882"/>
      <c r="G4979" s="1882" t="str">
        <f>IF('4T'!H21="","##BLANK",'4T'!H21)</f>
        <v>##BLANK</v>
      </c>
    </row>
    <row r="4980" spans="2:7">
      <c r="B4980" s="821" t="str">
        <f>'4T'!AD22</f>
        <v>BN5625TPS</v>
      </c>
      <c r="D4980" s="1882"/>
      <c r="E4980" s="1628" t="s">
        <v>8339</v>
      </c>
      <c r="F4980" s="1882"/>
      <c r="G4980" s="1882">
        <f>IF('4T'!H22="","##BLANK",'4T'!H22)</f>
        <v>0</v>
      </c>
    </row>
    <row r="4981" spans="2:7">
      <c r="B4981" s="821" t="str">
        <f>'4U'!D6</f>
        <v>BP3410</v>
      </c>
      <c r="D4981" s="1882"/>
      <c r="E4981" s="1628" t="s">
        <v>8339</v>
      </c>
      <c r="F4981" s="1882"/>
      <c r="G4981" s="1882" t="str">
        <f>IF('4U'!G6="","##BLANK",'4U'!G6)</f>
        <v>##BLANK</v>
      </c>
    </row>
    <row r="4982" spans="2:7">
      <c r="B4982" s="821" t="str">
        <f>'4U'!D7</f>
        <v>BP3415</v>
      </c>
      <c r="D4982" s="1882"/>
      <c r="E4982" s="1628" t="s">
        <v>8339</v>
      </c>
      <c r="F4982" s="1882"/>
      <c r="G4982" s="1882" t="str">
        <f>IF('4U'!G7="","##BLANK",'4U'!G7)</f>
        <v>##BLANK</v>
      </c>
    </row>
    <row r="4983" spans="2:7">
      <c r="B4983" s="821" t="str">
        <f>'4U'!D8</f>
        <v>BN2130</v>
      </c>
      <c r="D4983" s="1882"/>
      <c r="E4983" s="1628" t="s">
        <v>8339</v>
      </c>
      <c r="F4983" s="1882"/>
      <c r="G4983" s="1882" t="str">
        <f>IF('4U'!G8="","##BLANK",'4U'!G8)</f>
        <v>##BLANK</v>
      </c>
    </row>
    <row r="4984" spans="2:7">
      <c r="B4984" s="821" t="str">
        <f>'4U'!D9</f>
        <v>BN2140</v>
      </c>
      <c r="D4984" s="1882"/>
      <c r="E4984" s="1628" t="s">
        <v>8339</v>
      </c>
      <c r="F4984" s="1882"/>
      <c r="G4984" s="1882" t="str">
        <f>IF('4U'!G9="","##BLANK",'4U'!G9)</f>
        <v>##BLANK</v>
      </c>
    </row>
    <row r="4985" spans="2:7">
      <c r="B4985" s="821" t="str">
        <f>'4U'!D10</f>
        <v>BN2150</v>
      </c>
      <c r="D4985" s="1882"/>
      <c r="E4985" s="1628" t="s">
        <v>8339</v>
      </c>
      <c r="F4985" s="1882"/>
      <c r="G4985" s="1882">
        <f>IF('4U'!G10="","##BLANK",'4U'!G10)</f>
        <v>0</v>
      </c>
    </row>
    <row r="4986" spans="2:7">
      <c r="B4986" s="821" t="str">
        <f>'4U'!D11</f>
        <v>BN2250</v>
      </c>
      <c r="D4986" s="1882"/>
      <c r="E4986" s="1628" t="s">
        <v>8339</v>
      </c>
      <c r="F4986" s="1882"/>
      <c r="G4986" s="1882" t="str">
        <f>IF('4U'!G11="","##BLANK",'4U'!G11)</f>
        <v>##BLANK</v>
      </c>
    </row>
    <row r="4987" spans="2:7">
      <c r="B4987" s="821" t="str">
        <f>'4U'!D12</f>
        <v>BN2260</v>
      </c>
      <c r="D4987" s="1882"/>
      <c r="E4987" s="1628" t="s">
        <v>8339</v>
      </c>
      <c r="F4987" s="1882"/>
      <c r="G4987" s="1882" t="str">
        <f>IF('4U'!G12="","##BLANK",'4U'!G12)</f>
        <v>##BLANK</v>
      </c>
    </row>
    <row r="4988" spans="2:7">
      <c r="B4988" s="821" t="str">
        <f>'4U'!D13</f>
        <v>BN2270</v>
      </c>
      <c r="D4988" s="1882"/>
      <c r="E4988" s="1628" t="s">
        <v>8339</v>
      </c>
      <c r="F4988" s="1882"/>
      <c r="G4988" s="1882">
        <f>IF('4U'!G13="","##BLANK",'4U'!G13)</f>
        <v>0</v>
      </c>
    </row>
    <row r="4989" spans="2:7">
      <c r="B4989" s="821" t="str">
        <f>'4U'!D14</f>
        <v>BN2285</v>
      </c>
      <c r="D4989" s="1882"/>
      <c r="E4989" s="1628" t="s">
        <v>8339</v>
      </c>
      <c r="F4989" s="1882"/>
      <c r="G4989" s="1882" t="str">
        <f>IF('4U'!G14="","##BLANK",'4U'!G14)</f>
        <v>##BLANK</v>
      </c>
    </row>
    <row r="4990" spans="2:7">
      <c r="B4990" s="821" t="str">
        <f>'4U'!D15</f>
        <v>BN1178</v>
      </c>
      <c r="D4990" s="1882"/>
      <c r="E4990" s="1628" t="s">
        <v>8339</v>
      </c>
      <c r="F4990" s="1882"/>
      <c r="G4990" s="1882">
        <f>IF('4U'!G15="","##BLANK",'4U'!G15)</f>
        <v>0</v>
      </c>
    </row>
    <row r="4991" spans="2:7">
      <c r="B4991" s="821" t="str">
        <f>'4U'!D17</f>
        <v>BN2630</v>
      </c>
      <c r="D4991" s="1882"/>
      <c r="E4991" s="1628" t="s">
        <v>8339</v>
      </c>
      <c r="F4991" s="1882"/>
      <c r="G4991" s="1882" t="str">
        <f>IF('4U'!G17="","##BLANK",'4U'!G17)</f>
        <v>##BLANK</v>
      </c>
    </row>
    <row r="4992" spans="2:7">
      <c r="B4992" s="821" t="str">
        <f>'4U'!D18</f>
        <v>BN2620</v>
      </c>
      <c r="D4992" s="1882"/>
      <c r="E4992" s="1628" t="s">
        <v>8339</v>
      </c>
      <c r="F4992" s="1882"/>
      <c r="G4992" s="1882" t="str">
        <f>IF('4U'!G18="","##BLANK",'4U'!G18)</f>
        <v>##BLANK</v>
      </c>
    </row>
    <row r="4993" spans="2:7">
      <c r="B4993" s="821" t="str">
        <f>'4U'!D21</f>
        <v>BM902ECNPS</v>
      </c>
      <c r="D4993" s="1882"/>
      <c r="E4993" s="1628" t="s">
        <v>8339</v>
      </c>
      <c r="F4993" s="1882"/>
      <c r="G4993" s="1882" t="str">
        <f>IF('4U'!G21="","##BLANK",'4U'!G21)</f>
        <v>##BLANK</v>
      </c>
    </row>
    <row r="4994" spans="2:7">
      <c r="B4994" s="821" t="str">
        <f>'4U'!D22</f>
        <v>BM602EC</v>
      </c>
      <c r="D4994" s="1882"/>
      <c r="E4994" s="1628" t="s">
        <v>8339</v>
      </c>
      <c r="F4994" s="1882"/>
      <c r="G4994" s="1882" t="str">
        <f>IF('4U'!G22="","##BLANK",'4U'!G22)</f>
        <v>##BLANK</v>
      </c>
    </row>
    <row r="4995" spans="2:7">
      <c r="B4995" s="821" t="str">
        <f>'4U'!D23</f>
        <v>BM902ECWS</v>
      </c>
      <c r="D4995" s="1882"/>
      <c r="E4995" s="1628" t="s">
        <v>8339</v>
      </c>
      <c r="F4995" s="1882"/>
      <c r="G4995" s="1882">
        <f>IF('4U'!G23="","##BLANK",'4U'!G23)</f>
        <v>0</v>
      </c>
    </row>
    <row r="4996" spans="2:7">
      <c r="B4996" s="821" t="str">
        <f>'4U'!D24</f>
        <v>BN1609</v>
      </c>
      <c r="D4996" s="1882"/>
      <c r="E4996" s="1628" t="s">
        <v>8339</v>
      </c>
      <c r="F4996" s="1882"/>
      <c r="G4996" s="1882" t="str">
        <f>IF('4U'!G24="","##BLANK",'4U'!G24)</f>
        <v>##BLANK</v>
      </c>
    </row>
    <row r="4997" spans="2:7">
      <c r="B4997" s="821" t="str">
        <f>'4U'!D25</f>
        <v>BN1176CA</v>
      </c>
      <c r="D4997" s="1882"/>
      <c r="E4997" s="1628" t="s">
        <v>8339</v>
      </c>
      <c r="F4997" s="1882"/>
      <c r="G4997" s="1882" t="str">
        <f>IF('4U'!G25="","##BLANK",'4U'!G25)</f>
        <v>##BLANK</v>
      </c>
    </row>
    <row r="4998" spans="2:7">
      <c r="B4998" s="821" t="str">
        <f>'4U'!D26</f>
        <v>BN1615</v>
      </c>
      <c r="D4998" s="1882"/>
      <c r="E4998" s="1628" t="s">
        <v>8339</v>
      </c>
      <c r="F4998" s="1882"/>
      <c r="G4998" s="1882" t="str">
        <f>IF('4U'!G26="","##BLANK",'4U'!G26)</f>
        <v>##BLANK</v>
      </c>
    </row>
    <row r="4999" spans="2:7">
      <c r="B4999" s="821" t="str">
        <f>'4U'!D27</f>
        <v>S4016</v>
      </c>
      <c r="D4999" s="1882"/>
      <c r="E4999" s="1628" t="s">
        <v>8339</v>
      </c>
      <c r="F4999" s="1882"/>
      <c r="G4999" s="1882" t="str">
        <f>IF('4U'!G27="","##BLANK",'4U'!G27)</f>
        <v>##BLANK</v>
      </c>
    </row>
    <row r="5000" spans="2:7">
      <c r="B5000" s="821" t="str">
        <f>'4U'!D28</f>
        <v>STWM001</v>
      </c>
      <c r="D5000" s="1882"/>
      <c r="E5000" s="1628" t="s">
        <v>8339</v>
      </c>
      <c r="F5000" s="1882"/>
      <c r="G5000" s="1882" t="str">
        <f>IF('4U'!G28="","##BLANK",'4U'!G28)</f>
        <v>##BLANK</v>
      </c>
    </row>
    <row r="5001" spans="2:7">
      <c r="B5001" s="821" t="str">
        <f>'4U'!D29</f>
        <v>S4017</v>
      </c>
      <c r="D5001" s="1882"/>
      <c r="E5001" s="1628" t="s">
        <v>8339</v>
      </c>
      <c r="F5001" s="1882"/>
      <c r="G5001" s="1882" t="str">
        <f>IF('4U'!G29="","##BLANK",'4U'!G29)</f>
        <v>##BLANK</v>
      </c>
    </row>
    <row r="5002" spans="2:7">
      <c r="B5002" s="821" t="str">
        <f>'4U'!D30</f>
        <v>S4026</v>
      </c>
      <c r="D5002" s="1882"/>
      <c r="E5002" s="1628" t="s">
        <v>8339</v>
      </c>
      <c r="F5002" s="1882"/>
      <c r="G5002" s="1882" t="str">
        <f>IF('4U'!G30="","##BLANK",'4U'!G30)</f>
        <v>##BLANK</v>
      </c>
    </row>
    <row r="5003" spans="2:7">
      <c r="B5003" s="821" t="str">
        <f>'4U'!D31</f>
        <v>CPMS2016</v>
      </c>
      <c r="D5003" s="1882"/>
      <c r="E5003" s="1628" t="s">
        <v>8339</v>
      </c>
      <c r="F5003" s="1882"/>
      <c r="G5003" s="1882" t="str">
        <f>IF('4U'!G31="","##BLANK",'4U'!G31)</f>
        <v>##BLANK</v>
      </c>
    </row>
    <row r="5004" spans="2:7">
      <c r="B5004" s="821" t="str">
        <f>'4V'!AN7</f>
        <v>BM102IR</v>
      </c>
      <c r="D5004" s="1882"/>
      <c r="E5004" s="1628" t="s">
        <v>8339</v>
      </c>
      <c r="F5004" s="1882"/>
      <c r="G5004" s="1882">
        <f>IF('4V'!G7="","##BLANK",'4V'!G7)</f>
        <v>0.94399999999999995</v>
      </c>
    </row>
    <row r="5005" spans="2:7">
      <c r="B5005" s="821" t="str">
        <f>'4V'!AN8</f>
        <v>BM836IR</v>
      </c>
      <c r="D5005" s="1882"/>
      <c r="E5005" s="1628" t="s">
        <v>8339</v>
      </c>
      <c r="F5005" s="1882"/>
      <c r="G5005" s="1882">
        <f>IF('4V'!G8="","##BLANK",'4V'!G8)</f>
        <v>0</v>
      </c>
    </row>
    <row r="5006" spans="2:7">
      <c r="B5006" s="821" t="str">
        <f>'4V'!AN9</f>
        <v>WS1003IR</v>
      </c>
      <c r="D5006" s="1882"/>
      <c r="E5006" s="1628" t="s">
        <v>8339</v>
      </c>
      <c r="F5006" s="1882"/>
      <c r="G5006" s="1882">
        <f>IF('4V'!G9="","##BLANK",'4V'!G9)</f>
        <v>0.52400000000000002</v>
      </c>
    </row>
    <row r="5007" spans="2:7">
      <c r="B5007" s="821" t="str">
        <f>'4V'!AN10</f>
        <v>BM240IR</v>
      </c>
      <c r="D5007" s="1882"/>
      <c r="E5007" s="1628" t="s">
        <v>8339</v>
      </c>
      <c r="F5007" s="1882"/>
      <c r="G5007" s="1882">
        <f>IF('4V'!G10="","##BLANK",'4V'!G10)</f>
        <v>2E-3</v>
      </c>
    </row>
    <row r="5008" spans="2:7">
      <c r="B5008" s="821" t="str">
        <f>'4V'!AN12</f>
        <v>WS1005IR</v>
      </c>
      <c r="D5008" s="1882"/>
      <c r="E5008" s="1628" t="s">
        <v>8339</v>
      </c>
      <c r="F5008" s="1882"/>
      <c r="G5008" s="1882">
        <f>IF('4V'!G12="","##BLANK",'4V'!G12)</f>
        <v>8.2000000000000003E-2</v>
      </c>
    </row>
    <row r="5009" spans="2:8">
      <c r="B5009" s="821" t="str">
        <f>'4V'!AN13</f>
        <v>WS1006IR</v>
      </c>
      <c r="D5009" s="1882"/>
      <c r="E5009" s="1628" t="s">
        <v>8339</v>
      </c>
      <c r="F5009" s="1882"/>
      <c r="G5009" s="1882">
        <f>IF('4V'!G13="","##BLANK",'4V'!G13)</f>
        <v>0</v>
      </c>
      <c r="H5009" s="1882"/>
    </row>
    <row r="5010" spans="2:8">
      <c r="B5010" s="821" t="str">
        <f>'4V'!AN14</f>
        <v>BM108IR</v>
      </c>
      <c r="D5010" s="1882"/>
      <c r="E5010" s="1628" t="s">
        <v>8339</v>
      </c>
      <c r="F5010" s="1882"/>
      <c r="G5010" s="1882">
        <f>IF('4V'!G14="","##BLANK",'4V'!G14)</f>
        <v>2.0350000000000001</v>
      </c>
      <c r="H5010" s="1882"/>
    </row>
    <row r="5011" spans="2:8">
      <c r="B5011" s="821" t="str">
        <f>'4V'!AN15</f>
        <v>BM110IR</v>
      </c>
      <c r="D5011" s="1882"/>
      <c r="E5011" s="1628" t="s">
        <v>8339</v>
      </c>
      <c r="F5011" s="1882"/>
      <c r="G5011" s="1882">
        <f>IF('4V'!G15="","##BLANK",'4V'!G15)</f>
        <v>1.589</v>
      </c>
      <c r="H5011" s="1882"/>
    </row>
    <row r="5012" spans="2:8">
      <c r="B5012" s="821" t="str">
        <f>'4V'!AN16</f>
        <v>BM816IR</v>
      </c>
      <c r="D5012" s="1882"/>
      <c r="E5012" s="1628" t="s">
        <v>8339</v>
      </c>
      <c r="F5012" s="1882"/>
      <c r="G5012" s="1882">
        <f>IF('4V'!G16="","##BLANK",'4V'!G16)</f>
        <v>5.1760000000000002</v>
      </c>
      <c r="H5012" s="1882"/>
    </row>
    <row r="5013" spans="2:8">
      <c r="B5013" s="821" t="str">
        <f>'4V'!AN17</f>
        <v>BM817IR</v>
      </c>
      <c r="D5013" s="1882"/>
      <c r="E5013" s="1628" t="s">
        <v>8339</v>
      </c>
      <c r="F5013" s="1882"/>
      <c r="G5013" s="1882">
        <f>IF('4V'!G17="","##BLANK",'4V'!G17)</f>
        <v>0.96099999999999997</v>
      </c>
      <c r="H5013" s="1882"/>
    </row>
    <row r="5014" spans="2:8">
      <c r="B5014" s="821" t="str">
        <f>'4V'!AN18</f>
        <v>BM316IR</v>
      </c>
      <c r="D5014" s="1882"/>
      <c r="E5014" s="1628" t="s">
        <v>8339</v>
      </c>
      <c r="F5014" s="1882"/>
      <c r="G5014" s="1882">
        <f>IF('4V'!G18="","##BLANK",'4V'!G18)</f>
        <v>6.1370000000000005</v>
      </c>
      <c r="H5014" s="1882"/>
    </row>
    <row r="5015" spans="2:8">
      <c r="B5015" s="821" t="str">
        <f>'4V'!AN19</f>
        <v>FT00865IR</v>
      </c>
      <c r="D5015" s="1882"/>
      <c r="E5015" s="1628" t="s">
        <v>8339</v>
      </c>
      <c r="F5015" s="1882"/>
      <c r="G5015" s="1882">
        <f>IF('4V'!G19="","##BLANK",'4V'!G19)</f>
        <v>1.6161760000000001</v>
      </c>
      <c r="H5015" s="1882"/>
    </row>
    <row r="5016" spans="2:8">
      <c r="B5016" s="821" t="str">
        <f>'4V'!AN20</f>
        <v>BM319IR</v>
      </c>
      <c r="D5016" s="1882"/>
      <c r="E5016" s="1628" t="s">
        <v>8339</v>
      </c>
      <c r="F5016" s="1882"/>
      <c r="G5016" s="1882">
        <f>IF('4V'!G20="","##BLANK",'4V'!G20)</f>
        <v>7.7531760000000007</v>
      </c>
      <c r="H5016" s="1882"/>
    </row>
    <row r="5017" spans="2:8">
      <c r="B5017" s="821" t="str">
        <f>'4V'!AN25</f>
        <v>BM3010WR</v>
      </c>
      <c r="D5017" s="1882"/>
      <c r="E5017" s="1628" t="s">
        <v>8339</v>
      </c>
      <c r="F5017" s="1882"/>
      <c r="G5017" s="1882">
        <f>IF('4V'!G25="","##BLANK",'4V'!G25)</f>
        <v>1.0489999999999999</v>
      </c>
      <c r="H5017" s="1882"/>
    </row>
    <row r="5018" spans="2:8">
      <c r="B5018" s="821" t="str">
        <f>'4V'!AN26</f>
        <v>BM3011WR</v>
      </c>
      <c r="D5018" s="1882"/>
      <c r="E5018" s="1628" t="s">
        <v>8339</v>
      </c>
      <c r="F5018" s="1882"/>
      <c r="G5018" s="1882">
        <f>IF('4V'!G26="","##BLANK",'4V'!G26)</f>
        <v>1.1399999999999999</v>
      </c>
      <c r="H5018" s="1882"/>
    </row>
    <row r="5019" spans="2:8">
      <c r="B5019" s="821" t="str">
        <f>'4V'!AN27</f>
        <v>W3030WR</v>
      </c>
      <c r="D5019" s="1882"/>
      <c r="E5019" s="1628" t="s">
        <v>8339</v>
      </c>
      <c r="F5019" s="1882"/>
      <c r="G5019" s="1882">
        <f>IF('4V'!G27="","##BLANK",'4V'!G27)</f>
        <v>18</v>
      </c>
      <c r="H5019" s="1882"/>
    </row>
    <row r="5020" spans="2:8">
      <c r="B5020" s="821" t="str">
        <f>'4V'!AN28</f>
        <v>W3031WR</v>
      </c>
      <c r="D5020" s="1882"/>
      <c r="E5020" s="1628" t="s">
        <v>8339</v>
      </c>
      <c r="F5020" s="1882"/>
      <c r="G5020" s="1882">
        <f>IF('4V'!G28="","##BLANK",'4V'!G28)</f>
        <v>22</v>
      </c>
      <c r="H5020" s="1882"/>
    </row>
    <row r="5021" spans="2:8">
      <c r="B5021" s="821" t="str">
        <f>'4V'!AN29</f>
        <v>W3032WR</v>
      </c>
      <c r="D5021" s="1882"/>
      <c r="E5021" s="1628" t="s">
        <v>8339</v>
      </c>
      <c r="F5021" s="1882"/>
      <c r="G5021" s="1882">
        <f>IF('4V'!G29="","##BLANK",'4V'!G29)</f>
        <v>0</v>
      </c>
      <c r="H5021" s="1882"/>
    </row>
    <row r="5022" spans="2:8">
      <c r="B5022" s="821" t="str">
        <f>'4V'!AN32</f>
        <v>W3033WR</v>
      </c>
      <c r="D5022" s="1882"/>
      <c r="E5022" s="1628" t="s">
        <v>8339</v>
      </c>
      <c r="F5022" s="1882"/>
      <c r="G5022" s="1882">
        <f>IF('4V'!G32="","##BLANK",'4V'!G32)</f>
        <v>1.6259999999999999</v>
      </c>
      <c r="H5022" s="1882"/>
    </row>
    <row r="5023" spans="2:8">
      <c r="B5023" s="821" t="str">
        <f>'4V'!AN33</f>
        <v>W3034WR</v>
      </c>
      <c r="D5023" s="1882"/>
      <c r="E5023" s="1628" t="s">
        <v>8339</v>
      </c>
      <c r="F5023" s="1882"/>
      <c r="G5023" s="1882">
        <f>IF('4V'!G33="","##BLANK",'4V'!G33)</f>
        <v>1.0940000000000001</v>
      </c>
      <c r="H5023" s="1882"/>
    </row>
    <row r="5024" spans="2:8">
      <c r="B5024" s="821" t="str">
        <f>'4V'!AN34</f>
        <v>W3035WR</v>
      </c>
      <c r="D5024" s="1882"/>
      <c r="E5024" s="1628" t="s">
        <v>8339</v>
      </c>
      <c r="F5024" s="1882"/>
      <c r="G5024" s="1882">
        <f>IF('4V'!G34="","##BLANK",'4V'!G34)</f>
        <v>0</v>
      </c>
      <c r="H5024" s="1882"/>
    </row>
    <row r="5025" spans="2:8">
      <c r="B5025" s="821" t="str">
        <f>'4V'!AN36</f>
        <v>W3036WR</v>
      </c>
      <c r="D5025" s="1882"/>
      <c r="E5025" s="1628" t="s">
        <v>8339</v>
      </c>
      <c r="F5025" s="1882"/>
      <c r="G5025" s="1882">
        <f>IF('4V'!G36="","##BLANK",'4V'!G36)</f>
        <v>0</v>
      </c>
      <c r="H5025" s="1882"/>
    </row>
    <row r="5026" spans="2:8">
      <c r="B5026" s="821" t="str">
        <f>'4V'!AO7</f>
        <v>BM102PS</v>
      </c>
      <c r="D5026" s="1882"/>
      <c r="E5026" s="1628" t="s">
        <v>8339</v>
      </c>
      <c r="F5026" s="1882"/>
      <c r="G5026" s="1882">
        <f>IF('4V'!H7="","##BLANK",'4V'!H7)</f>
        <v>0.45700000000000002</v>
      </c>
      <c r="H5026" s="1882"/>
    </row>
    <row r="5027" spans="2:8">
      <c r="B5027" s="821" t="str">
        <f>'4V'!AO8</f>
        <v>BM836PS</v>
      </c>
      <c r="D5027" s="1882"/>
      <c r="E5027" s="1628" t="s">
        <v>8339</v>
      </c>
      <c r="F5027" s="1882"/>
      <c r="G5027" s="1882">
        <f>IF('4V'!H8="","##BLANK",'4V'!H8)</f>
        <v>0</v>
      </c>
      <c r="H5027" s="1882"/>
    </row>
    <row r="5028" spans="2:8">
      <c r="B5028" s="821" t="str">
        <f>'4V'!AO9</f>
        <v>WS1003PS</v>
      </c>
      <c r="D5028" s="1882"/>
      <c r="E5028" s="1628" t="s">
        <v>8339</v>
      </c>
      <c r="F5028" s="1882"/>
      <c r="G5028" s="1882">
        <f>IF('4V'!H9="","##BLANK",'4V'!H9)</f>
        <v>1.6259999999999999</v>
      </c>
      <c r="H5028" s="1882"/>
    </row>
    <row r="5029" spans="2:8">
      <c r="B5029" s="821" t="str">
        <f>'4V'!AO10</f>
        <v>BM240PS</v>
      </c>
      <c r="D5029" s="1882"/>
      <c r="E5029" s="1628" t="s">
        <v>8339</v>
      </c>
      <c r="F5029" s="1882"/>
      <c r="G5029" s="1882">
        <f>IF('4V'!H10="","##BLANK",'4V'!H10)</f>
        <v>1.2E-2</v>
      </c>
      <c r="H5029" s="1882"/>
    </row>
    <row r="5030" spans="2:8">
      <c r="B5030" s="821" t="str">
        <f>'4V'!AO12</f>
        <v>WS1005PS</v>
      </c>
      <c r="D5030" s="1882"/>
      <c r="E5030" s="1628" t="s">
        <v>8339</v>
      </c>
      <c r="F5030" s="1882"/>
      <c r="G5030" s="1882">
        <f>IF('4V'!H12="","##BLANK",'4V'!H12)</f>
        <v>0.03</v>
      </c>
      <c r="H5030" s="1882"/>
    </row>
    <row r="5031" spans="2:8">
      <c r="B5031" s="821" t="str">
        <f>'4V'!AO13</f>
        <v>WS1006PS</v>
      </c>
      <c r="D5031" s="1882"/>
      <c r="E5031" s="1628" t="s">
        <v>8339</v>
      </c>
      <c r="F5031" s="1882"/>
      <c r="G5031" s="1882">
        <f>IF('4V'!H13="","##BLANK",'4V'!H13)</f>
        <v>0</v>
      </c>
      <c r="H5031" s="1882"/>
    </row>
    <row r="5032" spans="2:8">
      <c r="B5032" s="821" t="str">
        <f>'4V'!AO14</f>
        <v>BM108PS</v>
      </c>
      <c r="D5032" s="1882"/>
      <c r="E5032" s="1628" t="s">
        <v>8339</v>
      </c>
      <c r="F5032" s="1882"/>
      <c r="G5032" s="1882">
        <f>IF('4V'!H14="","##BLANK",'4V'!H14)</f>
        <v>3.0939999999999999</v>
      </c>
      <c r="H5032" s="1882"/>
    </row>
    <row r="5033" spans="2:8">
      <c r="B5033" s="821" t="str">
        <f>'4V'!AO15</f>
        <v>BM110PS</v>
      </c>
      <c r="D5033" s="1882"/>
      <c r="E5033" s="1628" t="s">
        <v>8339</v>
      </c>
      <c r="F5033" s="1882"/>
      <c r="G5033" s="1882">
        <f>IF('4V'!H15="","##BLANK",'4V'!H15)</f>
        <v>1.9179999999999999</v>
      </c>
      <c r="H5033" s="1882"/>
    </row>
    <row r="5034" spans="2:8">
      <c r="B5034" s="821" t="str">
        <f>'4V'!AO16</f>
        <v>BM816PS</v>
      </c>
      <c r="D5034" s="1882"/>
      <c r="E5034" s="1628" t="s">
        <v>8339</v>
      </c>
      <c r="F5034" s="1882"/>
      <c r="G5034" s="1882">
        <f>IF('4V'!H16="","##BLANK",'4V'!H16)</f>
        <v>7.1369999999999996</v>
      </c>
      <c r="H5034" s="1882"/>
    </row>
    <row r="5035" spans="2:8">
      <c r="B5035" s="821" t="str">
        <f>'4V'!AO17</f>
        <v>BM817PS</v>
      </c>
      <c r="D5035" s="1882"/>
      <c r="E5035" s="1628" t="s">
        <v>8339</v>
      </c>
      <c r="F5035" s="1882"/>
      <c r="G5035" s="1882">
        <f>IF('4V'!H17="","##BLANK",'4V'!H17)</f>
        <v>0.28000000000000003</v>
      </c>
      <c r="H5035" s="1882"/>
    </row>
    <row r="5036" spans="2:8">
      <c r="B5036" s="821" t="str">
        <f>'4V'!AO18</f>
        <v>BM316PS</v>
      </c>
      <c r="D5036" s="1882"/>
      <c r="E5036" s="1628" t="s">
        <v>8339</v>
      </c>
      <c r="F5036" s="1882"/>
      <c r="G5036" s="1882">
        <f>IF('4V'!H18="","##BLANK",'4V'!H18)</f>
        <v>7.4169999999999998</v>
      </c>
      <c r="H5036" s="1882"/>
    </row>
    <row r="5037" spans="2:8">
      <c r="B5037" s="821" t="str">
        <f>'4V'!AO19</f>
        <v>FT00865PS</v>
      </c>
      <c r="D5037" s="1882"/>
      <c r="E5037" s="1628" t="s">
        <v>8339</v>
      </c>
      <c r="F5037" s="1882"/>
      <c r="G5037" s="1882">
        <f>IF('4V'!H19="","##BLANK",'4V'!H19)</f>
        <v>0.29558699999999999</v>
      </c>
      <c r="H5037" s="1882"/>
    </row>
    <row r="5038" spans="2:8">
      <c r="B5038" s="821" t="str">
        <f>'4V'!AO20</f>
        <v>BM319PS</v>
      </c>
      <c r="D5038" s="1882"/>
      <c r="E5038" s="1628" t="s">
        <v>8339</v>
      </c>
      <c r="F5038" s="1882"/>
      <c r="G5038" s="1882">
        <f>IF('4V'!H20="","##BLANK",'4V'!H20)</f>
        <v>7.7125870000000001</v>
      </c>
      <c r="H5038" s="1882"/>
    </row>
    <row r="5039" spans="2:8">
      <c r="B5039" s="821" t="str">
        <f>'4V'!AO25</f>
        <v>BM3010RWD</v>
      </c>
      <c r="D5039" s="1882"/>
      <c r="E5039" s="1628" t="s">
        <v>8339</v>
      </c>
      <c r="F5039" s="1882"/>
      <c r="G5039" s="1882">
        <f>IF('4V'!H25="","##BLANK",'4V'!H25)</f>
        <v>0.36</v>
      </c>
      <c r="H5039" s="1882"/>
    </row>
    <row r="5040" spans="2:8">
      <c r="B5040" s="821" t="str">
        <f>'4V'!AO26</f>
        <v>BM3011RWD</v>
      </c>
      <c r="D5040" s="1882"/>
      <c r="E5040" s="1628" t="s">
        <v>8339</v>
      </c>
      <c r="F5040" s="1882"/>
      <c r="G5040" s="1882">
        <f>IF('4V'!H26="","##BLANK",'4V'!H26)</f>
        <v>0.157</v>
      </c>
      <c r="H5040" s="1882"/>
    </row>
    <row r="5041" spans="2:7">
      <c r="B5041" s="821" t="str">
        <f>'4V'!AO27</f>
        <v>W3030RWD</v>
      </c>
      <c r="D5041" s="1882"/>
      <c r="E5041" s="1628" t="s">
        <v>8339</v>
      </c>
      <c r="F5041" s="1882"/>
      <c r="G5041" s="1882">
        <f>IF('4V'!H27="","##BLANK",'4V'!H27)</f>
        <v>7</v>
      </c>
    </row>
    <row r="5042" spans="2:7">
      <c r="B5042" s="821" t="str">
        <f>'4V'!AO28</f>
        <v>W3031RWD</v>
      </c>
      <c r="D5042" s="1882"/>
      <c r="E5042" s="1628" t="s">
        <v>8339</v>
      </c>
      <c r="F5042" s="1882"/>
      <c r="G5042" s="1882">
        <f>IF('4V'!H28="","##BLANK",'4V'!H28)</f>
        <v>3</v>
      </c>
    </row>
    <row r="5043" spans="2:7">
      <c r="B5043" s="821" t="str">
        <f>'4V'!AO29</f>
        <v>W3032RWD</v>
      </c>
      <c r="D5043" s="1882"/>
      <c r="E5043" s="1628" t="s">
        <v>8339</v>
      </c>
      <c r="F5043" s="1882"/>
      <c r="G5043" s="1882">
        <f>IF('4V'!H29="","##BLANK",'4V'!H29)</f>
        <v>0</v>
      </c>
    </row>
    <row r="5044" spans="2:7" s="1882" customFormat="1">
      <c r="B5044" s="821" t="str">
        <f>'4V'!AO32</f>
        <v>W3033RWD</v>
      </c>
      <c r="C5044" s="1293"/>
      <c r="E5044" s="1628" t="s">
        <v>8339</v>
      </c>
      <c r="G5044" s="1882">
        <f>IF('4V'!H32="","##BLANK",'4V'!H32)</f>
        <v>0</v>
      </c>
    </row>
    <row r="5045" spans="2:7" s="1882" customFormat="1">
      <c r="B5045" s="821" t="str">
        <f>'4V'!AO33</f>
        <v>W3034RWD</v>
      </c>
      <c r="C5045" s="1293"/>
      <c r="E5045" s="1628" t="s">
        <v>8339</v>
      </c>
      <c r="G5045" s="1882">
        <f>IF('4V'!H33="","##BLANK",'4V'!H33)</f>
        <v>6.0000000000000001E-3</v>
      </c>
    </row>
    <row r="5046" spans="2:7" s="1882" customFormat="1">
      <c r="B5046" s="821" t="str">
        <f>'4V'!AO34</f>
        <v>W3035RWD</v>
      </c>
      <c r="C5046" s="1293"/>
      <c r="E5046" s="1628" t="s">
        <v>8339</v>
      </c>
      <c r="G5046" s="1882">
        <f>IF('4V'!H34="","##BLANK",'4V'!H34)</f>
        <v>0</v>
      </c>
    </row>
    <row r="5047" spans="2:7">
      <c r="B5047" s="821" t="str">
        <f>'4V'!AO36</f>
        <v>W3036RWD</v>
      </c>
      <c r="D5047" s="1882"/>
      <c r="E5047" s="1628" t="s">
        <v>8339</v>
      </c>
      <c r="F5047" s="1882"/>
      <c r="G5047" s="1882">
        <f>IF('4V'!H36="","##BLANK",'4V'!H36)</f>
        <v>0</v>
      </c>
    </row>
    <row r="5048" spans="2:7">
      <c r="B5048" s="821" t="str">
        <f>'4V'!AP7</f>
        <v>BM102RS</v>
      </c>
      <c r="D5048" s="1882"/>
      <c r="E5048" s="1628" t="s">
        <v>8339</v>
      </c>
      <c r="F5048" s="1882"/>
      <c r="G5048" s="1882">
        <f>IF('4V'!I7="","##BLANK",'4V'!I7)</f>
        <v>0</v>
      </c>
    </row>
    <row r="5049" spans="2:7">
      <c r="B5049" s="821" t="str">
        <f>'4V'!AP8</f>
        <v>BM836RS</v>
      </c>
      <c r="D5049" s="1882"/>
      <c r="E5049" s="1628" t="s">
        <v>8339</v>
      </c>
      <c r="F5049" s="1882"/>
      <c r="G5049" s="1882">
        <f>IF('4V'!I8="","##BLANK",'4V'!I8)</f>
        <v>0</v>
      </c>
    </row>
    <row r="5050" spans="2:7">
      <c r="B5050" s="821" t="str">
        <f>'4V'!AP9</f>
        <v>WS1003RS</v>
      </c>
      <c r="D5050" s="1882"/>
      <c r="E5050" s="1628" t="s">
        <v>8339</v>
      </c>
      <c r="F5050" s="1882"/>
      <c r="G5050" s="1882">
        <f>IF('4V'!I9="","##BLANK",'4V'!I9)</f>
        <v>8.9999999999999993E-3</v>
      </c>
    </row>
    <row r="5051" spans="2:7">
      <c r="B5051" s="821" t="str">
        <f>'4V'!AP10</f>
        <v>BM240RS</v>
      </c>
      <c r="D5051" s="1882"/>
      <c r="E5051" s="1628" t="s">
        <v>8339</v>
      </c>
      <c r="F5051" s="1882"/>
      <c r="G5051" s="1882">
        <f>IF('4V'!I10="","##BLANK",'4V'!I10)</f>
        <v>0</v>
      </c>
    </row>
    <row r="5052" spans="2:7">
      <c r="B5052" s="821" t="str">
        <f>'4V'!AP12</f>
        <v>WS1005RS</v>
      </c>
      <c r="D5052" s="1882"/>
      <c r="E5052" s="1628" t="s">
        <v>8339</v>
      </c>
      <c r="F5052" s="1882"/>
      <c r="G5052" s="1882">
        <f>IF('4V'!I12="","##BLANK",'4V'!I12)</f>
        <v>0</v>
      </c>
    </row>
    <row r="5053" spans="2:7">
      <c r="B5053" s="821" t="str">
        <f>'4V'!AP13</f>
        <v>WS1006RS</v>
      </c>
      <c r="D5053" s="1882"/>
      <c r="E5053" s="1628" t="s">
        <v>8339</v>
      </c>
      <c r="F5053" s="1882"/>
      <c r="G5053" s="1882">
        <f>IF('4V'!I13="","##BLANK",'4V'!I13)</f>
        <v>0</v>
      </c>
    </row>
    <row r="5054" spans="2:7">
      <c r="B5054" s="821" t="str">
        <f>'4V'!AP14</f>
        <v>BM108RS</v>
      </c>
      <c r="D5054" s="1882"/>
      <c r="E5054" s="1628" t="s">
        <v>8339</v>
      </c>
      <c r="F5054" s="1882"/>
      <c r="G5054" s="1882">
        <f>IF('4V'!I14="","##BLANK",'4V'!I14)</f>
        <v>3.0000000000000001E-3</v>
      </c>
    </row>
    <row r="5055" spans="2:7">
      <c r="B5055" s="821" t="str">
        <f>'4V'!AP15</f>
        <v>BM110RS</v>
      </c>
      <c r="D5055" s="1882"/>
      <c r="E5055" s="1628" t="s">
        <v>8339</v>
      </c>
      <c r="F5055" s="1882"/>
      <c r="G5055" s="1882">
        <f>IF('4V'!I15="","##BLANK",'4V'!I15)</f>
        <v>4.0000000000000001E-3</v>
      </c>
    </row>
    <row r="5056" spans="2:7">
      <c r="B5056" s="821" t="str">
        <f>'4V'!AP16</f>
        <v>BM816RS</v>
      </c>
      <c r="D5056" s="1882"/>
      <c r="E5056" s="1628" t="s">
        <v>8339</v>
      </c>
      <c r="F5056" s="1882"/>
      <c r="G5056" s="1882">
        <f>IF('4V'!I16="","##BLANK",'4V'!I16)</f>
        <v>1.6E-2</v>
      </c>
    </row>
    <row r="5057" spans="2:7">
      <c r="B5057" s="821" t="str">
        <f>'4V'!AP17</f>
        <v>BM817RS</v>
      </c>
      <c r="D5057" s="1882"/>
      <c r="E5057" s="1628" t="s">
        <v>8339</v>
      </c>
      <c r="F5057" s="1882"/>
      <c r="G5057" s="1882">
        <f>IF('4V'!I17="","##BLANK",'4V'!I17)</f>
        <v>0</v>
      </c>
    </row>
    <row r="5058" spans="2:7">
      <c r="B5058" s="821" t="str">
        <f>'4V'!AP18</f>
        <v>BM316RS</v>
      </c>
      <c r="D5058" s="1882"/>
      <c r="E5058" s="1628" t="s">
        <v>8339</v>
      </c>
      <c r="F5058" s="1882"/>
      <c r="G5058" s="1882">
        <f>IF('4V'!I18="","##BLANK",'4V'!I18)</f>
        <v>1.6E-2</v>
      </c>
    </row>
    <row r="5059" spans="2:7">
      <c r="B5059" s="821" t="str">
        <f>'4V'!AP19</f>
        <v>FT00865RS</v>
      </c>
      <c r="D5059" s="1882"/>
      <c r="E5059" s="1628" t="s">
        <v>8339</v>
      </c>
      <c r="F5059" s="1882"/>
      <c r="G5059" s="1882">
        <f>IF('4V'!I19="","##BLANK",'4V'!I19)</f>
        <v>0</v>
      </c>
    </row>
    <row r="5060" spans="2:7">
      <c r="B5060" s="821" t="str">
        <f>'4V'!AP20</f>
        <v>BM319RS</v>
      </c>
      <c r="D5060" s="1882"/>
      <c r="E5060" s="1628" t="s">
        <v>8339</v>
      </c>
      <c r="F5060" s="1882"/>
      <c r="G5060" s="1882">
        <f>IF('4V'!I20="","##BLANK",'4V'!I20)</f>
        <v>1.6E-2</v>
      </c>
    </row>
    <row r="5061" spans="2:7">
      <c r="B5061" s="821" t="str">
        <f>'4V'!AP25</f>
        <v>BM3010WT</v>
      </c>
      <c r="D5061" s="1882"/>
      <c r="E5061" s="1628" t="s">
        <v>8339</v>
      </c>
      <c r="F5061" s="1882"/>
      <c r="G5061" s="1882">
        <f>IF('4V'!I25="","##BLANK",'4V'!I25)</f>
        <v>3.27</v>
      </c>
    </row>
    <row r="5062" spans="2:7">
      <c r="B5062" s="821" t="str">
        <f>'4V'!AP26</f>
        <v>BM3011WT</v>
      </c>
      <c r="D5062" s="1882"/>
      <c r="E5062" s="1628" t="s">
        <v>8339</v>
      </c>
      <c r="F5062" s="1882"/>
      <c r="G5062" s="1882">
        <f>IF('4V'!I26="","##BLANK",'4V'!I26)</f>
        <v>2.472</v>
      </c>
    </row>
    <row r="5063" spans="2:7">
      <c r="B5063" s="821" t="str">
        <f>'4V'!AP27</f>
        <v>W3030WT</v>
      </c>
      <c r="D5063" s="1882"/>
      <c r="E5063" s="1628" t="s">
        <v>8339</v>
      </c>
      <c r="F5063" s="1882"/>
      <c r="G5063" s="1882">
        <f>IF('4V'!I27="","##BLANK",'4V'!I27)</f>
        <v>66</v>
      </c>
    </row>
    <row r="5064" spans="2:7">
      <c r="B5064" s="821" t="str">
        <f>'4V'!AP28</f>
        <v>W3031WT</v>
      </c>
      <c r="D5064" s="1882"/>
      <c r="E5064" s="1628" t="s">
        <v>8339</v>
      </c>
      <c r="F5064" s="1882"/>
      <c r="G5064" s="1882">
        <f>IF('4V'!I28="","##BLANK",'4V'!I28)</f>
        <v>44</v>
      </c>
    </row>
    <row r="5065" spans="2:7">
      <c r="B5065" s="821" t="str">
        <f>'4V'!AP29</f>
        <v>W3032WT</v>
      </c>
      <c r="D5065" s="1882"/>
      <c r="E5065" s="1628" t="s">
        <v>8339</v>
      </c>
      <c r="F5065" s="1882"/>
      <c r="G5065" s="1882">
        <f>IF('4V'!I29="","##BLANK",'4V'!I29)</f>
        <v>0</v>
      </c>
    </row>
    <row r="5066" spans="2:7" s="1882" customFormat="1">
      <c r="B5066" s="821" t="str">
        <f>'4V'!AP32</f>
        <v>W3033WT</v>
      </c>
      <c r="C5066" s="1293"/>
      <c r="E5066" s="1628" t="s">
        <v>8339</v>
      </c>
      <c r="G5066" s="1882">
        <f>IF('4V'!I32="","##BLANK",'4V'!I32)</f>
        <v>0</v>
      </c>
    </row>
    <row r="5067" spans="2:7" s="1882" customFormat="1">
      <c r="B5067" s="821" t="str">
        <f>'4V'!AP33</f>
        <v>W3034WT</v>
      </c>
      <c r="C5067" s="1293"/>
      <c r="E5067" s="1628" t="s">
        <v>8339</v>
      </c>
      <c r="G5067" s="1882">
        <f>IF('4V'!I33="","##BLANK",'4V'!I33)</f>
        <v>9.4E-2</v>
      </c>
    </row>
    <row r="5068" spans="2:7" s="1882" customFormat="1">
      <c r="B5068" s="821" t="str">
        <f>'4V'!AP34</f>
        <v>W3035WT</v>
      </c>
      <c r="C5068" s="1293"/>
      <c r="E5068" s="1628" t="s">
        <v>8339</v>
      </c>
      <c r="G5068" s="1882">
        <f>IF('4V'!I34="","##BLANK",'4V'!I34)</f>
        <v>0</v>
      </c>
    </row>
    <row r="5069" spans="2:7">
      <c r="B5069" s="821" t="str">
        <f>'4V'!AP36</f>
        <v>W3036WT</v>
      </c>
      <c r="D5069" s="1882"/>
      <c r="E5069" s="1628" t="s">
        <v>8339</v>
      </c>
      <c r="F5069" s="1882"/>
      <c r="G5069" s="1882">
        <f>IF('4V'!I36="","##BLANK",'4V'!I36)</f>
        <v>0</v>
      </c>
    </row>
    <row r="5070" spans="2:7">
      <c r="B5070" s="821" t="str">
        <f>'4V'!AQ7</f>
        <v>BM102BO</v>
      </c>
      <c r="D5070" s="1882"/>
      <c r="E5070" s="1628" t="s">
        <v>8339</v>
      </c>
      <c r="F5070" s="1882"/>
      <c r="G5070" s="1882">
        <f>IF('4V'!J7="","##BLANK",'4V'!J7)</f>
        <v>0.28399999999999997</v>
      </c>
    </row>
    <row r="5071" spans="2:7">
      <c r="B5071" s="821" t="str">
        <f>'4V'!AQ8</f>
        <v>BM836BO</v>
      </c>
      <c r="D5071" s="1882"/>
      <c r="E5071" s="1628" t="s">
        <v>8339</v>
      </c>
      <c r="F5071" s="1882"/>
      <c r="G5071" s="1882">
        <f>IF('4V'!J8="","##BLANK",'4V'!J8)</f>
        <v>0</v>
      </c>
    </row>
    <row r="5072" spans="2:7">
      <c r="B5072" s="821" t="str">
        <f>'4V'!AQ9</f>
        <v>WS1003BO</v>
      </c>
      <c r="D5072" s="1882"/>
      <c r="E5072" s="1628" t="s">
        <v>8339</v>
      </c>
      <c r="F5072" s="1882"/>
      <c r="G5072" s="1882">
        <f>IF('4V'!J9="","##BLANK",'4V'!J9)</f>
        <v>0.56100000000000005</v>
      </c>
    </row>
    <row r="5073" spans="2:7">
      <c r="B5073" s="821" t="str">
        <f>'4V'!AQ10</f>
        <v>BM240BO</v>
      </c>
      <c r="D5073" s="1882"/>
      <c r="E5073" s="1628" t="s">
        <v>8339</v>
      </c>
      <c r="F5073" s="1882"/>
      <c r="G5073" s="1882">
        <f>IF('4V'!J10="","##BLANK",'4V'!J10)</f>
        <v>2E-3</v>
      </c>
    </row>
    <row r="5074" spans="2:7">
      <c r="B5074" s="821" t="str">
        <f>'4V'!AQ12</f>
        <v>WS1005BO</v>
      </c>
      <c r="D5074" s="1882"/>
      <c r="E5074" s="1628" t="s">
        <v>8339</v>
      </c>
      <c r="F5074" s="1882"/>
      <c r="G5074" s="1882">
        <f>IF('4V'!J12="","##BLANK",'4V'!J12)</f>
        <v>6.0000000000000001E-3</v>
      </c>
    </row>
    <row r="5075" spans="2:7">
      <c r="B5075" s="821" t="str">
        <f>'4V'!AQ13</f>
        <v>WS1006BO</v>
      </c>
      <c r="D5075" s="1882"/>
      <c r="E5075" s="1628" t="s">
        <v>8339</v>
      </c>
      <c r="F5075" s="1882"/>
      <c r="G5075" s="1882">
        <f>IF('4V'!J13="","##BLANK",'4V'!J13)</f>
        <v>0</v>
      </c>
    </row>
    <row r="5076" spans="2:7">
      <c r="B5076" s="821" t="str">
        <f>'4V'!AQ14</f>
        <v>BM108BO</v>
      </c>
      <c r="D5076" s="1882"/>
      <c r="E5076" s="1628" t="s">
        <v>8339</v>
      </c>
      <c r="F5076" s="1882"/>
      <c r="G5076" s="1882">
        <f>IF('4V'!J14="","##BLANK",'4V'!J14)</f>
        <v>0.73399999999999999</v>
      </c>
    </row>
    <row r="5077" spans="2:7">
      <c r="B5077" s="821" t="str">
        <f>'4V'!AQ15</f>
        <v>BM110BO</v>
      </c>
      <c r="D5077" s="1882"/>
      <c r="E5077" s="1628" t="s">
        <v>8339</v>
      </c>
      <c r="F5077" s="1882"/>
      <c r="G5077" s="1882">
        <f>IF('4V'!J15="","##BLANK",'4V'!J15)</f>
        <v>0.57499999999999996</v>
      </c>
    </row>
    <row r="5078" spans="2:7">
      <c r="B5078" s="821" t="str">
        <f>'4V'!AQ16</f>
        <v>BM816BO</v>
      </c>
      <c r="D5078" s="1882"/>
      <c r="E5078" s="1628" t="s">
        <v>8339</v>
      </c>
      <c r="F5078" s="1882"/>
      <c r="G5078" s="1882">
        <f>IF('4V'!J16="","##BLANK",'4V'!J16)</f>
        <v>2.1619999999999999</v>
      </c>
    </row>
    <row r="5079" spans="2:7">
      <c r="B5079" s="821" t="str">
        <f>'4V'!AQ17</f>
        <v>BM817BO</v>
      </c>
      <c r="D5079" s="1882"/>
      <c r="E5079" s="1628" t="s">
        <v>8339</v>
      </c>
      <c r="F5079" s="1882"/>
      <c r="G5079" s="1882">
        <f>IF('4V'!J17="","##BLANK",'4V'!J17)</f>
        <v>5.0999999999999997E-2</v>
      </c>
    </row>
    <row r="5080" spans="2:7">
      <c r="B5080" s="821" t="str">
        <f>'4V'!AQ18</f>
        <v>BM316BO</v>
      </c>
      <c r="D5080" s="1882"/>
      <c r="E5080" s="1628" t="s">
        <v>8339</v>
      </c>
      <c r="F5080" s="1882"/>
      <c r="G5080" s="1882">
        <f>IF('4V'!J18="","##BLANK",'4V'!J18)</f>
        <v>2.2130000000000001</v>
      </c>
    </row>
    <row r="5081" spans="2:7">
      <c r="B5081" s="821" t="str">
        <f>'4V'!AQ19</f>
        <v>FT00865BO</v>
      </c>
      <c r="D5081" s="1882"/>
      <c r="E5081" s="1628" t="s">
        <v>8339</v>
      </c>
      <c r="F5081" s="1882"/>
      <c r="G5081" s="1882">
        <f>IF('4V'!J19="","##BLANK",'4V'!J19)</f>
        <v>0.14566100000000001</v>
      </c>
    </row>
    <row r="5082" spans="2:7">
      <c r="B5082" s="821" t="str">
        <f>'4V'!AQ20</f>
        <v>BM319BO</v>
      </c>
      <c r="D5082" s="1882"/>
      <c r="E5082" s="1628" t="s">
        <v>8339</v>
      </c>
      <c r="F5082" s="1882"/>
      <c r="G5082" s="1882">
        <f>IF('4V'!J20="","##BLANK",'4V'!J20)</f>
        <v>2.3586610000000001</v>
      </c>
    </row>
    <row r="5083" spans="2:7">
      <c r="B5083" s="821" t="str">
        <f>'4V'!AQ25</f>
        <v>BM3010TWD</v>
      </c>
      <c r="D5083" s="1882"/>
      <c r="E5083" s="1628" t="s">
        <v>8339</v>
      </c>
      <c r="F5083" s="1882"/>
      <c r="G5083" s="1882">
        <f>IF('4V'!J25="","##BLANK",'4V'!J25)</f>
        <v>9.9550000000000001</v>
      </c>
    </row>
    <row r="5084" spans="2:7">
      <c r="B5084" s="821" t="str">
        <f>'4V'!AQ26</f>
        <v>BM3011TWD</v>
      </c>
      <c r="D5084" s="1882"/>
      <c r="E5084" s="1628" t="s">
        <v>8339</v>
      </c>
      <c r="F5084" s="1882"/>
      <c r="G5084" s="1882">
        <f>IF('4V'!J26="","##BLANK",'4V'!J26)</f>
        <v>4.6950000000000003</v>
      </c>
    </row>
    <row r="5085" spans="2:7">
      <c r="B5085" s="821" t="str">
        <f>'4V'!AQ27</f>
        <v>W3030TWD</v>
      </c>
      <c r="D5085" s="1882"/>
      <c r="E5085" s="1628" t="s">
        <v>8339</v>
      </c>
      <c r="F5085" s="1882"/>
      <c r="G5085" s="1882">
        <f>IF('4V'!J27="","##BLANK",'4V'!J27)</f>
        <v>253</v>
      </c>
    </row>
    <row r="5086" spans="2:7">
      <c r="B5086" s="821" t="str">
        <f>'4V'!AQ28</f>
        <v>W3031TWD</v>
      </c>
      <c r="D5086" s="1882"/>
      <c r="E5086" s="1628" t="s">
        <v>8339</v>
      </c>
      <c r="F5086" s="1882"/>
      <c r="G5086" s="1882">
        <f>IF('4V'!J28="","##BLANK",'4V'!J28)</f>
        <v>76</v>
      </c>
    </row>
    <row r="5087" spans="2:7">
      <c r="B5087" s="821" t="str">
        <f>'4V'!AQ29</f>
        <v>W3032TWD</v>
      </c>
      <c r="D5087" s="1882"/>
      <c r="E5087" s="1628" t="s">
        <v>8339</v>
      </c>
      <c r="F5087" s="1882"/>
      <c r="G5087" s="1882">
        <f>IF('4V'!J29="","##BLANK",'4V'!J29)</f>
        <v>0.14299999999999999</v>
      </c>
    </row>
    <row r="5088" spans="2:7" s="1882" customFormat="1">
      <c r="B5088" s="821" t="str">
        <f>'4V'!AQ32</f>
        <v>W3033TWD</v>
      </c>
      <c r="C5088" s="1293"/>
      <c r="E5088" s="1628" t="s">
        <v>8339</v>
      </c>
      <c r="G5088" s="1882">
        <f>IF('4V'!J32="","##BLANK",'4V'!J32)</f>
        <v>0</v>
      </c>
    </row>
    <row r="5089" spans="2:7" s="1882" customFormat="1">
      <c r="B5089" s="821" t="str">
        <f>'4V'!AQ33</f>
        <v>W3034TWD</v>
      </c>
      <c r="C5089" s="1293"/>
      <c r="E5089" s="1628" t="s">
        <v>8339</v>
      </c>
      <c r="G5089" s="1882">
        <f>IF('4V'!J33="","##BLANK",'4V'!J33)</f>
        <v>1E-3</v>
      </c>
    </row>
    <row r="5090" spans="2:7" s="1882" customFormat="1">
      <c r="B5090" s="821" t="str">
        <f>'4V'!AQ34</f>
        <v>W3035TWD</v>
      </c>
      <c r="C5090" s="1293"/>
      <c r="E5090" s="1628" t="s">
        <v>8339</v>
      </c>
      <c r="G5090" s="1882">
        <f>IF('4V'!J34="","##BLANK",'4V'!J34)</f>
        <v>0</v>
      </c>
    </row>
    <row r="5091" spans="2:7">
      <c r="B5091" s="821" t="str">
        <f>'4V'!AQ36</f>
        <v>W3036TWD</v>
      </c>
      <c r="D5091" s="1882"/>
      <c r="E5091" s="1628" t="s">
        <v>8339</v>
      </c>
      <c r="F5091" s="1882"/>
      <c r="G5091" s="1882">
        <f>IF('4V'!J36="","##BLANK",'4V'!J36)</f>
        <v>0</v>
      </c>
    </row>
    <row r="5092" spans="2:7">
      <c r="B5092" s="821" t="str">
        <f>'4V'!AR7</f>
        <v>BM102AR</v>
      </c>
      <c r="D5092" s="1882"/>
      <c r="E5092" s="1628" t="s">
        <v>8339</v>
      </c>
      <c r="F5092" s="1882"/>
      <c r="G5092" s="1882">
        <f>IF('4V'!K7="","##BLANK",'4V'!K7)</f>
        <v>0</v>
      </c>
    </row>
    <row r="5093" spans="2:7">
      <c r="B5093" s="821" t="str">
        <f>'4V'!AR8</f>
        <v>BM836AR</v>
      </c>
      <c r="D5093" s="1882"/>
      <c r="E5093" s="1628" t="s">
        <v>8339</v>
      </c>
      <c r="F5093" s="1882"/>
      <c r="G5093" s="1882">
        <f>IF('4V'!K8="","##BLANK",'4V'!K8)</f>
        <v>0</v>
      </c>
    </row>
    <row r="5094" spans="2:7">
      <c r="B5094" s="821" t="str">
        <f>'4V'!AR9</f>
        <v>WS1003AR</v>
      </c>
      <c r="D5094" s="1882"/>
      <c r="E5094" s="1628" t="s">
        <v>8339</v>
      </c>
      <c r="F5094" s="1882"/>
      <c r="G5094" s="1882">
        <f>IF('4V'!K9="","##BLANK",'4V'!K9)</f>
        <v>0</v>
      </c>
    </row>
    <row r="5095" spans="2:7">
      <c r="B5095" s="821" t="str">
        <f>'4V'!AR10</f>
        <v>BM240AR</v>
      </c>
      <c r="D5095" s="1882"/>
      <c r="E5095" s="1628" t="s">
        <v>8339</v>
      </c>
      <c r="F5095" s="1882"/>
      <c r="G5095" s="1882">
        <f>IF('4V'!K10="","##BLANK",'4V'!K10)</f>
        <v>0</v>
      </c>
    </row>
    <row r="5096" spans="2:7">
      <c r="B5096" s="821" t="str">
        <f>'4V'!AR12</f>
        <v>WS1005AR</v>
      </c>
      <c r="D5096" s="1882"/>
      <c r="E5096" s="1628" t="s">
        <v>8339</v>
      </c>
      <c r="F5096" s="1882"/>
      <c r="G5096" s="1882">
        <f>IF('4V'!K12="","##BLANK",'4V'!K12)</f>
        <v>0</v>
      </c>
    </row>
    <row r="5097" spans="2:7">
      <c r="B5097" s="821" t="str">
        <f>'4V'!AR13</f>
        <v>WS1006AR</v>
      </c>
      <c r="D5097" s="1882"/>
      <c r="E5097" s="1628" t="s">
        <v>8339</v>
      </c>
      <c r="F5097" s="1882"/>
      <c r="G5097" s="1882">
        <f>IF('4V'!K13="","##BLANK",'4V'!K13)</f>
        <v>0</v>
      </c>
    </row>
    <row r="5098" spans="2:7">
      <c r="B5098" s="821" t="str">
        <f>'4V'!AR14</f>
        <v>BM108AR</v>
      </c>
      <c r="D5098" s="1882"/>
      <c r="E5098" s="1628" t="s">
        <v>8339</v>
      </c>
      <c r="F5098" s="1882"/>
      <c r="G5098" s="1882">
        <f>IF('4V'!K14="","##BLANK",'4V'!K14)</f>
        <v>0</v>
      </c>
    </row>
    <row r="5099" spans="2:7">
      <c r="B5099" s="821" t="str">
        <f>'4V'!AR15</f>
        <v>BM110AR</v>
      </c>
      <c r="D5099" s="1882"/>
      <c r="E5099" s="1628" t="s">
        <v>8339</v>
      </c>
      <c r="F5099" s="1882"/>
      <c r="G5099" s="1882">
        <f>IF('4V'!K15="","##BLANK",'4V'!K15)</f>
        <v>0</v>
      </c>
    </row>
    <row r="5100" spans="2:7">
      <c r="B5100" s="821" t="str">
        <f>'4V'!AR16</f>
        <v>BM816AR</v>
      </c>
      <c r="D5100" s="1882"/>
      <c r="E5100" s="1628" t="s">
        <v>8339</v>
      </c>
      <c r="F5100" s="1882"/>
      <c r="G5100" s="1882">
        <f>IF('4V'!K16="","##BLANK",'4V'!K16)</f>
        <v>0</v>
      </c>
    </row>
    <row r="5101" spans="2:7">
      <c r="B5101" s="821" t="str">
        <f>'4V'!AR17</f>
        <v>BM817AR</v>
      </c>
      <c r="D5101" s="1882"/>
      <c r="E5101" s="1628" t="s">
        <v>8339</v>
      </c>
      <c r="F5101" s="1882"/>
      <c r="G5101" s="1882">
        <f>IF('4V'!K17="","##BLANK",'4V'!K17)</f>
        <v>0</v>
      </c>
    </row>
    <row r="5102" spans="2:7">
      <c r="B5102" s="821" t="str">
        <f>'4V'!AR18</f>
        <v>BM316AR</v>
      </c>
      <c r="D5102" s="1882"/>
      <c r="E5102" s="1628" t="s">
        <v>8339</v>
      </c>
      <c r="F5102" s="1882"/>
      <c r="G5102" s="1882">
        <f>IF('4V'!K18="","##BLANK",'4V'!K18)</f>
        <v>0</v>
      </c>
    </row>
    <row r="5103" spans="2:7">
      <c r="B5103" s="821" t="str">
        <f>'4V'!AR19</f>
        <v>FT00865AR</v>
      </c>
      <c r="D5103" s="1882"/>
      <c r="E5103" s="1628" t="s">
        <v>8339</v>
      </c>
      <c r="F5103" s="1882"/>
      <c r="G5103" s="1882">
        <f>IF('4V'!K19="","##BLANK",'4V'!K19)</f>
        <v>0</v>
      </c>
    </row>
    <row r="5104" spans="2:7">
      <c r="B5104" s="821" t="str">
        <f>'4V'!AR20</f>
        <v>BM319AR</v>
      </c>
      <c r="D5104" s="1882"/>
      <c r="E5104" s="1628" t="s">
        <v>8339</v>
      </c>
      <c r="F5104" s="1882"/>
      <c r="G5104" s="1882">
        <f>IF('4V'!K20="","##BLANK",'4V'!K20)</f>
        <v>0</v>
      </c>
    </row>
    <row r="5105" spans="2:7">
      <c r="B5105" s="821" t="str">
        <f>'4V'!AR25</f>
        <v>BM3010CAW</v>
      </c>
      <c r="D5105" s="1882"/>
      <c r="E5105" s="1628" t="s">
        <v>8339</v>
      </c>
      <c r="F5105" s="1882"/>
      <c r="G5105" s="1882">
        <f>IF('4V'!K25="","##BLANK",'4V'!K25)</f>
        <v>14.634</v>
      </c>
    </row>
    <row r="5106" spans="2:7">
      <c r="B5106" s="821" t="str">
        <f>'4V'!AR26</f>
        <v>BM3011CAW</v>
      </c>
      <c r="D5106" s="1882"/>
      <c r="E5106" s="1628" t="s">
        <v>8339</v>
      </c>
      <c r="F5106" s="1882"/>
      <c r="G5106" s="1882">
        <f>IF('4V'!K26="","##BLANK",'4V'!K26)</f>
        <v>8.4640000000000004</v>
      </c>
    </row>
    <row r="5107" spans="2:7">
      <c r="B5107" s="821" t="str">
        <f>'4V'!AR27</f>
        <v>W3030CAW</v>
      </c>
      <c r="D5107" s="1882"/>
      <c r="E5107" s="1628" t="s">
        <v>8339</v>
      </c>
      <c r="F5107" s="1882"/>
      <c r="G5107" s="1882">
        <f>IF('4V'!K27="","##BLANK",'4V'!K27)</f>
        <v>344</v>
      </c>
    </row>
    <row r="5108" spans="2:7">
      <c r="B5108" s="821" t="str">
        <f>'4V'!AR28</f>
        <v>W3031CAW</v>
      </c>
      <c r="D5108" s="1882"/>
      <c r="E5108" s="1628" t="s">
        <v>8339</v>
      </c>
      <c r="F5108" s="1882"/>
      <c r="G5108" s="1882">
        <f>IF('4V'!K28="","##BLANK",'4V'!K28)</f>
        <v>145</v>
      </c>
    </row>
    <row r="5109" spans="2:7">
      <c r="B5109" s="821" t="str">
        <f>'4V'!AR29</f>
        <v>W3032CAW</v>
      </c>
      <c r="D5109" s="1882"/>
      <c r="E5109" s="1628" t="s">
        <v>8339</v>
      </c>
      <c r="F5109" s="1882"/>
      <c r="G5109" s="1882">
        <f>IF('4V'!K29="","##BLANK",'4V'!K29)</f>
        <v>0.14299999999999999</v>
      </c>
    </row>
    <row r="5110" spans="2:7">
      <c r="B5110" s="821" t="str">
        <f>'4V'!AR32</f>
        <v>W3033CAW</v>
      </c>
      <c r="D5110" s="1882"/>
      <c r="E5110" s="1628" t="s">
        <v>8339</v>
      </c>
      <c r="F5110" s="1882"/>
      <c r="G5110" s="1882">
        <f>IF('4V'!K32="","##BLANK",'4V'!K32)</f>
        <v>1.6259999999999999</v>
      </c>
    </row>
    <row r="5111" spans="2:7">
      <c r="B5111" s="821" t="str">
        <f>'4V'!AR33</f>
        <v>W3034CAW</v>
      </c>
      <c r="D5111" s="1882"/>
      <c r="E5111" s="1628" t="s">
        <v>8339</v>
      </c>
      <c r="F5111" s="1882"/>
      <c r="G5111" s="1882">
        <f>IF('4V'!K33="","##BLANK",'4V'!K33)</f>
        <v>1.1950000000000001</v>
      </c>
    </row>
    <row r="5112" spans="2:7">
      <c r="B5112" s="821" t="str">
        <f>'4V'!AR34</f>
        <v>W3035CAW</v>
      </c>
      <c r="D5112" s="1882"/>
      <c r="E5112" s="1628" t="s">
        <v>8339</v>
      </c>
      <c r="F5112" s="1882"/>
      <c r="G5112" s="1882">
        <f>IF('4V'!K34="","##BLANK",'4V'!K34)</f>
        <v>0</v>
      </c>
    </row>
    <row r="5113" spans="2:7">
      <c r="B5113" s="821" t="str">
        <f>'4V'!AR36</f>
        <v>W3036CAW</v>
      </c>
      <c r="D5113" s="1882"/>
      <c r="E5113" s="1628" t="s">
        <v>8339</v>
      </c>
      <c r="F5113" s="1882"/>
      <c r="G5113" s="1882">
        <f>IF('4V'!K36="","##BLANK",'4V'!K36)</f>
        <v>0</v>
      </c>
    </row>
    <row r="5114" spans="2:7">
      <c r="B5114" s="821" t="str">
        <f>'4V'!AS7</f>
        <v>BM102ASR</v>
      </c>
      <c r="D5114" s="1882"/>
      <c r="E5114" s="1628" t="s">
        <v>8339</v>
      </c>
      <c r="F5114" s="1882"/>
      <c r="G5114" s="1882">
        <f>IF('4V'!L7="","##BLANK",'4V'!L7)</f>
        <v>0</v>
      </c>
    </row>
    <row r="5115" spans="2:7">
      <c r="B5115" s="821" t="str">
        <f>'4V'!AS8</f>
        <v>BM836ASR</v>
      </c>
      <c r="D5115" s="1882"/>
      <c r="E5115" s="1628" t="s">
        <v>8339</v>
      </c>
      <c r="F5115" s="1882"/>
      <c r="G5115" s="1882">
        <f>IF('4V'!L8="","##BLANK",'4V'!L8)</f>
        <v>0</v>
      </c>
    </row>
    <row r="5116" spans="2:7">
      <c r="B5116" s="821" t="str">
        <f>'4V'!AS9</f>
        <v>WS1003ASR</v>
      </c>
      <c r="D5116" s="1882"/>
      <c r="E5116" s="1628" t="s">
        <v>8339</v>
      </c>
      <c r="F5116" s="1882"/>
      <c r="G5116" s="1882">
        <f>IF('4V'!L9="","##BLANK",'4V'!L9)</f>
        <v>0</v>
      </c>
    </row>
    <row r="5117" spans="2:7">
      <c r="B5117" s="821" t="str">
        <f>'4V'!AS10</f>
        <v>BM240ASR</v>
      </c>
      <c r="D5117" s="1882"/>
      <c r="E5117" s="1628" t="s">
        <v>8339</v>
      </c>
      <c r="F5117" s="1882"/>
      <c r="G5117" s="1882">
        <f>IF('4V'!L10="","##BLANK",'4V'!L10)</f>
        <v>0</v>
      </c>
    </row>
    <row r="5118" spans="2:7">
      <c r="B5118" s="821" t="str">
        <f>'4V'!AS12</f>
        <v>WS1005ASR</v>
      </c>
      <c r="D5118" s="1882"/>
      <c r="E5118" s="1628" t="s">
        <v>8339</v>
      </c>
      <c r="F5118" s="1882"/>
      <c r="G5118" s="1882">
        <f>IF('4V'!L12="","##BLANK",'4V'!L12)</f>
        <v>0</v>
      </c>
    </row>
    <row r="5119" spans="2:7">
      <c r="B5119" s="821" t="str">
        <f>'4V'!AS13</f>
        <v>WS1006ASR</v>
      </c>
      <c r="D5119" s="1882"/>
      <c r="E5119" s="1628" t="s">
        <v>8339</v>
      </c>
      <c r="F5119" s="1882"/>
      <c r="G5119" s="1882">
        <f>IF('4V'!L13="","##BLANK",'4V'!L13)</f>
        <v>0</v>
      </c>
    </row>
    <row r="5120" spans="2:7">
      <c r="B5120" s="821" t="str">
        <f>'4V'!AS14</f>
        <v>BM108ASR</v>
      </c>
      <c r="D5120" s="1882"/>
      <c r="E5120" s="1628" t="s">
        <v>8339</v>
      </c>
      <c r="F5120" s="1882"/>
      <c r="G5120" s="1882">
        <f>IF('4V'!L14="","##BLANK",'4V'!L14)</f>
        <v>0</v>
      </c>
    </row>
    <row r="5121" spans="2:7">
      <c r="B5121" s="821" t="str">
        <f>'4V'!AS15</f>
        <v>BM110ASR</v>
      </c>
      <c r="D5121" s="1882"/>
      <c r="E5121" s="1628" t="s">
        <v>8339</v>
      </c>
      <c r="F5121" s="1882"/>
      <c r="G5121" s="1882">
        <f>IF('4V'!L15="","##BLANK",'4V'!L15)</f>
        <v>0</v>
      </c>
    </row>
    <row r="5122" spans="2:7">
      <c r="B5122" s="821" t="str">
        <f>'4V'!AS16</f>
        <v>BM816ASR</v>
      </c>
      <c r="D5122" s="1882"/>
      <c r="E5122" s="1628" t="s">
        <v>8339</v>
      </c>
      <c r="F5122" s="1882"/>
      <c r="G5122" s="1882">
        <f>IF('4V'!L16="","##BLANK",'4V'!L16)</f>
        <v>0</v>
      </c>
    </row>
    <row r="5123" spans="2:7">
      <c r="B5123" s="821" t="str">
        <f>'4V'!AS17</f>
        <v>BM817ASR</v>
      </c>
      <c r="D5123" s="1882"/>
      <c r="E5123" s="1628" t="s">
        <v>8339</v>
      </c>
      <c r="F5123" s="1882"/>
      <c r="G5123" s="1882">
        <f>IF('4V'!L17="","##BLANK",'4V'!L17)</f>
        <v>0</v>
      </c>
    </row>
    <row r="5124" spans="2:7">
      <c r="B5124" s="821" t="str">
        <f>'4V'!AS18</f>
        <v>BM316ASR</v>
      </c>
      <c r="D5124" s="1882"/>
      <c r="E5124" s="1628" t="s">
        <v>8339</v>
      </c>
      <c r="F5124" s="1882"/>
      <c r="G5124" s="1882">
        <f>IF('4V'!L18="","##BLANK",'4V'!L18)</f>
        <v>0</v>
      </c>
    </row>
    <row r="5125" spans="2:7">
      <c r="B5125" s="821" t="str">
        <f>'4V'!AS19</f>
        <v>FT00865ASR</v>
      </c>
      <c r="D5125" s="1882"/>
      <c r="E5125" s="1628" t="s">
        <v>8339</v>
      </c>
      <c r="F5125" s="1882"/>
      <c r="G5125" s="1882">
        <f>IF('4V'!L19="","##BLANK",'4V'!L19)</f>
        <v>0</v>
      </c>
    </row>
    <row r="5126" spans="2:7">
      <c r="B5126" s="821" t="str">
        <f>'4V'!AS20</f>
        <v>BM319ASR</v>
      </c>
      <c r="D5126" s="1882"/>
      <c r="E5126" s="1628" t="s">
        <v>8339</v>
      </c>
      <c r="F5126" s="1882"/>
      <c r="G5126" s="1882">
        <f>IF('4V'!L20="","##BLANK",'4V'!L20)</f>
        <v>0</v>
      </c>
    </row>
    <row r="5127" spans="2:7">
      <c r="B5127" s="821" t="str">
        <f>'4V'!AT7</f>
        <v>BM102WROT</v>
      </c>
      <c r="D5127" s="1882"/>
      <c r="E5127" s="1628" t="s">
        <v>8339</v>
      </c>
      <c r="F5127" s="1882"/>
      <c r="G5127" s="1882">
        <f>IF('4V'!M7="","##BLANK",'4V'!M7)</f>
        <v>0</v>
      </c>
    </row>
    <row r="5128" spans="2:7">
      <c r="B5128" s="821" t="str">
        <f>'4V'!AT8</f>
        <v>BM836WROT</v>
      </c>
      <c r="D5128" s="1882"/>
      <c r="E5128" s="1628" t="s">
        <v>8339</v>
      </c>
      <c r="F5128" s="1882"/>
      <c r="G5128" s="1882">
        <f>IF('4V'!M8="","##BLANK",'4V'!M8)</f>
        <v>0</v>
      </c>
    </row>
    <row r="5129" spans="2:7">
      <c r="B5129" s="821" t="str">
        <f>'4V'!AT9</f>
        <v>WS1003WROT</v>
      </c>
      <c r="D5129" s="1882"/>
      <c r="E5129" s="1628" t="s">
        <v>8339</v>
      </c>
      <c r="F5129" s="1882"/>
      <c r="G5129" s="1882">
        <f>IF('4V'!M9="","##BLANK",'4V'!M9)</f>
        <v>0</v>
      </c>
    </row>
    <row r="5130" spans="2:7">
      <c r="B5130" s="821" t="str">
        <f>'4V'!AT10</f>
        <v>BM240WROT</v>
      </c>
      <c r="D5130" s="1882"/>
      <c r="E5130" s="1628" t="s">
        <v>8339</v>
      </c>
      <c r="F5130" s="1882"/>
      <c r="G5130" s="1882">
        <f>IF('4V'!M10="","##BLANK",'4V'!M10)</f>
        <v>0</v>
      </c>
    </row>
    <row r="5131" spans="2:7">
      <c r="B5131" s="821" t="str">
        <f>'4V'!AT12</f>
        <v>WS1005WROT</v>
      </c>
      <c r="D5131" s="1882"/>
      <c r="E5131" s="1628" t="s">
        <v>8339</v>
      </c>
      <c r="F5131" s="1882"/>
      <c r="G5131" s="1882">
        <f>IF('4V'!M12="","##BLANK",'4V'!M12)</f>
        <v>0</v>
      </c>
    </row>
    <row r="5132" spans="2:7">
      <c r="B5132" s="821" t="str">
        <f>'4V'!AT13</f>
        <v>WS1006WROT</v>
      </c>
      <c r="D5132" s="1882"/>
      <c r="E5132" s="1628" t="s">
        <v>8339</v>
      </c>
      <c r="F5132" s="1882"/>
      <c r="G5132" s="1882">
        <f>IF('4V'!M13="","##BLANK",'4V'!M13)</f>
        <v>0</v>
      </c>
    </row>
    <row r="5133" spans="2:7">
      <c r="B5133" s="821" t="str">
        <f>'4V'!AT14</f>
        <v>BM108WROT</v>
      </c>
      <c r="D5133" s="1882"/>
      <c r="E5133" s="1628" t="s">
        <v>8339</v>
      </c>
      <c r="F5133" s="1882"/>
      <c r="G5133" s="1882">
        <f>IF('4V'!M14="","##BLANK",'4V'!M14)</f>
        <v>0</v>
      </c>
    </row>
    <row r="5134" spans="2:7">
      <c r="B5134" s="821" t="str">
        <f>'4V'!AT15</f>
        <v>BM110WROT</v>
      </c>
      <c r="D5134" s="1882"/>
      <c r="E5134" s="1628" t="s">
        <v>8339</v>
      </c>
      <c r="F5134" s="1882"/>
      <c r="G5134" s="1882">
        <f>IF('4V'!M15="","##BLANK",'4V'!M15)</f>
        <v>0</v>
      </c>
    </row>
    <row r="5135" spans="2:7">
      <c r="B5135" s="821" t="str">
        <f>'4V'!AT16</f>
        <v>BM816WROT</v>
      </c>
      <c r="D5135" s="1882"/>
      <c r="E5135" s="1628" t="s">
        <v>8339</v>
      </c>
      <c r="F5135" s="1882"/>
      <c r="G5135" s="1882">
        <f>IF('4V'!M16="","##BLANK",'4V'!M16)</f>
        <v>0</v>
      </c>
    </row>
    <row r="5136" spans="2:7">
      <c r="B5136" s="821" t="str">
        <f>'4V'!AT17</f>
        <v>BM817WROT</v>
      </c>
      <c r="D5136" s="1882"/>
      <c r="E5136" s="1628" t="s">
        <v>8339</v>
      </c>
      <c r="F5136" s="1882"/>
      <c r="G5136" s="1882">
        <f>IF('4V'!M17="","##BLANK",'4V'!M17)</f>
        <v>0</v>
      </c>
    </row>
    <row r="5137" spans="2:7">
      <c r="B5137" s="821" t="str">
        <f>'4V'!AT18</f>
        <v>BM316WROT</v>
      </c>
      <c r="D5137" s="1882"/>
      <c r="E5137" s="1628" t="s">
        <v>8339</v>
      </c>
      <c r="F5137" s="1882"/>
      <c r="G5137" s="1882">
        <f>IF('4V'!M18="","##BLANK",'4V'!M18)</f>
        <v>0</v>
      </c>
    </row>
    <row r="5138" spans="2:7">
      <c r="B5138" s="821" t="str">
        <f>'4V'!AT19</f>
        <v>FT00865WROT</v>
      </c>
      <c r="D5138" s="1882"/>
      <c r="E5138" s="1628" t="s">
        <v>8339</v>
      </c>
      <c r="F5138" s="1882"/>
      <c r="G5138" s="1882">
        <f>IF('4V'!M19="","##BLANK",'4V'!M19)</f>
        <v>0</v>
      </c>
    </row>
    <row r="5139" spans="2:7">
      <c r="B5139" s="821" t="str">
        <f>'4V'!AT20</f>
        <v>BM319WROT</v>
      </c>
      <c r="D5139" s="1882"/>
      <c r="E5139" s="1628" t="s">
        <v>8339</v>
      </c>
      <c r="F5139" s="1882"/>
      <c r="G5139" s="1882">
        <f>IF('4V'!M20="","##BLANK",'4V'!M20)</f>
        <v>0</v>
      </c>
    </row>
    <row r="5140" spans="2:7">
      <c r="B5140" s="821" t="str">
        <f>'4V'!AU7</f>
        <v>BM102WRTOT</v>
      </c>
      <c r="D5140" s="1882"/>
      <c r="E5140" s="1628" t="s">
        <v>8339</v>
      </c>
      <c r="F5140" s="1882"/>
      <c r="G5140" s="1882">
        <f>IF('4V'!N7="","##BLANK",'4V'!N7)</f>
        <v>1.6850000000000001</v>
      </c>
    </row>
    <row r="5141" spans="2:7">
      <c r="B5141" s="821" t="str">
        <f>'4V'!AU8</f>
        <v>BM836WRTOT</v>
      </c>
      <c r="D5141" s="1882"/>
      <c r="E5141" s="1628" t="s">
        <v>8339</v>
      </c>
      <c r="F5141" s="1882"/>
      <c r="G5141" s="1882">
        <f>IF('4V'!N8="","##BLANK",'4V'!N8)</f>
        <v>0</v>
      </c>
    </row>
    <row r="5142" spans="2:7">
      <c r="B5142" s="821" t="str">
        <f>'4V'!AU9</f>
        <v>WS1003WRTOT</v>
      </c>
      <c r="D5142" s="1882"/>
      <c r="E5142" s="1628" t="s">
        <v>8339</v>
      </c>
      <c r="F5142" s="1882"/>
      <c r="G5142" s="1882">
        <f>IF('4V'!N9="","##BLANK",'4V'!N9)</f>
        <v>2.7199999999999998</v>
      </c>
    </row>
    <row r="5143" spans="2:7">
      <c r="B5143" s="821" t="str">
        <f>'4V'!AU10</f>
        <v>BM240WRTOT</v>
      </c>
      <c r="D5143" s="1882"/>
      <c r="E5143" s="1628" t="s">
        <v>8339</v>
      </c>
      <c r="F5143" s="1882"/>
      <c r="G5143" s="1882">
        <f>IF('4V'!N10="","##BLANK",'4V'!N10)</f>
        <v>1.6E-2</v>
      </c>
    </row>
    <row r="5144" spans="2:7">
      <c r="B5144" s="821" t="str">
        <f>'4V'!AU12</f>
        <v>WS1005WRTOT</v>
      </c>
      <c r="D5144" s="1882"/>
      <c r="E5144" s="1628" t="s">
        <v>8339</v>
      </c>
      <c r="F5144" s="1882"/>
      <c r="G5144" s="1882">
        <f>IF('4V'!N12="","##BLANK",'4V'!N12)</f>
        <v>0.11800000000000001</v>
      </c>
    </row>
    <row r="5145" spans="2:7">
      <c r="B5145" s="821" t="str">
        <f>'4V'!AU13</f>
        <v>WS1006WRTOT</v>
      </c>
      <c r="D5145" s="1882"/>
      <c r="E5145" s="1628" t="s">
        <v>8339</v>
      </c>
      <c r="F5145" s="1882"/>
      <c r="G5145" s="1882">
        <f>IF('4V'!N13="","##BLANK",'4V'!N13)</f>
        <v>0</v>
      </c>
    </row>
    <row r="5146" spans="2:7">
      <c r="B5146" s="821" t="str">
        <f>'4V'!AU14</f>
        <v>BM108WRTOT</v>
      </c>
      <c r="D5146" s="1882"/>
      <c r="E5146" s="1628" t="s">
        <v>8339</v>
      </c>
      <c r="F5146" s="1882"/>
      <c r="G5146" s="1882">
        <f>IF('4V'!N14="","##BLANK",'4V'!N14)</f>
        <v>5.8659999999999997</v>
      </c>
    </row>
    <row r="5147" spans="2:7">
      <c r="B5147" s="821" t="str">
        <f>'4V'!AU15</f>
        <v>BM110WRTOT</v>
      </c>
      <c r="D5147" s="1882"/>
      <c r="E5147" s="1628" t="s">
        <v>8339</v>
      </c>
      <c r="F5147" s="1882"/>
      <c r="G5147" s="1882">
        <f>IF('4V'!N15="","##BLANK",'4V'!N15)</f>
        <v>4.0859999999999994</v>
      </c>
    </row>
    <row r="5148" spans="2:7">
      <c r="B5148" s="821" t="str">
        <f>'4V'!AU16</f>
        <v>BM816WRTOT</v>
      </c>
      <c r="D5148" s="1882"/>
      <c r="E5148" s="1628" t="s">
        <v>8339</v>
      </c>
      <c r="F5148" s="1882"/>
      <c r="G5148" s="1882">
        <f>IF('4V'!N16="","##BLANK",'4V'!N16)</f>
        <v>14.491</v>
      </c>
    </row>
    <row r="5149" spans="2:7">
      <c r="B5149" s="821" t="str">
        <f>'4V'!AU17</f>
        <v>BM817WRTOT</v>
      </c>
      <c r="D5149" s="1882"/>
      <c r="E5149" s="1628" t="s">
        <v>8339</v>
      </c>
      <c r="F5149" s="1882"/>
      <c r="G5149" s="1882">
        <f>IF('4V'!N17="","##BLANK",'4V'!N17)</f>
        <v>1.292</v>
      </c>
    </row>
    <row r="5150" spans="2:7">
      <c r="B5150" s="821" t="str">
        <f>'4V'!AU18</f>
        <v>BM316WRTOT</v>
      </c>
      <c r="D5150" s="1882"/>
      <c r="E5150" s="1628" t="s">
        <v>8339</v>
      </c>
      <c r="F5150" s="1882"/>
      <c r="G5150" s="1882">
        <f>IF('4V'!N18="","##BLANK",'4V'!N18)</f>
        <v>15.783000000000001</v>
      </c>
    </row>
    <row r="5151" spans="2:7">
      <c r="B5151" s="821" t="str">
        <f>'4V'!AU19</f>
        <v>FT00865WRTOT</v>
      </c>
      <c r="D5151" s="1882"/>
      <c r="E5151" s="1628" t="s">
        <v>8339</v>
      </c>
      <c r="F5151" s="1882"/>
      <c r="G5151" s="1882">
        <f>IF('4V'!N19="","##BLANK",'4V'!N19)</f>
        <v>2.0574240000000001</v>
      </c>
    </row>
    <row r="5152" spans="2:7">
      <c r="B5152" s="821" t="str">
        <f>'4V'!AU20</f>
        <v>BM319WRTOT</v>
      </c>
      <c r="D5152" s="1882"/>
      <c r="E5152" s="1628" t="s">
        <v>8339</v>
      </c>
      <c r="F5152" s="1882"/>
      <c r="G5152" s="1882">
        <f>IF('4V'!N20="","##BLANK",'4V'!N20)</f>
        <v>17.840424000000002</v>
      </c>
    </row>
    <row r="5153" spans="2:8">
      <c r="B5153" s="821" t="str">
        <f>'4W'!AP6</f>
        <v>WWS1001STPPP</v>
      </c>
      <c r="D5153" s="1882"/>
      <c r="E5153" s="1628" t="s">
        <v>8339</v>
      </c>
      <c r="F5153" s="1882"/>
      <c r="G5153" s="1882" t="str">
        <f>IF('4W'!G6="","##BLANK",'4W'!G6)</f>
        <v>##BLANK</v>
      </c>
      <c r="H5153" s="1882"/>
    </row>
    <row r="5154" spans="2:8">
      <c r="B5154" s="821" t="str">
        <f>'4W'!AP7</f>
        <v>WWS1002STPPP</v>
      </c>
      <c r="D5154" s="1882"/>
      <c r="E5154" s="1628" t="s">
        <v>8339</v>
      </c>
      <c r="F5154" s="1882"/>
      <c r="G5154" s="1882" t="str">
        <f>IF('4W'!G7="","##BLANK",'4W'!G7)</f>
        <v>##BLANK</v>
      </c>
      <c r="H5154" s="1882"/>
    </row>
    <row r="5155" spans="2:8">
      <c r="B5155" s="821" t="str">
        <f>'4W'!AP8</f>
        <v>WWS1003STPPP</v>
      </c>
      <c r="D5155" s="1882"/>
      <c r="E5155" s="1628" t="s">
        <v>8339</v>
      </c>
      <c r="F5155" s="1882"/>
      <c r="G5155" s="1882" t="str">
        <f>IF('4W'!G8="","##BLANK",'4W'!G8)</f>
        <v>##BLANK</v>
      </c>
      <c r="H5155" s="1882"/>
    </row>
    <row r="5156" spans="2:8">
      <c r="B5156" s="821" t="str">
        <f>'4W'!AP9</f>
        <v>WWS1004STPPP</v>
      </c>
      <c r="D5156" s="1882"/>
      <c r="E5156" s="1628" t="s">
        <v>8339</v>
      </c>
      <c r="F5156" s="1882"/>
      <c r="G5156" s="1882" t="str">
        <f>IF('4W'!G9="","##BLANK",'4W'!G9)</f>
        <v>##BLANK</v>
      </c>
      <c r="H5156" s="1882"/>
    </row>
    <row r="5157" spans="2:8">
      <c r="B5157" s="821" t="str">
        <f>'4W'!AP11</f>
        <v>WWS1005STPPP</v>
      </c>
      <c r="D5157" s="1882"/>
      <c r="E5157" s="1628" t="s">
        <v>8339</v>
      </c>
      <c r="F5157" s="1882"/>
      <c r="G5157" s="1882" t="str">
        <f>IF('4W'!G11="","##BLANK",'4W'!G11)</f>
        <v>##BLANK</v>
      </c>
      <c r="H5157" s="1882"/>
    </row>
    <row r="5158" spans="2:8">
      <c r="B5158" s="821" t="str">
        <f>'4W'!AP12</f>
        <v>WWS1006STPPP</v>
      </c>
      <c r="D5158" s="1882"/>
      <c r="E5158" s="1628" t="s">
        <v>8339</v>
      </c>
      <c r="F5158" s="1882"/>
      <c r="G5158" s="1882" t="str">
        <f>IF('4W'!G12="","##BLANK",'4W'!G12)</f>
        <v>##BLANK</v>
      </c>
      <c r="H5158" s="1882"/>
    </row>
    <row r="5159" spans="2:8">
      <c r="B5159" s="821" t="str">
        <f>'4W'!AP13</f>
        <v>WWS1007DISTPPP</v>
      </c>
      <c r="D5159" s="1882"/>
      <c r="E5159" s="1628" t="s">
        <v>8339</v>
      </c>
      <c r="F5159" s="1882"/>
      <c r="G5159" s="1882" t="str">
        <f>IF('4W'!G13="","##BLANK",'4W'!G13)</f>
        <v>##BLANK</v>
      </c>
      <c r="H5159" s="1882"/>
    </row>
    <row r="5160" spans="2:8">
      <c r="B5160" s="821" t="str">
        <f>'4W'!AP14</f>
        <v>WWS1007INSTPPP</v>
      </c>
      <c r="D5160" s="1882"/>
      <c r="E5160" s="1628" t="s">
        <v>8339</v>
      </c>
      <c r="F5160" s="1882"/>
      <c r="G5160" s="1882" t="str">
        <f>IF('4W'!G14="","##BLANK",'4W'!G14)</f>
        <v>##BLANK</v>
      </c>
      <c r="H5160" s="1882"/>
    </row>
    <row r="5161" spans="2:8">
      <c r="B5161" s="821" t="str">
        <f>'4W'!AP15</f>
        <v>BM816STPPP</v>
      </c>
      <c r="D5161" s="1882"/>
      <c r="E5161" s="1628" t="s">
        <v>8339</v>
      </c>
      <c r="F5161" s="1882"/>
      <c r="G5161" s="1882">
        <f>IF('4W'!G15="","##BLANK",'4W'!G15)</f>
        <v>0</v>
      </c>
      <c r="H5161" s="1882"/>
    </row>
    <row r="5162" spans="2:8">
      <c r="B5162" s="821" t="str">
        <f>'4W'!AP16</f>
        <v>WWS1008STPPP</v>
      </c>
      <c r="D5162" s="1882"/>
      <c r="E5162" s="1628" t="s">
        <v>8339</v>
      </c>
      <c r="F5162" s="1882"/>
      <c r="G5162" s="1882" t="str">
        <f>IF('4W'!G16="","##BLANK",'4W'!G16)</f>
        <v>##BLANK</v>
      </c>
      <c r="H5162" s="1882"/>
    </row>
    <row r="5163" spans="2:8">
      <c r="B5163" s="821" t="str">
        <f>'4W'!AP17</f>
        <v>WWS1009STPPP</v>
      </c>
      <c r="D5163" s="1882"/>
      <c r="E5163" s="1628" t="s">
        <v>8339</v>
      </c>
      <c r="F5163" s="1882"/>
      <c r="G5163" s="1882">
        <f>IF('4W'!G17="","##BLANK",'4W'!G17)</f>
        <v>0</v>
      </c>
      <c r="H5163" s="1882"/>
    </row>
    <row r="5164" spans="2:8">
      <c r="B5164" s="821" t="str">
        <f>'4W'!AP18</f>
        <v>FT00865STPPP</v>
      </c>
      <c r="D5164" s="1882"/>
      <c r="E5164" s="1628" t="s">
        <v>8339</v>
      </c>
      <c r="F5164" s="1882"/>
      <c r="G5164" s="1882" t="str">
        <f>IF('4W'!G18="","##BLANK",'4W'!G18)</f>
        <v>##BLANK</v>
      </c>
      <c r="H5164" s="1882"/>
    </row>
    <row r="5165" spans="2:8">
      <c r="B5165" s="821" t="str">
        <f>'4W'!AP19</f>
        <v>BM319STPPP</v>
      </c>
      <c r="D5165" s="1882"/>
      <c r="E5165" s="1628" t="s">
        <v>8339</v>
      </c>
      <c r="F5165" s="1882"/>
      <c r="G5165" s="1882">
        <f>IF('4W'!G19="","##BLANK",'4W'!G19)</f>
        <v>0</v>
      </c>
      <c r="H5165" s="1882"/>
    </row>
    <row r="5166" spans="2:8">
      <c r="B5166" s="821" t="str">
        <f>'4W'!AP22</f>
        <v>BM402STUTS</v>
      </c>
      <c r="D5166" s="1882"/>
      <c r="E5166" s="1628" t="s">
        <v>8339</v>
      </c>
      <c r="F5166" s="1882"/>
      <c r="G5166" s="1882" t="str">
        <f>IF('4W'!G22="","##BLANK",'4W'!G22)</f>
        <v>##BLANK</v>
      </c>
      <c r="H5166" s="1882"/>
    </row>
    <row r="5167" spans="2:8">
      <c r="B5167" s="821" t="str">
        <f>'4W'!AP23</f>
        <v>BM836STUTS</v>
      </c>
      <c r="D5167" s="1882"/>
      <c r="E5167" s="1628" t="s">
        <v>8339</v>
      </c>
      <c r="F5167" s="1882"/>
      <c r="G5167" s="1882" t="str">
        <f>IF('4W'!G23="","##BLANK",'4W'!G23)</f>
        <v>##BLANK</v>
      </c>
      <c r="H5167" s="1882"/>
    </row>
    <row r="5168" spans="2:8">
      <c r="B5168" s="821" t="str">
        <f>'4W'!AP24</f>
        <v>WWS1003STUTS</v>
      </c>
      <c r="D5168" s="1882"/>
      <c r="E5168" s="1628" t="s">
        <v>8339</v>
      </c>
      <c r="F5168" s="1882"/>
      <c r="G5168" s="1882" t="str">
        <f>IF('4W'!G24="","##BLANK",'4W'!G24)</f>
        <v>##BLANK</v>
      </c>
      <c r="H5168" s="1882"/>
    </row>
    <row r="5169" spans="2:8">
      <c r="B5169" s="821" t="str">
        <f>'4W'!AP25</f>
        <v>BM240STUTS</v>
      </c>
      <c r="D5169" s="1882"/>
      <c r="E5169" s="1628" t="s">
        <v>8339</v>
      </c>
      <c r="F5169" s="1882"/>
      <c r="G5169" s="1882" t="str">
        <f>IF('4W'!G25="","##BLANK",'4W'!G25)</f>
        <v>##BLANK</v>
      </c>
      <c r="H5169" s="1882"/>
    </row>
    <row r="5170" spans="2:8">
      <c r="B5170" s="821" t="str">
        <f>'4W'!AP27</f>
        <v>WWS1005STUTS</v>
      </c>
      <c r="D5170" s="1882"/>
      <c r="E5170" s="1628" t="s">
        <v>8339</v>
      </c>
      <c r="F5170" s="1882"/>
      <c r="G5170" s="1882" t="str">
        <f>IF('4W'!G27="","##BLANK",'4W'!G27)</f>
        <v>##BLANK</v>
      </c>
      <c r="H5170" s="1882"/>
    </row>
    <row r="5171" spans="2:8">
      <c r="B5171" s="821" t="str">
        <f>'4W'!AP28</f>
        <v>WWS1006STUTS</v>
      </c>
      <c r="D5171" s="1882"/>
      <c r="E5171" s="1628" t="s">
        <v>8339</v>
      </c>
      <c r="F5171" s="1882"/>
      <c r="G5171" s="1882" t="str">
        <f>IF('4W'!G28="","##BLANK",'4W'!G28)</f>
        <v>##BLANK</v>
      </c>
      <c r="H5171" s="1882"/>
    </row>
    <row r="5172" spans="2:8">
      <c r="B5172" s="821" t="str">
        <f>'4W'!AP29</f>
        <v>BM408STUTS</v>
      </c>
      <c r="D5172" s="1882"/>
      <c r="E5172" s="1628" t="s">
        <v>8339</v>
      </c>
      <c r="F5172" s="1882"/>
      <c r="G5172" s="1882" t="str">
        <f>IF('4W'!G29="","##BLANK",'4W'!G29)</f>
        <v>##BLANK</v>
      </c>
      <c r="H5172" s="1882"/>
    </row>
    <row r="5173" spans="2:8">
      <c r="B5173" s="821" t="str">
        <f>'4W'!AP30</f>
        <v>BM410STUTS</v>
      </c>
      <c r="D5173" s="1882"/>
      <c r="E5173" s="1628" t="s">
        <v>8339</v>
      </c>
      <c r="F5173" s="1882"/>
      <c r="G5173" s="1882" t="str">
        <f>IF('4W'!G30="","##BLANK",'4W'!G30)</f>
        <v>##BLANK</v>
      </c>
      <c r="H5173" s="1882"/>
    </row>
    <row r="5174" spans="2:8">
      <c r="B5174" s="821" t="str">
        <f>'4W'!AP31</f>
        <v>BM816STUTS</v>
      </c>
      <c r="D5174" s="1882"/>
      <c r="E5174" s="1628" t="s">
        <v>8339</v>
      </c>
      <c r="F5174" s="1882"/>
      <c r="G5174" s="1882">
        <f>IF('4W'!G31="","##BLANK",'4W'!G31)</f>
        <v>0</v>
      </c>
      <c r="H5174" s="1882"/>
    </row>
    <row r="5175" spans="2:8">
      <c r="B5175" s="821" t="str">
        <f>'4W'!AP32</f>
        <v>BM817STUTS</v>
      </c>
      <c r="D5175" s="1882"/>
      <c r="E5175" s="1628" t="s">
        <v>8339</v>
      </c>
      <c r="F5175" s="1882"/>
      <c r="G5175" s="1882" t="str">
        <f>IF('4W'!G32="","##BLANK",'4W'!G32)</f>
        <v>##BLANK</v>
      </c>
      <c r="H5175" s="1882"/>
    </row>
    <row r="5176" spans="2:8">
      <c r="B5176" s="821" t="str">
        <f>'4W'!AP33</f>
        <v>BM8390STUTS</v>
      </c>
      <c r="D5176" s="1882"/>
      <c r="E5176" s="1628" t="s">
        <v>8339</v>
      </c>
      <c r="F5176" s="1882"/>
      <c r="G5176" s="1882">
        <f>IF('4W'!G33="","##BLANK",'4W'!G33)</f>
        <v>0</v>
      </c>
      <c r="H5176" s="1882"/>
    </row>
    <row r="5177" spans="2:8">
      <c r="B5177" s="821" t="str">
        <f>'4W'!AP34</f>
        <v>FT00865STUTS</v>
      </c>
      <c r="D5177" s="1882"/>
      <c r="E5177" s="1628" t="s">
        <v>8339</v>
      </c>
      <c r="F5177" s="1882"/>
      <c r="G5177" s="1882" t="str">
        <f>IF('4W'!G34="","##BLANK",'4W'!G34)</f>
        <v>##BLANK</v>
      </c>
      <c r="H5177" s="1882"/>
    </row>
    <row r="5178" spans="2:8">
      <c r="B5178" s="821" t="str">
        <f>'4W'!AP35</f>
        <v>BM319STUTS</v>
      </c>
      <c r="D5178" s="1882"/>
      <c r="E5178" s="1628" t="s">
        <v>8339</v>
      </c>
      <c r="F5178" s="1882"/>
      <c r="G5178" s="1882">
        <f>IF('4W'!G35="","##BLANK",'4W'!G35)</f>
        <v>0</v>
      </c>
      <c r="H5178" s="1882"/>
    </row>
    <row r="5179" spans="2:8">
      <c r="B5179" s="821" t="str">
        <f>'4W'!AP38</f>
        <v>BM402SDLFR</v>
      </c>
      <c r="D5179" s="1882"/>
      <c r="E5179" s="1628" t="s">
        <v>8339</v>
      </c>
      <c r="F5179" s="1882"/>
      <c r="G5179" s="1882" t="str">
        <f>IF('4W'!G38="","##BLANK",'4W'!G38)</f>
        <v>##BLANK</v>
      </c>
      <c r="H5179" s="1882"/>
    </row>
    <row r="5180" spans="2:8">
      <c r="B5180" s="821" t="str">
        <f>'4W'!AP39</f>
        <v>BM836SDLFR</v>
      </c>
      <c r="D5180" s="1882"/>
      <c r="E5180" s="1628" t="s">
        <v>8339</v>
      </c>
      <c r="F5180" s="1882"/>
      <c r="G5180" s="1882" t="str">
        <f>IF('4W'!G39="","##BLANK",'4W'!G39)</f>
        <v>##BLANK</v>
      </c>
      <c r="H5180" s="1882"/>
    </row>
    <row r="5181" spans="2:8">
      <c r="B5181" s="821" t="str">
        <f>'4W'!AP40</f>
        <v>WWS1003SDLFR</v>
      </c>
      <c r="D5181" s="1882"/>
      <c r="E5181" s="1628" t="s">
        <v>8339</v>
      </c>
      <c r="F5181" s="1882"/>
      <c r="G5181" s="1882" t="str">
        <f>IF('4W'!G40="","##BLANK",'4W'!G40)</f>
        <v>##BLANK</v>
      </c>
      <c r="H5181" s="1882"/>
    </row>
    <row r="5182" spans="2:8">
      <c r="B5182" s="821" t="str">
        <f>'4W'!AP41</f>
        <v>BM240SDLFR</v>
      </c>
      <c r="D5182" s="1882"/>
      <c r="E5182" s="1628" t="s">
        <v>8339</v>
      </c>
      <c r="F5182" s="1882"/>
      <c r="G5182" s="1882" t="str">
        <f>IF('4W'!G41="","##BLANK",'4W'!G41)</f>
        <v>##BLANK</v>
      </c>
      <c r="H5182" s="1882"/>
    </row>
    <row r="5183" spans="2:8">
      <c r="B5183" s="821" t="str">
        <f>'4W'!AP43</f>
        <v>WWS1005SDLFR</v>
      </c>
      <c r="D5183" s="1882"/>
      <c r="E5183" s="1628" t="s">
        <v>8339</v>
      </c>
      <c r="F5183" s="1882"/>
      <c r="G5183" s="1882" t="str">
        <f>IF('4W'!G43="","##BLANK",'4W'!G43)</f>
        <v>##BLANK</v>
      </c>
      <c r="H5183" s="1882"/>
    </row>
    <row r="5184" spans="2:8">
      <c r="B5184" s="821" t="str">
        <f>'4W'!AP44</f>
        <v>WWS1006SDLFR</v>
      </c>
      <c r="D5184" s="1882"/>
      <c r="E5184" s="1628" t="s">
        <v>8339</v>
      </c>
      <c r="F5184" s="1882"/>
      <c r="G5184" s="1882" t="str">
        <f>IF('4W'!G44="","##BLANK",'4W'!G44)</f>
        <v>##BLANK</v>
      </c>
      <c r="H5184" s="1882"/>
    </row>
    <row r="5185" spans="2:8">
      <c r="B5185" s="821" t="str">
        <f>'4W'!AP45</f>
        <v>BM408SDLFR</v>
      </c>
      <c r="D5185" s="1882"/>
      <c r="E5185" s="1628" t="s">
        <v>8339</v>
      </c>
      <c r="F5185" s="1882"/>
      <c r="G5185" s="1882" t="str">
        <f>IF('4W'!G45="","##BLANK",'4W'!G45)</f>
        <v>##BLANK</v>
      </c>
      <c r="H5185" s="1882"/>
    </row>
    <row r="5186" spans="2:8">
      <c r="B5186" s="821" t="str">
        <f>'4W'!AP46</f>
        <v>BM410SDLFR</v>
      </c>
      <c r="D5186" s="1882"/>
      <c r="E5186" s="1628" t="s">
        <v>8339</v>
      </c>
      <c r="F5186" s="1882"/>
      <c r="G5186" s="1882" t="str">
        <f>IF('4W'!G46="","##BLANK",'4W'!G46)</f>
        <v>##BLANK</v>
      </c>
      <c r="H5186" s="1882"/>
    </row>
    <row r="5187" spans="2:8">
      <c r="B5187" s="821" t="str">
        <f>'4W'!AP47</f>
        <v>BM816SDLFR</v>
      </c>
      <c r="D5187" s="1882"/>
      <c r="E5187" s="1628" t="s">
        <v>8339</v>
      </c>
      <c r="F5187" s="1882"/>
      <c r="G5187" s="1882">
        <f>IF('4W'!G47="","##BLANK",'4W'!G47)</f>
        <v>0</v>
      </c>
      <c r="H5187" s="1882"/>
    </row>
    <row r="5188" spans="2:8">
      <c r="B5188" s="821" t="str">
        <f>'4W'!AP48</f>
        <v>BM817SDLFR</v>
      </c>
      <c r="D5188" s="1882"/>
      <c r="E5188" s="1628" t="s">
        <v>8339</v>
      </c>
      <c r="F5188" s="1882"/>
      <c r="G5188" s="1882" t="str">
        <f>IF('4W'!G48="","##BLANK",'4W'!G48)</f>
        <v>##BLANK</v>
      </c>
      <c r="H5188" s="1882"/>
    </row>
    <row r="5189" spans="2:8">
      <c r="B5189" s="821" t="str">
        <f>'4W'!AP49</f>
        <v>BM8390SDLFR</v>
      </c>
      <c r="D5189" s="1882"/>
      <c r="E5189" s="1628" t="s">
        <v>8339</v>
      </c>
      <c r="F5189" s="1882"/>
      <c r="G5189" s="1882">
        <f>IF('4W'!G49="","##BLANK",'4W'!G49)</f>
        <v>0</v>
      </c>
      <c r="H5189" s="1882"/>
    </row>
    <row r="5190" spans="2:8">
      <c r="B5190" s="821" t="str">
        <f>'4W'!AP50</f>
        <v>FT00865SDLFR</v>
      </c>
      <c r="D5190" s="1882"/>
      <c r="E5190" s="1628" t="s">
        <v>8339</v>
      </c>
      <c r="F5190" s="1882"/>
      <c r="G5190" s="1882" t="str">
        <f>IF('4W'!G50="","##BLANK",'4W'!G50)</f>
        <v>##BLANK</v>
      </c>
      <c r="H5190" s="1882"/>
    </row>
    <row r="5191" spans="2:8">
      <c r="B5191" s="821" t="str">
        <f>'4W'!AP51</f>
        <v>BM319SDLFR</v>
      </c>
      <c r="D5191" s="1882"/>
      <c r="E5191" s="1628" t="s">
        <v>8339</v>
      </c>
      <c r="F5191" s="1882"/>
      <c r="G5191" s="1882">
        <f>IF('4W'!G51="","##BLANK",'4W'!G51)</f>
        <v>0</v>
      </c>
      <c r="H5191" s="1882"/>
    </row>
    <row r="5192" spans="2:8">
      <c r="B5192" s="821" t="str">
        <f>'4W'!AP58</f>
        <v>BM3010NPSC</v>
      </c>
      <c r="D5192" s="1882"/>
      <c r="E5192" s="1628" t="s">
        <v>8339</v>
      </c>
      <c r="F5192" s="1882"/>
      <c r="G5192" s="1882" t="str">
        <f>IF('4W'!G58="","##BLANK",'4W'!G58)</f>
        <v>##BLANK</v>
      </c>
      <c r="H5192" s="1882"/>
    </row>
    <row r="5193" spans="2:8">
      <c r="B5193" s="821" t="str">
        <f>'4W'!AP59</f>
        <v>BM3011NPSC</v>
      </c>
      <c r="D5193" s="1882"/>
      <c r="E5193" s="1628" t="s">
        <v>8339</v>
      </c>
      <c r="F5193" s="1882"/>
      <c r="G5193" s="1882" t="str">
        <f>IF('4W'!G59="","##BLANK",'4W'!G59)</f>
        <v>##BLANK</v>
      </c>
      <c r="H5193" s="1882"/>
    </row>
    <row r="5194" spans="2:8">
      <c r="B5194" s="821" t="str">
        <f>'4W'!AP60</f>
        <v>W3030NPSC</v>
      </c>
      <c r="D5194" s="1882"/>
      <c r="E5194" s="1628" t="s">
        <v>8339</v>
      </c>
      <c r="F5194" s="1882"/>
      <c r="G5194" s="1882" t="str">
        <f>IF('4W'!G60="","##BLANK",'4W'!G60)</f>
        <v>##BLANK</v>
      </c>
      <c r="H5194" s="1882"/>
    </row>
    <row r="5195" spans="2:8">
      <c r="B5195" s="821" t="str">
        <f>'4W'!AP61</f>
        <v>W3031NPSC</v>
      </c>
      <c r="D5195" s="1882"/>
      <c r="E5195" s="1628" t="s">
        <v>8339</v>
      </c>
      <c r="F5195" s="1882"/>
      <c r="G5195" s="1882" t="str">
        <f>IF('4W'!G61="","##BLANK",'4W'!G61)</f>
        <v>##BLANK</v>
      </c>
      <c r="H5195" s="1882"/>
    </row>
    <row r="5196" spans="2:8">
      <c r="B5196" s="821" t="str">
        <f>'4W'!AP62</f>
        <v>W3032NPSC</v>
      </c>
      <c r="D5196" s="1882"/>
      <c r="E5196" s="1628" t="s">
        <v>8339</v>
      </c>
      <c r="F5196" s="1882"/>
      <c r="G5196" s="1882" t="str">
        <f>IF('4W'!G62="","##BLANK",'4W'!G62)</f>
        <v>##BLANK</v>
      </c>
      <c r="H5196" s="1882"/>
    </row>
    <row r="5197" spans="2:8">
      <c r="B5197" s="821" t="str">
        <f>'4W'!AP63</f>
        <v>W3036NPSC</v>
      </c>
      <c r="D5197" s="1882"/>
      <c r="E5197" s="1628" t="s">
        <v>8339</v>
      </c>
      <c r="F5197" s="1882"/>
      <c r="G5197" s="1882" t="str">
        <f>IF('4W'!G63="","##BLANK",'4W'!G63)</f>
        <v>##BLANK</v>
      </c>
      <c r="H5197" s="1882"/>
    </row>
    <row r="5198" spans="2:8">
      <c r="B5198" s="821" t="str">
        <f>'4W'!AP66</f>
        <v>W3033NPSC</v>
      </c>
      <c r="D5198" s="1882"/>
      <c r="E5198" s="1628" t="s">
        <v>8339</v>
      </c>
      <c r="F5198" s="1882"/>
      <c r="G5198" s="1882" t="str">
        <f>IF('4W'!G66="","##BLANK",'4W'!G66)</f>
        <v>##BLANK</v>
      </c>
      <c r="H5198" s="1882"/>
    </row>
    <row r="5199" spans="2:8">
      <c r="B5199" s="821" t="str">
        <f>'4W'!AP67</f>
        <v>W3034NPSC</v>
      </c>
      <c r="D5199" s="1882"/>
      <c r="E5199" s="1628" t="s">
        <v>8339</v>
      </c>
      <c r="F5199" s="1882"/>
      <c r="G5199" s="1882" t="str">
        <f>IF('4W'!G67="","##BLANK",'4W'!G67)</f>
        <v>##BLANK</v>
      </c>
      <c r="H5199" s="1882"/>
    </row>
    <row r="5200" spans="2:8">
      <c r="B5200" s="821" t="str">
        <f>'4W'!AP68</f>
        <v>W3035NPSC</v>
      </c>
      <c r="D5200" s="1882"/>
      <c r="E5200" s="1628" t="s">
        <v>8339</v>
      </c>
      <c r="F5200" s="1882"/>
      <c r="G5200" s="1882" t="str">
        <f>IF('4W'!G68="","##BLANK",'4W'!G68)</f>
        <v>##BLANK</v>
      </c>
      <c r="H5200" s="1882"/>
    </row>
    <row r="5201" spans="2:8">
      <c r="B5201" s="821" t="str">
        <f>'4W'!AQ6</f>
        <v>WWS1001STPTK</v>
      </c>
      <c r="D5201" s="1882"/>
      <c r="E5201" s="1628" t="s">
        <v>8339</v>
      </c>
      <c r="F5201" s="1882"/>
      <c r="G5201" s="1882" t="str">
        <f>IF('4W'!H6="","##BLANK",'4W'!H6)</f>
        <v>##BLANK</v>
      </c>
      <c r="H5201" s="1882"/>
    </row>
    <row r="5202" spans="2:8">
      <c r="B5202" s="821" t="str">
        <f>'4W'!AQ7</f>
        <v>WWS1002STPTK</v>
      </c>
      <c r="D5202" s="1882"/>
      <c r="E5202" s="1628" t="s">
        <v>8339</v>
      </c>
      <c r="F5202" s="1882"/>
      <c r="G5202" s="1882" t="str">
        <f>IF('4W'!H7="","##BLANK",'4W'!H7)</f>
        <v>##BLANK</v>
      </c>
      <c r="H5202" s="1882"/>
    </row>
    <row r="5203" spans="2:8">
      <c r="B5203" s="821" t="str">
        <f>'4W'!AQ8</f>
        <v>WWS1003STPTK</v>
      </c>
      <c r="D5203" s="1882"/>
      <c r="E5203" s="1628" t="s">
        <v>8339</v>
      </c>
      <c r="F5203" s="1882"/>
      <c r="G5203" s="1882" t="str">
        <f>IF('4W'!H8="","##BLANK",'4W'!H8)</f>
        <v>##BLANK</v>
      </c>
      <c r="H5203" s="1882"/>
    </row>
    <row r="5204" spans="2:8">
      <c r="B5204" s="821" t="str">
        <f>'4W'!AQ9</f>
        <v>WWS1004STPTK</v>
      </c>
      <c r="D5204" s="1882"/>
      <c r="E5204" s="1628" t="s">
        <v>8339</v>
      </c>
      <c r="F5204" s="1882"/>
      <c r="G5204" s="1882" t="str">
        <f>IF('4W'!H9="","##BLANK",'4W'!H9)</f>
        <v>##BLANK</v>
      </c>
      <c r="H5204" s="1882"/>
    </row>
    <row r="5205" spans="2:8">
      <c r="B5205" s="821" t="str">
        <f>'4W'!AQ11</f>
        <v>WWS1005STPTK</v>
      </c>
      <c r="D5205" s="1882"/>
      <c r="E5205" s="1628" t="s">
        <v>8339</v>
      </c>
      <c r="F5205" s="1882"/>
      <c r="G5205" s="1882" t="str">
        <f>IF('4W'!H11="","##BLANK",'4W'!H11)</f>
        <v>##BLANK</v>
      </c>
      <c r="H5205" s="1882"/>
    </row>
    <row r="5206" spans="2:8">
      <c r="B5206" s="821" t="str">
        <f>'4W'!AQ12</f>
        <v>WWS1006STPTK</v>
      </c>
      <c r="D5206" s="1882"/>
      <c r="E5206" s="1628" t="s">
        <v>8339</v>
      </c>
      <c r="F5206" s="1882"/>
      <c r="G5206" s="1882" t="str">
        <f>IF('4W'!H12="","##BLANK",'4W'!H12)</f>
        <v>##BLANK</v>
      </c>
      <c r="H5206" s="1882"/>
    </row>
    <row r="5207" spans="2:8">
      <c r="B5207" s="821" t="str">
        <f>'4W'!AQ13</f>
        <v>WWS1007DISTPTK</v>
      </c>
      <c r="D5207" s="1882"/>
      <c r="E5207" s="1628" t="s">
        <v>8339</v>
      </c>
      <c r="F5207" s="1882"/>
      <c r="G5207" s="1882" t="str">
        <f>IF('4W'!H13="","##BLANK",'4W'!H13)</f>
        <v>##BLANK</v>
      </c>
      <c r="H5207" s="1882"/>
    </row>
    <row r="5208" spans="2:8">
      <c r="B5208" s="821" t="str">
        <f>'4W'!AQ14</f>
        <v>WWS1007INSTPTK</v>
      </c>
      <c r="D5208" s="1882"/>
      <c r="E5208" s="1628" t="s">
        <v>8339</v>
      </c>
      <c r="F5208" s="1882"/>
      <c r="G5208" s="1882" t="str">
        <f>IF('4W'!H14="","##BLANK",'4W'!H14)</f>
        <v>##BLANK</v>
      </c>
      <c r="H5208" s="1882"/>
    </row>
    <row r="5209" spans="2:8">
      <c r="B5209" s="821" t="str">
        <f>'4W'!AQ15</f>
        <v>BM816STPTK</v>
      </c>
      <c r="D5209" s="1882"/>
      <c r="E5209" s="1628" t="s">
        <v>8339</v>
      </c>
      <c r="F5209" s="1882"/>
      <c r="G5209" s="1882">
        <f>IF('4W'!H15="","##BLANK",'4W'!H15)</f>
        <v>0</v>
      </c>
      <c r="H5209" s="1882"/>
    </row>
    <row r="5210" spans="2:8">
      <c r="B5210" s="821" t="str">
        <f>'4W'!AQ16</f>
        <v>WWS1008STPTK</v>
      </c>
      <c r="D5210" s="1882"/>
      <c r="E5210" s="1628" t="s">
        <v>8339</v>
      </c>
      <c r="F5210" s="1882"/>
      <c r="G5210" s="1882" t="str">
        <f>IF('4W'!H16="","##BLANK",'4W'!H16)</f>
        <v>##BLANK</v>
      </c>
      <c r="H5210" s="1882"/>
    </row>
    <row r="5211" spans="2:8">
      <c r="B5211" s="821" t="str">
        <f>'4W'!AQ17</f>
        <v>WWS1009STPTK</v>
      </c>
      <c r="D5211" s="1882"/>
      <c r="E5211" s="1628" t="s">
        <v>8339</v>
      </c>
      <c r="F5211" s="1882"/>
      <c r="G5211" s="1882">
        <f>IF('4W'!H17="","##BLANK",'4W'!H17)</f>
        <v>0</v>
      </c>
      <c r="H5211" s="1882"/>
    </row>
    <row r="5212" spans="2:8">
      <c r="B5212" s="821" t="str">
        <f>'4W'!AQ18</f>
        <v>FT00865STPTK</v>
      </c>
      <c r="D5212" s="1882"/>
      <c r="E5212" s="1628" t="s">
        <v>8339</v>
      </c>
      <c r="F5212" s="1882"/>
      <c r="G5212" s="1882" t="str">
        <f>IF('4W'!H18="","##BLANK",'4W'!H18)</f>
        <v>##BLANK</v>
      </c>
      <c r="H5212" s="1882"/>
    </row>
    <row r="5213" spans="2:8">
      <c r="B5213" s="821" t="str">
        <f>'4W'!AQ19</f>
        <v>BM319STPTK</v>
      </c>
      <c r="D5213" s="1882"/>
      <c r="E5213" s="1628" t="s">
        <v>8339</v>
      </c>
      <c r="F5213" s="1882"/>
      <c r="G5213" s="1882">
        <f>IF('4W'!H19="","##BLANK",'4W'!H19)</f>
        <v>0</v>
      </c>
      <c r="H5213" s="1882"/>
    </row>
    <row r="5214" spans="2:8">
      <c r="B5214" s="821" t="str">
        <f>'4W'!AQ22</f>
        <v>BM402STRSL</v>
      </c>
      <c r="D5214" s="1882"/>
      <c r="E5214" s="1628" t="s">
        <v>8339</v>
      </c>
      <c r="F5214" s="1882"/>
      <c r="G5214" s="1882" t="str">
        <f>IF('4W'!H22="","##BLANK",'4W'!H22)</f>
        <v>##BLANK</v>
      </c>
      <c r="H5214" s="1882"/>
    </row>
    <row r="5215" spans="2:8">
      <c r="B5215" s="821" t="str">
        <f>'4W'!AQ23</f>
        <v>BM836STRSL</v>
      </c>
      <c r="D5215" s="1882"/>
      <c r="E5215" s="1628" t="s">
        <v>8339</v>
      </c>
      <c r="F5215" s="1882"/>
      <c r="G5215" s="1882" t="str">
        <f>IF('4W'!H23="","##BLANK",'4W'!H23)</f>
        <v>##BLANK</v>
      </c>
      <c r="H5215" s="1882"/>
    </row>
    <row r="5216" spans="2:8">
      <c r="B5216" s="821" t="str">
        <f>'4W'!AQ24</f>
        <v>WWS1003STRSL</v>
      </c>
      <c r="D5216" s="1882"/>
      <c r="E5216" s="1628" t="s">
        <v>8339</v>
      </c>
      <c r="F5216" s="1882"/>
      <c r="G5216" s="1882" t="str">
        <f>IF('4W'!H24="","##BLANK",'4W'!H24)</f>
        <v>##BLANK</v>
      </c>
      <c r="H5216" s="1882"/>
    </row>
    <row r="5217" spans="2:7">
      <c r="B5217" s="821" t="str">
        <f>'4W'!AQ25</f>
        <v>BM240STRSL</v>
      </c>
      <c r="D5217" s="1882"/>
      <c r="E5217" s="1628" t="s">
        <v>8339</v>
      </c>
      <c r="F5217" s="1882"/>
      <c r="G5217" s="1882" t="str">
        <f>IF('4W'!H25="","##BLANK",'4W'!H25)</f>
        <v>##BLANK</v>
      </c>
    </row>
    <row r="5218" spans="2:7">
      <c r="B5218" s="821" t="str">
        <f>'4W'!AQ27</f>
        <v>WWS1005STRSL</v>
      </c>
      <c r="D5218" s="1882"/>
      <c r="E5218" s="1628" t="s">
        <v>8339</v>
      </c>
      <c r="F5218" s="1882"/>
      <c r="G5218" s="1882" t="str">
        <f>IF('4W'!H27="","##BLANK",'4W'!H27)</f>
        <v>##BLANK</v>
      </c>
    </row>
    <row r="5219" spans="2:7">
      <c r="B5219" s="821" t="str">
        <f>'4W'!AQ28</f>
        <v>WWS1006STRSL</v>
      </c>
      <c r="D5219" s="1882"/>
      <c r="E5219" s="1628" t="s">
        <v>8339</v>
      </c>
      <c r="F5219" s="1882"/>
      <c r="G5219" s="1882" t="str">
        <f>IF('4W'!H28="","##BLANK",'4W'!H28)</f>
        <v>##BLANK</v>
      </c>
    </row>
    <row r="5220" spans="2:7">
      <c r="B5220" s="821" t="str">
        <f>'4W'!AQ29</f>
        <v>BM408STRSL</v>
      </c>
      <c r="D5220" s="1882"/>
      <c r="E5220" s="1628" t="s">
        <v>8339</v>
      </c>
      <c r="F5220" s="1882"/>
      <c r="G5220" s="1882" t="str">
        <f>IF('4W'!H29="","##BLANK",'4W'!H29)</f>
        <v>##BLANK</v>
      </c>
    </row>
    <row r="5221" spans="2:7">
      <c r="B5221" s="821" t="str">
        <f>'4W'!AQ30</f>
        <v>BM410STRSL</v>
      </c>
      <c r="D5221" s="1882"/>
      <c r="E5221" s="1628" t="s">
        <v>8339</v>
      </c>
      <c r="F5221" s="1882"/>
      <c r="G5221" s="1882" t="str">
        <f>IF('4W'!H30="","##BLANK",'4W'!H30)</f>
        <v>##BLANK</v>
      </c>
    </row>
    <row r="5222" spans="2:7">
      <c r="B5222" s="821" t="str">
        <f>'4W'!AQ31</f>
        <v>BM816STRSL</v>
      </c>
      <c r="D5222" s="1882"/>
      <c r="E5222" s="1628" t="s">
        <v>8339</v>
      </c>
      <c r="F5222" s="1882"/>
      <c r="G5222" s="1882">
        <f>IF('4W'!H31="","##BLANK",'4W'!H31)</f>
        <v>0</v>
      </c>
    </row>
    <row r="5223" spans="2:7">
      <c r="B5223" s="821" t="str">
        <f>'4W'!AQ32</f>
        <v>BM817STRSL</v>
      </c>
      <c r="D5223" s="1882"/>
      <c r="E5223" s="1628" t="s">
        <v>8339</v>
      </c>
      <c r="F5223" s="1882"/>
      <c r="G5223" s="1882" t="str">
        <f>IF('4W'!H32="","##BLANK",'4W'!H32)</f>
        <v>##BLANK</v>
      </c>
    </row>
    <row r="5224" spans="2:7">
      <c r="B5224" s="821" t="str">
        <f>'4W'!AQ33</f>
        <v>BM8390STRSL</v>
      </c>
      <c r="D5224" s="1882"/>
      <c r="E5224" s="1628" t="s">
        <v>8339</v>
      </c>
      <c r="F5224" s="1882"/>
      <c r="G5224" s="1882">
        <f>IF('4W'!H33="","##BLANK",'4W'!H33)</f>
        <v>0</v>
      </c>
    </row>
    <row r="5225" spans="2:7">
      <c r="B5225" s="821" t="str">
        <f>'4W'!AQ34</f>
        <v>FT00865STRSL</v>
      </c>
      <c r="D5225" s="1882"/>
      <c r="E5225" s="1628" t="s">
        <v>8339</v>
      </c>
      <c r="F5225" s="1882"/>
      <c r="G5225" s="1882" t="str">
        <f>IF('4W'!H34="","##BLANK",'4W'!H34)</f>
        <v>##BLANK</v>
      </c>
    </row>
    <row r="5226" spans="2:7">
      <c r="B5226" s="821" t="str">
        <f>'4W'!AQ35</f>
        <v>BM319STRSL</v>
      </c>
      <c r="D5226" s="1882"/>
      <c r="E5226" s="1628" t="s">
        <v>8339</v>
      </c>
      <c r="F5226" s="1882"/>
      <c r="G5226" s="1882">
        <f>IF('4W'!H35="","##BLANK",'4W'!H35)</f>
        <v>0</v>
      </c>
    </row>
    <row r="5227" spans="2:7">
      <c r="B5227" s="821" t="str">
        <f>'4W'!AQ38</f>
        <v>BM402SDLFP</v>
      </c>
      <c r="D5227" s="1882"/>
      <c r="E5227" s="1628" t="s">
        <v>8339</v>
      </c>
      <c r="F5227" s="1882"/>
      <c r="G5227" s="1882" t="str">
        <f>IF('4W'!H38="","##BLANK",'4W'!H38)</f>
        <v>##BLANK</v>
      </c>
    </row>
    <row r="5228" spans="2:7">
      <c r="B5228" s="821" t="str">
        <f>'4W'!AQ39</f>
        <v>BM836SDLFP</v>
      </c>
      <c r="D5228" s="1882"/>
      <c r="E5228" s="1628" t="s">
        <v>8339</v>
      </c>
      <c r="F5228" s="1882"/>
      <c r="G5228" s="1882" t="str">
        <f>IF('4W'!H39="","##BLANK",'4W'!H39)</f>
        <v>##BLANK</v>
      </c>
    </row>
    <row r="5229" spans="2:7">
      <c r="B5229" s="821" t="str">
        <f>'4W'!AQ40</f>
        <v>WWS1003SDLFP</v>
      </c>
      <c r="D5229" s="1882"/>
      <c r="E5229" s="1628" t="s">
        <v>8339</v>
      </c>
      <c r="F5229" s="1882"/>
      <c r="G5229" s="1882" t="str">
        <f>IF('4W'!H40="","##BLANK",'4W'!H40)</f>
        <v>##BLANK</v>
      </c>
    </row>
    <row r="5230" spans="2:7">
      <c r="B5230" s="821" t="str">
        <f>'4W'!AQ41</f>
        <v>BM240SDLFP</v>
      </c>
      <c r="D5230" s="1882"/>
      <c r="E5230" s="1628" t="s">
        <v>8339</v>
      </c>
      <c r="F5230" s="1882"/>
      <c r="G5230" s="1882" t="str">
        <f>IF('4W'!H41="","##BLANK",'4W'!H41)</f>
        <v>##BLANK</v>
      </c>
    </row>
    <row r="5231" spans="2:7">
      <c r="B5231" s="821" t="str">
        <f>'4W'!AQ43</f>
        <v>WWS1005SDLFP</v>
      </c>
      <c r="D5231" s="1882"/>
      <c r="E5231" s="1628" t="s">
        <v>8339</v>
      </c>
      <c r="F5231" s="1882"/>
      <c r="G5231" s="1882" t="str">
        <f>IF('4W'!H43="","##BLANK",'4W'!H43)</f>
        <v>##BLANK</v>
      </c>
    </row>
    <row r="5232" spans="2:7">
      <c r="B5232" s="821" t="str">
        <f>'4W'!AQ44</f>
        <v>WWS1006SDLFP</v>
      </c>
      <c r="D5232" s="1882"/>
      <c r="E5232" s="1628" t="s">
        <v>8339</v>
      </c>
      <c r="F5232" s="1882"/>
      <c r="G5232" s="1882" t="str">
        <f>IF('4W'!H44="","##BLANK",'4W'!H44)</f>
        <v>##BLANK</v>
      </c>
    </row>
    <row r="5233" spans="2:7">
      <c r="B5233" s="821" t="str">
        <f>'4W'!AQ45</f>
        <v>BM408SDLFP</v>
      </c>
      <c r="D5233" s="1882"/>
      <c r="E5233" s="1628" t="s">
        <v>8339</v>
      </c>
      <c r="F5233" s="1882"/>
      <c r="G5233" s="1882" t="str">
        <f>IF('4W'!H45="","##BLANK",'4W'!H45)</f>
        <v>##BLANK</v>
      </c>
    </row>
    <row r="5234" spans="2:7">
      <c r="B5234" s="821" t="str">
        <f>'4W'!AQ46</f>
        <v>BM410SDLFP</v>
      </c>
      <c r="D5234" s="1882"/>
      <c r="E5234" s="1628" t="s">
        <v>8339</v>
      </c>
      <c r="F5234" s="1882"/>
      <c r="G5234" s="1882" t="str">
        <f>IF('4W'!H46="","##BLANK",'4W'!H46)</f>
        <v>##BLANK</v>
      </c>
    </row>
    <row r="5235" spans="2:7">
      <c r="B5235" s="821" t="str">
        <f>'4W'!AQ47</f>
        <v>BM816SDLFP</v>
      </c>
      <c r="D5235" s="1882"/>
      <c r="E5235" s="1628" t="s">
        <v>8339</v>
      </c>
      <c r="F5235" s="1882"/>
      <c r="G5235" s="1882">
        <f>IF('4W'!H47="","##BLANK",'4W'!H47)</f>
        <v>0</v>
      </c>
    </row>
    <row r="5236" spans="2:7">
      <c r="B5236" s="821" t="str">
        <f>'4W'!AQ48</f>
        <v>BM817SDLFP</v>
      </c>
      <c r="D5236" s="1882"/>
      <c r="E5236" s="1628" t="s">
        <v>8339</v>
      </c>
      <c r="F5236" s="1882"/>
      <c r="G5236" s="1882" t="str">
        <f>IF('4W'!H48="","##BLANK",'4W'!H48)</f>
        <v>##BLANK</v>
      </c>
    </row>
    <row r="5237" spans="2:7">
      <c r="B5237" s="821" t="str">
        <f>'4W'!AQ49</f>
        <v>BM8390SDLFP</v>
      </c>
      <c r="D5237" s="1882"/>
      <c r="E5237" s="1628" t="s">
        <v>8339</v>
      </c>
      <c r="F5237" s="1882"/>
      <c r="G5237" s="1882">
        <f>IF('4W'!H49="","##BLANK",'4W'!H49)</f>
        <v>0</v>
      </c>
    </row>
    <row r="5238" spans="2:7">
      <c r="B5238" s="821" t="str">
        <f>'4W'!AQ50</f>
        <v>FT00865SDLFP</v>
      </c>
      <c r="D5238" s="1882"/>
      <c r="E5238" s="1628" t="s">
        <v>8339</v>
      </c>
      <c r="F5238" s="1882"/>
      <c r="G5238" s="1882" t="str">
        <f>IF('4W'!H50="","##BLANK",'4W'!H50)</f>
        <v>##BLANK</v>
      </c>
    </row>
    <row r="5239" spans="2:7">
      <c r="B5239" s="821" t="str">
        <f>'4W'!AQ51</f>
        <v>BM319SDLFP</v>
      </c>
      <c r="D5239" s="1882"/>
      <c r="E5239" s="1628" t="s">
        <v>8339</v>
      </c>
      <c r="F5239" s="1882"/>
      <c r="G5239" s="1882">
        <f>IF('4W'!H51="","##BLANK",'4W'!H51)</f>
        <v>0</v>
      </c>
    </row>
    <row r="5240" spans="2:7">
      <c r="B5240" s="821" t="str">
        <f>'4W'!AQ58</f>
        <v>BM3010NPST</v>
      </c>
      <c r="D5240" s="1882"/>
      <c r="E5240" s="1628" t="s">
        <v>8339</v>
      </c>
      <c r="F5240" s="1882"/>
      <c r="G5240" s="1882" t="str">
        <f>IF('4W'!H58="","##BLANK",'4W'!H58)</f>
        <v>##BLANK</v>
      </c>
    </row>
    <row r="5241" spans="2:7">
      <c r="B5241" s="821" t="str">
        <f>'4W'!AQ59</f>
        <v>BM3011NPST</v>
      </c>
      <c r="D5241" s="1882"/>
      <c r="E5241" s="1628" t="s">
        <v>8339</v>
      </c>
      <c r="F5241" s="1882"/>
      <c r="G5241" s="1882" t="str">
        <f>IF('4W'!H59="","##BLANK",'4W'!H59)</f>
        <v>##BLANK</v>
      </c>
    </row>
    <row r="5242" spans="2:7">
      <c r="B5242" s="821" t="str">
        <f>'4W'!AQ60</f>
        <v>W3030NPST</v>
      </c>
      <c r="D5242" s="1882"/>
      <c r="E5242" s="1628" t="s">
        <v>8339</v>
      </c>
      <c r="F5242" s="1882"/>
      <c r="G5242" s="1882" t="str">
        <f>IF('4W'!H60="","##BLANK",'4W'!H60)</f>
        <v>##BLANK</v>
      </c>
    </row>
    <row r="5243" spans="2:7">
      <c r="B5243" s="821" t="str">
        <f>'4W'!AQ61</f>
        <v>W3031NPST</v>
      </c>
      <c r="D5243" s="1882"/>
      <c r="E5243" s="1628" t="s">
        <v>8339</v>
      </c>
      <c r="F5243" s="1882"/>
      <c r="G5243" s="1882" t="str">
        <f>IF('4W'!H61="","##BLANK",'4W'!H61)</f>
        <v>##BLANK</v>
      </c>
    </row>
    <row r="5244" spans="2:7">
      <c r="B5244" s="821" t="str">
        <f>'4W'!AQ62</f>
        <v>W3032NPST</v>
      </c>
      <c r="D5244" s="1882"/>
      <c r="E5244" s="1628" t="s">
        <v>8339</v>
      </c>
      <c r="F5244" s="1882"/>
      <c r="G5244" s="1882" t="str">
        <f>IF('4W'!H62="","##BLANK",'4W'!H62)</f>
        <v>##BLANK</v>
      </c>
    </row>
    <row r="5245" spans="2:7">
      <c r="B5245" s="821" t="str">
        <f>'4W'!AQ63</f>
        <v>W3036NPST</v>
      </c>
      <c r="D5245" s="1882"/>
      <c r="E5245" s="1628" t="s">
        <v>8339</v>
      </c>
      <c r="F5245" s="1882"/>
      <c r="G5245" s="1882" t="str">
        <f>IF('4W'!H63="","##BLANK",'4W'!H63)</f>
        <v>##BLANK</v>
      </c>
    </row>
    <row r="5246" spans="2:7">
      <c r="B5246" s="821" t="str">
        <f>'4W'!AQ66</f>
        <v>W3033NPST</v>
      </c>
      <c r="D5246" s="1882"/>
      <c r="E5246" s="1628" t="s">
        <v>8339</v>
      </c>
      <c r="F5246" s="1882"/>
      <c r="G5246" s="1882" t="str">
        <f>IF('4W'!H66="","##BLANK",'4W'!H66)</f>
        <v>##BLANK</v>
      </c>
    </row>
    <row r="5247" spans="2:7">
      <c r="B5247" s="821" t="str">
        <f>'4W'!AQ67</f>
        <v>W3034NPST</v>
      </c>
      <c r="D5247" s="1882"/>
      <c r="E5247" s="1628" t="s">
        <v>8339</v>
      </c>
      <c r="F5247" s="1882"/>
      <c r="G5247" s="1882" t="str">
        <f>IF('4W'!H67="","##BLANK",'4W'!H67)</f>
        <v>##BLANK</v>
      </c>
    </row>
    <row r="5248" spans="2:7">
      <c r="B5248" s="821" t="str">
        <f>'4W'!AQ68</f>
        <v>W3035NPST</v>
      </c>
      <c r="D5248" s="1882"/>
      <c r="E5248" s="1628" t="s">
        <v>8339</v>
      </c>
      <c r="F5248" s="1882"/>
      <c r="G5248" s="1882" t="str">
        <f>IF('4W'!H68="","##BLANK",'4W'!H68)</f>
        <v>##BLANK</v>
      </c>
    </row>
    <row r="5249" spans="2:7">
      <c r="B5249" s="821" t="str">
        <f>'4W'!AR6</f>
        <v>WWS1001STPTR</v>
      </c>
      <c r="D5249" s="1882"/>
      <c r="E5249" s="1628" t="s">
        <v>8339</v>
      </c>
      <c r="F5249" s="1882"/>
      <c r="G5249" s="1882" t="str">
        <f>IF('4W'!I6="","##BLANK",'4W'!I6)</f>
        <v>##BLANK</v>
      </c>
    </row>
    <row r="5250" spans="2:7">
      <c r="B5250" s="821" t="str">
        <f>'4W'!AR7</f>
        <v>WWS1002STPTR</v>
      </c>
      <c r="D5250" s="1882"/>
      <c r="E5250" s="1628" t="s">
        <v>8339</v>
      </c>
      <c r="F5250" s="1882"/>
      <c r="G5250" s="1882" t="str">
        <f>IF('4W'!I7="","##BLANK",'4W'!I7)</f>
        <v>##BLANK</v>
      </c>
    </row>
    <row r="5251" spans="2:7">
      <c r="B5251" s="821" t="str">
        <f>'4W'!AR8</f>
        <v>WWS1003STPTR</v>
      </c>
      <c r="D5251" s="1882"/>
      <c r="E5251" s="1628" t="s">
        <v>8339</v>
      </c>
      <c r="F5251" s="1882"/>
      <c r="G5251" s="1882" t="str">
        <f>IF('4W'!I8="","##BLANK",'4W'!I8)</f>
        <v>##BLANK</v>
      </c>
    </row>
    <row r="5252" spans="2:7">
      <c r="B5252" s="821" t="str">
        <f>'4W'!AR9</f>
        <v>WWS1004STPTR</v>
      </c>
      <c r="D5252" s="1882"/>
      <c r="E5252" s="1628" t="s">
        <v>8339</v>
      </c>
      <c r="F5252" s="1882"/>
      <c r="G5252" s="1882" t="str">
        <f>IF('4W'!I9="","##BLANK",'4W'!I9)</f>
        <v>##BLANK</v>
      </c>
    </row>
    <row r="5253" spans="2:7">
      <c r="B5253" s="821" t="str">
        <f>'4W'!AR11</f>
        <v>WWS1005STPTR</v>
      </c>
      <c r="D5253" s="1882"/>
      <c r="E5253" s="1628" t="s">
        <v>8339</v>
      </c>
      <c r="F5253" s="1882"/>
      <c r="G5253" s="1882" t="str">
        <f>IF('4W'!I11="","##BLANK",'4W'!I11)</f>
        <v>##BLANK</v>
      </c>
    </row>
    <row r="5254" spans="2:7">
      <c r="B5254" s="821" t="str">
        <f>'4W'!AR12</f>
        <v>WWS1006STPTR</v>
      </c>
      <c r="D5254" s="1882"/>
      <c r="E5254" s="1628" t="s">
        <v>8339</v>
      </c>
      <c r="F5254" s="1882"/>
      <c r="G5254" s="1882" t="str">
        <f>IF('4W'!I12="","##BLANK",'4W'!I12)</f>
        <v>##BLANK</v>
      </c>
    </row>
    <row r="5255" spans="2:7">
      <c r="B5255" s="821" t="str">
        <f>'4W'!AR13</f>
        <v>WWS1007DISTPTR</v>
      </c>
      <c r="D5255" s="1882"/>
      <c r="E5255" s="1628" t="s">
        <v>8339</v>
      </c>
      <c r="F5255" s="1882"/>
      <c r="G5255" s="1882" t="str">
        <f>IF('4W'!I13="","##BLANK",'4W'!I13)</f>
        <v>##BLANK</v>
      </c>
    </row>
    <row r="5256" spans="2:7">
      <c r="B5256" s="821" t="str">
        <f>'4W'!AR14</f>
        <v>WWS1007INSTPTR</v>
      </c>
      <c r="D5256" s="1882"/>
      <c r="E5256" s="1628" t="s">
        <v>8339</v>
      </c>
      <c r="F5256" s="1882"/>
      <c r="G5256" s="1882" t="str">
        <f>IF('4W'!I14="","##BLANK",'4W'!I14)</f>
        <v>##BLANK</v>
      </c>
    </row>
    <row r="5257" spans="2:7">
      <c r="B5257" s="821" t="str">
        <f>'4W'!AR15</f>
        <v>BM816STPTR</v>
      </c>
      <c r="D5257" s="1882"/>
      <c r="E5257" s="1628" t="s">
        <v>8339</v>
      </c>
      <c r="F5257" s="1882"/>
      <c r="G5257" s="1882">
        <f>IF('4W'!I15="","##BLANK",'4W'!I15)</f>
        <v>0</v>
      </c>
    </row>
    <row r="5258" spans="2:7">
      <c r="B5258" s="821" t="str">
        <f>'4W'!AR16</f>
        <v>WWS1008STPTR</v>
      </c>
      <c r="D5258" s="1882"/>
      <c r="E5258" s="1628" t="s">
        <v>8339</v>
      </c>
      <c r="F5258" s="1882"/>
      <c r="G5258" s="1882" t="str">
        <f>IF('4W'!I16="","##BLANK",'4W'!I16)</f>
        <v>##BLANK</v>
      </c>
    </row>
    <row r="5259" spans="2:7">
      <c r="B5259" s="821" t="str">
        <f>'4W'!AR17</f>
        <v>WWS1009STPTR</v>
      </c>
      <c r="D5259" s="1882"/>
      <c r="E5259" s="1628" t="s">
        <v>8339</v>
      </c>
      <c r="F5259" s="1882"/>
      <c r="G5259" s="1882">
        <f>IF('4W'!I17="","##BLANK",'4W'!I17)</f>
        <v>0</v>
      </c>
    </row>
    <row r="5260" spans="2:7">
      <c r="B5260" s="821" t="str">
        <f>'4W'!AR18</f>
        <v>FT00865STPTR</v>
      </c>
      <c r="D5260" s="1882"/>
      <c r="E5260" s="1628" t="s">
        <v>8339</v>
      </c>
      <c r="F5260" s="1882"/>
      <c r="G5260" s="1882" t="str">
        <f>IF('4W'!I18="","##BLANK",'4W'!I18)</f>
        <v>##BLANK</v>
      </c>
    </row>
    <row r="5261" spans="2:7">
      <c r="B5261" s="821" t="str">
        <f>'4W'!AR19</f>
        <v>BM319STPTR</v>
      </c>
      <c r="D5261" s="1882"/>
      <c r="E5261" s="1628" t="s">
        <v>8339</v>
      </c>
      <c r="F5261" s="1882"/>
      <c r="G5261" s="1882">
        <f>IF('4W'!I19="","##BLANK",'4W'!I19)</f>
        <v>0</v>
      </c>
    </row>
    <row r="5262" spans="2:7">
      <c r="B5262" s="821" t="str">
        <f>'4W'!AR22</f>
        <v>BM402STCAD</v>
      </c>
      <c r="D5262" s="1882"/>
      <c r="E5262" s="1628" t="s">
        <v>8339</v>
      </c>
      <c r="F5262" s="1882"/>
      <c r="G5262" s="1882" t="str">
        <f>IF('4W'!I22="","##BLANK",'4W'!I22)</f>
        <v>##BLANK</v>
      </c>
    </row>
    <row r="5263" spans="2:7">
      <c r="B5263" s="821" t="str">
        <f>'4W'!AR23</f>
        <v>BM836STCAD</v>
      </c>
      <c r="D5263" s="1882"/>
      <c r="E5263" s="1628" t="s">
        <v>8339</v>
      </c>
      <c r="F5263" s="1882"/>
      <c r="G5263" s="1882" t="str">
        <f>IF('4W'!I23="","##BLANK",'4W'!I23)</f>
        <v>##BLANK</v>
      </c>
    </row>
    <row r="5264" spans="2:7">
      <c r="B5264" s="821" t="str">
        <f>'4W'!AR24</f>
        <v>WWS1003STCAD</v>
      </c>
      <c r="D5264" s="1882"/>
      <c r="E5264" s="1628" t="s">
        <v>8339</v>
      </c>
      <c r="F5264" s="1882"/>
      <c r="G5264" s="1882" t="str">
        <f>IF('4W'!I24="","##BLANK",'4W'!I24)</f>
        <v>##BLANK</v>
      </c>
    </row>
    <row r="5265" spans="2:7">
      <c r="B5265" s="821" t="str">
        <f>'4W'!AR25</f>
        <v>BM240STCAD</v>
      </c>
      <c r="D5265" s="1882"/>
      <c r="E5265" s="1628" t="s">
        <v>8339</v>
      </c>
      <c r="F5265" s="1882"/>
      <c r="G5265" s="1882" t="str">
        <f>IF('4W'!I25="","##BLANK",'4W'!I25)</f>
        <v>##BLANK</v>
      </c>
    </row>
    <row r="5266" spans="2:7">
      <c r="B5266" s="821" t="str">
        <f>'4W'!AR27</f>
        <v>WWS1005STCAD</v>
      </c>
      <c r="D5266" s="1882"/>
      <c r="E5266" s="1628" t="s">
        <v>8339</v>
      </c>
      <c r="F5266" s="1882"/>
      <c r="G5266" s="1882" t="str">
        <f>IF('4W'!I27="","##BLANK",'4W'!I27)</f>
        <v>##BLANK</v>
      </c>
    </row>
    <row r="5267" spans="2:7">
      <c r="B5267" s="821" t="str">
        <f>'4W'!AR28</f>
        <v>WWS1006STCAD</v>
      </c>
      <c r="D5267" s="1882"/>
      <c r="E5267" s="1628" t="s">
        <v>8339</v>
      </c>
      <c r="F5267" s="1882"/>
      <c r="G5267" s="1882" t="str">
        <f>IF('4W'!I28="","##BLANK",'4W'!I28)</f>
        <v>##BLANK</v>
      </c>
    </row>
    <row r="5268" spans="2:7">
      <c r="B5268" s="821" t="str">
        <f>'4W'!AR29</f>
        <v>BM408STCAD</v>
      </c>
      <c r="D5268" s="1882"/>
      <c r="E5268" s="1628" t="s">
        <v>8339</v>
      </c>
      <c r="F5268" s="1882"/>
      <c r="G5268" s="1882" t="str">
        <f>IF('4W'!I29="","##BLANK",'4W'!I29)</f>
        <v>##BLANK</v>
      </c>
    </row>
    <row r="5269" spans="2:7">
      <c r="B5269" s="821" t="str">
        <f>'4W'!AR30</f>
        <v>BM410STCAD</v>
      </c>
      <c r="D5269" s="1882"/>
      <c r="E5269" s="1628" t="s">
        <v>8339</v>
      </c>
      <c r="F5269" s="1882"/>
      <c r="G5269" s="1882" t="str">
        <f>IF('4W'!I30="","##BLANK",'4W'!I30)</f>
        <v>##BLANK</v>
      </c>
    </row>
    <row r="5270" spans="2:7">
      <c r="B5270" s="821" t="str">
        <f>'4W'!AR31</f>
        <v>BM816STCAD</v>
      </c>
      <c r="D5270" s="1882"/>
      <c r="E5270" s="1628" t="s">
        <v>8339</v>
      </c>
      <c r="F5270" s="1882"/>
      <c r="G5270" s="1882">
        <f>IF('4W'!I31="","##BLANK",'4W'!I31)</f>
        <v>0</v>
      </c>
    </row>
    <row r="5271" spans="2:7">
      <c r="B5271" s="821" t="str">
        <f>'4W'!AR32</f>
        <v>BM817STCAD</v>
      </c>
      <c r="D5271" s="1882"/>
      <c r="E5271" s="1628" t="s">
        <v>8339</v>
      </c>
      <c r="F5271" s="1882"/>
      <c r="G5271" s="1882" t="str">
        <f>IF('4W'!I32="","##BLANK",'4W'!I32)</f>
        <v>##BLANK</v>
      </c>
    </row>
    <row r="5272" spans="2:7">
      <c r="B5272" s="821" t="str">
        <f>'4W'!AR33</f>
        <v>BM8390STCAD</v>
      </c>
      <c r="D5272" s="1882"/>
      <c r="E5272" s="1628" t="s">
        <v>8339</v>
      </c>
      <c r="F5272" s="1882"/>
      <c r="G5272" s="1882">
        <f>IF('4W'!I33="","##BLANK",'4W'!I33)</f>
        <v>0</v>
      </c>
    </row>
    <row r="5273" spans="2:7">
      <c r="B5273" s="821" t="str">
        <f>'4W'!AR34</f>
        <v>FT00865STCAD</v>
      </c>
      <c r="D5273" s="1882"/>
      <c r="E5273" s="1628" t="s">
        <v>8339</v>
      </c>
      <c r="F5273" s="1882"/>
      <c r="G5273" s="1882" t="str">
        <f>IF('4W'!I34="","##BLANK",'4W'!I34)</f>
        <v>##BLANK</v>
      </c>
    </row>
    <row r="5274" spans="2:7">
      <c r="B5274" s="821" t="str">
        <f>'4W'!AR35</f>
        <v>BM319STCAD</v>
      </c>
      <c r="D5274" s="1882"/>
      <c r="E5274" s="1628" t="s">
        <v>8339</v>
      </c>
      <c r="F5274" s="1882"/>
      <c r="G5274" s="1882">
        <f>IF('4W'!I35="","##BLANK",'4W'!I35)</f>
        <v>0</v>
      </c>
    </row>
    <row r="5275" spans="2:7">
      <c r="B5275" s="821" t="str">
        <f>'4W'!AR38</f>
        <v>BM402SDLRR</v>
      </c>
      <c r="D5275" s="1882"/>
      <c r="E5275" s="1628" t="s">
        <v>8339</v>
      </c>
      <c r="F5275" s="1882"/>
      <c r="G5275" s="1882" t="str">
        <f>IF('4W'!I38="","##BLANK",'4W'!I38)</f>
        <v>##BLANK</v>
      </c>
    </row>
    <row r="5276" spans="2:7">
      <c r="B5276" s="821" t="str">
        <f>'4W'!AR39</f>
        <v>BM836SDLRR</v>
      </c>
      <c r="D5276" s="1882"/>
      <c r="E5276" s="1628" t="s">
        <v>8339</v>
      </c>
      <c r="F5276" s="1882"/>
      <c r="G5276" s="1882" t="str">
        <f>IF('4W'!I39="","##BLANK",'4W'!I39)</f>
        <v>##BLANK</v>
      </c>
    </row>
    <row r="5277" spans="2:7">
      <c r="B5277" s="821" t="str">
        <f>'4W'!AR40</f>
        <v>WWS1003SDLRR</v>
      </c>
      <c r="D5277" s="1882"/>
      <c r="E5277" s="1628" t="s">
        <v>8339</v>
      </c>
      <c r="F5277" s="1882"/>
      <c r="G5277" s="1882" t="str">
        <f>IF('4W'!I40="","##BLANK",'4W'!I40)</f>
        <v>##BLANK</v>
      </c>
    </row>
    <row r="5278" spans="2:7">
      <c r="B5278" s="821" t="str">
        <f>'4W'!AR41</f>
        <v>BM240SDLRR</v>
      </c>
      <c r="D5278" s="1882"/>
      <c r="E5278" s="1628" t="s">
        <v>8339</v>
      </c>
      <c r="F5278" s="1882"/>
      <c r="G5278" s="1882" t="str">
        <f>IF('4W'!I41="","##BLANK",'4W'!I41)</f>
        <v>##BLANK</v>
      </c>
    </row>
    <row r="5279" spans="2:7">
      <c r="B5279" s="821" t="str">
        <f>'4W'!AR43</f>
        <v>WWS1005SDLRR</v>
      </c>
      <c r="D5279" s="1882"/>
      <c r="E5279" s="1628" t="s">
        <v>8339</v>
      </c>
      <c r="F5279" s="1882"/>
      <c r="G5279" s="1882" t="str">
        <f>IF('4W'!I43="","##BLANK",'4W'!I43)</f>
        <v>##BLANK</v>
      </c>
    </row>
    <row r="5280" spans="2:7">
      <c r="B5280" s="821" t="str">
        <f>'4W'!AR44</f>
        <v>WWS1006SDLRR</v>
      </c>
      <c r="D5280" s="1882"/>
      <c r="E5280" s="1628" t="s">
        <v>8339</v>
      </c>
      <c r="F5280" s="1882"/>
      <c r="G5280" s="1882" t="str">
        <f>IF('4W'!I44="","##BLANK",'4W'!I44)</f>
        <v>##BLANK</v>
      </c>
    </row>
    <row r="5281" spans="2:7">
      <c r="B5281" s="821" t="str">
        <f>'4W'!AR45</f>
        <v>BM408SDLRR</v>
      </c>
      <c r="D5281" s="1882"/>
      <c r="E5281" s="1628" t="s">
        <v>8339</v>
      </c>
      <c r="F5281" s="1882"/>
      <c r="G5281" s="1882" t="str">
        <f>IF('4W'!I45="","##BLANK",'4W'!I45)</f>
        <v>##BLANK</v>
      </c>
    </row>
    <row r="5282" spans="2:7">
      <c r="B5282" s="821" t="str">
        <f>'4W'!AR46</f>
        <v>BM410SDLRR</v>
      </c>
      <c r="D5282" s="1882"/>
      <c r="E5282" s="1628" t="s">
        <v>8339</v>
      </c>
      <c r="F5282" s="1882"/>
      <c r="G5282" s="1882" t="str">
        <f>IF('4W'!I46="","##BLANK",'4W'!I46)</f>
        <v>##BLANK</v>
      </c>
    </row>
    <row r="5283" spans="2:7">
      <c r="B5283" s="821" t="str">
        <f>'4W'!AR47</f>
        <v>BM816SDLRR</v>
      </c>
      <c r="D5283" s="1882"/>
      <c r="E5283" s="1628" t="s">
        <v>8339</v>
      </c>
      <c r="F5283" s="1882"/>
      <c r="G5283" s="1882">
        <f>IF('4W'!I47="","##BLANK",'4W'!I47)</f>
        <v>0</v>
      </c>
    </row>
    <row r="5284" spans="2:7">
      <c r="B5284" s="821" t="str">
        <f>'4W'!AR48</f>
        <v>BM817SDLRR</v>
      </c>
      <c r="D5284" s="1882"/>
      <c r="E5284" s="1628" t="s">
        <v>8339</v>
      </c>
      <c r="F5284" s="1882"/>
      <c r="G5284" s="1882" t="str">
        <f>IF('4W'!I48="","##BLANK",'4W'!I48)</f>
        <v>##BLANK</v>
      </c>
    </row>
    <row r="5285" spans="2:7">
      <c r="B5285" s="821" t="str">
        <f>'4W'!AR49</f>
        <v>BM8390SDLRR</v>
      </c>
      <c r="D5285" s="1882"/>
      <c r="E5285" s="1628" t="s">
        <v>8339</v>
      </c>
      <c r="F5285" s="1882"/>
      <c r="G5285" s="1882">
        <f>IF('4W'!I49="","##BLANK",'4W'!I49)</f>
        <v>0</v>
      </c>
    </row>
    <row r="5286" spans="2:7">
      <c r="B5286" s="821" t="str">
        <f>'4W'!AR50</f>
        <v>FT00865SDLRR</v>
      </c>
      <c r="D5286" s="1882"/>
      <c r="E5286" s="1628" t="s">
        <v>8339</v>
      </c>
      <c r="F5286" s="1882"/>
      <c r="G5286" s="1882" t="str">
        <f>IF('4W'!I50="","##BLANK",'4W'!I50)</f>
        <v>##BLANK</v>
      </c>
    </row>
    <row r="5287" spans="2:7">
      <c r="B5287" s="821" t="str">
        <f>'4W'!AR51</f>
        <v>BM319SDLRR</v>
      </c>
      <c r="D5287" s="1882"/>
      <c r="E5287" s="1628" t="s">
        <v>8339</v>
      </c>
      <c r="F5287" s="1882"/>
      <c r="G5287" s="1882">
        <f>IF('4W'!I51="","##BLANK",'4W'!I51)</f>
        <v>0</v>
      </c>
    </row>
    <row r="5288" spans="2:7">
      <c r="B5288" s="821" t="str">
        <f>'4W'!AR58</f>
        <v>BM3010SL</v>
      </c>
      <c r="D5288" s="1882"/>
      <c r="E5288" s="1628" t="s">
        <v>8339</v>
      </c>
      <c r="F5288" s="1882"/>
      <c r="G5288" s="1882" t="str">
        <f>IF('4W'!I58="","##BLANK",'4W'!I58)</f>
        <v>##BLANK</v>
      </c>
    </row>
    <row r="5289" spans="2:7">
      <c r="B5289" s="821" t="str">
        <f>'4W'!AR59</f>
        <v>BM3011SL</v>
      </c>
      <c r="D5289" s="1882"/>
      <c r="E5289" s="1628" t="s">
        <v>8339</v>
      </c>
      <c r="F5289" s="1882"/>
      <c r="G5289" s="1882" t="str">
        <f>IF('4W'!I59="","##BLANK",'4W'!I59)</f>
        <v>##BLANK</v>
      </c>
    </row>
    <row r="5290" spans="2:7">
      <c r="B5290" s="821" t="str">
        <f>'4W'!AR60</f>
        <v>W3030SL</v>
      </c>
      <c r="D5290" s="1882"/>
      <c r="E5290" s="1628" t="s">
        <v>8339</v>
      </c>
      <c r="F5290" s="1882"/>
      <c r="G5290" s="1882" t="str">
        <f>IF('4W'!I60="","##BLANK",'4W'!I60)</f>
        <v>##BLANK</v>
      </c>
    </row>
    <row r="5291" spans="2:7">
      <c r="B5291" s="821" t="str">
        <f>'4W'!AR61</f>
        <v>W3031SL</v>
      </c>
      <c r="D5291" s="1882"/>
      <c r="E5291" s="1628" t="s">
        <v>8339</v>
      </c>
      <c r="F5291" s="1882"/>
      <c r="G5291" s="1882" t="str">
        <f>IF('4W'!I61="","##BLANK",'4W'!I61)</f>
        <v>##BLANK</v>
      </c>
    </row>
    <row r="5292" spans="2:7">
      <c r="B5292" s="821" t="str">
        <f>'4W'!AR62</f>
        <v>W3032SL</v>
      </c>
      <c r="D5292" s="1882"/>
      <c r="E5292" s="1628" t="s">
        <v>8339</v>
      </c>
      <c r="F5292" s="1882"/>
      <c r="G5292" s="1882" t="str">
        <f>IF('4W'!I62="","##BLANK",'4W'!I62)</f>
        <v>##BLANK</v>
      </c>
    </row>
    <row r="5293" spans="2:7">
      <c r="B5293" s="821" t="str">
        <f>'4W'!AR63</f>
        <v>W3036SL</v>
      </c>
      <c r="D5293" s="1882"/>
      <c r="E5293" s="1628" t="s">
        <v>8339</v>
      </c>
      <c r="F5293" s="1882"/>
      <c r="G5293" s="1882" t="str">
        <f>IF('4W'!I63="","##BLANK",'4W'!I63)</f>
        <v>##BLANK</v>
      </c>
    </row>
    <row r="5294" spans="2:7">
      <c r="B5294" s="821" t="str">
        <f>'4W'!AR66</f>
        <v>W3033SL</v>
      </c>
      <c r="D5294" s="1882"/>
      <c r="E5294" s="1628" t="s">
        <v>8339</v>
      </c>
      <c r="F5294" s="1882"/>
      <c r="G5294" s="1882" t="str">
        <f>IF('4W'!I66="","##BLANK",'4W'!I66)</f>
        <v>##BLANK</v>
      </c>
    </row>
    <row r="5295" spans="2:7">
      <c r="B5295" s="821" t="str">
        <f>'4W'!AR67</f>
        <v>W3034SL</v>
      </c>
      <c r="D5295" s="1882"/>
      <c r="E5295" s="1628" t="s">
        <v>8339</v>
      </c>
      <c r="F5295" s="1882"/>
      <c r="G5295" s="1882" t="str">
        <f>IF('4W'!I67="","##BLANK",'4W'!I67)</f>
        <v>##BLANK</v>
      </c>
    </row>
    <row r="5296" spans="2:7">
      <c r="B5296" s="821" t="str">
        <f>'4W'!AR68</f>
        <v>W3035SL</v>
      </c>
      <c r="D5296" s="1882"/>
      <c r="E5296" s="1628" t="s">
        <v>8339</v>
      </c>
      <c r="F5296" s="1882"/>
      <c r="G5296" s="1882" t="str">
        <f>IF('4W'!I68="","##BLANK",'4W'!I68)</f>
        <v>##BLANK</v>
      </c>
    </row>
    <row r="5297" spans="2:7">
      <c r="B5297" s="821" t="str">
        <f>'4W'!AS6</f>
        <v>WWS1001STPTOT</v>
      </c>
      <c r="D5297" s="1882"/>
      <c r="E5297" s="1628" t="s">
        <v>8339</v>
      </c>
      <c r="F5297" s="1882"/>
      <c r="G5297" s="1882">
        <f>IF('4W'!J6="","##BLANK",'4W'!J6)</f>
        <v>0</v>
      </c>
    </row>
    <row r="5298" spans="2:7">
      <c r="B5298" s="821" t="str">
        <f>'4W'!AS7</f>
        <v>WWS1002STPTOT</v>
      </c>
      <c r="D5298" s="1882"/>
      <c r="E5298" s="1628" t="s">
        <v>8339</v>
      </c>
      <c r="F5298" s="1882"/>
      <c r="G5298" s="1882">
        <f>IF('4W'!J7="","##BLANK",'4W'!J7)</f>
        <v>0</v>
      </c>
    </row>
    <row r="5299" spans="2:7">
      <c r="B5299" s="821" t="str">
        <f>'4W'!AS8</f>
        <v>WWS1003STPTOT</v>
      </c>
      <c r="D5299" s="1882"/>
      <c r="E5299" s="1628" t="s">
        <v>8339</v>
      </c>
      <c r="F5299" s="1882"/>
      <c r="G5299" s="1882">
        <f>IF('4W'!J8="","##BLANK",'4W'!J8)</f>
        <v>0</v>
      </c>
    </row>
    <row r="5300" spans="2:7">
      <c r="B5300" s="821" t="str">
        <f>'4W'!AS9</f>
        <v>WWS1004STPTOT</v>
      </c>
      <c r="D5300" s="1882"/>
      <c r="E5300" s="1628" t="s">
        <v>8339</v>
      </c>
      <c r="F5300" s="1882"/>
      <c r="G5300" s="1882">
        <f>IF('4W'!J9="","##BLANK",'4W'!J9)</f>
        <v>0</v>
      </c>
    </row>
    <row r="5301" spans="2:7">
      <c r="B5301" s="821" t="str">
        <f>'4W'!AS11</f>
        <v>WWS1005STPTOT</v>
      </c>
      <c r="D5301" s="1882"/>
      <c r="E5301" s="1628" t="s">
        <v>8339</v>
      </c>
      <c r="F5301" s="1882"/>
      <c r="G5301" s="1882">
        <f>IF('4W'!J11="","##BLANK",'4W'!J11)</f>
        <v>0</v>
      </c>
    </row>
    <row r="5302" spans="2:7">
      <c r="B5302" s="821" t="str">
        <f>'4W'!AS12</f>
        <v>WWS1006STPTOT</v>
      </c>
      <c r="D5302" s="1882"/>
      <c r="E5302" s="1628" t="s">
        <v>8339</v>
      </c>
      <c r="F5302" s="1882"/>
      <c r="G5302" s="1882">
        <f>IF('4W'!J12="","##BLANK",'4W'!J12)</f>
        <v>0</v>
      </c>
    </row>
    <row r="5303" spans="2:7">
      <c r="B5303" s="821" t="str">
        <f>'4W'!AS13</f>
        <v>WWS1007DISTPTOT</v>
      </c>
      <c r="D5303" s="1882"/>
      <c r="E5303" s="1628" t="s">
        <v>8339</v>
      </c>
      <c r="F5303" s="1882"/>
      <c r="G5303" s="1882">
        <f>IF('4W'!J13="","##BLANK",'4W'!J13)</f>
        <v>0</v>
      </c>
    </row>
    <row r="5304" spans="2:7">
      <c r="B5304" s="821" t="str">
        <f>'4W'!AS14</f>
        <v>WWS1007INSTPTOT</v>
      </c>
      <c r="D5304" s="1882"/>
      <c r="E5304" s="1628" t="s">
        <v>8339</v>
      </c>
      <c r="F5304" s="1882"/>
      <c r="G5304" s="1882">
        <f>IF('4W'!J14="","##BLANK",'4W'!J14)</f>
        <v>0</v>
      </c>
    </row>
    <row r="5305" spans="2:7">
      <c r="B5305" s="821" t="str">
        <f>'4W'!AS15</f>
        <v>BM816STPTOT</v>
      </c>
      <c r="D5305" s="1882"/>
      <c r="E5305" s="1628" t="s">
        <v>8339</v>
      </c>
      <c r="F5305" s="1882"/>
      <c r="G5305" s="1882">
        <f>IF('4W'!J15="","##BLANK",'4W'!J15)</f>
        <v>0</v>
      </c>
    </row>
    <row r="5306" spans="2:7">
      <c r="B5306" s="821" t="str">
        <f>'4W'!AS16</f>
        <v>WWS1008STPTOT</v>
      </c>
      <c r="D5306" s="1882"/>
      <c r="E5306" s="1628" t="s">
        <v>8339</v>
      </c>
      <c r="F5306" s="1882"/>
      <c r="G5306" s="1882">
        <f>IF('4W'!J16="","##BLANK",'4W'!J16)</f>
        <v>0</v>
      </c>
    </row>
    <row r="5307" spans="2:7">
      <c r="B5307" s="821" t="str">
        <f>'4W'!AS17</f>
        <v>WWS1009STPTOT</v>
      </c>
      <c r="D5307" s="1882"/>
      <c r="E5307" s="1628" t="s">
        <v>8339</v>
      </c>
      <c r="F5307" s="1882"/>
      <c r="G5307" s="1882">
        <f>IF('4W'!J17="","##BLANK",'4W'!J17)</f>
        <v>0</v>
      </c>
    </row>
    <row r="5308" spans="2:7">
      <c r="B5308" s="821" t="str">
        <f>'4W'!AS18</f>
        <v>FT00865STPTOT</v>
      </c>
      <c r="D5308" s="1882"/>
      <c r="E5308" s="1628" t="s">
        <v>8339</v>
      </c>
      <c r="F5308" s="1882"/>
      <c r="G5308" s="1882">
        <f>IF('4W'!J18="","##BLANK",'4W'!J18)</f>
        <v>0</v>
      </c>
    </row>
    <row r="5309" spans="2:7">
      <c r="B5309" s="821" t="str">
        <f>'4W'!AS19</f>
        <v>BM319STPTOT</v>
      </c>
      <c r="D5309" s="1882"/>
      <c r="E5309" s="1628" t="s">
        <v>8339</v>
      </c>
      <c r="F5309" s="1882"/>
      <c r="G5309" s="1882">
        <f>IF('4W'!J19="","##BLANK",'4W'!J19)</f>
        <v>0</v>
      </c>
    </row>
    <row r="5310" spans="2:7">
      <c r="B5310" s="821" t="str">
        <f>'4W'!AS22</f>
        <v>BM402STAD</v>
      </c>
      <c r="D5310" s="1882"/>
      <c r="E5310" s="1628" t="s">
        <v>8339</v>
      </c>
      <c r="F5310" s="1882"/>
      <c r="G5310" s="1882" t="str">
        <f>IF('4W'!J22="","##BLANK",'4W'!J22)</f>
        <v>##BLANK</v>
      </c>
    </row>
    <row r="5311" spans="2:7">
      <c r="B5311" s="821" t="str">
        <f>'4W'!AS23</f>
        <v>BM836STAD</v>
      </c>
      <c r="D5311" s="1882"/>
      <c r="E5311" s="1628" t="s">
        <v>8339</v>
      </c>
      <c r="F5311" s="1882"/>
      <c r="G5311" s="1882" t="str">
        <f>IF('4W'!J23="","##BLANK",'4W'!J23)</f>
        <v>##BLANK</v>
      </c>
    </row>
    <row r="5312" spans="2:7">
      <c r="B5312" s="821" t="str">
        <f>'4W'!AS24</f>
        <v>WWS1003STAD</v>
      </c>
      <c r="D5312" s="1882"/>
      <c r="E5312" s="1628" t="s">
        <v>8339</v>
      </c>
      <c r="F5312" s="1882"/>
      <c r="G5312" s="1882" t="str">
        <f>IF('4W'!J24="","##BLANK",'4W'!J24)</f>
        <v>##BLANK</v>
      </c>
    </row>
    <row r="5313" spans="2:7">
      <c r="B5313" s="821" t="str">
        <f>'4W'!AS25</f>
        <v>BM240STAD</v>
      </c>
      <c r="D5313" s="1882"/>
      <c r="E5313" s="1628" t="s">
        <v>8339</v>
      </c>
      <c r="F5313" s="1882"/>
      <c r="G5313" s="1882" t="str">
        <f>IF('4W'!J25="","##BLANK",'4W'!J25)</f>
        <v>##BLANK</v>
      </c>
    </row>
    <row r="5314" spans="2:7">
      <c r="B5314" s="821" t="str">
        <f>'4W'!AS27</f>
        <v>WWS1005STAD</v>
      </c>
      <c r="D5314" s="1882"/>
      <c r="E5314" s="1628" t="s">
        <v>8339</v>
      </c>
      <c r="F5314" s="1882"/>
      <c r="G5314" s="1882" t="str">
        <f>IF('4W'!J27="","##BLANK",'4W'!J27)</f>
        <v>##BLANK</v>
      </c>
    </row>
    <row r="5315" spans="2:7">
      <c r="B5315" s="821" t="str">
        <f>'4W'!AS28</f>
        <v>WWS1006STAD</v>
      </c>
      <c r="D5315" s="1882"/>
      <c r="E5315" s="1628" t="s">
        <v>8339</v>
      </c>
      <c r="F5315" s="1882"/>
      <c r="G5315" s="1882" t="str">
        <f>IF('4W'!J28="","##BLANK",'4W'!J28)</f>
        <v>##BLANK</v>
      </c>
    </row>
    <row r="5316" spans="2:7">
      <c r="B5316" s="821" t="str">
        <f>'4W'!AS29</f>
        <v>BM408STAD</v>
      </c>
      <c r="D5316" s="1882"/>
      <c r="E5316" s="1628" t="s">
        <v>8339</v>
      </c>
      <c r="F5316" s="1882"/>
      <c r="G5316" s="1882" t="str">
        <f>IF('4W'!J29="","##BLANK",'4W'!J29)</f>
        <v>##BLANK</v>
      </c>
    </row>
    <row r="5317" spans="2:7">
      <c r="B5317" s="821" t="str">
        <f>'4W'!AS30</f>
        <v>BM410STAD</v>
      </c>
      <c r="D5317" s="1882"/>
      <c r="E5317" s="1628" t="s">
        <v>8339</v>
      </c>
      <c r="F5317" s="1882"/>
      <c r="G5317" s="1882" t="str">
        <f>IF('4W'!J30="","##BLANK",'4W'!J30)</f>
        <v>##BLANK</v>
      </c>
    </row>
    <row r="5318" spans="2:7">
      <c r="B5318" s="821" t="str">
        <f>'4W'!AS31</f>
        <v>BM816STAD</v>
      </c>
      <c r="D5318" s="1882"/>
      <c r="E5318" s="1628" t="s">
        <v>8339</v>
      </c>
      <c r="F5318" s="1882"/>
      <c r="G5318" s="1882">
        <f>IF('4W'!J31="","##BLANK",'4W'!J31)</f>
        <v>0</v>
      </c>
    </row>
    <row r="5319" spans="2:7">
      <c r="B5319" s="821" t="str">
        <f>'4W'!AS32</f>
        <v>BM817STAD</v>
      </c>
      <c r="D5319" s="1882"/>
      <c r="E5319" s="1628" t="s">
        <v>8339</v>
      </c>
      <c r="F5319" s="1882"/>
      <c r="G5319" s="1882" t="str">
        <f>IF('4W'!J32="","##BLANK",'4W'!J32)</f>
        <v>##BLANK</v>
      </c>
    </row>
    <row r="5320" spans="2:7">
      <c r="B5320" s="821" t="str">
        <f>'4W'!AS33</f>
        <v>BM8390STAD</v>
      </c>
      <c r="D5320" s="1882"/>
      <c r="E5320" s="1628" t="s">
        <v>8339</v>
      </c>
      <c r="F5320" s="1882"/>
      <c r="G5320" s="1882">
        <f>IF('4W'!J33="","##BLANK",'4W'!J33)</f>
        <v>0</v>
      </c>
    </row>
    <row r="5321" spans="2:7">
      <c r="B5321" s="821" t="str">
        <f>'4W'!AS34</f>
        <v>FT00865STAD</v>
      </c>
      <c r="D5321" s="1882"/>
      <c r="E5321" s="1628" t="s">
        <v>8339</v>
      </c>
      <c r="F5321" s="1882"/>
      <c r="G5321" s="1882" t="str">
        <f>IF('4W'!J34="","##BLANK",'4W'!J34)</f>
        <v>##BLANK</v>
      </c>
    </row>
    <row r="5322" spans="2:7">
      <c r="B5322" s="821" t="str">
        <f>'4W'!AS35</f>
        <v>BM319STAD</v>
      </c>
      <c r="D5322" s="1882"/>
      <c r="E5322" s="1628" t="s">
        <v>8339</v>
      </c>
      <c r="F5322" s="1882"/>
      <c r="G5322" s="1882">
        <f>IF('4W'!J35="","##BLANK",'4W'!J35)</f>
        <v>0</v>
      </c>
    </row>
    <row r="5323" spans="2:7">
      <c r="B5323" s="821" t="str">
        <f>'4W'!AS38</f>
        <v>BM402SDRTF</v>
      </c>
      <c r="D5323" s="1882"/>
      <c r="E5323" s="1628" t="s">
        <v>8339</v>
      </c>
      <c r="F5323" s="1882"/>
      <c r="G5323" s="1882" t="str">
        <f>IF('4W'!J38="","##BLANK",'4W'!J38)</f>
        <v>##BLANK</v>
      </c>
    </row>
    <row r="5324" spans="2:7">
      <c r="B5324" s="821" t="str">
        <f>'4W'!AS39</f>
        <v>BM836SDRTF</v>
      </c>
      <c r="D5324" s="1882"/>
      <c r="E5324" s="1628" t="s">
        <v>8339</v>
      </c>
      <c r="F5324" s="1882"/>
      <c r="G5324" s="1882" t="str">
        <f>IF('4W'!J39="","##BLANK",'4W'!J39)</f>
        <v>##BLANK</v>
      </c>
    </row>
    <row r="5325" spans="2:7">
      <c r="B5325" s="821" t="str">
        <f>'4W'!AS40</f>
        <v>WWS1003SDRTF</v>
      </c>
      <c r="D5325" s="1882"/>
      <c r="E5325" s="1628" t="s">
        <v>8339</v>
      </c>
      <c r="F5325" s="1882"/>
      <c r="G5325" s="1882" t="str">
        <f>IF('4W'!J40="","##BLANK",'4W'!J40)</f>
        <v>##BLANK</v>
      </c>
    </row>
    <row r="5326" spans="2:7">
      <c r="B5326" s="821" t="str">
        <f>'4W'!AS41</f>
        <v>BM240SDRTF</v>
      </c>
      <c r="D5326" s="1882"/>
      <c r="E5326" s="1628" t="s">
        <v>8339</v>
      </c>
      <c r="F5326" s="1882"/>
      <c r="G5326" s="1882" t="str">
        <f>IF('4W'!J41="","##BLANK",'4W'!J41)</f>
        <v>##BLANK</v>
      </c>
    </row>
    <row r="5327" spans="2:7">
      <c r="B5327" s="821" t="str">
        <f>'4W'!AS43</f>
        <v>WWS1005SDRTF</v>
      </c>
      <c r="D5327" s="1882"/>
      <c r="E5327" s="1628" t="s">
        <v>8339</v>
      </c>
      <c r="F5327" s="1882"/>
      <c r="G5327" s="1882" t="str">
        <f>IF('4W'!J43="","##BLANK",'4W'!J43)</f>
        <v>##BLANK</v>
      </c>
    </row>
    <row r="5328" spans="2:7">
      <c r="B5328" s="821" t="str">
        <f>'4W'!AS44</f>
        <v>WWS1006SDRTF</v>
      </c>
      <c r="D5328" s="1882"/>
      <c r="E5328" s="1628" t="s">
        <v>8339</v>
      </c>
      <c r="F5328" s="1882"/>
      <c r="G5328" s="1882" t="str">
        <f>IF('4W'!J44="","##BLANK",'4W'!J44)</f>
        <v>##BLANK</v>
      </c>
    </row>
    <row r="5329" spans="2:7">
      <c r="B5329" s="821" t="str">
        <f>'4W'!AS45</f>
        <v>BM408SDRTF</v>
      </c>
      <c r="D5329" s="1882"/>
      <c r="E5329" s="1628" t="s">
        <v>8339</v>
      </c>
      <c r="F5329" s="1882"/>
      <c r="G5329" s="1882" t="str">
        <f>IF('4W'!J45="","##BLANK",'4W'!J45)</f>
        <v>##BLANK</v>
      </c>
    </row>
    <row r="5330" spans="2:7">
      <c r="B5330" s="821" t="str">
        <f>'4W'!AS46</f>
        <v>BM410SDRTF</v>
      </c>
      <c r="D5330" s="1882"/>
      <c r="E5330" s="1628" t="s">
        <v>8339</v>
      </c>
      <c r="F5330" s="1882"/>
      <c r="G5330" s="1882" t="str">
        <f>IF('4W'!J46="","##BLANK",'4W'!J46)</f>
        <v>##BLANK</v>
      </c>
    </row>
    <row r="5331" spans="2:7">
      <c r="B5331" s="821" t="str">
        <f>'4W'!AS47</f>
        <v>BM816SDRTF</v>
      </c>
      <c r="D5331" s="1882"/>
      <c r="E5331" s="1628" t="s">
        <v>8339</v>
      </c>
      <c r="F5331" s="1882"/>
      <c r="G5331" s="1882">
        <f>IF('4W'!J47="","##BLANK",'4W'!J47)</f>
        <v>0</v>
      </c>
    </row>
    <row r="5332" spans="2:7">
      <c r="B5332" s="821" t="str">
        <f>'4W'!AS48</f>
        <v>BM817SDRTF</v>
      </c>
      <c r="D5332" s="1882"/>
      <c r="E5332" s="1628" t="s">
        <v>8339</v>
      </c>
      <c r="F5332" s="1882"/>
      <c r="G5332" s="1882" t="str">
        <f>IF('4W'!J48="","##BLANK",'4W'!J48)</f>
        <v>##BLANK</v>
      </c>
    </row>
    <row r="5333" spans="2:7">
      <c r="B5333" s="821" t="str">
        <f>'4W'!AS49</f>
        <v>BM8390SDRTF</v>
      </c>
      <c r="D5333" s="1882"/>
      <c r="E5333" s="1628" t="s">
        <v>8339</v>
      </c>
      <c r="F5333" s="1882"/>
      <c r="G5333" s="1882">
        <f>IF('4W'!J49="","##BLANK",'4W'!J49)</f>
        <v>0</v>
      </c>
    </row>
    <row r="5334" spans="2:7">
      <c r="B5334" s="821" t="str">
        <f>'4W'!AS50</f>
        <v>FT00865SDRTF</v>
      </c>
      <c r="D5334" s="1882"/>
      <c r="E5334" s="1628" t="s">
        <v>8339</v>
      </c>
      <c r="F5334" s="1882"/>
      <c r="G5334" s="1882" t="str">
        <f>IF('4W'!J50="","##BLANK",'4W'!J50)</f>
        <v>##BLANK</v>
      </c>
    </row>
    <row r="5335" spans="2:7">
      <c r="B5335" s="821" t="str">
        <f>'4W'!AS51</f>
        <v>BM319SDRTF</v>
      </c>
      <c r="D5335" s="1882"/>
      <c r="E5335" s="1628" t="s">
        <v>8339</v>
      </c>
      <c r="F5335" s="1882"/>
      <c r="G5335" s="1882">
        <f>IF('4W'!J51="","##BLANK",'4W'!J51)</f>
        <v>0</v>
      </c>
    </row>
    <row r="5336" spans="2:7">
      <c r="B5336" s="821" t="str">
        <f>'4W'!AS58</f>
        <v>BM3010OTHTOT</v>
      </c>
      <c r="D5336" s="1882"/>
      <c r="E5336" s="1628" t="s">
        <v>8339</v>
      </c>
      <c r="F5336" s="1882"/>
      <c r="G5336" s="1882">
        <f>IF('4W'!J58="","##BLANK",'4W'!J58)</f>
        <v>0</v>
      </c>
    </row>
    <row r="5337" spans="2:7">
      <c r="B5337" s="821" t="str">
        <f>'4W'!AS59</f>
        <v>BM3011OTHTOT</v>
      </c>
      <c r="D5337" s="1882"/>
      <c r="E5337" s="1628" t="s">
        <v>8339</v>
      </c>
      <c r="F5337" s="1882"/>
      <c r="G5337" s="1882">
        <f>IF('4W'!J59="","##BLANK",'4W'!J59)</f>
        <v>0</v>
      </c>
    </row>
    <row r="5338" spans="2:7">
      <c r="B5338" s="821" t="str">
        <f>'4W'!AS60</f>
        <v>W3030OTHTOT</v>
      </c>
      <c r="D5338" s="1882"/>
      <c r="E5338" s="1628" t="s">
        <v>8339</v>
      </c>
      <c r="F5338" s="1882"/>
      <c r="G5338" s="1882">
        <f>IF('4W'!J60="","##BLANK",'4W'!J60)</f>
        <v>0</v>
      </c>
    </row>
    <row r="5339" spans="2:7">
      <c r="B5339" s="821" t="str">
        <f>'4W'!AS61</f>
        <v>W3031OTHTOT</v>
      </c>
      <c r="D5339" s="1882"/>
      <c r="E5339" s="1628" t="s">
        <v>8339</v>
      </c>
      <c r="F5339" s="1882"/>
      <c r="G5339" s="1882">
        <f>IF('4W'!J61="","##BLANK",'4W'!J61)</f>
        <v>0</v>
      </c>
    </row>
    <row r="5340" spans="2:7">
      <c r="B5340" s="821" t="str">
        <f>'4W'!AS62</f>
        <v>W3032OTHTOT</v>
      </c>
      <c r="D5340" s="1882"/>
      <c r="E5340" s="1628" t="s">
        <v>8339</v>
      </c>
      <c r="F5340" s="1882"/>
      <c r="G5340" s="1882">
        <f>IF('4W'!J62="","##BLANK",'4W'!J62)</f>
        <v>0</v>
      </c>
    </row>
    <row r="5341" spans="2:7">
      <c r="B5341" s="821" t="str">
        <f>'4W'!AS63</f>
        <v>W3036OTHTOT</v>
      </c>
      <c r="D5341" s="1882"/>
      <c r="E5341" s="1628" t="s">
        <v>8339</v>
      </c>
      <c r="F5341" s="1882"/>
      <c r="G5341" s="1882">
        <f>IF('4W'!J63="","##BLANK",'4W'!J63)</f>
        <v>0</v>
      </c>
    </row>
    <row r="5342" spans="2:7">
      <c r="B5342" s="821" t="str">
        <f>'4W'!AS66</f>
        <v>W3033OTHTOT</v>
      </c>
      <c r="D5342" s="1882"/>
      <c r="E5342" s="1628" t="s">
        <v>8339</v>
      </c>
      <c r="F5342" s="1882"/>
      <c r="G5342" s="1882">
        <f>IF('4W'!J66="","##BLANK",'4W'!J66)</f>
        <v>0</v>
      </c>
    </row>
    <row r="5343" spans="2:7">
      <c r="B5343" s="821" t="str">
        <f>'4W'!AS67</f>
        <v>W3034OTHTOT</v>
      </c>
      <c r="D5343" s="1882"/>
      <c r="E5343" s="1628" t="s">
        <v>8339</v>
      </c>
      <c r="F5343" s="1882"/>
      <c r="G5343" s="1882">
        <f>IF('4W'!J67="","##BLANK",'4W'!J67)</f>
        <v>0</v>
      </c>
    </row>
    <row r="5344" spans="2:7">
      <c r="B5344" s="821" t="str">
        <f>'4W'!AS68</f>
        <v>W3035OTHTOT</v>
      </c>
      <c r="D5344" s="1882"/>
      <c r="E5344" s="1628" t="s">
        <v>8339</v>
      </c>
      <c r="F5344" s="1882"/>
      <c r="G5344" s="1882">
        <f>IF('4W'!J68="","##BLANK",'4W'!J68)</f>
        <v>0</v>
      </c>
    </row>
    <row r="5345" spans="2:7">
      <c r="B5345" s="821" t="str">
        <f>'4W'!AT22</f>
        <v>BM402STIRS</v>
      </c>
      <c r="D5345" s="1882"/>
      <c r="E5345" s="1628" t="s">
        <v>8339</v>
      </c>
      <c r="F5345" s="1882"/>
      <c r="G5345" s="1882" t="str">
        <f>IF('4W'!K22="","##BLANK",'4W'!K22)</f>
        <v>##BLANK</v>
      </c>
    </row>
    <row r="5346" spans="2:7">
      <c r="B5346" s="821" t="str">
        <f>'4W'!AT23</f>
        <v>BM836STIRS</v>
      </c>
      <c r="D5346" s="1882"/>
      <c r="E5346" s="1628" t="s">
        <v>8339</v>
      </c>
      <c r="F5346" s="1882"/>
      <c r="G5346" s="1882" t="str">
        <f>IF('4W'!K23="","##BLANK",'4W'!K23)</f>
        <v>##BLANK</v>
      </c>
    </row>
    <row r="5347" spans="2:7">
      <c r="B5347" s="821" t="str">
        <f>'4W'!AT24</f>
        <v>WWS1003STIRS</v>
      </c>
      <c r="D5347" s="1882"/>
      <c r="E5347" s="1628" t="s">
        <v>8339</v>
      </c>
      <c r="F5347" s="1882"/>
      <c r="G5347" s="1882" t="str">
        <f>IF('4W'!K24="","##BLANK",'4W'!K24)</f>
        <v>##BLANK</v>
      </c>
    </row>
    <row r="5348" spans="2:7">
      <c r="B5348" s="821" t="str">
        <f>'4W'!AT25</f>
        <v>BM240STIRS</v>
      </c>
      <c r="D5348" s="1882"/>
      <c r="E5348" s="1628" t="s">
        <v>8339</v>
      </c>
      <c r="F5348" s="1882"/>
      <c r="G5348" s="1882" t="str">
        <f>IF('4W'!K25="","##BLANK",'4W'!K25)</f>
        <v>##BLANK</v>
      </c>
    </row>
    <row r="5349" spans="2:7">
      <c r="B5349" s="821" t="str">
        <f>'4W'!AT27</f>
        <v>WWS1005STIRS</v>
      </c>
      <c r="D5349" s="1882"/>
      <c r="E5349" s="1628" t="s">
        <v>8339</v>
      </c>
      <c r="F5349" s="1882"/>
      <c r="G5349" s="1882" t="str">
        <f>IF('4W'!K27="","##BLANK",'4W'!K27)</f>
        <v>##BLANK</v>
      </c>
    </row>
    <row r="5350" spans="2:7">
      <c r="B5350" s="821" t="str">
        <f>'4W'!AT28</f>
        <v>WWS1006STIRS</v>
      </c>
      <c r="D5350" s="1882"/>
      <c r="E5350" s="1628" t="s">
        <v>8339</v>
      </c>
      <c r="F5350" s="1882"/>
      <c r="G5350" s="1882" t="str">
        <f>IF('4W'!K28="","##BLANK",'4W'!K28)</f>
        <v>##BLANK</v>
      </c>
    </row>
    <row r="5351" spans="2:7">
      <c r="B5351" s="821" t="str">
        <f>'4W'!AT29</f>
        <v>BM408STIRS</v>
      </c>
      <c r="D5351" s="1882"/>
      <c r="E5351" s="1628" t="s">
        <v>8339</v>
      </c>
      <c r="F5351" s="1882"/>
      <c r="G5351" s="1882" t="str">
        <f>IF('4W'!K29="","##BLANK",'4W'!K29)</f>
        <v>##BLANK</v>
      </c>
    </row>
    <row r="5352" spans="2:7">
      <c r="B5352" s="821" t="str">
        <f>'4W'!AT30</f>
        <v>BM410STIRS</v>
      </c>
      <c r="D5352" s="1882"/>
      <c r="E5352" s="1628" t="s">
        <v>8339</v>
      </c>
      <c r="F5352" s="1882"/>
      <c r="G5352" s="1882" t="str">
        <f>IF('4W'!K30="","##BLANK",'4W'!K30)</f>
        <v>##BLANK</v>
      </c>
    </row>
    <row r="5353" spans="2:7">
      <c r="B5353" s="821" t="str">
        <f>'4W'!AT31</f>
        <v>BM816STIRS</v>
      </c>
      <c r="D5353" s="1882"/>
      <c r="E5353" s="1628" t="s">
        <v>8339</v>
      </c>
      <c r="F5353" s="1882"/>
      <c r="G5353" s="1882">
        <f>IF('4W'!K31="","##BLANK",'4W'!K31)</f>
        <v>0</v>
      </c>
    </row>
    <row r="5354" spans="2:7">
      <c r="B5354" s="821" t="str">
        <f>'4W'!AT32</f>
        <v>BM817STIRS</v>
      </c>
      <c r="D5354" s="1882"/>
      <c r="E5354" s="1628" t="s">
        <v>8339</v>
      </c>
      <c r="F5354" s="1882"/>
      <c r="G5354" s="1882" t="str">
        <f>IF('4W'!K32="","##BLANK",'4W'!K32)</f>
        <v>##BLANK</v>
      </c>
    </row>
    <row r="5355" spans="2:7">
      <c r="B5355" s="821" t="str">
        <f>'4W'!AT33</f>
        <v>BM8390STIRS</v>
      </c>
      <c r="D5355" s="1882"/>
      <c r="E5355" s="1628" t="s">
        <v>8339</v>
      </c>
      <c r="F5355" s="1882"/>
      <c r="G5355" s="1882">
        <f>IF('4W'!K33="","##BLANK",'4W'!K33)</f>
        <v>0</v>
      </c>
    </row>
    <row r="5356" spans="2:7">
      <c r="B5356" s="821" t="str">
        <f>'4W'!AT34</f>
        <v>FT00865STIRS</v>
      </c>
      <c r="D5356" s="1882"/>
      <c r="E5356" s="1628" t="s">
        <v>8339</v>
      </c>
      <c r="F5356" s="1882"/>
      <c r="G5356" s="1882" t="str">
        <f>IF('4W'!K34="","##BLANK",'4W'!K34)</f>
        <v>##BLANK</v>
      </c>
    </row>
    <row r="5357" spans="2:7">
      <c r="B5357" s="821" t="str">
        <f>'4W'!AT35</f>
        <v>BM319STIRS</v>
      </c>
      <c r="D5357" s="1882"/>
      <c r="E5357" s="1628" t="s">
        <v>8339</v>
      </c>
      <c r="F5357" s="1882"/>
      <c r="G5357" s="1882">
        <f>IF('4W'!K35="","##BLANK",'4W'!K35)</f>
        <v>0</v>
      </c>
    </row>
    <row r="5358" spans="2:7">
      <c r="B5358" s="821" t="str">
        <f>'4W'!AT38</f>
        <v>BM402SDSOT</v>
      </c>
      <c r="D5358" s="1882"/>
      <c r="E5358" s="1628" t="s">
        <v>8339</v>
      </c>
      <c r="F5358" s="1882"/>
      <c r="G5358" s="1882" t="str">
        <f>IF('4W'!K38="","##BLANK",'4W'!K38)</f>
        <v>##BLANK</v>
      </c>
    </row>
    <row r="5359" spans="2:7">
      <c r="B5359" s="821" t="str">
        <f>'4W'!AT39</f>
        <v>BM836SDSOT</v>
      </c>
      <c r="D5359" s="1882"/>
      <c r="E5359" s="1628" t="s">
        <v>8339</v>
      </c>
      <c r="F5359" s="1882"/>
      <c r="G5359" s="1882" t="str">
        <f>IF('4W'!K39="","##BLANK",'4W'!K39)</f>
        <v>##BLANK</v>
      </c>
    </row>
    <row r="5360" spans="2:7">
      <c r="B5360" s="821" t="str">
        <f>'4W'!AT40</f>
        <v>WWS1003SDSOT</v>
      </c>
      <c r="D5360" s="1882"/>
      <c r="E5360" s="1628" t="s">
        <v>8339</v>
      </c>
      <c r="F5360" s="1882"/>
      <c r="G5360" s="1882" t="str">
        <f>IF('4W'!K40="","##BLANK",'4W'!K40)</f>
        <v>##BLANK</v>
      </c>
    </row>
    <row r="5361" spans="2:7">
      <c r="B5361" s="821" t="str">
        <f>'4W'!AT41</f>
        <v>BM240SDSOT</v>
      </c>
      <c r="D5361" s="1882"/>
      <c r="E5361" s="1628" t="s">
        <v>8339</v>
      </c>
      <c r="F5361" s="1882"/>
      <c r="G5361" s="1882" t="str">
        <f>IF('4W'!K41="","##BLANK",'4W'!K41)</f>
        <v>##BLANK</v>
      </c>
    </row>
    <row r="5362" spans="2:7">
      <c r="B5362" s="821" t="str">
        <f>'4W'!AT43</f>
        <v>WWS1005SDSOT</v>
      </c>
      <c r="D5362" s="1882"/>
      <c r="E5362" s="1628" t="s">
        <v>8339</v>
      </c>
      <c r="F5362" s="1882"/>
      <c r="G5362" s="1882" t="str">
        <f>IF('4W'!K43="","##BLANK",'4W'!K43)</f>
        <v>##BLANK</v>
      </c>
    </row>
    <row r="5363" spans="2:7">
      <c r="B5363" s="821" t="str">
        <f>'4W'!AT44</f>
        <v>WWS1006SDSOT</v>
      </c>
      <c r="D5363" s="1882"/>
      <c r="E5363" s="1628" t="s">
        <v>8339</v>
      </c>
      <c r="F5363" s="1882"/>
      <c r="G5363" s="1882" t="str">
        <f>IF('4W'!K44="","##BLANK",'4W'!K44)</f>
        <v>##BLANK</v>
      </c>
    </row>
    <row r="5364" spans="2:7">
      <c r="B5364" s="821" t="str">
        <f>'4W'!AT45</f>
        <v>BM408SDSOT</v>
      </c>
      <c r="D5364" s="1882"/>
      <c r="E5364" s="1628" t="s">
        <v>8339</v>
      </c>
      <c r="F5364" s="1882"/>
      <c r="G5364" s="1882" t="str">
        <f>IF('4W'!K45="","##BLANK",'4W'!K45)</f>
        <v>##BLANK</v>
      </c>
    </row>
    <row r="5365" spans="2:7">
      <c r="B5365" s="821" t="str">
        <f>'4W'!AT46</f>
        <v>BM410SDSOT</v>
      </c>
      <c r="D5365" s="1882"/>
      <c r="E5365" s="1628" t="s">
        <v>8339</v>
      </c>
      <c r="F5365" s="1882"/>
      <c r="G5365" s="1882" t="str">
        <f>IF('4W'!K46="","##BLANK",'4W'!K46)</f>
        <v>##BLANK</v>
      </c>
    </row>
    <row r="5366" spans="2:7">
      <c r="B5366" s="821" t="str">
        <f>'4W'!AT47</f>
        <v>BM816SDSOT</v>
      </c>
      <c r="D5366" s="1882"/>
      <c r="E5366" s="1628" t="s">
        <v>8339</v>
      </c>
      <c r="F5366" s="1882"/>
      <c r="G5366" s="1882">
        <f>IF('4W'!K47="","##BLANK",'4W'!K47)</f>
        <v>0</v>
      </c>
    </row>
    <row r="5367" spans="2:7">
      <c r="B5367" s="821" t="str">
        <f>'4W'!AT48</f>
        <v>BM817SDSOT</v>
      </c>
      <c r="D5367" s="1882"/>
      <c r="E5367" s="1628" t="s">
        <v>8339</v>
      </c>
      <c r="F5367" s="1882"/>
      <c r="G5367" s="1882" t="str">
        <f>IF('4W'!K48="","##BLANK",'4W'!K48)</f>
        <v>##BLANK</v>
      </c>
    </row>
    <row r="5368" spans="2:7">
      <c r="B5368" s="821" t="str">
        <f>'4W'!AT49</f>
        <v>BM8390SDSOT</v>
      </c>
      <c r="D5368" s="1882"/>
      <c r="E5368" s="1628" t="s">
        <v>8339</v>
      </c>
      <c r="F5368" s="1882"/>
      <c r="G5368" s="1882">
        <f>IF('4W'!K49="","##BLANK",'4W'!K49)</f>
        <v>0</v>
      </c>
    </row>
    <row r="5369" spans="2:7">
      <c r="B5369" s="821" t="str">
        <f>'4W'!AT50</f>
        <v>FT00865SDSOT</v>
      </c>
      <c r="D5369" s="1882"/>
      <c r="E5369" s="1628" t="s">
        <v>8339</v>
      </c>
      <c r="F5369" s="1882"/>
      <c r="G5369" s="1882" t="str">
        <f>IF('4W'!K50="","##BLANK",'4W'!K50)</f>
        <v>##BLANK</v>
      </c>
    </row>
    <row r="5370" spans="2:7">
      <c r="B5370" s="821" t="str">
        <f>'4W'!AT51</f>
        <v>BM319SDSOT</v>
      </c>
      <c r="D5370" s="1882"/>
      <c r="E5370" s="1628" t="s">
        <v>8339</v>
      </c>
      <c r="F5370" s="1882"/>
      <c r="G5370" s="1882">
        <f>IF('4W'!K51="","##BLANK",'4W'!K51)</f>
        <v>0</v>
      </c>
    </row>
    <row r="5371" spans="2:7">
      <c r="B5371" s="821" t="str">
        <f>'4W'!AU22</f>
        <v>BM402STIDS</v>
      </c>
      <c r="D5371" s="1882"/>
      <c r="E5371" s="1628" t="s">
        <v>8339</v>
      </c>
      <c r="F5371" s="1882"/>
      <c r="G5371" s="1882" t="str">
        <f>IF('4W'!L22="","##BLANK",'4W'!L22)</f>
        <v>##BLANK</v>
      </c>
    </row>
    <row r="5372" spans="2:7">
      <c r="B5372" s="821" t="str">
        <f>'4W'!AU23</f>
        <v>BM836STIDS</v>
      </c>
      <c r="D5372" s="1882"/>
      <c r="E5372" s="1628" t="s">
        <v>8339</v>
      </c>
      <c r="F5372" s="1882"/>
      <c r="G5372" s="1882" t="str">
        <f>IF('4W'!L23="","##BLANK",'4W'!L23)</f>
        <v>##BLANK</v>
      </c>
    </row>
    <row r="5373" spans="2:7">
      <c r="B5373" s="821" t="str">
        <f>'4W'!AU24</f>
        <v>WWS1003STIDS</v>
      </c>
      <c r="D5373" s="1882"/>
      <c r="E5373" s="1628" t="s">
        <v>8339</v>
      </c>
      <c r="F5373" s="1882"/>
      <c r="G5373" s="1882" t="str">
        <f>IF('4W'!L24="","##BLANK",'4W'!L24)</f>
        <v>##BLANK</v>
      </c>
    </row>
    <row r="5374" spans="2:7">
      <c r="B5374" s="821" t="str">
        <f>'4W'!AU25</f>
        <v>BM240STIDS</v>
      </c>
      <c r="D5374" s="1882"/>
      <c r="E5374" s="1628" t="s">
        <v>8339</v>
      </c>
      <c r="F5374" s="1882"/>
      <c r="G5374" s="1882" t="str">
        <f>IF('4W'!L25="","##BLANK",'4W'!L25)</f>
        <v>##BLANK</v>
      </c>
    </row>
    <row r="5375" spans="2:7">
      <c r="B5375" s="821" t="str">
        <f>'4W'!AU27</f>
        <v>WWS1005STIDS</v>
      </c>
      <c r="D5375" s="1882"/>
      <c r="E5375" s="1628" t="s">
        <v>8339</v>
      </c>
      <c r="F5375" s="1882"/>
      <c r="G5375" s="1882" t="str">
        <f>IF('4W'!L27="","##BLANK",'4W'!L27)</f>
        <v>##BLANK</v>
      </c>
    </row>
    <row r="5376" spans="2:7">
      <c r="B5376" s="821" t="str">
        <f>'4W'!AU28</f>
        <v>WWS1006STIDS</v>
      </c>
      <c r="D5376" s="1882"/>
      <c r="E5376" s="1628" t="s">
        <v>8339</v>
      </c>
      <c r="F5376" s="1882"/>
      <c r="G5376" s="1882" t="str">
        <f>IF('4W'!L28="","##BLANK",'4W'!L28)</f>
        <v>##BLANK</v>
      </c>
    </row>
    <row r="5377" spans="2:7">
      <c r="B5377" s="821" t="str">
        <f>'4W'!AU29</f>
        <v>BM408STIDS</v>
      </c>
      <c r="D5377" s="1882"/>
      <c r="E5377" s="1628" t="s">
        <v>8339</v>
      </c>
      <c r="F5377" s="1882"/>
      <c r="G5377" s="1882" t="str">
        <f>IF('4W'!L29="","##BLANK",'4W'!L29)</f>
        <v>##BLANK</v>
      </c>
    </row>
    <row r="5378" spans="2:7">
      <c r="B5378" s="821" t="str">
        <f>'4W'!AU30</f>
        <v>BM410STIDS</v>
      </c>
      <c r="D5378" s="1882"/>
      <c r="E5378" s="1628" t="s">
        <v>8339</v>
      </c>
      <c r="F5378" s="1882"/>
      <c r="G5378" s="1882" t="str">
        <f>IF('4W'!L30="","##BLANK",'4W'!L30)</f>
        <v>##BLANK</v>
      </c>
    </row>
    <row r="5379" spans="2:7">
      <c r="B5379" s="821" t="str">
        <f>'4W'!AU31</f>
        <v>BM816STIDS</v>
      </c>
      <c r="D5379" s="1882"/>
      <c r="E5379" s="1628" t="s">
        <v>8339</v>
      </c>
      <c r="F5379" s="1882"/>
      <c r="G5379" s="1882">
        <f>IF('4W'!L31="","##BLANK",'4W'!L31)</f>
        <v>0</v>
      </c>
    </row>
    <row r="5380" spans="2:7">
      <c r="B5380" s="821" t="str">
        <f>'4W'!AU32</f>
        <v>BM817STIDS</v>
      </c>
      <c r="D5380" s="1882"/>
      <c r="E5380" s="1628" t="s">
        <v>8339</v>
      </c>
      <c r="F5380" s="1882"/>
      <c r="G5380" s="1882" t="str">
        <f>IF('4W'!L32="","##BLANK",'4W'!L32)</f>
        <v>##BLANK</v>
      </c>
    </row>
    <row r="5381" spans="2:7">
      <c r="B5381" s="821" t="str">
        <f>'4W'!AU33</f>
        <v>BM8390STIDS</v>
      </c>
      <c r="D5381" s="1882"/>
      <c r="E5381" s="1628" t="s">
        <v>8339</v>
      </c>
      <c r="F5381" s="1882"/>
      <c r="G5381" s="1882">
        <f>IF('4W'!L33="","##BLANK",'4W'!L33)</f>
        <v>0</v>
      </c>
    </row>
    <row r="5382" spans="2:7">
      <c r="B5382" s="821" t="str">
        <f>'4W'!AU34</f>
        <v>FT00865STIDS</v>
      </c>
      <c r="D5382" s="1882"/>
      <c r="E5382" s="1628" t="s">
        <v>8339</v>
      </c>
      <c r="F5382" s="1882"/>
      <c r="G5382" s="1882" t="str">
        <f>IF('4W'!L34="","##BLANK",'4W'!L34)</f>
        <v>##BLANK</v>
      </c>
    </row>
    <row r="5383" spans="2:7">
      <c r="B5383" s="821" t="str">
        <f>'4W'!AU35</f>
        <v>BM319STIDS</v>
      </c>
      <c r="D5383" s="1882"/>
      <c r="E5383" s="1628" t="s">
        <v>8339</v>
      </c>
      <c r="F5383" s="1882"/>
      <c r="G5383" s="1882">
        <f>IF('4W'!L35="","##BLANK",'4W'!L35)</f>
        <v>0</v>
      </c>
    </row>
    <row r="5384" spans="2:7">
      <c r="B5384" s="821" t="str">
        <f>'4W'!AU38</f>
        <v>BM402SDTOT</v>
      </c>
      <c r="D5384" s="1882"/>
      <c r="E5384" s="1628" t="s">
        <v>8339</v>
      </c>
      <c r="F5384" s="1882"/>
      <c r="G5384" s="1882">
        <f>IF('4W'!L38="","##BLANK",'4W'!L38)</f>
        <v>0</v>
      </c>
    </row>
    <row r="5385" spans="2:7">
      <c r="B5385" s="821" t="str">
        <f>'4W'!AU39</f>
        <v>BM836SDTOT</v>
      </c>
      <c r="D5385" s="1882"/>
      <c r="E5385" s="1628" t="s">
        <v>8339</v>
      </c>
      <c r="F5385" s="1882"/>
      <c r="G5385" s="1882">
        <f>IF('4W'!L39="","##BLANK",'4W'!L39)</f>
        <v>0</v>
      </c>
    </row>
    <row r="5386" spans="2:7">
      <c r="B5386" s="821" t="str">
        <f>'4W'!AU40</f>
        <v>WWS1003SDTOT</v>
      </c>
      <c r="D5386" s="1882"/>
      <c r="E5386" s="1628" t="s">
        <v>8339</v>
      </c>
      <c r="F5386" s="1882"/>
      <c r="G5386" s="1882">
        <f>IF('4W'!L40="","##BLANK",'4W'!L40)</f>
        <v>0</v>
      </c>
    </row>
    <row r="5387" spans="2:7">
      <c r="B5387" s="821" t="str">
        <f>'4W'!AU41</f>
        <v>BM240SDTOT</v>
      </c>
      <c r="D5387" s="1882"/>
      <c r="E5387" s="1628" t="s">
        <v>8339</v>
      </c>
      <c r="F5387" s="1882"/>
      <c r="G5387" s="1882">
        <f>IF('4W'!L41="","##BLANK",'4W'!L41)</f>
        <v>0</v>
      </c>
    </row>
    <row r="5388" spans="2:7">
      <c r="B5388" s="821" t="str">
        <f>'4W'!AU43</f>
        <v>WWS1005SDTOT</v>
      </c>
      <c r="D5388" s="1882"/>
      <c r="E5388" s="1628" t="s">
        <v>8339</v>
      </c>
      <c r="F5388" s="1882"/>
      <c r="G5388" s="1882">
        <f>IF('4W'!L43="","##BLANK",'4W'!L43)</f>
        <v>0</v>
      </c>
    </row>
    <row r="5389" spans="2:7">
      <c r="B5389" s="821" t="str">
        <f>'4W'!AU44</f>
        <v>WWS1006SDTOT</v>
      </c>
      <c r="D5389" s="1882"/>
      <c r="E5389" s="1628" t="s">
        <v>8339</v>
      </c>
      <c r="F5389" s="1882"/>
      <c r="G5389" s="1882">
        <f>IF('4W'!L44="","##BLANK",'4W'!L44)</f>
        <v>0</v>
      </c>
    </row>
    <row r="5390" spans="2:7">
      <c r="B5390" s="821" t="str">
        <f>'4W'!AU45</f>
        <v>BM408SDTOT</v>
      </c>
      <c r="D5390" s="1882"/>
      <c r="E5390" s="1628" t="s">
        <v>8339</v>
      </c>
      <c r="F5390" s="1882"/>
      <c r="G5390" s="1882">
        <f>IF('4W'!L45="","##BLANK",'4W'!L45)</f>
        <v>0</v>
      </c>
    </row>
    <row r="5391" spans="2:7">
      <c r="B5391" s="821" t="str">
        <f>'4W'!AU46</f>
        <v>BM410SDTOT</v>
      </c>
      <c r="D5391" s="1882"/>
      <c r="E5391" s="1628" t="s">
        <v>8339</v>
      </c>
      <c r="F5391" s="1882"/>
      <c r="G5391" s="1882">
        <f>IF('4W'!L46="","##BLANK",'4W'!L46)</f>
        <v>0</v>
      </c>
    </row>
    <row r="5392" spans="2:7">
      <c r="B5392" s="821" t="str">
        <f>'4W'!AU47</f>
        <v>BM816SDTOT</v>
      </c>
      <c r="D5392" s="1882"/>
      <c r="E5392" s="1628" t="s">
        <v>8339</v>
      </c>
      <c r="F5392" s="1882"/>
      <c r="G5392" s="1882">
        <f>IF('4W'!L47="","##BLANK",'4W'!L47)</f>
        <v>0</v>
      </c>
    </row>
    <row r="5393" spans="2:7">
      <c r="B5393" s="821" t="str">
        <f>'4W'!AU48</f>
        <v>BM817SDTOT</v>
      </c>
      <c r="D5393" s="1882"/>
      <c r="E5393" s="1628" t="s">
        <v>8339</v>
      </c>
      <c r="F5393" s="1882"/>
      <c r="G5393" s="1882">
        <f>IF('4W'!L48="","##BLANK",'4W'!L48)</f>
        <v>0</v>
      </c>
    </row>
    <row r="5394" spans="2:7">
      <c r="B5394" s="821" t="str">
        <f>'4W'!AU49</f>
        <v>BM8390SDTOT</v>
      </c>
      <c r="D5394" s="1882"/>
      <c r="E5394" s="1628" t="s">
        <v>8339</v>
      </c>
      <c r="F5394" s="1882"/>
      <c r="G5394" s="1882">
        <f>IF('4W'!L49="","##BLANK",'4W'!L49)</f>
        <v>0</v>
      </c>
    </row>
    <row r="5395" spans="2:7">
      <c r="B5395" s="821" t="str">
        <f>'4W'!AU50</f>
        <v>FT00865SDTOT</v>
      </c>
      <c r="D5395" s="1882"/>
      <c r="E5395" s="1628" t="s">
        <v>8339</v>
      </c>
      <c r="F5395" s="1882"/>
      <c r="G5395" s="1882">
        <f>IF('4W'!L50="","##BLANK",'4W'!L50)</f>
        <v>0</v>
      </c>
    </row>
    <row r="5396" spans="2:7">
      <c r="B5396" s="821" t="str">
        <f>'4W'!AU51</f>
        <v>BM319SDTOT</v>
      </c>
      <c r="D5396" s="1882"/>
      <c r="E5396" s="1628" t="s">
        <v>8339</v>
      </c>
      <c r="F5396" s="1882"/>
      <c r="G5396" s="1882">
        <f>IF('4W'!L51="","##BLANK",'4W'!L51)</f>
        <v>0</v>
      </c>
    </row>
    <row r="5397" spans="2:7">
      <c r="B5397" s="821" t="str">
        <f>'4W'!AV22</f>
        <v>BM402STPCC</v>
      </c>
      <c r="D5397" s="1882"/>
      <c r="E5397" s="1628" t="s">
        <v>8339</v>
      </c>
      <c r="F5397" s="1882"/>
      <c r="G5397" s="1882" t="str">
        <f>IF('4W'!M22="","##BLANK",'4W'!M22)</f>
        <v>##BLANK</v>
      </c>
    </row>
    <row r="5398" spans="2:7">
      <c r="B5398" s="821" t="str">
        <f>'4W'!AV23</f>
        <v>BM836STPCC</v>
      </c>
      <c r="D5398" s="1882"/>
      <c r="E5398" s="1628" t="s">
        <v>8339</v>
      </c>
      <c r="F5398" s="1882"/>
      <c r="G5398" s="1882" t="str">
        <f>IF('4W'!M23="","##BLANK",'4W'!M23)</f>
        <v>##BLANK</v>
      </c>
    </row>
    <row r="5399" spans="2:7">
      <c r="B5399" s="821" t="str">
        <f>'4W'!AV24</f>
        <v>WWS1003STPCC</v>
      </c>
      <c r="D5399" s="1882"/>
      <c r="E5399" s="1628" t="s">
        <v>8339</v>
      </c>
      <c r="F5399" s="1882"/>
      <c r="G5399" s="1882" t="str">
        <f>IF('4W'!M24="","##BLANK",'4W'!M24)</f>
        <v>##BLANK</v>
      </c>
    </row>
    <row r="5400" spans="2:7">
      <c r="B5400" s="821" t="str">
        <f>'4W'!AV25</f>
        <v>BM240STPCC</v>
      </c>
      <c r="D5400" s="1882"/>
      <c r="E5400" s="1628" t="s">
        <v>8339</v>
      </c>
      <c r="F5400" s="1882"/>
      <c r="G5400" s="1882" t="str">
        <f>IF('4W'!M25="","##BLANK",'4W'!M25)</f>
        <v>##BLANK</v>
      </c>
    </row>
    <row r="5401" spans="2:7">
      <c r="B5401" s="821" t="str">
        <f>'4W'!AV27</f>
        <v>WWS1005STPCC</v>
      </c>
      <c r="D5401" s="1882"/>
      <c r="E5401" s="1628" t="s">
        <v>8339</v>
      </c>
      <c r="F5401" s="1882"/>
      <c r="G5401" s="1882" t="str">
        <f>IF('4W'!M27="","##BLANK",'4W'!M27)</f>
        <v>##BLANK</v>
      </c>
    </row>
    <row r="5402" spans="2:7">
      <c r="B5402" s="821" t="str">
        <f>'4W'!AV28</f>
        <v>WWS1006STPCC</v>
      </c>
      <c r="D5402" s="1882"/>
      <c r="E5402" s="1628" t="s">
        <v>8339</v>
      </c>
      <c r="F5402" s="1882"/>
      <c r="G5402" s="1882" t="str">
        <f>IF('4W'!M28="","##BLANK",'4W'!M28)</f>
        <v>##BLANK</v>
      </c>
    </row>
    <row r="5403" spans="2:7">
      <c r="B5403" s="821" t="str">
        <f>'4W'!AV29</f>
        <v>BM408STPCC</v>
      </c>
      <c r="D5403" s="1882"/>
      <c r="E5403" s="1628" t="s">
        <v>8339</v>
      </c>
      <c r="F5403" s="1882"/>
      <c r="G5403" s="1882" t="str">
        <f>IF('4W'!M29="","##BLANK",'4W'!M29)</f>
        <v>##BLANK</v>
      </c>
    </row>
    <row r="5404" spans="2:7">
      <c r="B5404" s="821" t="str">
        <f>'4W'!AV30</f>
        <v>BM410STPCC</v>
      </c>
      <c r="D5404" s="1882"/>
      <c r="E5404" s="1628" t="s">
        <v>8339</v>
      </c>
      <c r="F5404" s="1882"/>
      <c r="G5404" s="1882" t="str">
        <f>IF('4W'!M30="","##BLANK",'4W'!M30)</f>
        <v>##BLANK</v>
      </c>
    </row>
    <row r="5405" spans="2:7">
      <c r="B5405" s="821" t="str">
        <f>'4W'!AV31</f>
        <v>BM816STPCC</v>
      </c>
      <c r="D5405" s="1882"/>
      <c r="E5405" s="1628" t="s">
        <v>8339</v>
      </c>
      <c r="F5405" s="1882"/>
      <c r="G5405" s="1882">
        <f>IF('4W'!M31="","##BLANK",'4W'!M31)</f>
        <v>0</v>
      </c>
    </row>
    <row r="5406" spans="2:7">
      <c r="B5406" s="821" t="str">
        <f>'4W'!AV32</f>
        <v>BM817STPCC</v>
      </c>
      <c r="D5406" s="1882"/>
      <c r="E5406" s="1628" t="s">
        <v>8339</v>
      </c>
      <c r="F5406" s="1882"/>
      <c r="G5406" s="1882" t="str">
        <f>IF('4W'!M32="","##BLANK",'4W'!M32)</f>
        <v>##BLANK</v>
      </c>
    </row>
    <row r="5407" spans="2:7">
      <c r="B5407" s="821" t="str">
        <f>'4W'!AV33</f>
        <v>BM8390STPCC</v>
      </c>
      <c r="D5407" s="1882"/>
      <c r="E5407" s="1628" t="s">
        <v>8339</v>
      </c>
      <c r="F5407" s="1882"/>
      <c r="G5407" s="1882">
        <f>IF('4W'!M33="","##BLANK",'4W'!M33)</f>
        <v>0</v>
      </c>
    </row>
    <row r="5408" spans="2:7">
      <c r="B5408" s="821" t="str">
        <f>'4W'!AV34</f>
        <v>FT00865STPCC</v>
      </c>
      <c r="D5408" s="1882"/>
      <c r="E5408" s="1628" t="s">
        <v>8339</v>
      </c>
      <c r="F5408" s="1882"/>
      <c r="G5408" s="1882" t="str">
        <f>IF('4W'!M34="","##BLANK",'4W'!M34)</f>
        <v>##BLANK</v>
      </c>
    </row>
    <row r="5409" spans="2:7">
      <c r="B5409" s="821" t="str">
        <f>'4W'!AV35</f>
        <v>BM319STPCC</v>
      </c>
      <c r="D5409" s="1882"/>
      <c r="E5409" s="1628" t="s">
        <v>8339</v>
      </c>
      <c r="F5409" s="1882"/>
      <c r="G5409" s="1882">
        <f>IF('4W'!M35="","##BLANK",'4W'!M35)</f>
        <v>0</v>
      </c>
    </row>
    <row r="5410" spans="2:7">
      <c r="B5410" s="821" t="str">
        <f>'4W'!AW22</f>
        <v>BM402STSLOT</v>
      </c>
      <c r="D5410" s="1882"/>
      <c r="E5410" s="1628" t="s">
        <v>8339</v>
      </c>
      <c r="F5410" s="1882"/>
      <c r="G5410" s="1882" t="str">
        <f>IF('4W'!N22="","##BLANK",'4W'!N22)</f>
        <v>##BLANK</v>
      </c>
    </row>
    <row r="5411" spans="2:7">
      <c r="B5411" s="821" t="str">
        <f>'4W'!AW23</f>
        <v>BM836STSLOT</v>
      </c>
      <c r="D5411" s="1882"/>
      <c r="E5411" s="1628" t="s">
        <v>8339</v>
      </c>
      <c r="F5411" s="1882"/>
      <c r="G5411" s="1882" t="str">
        <f>IF('4W'!N23="","##BLANK",'4W'!N23)</f>
        <v>##BLANK</v>
      </c>
    </row>
    <row r="5412" spans="2:7">
      <c r="B5412" s="821" t="str">
        <f>'4W'!AW24</f>
        <v>WWS1003STSLOT</v>
      </c>
      <c r="D5412" s="1882"/>
      <c r="E5412" s="1628" t="s">
        <v>8339</v>
      </c>
      <c r="F5412" s="1882"/>
      <c r="G5412" s="1882" t="str">
        <f>IF('4W'!N24="","##BLANK",'4W'!N24)</f>
        <v>##BLANK</v>
      </c>
    </row>
    <row r="5413" spans="2:7">
      <c r="B5413" s="821" t="str">
        <f>'4W'!AW25</f>
        <v>BM240STSLOT</v>
      </c>
      <c r="D5413" s="1882"/>
      <c r="E5413" s="1628" t="s">
        <v>8339</v>
      </c>
      <c r="F5413" s="1882"/>
      <c r="G5413" s="1882" t="str">
        <f>IF('4W'!N25="","##BLANK",'4W'!N25)</f>
        <v>##BLANK</v>
      </c>
    </row>
    <row r="5414" spans="2:7">
      <c r="B5414" s="821" t="str">
        <f>'4W'!AW27</f>
        <v>WWS1005STSLOT</v>
      </c>
      <c r="D5414" s="1882"/>
      <c r="E5414" s="1628" t="s">
        <v>8339</v>
      </c>
      <c r="F5414" s="1882"/>
      <c r="G5414" s="1882" t="str">
        <f>IF('4W'!N27="","##BLANK",'4W'!N27)</f>
        <v>##BLANK</v>
      </c>
    </row>
    <row r="5415" spans="2:7">
      <c r="B5415" s="821" t="str">
        <f>'4W'!AW28</f>
        <v>WWS1006STSLOT</v>
      </c>
      <c r="D5415" s="1882"/>
      <c r="E5415" s="1628" t="s">
        <v>8339</v>
      </c>
      <c r="F5415" s="1882"/>
      <c r="G5415" s="1882" t="str">
        <f>IF('4W'!N28="","##BLANK",'4W'!N28)</f>
        <v>##BLANK</v>
      </c>
    </row>
    <row r="5416" spans="2:7">
      <c r="B5416" s="821" t="str">
        <f>'4W'!AW29</f>
        <v>BM408STSLOT</v>
      </c>
      <c r="D5416" s="1882"/>
      <c r="E5416" s="1628" t="s">
        <v>8339</v>
      </c>
      <c r="F5416" s="1882"/>
      <c r="G5416" s="1882" t="str">
        <f>IF('4W'!N29="","##BLANK",'4W'!N29)</f>
        <v>##BLANK</v>
      </c>
    </row>
    <row r="5417" spans="2:7">
      <c r="B5417" s="821" t="str">
        <f>'4W'!AW30</f>
        <v>BM410STSLOT</v>
      </c>
      <c r="D5417" s="1882"/>
      <c r="E5417" s="1628" t="s">
        <v>8339</v>
      </c>
      <c r="F5417" s="1882"/>
      <c r="G5417" s="1882" t="str">
        <f>IF('4W'!N30="","##BLANK",'4W'!N30)</f>
        <v>##BLANK</v>
      </c>
    </row>
    <row r="5418" spans="2:7">
      <c r="B5418" s="821" t="str">
        <f>'4W'!AW31</f>
        <v>BM816STSLOT</v>
      </c>
      <c r="D5418" s="1882"/>
      <c r="E5418" s="1628" t="s">
        <v>8339</v>
      </c>
      <c r="F5418" s="1882"/>
      <c r="G5418" s="1882">
        <f>IF('4W'!N31="","##BLANK",'4W'!N31)</f>
        <v>0</v>
      </c>
    </row>
    <row r="5419" spans="2:7">
      <c r="B5419" s="821" t="str">
        <f>'4W'!AW32</f>
        <v>BM817STSLOT</v>
      </c>
      <c r="D5419" s="1882"/>
      <c r="E5419" s="1628" t="s">
        <v>8339</v>
      </c>
      <c r="F5419" s="1882"/>
      <c r="G5419" s="1882" t="str">
        <f>IF('4W'!N32="","##BLANK",'4W'!N32)</f>
        <v>##BLANK</v>
      </c>
    </row>
    <row r="5420" spans="2:7">
      <c r="B5420" s="821" t="str">
        <f>'4W'!AW33</f>
        <v>BM8390STSLOT</v>
      </c>
      <c r="D5420" s="1882"/>
      <c r="E5420" s="1628" t="s">
        <v>8339</v>
      </c>
      <c r="F5420" s="1882"/>
      <c r="G5420" s="1882">
        <f>IF('4W'!N33="","##BLANK",'4W'!N33)</f>
        <v>0</v>
      </c>
    </row>
    <row r="5421" spans="2:7">
      <c r="B5421" s="821" t="str">
        <f>'4W'!AW34</f>
        <v>FT00865STSLOT</v>
      </c>
      <c r="D5421" s="1882"/>
      <c r="E5421" s="1628" t="s">
        <v>8339</v>
      </c>
      <c r="F5421" s="1882"/>
      <c r="G5421" s="1882" t="str">
        <f>IF('4W'!N34="","##BLANK",'4W'!N34)</f>
        <v>##BLANK</v>
      </c>
    </row>
    <row r="5422" spans="2:7">
      <c r="B5422" s="821" t="str">
        <f>'4W'!AW35</f>
        <v>BM319STSLOT</v>
      </c>
      <c r="D5422" s="1882"/>
      <c r="E5422" s="1628" t="s">
        <v>8339</v>
      </c>
      <c r="F5422" s="1882"/>
      <c r="G5422" s="1882">
        <f>IF('4W'!N35="","##BLANK",'4W'!N35)</f>
        <v>0</v>
      </c>
    </row>
    <row r="5423" spans="2:7">
      <c r="B5423" s="821" t="str">
        <f>'4W'!AX22</f>
        <v>BM402STTOT</v>
      </c>
      <c r="D5423" s="1882"/>
      <c r="E5423" s="1628" t="s">
        <v>8339</v>
      </c>
      <c r="F5423" s="1882"/>
      <c r="G5423" s="1882">
        <f>IF('4W'!O22="","##BLANK",'4W'!O22)</f>
        <v>0</v>
      </c>
    </row>
    <row r="5424" spans="2:7">
      <c r="B5424" s="821" t="str">
        <f>'4W'!AX23</f>
        <v>BM836STTOT</v>
      </c>
      <c r="D5424" s="1882"/>
      <c r="E5424" s="1628" t="s">
        <v>8339</v>
      </c>
      <c r="F5424" s="1882"/>
      <c r="G5424" s="1882">
        <f>IF('4W'!O23="","##BLANK",'4W'!O23)</f>
        <v>0</v>
      </c>
    </row>
    <row r="5425" spans="2:7">
      <c r="B5425" s="821" t="str">
        <f>'4W'!AX24</f>
        <v>WWS1003STTOT</v>
      </c>
      <c r="D5425" s="1882"/>
      <c r="E5425" s="1628" t="s">
        <v>8339</v>
      </c>
      <c r="F5425" s="1882"/>
      <c r="G5425" s="1882">
        <f>IF('4W'!O24="","##BLANK",'4W'!O24)</f>
        <v>0</v>
      </c>
    </row>
    <row r="5426" spans="2:7">
      <c r="B5426" s="821" t="str">
        <f>'4W'!AX25</f>
        <v>BM240STTOT</v>
      </c>
      <c r="D5426" s="1882"/>
      <c r="E5426" s="1628" t="s">
        <v>8339</v>
      </c>
      <c r="F5426" s="1882"/>
      <c r="G5426" s="1882">
        <f>IF('4W'!O25="","##BLANK",'4W'!O25)</f>
        <v>0</v>
      </c>
    </row>
    <row r="5427" spans="2:7">
      <c r="B5427" s="821" t="str">
        <f>'4W'!AX27</f>
        <v>WWS1005STTOT</v>
      </c>
      <c r="D5427" s="1882"/>
      <c r="E5427" s="1628" t="s">
        <v>8339</v>
      </c>
      <c r="F5427" s="1882"/>
      <c r="G5427" s="1882">
        <f>IF('4W'!O27="","##BLANK",'4W'!O27)</f>
        <v>0</v>
      </c>
    </row>
    <row r="5428" spans="2:7">
      <c r="B5428" s="821" t="str">
        <f>'4W'!AX28</f>
        <v>WWS1006STTOT</v>
      </c>
      <c r="D5428" s="1882"/>
      <c r="E5428" s="1628" t="s">
        <v>8339</v>
      </c>
      <c r="F5428" s="1882"/>
      <c r="G5428" s="1882">
        <f>IF('4W'!O28="","##BLANK",'4W'!O28)</f>
        <v>0</v>
      </c>
    </row>
    <row r="5429" spans="2:7">
      <c r="B5429" s="821" t="str">
        <f>'4W'!AX29</f>
        <v>BM408STTOT</v>
      </c>
      <c r="D5429" s="1882"/>
      <c r="E5429" s="1628" t="s">
        <v>8339</v>
      </c>
      <c r="F5429" s="1882"/>
      <c r="G5429" s="1882">
        <f>IF('4W'!O29="","##BLANK",'4W'!O29)</f>
        <v>0</v>
      </c>
    </row>
    <row r="5430" spans="2:7">
      <c r="B5430" s="821" t="str">
        <f>'4W'!AX30</f>
        <v>BM410STTOT</v>
      </c>
      <c r="D5430" s="1882"/>
      <c r="E5430" s="1628" t="s">
        <v>8339</v>
      </c>
      <c r="F5430" s="1882"/>
      <c r="G5430" s="1882">
        <f>IF('4W'!O30="","##BLANK",'4W'!O30)</f>
        <v>0</v>
      </c>
    </row>
    <row r="5431" spans="2:7">
      <c r="B5431" s="821" t="str">
        <f>'4W'!AX31</f>
        <v>BM816STTOT</v>
      </c>
      <c r="D5431" s="1882"/>
      <c r="E5431" s="1628" t="s">
        <v>8339</v>
      </c>
      <c r="F5431" s="1882"/>
      <c r="G5431" s="1882">
        <f>IF('4W'!O31="","##BLANK",'4W'!O31)</f>
        <v>0</v>
      </c>
    </row>
    <row r="5432" spans="2:7">
      <c r="B5432" s="821" t="str">
        <f>'4W'!AX32</f>
        <v>BM817STTOT</v>
      </c>
      <c r="D5432" s="1882"/>
      <c r="E5432" s="1628" t="s">
        <v>8339</v>
      </c>
      <c r="F5432" s="1882"/>
      <c r="G5432" s="1882">
        <f>IF('4W'!O32="","##BLANK",'4W'!O32)</f>
        <v>0</v>
      </c>
    </row>
    <row r="5433" spans="2:7">
      <c r="B5433" s="821" t="str">
        <f>'4W'!AX33</f>
        <v>BM8390STTOT</v>
      </c>
      <c r="D5433" s="1882"/>
      <c r="E5433" s="1628" t="s">
        <v>8339</v>
      </c>
      <c r="F5433" s="1882"/>
      <c r="G5433" s="1882">
        <f>IF('4W'!O33="","##BLANK",'4W'!O33)</f>
        <v>0</v>
      </c>
    </row>
    <row r="5434" spans="2:7">
      <c r="B5434" s="821" t="str">
        <f>'4W'!AX34</f>
        <v>FT00865STTOT</v>
      </c>
      <c r="D5434" s="1882"/>
      <c r="E5434" s="1628" t="s">
        <v>8339</v>
      </c>
      <c r="F5434" s="1882"/>
      <c r="G5434" s="1882">
        <f>IF('4W'!O34="","##BLANK",'4W'!O34)</f>
        <v>0</v>
      </c>
    </row>
    <row r="5435" spans="2:7">
      <c r="B5435" s="821" t="str">
        <f>'4W'!AX35</f>
        <v>BM319STTOT</v>
      </c>
      <c r="D5435" s="1882"/>
      <c r="E5435" s="1628" t="s">
        <v>8339</v>
      </c>
      <c r="F5435" s="1882"/>
      <c r="G5435" s="1882">
        <f>IF('4W'!O35="","##BLANK",'4W'!O35)</f>
        <v>0</v>
      </c>
    </row>
    <row r="5436" spans="2:7">
      <c r="B5436" s="821" t="str">
        <f>Bioresources!D6</f>
        <v>CR3001BIOM</v>
      </c>
      <c r="D5436" s="1882"/>
      <c r="E5436" s="1628" t="s">
        <v>8339</v>
      </c>
      <c r="F5436" s="1882"/>
      <c r="G5436" s="1882" t="str">
        <f>IF(Bioresources!G6="","##BLANK",Bioresources!G6)</f>
        <v>##BLANK</v>
      </c>
    </row>
    <row r="5437" spans="2:7">
      <c r="B5437" s="821" t="str">
        <f>Bioresources!D7</f>
        <v>CR3002BIOM</v>
      </c>
      <c r="D5437" s="1882"/>
      <c r="E5437" s="1628" t="s">
        <v>8339</v>
      </c>
      <c r="F5437" s="1882"/>
      <c r="G5437" s="1882" t="str">
        <f>IF(Bioresources!G7="","##BLANK",Bioresources!G7)</f>
        <v>##BLANK</v>
      </c>
    </row>
    <row r="5438" spans="2:7">
      <c r="B5438" s="821" t="str">
        <f>Bioresources!D8</f>
        <v>CR3003BIOM</v>
      </c>
      <c r="D5438" s="1882"/>
      <c r="E5438" s="1628" t="s">
        <v>8339</v>
      </c>
      <c r="F5438" s="1882"/>
      <c r="G5438" s="1882" t="str">
        <f>IF(Bioresources!G8="","##BLANK",Bioresources!G8)</f>
        <v>##BLANK</v>
      </c>
    </row>
    <row r="5439" spans="2:7">
      <c r="B5439" s="821" t="str">
        <f>Bioresources!D9</f>
        <v>CR3004BIOM</v>
      </c>
      <c r="D5439" s="1882"/>
      <c r="E5439" s="1628" t="s">
        <v>8339</v>
      </c>
      <c r="F5439" s="1882"/>
      <c r="G5439" s="1882" t="str">
        <f>IF(Bioresources!G9="","##BLANK",Bioresources!G9)</f>
        <v>##BLANK</v>
      </c>
    </row>
    <row r="5440" spans="2:7">
      <c r="B5440" s="821" t="str">
        <f>Bioresources!D10</f>
        <v>CR3005BIOM</v>
      </c>
      <c r="D5440" s="1882"/>
      <c r="E5440" s="1628" t="s">
        <v>8339</v>
      </c>
      <c r="F5440" s="1882"/>
      <c r="G5440" s="1882" t="str">
        <f>IF(Bioresources!G10="","##BLANK",Bioresources!G10)</f>
        <v>##BLANK</v>
      </c>
    </row>
    <row r="5441" spans="2:7">
      <c r="B5441" s="821" t="str">
        <f>Bioresources!D11</f>
        <v>CR3006BIOM</v>
      </c>
      <c r="D5441" s="1882"/>
      <c r="E5441" s="1628" t="s">
        <v>8339</v>
      </c>
      <c r="F5441" s="1882"/>
      <c r="G5441" s="1882" t="str">
        <f>IF(Bioresources!G11="","##BLANK",Bioresources!G11)</f>
        <v>##BLANK</v>
      </c>
    </row>
    <row r="5442" spans="2:7">
      <c r="B5442" s="821" t="str">
        <f>Bioresources!D14</f>
        <v>CR3007BIOM</v>
      </c>
      <c r="D5442" s="1882"/>
      <c r="E5442" s="1628" t="s">
        <v>8339</v>
      </c>
      <c r="F5442" s="1882"/>
      <c r="G5442" s="1882" t="str">
        <f>IF(Bioresources!G14="","##BLANK",Bioresources!G14)</f>
        <v>##BLANK</v>
      </c>
    </row>
    <row r="5443" spans="2:7">
      <c r="B5443" s="821" t="str">
        <f>Bioresources!D15</f>
        <v>CR3008BIOM</v>
      </c>
      <c r="D5443" s="1882"/>
      <c r="E5443" s="1628" t="s">
        <v>8339</v>
      </c>
      <c r="F5443" s="1882"/>
      <c r="G5443" s="1882" t="str">
        <f>IF(Bioresources!G15="","##BLANK",Bioresources!G15)</f>
        <v>##BLANK</v>
      </c>
    </row>
    <row r="5444" spans="2:7">
      <c r="B5444" s="821" t="str">
        <f>Bioresources!D16</f>
        <v>CR3009BIOM</v>
      </c>
      <c r="D5444" s="1882"/>
      <c r="E5444" s="1628" t="s">
        <v>8339</v>
      </c>
      <c r="F5444" s="1882"/>
      <c r="G5444" s="1882" t="str">
        <f>IF(Bioresources!G16="","##BLANK",Bioresources!G16)</f>
        <v>##BLANK</v>
      </c>
    </row>
    <row r="5445" spans="2:7">
      <c r="B5445" s="821" t="str">
        <f>Bioresources!D19</f>
        <v>CR3010BIOM</v>
      </c>
      <c r="D5445" s="1882"/>
      <c r="E5445" s="1628" t="s">
        <v>8339</v>
      </c>
      <c r="F5445" s="1882"/>
      <c r="G5445" s="1882" t="str">
        <f>IF(Bioresources!G19="","##BLANK",Bioresources!G19)</f>
        <v>##BLANK</v>
      </c>
    </row>
    <row r="5446" spans="2:7">
      <c r="B5446" s="821" t="str">
        <f>Bioresources!D20</f>
        <v>CR3011BIOM</v>
      </c>
      <c r="D5446" s="1882"/>
      <c r="E5446" s="1628" t="s">
        <v>8339</v>
      </c>
      <c r="F5446" s="1882"/>
      <c r="G5446" s="1882" t="str">
        <f>IF(Bioresources!G20="","##BLANK",Bioresources!G20)</f>
        <v>##BLANK</v>
      </c>
    </row>
    <row r="5447" spans="2:7">
      <c r="B5447" s="821" t="str">
        <f>Bioresources!D23</f>
        <v>CR3012BIOM</v>
      </c>
      <c r="D5447" s="1882"/>
      <c r="E5447" s="1628" t="s">
        <v>8339</v>
      </c>
      <c r="F5447" s="1882"/>
      <c r="G5447" s="1882" t="str">
        <f>IF(Bioresources!G23="","##BLANK",Bioresources!G23)</f>
        <v>##BLANK</v>
      </c>
    </row>
    <row r="5448" spans="2:7">
      <c r="B5448" s="821" t="str">
        <f>Bioresources!D24</f>
        <v>CR3013BIOM</v>
      </c>
      <c r="D5448" s="1882"/>
      <c r="E5448" s="1628" t="s">
        <v>8339</v>
      </c>
      <c r="F5448" s="1882"/>
      <c r="G5448" s="1882" t="str">
        <f>IF(Bioresources!G24="","##BLANK",Bioresources!G24)</f>
        <v>##BLANK</v>
      </c>
    </row>
    <row r="5449" spans="2:7">
      <c r="B5449" s="821" t="str">
        <f>Bioresources!D25</f>
        <v>CR3014BIOM</v>
      </c>
      <c r="D5449" s="1882"/>
      <c r="E5449" s="1628" t="s">
        <v>8339</v>
      </c>
      <c r="F5449" s="1882"/>
      <c r="G5449" s="1882" t="str">
        <f>IF(Bioresources!G25="","##BLANK",Bioresources!G25)</f>
        <v>##BLANK</v>
      </c>
    </row>
    <row r="5450" spans="2:7">
      <c r="B5450" s="821" t="str">
        <f>Bioresources!D26</f>
        <v>CR3015BIOM</v>
      </c>
      <c r="D5450" s="1882"/>
      <c r="E5450" s="1628" t="s">
        <v>8339</v>
      </c>
      <c r="F5450" s="1882"/>
      <c r="G5450" s="1882" t="str">
        <f>IF(Bioresources!G26="","##BLANK",Bioresources!G26)</f>
        <v>##BLANK</v>
      </c>
    </row>
    <row r="5451" spans="2:7">
      <c r="B5451" s="821" t="str">
        <f>Bioresources!D27</f>
        <v>CR3016BIOM</v>
      </c>
      <c r="D5451" s="1882"/>
      <c r="E5451" s="1628" t="s">
        <v>8339</v>
      </c>
      <c r="F5451" s="1882"/>
      <c r="G5451" s="1882" t="str">
        <f>IF(Bioresources!G27="","##BLANK",Bioresources!G27)</f>
        <v>##BLANK</v>
      </c>
    </row>
    <row r="5452" spans="2:7">
      <c r="B5452" s="821" t="str">
        <f>Bioresources!D30</f>
        <v>CR3017BIOM</v>
      </c>
      <c r="D5452" s="1882"/>
      <c r="E5452" s="1628" t="s">
        <v>8339</v>
      </c>
      <c r="F5452" s="1882"/>
      <c r="G5452" s="1882" t="str">
        <f>IF(Bioresources!G30="","##BLANK",Bioresources!G30)</f>
        <v>##BLANK</v>
      </c>
    </row>
    <row r="5453" spans="2:7">
      <c r="B5453" s="821" t="str">
        <f>Bioresources!D31</f>
        <v>CR3018BIOM</v>
      </c>
      <c r="D5453" s="1882"/>
      <c r="E5453" s="1628" t="s">
        <v>8339</v>
      </c>
      <c r="F5453" s="1882"/>
      <c r="G5453" s="1882" t="str">
        <f>IF(Bioresources!G31="","##BLANK",Bioresources!G31)</f>
        <v>##BLANK</v>
      </c>
    </row>
    <row r="5454" spans="2:7">
      <c r="B5454" s="821" t="str">
        <f>Bioresources!D32</f>
        <v>CR3019BIOM</v>
      </c>
      <c r="D5454" s="1882"/>
      <c r="E5454" s="1628" t="s">
        <v>8339</v>
      </c>
      <c r="F5454" s="1882"/>
      <c r="G5454" s="1882" t="str">
        <f>IF(Bioresources!G32="","##BLANK",Bioresources!G32)</f>
        <v>##BLANK</v>
      </c>
    </row>
    <row r="5455" spans="2:7">
      <c r="B5455" s="821" t="str">
        <f>Bioresources!D33</f>
        <v>CR3020BIOM</v>
      </c>
      <c r="D5455" s="1882"/>
      <c r="E5455" s="1628" t="s">
        <v>8339</v>
      </c>
      <c r="F5455" s="1882"/>
      <c r="G5455" s="1882" t="str">
        <f>IF(Bioresources!G33="","##BLANK",Bioresources!G33)</f>
        <v>##BLANK</v>
      </c>
    </row>
    <row r="5456" spans="2:7">
      <c r="B5456" s="821" t="str">
        <f>Bioresources!D34</f>
        <v>CR3021BIOM</v>
      </c>
      <c r="D5456" s="1882"/>
      <c r="E5456" s="1628" t="s">
        <v>8339</v>
      </c>
      <c r="F5456" s="1882"/>
      <c r="G5456" s="1882" t="str">
        <f>IF(Bioresources!G34="","##BLANK",Bioresources!G34)</f>
        <v>##BLANK</v>
      </c>
    </row>
    <row r="5457" spans="2:7">
      <c r="B5457" s="821" t="str">
        <f>Bioresources!D37</f>
        <v>CR3022BIOM</v>
      </c>
      <c r="D5457" s="1882"/>
      <c r="E5457" s="1628" t="s">
        <v>8339</v>
      </c>
      <c r="F5457" s="1882"/>
      <c r="G5457" s="1882" t="str">
        <f>IF(Bioresources!G37="","##BLANK",Bioresources!G37)</f>
        <v>##BLANK</v>
      </c>
    </row>
    <row r="5458" spans="2:7">
      <c r="B5458" s="821" t="str">
        <f>Bioresources!D38</f>
        <v>CR3023BIOM</v>
      </c>
      <c r="D5458" s="1882"/>
      <c r="E5458" s="1628" t="s">
        <v>8339</v>
      </c>
      <c r="F5458" s="1882"/>
      <c r="G5458" s="1882" t="str">
        <f>IF(Bioresources!G38="","##BLANK",Bioresources!G38)</f>
        <v>##BLANK</v>
      </c>
    </row>
    <row r="5459" spans="2:7">
      <c r="B5459" s="821" t="str">
        <f>Bioresources!D39</f>
        <v>CR3024BIOM</v>
      </c>
      <c r="D5459" s="1882"/>
      <c r="E5459" s="1628" t="s">
        <v>8339</v>
      </c>
      <c r="F5459" s="1882"/>
      <c r="G5459" s="1882" t="str">
        <f>IF(Bioresources!G39="","##BLANK",Bioresources!G39)</f>
        <v>##BLANK</v>
      </c>
    </row>
    <row r="5460" spans="2:7">
      <c r="B5460" s="821" t="str">
        <f>Bioresources!D40</f>
        <v>CR3025BIOM</v>
      </c>
      <c r="D5460" s="1882"/>
      <c r="E5460" s="1628" t="s">
        <v>8339</v>
      </c>
      <c r="F5460" s="1882"/>
      <c r="G5460" s="1882" t="str">
        <f>IF(Bioresources!G40="","##BLANK",Bioresources!G40)</f>
        <v>##BLANK</v>
      </c>
    </row>
    <row r="5461" spans="2:7">
      <c r="B5461" s="821" t="str">
        <f>Bioresources!D41</f>
        <v>CR3026BIOM</v>
      </c>
      <c r="D5461" s="1882"/>
      <c r="E5461" s="1628" t="s">
        <v>8339</v>
      </c>
      <c r="F5461" s="1882"/>
      <c r="G5461" s="1882" t="str">
        <f>IF(Bioresources!G41="","##BLANK",Bioresources!G41)</f>
        <v>##BLANK</v>
      </c>
    </row>
  </sheetData>
  <sheetProtection algorithmName="SHA-512" hashValue="MO4+jnRwC/wghOSlCaoYevye5+pytEBgsgWxZGBIziAkK1eXW2NblO0kOvJvLAaQh30dcipRLkfWYvjYHkSkqQ==" saltValue="JYBTkOKCcsHsbDHIMeHZDg==" spinCount="100000" sheet="1" objects="1" scenarios="1"/>
  <conditionalFormatting sqref="C1572">
    <cfRule type="duplicateValues" dxfId="24" priority="75"/>
  </conditionalFormatting>
  <conditionalFormatting sqref="D2478:D2729">
    <cfRule type="duplicateValues" dxfId="23" priority="67"/>
  </conditionalFormatting>
  <conditionalFormatting sqref="B2280:B2293 B1081:B1086 B1:B436 B1074:B1078 B438:B458 B674:B1072 B653:B672 B632:B651 B611:B630 B589:B609 B567:B587 B545:B565 B524:B543 B503:B522 B482:B501 B460:B480 B2295:B5043 B1088:B2278 B5045:B5065 B5067:B5087 B5089:B1048576">
    <cfRule type="duplicateValues" dxfId="22" priority="22"/>
  </conditionalFormatting>
  <conditionalFormatting sqref="D2032:D2035 D682:D683 D690 C1459:C1463 H1459:H1477 H1481 H1488:H1489 H2461 H2463 H2456 H2451 H2446 H5017:H5025 F5153:F5165 F5192:F5200 C5436:D5461">
    <cfRule type="duplicateValues" dxfId="21" priority="2518"/>
  </conditionalFormatting>
  <conditionalFormatting sqref="B1073">
    <cfRule type="duplicateValues" dxfId="20" priority="21"/>
  </conditionalFormatting>
  <conditionalFormatting sqref="B1080">
    <cfRule type="duplicateValues" dxfId="19" priority="20"/>
  </conditionalFormatting>
  <conditionalFormatting sqref="B1079">
    <cfRule type="duplicateValues" dxfId="18" priority="19"/>
  </conditionalFormatting>
  <conditionalFormatting sqref="B1087">
    <cfRule type="duplicateValues" dxfId="17" priority="18"/>
  </conditionalFormatting>
  <conditionalFormatting sqref="B437">
    <cfRule type="duplicateValues" dxfId="16" priority="17"/>
  </conditionalFormatting>
  <conditionalFormatting sqref="B673">
    <cfRule type="duplicateValues" dxfId="15" priority="16"/>
  </conditionalFormatting>
  <conditionalFormatting sqref="B652">
    <cfRule type="duplicateValues" dxfId="14" priority="15"/>
  </conditionalFormatting>
  <conditionalFormatting sqref="B631">
    <cfRule type="duplicateValues" dxfId="13" priority="14"/>
  </conditionalFormatting>
  <conditionalFormatting sqref="B610">
    <cfRule type="duplicateValues" dxfId="12" priority="13"/>
  </conditionalFormatting>
  <conditionalFormatting sqref="B588">
    <cfRule type="duplicateValues" dxfId="11" priority="12"/>
  </conditionalFormatting>
  <conditionalFormatting sqref="B566">
    <cfRule type="duplicateValues" dxfId="10" priority="11"/>
  </conditionalFormatting>
  <conditionalFormatting sqref="B544">
    <cfRule type="duplicateValues" dxfId="9" priority="10"/>
  </conditionalFormatting>
  <conditionalFormatting sqref="B523">
    <cfRule type="duplicateValues" dxfId="8" priority="9"/>
  </conditionalFormatting>
  <conditionalFormatting sqref="B502">
    <cfRule type="duplicateValues" dxfId="7" priority="8"/>
  </conditionalFormatting>
  <conditionalFormatting sqref="B481">
    <cfRule type="duplicateValues" dxfId="6" priority="7"/>
  </conditionalFormatting>
  <conditionalFormatting sqref="B459">
    <cfRule type="duplicateValues" dxfId="5" priority="6"/>
  </conditionalFormatting>
  <conditionalFormatting sqref="B2279">
    <cfRule type="duplicateValues" dxfId="4" priority="5"/>
  </conditionalFormatting>
  <conditionalFormatting sqref="B2294">
    <cfRule type="duplicateValues" dxfId="3" priority="4"/>
  </conditionalFormatting>
  <conditionalFormatting sqref="B5044:B5046">
    <cfRule type="duplicateValues" dxfId="2" priority="3"/>
  </conditionalFormatting>
  <conditionalFormatting sqref="B5066:B5068">
    <cfRule type="duplicateValues" dxfId="1" priority="2"/>
  </conditionalFormatting>
  <conditionalFormatting sqref="B5088:B5090">
    <cfRule type="duplicateValues" dxfId="0" priority="1"/>
  </conditionalFormatting>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&amp;K8573622019-20 annual performance report tables&amp;R&amp;G</oddHeader>
    <oddFooter>&amp;L&amp;9&amp;K857362&amp;A&amp;R&amp;9&amp;K857362Printed: &amp;D &amp;T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3">
    <tabColor rgb="FFFF0000"/>
    <pageSetUpPr fitToPage="1"/>
  </sheetPr>
  <dimension ref="A1:G178"/>
  <sheetViews>
    <sheetView workbookViewId="0"/>
  </sheetViews>
  <sheetFormatPr defaultColWidth="12.58203125" defaultRowHeight="14"/>
  <cols>
    <col min="3" max="3" width="16.5" customWidth="1"/>
    <col min="4" max="4" width="51.08203125" customWidth="1"/>
    <col min="6" max="6" width="21.08203125" customWidth="1"/>
    <col min="7" max="7" width="15.08203125" customWidth="1"/>
  </cols>
  <sheetData>
    <row r="1" spans="1:7">
      <c r="A1" s="1882"/>
      <c r="B1" s="1882"/>
      <c r="C1" s="1882"/>
      <c r="D1" s="1882" t="str">
        <f>"APR_2019-20_"&amp;INDEX(Lists!$C$4:$C$26,MATCH(Validation!$B$3,Lists!$B$4:$B$26,0))</f>
        <v>APR_2019-20_brl</v>
      </c>
      <c r="E1" s="1882"/>
      <c r="F1" s="1882"/>
      <c r="G1" s="1882"/>
    </row>
    <row r="2" spans="1:7">
      <c r="A2" s="1882" t="s">
        <v>8335</v>
      </c>
      <c r="B2" s="1882" t="s">
        <v>8340</v>
      </c>
      <c r="C2" s="1882" t="s">
        <v>8336</v>
      </c>
      <c r="D2" s="1882" t="s">
        <v>3980</v>
      </c>
      <c r="E2" s="1882" t="s">
        <v>2308</v>
      </c>
      <c r="F2" s="1882" t="s">
        <v>8337</v>
      </c>
      <c r="G2" s="1882" t="s">
        <v>2448</v>
      </c>
    </row>
    <row r="3" spans="1:7" ht="14.5" thickBot="1">
      <c r="A3" s="1882"/>
      <c r="B3" s="1882"/>
      <c r="C3" s="1882"/>
      <c r="D3" s="1882"/>
      <c r="E3" s="1882"/>
      <c r="F3" s="1882"/>
      <c r="G3" s="1882"/>
    </row>
    <row r="4" spans="1:7">
      <c r="A4" s="1618" t="str">
        <f>INDEX(Lists!$C$4:$C$26,MATCH(Validation!$B$3,Lists!$B$4:$B$26,0))</f>
        <v>brl</v>
      </c>
      <c r="B4" s="1619" t="str">
        <f>INDEX(Lists!$C$4:$C$26,MATCH(Validation!$B$3,Lists!$B$4:$B$26,0))&amp;"_AIM01"</f>
        <v>brl_AIM01</v>
      </c>
      <c r="C4" s="1619" t="s">
        <v>2374</v>
      </c>
      <c r="D4" s="1619" t="s">
        <v>8341</v>
      </c>
      <c r="E4" s="1619" t="s">
        <v>3513</v>
      </c>
      <c r="F4" s="1619" t="s">
        <v>8339</v>
      </c>
      <c r="G4" s="1625" t="str">
        <f>IF('3C'!C5="","##BLANK",'3C'!C5)</f>
        <v>##BLANK</v>
      </c>
    </row>
    <row r="5" spans="1:7">
      <c r="A5" s="1620" t="str">
        <f>INDEX(Lists!$C$4:$C$26,MATCH(Validation!$B$3,Lists!$B$4:$B$26,0))</f>
        <v>brl</v>
      </c>
      <c r="B5" s="821" t="str">
        <f>INDEX(Lists!$C$4:$C$26,MATCH(Validation!$B$3,Lists!$B$4:$B$26,0))&amp;"_AIM02"</f>
        <v>brl_AIM02</v>
      </c>
      <c r="C5" s="821" t="s">
        <v>2374</v>
      </c>
      <c r="D5" s="821" t="s">
        <v>8341</v>
      </c>
      <c r="E5" s="821" t="s">
        <v>3513</v>
      </c>
      <c r="F5" s="821" t="s">
        <v>8339</v>
      </c>
      <c r="G5" s="1624" t="str">
        <f>IF('3C'!C6="","##BLANK",'3C'!C6)</f>
        <v>##BLANK</v>
      </c>
    </row>
    <row r="6" spans="1:7">
      <c r="A6" s="1620" t="str">
        <f>INDEX(Lists!$C$4:$C$26,MATCH(Validation!$B$3,Lists!$B$4:$B$26,0))</f>
        <v>brl</v>
      </c>
      <c r="B6" s="821" t="str">
        <f>INDEX(Lists!$C$4:$C$26,MATCH(Validation!$B$3,Lists!$B$4:$B$26,0))&amp;"_AIM03"</f>
        <v>brl_AIM03</v>
      </c>
      <c r="C6" s="821" t="s">
        <v>2374</v>
      </c>
      <c r="D6" s="821" t="s">
        <v>8341</v>
      </c>
      <c r="E6" s="821" t="s">
        <v>3513</v>
      </c>
      <c r="F6" s="821" t="s">
        <v>8339</v>
      </c>
      <c r="G6" s="1624" t="str">
        <f>IF('3C'!C7="","##BLANK",'3C'!C7)</f>
        <v>##BLANK</v>
      </c>
    </row>
    <row r="7" spans="1:7">
      <c r="A7" s="1620" t="str">
        <f>INDEX(Lists!$C$4:$C$26,MATCH(Validation!$B$3,Lists!$B$4:$B$26,0))</f>
        <v>brl</v>
      </c>
      <c r="B7" s="821" t="str">
        <f>INDEX(Lists!$C$4:$C$26,MATCH(Validation!$B$3,Lists!$B$4:$B$26,0))&amp;"_AIM04"</f>
        <v>brl_AIM04</v>
      </c>
      <c r="C7" s="821" t="s">
        <v>2374</v>
      </c>
      <c r="D7" s="821" t="s">
        <v>8341</v>
      </c>
      <c r="E7" s="821" t="s">
        <v>3513</v>
      </c>
      <c r="F7" s="821" t="s">
        <v>8339</v>
      </c>
      <c r="G7" s="1624" t="str">
        <f>IF('3C'!C8="","##BLANK",'3C'!C8)</f>
        <v>##BLANK</v>
      </c>
    </row>
    <row r="8" spans="1:7">
      <c r="A8" s="1620" t="str">
        <f>INDEX(Lists!$C$4:$C$26,MATCH(Validation!$B$3,Lists!$B$4:$B$26,0))</f>
        <v>brl</v>
      </c>
      <c r="B8" s="821" t="str">
        <f>INDEX(Lists!$C$4:$C$26,MATCH(Validation!$B$3,Lists!$B$4:$B$26,0))&amp;"_AIM05"</f>
        <v>brl_AIM05</v>
      </c>
      <c r="C8" s="821" t="s">
        <v>2374</v>
      </c>
      <c r="D8" s="821" t="s">
        <v>8341</v>
      </c>
      <c r="E8" s="821" t="s">
        <v>3513</v>
      </c>
      <c r="F8" s="821" t="s">
        <v>8339</v>
      </c>
      <c r="G8" s="1624" t="str">
        <f>IF('3C'!C9="","##BLANK",'3C'!C9)</f>
        <v>##BLANK</v>
      </c>
    </row>
    <row r="9" spans="1:7">
      <c r="A9" s="1620" t="str">
        <f>INDEX(Lists!$C$4:$C$26,MATCH(Validation!$B$3,Lists!$B$4:$B$26,0))</f>
        <v>brl</v>
      </c>
      <c r="B9" s="821" t="str">
        <f>INDEX(Lists!$C$4:$C$26,MATCH(Validation!$B$3,Lists!$B$4:$B$26,0))&amp;"_AIM06"</f>
        <v>brl_AIM06</v>
      </c>
      <c r="C9" s="821" t="s">
        <v>2374</v>
      </c>
      <c r="D9" s="821" t="s">
        <v>8341</v>
      </c>
      <c r="E9" s="821" t="s">
        <v>3513</v>
      </c>
      <c r="F9" s="821" t="s">
        <v>8339</v>
      </c>
      <c r="G9" s="1624" t="str">
        <f>IF('3C'!C10="","##BLANK",'3C'!C10)</f>
        <v>##BLANK</v>
      </c>
    </row>
    <row r="10" spans="1:7">
      <c r="A10" s="1620" t="str">
        <f>INDEX(Lists!$C$4:$C$26,MATCH(Validation!$B$3,Lists!$B$4:$B$26,0))</f>
        <v>brl</v>
      </c>
      <c r="B10" s="821" t="str">
        <f>INDEX(Lists!$C$4:$C$26,MATCH(Validation!$B$3,Lists!$B$4:$B$26,0))&amp;"_AIM07"</f>
        <v>brl_AIM07</v>
      </c>
      <c r="C10" s="821" t="s">
        <v>2374</v>
      </c>
      <c r="D10" s="821" t="s">
        <v>8341</v>
      </c>
      <c r="E10" s="821" t="s">
        <v>3513</v>
      </c>
      <c r="F10" s="821" t="s">
        <v>8339</v>
      </c>
      <c r="G10" s="1624" t="str">
        <f>IF('3C'!C11="","##BLANK",'3C'!C11)</f>
        <v>##BLANK</v>
      </c>
    </row>
    <row r="11" spans="1:7">
      <c r="A11" s="1620" t="str">
        <f>INDEX(Lists!$C$4:$C$26,MATCH(Validation!$B$3,Lists!$B$4:$B$26,0))</f>
        <v>brl</v>
      </c>
      <c r="B11" s="821" t="str">
        <f>INDEX(Lists!$C$4:$C$26,MATCH(Validation!$B$3,Lists!$B$4:$B$26,0))&amp;"_AIM08"</f>
        <v>brl_AIM08</v>
      </c>
      <c r="C11" s="821" t="s">
        <v>2374</v>
      </c>
      <c r="D11" s="821" t="s">
        <v>8341</v>
      </c>
      <c r="E11" s="821" t="s">
        <v>3513</v>
      </c>
      <c r="F11" s="821" t="s">
        <v>8339</v>
      </c>
      <c r="G11" s="1624" t="str">
        <f>IF('3C'!C12="","##BLANK",'3C'!C12)</f>
        <v>##BLANK</v>
      </c>
    </row>
    <row r="12" spans="1:7">
      <c r="A12" s="1620" t="str">
        <f>INDEX(Lists!$C$4:$C$26,MATCH(Validation!$B$3,Lists!$B$4:$B$26,0))</f>
        <v>brl</v>
      </c>
      <c r="B12" s="821" t="str">
        <f>INDEX(Lists!$C$4:$C$26,MATCH(Validation!$B$3,Lists!$B$4:$B$26,0))&amp;"_AIM09"</f>
        <v>brl_AIM09</v>
      </c>
      <c r="C12" s="821" t="s">
        <v>2374</v>
      </c>
      <c r="D12" s="821" t="s">
        <v>8341</v>
      </c>
      <c r="E12" s="821" t="s">
        <v>3513</v>
      </c>
      <c r="F12" s="821" t="s">
        <v>8339</v>
      </c>
      <c r="G12" s="1624" t="str">
        <f>IF('3C'!C13="","##BLANK",'3C'!C13)</f>
        <v>##BLANK</v>
      </c>
    </row>
    <row r="13" spans="1:7">
      <c r="A13" s="1620" t="str">
        <f>INDEX(Lists!$C$4:$C$26,MATCH(Validation!$B$3,Lists!$B$4:$B$26,0))</f>
        <v>brl</v>
      </c>
      <c r="B13" s="821" t="str">
        <f>INDEX(Lists!$C$4:$C$26,MATCH(Validation!$B$3,Lists!$B$4:$B$26,0))&amp;"_AIM10"</f>
        <v>brl_AIM10</v>
      </c>
      <c r="C13" s="821" t="s">
        <v>2374</v>
      </c>
      <c r="D13" s="821" t="s">
        <v>8341</v>
      </c>
      <c r="E13" s="821" t="s">
        <v>3513</v>
      </c>
      <c r="F13" s="821" t="s">
        <v>8339</v>
      </c>
      <c r="G13" s="1624" t="str">
        <f>IF('3C'!C14="","##BLANK",'3C'!C14)</f>
        <v>##BLANK</v>
      </c>
    </row>
    <row r="14" spans="1:7">
      <c r="A14" s="1620" t="str">
        <f>INDEX(Lists!$C$4:$C$26,MATCH(Validation!$B$3,Lists!$B$4:$B$26,0))</f>
        <v>brl</v>
      </c>
      <c r="B14" s="821" t="str">
        <f>INDEX(Lists!$C$4:$C$26,MATCH(Validation!$B$3,Lists!$B$4:$B$26,0))&amp;"_AIM11"</f>
        <v>brl_AIM11</v>
      </c>
      <c r="C14" s="821" t="s">
        <v>2374</v>
      </c>
      <c r="D14" s="821" t="s">
        <v>8341</v>
      </c>
      <c r="E14" s="821" t="s">
        <v>3513</v>
      </c>
      <c r="F14" s="821" t="s">
        <v>8339</v>
      </c>
      <c r="G14" s="1624" t="str">
        <f>IF('3C'!C15="","##BLANK",'3C'!C15)</f>
        <v>##BLANK</v>
      </c>
    </row>
    <row r="15" spans="1:7">
      <c r="A15" s="1620" t="str">
        <f>INDEX(Lists!$C$4:$C$26,MATCH(Validation!$B$3,Lists!$B$4:$B$26,0))</f>
        <v>brl</v>
      </c>
      <c r="B15" s="821" t="str">
        <f>INDEX(Lists!$C$4:$C$26,MATCH(Validation!$B$3,Lists!$B$4:$B$26,0))&amp;"_AIM12"</f>
        <v>brl_AIM12</v>
      </c>
      <c r="C15" s="821" t="s">
        <v>2374</v>
      </c>
      <c r="D15" s="821" t="s">
        <v>8341</v>
      </c>
      <c r="E15" s="821" t="s">
        <v>3513</v>
      </c>
      <c r="F15" s="821" t="s">
        <v>8339</v>
      </c>
      <c r="G15" s="1624" t="str">
        <f>IF('3C'!C16="","##BLANK",'3C'!C16)</f>
        <v>##BLANK</v>
      </c>
    </row>
    <row r="16" spans="1:7">
      <c r="A16" s="1620" t="str">
        <f>INDEX(Lists!$C$4:$C$26,MATCH(Validation!$B$3,Lists!$B$4:$B$26,0))</f>
        <v>brl</v>
      </c>
      <c r="B16" s="821" t="str">
        <f>INDEX(Lists!$C$4:$C$26,MATCH(Validation!$B$3,Lists!$B$4:$B$26,0))&amp;"_AIM13"</f>
        <v>brl_AIM13</v>
      </c>
      <c r="C16" s="821" t="s">
        <v>2374</v>
      </c>
      <c r="D16" s="821" t="s">
        <v>8341</v>
      </c>
      <c r="E16" s="821" t="s">
        <v>3513</v>
      </c>
      <c r="F16" s="821" t="s">
        <v>8339</v>
      </c>
      <c r="G16" s="1624" t="str">
        <f>IF('3C'!C17="","##BLANK",'3C'!C17)</f>
        <v>##BLANK</v>
      </c>
    </row>
    <row r="17" spans="1:7">
      <c r="A17" s="1620" t="str">
        <f>INDEX(Lists!$C$4:$C$26,MATCH(Validation!$B$3,Lists!$B$4:$B$26,0))</f>
        <v>brl</v>
      </c>
      <c r="B17" s="821" t="str">
        <f>INDEX(Lists!$C$4:$C$26,MATCH(Validation!$B$3,Lists!$B$4:$B$26,0))&amp;"_AIM14"</f>
        <v>brl_AIM14</v>
      </c>
      <c r="C17" s="821" t="s">
        <v>2374</v>
      </c>
      <c r="D17" s="821" t="s">
        <v>8341</v>
      </c>
      <c r="E17" s="821" t="s">
        <v>3513</v>
      </c>
      <c r="F17" s="821" t="s">
        <v>8339</v>
      </c>
      <c r="G17" s="1624" t="str">
        <f>IF('3C'!C18="","##BLANK",'3C'!C18)</f>
        <v>##BLANK</v>
      </c>
    </row>
    <row r="18" spans="1:7">
      <c r="A18" s="1620" t="str">
        <f>INDEX(Lists!$C$4:$C$26,MATCH(Validation!$B$3,Lists!$B$4:$B$26,0))</f>
        <v>brl</v>
      </c>
      <c r="B18" s="821" t="str">
        <f>INDEX(Lists!$C$4:$C$26,MATCH(Validation!$B$3,Lists!$B$4:$B$26,0))&amp;"_AIM15"</f>
        <v>brl_AIM15</v>
      </c>
      <c r="C18" s="821" t="s">
        <v>2374</v>
      </c>
      <c r="D18" s="821" t="s">
        <v>8341</v>
      </c>
      <c r="E18" s="821" t="s">
        <v>3513</v>
      </c>
      <c r="F18" s="821" t="s">
        <v>8339</v>
      </c>
      <c r="G18" s="1624" t="str">
        <f>IF('3C'!C19="","##BLANK",'3C'!C19)</f>
        <v>##BLANK</v>
      </c>
    </row>
    <row r="19" spans="1:7">
      <c r="A19" s="1620" t="str">
        <f>INDEX(Lists!$C$4:$C$26,MATCH(Validation!$B$3,Lists!$B$4:$B$26,0))</f>
        <v>brl</v>
      </c>
      <c r="B19" s="821" t="str">
        <f>INDEX(Lists!$C$4:$C$26,MATCH(Validation!$B$3,Lists!$B$4:$B$26,0))&amp;"_AIM16"</f>
        <v>brl_AIM16</v>
      </c>
      <c r="C19" s="821" t="s">
        <v>2374</v>
      </c>
      <c r="D19" s="821" t="s">
        <v>8341</v>
      </c>
      <c r="E19" s="821" t="s">
        <v>3513</v>
      </c>
      <c r="F19" s="821" t="s">
        <v>8339</v>
      </c>
      <c r="G19" s="1624" t="str">
        <f>IF('3C'!C20="","##BLANK",'3C'!C20)</f>
        <v>##BLANK</v>
      </c>
    </row>
    <row r="20" spans="1:7">
      <c r="A20" s="1620" t="str">
        <f>INDEX(Lists!$C$4:$C$26,MATCH(Validation!$B$3,Lists!$B$4:$B$26,0))</f>
        <v>brl</v>
      </c>
      <c r="B20" s="821" t="str">
        <f>INDEX(Lists!$C$4:$C$26,MATCH(Validation!$B$3,Lists!$B$4:$B$26,0))&amp;"_AIM17"</f>
        <v>brl_AIM17</v>
      </c>
      <c r="C20" s="821" t="s">
        <v>2374</v>
      </c>
      <c r="D20" s="821" t="s">
        <v>8341</v>
      </c>
      <c r="E20" s="821" t="s">
        <v>3513</v>
      </c>
      <c r="F20" s="821" t="s">
        <v>8339</v>
      </c>
      <c r="G20" s="1624" t="str">
        <f>IF('3C'!C21="","##BLANK",'3C'!C21)</f>
        <v>##BLANK</v>
      </c>
    </row>
    <row r="21" spans="1:7">
      <c r="A21" s="1620" t="str">
        <f>INDEX(Lists!$C$4:$C$26,MATCH(Validation!$B$3,Lists!$B$4:$B$26,0))</f>
        <v>brl</v>
      </c>
      <c r="B21" s="821" t="str">
        <f>INDEX(Lists!$C$4:$C$26,MATCH(Validation!$B$3,Lists!$B$4:$B$26,0))&amp;"_AIM18"</f>
        <v>brl_AIM18</v>
      </c>
      <c r="C21" s="821" t="s">
        <v>2374</v>
      </c>
      <c r="D21" s="821" t="s">
        <v>8341</v>
      </c>
      <c r="E21" s="821" t="s">
        <v>3513</v>
      </c>
      <c r="F21" s="821" t="s">
        <v>8339</v>
      </c>
      <c r="G21" s="1624" t="str">
        <f>IF('3C'!C22="","##BLANK",'3C'!C22)</f>
        <v>##BLANK</v>
      </c>
    </row>
    <row r="22" spans="1:7">
      <c r="A22" s="1620" t="str">
        <f>INDEX(Lists!$C$4:$C$26,MATCH(Validation!$B$3,Lists!$B$4:$B$26,0))</f>
        <v>brl</v>
      </c>
      <c r="B22" s="821" t="str">
        <f>INDEX(Lists!$C$4:$C$26,MATCH(Validation!$B$3,Lists!$B$4:$B$26,0))&amp;"_AIM19"</f>
        <v>brl_AIM19</v>
      </c>
      <c r="C22" s="821" t="s">
        <v>2374</v>
      </c>
      <c r="D22" s="821" t="s">
        <v>8341</v>
      </c>
      <c r="E22" s="821" t="s">
        <v>3513</v>
      </c>
      <c r="F22" s="821" t="s">
        <v>8339</v>
      </c>
      <c r="G22" s="1624" t="str">
        <f>IF('3C'!C23="","##BLANK",'3C'!C23)</f>
        <v>##BLANK</v>
      </c>
    </row>
    <row r="23" spans="1:7">
      <c r="A23" s="1620" t="str">
        <f>INDEX(Lists!$C$4:$C$26,MATCH(Validation!$B$3,Lists!$B$4:$B$26,0))</f>
        <v>brl</v>
      </c>
      <c r="B23" s="821" t="str">
        <f>INDEX(Lists!$C$4:$C$26,MATCH(Validation!$B$3,Lists!$B$4:$B$26,0))&amp;"_AIM20"</f>
        <v>brl_AIM20</v>
      </c>
      <c r="C23" s="821" t="s">
        <v>2374</v>
      </c>
      <c r="D23" s="821" t="s">
        <v>8341</v>
      </c>
      <c r="E23" s="821" t="s">
        <v>3513</v>
      </c>
      <c r="F23" s="821" t="s">
        <v>8339</v>
      </c>
      <c r="G23" s="1624" t="str">
        <f>IF('3C'!C24="","##BLANK",'3C'!C24)</f>
        <v>##BLANK</v>
      </c>
    </row>
    <row r="24" spans="1:7">
      <c r="A24" s="1620" t="str">
        <f>INDEX(Lists!$C$4:$C$26,MATCH(Validation!$B$3,Lists!$B$4:$B$26,0))</f>
        <v>brl</v>
      </c>
      <c r="B24" s="821" t="str">
        <f>INDEX(Lists!$C$4:$C$26,MATCH(Validation!$B$3,Lists!$B$4:$B$26,0))&amp;"_AIM21"</f>
        <v>brl_AIM21</v>
      </c>
      <c r="C24" s="821" t="s">
        <v>2374</v>
      </c>
      <c r="D24" s="821" t="s">
        <v>8341</v>
      </c>
      <c r="E24" s="821" t="s">
        <v>3513</v>
      </c>
      <c r="F24" s="821" t="s">
        <v>8339</v>
      </c>
      <c r="G24" s="1624" t="str">
        <f>IF('3C'!C25="","##BLANK",'3C'!C25)</f>
        <v>##BLANK</v>
      </c>
    </row>
    <row r="25" spans="1:7">
      <c r="A25" s="1620" t="str">
        <f>INDEX(Lists!$C$4:$C$26,MATCH(Validation!$B$3,Lists!$B$4:$B$26,0))</f>
        <v>brl</v>
      </c>
      <c r="B25" s="821" t="str">
        <f>INDEX(Lists!$C$4:$C$26,MATCH(Validation!$B$3,Lists!$B$4:$B$26,0))&amp;"_AIM22"</f>
        <v>brl_AIM22</v>
      </c>
      <c r="C25" s="821" t="s">
        <v>2374</v>
      </c>
      <c r="D25" s="821" t="s">
        <v>8341</v>
      </c>
      <c r="E25" s="821" t="s">
        <v>3513</v>
      </c>
      <c r="F25" s="821" t="s">
        <v>8339</v>
      </c>
      <c r="G25" s="1624" t="str">
        <f>IF('3C'!C26="","##BLANK",'3C'!C26)</f>
        <v>##BLANK</v>
      </c>
    </row>
    <row r="26" spans="1:7">
      <c r="A26" s="1620" t="str">
        <f>INDEX(Lists!$C$4:$C$26,MATCH(Validation!$B$3,Lists!$B$4:$B$26,0))</f>
        <v>brl</v>
      </c>
      <c r="B26" s="821" t="str">
        <f>INDEX(Lists!$C$4:$C$26,MATCH(Validation!$B$3,Lists!$B$4:$B$26,0))&amp;"_AIM23"</f>
        <v>brl_AIM23</v>
      </c>
      <c r="C26" s="821" t="s">
        <v>2374</v>
      </c>
      <c r="D26" s="821" t="s">
        <v>8341</v>
      </c>
      <c r="E26" s="821" t="s">
        <v>3513</v>
      </c>
      <c r="F26" s="821" t="s">
        <v>8339</v>
      </c>
      <c r="G26" s="1624" t="str">
        <f>IF('3C'!C27="","##BLANK",'3C'!C27)</f>
        <v>##BLANK</v>
      </c>
    </row>
    <row r="27" spans="1:7">
      <c r="A27" s="1620" t="str">
        <f>INDEX(Lists!$C$4:$C$26,MATCH(Validation!$B$3,Lists!$B$4:$B$26,0))</f>
        <v>brl</v>
      </c>
      <c r="B27" s="821" t="str">
        <f>INDEX(Lists!$C$4:$C$26,MATCH(Validation!$B$3,Lists!$B$4:$B$26,0))&amp;"_AIM24"</f>
        <v>brl_AIM24</v>
      </c>
      <c r="C27" s="821" t="s">
        <v>2374</v>
      </c>
      <c r="D27" s="821" t="s">
        <v>8341</v>
      </c>
      <c r="E27" s="821" t="s">
        <v>3513</v>
      </c>
      <c r="F27" s="821" t="s">
        <v>8339</v>
      </c>
      <c r="G27" s="1624" t="str">
        <f>IF('3C'!C28="","##BLANK",'3C'!C28)</f>
        <v>##BLANK</v>
      </c>
    </row>
    <row r="28" spans="1:7" ht="14.5" thickBot="1">
      <c r="A28" s="1621" t="str">
        <f>INDEX(Lists!$C$4:$C$26,MATCH(Validation!$B$3,Lists!$B$4:$B$26,0))</f>
        <v>brl</v>
      </c>
      <c r="B28" s="1622" t="str">
        <f>INDEX(Lists!$C$4:$C$26,MATCH(Validation!$B$3,Lists!$B$4:$B$26,0))&amp;"_AIM25"</f>
        <v>brl_AIM25</v>
      </c>
      <c r="C28" s="1622" t="s">
        <v>2374</v>
      </c>
      <c r="D28" s="1622" t="s">
        <v>8341</v>
      </c>
      <c r="E28" s="1622" t="s">
        <v>3513</v>
      </c>
      <c r="F28" s="1622" t="s">
        <v>8339</v>
      </c>
      <c r="G28" s="1626" t="str">
        <f>IF('3C'!C29="","##BLANK",'3C'!C29)</f>
        <v>##BLANK</v>
      </c>
    </row>
    <row r="29" spans="1:7">
      <c r="A29" s="1618" t="str">
        <f>INDEX(Lists!$C$4:$C$26,MATCH(Validation!$B$3,Lists!$B$4:$B$26,0))</f>
        <v>brl</v>
      </c>
      <c r="B29" s="1619" t="str">
        <f>INDEX(Lists!$C$4:$C$26,MATCH(Validation!$B$3,Lists!$B$4:$B$26,0))&amp;"_AIM01"</f>
        <v>brl_AIM01</v>
      </c>
      <c r="C29" s="1619" t="s">
        <v>2375</v>
      </c>
      <c r="D29" s="1619" t="s">
        <v>2310</v>
      </c>
      <c r="E29" s="1619" t="s">
        <v>764</v>
      </c>
      <c r="F29" s="1619" t="s">
        <v>8339</v>
      </c>
      <c r="G29" s="1624" t="str">
        <f>IF('3C'!D5="","##BLANK",'3C'!D5)</f>
        <v>##BLANK</v>
      </c>
    </row>
    <row r="30" spans="1:7">
      <c r="A30" s="1620" t="str">
        <f>INDEX(Lists!$C$4:$C$26,MATCH(Validation!$B$3,Lists!$B$4:$B$26,0))</f>
        <v>brl</v>
      </c>
      <c r="B30" s="821" t="str">
        <f>INDEX(Lists!$C$4:$C$26,MATCH(Validation!$B$3,Lists!$B$4:$B$26,0))&amp;"_AIM02"</f>
        <v>brl_AIM02</v>
      </c>
      <c r="C30" s="821" t="s">
        <v>2375</v>
      </c>
      <c r="D30" s="821" t="s">
        <v>2310</v>
      </c>
      <c r="E30" s="821" t="s">
        <v>764</v>
      </c>
      <c r="F30" s="821" t="s">
        <v>8339</v>
      </c>
      <c r="G30" s="1624" t="str">
        <f>IF('3C'!D6="","##BLANK",'3C'!D6)</f>
        <v>##BLANK</v>
      </c>
    </row>
    <row r="31" spans="1:7">
      <c r="A31" s="1620" t="str">
        <f>INDEX(Lists!$C$4:$C$26,MATCH(Validation!$B$3,Lists!$B$4:$B$26,0))</f>
        <v>brl</v>
      </c>
      <c r="B31" s="821" t="str">
        <f>INDEX(Lists!$C$4:$C$26,MATCH(Validation!$B$3,Lists!$B$4:$B$26,0))&amp;"_AIM03"</f>
        <v>brl_AIM03</v>
      </c>
      <c r="C31" s="821" t="s">
        <v>2375</v>
      </c>
      <c r="D31" s="821" t="s">
        <v>2310</v>
      </c>
      <c r="E31" s="821" t="s">
        <v>764</v>
      </c>
      <c r="F31" s="821" t="s">
        <v>8339</v>
      </c>
      <c r="G31" s="1624" t="str">
        <f>IF('3C'!D7="","##BLANK",'3C'!D7)</f>
        <v>##BLANK</v>
      </c>
    </row>
    <row r="32" spans="1:7">
      <c r="A32" s="1620" t="str">
        <f>INDEX(Lists!$C$4:$C$26,MATCH(Validation!$B$3,Lists!$B$4:$B$26,0))</f>
        <v>brl</v>
      </c>
      <c r="B32" s="821" t="str">
        <f>INDEX(Lists!$C$4:$C$26,MATCH(Validation!$B$3,Lists!$B$4:$B$26,0))&amp;"_AIM04"</f>
        <v>brl_AIM04</v>
      </c>
      <c r="C32" s="821" t="s">
        <v>2375</v>
      </c>
      <c r="D32" s="821" t="s">
        <v>2310</v>
      </c>
      <c r="E32" s="821" t="s">
        <v>764</v>
      </c>
      <c r="F32" s="821" t="s">
        <v>8339</v>
      </c>
      <c r="G32" s="1624" t="str">
        <f>IF('3C'!D8="","##BLANK",'3C'!D8)</f>
        <v>##BLANK</v>
      </c>
    </row>
    <row r="33" spans="1:7">
      <c r="A33" s="1620" t="str">
        <f>INDEX(Lists!$C$4:$C$26,MATCH(Validation!$B$3,Lists!$B$4:$B$26,0))</f>
        <v>brl</v>
      </c>
      <c r="B33" s="821" t="str">
        <f>INDEX(Lists!$C$4:$C$26,MATCH(Validation!$B$3,Lists!$B$4:$B$26,0))&amp;"_AIM05"</f>
        <v>brl_AIM05</v>
      </c>
      <c r="C33" s="821" t="s">
        <v>2375</v>
      </c>
      <c r="D33" s="821" t="s">
        <v>2310</v>
      </c>
      <c r="E33" s="821" t="s">
        <v>764</v>
      </c>
      <c r="F33" s="821" t="s">
        <v>8339</v>
      </c>
      <c r="G33" s="1624" t="str">
        <f>IF('3C'!D9="","##BLANK",'3C'!D9)</f>
        <v>##BLANK</v>
      </c>
    </row>
    <row r="34" spans="1:7">
      <c r="A34" s="1620" t="str">
        <f>INDEX(Lists!$C$4:$C$26,MATCH(Validation!$B$3,Lists!$B$4:$B$26,0))</f>
        <v>brl</v>
      </c>
      <c r="B34" s="821" t="str">
        <f>INDEX(Lists!$C$4:$C$26,MATCH(Validation!$B$3,Lists!$B$4:$B$26,0))&amp;"_AIM06"</f>
        <v>brl_AIM06</v>
      </c>
      <c r="C34" s="821" t="s">
        <v>2375</v>
      </c>
      <c r="D34" s="821" t="s">
        <v>2310</v>
      </c>
      <c r="E34" s="821" t="s">
        <v>764</v>
      </c>
      <c r="F34" s="821" t="s">
        <v>8339</v>
      </c>
      <c r="G34" s="1624" t="str">
        <f>IF('3C'!D10="","##BLANK",'3C'!D10)</f>
        <v>##BLANK</v>
      </c>
    </row>
    <row r="35" spans="1:7">
      <c r="A35" s="1620" t="str">
        <f>INDEX(Lists!$C$4:$C$26,MATCH(Validation!$B$3,Lists!$B$4:$B$26,0))</f>
        <v>brl</v>
      </c>
      <c r="B35" s="821" t="str">
        <f>INDEX(Lists!$C$4:$C$26,MATCH(Validation!$B$3,Lists!$B$4:$B$26,0))&amp;"_AIM07"</f>
        <v>brl_AIM07</v>
      </c>
      <c r="C35" s="821" t="s">
        <v>2375</v>
      </c>
      <c r="D35" s="821" t="s">
        <v>2310</v>
      </c>
      <c r="E35" s="821" t="s">
        <v>764</v>
      </c>
      <c r="F35" s="821" t="s">
        <v>8339</v>
      </c>
      <c r="G35" s="1624" t="str">
        <f>IF('3C'!D11="","##BLANK",'3C'!D11)</f>
        <v>##BLANK</v>
      </c>
    </row>
    <row r="36" spans="1:7">
      <c r="A36" s="1620" t="str">
        <f>INDEX(Lists!$C$4:$C$26,MATCH(Validation!$B$3,Lists!$B$4:$B$26,0))</f>
        <v>brl</v>
      </c>
      <c r="B36" s="821" t="str">
        <f>INDEX(Lists!$C$4:$C$26,MATCH(Validation!$B$3,Lists!$B$4:$B$26,0))&amp;"_AIM08"</f>
        <v>brl_AIM08</v>
      </c>
      <c r="C36" s="821" t="s">
        <v>2375</v>
      </c>
      <c r="D36" s="821" t="s">
        <v>2310</v>
      </c>
      <c r="E36" s="821" t="s">
        <v>764</v>
      </c>
      <c r="F36" s="821" t="s">
        <v>8339</v>
      </c>
      <c r="G36" s="1624" t="str">
        <f>IF('3C'!D12="","##BLANK",'3C'!D12)</f>
        <v>##BLANK</v>
      </c>
    </row>
    <row r="37" spans="1:7">
      <c r="A37" s="1620" t="str">
        <f>INDEX(Lists!$C$4:$C$26,MATCH(Validation!$B$3,Lists!$B$4:$B$26,0))</f>
        <v>brl</v>
      </c>
      <c r="B37" s="821" t="str">
        <f>INDEX(Lists!$C$4:$C$26,MATCH(Validation!$B$3,Lists!$B$4:$B$26,0))&amp;"_AIM09"</f>
        <v>brl_AIM09</v>
      </c>
      <c r="C37" s="821" t="s">
        <v>2375</v>
      </c>
      <c r="D37" s="821" t="s">
        <v>2310</v>
      </c>
      <c r="E37" s="821" t="s">
        <v>764</v>
      </c>
      <c r="F37" s="821" t="s">
        <v>8339</v>
      </c>
      <c r="G37" s="1624" t="str">
        <f>IF('3C'!D13="","##BLANK",'3C'!D13)</f>
        <v>##BLANK</v>
      </c>
    </row>
    <row r="38" spans="1:7">
      <c r="A38" s="1620" t="str">
        <f>INDEX(Lists!$C$4:$C$26,MATCH(Validation!$B$3,Lists!$B$4:$B$26,0))</f>
        <v>brl</v>
      </c>
      <c r="B38" s="821" t="str">
        <f>INDEX(Lists!$C$4:$C$26,MATCH(Validation!$B$3,Lists!$B$4:$B$26,0))&amp;"_AIM10"</f>
        <v>brl_AIM10</v>
      </c>
      <c r="C38" s="821" t="s">
        <v>2375</v>
      </c>
      <c r="D38" s="821" t="s">
        <v>2310</v>
      </c>
      <c r="E38" s="821" t="s">
        <v>764</v>
      </c>
      <c r="F38" s="821" t="s">
        <v>8339</v>
      </c>
      <c r="G38" s="1624" t="str">
        <f>IF('3C'!D14="","##BLANK",'3C'!D14)</f>
        <v>##BLANK</v>
      </c>
    </row>
    <row r="39" spans="1:7">
      <c r="A39" s="1620" t="str">
        <f>INDEX(Lists!$C$4:$C$26,MATCH(Validation!$B$3,Lists!$B$4:$B$26,0))</f>
        <v>brl</v>
      </c>
      <c r="B39" s="821" t="str">
        <f>INDEX(Lists!$C$4:$C$26,MATCH(Validation!$B$3,Lists!$B$4:$B$26,0))&amp;"_AIM11"</f>
        <v>brl_AIM11</v>
      </c>
      <c r="C39" s="821" t="s">
        <v>2375</v>
      </c>
      <c r="D39" s="821" t="s">
        <v>2310</v>
      </c>
      <c r="E39" s="821" t="s">
        <v>764</v>
      </c>
      <c r="F39" s="821" t="s">
        <v>8339</v>
      </c>
      <c r="G39" s="1624" t="str">
        <f>IF('3C'!D15="","##BLANK",'3C'!D15)</f>
        <v>##BLANK</v>
      </c>
    </row>
    <row r="40" spans="1:7">
      <c r="A40" s="1620" t="str">
        <f>INDEX(Lists!$C$4:$C$26,MATCH(Validation!$B$3,Lists!$B$4:$B$26,0))</f>
        <v>brl</v>
      </c>
      <c r="B40" s="821" t="str">
        <f>INDEX(Lists!$C$4:$C$26,MATCH(Validation!$B$3,Lists!$B$4:$B$26,0))&amp;"_AIM12"</f>
        <v>brl_AIM12</v>
      </c>
      <c r="C40" s="821" t="s">
        <v>2375</v>
      </c>
      <c r="D40" s="821" t="s">
        <v>2310</v>
      </c>
      <c r="E40" s="821" t="s">
        <v>764</v>
      </c>
      <c r="F40" s="821" t="s">
        <v>8339</v>
      </c>
      <c r="G40" s="1624" t="str">
        <f>IF('3C'!D16="","##BLANK",'3C'!D16)</f>
        <v>##BLANK</v>
      </c>
    </row>
    <row r="41" spans="1:7">
      <c r="A41" s="1620" t="str">
        <f>INDEX(Lists!$C$4:$C$26,MATCH(Validation!$B$3,Lists!$B$4:$B$26,0))</f>
        <v>brl</v>
      </c>
      <c r="B41" s="821" t="str">
        <f>INDEX(Lists!$C$4:$C$26,MATCH(Validation!$B$3,Lists!$B$4:$B$26,0))&amp;"_AIM13"</f>
        <v>brl_AIM13</v>
      </c>
      <c r="C41" s="821" t="s">
        <v>2375</v>
      </c>
      <c r="D41" s="821" t="s">
        <v>2310</v>
      </c>
      <c r="E41" s="821" t="s">
        <v>764</v>
      </c>
      <c r="F41" s="821" t="s">
        <v>8339</v>
      </c>
      <c r="G41" s="1624" t="str">
        <f>IF('3C'!D17="","##BLANK",'3C'!D17)</f>
        <v>##BLANK</v>
      </c>
    </row>
    <row r="42" spans="1:7">
      <c r="A42" s="1620" t="str">
        <f>INDEX(Lists!$C$4:$C$26,MATCH(Validation!$B$3,Lists!$B$4:$B$26,0))</f>
        <v>brl</v>
      </c>
      <c r="B42" s="821" t="str">
        <f>INDEX(Lists!$C$4:$C$26,MATCH(Validation!$B$3,Lists!$B$4:$B$26,0))&amp;"_AIM14"</f>
        <v>brl_AIM14</v>
      </c>
      <c r="C42" s="821" t="s">
        <v>2375</v>
      </c>
      <c r="D42" s="821" t="s">
        <v>2310</v>
      </c>
      <c r="E42" s="821" t="s">
        <v>764</v>
      </c>
      <c r="F42" s="821" t="s">
        <v>8339</v>
      </c>
      <c r="G42" s="1624" t="str">
        <f>IF('3C'!D18="","##BLANK",'3C'!D18)</f>
        <v>##BLANK</v>
      </c>
    </row>
    <row r="43" spans="1:7">
      <c r="A43" s="1620" t="str">
        <f>INDEX(Lists!$C$4:$C$26,MATCH(Validation!$B$3,Lists!$B$4:$B$26,0))</f>
        <v>brl</v>
      </c>
      <c r="B43" s="821" t="str">
        <f>INDEX(Lists!$C$4:$C$26,MATCH(Validation!$B$3,Lists!$B$4:$B$26,0))&amp;"_AIM15"</f>
        <v>brl_AIM15</v>
      </c>
      <c r="C43" s="821" t="s">
        <v>2375</v>
      </c>
      <c r="D43" s="821" t="s">
        <v>2310</v>
      </c>
      <c r="E43" s="821" t="s">
        <v>764</v>
      </c>
      <c r="F43" s="821" t="s">
        <v>8339</v>
      </c>
      <c r="G43" s="1624" t="str">
        <f>IF('3C'!D19="","##BLANK",'3C'!D19)</f>
        <v>##BLANK</v>
      </c>
    </row>
    <row r="44" spans="1:7">
      <c r="A44" s="1620" t="str">
        <f>INDEX(Lists!$C$4:$C$26,MATCH(Validation!$B$3,Lists!$B$4:$B$26,0))</f>
        <v>brl</v>
      </c>
      <c r="B44" s="821" t="str">
        <f>INDEX(Lists!$C$4:$C$26,MATCH(Validation!$B$3,Lists!$B$4:$B$26,0))&amp;"_AIM16"</f>
        <v>brl_AIM16</v>
      </c>
      <c r="C44" s="821" t="s">
        <v>2375</v>
      </c>
      <c r="D44" s="821" t="s">
        <v>2310</v>
      </c>
      <c r="E44" s="821" t="s">
        <v>764</v>
      </c>
      <c r="F44" s="821" t="s">
        <v>8339</v>
      </c>
      <c r="G44" s="1624" t="str">
        <f>IF('3C'!D20="","##BLANK",'3C'!D20)</f>
        <v>##BLANK</v>
      </c>
    </row>
    <row r="45" spans="1:7">
      <c r="A45" s="1620" t="str">
        <f>INDEX(Lists!$C$4:$C$26,MATCH(Validation!$B$3,Lists!$B$4:$B$26,0))</f>
        <v>brl</v>
      </c>
      <c r="B45" s="821" t="str">
        <f>INDEX(Lists!$C$4:$C$26,MATCH(Validation!$B$3,Lists!$B$4:$B$26,0))&amp;"_AIM17"</f>
        <v>brl_AIM17</v>
      </c>
      <c r="C45" s="821" t="s">
        <v>2375</v>
      </c>
      <c r="D45" s="821" t="s">
        <v>2310</v>
      </c>
      <c r="E45" s="821" t="s">
        <v>764</v>
      </c>
      <c r="F45" s="821" t="s">
        <v>8339</v>
      </c>
      <c r="G45" s="1624" t="str">
        <f>IF('3C'!D21="","##BLANK",'3C'!D21)</f>
        <v>##BLANK</v>
      </c>
    </row>
    <row r="46" spans="1:7">
      <c r="A46" s="1620" t="str">
        <f>INDEX(Lists!$C$4:$C$26,MATCH(Validation!$B$3,Lists!$B$4:$B$26,0))</f>
        <v>brl</v>
      </c>
      <c r="B46" s="821" t="str">
        <f>INDEX(Lists!$C$4:$C$26,MATCH(Validation!$B$3,Lists!$B$4:$B$26,0))&amp;"_AIM18"</f>
        <v>brl_AIM18</v>
      </c>
      <c r="C46" s="821" t="s">
        <v>2375</v>
      </c>
      <c r="D46" s="821" t="s">
        <v>2310</v>
      </c>
      <c r="E46" s="821" t="s">
        <v>764</v>
      </c>
      <c r="F46" s="821" t="s">
        <v>8339</v>
      </c>
      <c r="G46" s="1624" t="str">
        <f>IF('3C'!D22="","##BLANK",'3C'!D22)</f>
        <v>##BLANK</v>
      </c>
    </row>
    <row r="47" spans="1:7">
      <c r="A47" s="1620" t="str">
        <f>INDEX(Lists!$C$4:$C$26,MATCH(Validation!$B$3,Lists!$B$4:$B$26,0))</f>
        <v>brl</v>
      </c>
      <c r="B47" s="821" t="str">
        <f>INDEX(Lists!$C$4:$C$26,MATCH(Validation!$B$3,Lists!$B$4:$B$26,0))&amp;"_AIM19"</f>
        <v>brl_AIM19</v>
      </c>
      <c r="C47" s="821" t="s">
        <v>2375</v>
      </c>
      <c r="D47" s="821" t="s">
        <v>2310</v>
      </c>
      <c r="E47" s="821" t="s">
        <v>764</v>
      </c>
      <c r="F47" s="821" t="s">
        <v>8339</v>
      </c>
      <c r="G47" s="1624" t="str">
        <f>IF('3C'!D23="","##BLANK",'3C'!D23)</f>
        <v>##BLANK</v>
      </c>
    </row>
    <row r="48" spans="1:7">
      <c r="A48" s="1620" t="str">
        <f>INDEX(Lists!$C$4:$C$26,MATCH(Validation!$B$3,Lists!$B$4:$B$26,0))</f>
        <v>brl</v>
      </c>
      <c r="B48" s="821" t="str">
        <f>INDEX(Lists!$C$4:$C$26,MATCH(Validation!$B$3,Lists!$B$4:$B$26,0))&amp;"_AIM20"</f>
        <v>brl_AIM20</v>
      </c>
      <c r="C48" s="821" t="s">
        <v>2375</v>
      </c>
      <c r="D48" s="821" t="s">
        <v>2310</v>
      </c>
      <c r="E48" s="821" t="s">
        <v>764</v>
      </c>
      <c r="F48" s="821" t="s">
        <v>8339</v>
      </c>
      <c r="G48" s="1624" t="str">
        <f>IF('3C'!D24="","##BLANK",'3C'!D24)</f>
        <v>##BLANK</v>
      </c>
    </row>
    <row r="49" spans="1:7">
      <c r="A49" s="1620" t="str">
        <f>INDEX(Lists!$C$4:$C$26,MATCH(Validation!$B$3,Lists!$B$4:$B$26,0))</f>
        <v>brl</v>
      </c>
      <c r="B49" s="821" t="str">
        <f>INDEX(Lists!$C$4:$C$26,MATCH(Validation!$B$3,Lists!$B$4:$B$26,0))&amp;"_AIM21"</f>
        <v>brl_AIM21</v>
      </c>
      <c r="C49" s="821" t="s">
        <v>2375</v>
      </c>
      <c r="D49" s="821" t="s">
        <v>2310</v>
      </c>
      <c r="E49" s="821" t="s">
        <v>764</v>
      </c>
      <c r="F49" s="821" t="s">
        <v>8339</v>
      </c>
      <c r="G49" s="1624" t="str">
        <f>IF('3C'!D25="","##BLANK",'3C'!D25)</f>
        <v>##BLANK</v>
      </c>
    </row>
    <row r="50" spans="1:7">
      <c r="A50" s="1620" t="str">
        <f>INDEX(Lists!$C$4:$C$26,MATCH(Validation!$B$3,Lists!$B$4:$B$26,0))</f>
        <v>brl</v>
      </c>
      <c r="B50" s="821" t="str">
        <f>INDEX(Lists!$C$4:$C$26,MATCH(Validation!$B$3,Lists!$B$4:$B$26,0))&amp;"_AIM22"</f>
        <v>brl_AIM22</v>
      </c>
      <c r="C50" s="821" t="s">
        <v>2375</v>
      </c>
      <c r="D50" s="821" t="s">
        <v>2310</v>
      </c>
      <c r="E50" s="821" t="s">
        <v>764</v>
      </c>
      <c r="F50" s="821" t="s">
        <v>8339</v>
      </c>
      <c r="G50" s="1624" t="str">
        <f>IF('3C'!D26="","##BLANK",'3C'!D26)</f>
        <v>##BLANK</v>
      </c>
    </row>
    <row r="51" spans="1:7">
      <c r="A51" s="1620" t="str">
        <f>INDEX(Lists!$C$4:$C$26,MATCH(Validation!$B$3,Lists!$B$4:$B$26,0))</f>
        <v>brl</v>
      </c>
      <c r="B51" s="821" t="str">
        <f>INDEX(Lists!$C$4:$C$26,MATCH(Validation!$B$3,Lists!$B$4:$B$26,0))&amp;"_AIM23"</f>
        <v>brl_AIM23</v>
      </c>
      <c r="C51" s="821" t="s">
        <v>2375</v>
      </c>
      <c r="D51" s="821" t="s">
        <v>2310</v>
      </c>
      <c r="E51" s="821" t="s">
        <v>764</v>
      </c>
      <c r="F51" s="821" t="s">
        <v>8339</v>
      </c>
      <c r="G51" s="1624" t="str">
        <f>IF('3C'!D27="","##BLANK",'3C'!D27)</f>
        <v>##BLANK</v>
      </c>
    </row>
    <row r="52" spans="1:7">
      <c r="A52" s="1620" t="str">
        <f>INDEX(Lists!$C$4:$C$26,MATCH(Validation!$B$3,Lists!$B$4:$B$26,0))</f>
        <v>brl</v>
      </c>
      <c r="B52" s="821" t="str">
        <f>INDEX(Lists!$C$4:$C$26,MATCH(Validation!$B$3,Lists!$B$4:$B$26,0))&amp;"_AIM24"</f>
        <v>brl_AIM24</v>
      </c>
      <c r="C52" s="821" t="s">
        <v>2375</v>
      </c>
      <c r="D52" s="821" t="s">
        <v>2310</v>
      </c>
      <c r="E52" s="821" t="s">
        <v>764</v>
      </c>
      <c r="F52" s="821" t="s">
        <v>8339</v>
      </c>
      <c r="G52" s="1624" t="str">
        <f>IF('3C'!D28="","##BLANK",'3C'!D28)</f>
        <v>##BLANK</v>
      </c>
    </row>
    <row r="53" spans="1:7" ht="14.5" thickBot="1">
      <c r="A53" s="1621" t="str">
        <f>INDEX(Lists!$C$4:$C$26,MATCH(Validation!$B$3,Lists!$B$4:$B$26,0))</f>
        <v>brl</v>
      </c>
      <c r="B53" s="1622" t="str">
        <f>INDEX(Lists!$C$4:$C$26,MATCH(Validation!$B$3,Lists!$B$4:$B$26,0))&amp;"_AIM25"</f>
        <v>brl_AIM25</v>
      </c>
      <c r="C53" s="1622" t="s">
        <v>2375</v>
      </c>
      <c r="D53" s="1622" t="s">
        <v>2310</v>
      </c>
      <c r="E53" s="821" t="s">
        <v>764</v>
      </c>
      <c r="F53" s="1622" t="s">
        <v>8339</v>
      </c>
      <c r="G53" s="1624" t="str">
        <f>IF('3C'!D29="","##BLANK",'3C'!D29)</f>
        <v>##BLANK</v>
      </c>
    </row>
    <row r="54" spans="1:7">
      <c r="A54" s="1618" t="str">
        <f>INDEX(Lists!$C$4:$C$26,MATCH(Validation!$B$3,Lists!$B$4:$B$26,0))</f>
        <v>brl</v>
      </c>
      <c r="B54" s="1619" t="str">
        <f>INDEX(Lists!$C$4:$C$26,MATCH(Validation!$B$3,Lists!$B$4:$B$26,0))&amp;"_AIM01"</f>
        <v>brl_AIM01</v>
      </c>
      <c r="C54" s="1619" t="s">
        <v>2376</v>
      </c>
      <c r="D54" s="1619" t="s">
        <v>8342</v>
      </c>
      <c r="E54" s="1619" t="s">
        <v>2820</v>
      </c>
      <c r="F54" s="1619" t="s">
        <v>8339</v>
      </c>
      <c r="G54" s="1625" t="str">
        <f>IF('3C'!E5="","##BLANK",'3C'!E5)</f>
        <v>##BLANK</v>
      </c>
    </row>
    <row r="55" spans="1:7">
      <c r="A55" s="1620" t="str">
        <f>INDEX(Lists!$C$4:$C$26,MATCH(Validation!$B$3,Lists!$B$4:$B$26,0))</f>
        <v>brl</v>
      </c>
      <c r="B55" s="821" t="str">
        <f>INDEX(Lists!$C$4:$C$26,MATCH(Validation!$B$3,Lists!$B$4:$B$26,0))&amp;"_AIM02"</f>
        <v>brl_AIM02</v>
      </c>
      <c r="C55" s="821" t="s">
        <v>2376</v>
      </c>
      <c r="D55" s="821" t="s">
        <v>8342</v>
      </c>
      <c r="E55" s="821" t="s">
        <v>2820</v>
      </c>
      <c r="F55" s="821" t="s">
        <v>8339</v>
      </c>
      <c r="G55" s="1624" t="str">
        <f>IF('3C'!E6="","##BLANK",'3C'!E6)</f>
        <v>##BLANK</v>
      </c>
    </row>
    <row r="56" spans="1:7">
      <c r="A56" s="1620" t="str">
        <f>INDEX(Lists!$C$4:$C$26,MATCH(Validation!$B$3,Lists!$B$4:$B$26,0))</f>
        <v>brl</v>
      </c>
      <c r="B56" s="821" t="str">
        <f>INDEX(Lists!$C$4:$C$26,MATCH(Validation!$B$3,Lists!$B$4:$B$26,0))&amp;"_AIM03"</f>
        <v>brl_AIM03</v>
      </c>
      <c r="C56" s="821" t="s">
        <v>2376</v>
      </c>
      <c r="D56" s="821" t="s">
        <v>8342</v>
      </c>
      <c r="E56" s="821" t="s">
        <v>2820</v>
      </c>
      <c r="F56" s="821" t="s">
        <v>8339</v>
      </c>
      <c r="G56" s="1624" t="str">
        <f>IF('3C'!E7="","##BLANK",'3C'!E7)</f>
        <v>##BLANK</v>
      </c>
    </row>
    <row r="57" spans="1:7">
      <c r="A57" s="1620" t="str">
        <f>INDEX(Lists!$C$4:$C$26,MATCH(Validation!$B$3,Lists!$B$4:$B$26,0))</f>
        <v>brl</v>
      </c>
      <c r="B57" s="821" t="str">
        <f>INDEX(Lists!$C$4:$C$26,MATCH(Validation!$B$3,Lists!$B$4:$B$26,0))&amp;"_AIM04"</f>
        <v>brl_AIM04</v>
      </c>
      <c r="C57" s="821" t="s">
        <v>2376</v>
      </c>
      <c r="D57" s="821" t="s">
        <v>8342</v>
      </c>
      <c r="E57" s="821" t="s">
        <v>2820</v>
      </c>
      <c r="F57" s="821" t="s">
        <v>8339</v>
      </c>
      <c r="G57" s="1624" t="str">
        <f>IF('3C'!E8="","##BLANK",'3C'!E8)</f>
        <v>##BLANK</v>
      </c>
    </row>
    <row r="58" spans="1:7">
      <c r="A58" s="1620" t="str">
        <f>INDEX(Lists!$C$4:$C$26,MATCH(Validation!$B$3,Lists!$B$4:$B$26,0))</f>
        <v>brl</v>
      </c>
      <c r="B58" s="821" t="str">
        <f>INDEX(Lists!$C$4:$C$26,MATCH(Validation!$B$3,Lists!$B$4:$B$26,0))&amp;"_AIM05"</f>
        <v>brl_AIM05</v>
      </c>
      <c r="C58" s="821" t="s">
        <v>2376</v>
      </c>
      <c r="D58" s="821" t="s">
        <v>8342</v>
      </c>
      <c r="E58" s="821" t="s">
        <v>2820</v>
      </c>
      <c r="F58" s="821" t="s">
        <v>8339</v>
      </c>
      <c r="G58" s="1624" t="str">
        <f>IF('3C'!E9="","##BLANK",'3C'!E9)</f>
        <v>##BLANK</v>
      </c>
    </row>
    <row r="59" spans="1:7">
      <c r="A59" s="1620" t="str">
        <f>INDEX(Lists!$C$4:$C$26,MATCH(Validation!$B$3,Lists!$B$4:$B$26,0))</f>
        <v>brl</v>
      </c>
      <c r="B59" s="821" t="str">
        <f>INDEX(Lists!$C$4:$C$26,MATCH(Validation!$B$3,Lists!$B$4:$B$26,0))&amp;"_AIM06"</f>
        <v>brl_AIM06</v>
      </c>
      <c r="C59" s="821" t="s">
        <v>2376</v>
      </c>
      <c r="D59" s="821" t="s">
        <v>8342</v>
      </c>
      <c r="E59" s="821" t="s">
        <v>2820</v>
      </c>
      <c r="F59" s="821" t="s">
        <v>8339</v>
      </c>
      <c r="G59" s="1624" t="str">
        <f>IF('3C'!E10="","##BLANK",'3C'!E10)</f>
        <v>##BLANK</v>
      </c>
    </row>
    <row r="60" spans="1:7">
      <c r="A60" s="1620" t="str">
        <f>INDEX(Lists!$C$4:$C$26,MATCH(Validation!$B$3,Lists!$B$4:$B$26,0))</f>
        <v>brl</v>
      </c>
      <c r="B60" s="821" t="str">
        <f>INDEX(Lists!$C$4:$C$26,MATCH(Validation!$B$3,Lists!$B$4:$B$26,0))&amp;"_AIM07"</f>
        <v>brl_AIM07</v>
      </c>
      <c r="C60" s="821" t="s">
        <v>2376</v>
      </c>
      <c r="D60" s="821" t="s">
        <v>8342</v>
      </c>
      <c r="E60" s="821" t="s">
        <v>2820</v>
      </c>
      <c r="F60" s="821" t="s">
        <v>8339</v>
      </c>
      <c r="G60" s="1624" t="str">
        <f>IF('3C'!E11="","##BLANK",'3C'!E11)</f>
        <v>##BLANK</v>
      </c>
    </row>
    <row r="61" spans="1:7">
      <c r="A61" s="1620" t="str">
        <f>INDEX(Lists!$C$4:$C$26,MATCH(Validation!$B$3,Lists!$B$4:$B$26,0))</f>
        <v>brl</v>
      </c>
      <c r="B61" s="821" t="str">
        <f>INDEX(Lists!$C$4:$C$26,MATCH(Validation!$B$3,Lists!$B$4:$B$26,0))&amp;"_AIM08"</f>
        <v>brl_AIM08</v>
      </c>
      <c r="C61" s="821" t="s">
        <v>2376</v>
      </c>
      <c r="D61" s="821" t="s">
        <v>8342</v>
      </c>
      <c r="E61" s="821" t="s">
        <v>2820</v>
      </c>
      <c r="F61" s="821" t="s">
        <v>8339</v>
      </c>
      <c r="G61" s="1624" t="str">
        <f>IF('3C'!E12="","##BLANK",'3C'!E12)</f>
        <v>##BLANK</v>
      </c>
    </row>
    <row r="62" spans="1:7">
      <c r="A62" s="1620" t="str">
        <f>INDEX(Lists!$C$4:$C$26,MATCH(Validation!$B$3,Lists!$B$4:$B$26,0))</f>
        <v>brl</v>
      </c>
      <c r="B62" s="821" t="str">
        <f>INDEX(Lists!$C$4:$C$26,MATCH(Validation!$B$3,Lists!$B$4:$B$26,0))&amp;"_AIM09"</f>
        <v>brl_AIM09</v>
      </c>
      <c r="C62" s="821" t="s">
        <v>2376</v>
      </c>
      <c r="D62" s="821" t="s">
        <v>8342</v>
      </c>
      <c r="E62" s="821" t="s">
        <v>2820</v>
      </c>
      <c r="F62" s="821" t="s">
        <v>8339</v>
      </c>
      <c r="G62" s="1624" t="str">
        <f>IF('3C'!E13="","##BLANK",'3C'!E13)</f>
        <v>##BLANK</v>
      </c>
    </row>
    <row r="63" spans="1:7">
      <c r="A63" s="1620" t="str">
        <f>INDEX(Lists!$C$4:$C$26,MATCH(Validation!$B$3,Lists!$B$4:$B$26,0))</f>
        <v>brl</v>
      </c>
      <c r="B63" s="821" t="str">
        <f>INDEX(Lists!$C$4:$C$26,MATCH(Validation!$B$3,Lists!$B$4:$B$26,0))&amp;"_AIM10"</f>
        <v>brl_AIM10</v>
      </c>
      <c r="C63" s="821" t="s">
        <v>2376</v>
      </c>
      <c r="D63" s="821" t="s">
        <v>8342</v>
      </c>
      <c r="E63" s="821" t="s">
        <v>2820</v>
      </c>
      <c r="F63" s="821" t="s">
        <v>8339</v>
      </c>
      <c r="G63" s="1624" t="str">
        <f>IF('3C'!E14="","##BLANK",'3C'!E14)</f>
        <v>##BLANK</v>
      </c>
    </row>
    <row r="64" spans="1:7">
      <c r="A64" s="1620" t="str">
        <f>INDEX(Lists!$C$4:$C$26,MATCH(Validation!$B$3,Lists!$B$4:$B$26,0))</f>
        <v>brl</v>
      </c>
      <c r="B64" s="821" t="str">
        <f>INDEX(Lists!$C$4:$C$26,MATCH(Validation!$B$3,Lists!$B$4:$B$26,0))&amp;"_AIM11"</f>
        <v>brl_AIM11</v>
      </c>
      <c r="C64" s="821" t="s">
        <v>2376</v>
      </c>
      <c r="D64" s="821" t="s">
        <v>8342</v>
      </c>
      <c r="E64" s="821" t="s">
        <v>2820</v>
      </c>
      <c r="F64" s="821" t="s">
        <v>8339</v>
      </c>
      <c r="G64" s="1624" t="str">
        <f>IF('3C'!E15="","##BLANK",'3C'!E15)</f>
        <v>##BLANK</v>
      </c>
    </row>
    <row r="65" spans="1:7">
      <c r="A65" s="1620" t="str">
        <f>INDEX(Lists!$C$4:$C$26,MATCH(Validation!$B$3,Lists!$B$4:$B$26,0))</f>
        <v>brl</v>
      </c>
      <c r="B65" s="821" t="str">
        <f>INDEX(Lists!$C$4:$C$26,MATCH(Validation!$B$3,Lists!$B$4:$B$26,0))&amp;"_AIM12"</f>
        <v>brl_AIM12</v>
      </c>
      <c r="C65" s="821" t="s">
        <v>2376</v>
      </c>
      <c r="D65" s="821" t="s">
        <v>8342</v>
      </c>
      <c r="E65" s="821" t="s">
        <v>2820</v>
      </c>
      <c r="F65" s="821" t="s">
        <v>8339</v>
      </c>
      <c r="G65" s="1624" t="str">
        <f>IF('3C'!E16="","##BLANK",'3C'!E16)</f>
        <v>##BLANK</v>
      </c>
    </row>
    <row r="66" spans="1:7">
      <c r="A66" s="1620" t="str">
        <f>INDEX(Lists!$C$4:$C$26,MATCH(Validation!$B$3,Lists!$B$4:$B$26,0))</f>
        <v>brl</v>
      </c>
      <c r="B66" s="821" t="str">
        <f>INDEX(Lists!$C$4:$C$26,MATCH(Validation!$B$3,Lists!$B$4:$B$26,0))&amp;"_AIM13"</f>
        <v>brl_AIM13</v>
      </c>
      <c r="C66" s="821" t="s">
        <v>2376</v>
      </c>
      <c r="D66" s="821" t="s">
        <v>8342</v>
      </c>
      <c r="E66" s="821" t="s">
        <v>2820</v>
      </c>
      <c r="F66" s="821" t="s">
        <v>8339</v>
      </c>
      <c r="G66" s="1624" t="str">
        <f>IF('3C'!E17="","##BLANK",'3C'!E17)</f>
        <v>##BLANK</v>
      </c>
    </row>
    <row r="67" spans="1:7">
      <c r="A67" s="1620" t="str">
        <f>INDEX(Lists!$C$4:$C$26,MATCH(Validation!$B$3,Lists!$B$4:$B$26,0))</f>
        <v>brl</v>
      </c>
      <c r="B67" s="821" t="str">
        <f>INDEX(Lists!$C$4:$C$26,MATCH(Validation!$B$3,Lists!$B$4:$B$26,0))&amp;"_AIM14"</f>
        <v>brl_AIM14</v>
      </c>
      <c r="C67" s="821" t="s">
        <v>2376</v>
      </c>
      <c r="D67" s="821" t="s">
        <v>8342</v>
      </c>
      <c r="E67" s="821" t="s">
        <v>2820</v>
      </c>
      <c r="F67" s="821" t="s">
        <v>8339</v>
      </c>
      <c r="G67" s="1624" t="str">
        <f>IF('3C'!E18="","##BLANK",'3C'!E18)</f>
        <v>##BLANK</v>
      </c>
    </row>
    <row r="68" spans="1:7">
      <c r="A68" s="1620" t="str">
        <f>INDEX(Lists!$C$4:$C$26,MATCH(Validation!$B$3,Lists!$B$4:$B$26,0))</f>
        <v>brl</v>
      </c>
      <c r="B68" s="821" t="str">
        <f>INDEX(Lists!$C$4:$C$26,MATCH(Validation!$B$3,Lists!$B$4:$B$26,0))&amp;"_AIM15"</f>
        <v>brl_AIM15</v>
      </c>
      <c r="C68" s="821" t="s">
        <v>2376</v>
      </c>
      <c r="D68" s="821" t="s">
        <v>8342</v>
      </c>
      <c r="E68" s="821" t="s">
        <v>2820</v>
      </c>
      <c r="F68" s="821" t="s">
        <v>8339</v>
      </c>
      <c r="G68" s="1624" t="str">
        <f>IF('3C'!E19="","##BLANK",'3C'!E19)</f>
        <v>##BLANK</v>
      </c>
    </row>
    <row r="69" spans="1:7">
      <c r="A69" s="1620" t="str">
        <f>INDEX(Lists!$C$4:$C$26,MATCH(Validation!$B$3,Lists!$B$4:$B$26,0))</f>
        <v>brl</v>
      </c>
      <c r="B69" s="821" t="str">
        <f>INDEX(Lists!$C$4:$C$26,MATCH(Validation!$B$3,Lists!$B$4:$B$26,0))&amp;"_AIM16"</f>
        <v>brl_AIM16</v>
      </c>
      <c r="C69" s="821" t="s">
        <v>2376</v>
      </c>
      <c r="D69" s="821" t="s">
        <v>8342</v>
      </c>
      <c r="E69" s="821" t="s">
        <v>2820</v>
      </c>
      <c r="F69" s="821" t="s">
        <v>8339</v>
      </c>
      <c r="G69" s="1624" t="str">
        <f>IF('3C'!E20="","##BLANK",'3C'!E20)</f>
        <v>##BLANK</v>
      </c>
    </row>
    <row r="70" spans="1:7">
      <c r="A70" s="1620" t="str">
        <f>INDEX(Lists!$C$4:$C$26,MATCH(Validation!$B$3,Lists!$B$4:$B$26,0))</f>
        <v>brl</v>
      </c>
      <c r="B70" s="821" t="str">
        <f>INDEX(Lists!$C$4:$C$26,MATCH(Validation!$B$3,Lists!$B$4:$B$26,0))&amp;"_AIM17"</f>
        <v>brl_AIM17</v>
      </c>
      <c r="C70" s="821" t="s">
        <v>2376</v>
      </c>
      <c r="D70" s="821" t="s">
        <v>8342</v>
      </c>
      <c r="E70" s="821" t="s">
        <v>2820</v>
      </c>
      <c r="F70" s="821" t="s">
        <v>8339</v>
      </c>
      <c r="G70" s="1624" t="str">
        <f>IF('3C'!E21="","##BLANK",'3C'!E21)</f>
        <v>##BLANK</v>
      </c>
    </row>
    <row r="71" spans="1:7">
      <c r="A71" s="1620" t="str">
        <f>INDEX(Lists!$C$4:$C$26,MATCH(Validation!$B$3,Lists!$B$4:$B$26,0))</f>
        <v>brl</v>
      </c>
      <c r="B71" s="821" t="str">
        <f>INDEX(Lists!$C$4:$C$26,MATCH(Validation!$B$3,Lists!$B$4:$B$26,0))&amp;"_AIM18"</f>
        <v>brl_AIM18</v>
      </c>
      <c r="C71" s="821" t="s">
        <v>2376</v>
      </c>
      <c r="D71" s="821" t="s">
        <v>8342</v>
      </c>
      <c r="E71" s="821" t="s">
        <v>2820</v>
      </c>
      <c r="F71" s="821" t="s">
        <v>8339</v>
      </c>
      <c r="G71" s="1624" t="str">
        <f>IF('3C'!E22="","##BLANK",'3C'!E22)</f>
        <v>##BLANK</v>
      </c>
    </row>
    <row r="72" spans="1:7">
      <c r="A72" s="1620" t="str">
        <f>INDEX(Lists!$C$4:$C$26,MATCH(Validation!$B$3,Lists!$B$4:$B$26,0))</f>
        <v>brl</v>
      </c>
      <c r="B72" s="821" t="str">
        <f>INDEX(Lists!$C$4:$C$26,MATCH(Validation!$B$3,Lists!$B$4:$B$26,0))&amp;"_AIM19"</f>
        <v>brl_AIM19</v>
      </c>
      <c r="C72" s="821" t="s">
        <v>2376</v>
      </c>
      <c r="D72" s="821" t="s">
        <v>8342</v>
      </c>
      <c r="E72" s="821" t="s">
        <v>2820</v>
      </c>
      <c r="F72" s="821" t="s">
        <v>8339</v>
      </c>
      <c r="G72" s="1624" t="str">
        <f>IF('3C'!E23="","##BLANK",'3C'!E23)</f>
        <v>##BLANK</v>
      </c>
    </row>
    <row r="73" spans="1:7">
      <c r="A73" s="1620" t="str">
        <f>INDEX(Lists!$C$4:$C$26,MATCH(Validation!$B$3,Lists!$B$4:$B$26,0))</f>
        <v>brl</v>
      </c>
      <c r="B73" s="821" t="str">
        <f>INDEX(Lists!$C$4:$C$26,MATCH(Validation!$B$3,Lists!$B$4:$B$26,0))&amp;"_AIM20"</f>
        <v>brl_AIM20</v>
      </c>
      <c r="C73" s="821" t="s">
        <v>2376</v>
      </c>
      <c r="D73" s="821" t="s">
        <v>8342</v>
      </c>
      <c r="E73" s="821" t="s">
        <v>2820</v>
      </c>
      <c r="F73" s="821" t="s">
        <v>8339</v>
      </c>
      <c r="G73" s="1624" t="str">
        <f>IF('3C'!E24="","##BLANK",'3C'!E24)</f>
        <v>##BLANK</v>
      </c>
    </row>
    <row r="74" spans="1:7">
      <c r="A74" s="1620" t="str">
        <f>INDEX(Lists!$C$4:$C$26,MATCH(Validation!$B$3,Lists!$B$4:$B$26,0))</f>
        <v>brl</v>
      </c>
      <c r="B74" s="821" t="str">
        <f>INDEX(Lists!$C$4:$C$26,MATCH(Validation!$B$3,Lists!$B$4:$B$26,0))&amp;"_AIM21"</f>
        <v>brl_AIM21</v>
      </c>
      <c r="C74" s="821" t="s">
        <v>2376</v>
      </c>
      <c r="D74" s="821" t="s">
        <v>8342</v>
      </c>
      <c r="E74" s="821" t="s">
        <v>2820</v>
      </c>
      <c r="F74" s="821" t="s">
        <v>8339</v>
      </c>
      <c r="G74" s="1624" t="str">
        <f>IF('3C'!E25="","##BLANK",'3C'!E25)</f>
        <v>##BLANK</v>
      </c>
    </row>
    <row r="75" spans="1:7">
      <c r="A75" s="1620" t="str">
        <f>INDEX(Lists!$C$4:$C$26,MATCH(Validation!$B$3,Lists!$B$4:$B$26,0))</f>
        <v>brl</v>
      </c>
      <c r="B75" s="821" t="str">
        <f>INDEX(Lists!$C$4:$C$26,MATCH(Validation!$B$3,Lists!$B$4:$B$26,0))&amp;"_AIM22"</f>
        <v>brl_AIM22</v>
      </c>
      <c r="C75" s="821" t="s">
        <v>2376</v>
      </c>
      <c r="D75" s="821" t="s">
        <v>8342</v>
      </c>
      <c r="E75" s="821" t="s">
        <v>2820</v>
      </c>
      <c r="F75" s="821" t="s">
        <v>8339</v>
      </c>
      <c r="G75" s="1624" t="str">
        <f>IF('3C'!E26="","##BLANK",'3C'!E26)</f>
        <v>##BLANK</v>
      </c>
    </row>
    <row r="76" spans="1:7">
      <c r="A76" s="1620" t="str">
        <f>INDEX(Lists!$C$4:$C$26,MATCH(Validation!$B$3,Lists!$B$4:$B$26,0))</f>
        <v>brl</v>
      </c>
      <c r="B76" s="821" t="str">
        <f>INDEX(Lists!$C$4:$C$26,MATCH(Validation!$B$3,Lists!$B$4:$B$26,0))&amp;"_AIM23"</f>
        <v>brl_AIM23</v>
      </c>
      <c r="C76" s="821" t="s">
        <v>2376</v>
      </c>
      <c r="D76" s="821" t="s">
        <v>8342</v>
      </c>
      <c r="E76" s="821" t="s">
        <v>2820</v>
      </c>
      <c r="F76" s="821" t="s">
        <v>8339</v>
      </c>
      <c r="G76" s="1624" t="str">
        <f>IF('3C'!E27="","##BLANK",'3C'!E27)</f>
        <v>##BLANK</v>
      </c>
    </row>
    <row r="77" spans="1:7">
      <c r="A77" s="1620" t="str">
        <f>INDEX(Lists!$C$4:$C$26,MATCH(Validation!$B$3,Lists!$B$4:$B$26,0))</f>
        <v>brl</v>
      </c>
      <c r="B77" s="821" t="str">
        <f>INDEX(Lists!$C$4:$C$26,MATCH(Validation!$B$3,Lists!$B$4:$B$26,0))&amp;"_AIM24"</f>
        <v>brl_AIM24</v>
      </c>
      <c r="C77" s="821" t="s">
        <v>2376</v>
      </c>
      <c r="D77" s="821" t="s">
        <v>8342</v>
      </c>
      <c r="E77" s="821" t="s">
        <v>2820</v>
      </c>
      <c r="F77" s="821" t="s">
        <v>8339</v>
      </c>
      <c r="G77" s="1624" t="str">
        <f>IF('3C'!E28="","##BLANK",'3C'!E28)</f>
        <v>##BLANK</v>
      </c>
    </row>
    <row r="78" spans="1:7" ht="14.5" thickBot="1">
      <c r="A78" s="1621" t="str">
        <f>INDEX(Lists!$C$4:$C$26,MATCH(Validation!$B$3,Lists!$B$4:$B$26,0))</f>
        <v>brl</v>
      </c>
      <c r="B78" s="1622" t="str">
        <f>INDEX(Lists!$C$4:$C$26,MATCH(Validation!$B$3,Lists!$B$4:$B$26,0))&amp;"_AIM25"</f>
        <v>brl_AIM25</v>
      </c>
      <c r="C78" s="1622" t="s">
        <v>2376</v>
      </c>
      <c r="D78" s="1622" t="s">
        <v>8342</v>
      </c>
      <c r="E78" s="1622" t="s">
        <v>2820</v>
      </c>
      <c r="F78" s="1622" t="s">
        <v>8339</v>
      </c>
      <c r="G78" s="1626" t="str">
        <f>IF('3C'!E29="","##BLANK",'3C'!E29)</f>
        <v>##BLANK</v>
      </c>
    </row>
    <row r="79" spans="1:7">
      <c r="A79" s="1618" t="str">
        <f>INDEX(Lists!$C$4:$C$26,MATCH(Validation!$B$3,Lists!$B$4:$B$26,0))</f>
        <v>brl</v>
      </c>
      <c r="B79" s="1619" t="str">
        <f>INDEX(Lists!$C$4:$C$26,MATCH(Validation!$B$3,Lists!$B$4:$B$26,0))&amp;"_AIM01"</f>
        <v>brl_AIM01</v>
      </c>
      <c r="C79" s="1619" t="s">
        <v>2377</v>
      </c>
      <c r="D79" s="1619" t="s">
        <v>8343</v>
      </c>
      <c r="E79" s="1619" t="s">
        <v>764</v>
      </c>
      <c r="F79" s="1619" t="s">
        <v>8339</v>
      </c>
      <c r="G79" s="1625" t="str">
        <f>IF('3C'!F5="","##BLANK",'3C'!F5)</f>
        <v>##BLANK</v>
      </c>
    </row>
    <row r="80" spans="1:7">
      <c r="A80" s="1620" t="str">
        <f>INDEX(Lists!$C$4:$C$26,MATCH(Validation!$B$3,Lists!$B$4:$B$26,0))</f>
        <v>brl</v>
      </c>
      <c r="B80" s="821" t="str">
        <f>INDEX(Lists!$C$4:$C$26,MATCH(Validation!$B$3,Lists!$B$4:$B$26,0))&amp;"_AIM02"</f>
        <v>brl_AIM02</v>
      </c>
      <c r="C80" s="821" t="s">
        <v>2377</v>
      </c>
      <c r="D80" s="821" t="s">
        <v>8343</v>
      </c>
      <c r="E80" s="821" t="s">
        <v>764</v>
      </c>
      <c r="F80" s="821" t="s">
        <v>8339</v>
      </c>
      <c r="G80" s="1624" t="str">
        <f>IF('3C'!F6="","##BLANK",'3C'!F6)</f>
        <v>##BLANK</v>
      </c>
    </row>
    <row r="81" spans="1:7">
      <c r="A81" s="1620" t="str">
        <f>INDEX(Lists!$C$4:$C$26,MATCH(Validation!$B$3,Lists!$B$4:$B$26,0))</f>
        <v>brl</v>
      </c>
      <c r="B81" s="821" t="str">
        <f>INDEX(Lists!$C$4:$C$26,MATCH(Validation!$B$3,Lists!$B$4:$B$26,0))&amp;"_AIM03"</f>
        <v>brl_AIM03</v>
      </c>
      <c r="C81" s="821" t="s">
        <v>2377</v>
      </c>
      <c r="D81" s="821" t="s">
        <v>8343</v>
      </c>
      <c r="E81" s="821" t="s">
        <v>764</v>
      </c>
      <c r="F81" s="821" t="s">
        <v>8339</v>
      </c>
      <c r="G81" s="1624" t="str">
        <f>IF('3C'!F7="","##BLANK",'3C'!F7)</f>
        <v>##BLANK</v>
      </c>
    </row>
    <row r="82" spans="1:7">
      <c r="A82" s="1620" t="str">
        <f>INDEX(Lists!$C$4:$C$26,MATCH(Validation!$B$3,Lists!$B$4:$B$26,0))</f>
        <v>brl</v>
      </c>
      <c r="B82" s="821" t="str">
        <f>INDEX(Lists!$C$4:$C$26,MATCH(Validation!$B$3,Lists!$B$4:$B$26,0))&amp;"_AIM04"</f>
        <v>brl_AIM04</v>
      </c>
      <c r="C82" s="821" t="s">
        <v>2377</v>
      </c>
      <c r="D82" s="821" t="s">
        <v>8343</v>
      </c>
      <c r="E82" s="821" t="s">
        <v>764</v>
      </c>
      <c r="F82" s="821" t="s">
        <v>8339</v>
      </c>
      <c r="G82" s="1624" t="str">
        <f>IF('3C'!F8="","##BLANK",'3C'!F8)</f>
        <v>##BLANK</v>
      </c>
    </row>
    <row r="83" spans="1:7">
      <c r="A83" s="1620" t="str">
        <f>INDEX(Lists!$C$4:$C$26,MATCH(Validation!$B$3,Lists!$B$4:$B$26,0))</f>
        <v>brl</v>
      </c>
      <c r="B83" s="821" t="str">
        <f>INDEX(Lists!$C$4:$C$26,MATCH(Validation!$B$3,Lists!$B$4:$B$26,0))&amp;"_AIM05"</f>
        <v>brl_AIM05</v>
      </c>
      <c r="C83" s="821" t="s">
        <v>2377</v>
      </c>
      <c r="D83" s="821" t="s">
        <v>8343</v>
      </c>
      <c r="E83" s="821" t="s">
        <v>764</v>
      </c>
      <c r="F83" s="821" t="s">
        <v>8339</v>
      </c>
      <c r="G83" s="1624" t="str">
        <f>IF('3C'!F9="","##BLANK",'3C'!F9)</f>
        <v>##BLANK</v>
      </c>
    </row>
    <row r="84" spans="1:7">
      <c r="A84" s="1620" t="str">
        <f>INDEX(Lists!$C$4:$C$26,MATCH(Validation!$B$3,Lists!$B$4:$B$26,0))</f>
        <v>brl</v>
      </c>
      <c r="B84" s="821" t="str">
        <f>INDEX(Lists!$C$4:$C$26,MATCH(Validation!$B$3,Lists!$B$4:$B$26,0))&amp;"_AIM06"</f>
        <v>brl_AIM06</v>
      </c>
      <c r="C84" s="821" t="s">
        <v>2377</v>
      </c>
      <c r="D84" s="821" t="s">
        <v>8343</v>
      </c>
      <c r="E84" s="821" t="s">
        <v>764</v>
      </c>
      <c r="F84" s="821" t="s">
        <v>8339</v>
      </c>
      <c r="G84" s="1624" t="str">
        <f>IF('3C'!F10="","##BLANK",'3C'!F10)</f>
        <v>##BLANK</v>
      </c>
    </row>
    <row r="85" spans="1:7">
      <c r="A85" s="1620" t="str">
        <f>INDEX(Lists!$C$4:$C$26,MATCH(Validation!$B$3,Lists!$B$4:$B$26,0))</f>
        <v>brl</v>
      </c>
      <c r="B85" s="821" t="str">
        <f>INDEX(Lists!$C$4:$C$26,MATCH(Validation!$B$3,Lists!$B$4:$B$26,0))&amp;"_AIM07"</f>
        <v>brl_AIM07</v>
      </c>
      <c r="C85" s="821" t="s">
        <v>2377</v>
      </c>
      <c r="D85" s="821" t="s">
        <v>8343</v>
      </c>
      <c r="E85" s="821" t="s">
        <v>764</v>
      </c>
      <c r="F85" s="821" t="s">
        <v>8339</v>
      </c>
      <c r="G85" s="1624" t="str">
        <f>IF('3C'!F11="","##BLANK",'3C'!F11)</f>
        <v>##BLANK</v>
      </c>
    </row>
    <row r="86" spans="1:7">
      <c r="A86" s="1620" t="str">
        <f>INDEX(Lists!$C$4:$C$26,MATCH(Validation!$B$3,Lists!$B$4:$B$26,0))</f>
        <v>brl</v>
      </c>
      <c r="B86" s="821" t="str">
        <f>INDEX(Lists!$C$4:$C$26,MATCH(Validation!$B$3,Lists!$B$4:$B$26,0))&amp;"_AIM08"</f>
        <v>brl_AIM08</v>
      </c>
      <c r="C86" s="821" t="s">
        <v>2377</v>
      </c>
      <c r="D86" s="821" t="s">
        <v>8343</v>
      </c>
      <c r="E86" s="821" t="s">
        <v>764</v>
      </c>
      <c r="F86" s="821" t="s">
        <v>8339</v>
      </c>
      <c r="G86" s="1624" t="str">
        <f>IF('3C'!F12="","##BLANK",'3C'!F12)</f>
        <v>##BLANK</v>
      </c>
    </row>
    <row r="87" spans="1:7">
      <c r="A87" s="1620" t="str">
        <f>INDEX(Lists!$C$4:$C$26,MATCH(Validation!$B$3,Lists!$B$4:$B$26,0))</f>
        <v>brl</v>
      </c>
      <c r="B87" s="821" t="str">
        <f>INDEX(Lists!$C$4:$C$26,MATCH(Validation!$B$3,Lists!$B$4:$B$26,0))&amp;"_AIM09"</f>
        <v>brl_AIM09</v>
      </c>
      <c r="C87" s="821" t="s">
        <v>2377</v>
      </c>
      <c r="D87" s="821" t="s">
        <v>8343</v>
      </c>
      <c r="E87" s="821" t="s">
        <v>764</v>
      </c>
      <c r="F87" s="821" t="s">
        <v>8339</v>
      </c>
      <c r="G87" s="1624" t="str">
        <f>IF('3C'!F13="","##BLANK",'3C'!F13)</f>
        <v>##BLANK</v>
      </c>
    </row>
    <row r="88" spans="1:7">
      <c r="A88" s="1620" t="str">
        <f>INDEX(Lists!$C$4:$C$26,MATCH(Validation!$B$3,Lists!$B$4:$B$26,0))</f>
        <v>brl</v>
      </c>
      <c r="B88" s="821" t="str">
        <f>INDEX(Lists!$C$4:$C$26,MATCH(Validation!$B$3,Lists!$B$4:$B$26,0))&amp;"_AIM10"</f>
        <v>brl_AIM10</v>
      </c>
      <c r="C88" s="821" t="s">
        <v>2377</v>
      </c>
      <c r="D88" s="821" t="s">
        <v>8343</v>
      </c>
      <c r="E88" s="821" t="s">
        <v>764</v>
      </c>
      <c r="F88" s="821" t="s">
        <v>8339</v>
      </c>
      <c r="G88" s="1624" t="str">
        <f>IF('3C'!F14="","##BLANK",'3C'!F14)</f>
        <v>##BLANK</v>
      </c>
    </row>
    <row r="89" spans="1:7">
      <c r="A89" s="1620" t="str">
        <f>INDEX(Lists!$C$4:$C$26,MATCH(Validation!$B$3,Lists!$B$4:$B$26,0))</f>
        <v>brl</v>
      </c>
      <c r="B89" s="821" t="str">
        <f>INDEX(Lists!$C$4:$C$26,MATCH(Validation!$B$3,Lists!$B$4:$B$26,0))&amp;"_AIM11"</f>
        <v>brl_AIM11</v>
      </c>
      <c r="C89" s="821" t="s">
        <v>2377</v>
      </c>
      <c r="D89" s="821" t="s">
        <v>8343</v>
      </c>
      <c r="E89" s="821" t="s">
        <v>764</v>
      </c>
      <c r="F89" s="821" t="s">
        <v>8339</v>
      </c>
      <c r="G89" s="1624" t="str">
        <f>IF('3C'!F15="","##BLANK",'3C'!F15)</f>
        <v>##BLANK</v>
      </c>
    </row>
    <row r="90" spans="1:7">
      <c r="A90" s="1620" t="str">
        <f>INDEX(Lists!$C$4:$C$26,MATCH(Validation!$B$3,Lists!$B$4:$B$26,0))</f>
        <v>brl</v>
      </c>
      <c r="B90" s="821" t="str">
        <f>INDEX(Lists!$C$4:$C$26,MATCH(Validation!$B$3,Lists!$B$4:$B$26,0))&amp;"_AIM12"</f>
        <v>brl_AIM12</v>
      </c>
      <c r="C90" s="821" t="s">
        <v>2377</v>
      </c>
      <c r="D90" s="821" t="s">
        <v>8343</v>
      </c>
      <c r="E90" s="821" t="s">
        <v>764</v>
      </c>
      <c r="F90" s="821" t="s">
        <v>8339</v>
      </c>
      <c r="G90" s="1624" t="str">
        <f>IF('3C'!F16="","##BLANK",'3C'!F16)</f>
        <v>##BLANK</v>
      </c>
    </row>
    <row r="91" spans="1:7">
      <c r="A91" s="1620" t="str">
        <f>INDEX(Lists!$C$4:$C$26,MATCH(Validation!$B$3,Lists!$B$4:$B$26,0))</f>
        <v>brl</v>
      </c>
      <c r="B91" s="821" t="str">
        <f>INDEX(Lists!$C$4:$C$26,MATCH(Validation!$B$3,Lists!$B$4:$B$26,0))&amp;"_AIM13"</f>
        <v>brl_AIM13</v>
      </c>
      <c r="C91" s="821" t="s">
        <v>2377</v>
      </c>
      <c r="D91" s="821" t="s">
        <v>8343</v>
      </c>
      <c r="E91" s="821" t="s">
        <v>764</v>
      </c>
      <c r="F91" s="821" t="s">
        <v>8339</v>
      </c>
      <c r="G91" s="1624" t="str">
        <f>IF('3C'!F17="","##BLANK",'3C'!F17)</f>
        <v>##BLANK</v>
      </c>
    </row>
    <row r="92" spans="1:7">
      <c r="A92" s="1620" t="str">
        <f>INDEX(Lists!$C$4:$C$26,MATCH(Validation!$B$3,Lists!$B$4:$B$26,0))</f>
        <v>brl</v>
      </c>
      <c r="B92" s="821" t="str">
        <f>INDEX(Lists!$C$4:$C$26,MATCH(Validation!$B$3,Lists!$B$4:$B$26,0))&amp;"_AIM14"</f>
        <v>brl_AIM14</v>
      </c>
      <c r="C92" s="821" t="s">
        <v>2377</v>
      </c>
      <c r="D92" s="821" t="s">
        <v>8343</v>
      </c>
      <c r="E92" s="821" t="s">
        <v>764</v>
      </c>
      <c r="F92" s="821" t="s">
        <v>8339</v>
      </c>
      <c r="G92" s="1624" t="str">
        <f>IF('3C'!F18="","##BLANK",'3C'!F18)</f>
        <v>##BLANK</v>
      </c>
    </row>
    <row r="93" spans="1:7">
      <c r="A93" s="1620" t="str">
        <f>INDEX(Lists!$C$4:$C$26,MATCH(Validation!$B$3,Lists!$B$4:$B$26,0))</f>
        <v>brl</v>
      </c>
      <c r="B93" s="821" t="str">
        <f>INDEX(Lists!$C$4:$C$26,MATCH(Validation!$B$3,Lists!$B$4:$B$26,0))&amp;"_AIM15"</f>
        <v>brl_AIM15</v>
      </c>
      <c r="C93" s="821" t="s">
        <v>2377</v>
      </c>
      <c r="D93" s="821" t="s">
        <v>8343</v>
      </c>
      <c r="E93" s="821" t="s">
        <v>764</v>
      </c>
      <c r="F93" s="821" t="s">
        <v>8339</v>
      </c>
      <c r="G93" s="1624" t="str">
        <f>IF('3C'!F19="","##BLANK",'3C'!F19)</f>
        <v>##BLANK</v>
      </c>
    </row>
    <row r="94" spans="1:7">
      <c r="A94" s="1620" t="str">
        <f>INDEX(Lists!$C$4:$C$26,MATCH(Validation!$B$3,Lists!$B$4:$B$26,0))</f>
        <v>brl</v>
      </c>
      <c r="B94" s="821" t="str">
        <f>INDEX(Lists!$C$4:$C$26,MATCH(Validation!$B$3,Lists!$B$4:$B$26,0))&amp;"_AIM16"</f>
        <v>brl_AIM16</v>
      </c>
      <c r="C94" s="821" t="s">
        <v>2377</v>
      </c>
      <c r="D94" s="821" t="s">
        <v>8343</v>
      </c>
      <c r="E94" s="821" t="s">
        <v>764</v>
      </c>
      <c r="F94" s="821" t="s">
        <v>8339</v>
      </c>
      <c r="G94" s="1624" t="str">
        <f>IF('3C'!F20="","##BLANK",'3C'!F20)</f>
        <v>##BLANK</v>
      </c>
    </row>
    <row r="95" spans="1:7">
      <c r="A95" s="1620" t="str">
        <f>INDEX(Lists!$C$4:$C$26,MATCH(Validation!$B$3,Lists!$B$4:$B$26,0))</f>
        <v>brl</v>
      </c>
      <c r="B95" s="821" t="str">
        <f>INDEX(Lists!$C$4:$C$26,MATCH(Validation!$B$3,Lists!$B$4:$B$26,0))&amp;"_AIM17"</f>
        <v>brl_AIM17</v>
      </c>
      <c r="C95" s="821" t="s">
        <v>2377</v>
      </c>
      <c r="D95" s="821" t="s">
        <v>8343</v>
      </c>
      <c r="E95" s="821" t="s">
        <v>764</v>
      </c>
      <c r="F95" s="821" t="s">
        <v>8339</v>
      </c>
      <c r="G95" s="1624" t="str">
        <f>IF('3C'!F21="","##BLANK",'3C'!F21)</f>
        <v>##BLANK</v>
      </c>
    </row>
    <row r="96" spans="1:7">
      <c r="A96" s="1620" t="str">
        <f>INDEX(Lists!$C$4:$C$26,MATCH(Validation!$B$3,Lists!$B$4:$B$26,0))</f>
        <v>brl</v>
      </c>
      <c r="B96" s="821" t="str">
        <f>INDEX(Lists!$C$4:$C$26,MATCH(Validation!$B$3,Lists!$B$4:$B$26,0))&amp;"_AIM18"</f>
        <v>brl_AIM18</v>
      </c>
      <c r="C96" s="821" t="s">
        <v>2377</v>
      </c>
      <c r="D96" s="821" t="s">
        <v>8343</v>
      </c>
      <c r="E96" s="821" t="s">
        <v>764</v>
      </c>
      <c r="F96" s="821" t="s">
        <v>8339</v>
      </c>
      <c r="G96" s="1624" t="str">
        <f>IF('3C'!F22="","##BLANK",'3C'!F22)</f>
        <v>##BLANK</v>
      </c>
    </row>
    <row r="97" spans="1:7">
      <c r="A97" s="1620" t="str">
        <f>INDEX(Lists!$C$4:$C$26,MATCH(Validation!$B$3,Lists!$B$4:$B$26,0))</f>
        <v>brl</v>
      </c>
      <c r="B97" s="821" t="str">
        <f>INDEX(Lists!$C$4:$C$26,MATCH(Validation!$B$3,Lists!$B$4:$B$26,0))&amp;"_AIM19"</f>
        <v>brl_AIM19</v>
      </c>
      <c r="C97" s="821" t="s">
        <v>2377</v>
      </c>
      <c r="D97" s="821" t="s">
        <v>8343</v>
      </c>
      <c r="E97" s="821" t="s">
        <v>764</v>
      </c>
      <c r="F97" s="821" t="s">
        <v>8339</v>
      </c>
      <c r="G97" s="1624" t="str">
        <f>IF('3C'!F23="","##BLANK",'3C'!F23)</f>
        <v>##BLANK</v>
      </c>
    </row>
    <row r="98" spans="1:7">
      <c r="A98" s="1620" t="str">
        <f>INDEX(Lists!$C$4:$C$26,MATCH(Validation!$B$3,Lists!$B$4:$B$26,0))</f>
        <v>brl</v>
      </c>
      <c r="B98" s="821" t="str">
        <f>INDEX(Lists!$C$4:$C$26,MATCH(Validation!$B$3,Lists!$B$4:$B$26,0))&amp;"_AIM20"</f>
        <v>brl_AIM20</v>
      </c>
      <c r="C98" s="821" t="s">
        <v>2377</v>
      </c>
      <c r="D98" s="821" t="s">
        <v>8343</v>
      </c>
      <c r="E98" s="821" t="s">
        <v>764</v>
      </c>
      <c r="F98" s="821" t="s">
        <v>8339</v>
      </c>
      <c r="G98" s="1624" t="str">
        <f>IF('3C'!F24="","##BLANK",'3C'!F24)</f>
        <v>##BLANK</v>
      </c>
    </row>
    <row r="99" spans="1:7">
      <c r="A99" s="1620" t="str">
        <f>INDEX(Lists!$C$4:$C$26,MATCH(Validation!$B$3,Lists!$B$4:$B$26,0))</f>
        <v>brl</v>
      </c>
      <c r="B99" s="821" t="str">
        <f>INDEX(Lists!$C$4:$C$26,MATCH(Validation!$B$3,Lists!$B$4:$B$26,0))&amp;"_AIM21"</f>
        <v>brl_AIM21</v>
      </c>
      <c r="C99" s="821" t="s">
        <v>2377</v>
      </c>
      <c r="D99" s="821" t="s">
        <v>8343</v>
      </c>
      <c r="E99" s="821" t="s">
        <v>764</v>
      </c>
      <c r="F99" s="821" t="s">
        <v>8339</v>
      </c>
      <c r="G99" s="1624" t="str">
        <f>IF('3C'!F25="","##BLANK",'3C'!F25)</f>
        <v>##BLANK</v>
      </c>
    </row>
    <row r="100" spans="1:7">
      <c r="A100" s="1620" t="str">
        <f>INDEX(Lists!$C$4:$C$26,MATCH(Validation!$B$3,Lists!$B$4:$B$26,0))</f>
        <v>brl</v>
      </c>
      <c r="B100" s="821" t="str">
        <f>INDEX(Lists!$C$4:$C$26,MATCH(Validation!$B$3,Lists!$B$4:$B$26,0))&amp;"_AIM22"</f>
        <v>brl_AIM22</v>
      </c>
      <c r="C100" s="821" t="s">
        <v>2377</v>
      </c>
      <c r="D100" s="821" t="s">
        <v>8343</v>
      </c>
      <c r="E100" s="821" t="s">
        <v>764</v>
      </c>
      <c r="F100" s="821" t="s">
        <v>8339</v>
      </c>
      <c r="G100" s="1624" t="str">
        <f>IF('3C'!F26="","##BLANK",'3C'!F26)</f>
        <v>##BLANK</v>
      </c>
    </row>
    <row r="101" spans="1:7">
      <c r="A101" s="1620" t="str">
        <f>INDEX(Lists!$C$4:$C$26,MATCH(Validation!$B$3,Lists!$B$4:$B$26,0))</f>
        <v>brl</v>
      </c>
      <c r="B101" s="821" t="str">
        <f>INDEX(Lists!$C$4:$C$26,MATCH(Validation!$B$3,Lists!$B$4:$B$26,0))&amp;"_AIM23"</f>
        <v>brl_AIM23</v>
      </c>
      <c r="C101" s="821" t="s">
        <v>2377</v>
      </c>
      <c r="D101" s="821" t="s">
        <v>8343</v>
      </c>
      <c r="E101" s="821" t="s">
        <v>764</v>
      </c>
      <c r="F101" s="821" t="s">
        <v>8339</v>
      </c>
      <c r="G101" s="1624" t="str">
        <f>IF('3C'!F27="","##BLANK",'3C'!F27)</f>
        <v>##BLANK</v>
      </c>
    </row>
    <row r="102" spans="1:7">
      <c r="A102" s="1620" t="str">
        <f>INDEX(Lists!$C$4:$C$26,MATCH(Validation!$B$3,Lists!$B$4:$B$26,0))</f>
        <v>brl</v>
      </c>
      <c r="B102" s="821" t="str">
        <f>INDEX(Lists!$C$4:$C$26,MATCH(Validation!$B$3,Lists!$B$4:$B$26,0))&amp;"_AIM24"</f>
        <v>brl_AIM24</v>
      </c>
      <c r="C102" s="821" t="s">
        <v>2377</v>
      </c>
      <c r="D102" s="821" t="s">
        <v>8343</v>
      </c>
      <c r="E102" s="821" t="s">
        <v>764</v>
      </c>
      <c r="F102" s="821" t="s">
        <v>8339</v>
      </c>
      <c r="G102" s="1624" t="str">
        <f>IF('3C'!F28="","##BLANK",'3C'!F28)</f>
        <v>##BLANK</v>
      </c>
    </row>
    <row r="103" spans="1:7" ht="14.5" thickBot="1">
      <c r="A103" s="1621" t="str">
        <f>INDEX(Lists!$C$4:$C$26,MATCH(Validation!$B$3,Lists!$B$4:$B$26,0))</f>
        <v>brl</v>
      </c>
      <c r="B103" s="1622" t="str">
        <f>INDEX(Lists!$C$4:$C$26,MATCH(Validation!$B$3,Lists!$B$4:$B$26,0))&amp;"_AIM25"</f>
        <v>brl_AIM25</v>
      </c>
      <c r="C103" s="1622" t="s">
        <v>2377</v>
      </c>
      <c r="D103" s="1622" t="s">
        <v>8343</v>
      </c>
      <c r="E103" s="1622" t="s">
        <v>764</v>
      </c>
      <c r="F103" s="1622" t="s">
        <v>8339</v>
      </c>
      <c r="G103" s="1626" t="str">
        <f>IF('3C'!F29="","##BLANK",'3C'!F29)</f>
        <v>##BLANK</v>
      </c>
    </row>
    <row r="104" spans="1:7">
      <c r="A104" s="1618" t="str">
        <f>INDEX(Lists!$C$4:$C$26,MATCH(Validation!$B$3,Lists!$B$4:$B$26,0))</f>
        <v>brl</v>
      </c>
      <c r="B104" s="1619" t="str">
        <f>INDEX(Lists!$C$4:$C$26,MATCH(Validation!$B$3,Lists!$B$4:$B$26,0))&amp;"_AIM01"</f>
        <v>brl_AIM01</v>
      </c>
      <c r="C104" s="1619" t="s">
        <v>2378</v>
      </c>
      <c r="D104" s="1619" t="s">
        <v>8344</v>
      </c>
      <c r="E104" s="1619" t="s">
        <v>2820</v>
      </c>
      <c r="F104" s="1619" t="s">
        <v>8339</v>
      </c>
      <c r="G104" s="1625" t="str">
        <f>IF('3C'!G5="","##BLANK",'3C'!G5)</f>
        <v>##BLANK</v>
      </c>
    </row>
    <row r="105" spans="1:7">
      <c r="A105" s="1620" t="str">
        <f>INDEX(Lists!$C$4:$C$26,MATCH(Validation!$B$3,Lists!$B$4:$B$26,0))</f>
        <v>brl</v>
      </c>
      <c r="B105" s="821" t="str">
        <f>INDEX(Lists!$C$4:$C$26,MATCH(Validation!$B$3,Lists!$B$4:$B$26,0))&amp;"_AIM02"</f>
        <v>brl_AIM02</v>
      </c>
      <c r="C105" s="821" t="s">
        <v>2378</v>
      </c>
      <c r="D105" s="821" t="s">
        <v>8344</v>
      </c>
      <c r="E105" s="821" t="s">
        <v>2820</v>
      </c>
      <c r="F105" s="821" t="s">
        <v>8339</v>
      </c>
      <c r="G105" s="1624" t="str">
        <f>IF('3C'!G6="","##BLANK",'3C'!G6)</f>
        <v>##BLANK</v>
      </c>
    </row>
    <row r="106" spans="1:7">
      <c r="A106" s="1620" t="str">
        <f>INDEX(Lists!$C$4:$C$26,MATCH(Validation!$B$3,Lists!$B$4:$B$26,0))</f>
        <v>brl</v>
      </c>
      <c r="B106" s="821" t="str">
        <f>INDEX(Lists!$C$4:$C$26,MATCH(Validation!$B$3,Lists!$B$4:$B$26,0))&amp;"_AIM03"</f>
        <v>brl_AIM03</v>
      </c>
      <c r="C106" s="821" t="s">
        <v>2378</v>
      </c>
      <c r="D106" s="821" t="s">
        <v>8344</v>
      </c>
      <c r="E106" s="821" t="s">
        <v>2820</v>
      </c>
      <c r="F106" s="821" t="s">
        <v>8339</v>
      </c>
      <c r="G106" s="1624" t="str">
        <f>IF('3C'!G7="","##BLANK",'3C'!G7)</f>
        <v>##BLANK</v>
      </c>
    </row>
    <row r="107" spans="1:7">
      <c r="A107" s="1620" t="str">
        <f>INDEX(Lists!$C$4:$C$26,MATCH(Validation!$B$3,Lists!$B$4:$B$26,0))</f>
        <v>brl</v>
      </c>
      <c r="B107" s="821" t="str">
        <f>INDEX(Lists!$C$4:$C$26,MATCH(Validation!$B$3,Lists!$B$4:$B$26,0))&amp;"_AIM04"</f>
        <v>brl_AIM04</v>
      </c>
      <c r="C107" s="821" t="s">
        <v>2378</v>
      </c>
      <c r="D107" s="821" t="s">
        <v>8344</v>
      </c>
      <c r="E107" s="821" t="s">
        <v>2820</v>
      </c>
      <c r="F107" s="821" t="s">
        <v>8339</v>
      </c>
      <c r="G107" s="1624" t="str">
        <f>IF('3C'!G8="","##BLANK",'3C'!G8)</f>
        <v>##BLANK</v>
      </c>
    </row>
    <row r="108" spans="1:7">
      <c r="A108" s="1620" t="str">
        <f>INDEX(Lists!$C$4:$C$26,MATCH(Validation!$B$3,Lists!$B$4:$B$26,0))</f>
        <v>brl</v>
      </c>
      <c r="B108" s="821" t="str">
        <f>INDEX(Lists!$C$4:$C$26,MATCH(Validation!$B$3,Lists!$B$4:$B$26,0))&amp;"_AIM05"</f>
        <v>brl_AIM05</v>
      </c>
      <c r="C108" s="821" t="s">
        <v>2378</v>
      </c>
      <c r="D108" s="821" t="s">
        <v>8344</v>
      </c>
      <c r="E108" s="821" t="s">
        <v>2820</v>
      </c>
      <c r="F108" s="821" t="s">
        <v>8339</v>
      </c>
      <c r="G108" s="1624" t="str">
        <f>IF('3C'!G9="","##BLANK",'3C'!G9)</f>
        <v>##BLANK</v>
      </c>
    </row>
    <row r="109" spans="1:7">
      <c r="A109" s="1620" t="str">
        <f>INDEX(Lists!$C$4:$C$26,MATCH(Validation!$B$3,Lists!$B$4:$B$26,0))</f>
        <v>brl</v>
      </c>
      <c r="B109" s="821" t="str">
        <f>INDEX(Lists!$C$4:$C$26,MATCH(Validation!$B$3,Lists!$B$4:$B$26,0))&amp;"_AIM06"</f>
        <v>brl_AIM06</v>
      </c>
      <c r="C109" s="821" t="s">
        <v>2378</v>
      </c>
      <c r="D109" s="821" t="s">
        <v>8344</v>
      </c>
      <c r="E109" s="821" t="s">
        <v>2820</v>
      </c>
      <c r="F109" s="821" t="s">
        <v>8339</v>
      </c>
      <c r="G109" s="1624" t="str">
        <f>IF('3C'!G10="","##BLANK",'3C'!G10)</f>
        <v>##BLANK</v>
      </c>
    </row>
    <row r="110" spans="1:7">
      <c r="A110" s="1620" t="str">
        <f>INDEX(Lists!$C$4:$C$26,MATCH(Validation!$B$3,Lists!$B$4:$B$26,0))</f>
        <v>brl</v>
      </c>
      <c r="B110" s="821" t="str">
        <f>INDEX(Lists!$C$4:$C$26,MATCH(Validation!$B$3,Lists!$B$4:$B$26,0))&amp;"_AIM07"</f>
        <v>brl_AIM07</v>
      </c>
      <c r="C110" s="821" t="s">
        <v>2378</v>
      </c>
      <c r="D110" s="821" t="s">
        <v>8344</v>
      </c>
      <c r="E110" s="821" t="s">
        <v>2820</v>
      </c>
      <c r="F110" s="821" t="s">
        <v>8339</v>
      </c>
      <c r="G110" s="1624" t="str">
        <f>IF('3C'!G11="","##BLANK",'3C'!G11)</f>
        <v>##BLANK</v>
      </c>
    </row>
    <row r="111" spans="1:7">
      <c r="A111" s="1620" t="str">
        <f>INDEX(Lists!$C$4:$C$26,MATCH(Validation!$B$3,Lists!$B$4:$B$26,0))</f>
        <v>brl</v>
      </c>
      <c r="B111" s="821" t="str">
        <f>INDEX(Lists!$C$4:$C$26,MATCH(Validation!$B$3,Lists!$B$4:$B$26,0))&amp;"_AIM08"</f>
        <v>brl_AIM08</v>
      </c>
      <c r="C111" s="821" t="s">
        <v>2378</v>
      </c>
      <c r="D111" s="821" t="s">
        <v>8344</v>
      </c>
      <c r="E111" s="821" t="s">
        <v>2820</v>
      </c>
      <c r="F111" s="821" t="s">
        <v>8339</v>
      </c>
      <c r="G111" s="1624" t="str">
        <f>IF('3C'!G12="","##BLANK",'3C'!G12)</f>
        <v>##BLANK</v>
      </c>
    </row>
    <row r="112" spans="1:7">
      <c r="A112" s="1620" t="str">
        <f>INDEX(Lists!$C$4:$C$26,MATCH(Validation!$B$3,Lists!$B$4:$B$26,0))</f>
        <v>brl</v>
      </c>
      <c r="B112" s="821" t="str">
        <f>INDEX(Lists!$C$4:$C$26,MATCH(Validation!$B$3,Lists!$B$4:$B$26,0))&amp;"_AIM09"</f>
        <v>brl_AIM09</v>
      </c>
      <c r="C112" s="821" t="s">
        <v>2378</v>
      </c>
      <c r="D112" s="821" t="s">
        <v>8344</v>
      </c>
      <c r="E112" s="821" t="s">
        <v>2820</v>
      </c>
      <c r="F112" s="821" t="s">
        <v>8339</v>
      </c>
      <c r="G112" s="1624" t="str">
        <f>IF('3C'!G13="","##BLANK",'3C'!G13)</f>
        <v>##BLANK</v>
      </c>
    </row>
    <row r="113" spans="1:7">
      <c r="A113" s="1620" t="str">
        <f>INDEX(Lists!$C$4:$C$26,MATCH(Validation!$B$3,Lists!$B$4:$B$26,0))</f>
        <v>brl</v>
      </c>
      <c r="B113" s="821" t="str">
        <f>INDEX(Lists!$C$4:$C$26,MATCH(Validation!$B$3,Lists!$B$4:$B$26,0))&amp;"_AIM10"</f>
        <v>brl_AIM10</v>
      </c>
      <c r="C113" s="821" t="s">
        <v>2378</v>
      </c>
      <c r="D113" s="821" t="s">
        <v>8344</v>
      </c>
      <c r="E113" s="821" t="s">
        <v>2820</v>
      </c>
      <c r="F113" s="821" t="s">
        <v>8339</v>
      </c>
      <c r="G113" s="1624" t="str">
        <f>IF('3C'!G14="","##BLANK",'3C'!G14)</f>
        <v>##BLANK</v>
      </c>
    </row>
    <row r="114" spans="1:7">
      <c r="A114" s="1620" t="str">
        <f>INDEX(Lists!$C$4:$C$26,MATCH(Validation!$B$3,Lists!$B$4:$B$26,0))</f>
        <v>brl</v>
      </c>
      <c r="B114" s="821" t="str">
        <f>INDEX(Lists!$C$4:$C$26,MATCH(Validation!$B$3,Lists!$B$4:$B$26,0))&amp;"_AIM11"</f>
        <v>brl_AIM11</v>
      </c>
      <c r="C114" s="821" t="s">
        <v>2378</v>
      </c>
      <c r="D114" s="821" t="s">
        <v>8344</v>
      </c>
      <c r="E114" s="821" t="s">
        <v>2820</v>
      </c>
      <c r="F114" s="821" t="s">
        <v>8339</v>
      </c>
      <c r="G114" s="1624" t="str">
        <f>IF('3C'!G15="","##BLANK",'3C'!G15)</f>
        <v>##BLANK</v>
      </c>
    </row>
    <row r="115" spans="1:7">
      <c r="A115" s="1620" t="str">
        <f>INDEX(Lists!$C$4:$C$26,MATCH(Validation!$B$3,Lists!$B$4:$B$26,0))</f>
        <v>brl</v>
      </c>
      <c r="B115" s="821" t="str">
        <f>INDEX(Lists!$C$4:$C$26,MATCH(Validation!$B$3,Lists!$B$4:$B$26,0))&amp;"_AIM12"</f>
        <v>brl_AIM12</v>
      </c>
      <c r="C115" s="821" t="s">
        <v>2378</v>
      </c>
      <c r="D115" s="821" t="s">
        <v>8344</v>
      </c>
      <c r="E115" s="821" t="s">
        <v>2820</v>
      </c>
      <c r="F115" s="821" t="s">
        <v>8339</v>
      </c>
      <c r="G115" s="1624" t="str">
        <f>IF('3C'!G16="","##BLANK",'3C'!G16)</f>
        <v>##BLANK</v>
      </c>
    </row>
    <row r="116" spans="1:7">
      <c r="A116" s="1620" t="str">
        <f>INDEX(Lists!$C$4:$C$26,MATCH(Validation!$B$3,Lists!$B$4:$B$26,0))</f>
        <v>brl</v>
      </c>
      <c r="B116" s="821" t="str">
        <f>INDEX(Lists!$C$4:$C$26,MATCH(Validation!$B$3,Lists!$B$4:$B$26,0))&amp;"_AIM13"</f>
        <v>brl_AIM13</v>
      </c>
      <c r="C116" s="821" t="s">
        <v>2378</v>
      </c>
      <c r="D116" s="821" t="s">
        <v>8344</v>
      </c>
      <c r="E116" s="821" t="s">
        <v>2820</v>
      </c>
      <c r="F116" s="821" t="s">
        <v>8339</v>
      </c>
      <c r="G116" s="1624" t="str">
        <f>IF('3C'!G17="","##BLANK",'3C'!G17)</f>
        <v>##BLANK</v>
      </c>
    </row>
    <row r="117" spans="1:7">
      <c r="A117" s="1620" t="str">
        <f>INDEX(Lists!$C$4:$C$26,MATCH(Validation!$B$3,Lists!$B$4:$B$26,0))</f>
        <v>brl</v>
      </c>
      <c r="B117" s="821" t="str">
        <f>INDEX(Lists!$C$4:$C$26,MATCH(Validation!$B$3,Lists!$B$4:$B$26,0))&amp;"_AIM14"</f>
        <v>brl_AIM14</v>
      </c>
      <c r="C117" s="821" t="s">
        <v>2378</v>
      </c>
      <c r="D117" s="821" t="s">
        <v>8344</v>
      </c>
      <c r="E117" s="821" t="s">
        <v>2820</v>
      </c>
      <c r="F117" s="821" t="s">
        <v>8339</v>
      </c>
      <c r="G117" s="1624" t="str">
        <f>IF('3C'!G18="","##BLANK",'3C'!G18)</f>
        <v>##BLANK</v>
      </c>
    </row>
    <row r="118" spans="1:7">
      <c r="A118" s="1620" t="str">
        <f>INDEX(Lists!$C$4:$C$26,MATCH(Validation!$B$3,Lists!$B$4:$B$26,0))</f>
        <v>brl</v>
      </c>
      <c r="B118" s="821" t="str">
        <f>INDEX(Lists!$C$4:$C$26,MATCH(Validation!$B$3,Lists!$B$4:$B$26,0))&amp;"_AIM15"</f>
        <v>brl_AIM15</v>
      </c>
      <c r="C118" s="821" t="s">
        <v>2378</v>
      </c>
      <c r="D118" s="821" t="s">
        <v>8344</v>
      </c>
      <c r="E118" s="821" t="s">
        <v>2820</v>
      </c>
      <c r="F118" s="821" t="s">
        <v>8339</v>
      </c>
      <c r="G118" s="1624" t="str">
        <f>IF('3C'!G19="","##BLANK",'3C'!G19)</f>
        <v>##BLANK</v>
      </c>
    </row>
    <row r="119" spans="1:7">
      <c r="A119" s="1620" t="str">
        <f>INDEX(Lists!$C$4:$C$26,MATCH(Validation!$B$3,Lists!$B$4:$B$26,0))</f>
        <v>brl</v>
      </c>
      <c r="B119" s="821" t="str">
        <f>INDEX(Lists!$C$4:$C$26,MATCH(Validation!$B$3,Lists!$B$4:$B$26,0))&amp;"_AIM16"</f>
        <v>brl_AIM16</v>
      </c>
      <c r="C119" s="821" t="s">
        <v>2378</v>
      </c>
      <c r="D119" s="821" t="s">
        <v>8344</v>
      </c>
      <c r="E119" s="821" t="s">
        <v>2820</v>
      </c>
      <c r="F119" s="821" t="s">
        <v>8339</v>
      </c>
      <c r="G119" s="1624" t="str">
        <f>IF('3C'!G20="","##BLANK",'3C'!G20)</f>
        <v>##BLANK</v>
      </c>
    </row>
    <row r="120" spans="1:7">
      <c r="A120" s="1620" t="str">
        <f>INDEX(Lists!$C$4:$C$26,MATCH(Validation!$B$3,Lists!$B$4:$B$26,0))</f>
        <v>brl</v>
      </c>
      <c r="B120" s="821" t="str">
        <f>INDEX(Lists!$C$4:$C$26,MATCH(Validation!$B$3,Lists!$B$4:$B$26,0))&amp;"_AIM17"</f>
        <v>brl_AIM17</v>
      </c>
      <c r="C120" s="821" t="s">
        <v>2378</v>
      </c>
      <c r="D120" s="821" t="s">
        <v>8344</v>
      </c>
      <c r="E120" s="821" t="s">
        <v>2820</v>
      </c>
      <c r="F120" s="821" t="s">
        <v>8339</v>
      </c>
      <c r="G120" s="1624" t="str">
        <f>IF('3C'!G21="","##BLANK",'3C'!G21)</f>
        <v>##BLANK</v>
      </c>
    </row>
    <row r="121" spans="1:7">
      <c r="A121" s="1620" t="str">
        <f>INDEX(Lists!$C$4:$C$26,MATCH(Validation!$B$3,Lists!$B$4:$B$26,0))</f>
        <v>brl</v>
      </c>
      <c r="B121" s="821" t="str">
        <f>INDEX(Lists!$C$4:$C$26,MATCH(Validation!$B$3,Lists!$B$4:$B$26,0))&amp;"_AIM18"</f>
        <v>brl_AIM18</v>
      </c>
      <c r="C121" s="821" t="s">
        <v>2378</v>
      </c>
      <c r="D121" s="821" t="s">
        <v>8344</v>
      </c>
      <c r="E121" s="821" t="s">
        <v>2820</v>
      </c>
      <c r="F121" s="821" t="s">
        <v>8339</v>
      </c>
      <c r="G121" s="1624" t="str">
        <f>IF('3C'!G22="","##BLANK",'3C'!G22)</f>
        <v>##BLANK</v>
      </c>
    </row>
    <row r="122" spans="1:7">
      <c r="A122" s="1620" t="str">
        <f>INDEX(Lists!$C$4:$C$26,MATCH(Validation!$B$3,Lists!$B$4:$B$26,0))</f>
        <v>brl</v>
      </c>
      <c r="B122" s="821" t="str">
        <f>INDEX(Lists!$C$4:$C$26,MATCH(Validation!$B$3,Lists!$B$4:$B$26,0))&amp;"_AIM19"</f>
        <v>brl_AIM19</v>
      </c>
      <c r="C122" s="821" t="s">
        <v>2378</v>
      </c>
      <c r="D122" s="821" t="s">
        <v>8344</v>
      </c>
      <c r="E122" s="821" t="s">
        <v>2820</v>
      </c>
      <c r="F122" s="821" t="s">
        <v>8339</v>
      </c>
      <c r="G122" s="1624" t="str">
        <f>IF('3C'!G23="","##BLANK",'3C'!G23)</f>
        <v>##BLANK</v>
      </c>
    </row>
    <row r="123" spans="1:7">
      <c r="A123" s="1620" t="str">
        <f>INDEX(Lists!$C$4:$C$26,MATCH(Validation!$B$3,Lists!$B$4:$B$26,0))</f>
        <v>brl</v>
      </c>
      <c r="B123" s="821" t="str">
        <f>INDEX(Lists!$C$4:$C$26,MATCH(Validation!$B$3,Lists!$B$4:$B$26,0))&amp;"_AIM20"</f>
        <v>brl_AIM20</v>
      </c>
      <c r="C123" s="821" t="s">
        <v>2378</v>
      </c>
      <c r="D123" s="821" t="s">
        <v>8344</v>
      </c>
      <c r="E123" s="821" t="s">
        <v>2820</v>
      </c>
      <c r="F123" s="821" t="s">
        <v>8339</v>
      </c>
      <c r="G123" s="1624" t="str">
        <f>IF('3C'!G24="","##BLANK",'3C'!G24)</f>
        <v>##BLANK</v>
      </c>
    </row>
    <row r="124" spans="1:7">
      <c r="A124" s="1620" t="str">
        <f>INDEX(Lists!$C$4:$C$26,MATCH(Validation!$B$3,Lists!$B$4:$B$26,0))</f>
        <v>brl</v>
      </c>
      <c r="B124" s="821" t="str">
        <f>INDEX(Lists!$C$4:$C$26,MATCH(Validation!$B$3,Lists!$B$4:$B$26,0))&amp;"_AIM21"</f>
        <v>brl_AIM21</v>
      </c>
      <c r="C124" s="821" t="s">
        <v>2378</v>
      </c>
      <c r="D124" s="821" t="s">
        <v>8344</v>
      </c>
      <c r="E124" s="821" t="s">
        <v>2820</v>
      </c>
      <c r="F124" s="821" t="s">
        <v>8339</v>
      </c>
      <c r="G124" s="1624" t="str">
        <f>IF('3C'!G25="","##BLANK",'3C'!G25)</f>
        <v>##BLANK</v>
      </c>
    </row>
    <row r="125" spans="1:7">
      <c r="A125" s="1620" t="str">
        <f>INDEX(Lists!$C$4:$C$26,MATCH(Validation!$B$3,Lists!$B$4:$B$26,0))</f>
        <v>brl</v>
      </c>
      <c r="B125" s="821" t="str">
        <f>INDEX(Lists!$C$4:$C$26,MATCH(Validation!$B$3,Lists!$B$4:$B$26,0))&amp;"_AIM22"</f>
        <v>brl_AIM22</v>
      </c>
      <c r="C125" s="821" t="s">
        <v>2378</v>
      </c>
      <c r="D125" s="821" t="s">
        <v>8344</v>
      </c>
      <c r="E125" s="821" t="s">
        <v>2820</v>
      </c>
      <c r="F125" s="821" t="s">
        <v>8339</v>
      </c>
      <c r="G125" s="1624" t="str">
        <f>IF('3C'!G26="","##BLANK",'3C'!G26)</f>
        <v>##BLANK</v>
      </c>
    </row>
    <row r="126" spans="1:7">
      <c r="A126" s="1620" t="str">
        <f>INDEX(Lists!$C$4:$C$26,MATCH(Validation!$B$3,Lists!$B$4:$B$26,0))</f>
        <v>brl</v>
      </c>
      <c r="B126" s="821" t="str">
        <f>INDEX(Lists!$C$4:$C$26,MATCH(Validation!$B$3,Lists!$B$4:$B$26,0))&amp;"_AIM23"</f>
        <v>brl_AIM23</v>
      </c>
      <c r="C126" s="821" t="s">
        <v>2378</v>
      </c>
      <c r="D126" s="821" t="s">
        <v>8344</v>
      </c>
      <c r="E126" s="821" t="s">
        <v>2820</v>
      </c>
      <c r="F126" s="821" t="s">
        <v>8339</v>
      </c>
      <c r="G126" s="1624" t="str">
        <f>IF('3C'!G27="","##BLANK",'3C'!G27)</f>
        <v>##BLANK</v>
      </c>
    </row>
    <row r="127" spans="1:7">
      <c r="A127" s="1620" t="str">
        <f>INDEX(Lists!$C$4:$C$26,MATCH(Validation!$B$3,Lists!$B$4:$B$26,0))</f>
        <v>brl</v>
      </c>
      <c r="B127" s="821" t="str">
        <f>INDEX(Lists!$C$4:$C$26,MATCH(Validation!$B$3,Lists!$B$4:$B$26,0))&amp;"_AIM24"</f>
        <v>brl_AIM24</v>
      </c>
      <c r="C127" s="821" t="s">
        <v>2378</v>
      </c>
      <c r="D127" s="821" t="s">
        <v>8344</v>
      </c>
      <c r="E127" s="821" t="s">
        <v>2820</v>
      </c>
      <c r="F127" s="821" t="s">
        <v>8339</v>
      </c>
      <c r="G127" s="1624" t="str">
        <f>IF('3C'!G28="","##BLANK",'3C'!G28)</f>
        <v>##BLANK</v>
      </c>
    </row>
    <row r="128" spans="1:7" ht="14.5" thickBot="1">
      <c r="A128" s="1621" t="str">
        <f>INDEX(Lists!$C$4:$C$26,MATCH(Validation!$B$3,Lists!$B$4:$B$26,0))</f>
        <v>brl</v>
      </c>
      <c r="B128" s="1622" t="str">
        <f>INDEX(Lists!$C$4:$C$26,MATCH(Validation!$B$3,Lists!$B$4:$B$26,0))&amp;"_AIM25"</f>
        <v>brl_AIM25</v>
      </c>
      <c r="C128" s="1622" t="s">
        <v>2378</v>
      </c>
      <c r="D128" s="1622" t="s">
        <v>8344</v>
      </c>
      <c r="E128" s="1622" t="s">
        <v>2820</v>
      </c>
      <c r="F128" s="1622" t="s">
        <v>8339</v>
      </c>
      <c r="G128" s="1626" t="str">
        <f>IF('3C'!G29="","##BLANK",'3C'!G29)</f>
        <v>##BLANK</v>
      </c>
    </row>
    <row r="129" spans="1:7">
      <c r="A129" s="1618" t="str">
        <f>INDEX(Lists!$C$4:$C$26,MATCH(Validation!$B$3,Lists!$B$4:$B$26,0))</f>
        <v>brl</v>
      </c>
      <c r="B129" s="1619" t="str">
        <f>INDEX(Lists!$C$4:$C$26,MATCH(Validation!$B$3,Lists!$B$4:$B$26,0))&amp;"_AIM01"</f>
        <v>brl_AIM01</v>
      </c>
      <c r="C129" s="1619" t="s">
        <v>2379</v>
      </c>
      <c r="D129" s="1619" t="s">
        <v>8345</v>
      </c>
      <c r="E129" s="1619" t="s">
        <v>764</v>
      </c>
      <c r="F129" s="1619" t="s">
        <v>8339</v>
      </c>
      <c r="G129" s="1625" t="str">
        <f>IF('3C'!H5="","##BLANK",'3C'!H5)</f>
        <v>##BLANK</v>
      </c>
    </row>
    <row r="130" spans="1:7">
      <c r="A130" s="1620" t="str">
        <f>INDEX(Lists!$C$4:$C$26,MATCH(Validation!$B$3,Lists!$B$4:$B$26,0))</f>
        <v>brl</v>
      </c>
      <c r="B130" s="821" t="str">
        <f>INDEX(Lists!$C$4:$C$26,MATCH(Validation!$B$3,Lists!$B$4:$B$26,0))&amp;"_AIM02"</f>
        <v>brl_AIM02</v>
      </c>
      <c r="C130" s="821" t="s">
        <v>2379</v>
      </c>
      <c r="D130" s="821" t="s">
        <v>8345</v>
      </c>
      <c r="E130" s="821" t="s">
        <v>764</v>
      </c>
      <c r="F130" s="821" t="s">
        <v>8339</v>
      </c>
      <c r="G130" s="1624" t="str">
        <f>IF('3C'!H6="","##BLANK",'3C'!H6)</f>
        <v>##BLANK</v>
      </c>
    </row>
    <row r="131" spans="1:7">
      <c r="A131" s="1620" t="str">
        <f>INDEX(Lists!$C$4:$C$26,MATCH(Validation!$B$3,Lists!$B$4:$B$26,0))</f>
        <v>brl</v>
      </c>
      <c r="B131" s="821" t="str">
        <f>INDEX(Lists!$C$4:$C$26,MATCH(Validation!$B$3,Lists!$B$4:$B$26,0))&amp;"_AIM03"</f>
        <v>brl_AIM03</v>
      </c>
      <c r="C131" s="821" t="s">
        <v>2379</v>
      </c>
      <c r="D131" s="821" t="s">
        <v>8345</v>
      </c>
      <c r="E131" s="821" t="s">
        <v>764</v>
      </c>
      <c r="F131" s="821" t="s">
        <v>8339</v>
      </c>
      <c r="G131" s="1624" t="str">
        <f>IF('3C'!H7="","##BLANK",'3C'!H7)</f>
        <v>##BLANK</v>
      </c>
    </row>
    <row r="132" spans="1:7">
      <c r="A132" s="1620" t="str">
        <f>INDEX(Lists!$C$4:$C$26,MATCH(Validation!$B$3,Lists!$B$4:$B$26,0))</f>
        <v>brl</v>
      </c>
      <c r="B132" s="821" t="str">
        <f>INDEX(Lists!$C$4:$C$26,MATCH(Validation!$B$3,Lists!$B$4:$B$26,0))&amp;"_AIM04"</f>
        <v>brl_AIM04</v>
      </c>
      <c r="C132" s="821" t="s">
        <v>2379</v>
      </c>
      <c r="D132" s="821" t="s">
        <v>8345</v>
      </c>
      <c r="E132" s="821" t="s">
        <v>764</v>
      </c>
      <c r="F132" s="821" t="s">
        <v>8339</v>
      </c>
      <c r="G132" s="1624" t="str">
        <f>IF('3C'!H8="","##BLANK",'3C'!H8)</f>
        <v>##BLANK</v>
      </c>
    </row>
    <row r="133" spans="1:7">
      <c r="A133" s="1620" t="str">
        <f>INDEX(Lists!$C$4:$C$26,MATCH(Validation!$B$3,Lists!$B$4:$B$26,0))</f>
        <v>brl</v>
      </c>
      <c r="B133" s="821" t="str">
        <f>INDEX(Lists!$C$4:$C$26,MATCH(Validation!$B$3,Lists!$B$4:$B$26,0))&amp;"_AIM05"</f>
        <v>brl_AIM05</v>
      </c>
      <c r="C133" s="821" t="s">
        <v>2379</v>
      </c>
      <c r="D133" s="821" t="s">
        <v>8345</v>
      </c>
      <c r="E133" s="821" t="s">
        <v>764</v>
      </c>
      <c r="F133" s="821" t="s">
        <v>8339</v>
      </c>
      <c r="G133" s="1624" t="str">
        <f>IF('3C'!H9="","##BLANK",'3C'!H9)</f>
        <v>##BLANK</v>
      </c>
    </row>
    <row r="134" spans="1:7">
      <c r="A134" s="1620" t="str">
        <f>INDEX(Lists!$C$4:$C$26,MATCH(Validation!$B$3,Lists!$B$4:$B$26,0))</f>
        <v>brl</v>
      </c>
      <c r="B134" s="821" t="str">
        <f>INDEX(Lists!$C$4:$C$26,MATCH(Validation!$B$3,Lists!$B$4:$B$26,0))&amp;"_AIM06"</f>
        <v>brl_AIM06</v>
      </c>
      <c r="C134" s="821" t="s">
        <v>2379</v>
      </c>
      <c r="D134" s="821" t="s">
        <v>8345</v>
      </c>
      <c r="E134" s="821" t="s">
        <v>764</v>
      </c>
      <c r="F134" s="821" t="s">
        <v>8339</v>
      </c>
      <c r="G134" s="1624" t="str">
        <f>IF('3C'!H10="","##BLANK",'3C'!H10)</f>
        <v>##BLANK</v>
      </c>
    </row>
    <row r="135" spans="1:7">
      <c r="A135" s="1620" t="str">
        <f>INDEX(Lists!$C$4:$C$26,MATCH(Validation!$B$3,Lists!$B$4:$B$26,0))</f>
        <v>brl</v>
      </c>
      <c r="B135" s="821" t="str">
        <f>INDEX(Lists!$C$4:$C$26,MATCH(Validation!$B$3,Lists!$B$4:$B$26,0))&amp;"_AIM07"</f>
        <v>brl_AIM07</v>
      </c>
      <c r="C135" s="821" t="s">
        <v>2379</v>
      </c>
      <c r="D135" s="821" t="s">
        <v>8345</v>
      </c>
      <c r="E135" s="821" t="s">
        <v>764</v>
      </c>
      <c r="F135" s="821" t="s">
        <v>8339</v>
      </c>
      <c r="G135" s="1624" t="str">
        <f>IF('3C'!H11="","##BLANK",'3C'!H11)</f>
        <v>##BLANK</v>
      </c>
    </row>
    <row r="136" spans="1:7">
      <c r="A136" s="1620" t="str">
        <f>INDEX(Lists!$C$4:$C$26,MATCH(Validation!$B$3,Lists!$B$4:$B$26,0))</f>
        <v>brl</v>
      </c>
      <c r="B136" s="821" t="str">
        <f>INDEX(Lists!$C$4:$C$26,MATCH(Validation!$B$3,Lists!$B$4:$B$26,0))&amp;"_AIM08"</f>
        <v>brl_AIM08</v>
      </c>
      <c r="C136" s="821" t="s">
        <v>2379</v>
      </c>
      <c r="D136" s="821" t="s">
        <v>8345</v>
      </c>
      <c r="E136" s="821" t="s">
        <v>764</v>
      </c>
      <c r="F136" s="821" t="s">
        <v>8339</v>
      </c>
      <c r="G136" s="1624" t="str">
        <f>IF('3C'!H12="","##BLANK",'3C'!H12)</f>
        <v>##BLANK</v>
      </c>
    </row>
    <row r="137" spans="1:7">
      <c r="A137" s="1620" t="str">
        <f>INDEX(Lists!$C$4:$C$26,MATCH(Validation!$B$3,Lists!$B$4:$B$26,0))</f>
        <v>brl</v>
      </c>
      <c r="B137" s="821" t="str">
        <f>INDEX(Lists!$C$4:$C$26,MATCH(Validation!$B$3,Lists!$B$4:$B$26,0))&amp;"_AIM09"</f>
        <v>brl_AIM09</v>
      </c>
      <c r="C137" s="821" t="s">
        <v>2379</v>
      </c>
      <c r="D137" s="821" t="s">
        <v>8345</v>
      </c>
      <c r="E137" s="821" t="s">
        <v>764</v>
      </c>
      <c r="F137" s="821" t="s">
        <v>8339</v>
      </c>
      <c r="G137" s="1624" t="str">
        <f>IF('3C'!H13="","##BLANK",'3C'!H13)</f>
        <v>##BLANK</v>
      </c>
    </row>
    <row r="138" spans="1:7">
      <c r="A138" s="1620" t="str">
        <f>INDEX(Lists!$C$4:$C$26,MATCH(Validation!$B$3,Lists!$B$4:$B$26,0))</f>
        <v>brl</v>
      </c>
      <c r="B138" s="821" t="str">
        <f>INDEX(Lists!$C$4:$C$26,MATCH(Validation!$B$3,Lists!$B$4:$B$26,0))&amp;"_AIM10"</f>
        <v>brl_AIM10</v>
      </c>
      <c r="C138" s="821" t="s">
        <v>2379</v>
      </c>
      <c r="D138" s="821" t="s">
        <v>8345</v>
      </c>
      <c r="E138" s="821" t="s">
        <v>764</v>
      </c>
      <c r="F138" s="821" t="s">
        <v>8339</v>
      </c>
      <c r="G138" s="1624" t="str">
        <f>IF('3C'!H14="","##BLANK",'3C'!H14)</f>
        <v>##BLANK</v>
      </c>
    </row>
    <row r="139" spans="1:7">
      <c r="A139" s="1620" t="str">
        <f>INDEX(Lists!$C$4:$C$26,MATCH(Validation!$B$3,Lists!$B$4:$B$26,0))</f>
        <v>brl</v>
      </c>
      <c r="B139" s="821" t="str">
        <f>INDEX(Lists!$C$4:$C$26,MATCH(Validation!$B$3,Lists!$B$4:$B$26,0))&amp;"_AIM11"</f>
        <v>brl_AIM11</v>
      </c>
      <c r="C139" s="821" t="s">
        <v>2379</v>
      </c>
      <c r="D139" s="821" t="s">
        <v>8345</v>
      </c>
      <c r="E139" s="821" t="s">
        <v>764</v>
      </c>
      <c r="F139" s="821" t="s">
        <v>8339</v>
      </c>
      <c r="G139" s="1624" t="str">
        <f>IF('3C'!H15="","##BLANK",'3C'!H15)</f>
        <v>##BLANK</v>
      </c>
    </row>
    <row r="140" spans="1:7">
      <c r="A140" s="1620" t="str">
        <f>INDEX(Lists!$C$4:$C$26,MATCH(Validation!$B$3,Lists!$B$4:$B$26,0))</f>
        <v>brl</v>
      </c>
      <c r="B140" s="821" t="str">
        <f>INDEX(Lists!$C$4:$C$26,MATCH(Validation!$B$3,Lists!$B$4:$B$26,0))&amp;"_AIM12"</f>
        <v>brl_AIM12</v>
      </c>
      <c r="C140" s="821" t="s">
        <v>2379</v>
      </c>
      <c r="D140" s="821" t="s">
        <v>8345</v>
      </c>
      <c r="E140" s="821" t="s">
        <v>764</v>
      </c>
      <c r="F140" s="821" t="s">
        <v>8339</v>
      </c>
      <c r="G140" s="1624" t="str">
        <f>IF('3C'!H16="","##BLANK",'3C'!H16)</f>
        <v>##BLANK</v>
      </c>
    </row>
    <row r="141" spans="1:7">
      <c r="A141" s="1620" t="str">
        <f>INDEX(Lists!$C$4:$C$26,MATCH(Validation!$B$3,Lists!$B$4:$B$26,0))</f>
        <v>brl</v>
      </c>
      <c r="B141" s="821" t="str">
        <f>INDEX(Lists!$C$4:$C$26,MATCH(Validation!$B$3,Lists!$B$4:$B$26,0))&amp;"_AIM13"</f>
        <v>brl_AIM13</v>
      </c>
      <c r="C141" s="821" t="s">
        <v>2379</v>
      </c>
      <c r="D141" s="821" t="s">
        <v>8345</v>
      </c>
      <c r="E141" s="821" t="s">
        <v>764</v>
      </c>
      <c r="F141" s="821" t="s">
        <v>8339</v>
      </c>
      <c r="G141" s="1624" t="str">
        <f>IF('3C'!H17="","##BLANK",'3C'!H17)</f>
        <v>##BLANK</v>
      </c>
    </row>
    <row r="142" spans="1:7">
      <c r="A142" s="1620" t="str">
        <f>INDEX(Lists!$C$4:$C$26,MATCH(Validation!$B$3,Lists!$B$4:$B$26,0))</f>
        <v>brl</v>
      </c>
      <c r="B142" s="821" t="str">
        <f>INDEX(Lists!$C$4:$C$26,MATCH(Validation!$B$3,Lists!$B$4:$B$26,0))&amp;"_AIM14"</f>
        <v>brl_AIM14</v>
      </c>
      <c r="C142" s="821" t="s">
        <v>2379</v>
      </c>
      <c r="D142" s="821" t="s">
        <v>8345</v>
      </c>
      <c r="E142" s="821" t="s">
        <v>764</v>
      </c>
      <c r="F142" s="821" t="s">
        <v>8339</v>
      </c>
      <c r="G142" s="1624" t="str">
        <f>IF('3C'!H18="","##BLANK",'3C'!H18)</f>
        <v>##BLANK</v>
      </c>
    </row>
    <row r="143" spans="1:7">
      <c r="A143" s="1620" t="str">
        <f>INDEX(Lists!$C$4:$C$26,MATCH(Validation!$B$3,Lists!$B$4:$B$26,0))</f>
        <v>brl</v>
      </c>
      <c r="B143" s="821" t="str">
        <f>INDEX(Lists!$C$4:$C$26,MATCH(Validation!$B$3,Lists!$B$4:$B$26,0))&amp;"_AIM15"</f>
        <v>brl_AIM15</v>
      </c>
      <c r="C143" s="821" t="s">
        <v>2379</v>
      </c>
      <c r="D143" s="821" t="s">
        <v>8345</v>
      </c>
      <c r="E143" s="821" t="s">
        <v>764</v>
      </c>
      <c r="F143" s="821" t="s">
        <v>8339</v>
      </c>
      <c r="G143" s="1624" t="str">
        <f>IF('3C'!H19="","##BLANK",'3C'!H19)</f>
        <v>##BLANK</v>
      </c>
    </row>
    <row r="144" spans="1:7">
      <c r="A144" s="1620" t="str">
        <f>INDEX(Lists!$C$4:$C$26,MATCH(Validation!$B$3,Lists!$B$4:$B$26,0))</f>
        <v>brl</v>
      </c>
      <c r="B144" s="821" t="str">
        <f>INDEX(Lists!$C$4:$C$26,MATCH(Validation!$B$3,Lists!$B$4:$B$26,0))&amp;"_AIM16"</f>
        <v>brl_AIM16</v>
      </c>
      <c r="C144" s="821" t="s">
        <v>2379</v>
      </c>
      <c r="D144" s="821" t="s">
        <v>8345</v>
      </c>
      <c r="E144" s="821" t="s">
        <v>764</v>
      </c>
      <c r="F144" s="821" t="s">
        <v>8339</v>
      </c>
      <c r="G144" s="1624" t="str">
        <f>IF('3C'!H20="","##BLANK",'3C'!H20)</f>
        <v>##BLANK</v>
      </c>
    </row>
    <row r="145" spans="1:7">
      <c r="A145" s="1620" t="str">
        <f>INDEX(Lists!$C$4:$C$26,MATCH(Validation!$B$3,Lists!$B$4:$B$26,0))</f>
        <v>brl</v>
      </c>
      <c r="B145" s="821" t="str">
        <f>INDEX(Lists!$C$4:$C$26,MATCH(Validation!$B$3,Lists!$B$4:$B$26,0))&amp;"_AIM17"</f>
        <v>brl_AIM17</v>
      </c>
      <c r="C145" s="821" t="s">
        <v>2379</v>
      </c>
      <c r="D145" s="821" t="s">
        <v>8345</v>
      </c>
      <c r="E145" s="821" t="s">
        <v>764</v>
      </c>
      <c r="F145" s="821" t="s">
        <v>8339</v>
      </c>
      <c r="G145" s="1624" t="str">
        <f>IF('3C'!H21="","##BLANK",'3C'!H21)</f>
        <v>##BLANK</v>
      </c>
    </row>
    <row r="146" spans="1:7">
      <c r="A146" s="1620" t="str">
        <f>INDEX(Lists!$C$4:$C$26,MATCH(Validation!$B$3,Lists!$B$4:$B$26,0))</f>
        <v>brl</v>
      </c>
      <c r="B146" s="821" t="str">
        <f>INDEX(Lists!$C$4:$C$26,MATCH(Validation!$B$3,Lists!$B$4:$B$26,0))&amp;"_AIM18"</f>
        <v>brl_AIM18</v>
      </c>
      <c r="C146" s="821" t="s">
        <v>2379</v>
      </c>
      <c r="D146" s="821" t="s">
        <v>8345</v>
      </c>
      <c r="E146" s="821" t="s">
        <v>764</v>
      </c>
      <c r="F146" s="821" t="s">
        <v>8339</v>
      </c>
      <c r="G146" s="1624" t="str">
        <f>IF('3C'!H22="","##BLANK",'3C'!H22)</f>
        <v>##BLANK</v>
      </c>
    </row>
    <row r="147" spans="1:7">
      <c r="A147" s="1620" t="str">
        <f>INDEX(Lists!$C$4:$C$26,MATCH(Validation!$B$3,Lists!$B$4:$B$26,0))</f>
        <v>brl</v>
      </c>
      <c r="B147" s="821" t="str">
        <f>INDEX(Lists!$C$4:$C$26,MATCH(Validation!$B$3,Lists!$B$4:$B$26,0))&amp;"_AIM19"</f>
        <v>brl_AIM19</v>
      </c>
      <c r="C147" s="821" t="s">
        <v>2379</v>
      </c>
      <c r="D147" s="821" t="s">
        <v>8345</v>
      </c>
      <c r="E147" s="821" t="s">
        <v>764</v>
      </c>
      <c r="F147" s="821" t="s">
        <v>8339</v>
      </c>
      <c r="G147" s="1624" t="str">
        <f>IF('3C'!H23="","##BLANK",'3C'!H23)</f>
        <v>##BLANK</v>
      </c>
    </row>
    <row r="148" spans="1:7">
      <c r="A148" s="1620" t="str">
        <f>INDEX(Lists!$C$4:$C$26,MATCH(Validation!$B$3,Lists!$B$4:$B$26,0))</f>
        <v>brl</v>
      </c>
      <c r="B148" s="821" t="str">
        <f>INDEX(Lists!$C$4:$C$26,MATCH(Validation!$B$3,Lists!$B$4:$B$26,0))&amp;"_AIM20"</f>
        <v>brl_AIM20</v>
      </c>
      <c r="C148" s="821" t="s">
        <v>2379</v>
      </c>
      <c r="D148" s="821" t="s">
        <v>8345</v>
      </c>
      <c r="E148" s="821" t="s">
        <v>764</v>
      </c>
      <c r="F148" s="821" t="s">
        <v>8339</v>
      </c>
      <c r="G148" s="1624" t="str">
        <f>IF('3C'!H24="","##BLANK",'3C'!H24)</f>
        <v>##BLANK</v>
      </c>
    </row>
    <row r="149" spans="1:7">
      <c r="A149" s="1620" t="str">
        <f>INDEX(Lists!$C$4:$C$26,MATCH(Validation!$B$3,Lists!$B$4:$B$26,0))</f>
        <v>brl</v>
      </c>
      <c r="B149" s="821" t="str">
        <f>INDEX(Lists!$C$4:$C$26,MATCH(Validation!$B$3,Lists!$B$4:$B$26,0))&amp;"_AIM21"</f>
        <v>brl_AIM21</v>
      </c>
      <c r="C149" s="821" t="s">
        <v>2379</v>
      </c>
      <c r="D149" s="821" t="s">
        <v>8345</v>
      </c>
      <c r="E149" s="821" t="s">
        <v>764</v>
      </c>
      <c r="F149" s="821" t="s">
        <v>8339</v>
      </c>
      <c r="G149" s="1624" t="str">
        <f>IF('3C'!H25="","##BLANK",'3C'!H25)</f>
        <v>##BLANK</v>
      </c>
    </row>
    <row r="150" spans="1:7">
      <c r="A150" s="1620" t="str">
        <f>INDEX(Lists!$C$4:$C$26,MATCH(Validation!$B$3,Lists!$B$4:$B$26,0))</f>
        <v>brl</v>
      </c>
      <c r="B150" s="821" t="str">
        <f>INDEX(Lists!$C$4:$C$26,MATCH(Validation!$B$3,Lists!$B$4:$B$26,0))&amp;"_AIM22"</f>
        <v>brl_AIM22</v>
      </c>
      <c r="C150" s="821" t="s">
        <v>2379</v>
      </c>
      <c r="D150" s="821" t="s">
        <v>8345</v>
      </c>
      <c r="E150" s="821" t="s">
        <v>764</v>
      </c>
      <c r="F150" s="821" t="s">
        <v>8339</v>
      </c>
      <c r="G150" s="1624" t="str">
        <f>IF('3C'!H26="","##BLANK",'3C'!H26)</f>
        <v>##BLANK</v>
      </c>
    </row>
    <row r="151" spans="1:7">
      <c r="A151" s="1620" t="str">
        <f>INDEX(Lists!$C$4:$C$26,MATCH(Validation!$B$3,Lists!$B$4:$B$26,0))</f>
        <v>brl</v>
      </c>
      <c r="B151" s="821" t="str">
        <f>INDEX(Lists!$C$4:$C$26,MATCH(Validation!$B$3,Lists!$B$4:$B$26,0))&amp;"_AIM23"</f>
        <v>brl_AIM23</v>
      </c>
      <c r="C151" s="821" t="s">
        <v>2379</v>
      </c>
      <c r="D151" s="821" t="s">
        <v>8345</v>
      </c>
      <c r="E151" s="821" t="s">
        <v>764</v>
      </c>
      <c r="F151" s="821" t="s">
        <v>8339</v>
      </c>
      <c r="G151" s="1624" t="str">
        <f>IF('3C'!H27="","##BLANK",'3C'!H27)</f>
        <v>##BLANK</v>
      </c>
    </row>
    <row r="152" spans="1:7">
      <c r="A152" s="1620" t="str">
        <f>INDEX(Lists!$C$4:$C$26,MATCH(Validation!$B$3,Lists!$B$4:$B$26,0))</f>
        <v>brl</v>
      </c>
      <c r="B152" s="821" t="str">
        <f>INDEX(Lists!$C$4:$C$26,MATCH(Validation!$B$3,Lists!$B$4:$B$26,0))&amp;"_AIM24"</f>
        <v>brl_AIM24</v>
      </c>
      <c r="C152" s="821" t="s">
        <v>2379</v>
      </c>
      <c r="D152" s="821" t="s">
        <v>8345</v>
      </c>
      <c r="E152" s="821" t="s">
        <v>764</v>
      </c>
      <c r="F152" s="821" t="s">
        <v>8339</v>
      </c>
      <c r="G152" s="1624" t="str">
        <f>IF('3C'!H28="","##BLANK",'3C'!H28)</f>
        <v>##BLANK</v>
      </c>
    </row>
    <row r="153" spans="1:7" ht="14.5" thickBot="1">
      <c r="A153" s="1621" t="str">
        <f>INDEX(Lists!$C$4:$C$26,MATCH(Validation!$B$3,Lists!$B$4:$B$26,0))</f>
        <v>brl</v>
      </c>
      <c r="B153" s="1622" t="str">
        <f>INDEX(Lists!$C$4:$C$26,MATCH(Validation!$B$3,Lists!$B$4:$B$26,0))&amp;"_AIM25"</f>
        <v>brl_AIM25</v>
      </c>
      <c r="C153" s="1622" t="s">
        <v>2379</v>
      </c>
      <c r="D153" s="1622" t="s">
        <v>8345</v>
      </c>
      <c r="E153" s="1622" t="s">
        <v>764</v>
      </c>
      <c r="F153" s="1622" t="s">
        <v>8339</v>
      </c>
      <c r="G153" s="1626" t="str">
        <f>IF('3C'!H29="","##BLANK",'3C'!H29)</f>
        <v>##BLANK</v>
      </c>
    </row>
    <row r="154" spans="1:7">
      <c r="A154" s="1618" t="str">
        <f>INDEX(Lists!$C$4:$C$26,MATCH(Validation!$B$3,Lists!$B$4:$B$26,0))</f>
        <v>brl</v>
      </c>
      <c r="B154" s="1619" t="str">
        <f>INDEX(Lists!$C$4:$C$26,MATCH(Validation!$B$3,Lists!$B$4:$B$26,0))&amp;"_AIM01"</f>
        <v>brl_AIM01</v>
      </c>
      <c r="C154" s="1619" t="s">
        <v>2380</v>
      </c>
      <c r="D154" s="1619" t="s">
        <v>8346</v>
      </c>
      <c r="E154" s="1619" t="s">
        <v>3513</v>
      </c>
      <c r="F154" s="1619" t="s">
        <v>8339</v>
      </c>
      <c r="G154" s="1625" t="str">
        <f>IF('3C'!I5="","##BLANK",'3C'!I5)</f>
        <v>##BLANK</v>
      </c>
    </row>
    <row r="155" spans="1:7">
      <c r="A155" s="1620" t="str">
        <f>INDEX(Lists!$C$4:$C$26,MATCH(Validation!$B$3,Lists!$B$4:$B$26,0))</f>
        <v>brl</v>
      </c>
      <c r="B155" s="821" t="str">
        <f>INDEX(Lists!$C$4:$C$26,MATCH(Validation!$B$3,Lists!$B$4:$B$26,0))&amp;"_AIM02"</f>
        <v>brl_AIM02</v>
      </c>
      <c r="C155" s="821" t="s">
        <v>2380</v>
      </c>
      <c r="D155" s="821" t="s">
        <v>8346</v>
      </c>
      <c r="E155" s="821" t="s">
        <v>3513</v>
      </c>
      <c r="F155" s="821" t="s">
        <v>8339</v>
      </c>
      <c r="G155" s="1624" t="str">
        <f>IF('3C'!I6="","##BLANK",'3C'!I6)</f>
        <v>##BLANK</v>
      </c>
    </row>
    <row r="156" spans="1:7">
      <c r="A156" s="1620" t="str">
        <f>INDEX(Lists!$C$4:$C$26,MATCH(Validation!$B$3,Lists!$B$4:$B$26,0))</f>
        <v>brl</v>
      </c>
      <c r="B156" s="821" t="str">
        <f>INDEX(Lists!$C$4:$C$26,MATCH(Validation!$B$3,Lists!$B$4:$B$26,0))&amp;"_AIM03"</f>
        <v>brl_AIM03</v>
      </c>
      <c r="C156" s="821" t="s">
        <v>2380</v>
      </c>
      <c r="D156" s="821" t="s">
        <v>8346</v>
      </c>
      <c r="E156" s="821" t="s">
        <v>3513</v>
      </c>
      <c r="F156" s="821" t="s">
        <v>8339</v>
      </c>
      <c r="G156" s="1624" t="str">
        <f>IF('3C'!I7="","##BLANK",'3C'!I7)</f>
        <v>##BLANK</v>
      </c>
    </row>
    <row r="157" spans="1:7">
      <c r="A157" s="1620" t="str">
        <f>INDEX(Lists!$C$4:$C$26,MATCH(Validation!$B$3,Lists!$B$4:$B$26,0))</f>
        <v>brl</v>
      </c>
      <c r="B157" s="821" t="str">
        <f>INDEX(Lists!$C$4:$C$26,MATCH(Validation!$B$3,Lists!$B$4:$B$26,0))&amp;"_AIM04"</f>
        <v>brl_AIM04</v>
      </c>
      <c r="C157" s="821" t="s">
        <v>2380</v>
      </c>
      <c r="D157" s="821" t="s">
        <v>8346</v>
      </c>
      <c r="E157" s="821" t="s">
        <v>3513</v>
      </c>
      <c r="F157" s="821" t="s">
        <v>8339</v>
      </c>
      <c r="G157" s="1624" t="str">
        <f>IF('3C'!I8="","##BLANK",'3C'!I8)</f>
        <v>##BLANK</v>
      </c>
    </row>
    <row r="158" spans="1:7">
      <c r="A158" s="1620" t="str">
        <f>INDEX(Lists!$C$4:$C$26,MATCH(Validation!$B$3,Lists!$B$4:$B$26,0))</f>
        <v>brl</v>
      </c>
      <c r="B158" s="821" t="str">
        <f>INDEX(Lists!$C$4:$C$26,MATCH(Validation!$B$3,Lists!$B$4:$B$26,0))&amp;"_AIM05"</f>
        <v>brl_AIM05</v>
      </c>
      <c r="C158" s="821" t="s">
        <v>2380</v>
      </c>
      <c r="D158" s="821" t="s">
        <v>8346</v>
      </c>
      <c r="E158" s="821" t="s">
        <v>3513</v>
      </c>
      <c r="F158" s="821" t="s">
        <v>8339</v>
      </c>
      <c r="G158" s="1624" t="str">
        <f>IF('3C'!I9="","##BLANK",'3C'!I9)</f>
        <v>##BLANK</v>
      </c>
    </row>
    <row r="159" spans="1:7">
      <c r="A159" s="1620" t="str">
        <f>INDEX(Lists!$C$4:$C$26,MATCH(Validation!$B$3,Lists!$B$4:$B$26,0))</f>
        <v>brl</v>
      </c>
      <c r="B159" s="821" t="str">
        <f>INDEX(Lists!$C$4:$C$26,MATCH(Validation!$B$3,Lists!$B$4:$B$26,0))&amp;"_AIM06"</f>
        <v>brl_AIM06</v>
      </c>
      <c r="C159" s="821" t="s">
        <v>2380</v>
      </c>
      <c r="D159" s="821" t="s">
        <v>8346</v>
      </c>
      <c r="E159" s="821" t="s">
        <v>3513</v>
      </c>
      <c r="F159" s="821" t="s">
        <v>8339</v>
      </c>
      <c r="G159" s="1624" t="str">
        <f>IF('3C'!I10="","##BLANK",'3C'!I10)</f>
        <v>##BLANK</v>
      </c>
    </row>
    <row r="160" spans="1:7">
      <c r="A160" s="1620" t="str">
        <f>INDEX(Lists!$C$4:$C$26,MATCH(Validation!$B$3,Lists!$B$4:$B$26,0))</f>
        <v>brl</v>
      </c>
      <c r="B160" s="821" t="str">
        <f>INDEX(Lists!$C$4:$C$26,MATCH(Validation!$B$3,Lists!$B$4:$B$26,0))&amp;"_AIM07"</f>
        <v>brl_AIM07</v>
      </c>
      <c r="C160" s="821" t="s">
        <v>2380</v>
      </c>
      <c r="D160" s="821" t="s">
        <v>8346</v>
      </c>
      <c r="E160" s="821" t="s">
        <v>3513</v>
      </c>
      <c r="F160" s="821" t="s">
        <v>8339</v>
      </c>
      <c r="G160" s="1624" t="str">
        <f>IF('3C'!I11="","##BLANK",'3C'!I11)</f>
        <v>##BLANK</v>
      </c>
    </row>
    <row r="161" spans="1:7">
      <c r="A161" s="1620" t="str">
        <f>INDEX(Lists!$C$4:$C$26,MATCH(Validation!$B$3,Lists!$B$4:$B$26,0))</f>
        <v>brl</v>
      </c>
      <c r="B161" s="821" t="str">
        <f>INDEX(Lists!$C$4:$C$26,MATCH(Validation!$B$3,Lists!$B$4:$B$26,0))&amp;"_AIM08"</f>
        <v>brl_AIM08</v>
      </c>
      <c r="C161" s="821" t="s">
        <v>2380</v>
      </c>
      <c r="D161" s="821" t="s">
        <v>8346</v>
      </c>
      <c r="E161" s="821" t="s">
        <v>3513</v>
      </c>
      <c r="F161" s="821" t="s">
        <v>8339</v>
      </c>
      <c r="G161" s="1624" t="str">
        <f>IF('3C'!I12="","##BLANK",'3C'!I12)</f>
        <v>##BLANK</v>
      </c>
    </row>
    <row r="162" spans="1:7">
      <c r="A162" s="1620" t="str">
        <f>INDEX(Lists!$C$4:$C$26,MATCH(Validation!$B$3,Lists!$B$4:$B$26,0))</f>
        <v>brl</v>
      </c>
      <c r="B162" s="821" t="str">
        <f>INDEX(Lists!$C$4:$C$26,MATCH(Validation!$B$3,Lists!$B$4:$B$26,0))&amp;"_AIM09"</f>
        <v>brl_AIM09</v>
      </c>
      <c r="C162" s="821" t="s">
        <v>2380</v>
      </c>
      <c r="D162" s="821" t="s">
        <v>8346</v>
      </c>
      <c r="E162" s="821" t="s">
        <v>3513</v>
      </c>
      <c r="F162" s="821" t="s">
        <v>8339</v>
      </c>
      <c r="G162" s="1624" t="str">
        <f>IF('3C'!I13="","##BLANK",'3C'!I13)</f>
        <v>##BLANK</v>
      </c>
    </row>
    <row r="163" spans="1:7">
      <c r="A163" s="1620" t="str">
        <f>INDEX(Lists!$C$4:$C$26,MATCH(Validation!$B$3,Lists!$B$4:$B$26,0))</f>
        <v>brl</v>
      </c>
      <c r="B163" s="821" t="str">
        <f>INDEX(Lists!$C$4:$C$26,MATCH(Validation!$B$3,Lists!$B$4:$B$26,0))&amp;"_AIM10"</f>
        <v>brl_AIM10</v>
      </c>
      <c r="C163" s="821" t="s">
        <v>2380</v>
      </c>
      <c r="D163" s="821" t="s">
        <v>8346</v>
      </c>
      <c r="E163" s="821" t="s">
        <v>3513</v>
      </c>
      <c r="F163" s="821" t="s">
        <v>8339</v>
      </c>
      <c r="G163" s="1624" t="str">
        <f>IF('3C'!I14="","##BLANK",'3C'!I14)</f>
        <v>##BLANK</v>
      </c>
    </row>
    <row r="164" spans="1:7">
      <c r="A164" s="1620" t="str">
        <f>INDEX(Lists!$C$4:$C$26,MATCH(Validation!$B$3,Lists!$B$4:$B$26,0))</f>
        <v>brl</v>
      </c>
      <c r="B164" s="821" t="str">
        <f>INDEX(Lists!$C$4:$C$26,MATCH(Validation!$B$3,Lists!$B$4:$B$26,0))&amp;"_AIM11"</f>
        <v>brl_AIM11</v>
      </c>
      <c r="C164" s="821" t="s">
        <v>2380</v>
      </c>
      <c r="D164" s="821" t="s">
        <v>8346</v>
      </c>
      <c r="E164" s="821" t="s">
        <v>3513</v>
      </c>
      <c r="F164" s="821" t="s">
        <v>8339</v>
      </c>
      <c r="G164" s="1624" t="str">
        <f>IF('3C'!I15="","##BLANK",'3C'!I15)</f>
        <v>##BLANK</v>
      </c>
    </row>
    <row r="165" spans="1:7">
      <c r="A165" s="1620" t="str">
        <f>INDEX(Lists!$C$4:$C$26,MATCH(Validation!$B$3,Lists!$B$4:$B$26,0))</f>
        <v>brl</v>
      </c>
      <c r="B165" s="821" t="str">
        <f>INDEX(Lists!$C$4:$C$26,MATCH(Validation!$B$3,Lists!$B$4:$B$26,0))&amp;"_AIM12"</f>
        <v>brl_AIM12</v>
      </c>
      <c r="C165" s="821" t="s">
        <v>2380</v>
      </c>
      <c r="D165" s="821" t="s">
        <v>8346</v>
      </c>
      <c r="E165" s="821" t="s">
        <v>3513</v>
      </c>
      <c r="F165" s="821" t="s">
        <v>8339</v>
      </c>
      <c r="G165" s="1624" t="str">
        <f>IF('3C'!I16="","##BLANK",'3C'!I16)</f>
        <v>##BLANK</v>
      </c>
    </row>
    <row r="166" spans="1:7">
      <c r="A166" s="1620" t="str">
        <f>INDEX(Lists!$C$4:$C$26,MATCH(Validation!$B$3,Lists!$B$4:$B$26,0))</f>
        <v>brl</v>
      </c>
      <c r="B166" s="821" t="str">
        <f>INDEX(Lists!$C$4:$C$26,MATCH(Validation!$B$3,Lists!$B$4:$B$26,0))&amp;"_AIM13"</f>
        <v>brl_AIM13</v>
      </c>
      <c r="C166" s="821" t="s">
        <v>2380</v>
      </c>
      <c r="D166" s="821" t="s">
        <v>8346</v>
      </c>
      <c r="E166" s="821" t="s">
        <v>3513</v>
      </c>
      <c r="F166" s="821" t="s">
        <v>8339</v>
      </c>
      <c r="G166" s="1624" t="str">
        <f>IF('3C'!I17="","##BLANK",'3C'!I17)</f>
        <v>##BLANK</v>
      </c>
    </row>
    <row r="167" spans="1:7">
      <c r="A167" s="1620" t="str">
        <f>INDEX(Lists!$C$4:$C$26,MATCH(Validation!$B$3,Lists!$B$4:$B$26,0))</f>
        <v>brl</v>
      </c>
      <c r="B167" s="821" t="str">
        <f>INDEX(Lists!$C$4:$C$26,MATCH(Validation!$B$3,Lists!$B$4:$B$26,0))&amp;"_AIM14"</f>
        <v>brl_AIM14</v>
      </c>
      <c r="C167" s="821" t="s">
        <v>2380</v>
      </c>
      <c r="D167" s="821" t="s">
        <v>8346</v>
      </c>
      <c r="E167" s="821" t="s">
        <v>3513</v>
      </c>
      <c r="F167" s="821" t="s">
        <v>8339</v>
      </c>
      <c r="G167" s="1624" t="str">
        <f>IF('3C'!I18="","##BLANK",'3C'!I18)</f>
        <v>##BLANK</v>
      </c>
    </row>
    <row r="168" spans="1:7">
      <c r="A168" s="1620" t="str">
        <f>INDEX(Lists!$C$4:$C$26,MATCH(Validation!$B$3,Lists!$B$4:$B$26,0))</f>
        <v>brl</v>
      </c>
      <c r="B168" s="821" t="str">
        <f>INDEX(Lists!$C$4:$C$26,MATCH(Validation!$B$3,Lists!$B$4:$B$26,0))&amp;"_AIM15"</f>
        <v>brl_AIM15</v>
      </c>
      <c r="C168" s="821" t="s">
        <v>2380</v>
      </c>
      <c r="D168" s="821" t="s">
        <v>8346</v>
      </c>
      <c r="E168" s="821" t="s">
        <v>3513</v>
      </c>
      <c r="F168" s="821" t="s">
        <v>8339</v>
      </c>
      <c r="G168" s="1624" t="str">
        <f>IF('3C'!I19="","##BLANK",'3C'!I19)</f>
        <v>##BLANK</v>
      </c>
    </row>
    <row r="169" spans="1:7">
      <c r="A169" s="1620" t="str">
        <f>INDEX(Lists!$C$4:$C$26,MATCH(Validation!$B$3,Lists!$B$4:$B$26,0))</f>
        <v>brl</v>
      </c>
      <c r="B169" s="821" t="str">
        <f>INDEX(Lists!$C$4:$C$26,MATCH(Validation!$B$3,Lists!$B$4:$B$26,0))&amp;"_AIM16"</f>
        <v>brl_AIM16</v>
      </c>
      <c r="C169" s="821" t="s">
        <v>2380</v>
      </c>
      <c r="D169" s="821" t="s">
        <v>8346</v>
      </c>
      <c r="E169" s="821" t="s">
        <v>3513</v>
      </c>
      <c r="F169" s="821" t="s">
        <v>8339</v>
      </c>
      <c r="G169" s="1624" t="str">
        <f>IF('3C'!I20="","##BLANK",'3C'!I20)</f>
        <v>##BLANK</v>
      </c>
    </row>
    <row r="170" spans="1:7">
      <c r="A170" s="1620" t="str">
        <f>INDEX(Lists!$C$4:$C$26,MATCH(Validation!$B$3,Lists!$B$4:$B$26,0))</f>
        <v>brl</v>
      </c>
      <c r="B170" s="821" t="str">
        <f>INDEX(Lists!$C$4:$C$26,MATCH(Validation!$B$3,Lists!$B$4:$B$26,0))&amp;"_AIM17"</f>
        <v>brl_AIM17</v>
      </c>
      <c r="C170" s="821" t="s">
        <v>2380</v>
      </c>
      <c r="D170" s="821" t="s">
        <v>8346</v>
      </c>
      <c r="E170" s="821" t="s">
        <v>3513</v>
      </c>
      <c r="F170" s="821" t="s">
        <v>8339</v>
      </c>
      <c r="G170" s="1624" t="str">
        <f>IF('3C'!I21="","##BLANK",'3C'!I21)</f>
        <v>##BLANK</v>
      </c>
    </row>
    <row r="171" spans="1:7">
      <c r="A171" s="1620" t="str">
        <f>INDEX(Lists!$C$4:$C$26,MATCH(Validation!$B$3,Lists!$B$4:$B$26,0))</f>
        <v>brl</v>
      </c>
      <c r="B171" s="821" t="str">
        <f>INDEX(Lists!$C$4:$C$26,MATCH(Validation!$B$3,Lists!$B$4:$B$26,0))&amp;"_AIM18"</f>
        <v>brl_AIM18</v>
      </c>
      <c r="C171" s="821" t="s">
        <v>2380</v>
      </c>
      <c r="D171" s="821" t="s">
        <v>8346</v>
      </c>
      <c r="E171" s="821" t="s">
        <v>3513</v>
      </c>
      <c r="F171" s="821" t="s">
        <v>8339</v>
      </c>
      <c r="G171" s="1624" t="str">
        <f>IF('3C'!I22="","##BLANK",'3C'!I22)</f>
        <v>##BLANK</v>
      </c>
    </row>
    <row r="172" spans="1:7">
      <c r="A172" s="1620" t="str">
        <f>INDEX(Lists!$C$4:$C$26,MATCH(Validation!$B$3,Lists!$B$4:$B$26,0))</f>
        <v>brl</v>
      </c>
      <c r="B172" s="821" t="str">
        <f>INDEX(Lists!$C$4:$C$26,MATCH(Validation!$B$3,Lists!$B$4:$B$26,0))&amp;"_AIM19"</f>
        <v>brl_AIM19</v>
      </c>
      <c r="C172" s="821" t="s">
        <v>2380</v>
      </c>
      <c r="D172" s="821" t="s">
        <v>8346</v>
      </c>
      <c r="E172" s="821" t="s">
        <v>3513</v>
      </c>
      <c r="F172" s="821" t="s">
        <v>8339</v>
      </c>
      <c r="G172" s="1624" t="str">
        <f>IF('3C'!I23="","##BLANK",'3C'!I23)</f>
        <v>##BLANK</v>
      </c>
    </row>
    <row r="173" spans="1:7">
      <c r="A173" s="1620" t="str">
        <f>INDEX(Lists!$C$4:$C$26,MATCH(Validation!$B$3,Lists!$B$4:$B$26,0))</f>
        <v>brl</v>
      </c>
      <c r="B173" s="821" t="str">
        <f>INDEX(Lists!$C$4:$C$26,MATCH(Validation!$B$3,Lists!$B$4:$B$26,0))&amp;"_AIM20"</f>
        <v>brl_AIM20</v>
      </c>
      <c r="C173" s="821" t="s">
        <v>2380</v>
      </c>
      <c r="D173" s="821" t="s">
        <v>8346</v>
      </c>
      <c r="E173" s="821" t="s">
        <v>3513</v>
      </c>
      <c r="F173" s="821" t="s">
        <v>8339</v>
      </c>
      <c r="G173" s="1624" t="str">
        <f>IF('3C'!I24="","##BLANK",'3C'!I24)</f>
        <v>##BLANK</v>
      </c>
    </row>
    <row r="174" spans="1:7">
      <c r="A174" s="1620" t="str">
        <f>INDEX(Lists!$C$4:$C$26,MATCH(Validation!$B$3,Lists!$B$4:$B$26,0))</f>
        <v>brl</v>
      </c>
      <c r="B174" s="821" t="str">
        <f>INDEX(Lists!$C$4:$C$26,MATCH(Validation!$B$3,Lists!$B$4:$B$26,0))&amp;"_AIM21"</f>
        <v>brl_AIM21</v>
      </c>
      <c r="C174" s="821" t="s">
        <v>2380</v>
      </c>
      <c r="D174" s="821" t="s">
        <v>8346</v>
      </c>
      <c r="E174" s="821" t="s">
        <v>3513</v>
      </c>
      <c r="F174" s="821" t="s">
        <v>8339</v>
      </c>
      <c r="G174" s="1624" t="str">
        <f>IF('3C'!I25="","##BLANK",'3C'!I25)</f>
        <v>##BLANK</v>
      </c>
    </row>
    <row r="175" spans="1:7">
      <c r="A175" s="1620" t="str">
        <f>INDEX(Lists!$C$4:$C$26,MATCH(Validation!$B$3,Lists!$B$4:$B$26,0))</f>
        <v>brl</v>
      </c>
      <c r="B175" s="821" t="str">
        <f>INDEX(Lists!$C$4:$C$26,MATCH(Validation!$B$3,Lists!$B$4:$B$26,0))&amp;"_AIM22"</f>
        <v>brl_AIM22</v>
      </c>
      <c r="C175" s="821" t="s">
        <v>2380</v>
      </c>
      <c r="D175" s="821" t="s">
        <v>8346</v>
      </c>
      <c r="E175" s="821" t="s">
        <v>3513</v>
      </c>
      <c r="F175" s="821" t="s">
        <v>8339</v>
      </c>
      <c r="G175" s="1624" t="str">
        <f>IF('3C'!I26="","##BLANK",'3C'!I26)</f>
        <v>##BLANK</v>
      </c>
    </row>
    <row r="176" spans="1:7">
      <c r="A176" s="1620" t="str">
        <f>INDEX(Lists!$C$4:$C$26,MATCH(Validation!$B$3,Lists!$B$4:$B$26,0))</f>
        <v>brl</v>
      </c>
      <c r="B176" s="821" t="str">
        <f>INDEX(Lists!$C$4:$C$26,MATCH(Validation!$B$3,Lists!$B$4:$B$26,0))&amp;"_AIM23"</f>
        <v>brl_AIM23</v>
      </c>
      <c r="C176" s="821" t="s">
        <v>2380</v>
      </c>
      <c r="D176" s="821" t="s">
        <v>8346</v>
      </c>
      <c r="E176" s="821" t="s">
        <v>3513</v>
      </c>
      <c r="F176" s="821" t="s">
        <v>8339</v>
      </c>
      <c r="G176" s="1624" t="str">
        <f>IF('3C'!I27="","##BLANK",'3C'!I27)</f>
        <v>##BLANK</v>
      </c>
    </row>
    <row r="177" spans="1:7">
      <c r="A177" s="1620" t="str">
        <f>INDEX(Lists!$C$4:$C$26,MATCH(Validation!$B$3,Lists!$B$4:$B$26,0))</f>
        <v>brl</v>
      </c>
      <c r="B177" s="821" t="str">
        <f>INDEX(Lists!$C$4:$C$26,MATCH(Validation!$B$3,Lists!$B$4:$B$26,0))&amp;"_AIM24"</f>
        <v>brl_AIM24</v>
      </c>
      <c r="C177" s="821" t="s">
        <v>2380</v>
      </c>
      <c r="D177" s="821" t="s">
        <v>8346</v>
      </c>
      <c r="E177" s="821" t="s">
        <v>3513</v>
      </c>
      <c r="F177" s="821" t="s">
        <v>8339</v>
      </c>
      <c r="G177" s="1624" t="str">
        <f>IF('3C'!I28="","##BLANK",'3C'!I28)</f>
        <v>##BLANK</v>
      </c>
    </row>
    <row r="178" spans="1:7" ht="14.5" thickBot="1">
      <c r="A178" s="1621" t="str">
        <f>INDEX(Lists!$C$4:$C$26,MATCH(Validation!$B$3,Lists!$B$4:$B$26,0))</f>
        <v>brl</v>
      </c>
      <c r="B178" s="1622" t="str">
        <f>INDEX(Lists!$C$4:$C$26,MATCH(Validation!$B$3,Lists!$B$4:$B$26,0))&amp;"_AIM25"</f>
        <v>brl_AIM25</v>
      </c>
      <c r="C178" s="1622" t="s">
        <v>2380</v>
      </c>
      <c r="D178" s="1622" t="s">
        <v>8346</v>
      </c>
      <c r="E178" s="1622" t="s">
        <v>3513</v>
      </c>
      <c r="F178" s="1622" t="s">
        <v>8339</v>
      </c>
      <c r="G178" s="1626" t="str">
        <f>IF('3C'!I29="","##BLANK",'3C'!I29)</f>
        <v>##BLANK</v>
      </c>
    </row>
  </sheetData>
  <sheetProtection algorithmName="SHA-512" hashValue="t1+uONpKj9QYBLaJjrLzAFJjFqVc1pZy2gjMVlnIMLaTDvAuSC9Xcaij3ITY1IXzp+sCXsyt0ZDn+/gJ9/VbkQ==" saltValue="XGniV4/aHPYMGD/460346w==" spinCount="100000" sheet="1" objects="1" scenarios="1"/>
  <printOptions horizontalCentered="1"/>
  <pageMargins left="0.39370078740157483" right="0.39370078740157483" top="0.78740157480314965" bottom="0.78740157480314965" header="0.31496062992125984" footer="0.31496062992125984"/>
  <pageSetup paperSize="9" scale="2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pageSetUpPr fitToPage="1"/>
  </sheetPr>
  <dimension ref="A1:J26"/>
  <sheetViews>
    <sheetView workbookViewId="0">
      <selection activeCell="B24" sqref="B24"/>
    </sheetView>
  </sheetViews>
  <sheetFormatPr defaultRowHeight="14"/>
  <cols>
    <col min="1" max="1" width="36.58203125" bestFit="1" customWidth="1"/>
    <col min="2" max="2" width="36.08203125" customWidth="1"/>
    <col min="3" max="4" width="8.58203125" customWidth="1"/>
    <col min="5" max="5" width="2.58203125" customWidth="1"/>
    <col min="6" max="8" width="10" customWidth="1"/>
  </cols>
  <sheetData>
    <row r="1" spans="1:10" ht="20">
      <c r="A1" s="1" t="s">
        <v>8347</v>
      </c>
      <c r="B1" s="1"/>
      <c r="C1" s="1"/>
      <c r="D1" s="1"/>
      <c r="E1" s="1"/>
      <c r="F1" s="1"/>
      <c r="G1" s="1"/>
      <c r="H1" s="1"/>
      <c r="I1" s="1"/>
      <c r="J1" s="1"/>
    </row>
    <row r="2" spans="1:10">
      <c r="A2" s="49"/>
      <c r="B2" s="49"/>
      <c r="C2" s="1882"/>
      <c r="D2" s="1882"/>
      <c r="E2" s="49"/>
      <c r="F2" s="1882"/>
      <c r="G2" s="1882"/>
      <c r="H2" s="1882"/>
      <c r="I2" s="1882"/>
      <c r="J2" s="1882"/>
    </row>
    <row r="3" spans="1:10" s="26" customFormat="1" ht="27">
      <c r="A3" s="50" t="s">
        <v>8348</v>
      </c>
      <c r="B3" s="50" t="s">
        <v>8349</v>
      </c>
      <c r="C3" s="50" t="s">
        <v>8335</v>
      </c>
      <c r="D3" s="50" t="s">
        <v>8350</v>
      </c>
      <c r="F3" s="51" t="s">
        <v>8351</v>
      </c>
      <c r="G3" s="50"/>
      <c r="H3" s="50"/>
    </row>
    <row r="4" spans="1:10">
      <c r="A4" s="49"/>
      <c r="B4" s="49" t="s">
        <v>19</v>
      </c>
      <c r="C4" s="49"/>
      <c r="D4" s="49" t="s">
        <v>8352</v>
      </c>
      <c r="E4" s="1882"/>
      <c r="F4" s="1882"/>
      <c r="G4" s="1882"/>
      <c r="H4" s="1882"/>
      <c r="I4" s="1882"/>
      <c r="J4" s="1882"/>
    </row>
    <row r="5" spans="1:10">
      <c r="A5" s="49" t="s">
        <v>8353</v>
      </c>
      <c r="B5" s="49" t="s">
        <v>8354</v>
      </c>
      <c r="C5" s="49" t="s">
        <v>8355</v>
      </c>
      <c r="D5" s="49" t="s">
        <v>8352</v>
      </c>
      <c r="E5" s="1882"/>
      <c r="F5" s="51" t="s">
        <v>8356</v>
      </c>
      <c r="G5" s="1882"/>
      <c r="H5" s="1882"/>
      <c r="I5" s="1882"/>
      <c r="J5" s="1882"/>
    </row>
    <row r="6" spans="1:10">
      <c r="A6" s="49" t="s">
        <v>8357</v>
      </c>
      <c r="B6" s="49" t="s">
        <v>8358</v>
      </c>
      <c r="C6" s="49" t="s">
        <v>8359</v>
      </c>
      <c r="D6" s="49" t="s">
        <v>8352</v>
      </c>
      <c r="E6" s="1882"/>
      <c r="F6" s="49" t="s">
        <v>2459</v>
      </c>
      <c r="G6" s="1882"/>
      <c r="H6" s="1882"/>
      <c r="I6" s="1882"/>
      <c r="J6" s="1882"/>
    </row>
    <row r="7" spans="1:10">
      <c r="A7" s="49" t="s">
        <v>8360</v>
      </c>
      <c r="B7" s="49" t="s">
        <v>8361</v>
      </c>
      <c r="C7" s="49" t="s">
        <v>8362</v>
      </c>
      <c r="D7" s="49" t="s">
        <v>8352</v>
      </c>
      <c r="E7" s="1882"/>
      <c r="F7" s="49" t="s">
        <v>2460</v>
      </c>
      <c r="G7" s="1882"/>
      <c r="H7" s="1882"/>
      <c r="I7" s="1882"/>
      <c r="J7" s="1882"/>
    </row>
    <row r="8" spans="1:10">
      <c r="A8" s="49" t="s">
        <v>8363</v>
      </c>
      <c r="B8" s="49" t="s">
        <v>8364</v>
      </c>
      <c r="C8" s="49" t="s">
        <v>8365</v>
      </c>
      <c r="D8" s="49" t="s">
        <v>8352</v>
      </c>
      <c r="E8" s="1882"/>
      <c r="F8" s="49" t="s">
        <v>2451</v>
      </c>
      <c r="G8" s="1882"/>
      <c r="H8" s="1882"/>
      <c r="I8" s="1882"/>
      <c r="J8" s="1882"/>
    </row>
    <row r="9" spans="1:10">
      <c r="A9" s="49" t="s">
        <v>8366</v>
      </c>
      <c r="B9" s="49" t="s">
        <v>8367</v>
      </c>
      <c r="C9" s="49" t="s">
        <v>8368</v>
      </c>
      <c r="D9" s="49" t="s">
        <v>8352</v>
      </c>
      <c r="E9" s="1882"/>
      <c r="F9" s="1882"/>
      <c r="G9" s="1882"/>
      <c r="H9" s="1882"/>
      <c r="I9" s="1882"/>
      <c r="J9" s="1882"/>
    </row>
    <row r="10" spans="1:10">
      <c r="A10" s="49" t="s">
        <v>8369</v>
      </c>
      <c r="B10" s="49" t="s">
        <v>8370</v>
      </c>
      <c r="C10" s="49" t="s">
        <v>8371</v>
      </c>
      <c r="D10" s="49" t="s">
        <v>8352</v>
      </c>
      <c r="E10" s="1882"/>
      <c r="F10" s="51" t="s">
        <v>8372</v>
      </c>
      <c r="G10" s="1882"/>
      <c r="H10" s="1882"/>
      <c r="I10" s="1882"/>
      <c r="J10" s="1882"/>
    </row>
    <row r="11" spans="1:10">
      <c r="A11" s="49" t="s">
        <v>8373</v>
      </c>
      <c r="B11" s="49" t="s">
        <v>8374</v>
      </c>
      <c r="C11" s="49" t="s">
        <v>8375</v>
      </c>
      <c r="D11" s="49" t="s">
        <v>8352</v>
      </c>
      <c r="E11" s="1882"/>
      <c r="F11" s="49" t="s">
        <v>8376</v>
      </c>
      <c r="G11" s="1882"/>
      <c r="H11" s="1882"/>
      <c r="I11" s="1882"/>
      <c r="J11" s="1882"/>
    </row>
    <row r="12" spans="1:10">
      <c r="A12" s="49" t="s">
        <v>8377</v>
      </c>
      <c r="B12" s="49" t="s">
        <v>8378</v>
      </c>
      <c r="C12" s="49" t="s">
        <v>8379</v>
      </c>
      <c r="D12" s="49" t="s">
        <v>8352</v>
      </c>
      <c r="E12" s="1882"/>
      <c r="F12" s="49" t="s">
        <v>8380</v>
      </c>
      <c r="G12" s="1882"/>
      <c r="H12" s="1882"/>
      <c r="I12" s="1882"/>
      <c r="J12" s="1882"/>
    </row>
    <row r="13" spans="1:10">
      <c r="A13" s="49" t="s">
        <v>8381</v>
      </c>
      <c r="B13" s="49" t="s">
        <v>8382</v>
      </c>
      <c r="C13" s="49" t="s">
        <v>8383</v>
      </c>
      <c r="D13" s="49" t="s">
        <v>8352</v>
      </c>
      <c r="E13" s="1882"/>
      <c r="F13" s="49" t="s">
        <v>8384</v>
      </c>
      <c r="G13" s="1882"/>
      <c r="H13" s="1882"/>
      <c r="I13" s="1882"/>
      <c r="J13" s="1882"/>
    </row>
    <row r="14" spans="1:10">
      <c r="A14" s="49" t="s">
        <v>8385</v>
      </c>
      <c r="B14" s="49" t="s">
        <v>8386</v>
      </c>
      <c r="C14" s="49" t="s">
        <v>8387</v>
      </c>
      <c r="D14" s="49" t="s">
        <v>8352</v>
      </c>
      <c r="E14" s="1882"/>
      <c r="F14" s="49" t="s">
        <v>8388</v>
      </c>
      <c r="G14" s="1882"/>
      <c r="H14" s="1882"/>
      <c r="I14" s="1882"/>
      <c r="J14" s="1882"/>
    </row>
    <row r="15" spans="1:10">
      <c r="A15" s="49" t="s">
        <v>8389</v>
      </c>
      <c r="B15" s="49" t="s">
        <v>8390</v>
      </c>
      <c r="C15" s="49" t="s">
        <v>8391</v>
      </c>
      <c r="D15" s="49" t="s">
        <v>8352</v>
      </c>
      <c r="E15" s="1882"/>
      <c r="F15" s="49" t="s">
        <v>2451</v>
      </c>
      <c r="G15" s="1882"/>
      <c r="H15" s="1882"/>
      <c r="I15" s="1882"/>
      <c r="J15" s="1882"/>
    </row>
    <row r="16" spans="1:10">
      <c r="A16" s="49" t="s">
        <v>8392</v>
      </c>
      <c r="B16" s="49" t="s">
        <v>8392</v>
      </c>
      <c r="C16" s="49" t="s">
        <v>8393</v>
      </c>
      <c r="D16" s="49" t="s">
        <v>8394</v>
      </c>
      <c r="E16" s="1882"/>
      <c r="F16" s="49"/>
      <c r="G16" s="1882"/>
      <c r="H16" s="1882"/>
      <c r="I16" s="1882"/>
      <c r="J16" s="1882"/>
    </row>
    <row r="17" spans="1:6">
      <c r="A17" s="49" t="s">
        <v>8395</v>
      </c>
      <c r="B17" s="49" t="s">
        <v>8396</v>
      </c>
      <c r="C17" s="49" t="s">
        <v>8397</v>
      </c>
      <c r="D17" s="49" t="s">
        <v>8394</v>
      </c>
      <c r="E17" s="1882"/>
      <c r="F17" s="49"/>
    </row>
    <row r="18" spans="1:6">
      <c r="A18" s="49" t="s">
        <v>8398</v>
      </c>
      <c r="B18" s="49" t="s">
        <v>8399</v>
      </c>
      <c r="C18" s="49" t="s">
        <v>8400</v>
      </c>
      <c r="D18" s="49" t="s">
        <v>8394</v>
      </c>
      <c r="E18" s="1882"/>
      <c r="F18" s="49" t="s">
        <v>8401</v>
      </c>
    </row>
    <row r="19" spans="1:6">
      <c r="A19" s="49" t="s">
        <v>8402</v>
      </c>
      <c r="B19" s="49" t="s">
        <v>8403</v>
      </c>
      <c r="C19" s="49" t="s">
        <v>8404</v>
      </c>
      <c r="D19" s="49" t="s">
        <v>8394</v>
      </c>
      <c r="E19" s="1882"/>
      <c r="F19" s="1882"/>
    </row>
    <row r="20" spans="1:6">
      <c r="A20" s="49" t="s">
        <v>8405</v>
      </c>
      <c r="B20" s="49" t="s">
        <v>8406</v>
      </c>
      <c r="C20" s="49" t="s">
        <v>8407</v>
      </c>
      <c r="D20" s="49" t="s">
        <v>8394</v>
      </c>
      <c r="E20" s="1882"/>
      <c r="F20" s="1882"/>
    </row>
    <row r="21" spans="1:6">
      <c r="A21" s="49" t="s">
        <v>8408</v>
      </c>
      <c r="B21" s="49" t="s">
        <v>8409</v>
      </c>
      <c r="C21" s="49" t="s">
        <v>8410</v>
      </c>
      <c r="D21" s="49" t="s">
        <v>8394</v>
      </c>
      <c r="E21" s="1882"/>
      <c r="F21" s="1882"/>
    </row>
    <row r="22" spans="1:6">
      <c r="A22" s="49" t="s">
        <v>8411</v>
      </c>
      <c r="B22" s="49" t="s">
        <v>8412</v>
      </c>
      <c r="C22" s="49" t="s">
        <v>8413</v>
      </c>
      <c r="D22" s="49" t="s">
        <v>8394</v>
      </c>
      <c r="E22" s="1882"/>
      <c r="F22" s="1882"/>
    </row>
    <row r="23" spans="1:6">
      <c r="A23" s="49" t="s">
        <v>8414</v>
      </c>
      <c r="B23" s="49" t="s">
        <v>8415</v>
      </c>
      <c r="C23" s="49" t="s">
        <v>8416</v>
      </c>
      <c r="D23" s="49" t="s">
        <v>8394</v>
      </c>
      <c r="E23" s="1882"/>
      <c r="F23" s="1882"/>
    </row>
    <row r="24" spans="1:6" s="1882" customFormat="1">
      <c r="A24" s="49" t="s">
        <v>8417</v>
      </c>
      <c r="B24" s="49" t="s">
        <v>8418</v>
      </c>
      <c r="C24" s="49" t="s">
        <v>911</v>
      </c>
      <c r="D24" s="49" t="s">
        <v>8352</v>
      </c>
    </row>
    <row r="25" spans="1:6" s="1882" customFormat="1">
      <c r="A25" s="49" t="s">
        <v>8419</v>
      </c>
      <c r="B25" s="49" t="s">
        <v>8420</v>
      </c>
      <c r="C25" s="49" t="s">
        <v>8421</v>
      </c>
      <c r="D25" s="49" t="s">
        <v>8352</v>
      </c>
    </row>
    <row r="26" spans="1:6">
      <c r="A26" s="49" t="s">
        <v>8422</v>
      </c>
      <c r="B26" s="49" t="s">
        <v>8423</v>
      </c>
      <c r="C26" s="49" t="s">
        <v>8424</v>
      </c>
      <c r="D26" s="49" t="s">
        <v>8352</v>
      </c>
      <c r="E26" s="1882"/>
      <c r="F26" s="1882"/>
    </row>
  </sheetData>
  <sheetProtection algorithmName="SHA-512" hashValue="wxjbMWx5UxZoLchgWp4D/lop/32zHcEYiWPBHmfKcVUfxQZAJtrDtkWBJ1iAdkuA+br1a4ipPOwbc6HiU9gksQ==" saltValue="RQpXjC68DkF7rINS88X2DA==" spinCount="100000" sheet="1" objects="1" scenarios="1"/>
  <pageMargins left="0.70866141732283472" right="0.70866141732283472" top="0.74803149606299213" bottom="0.74803149606299213" header="0.31496062992125984" footer="0.31496062992125984"/>
  <pageSetup paperSize="9" scale="63" orientation="portrait" r:id="rId1"/>
  <headerFooter>
    <oddFooter>&amp;L2016 Annual performance report tables, December 2015</oddFooter>
  </headerFooter>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dimension ref="A1:CP728"/>
  <sheetViews>
    <sheetView workbookViewId="0"/>
  </sheetViews>
  <sheetFormatPr defaultRowHeight="14"/>
  <cols>
    <col min="2" max="2" width="21.08203125" bestFit="1" customWidth="1"/>
    <col min="17" max="17" width="9" style="520"/>
    <col min="68" max="68" width="9" style="520"/>
    <col min="81" max="85" width="9" style="1882"/>
    <col min="87" max="92" width="9" style="1882"/>
    <col min="93" max="93" width="3.75" style="648" customWidth="1"/>
    <col min="94" max="94" width="11" customWidth="1"/>
  </cols>
  <sheetData>
    <row r="1" spans="1:94" s="2065" customFormat="1" ht="89.25" customHeight="1">
      <c r="Q1" s="2066"/>
      <c r="T1" s="2065" t="s">
        <v>8425</v>
      </c>
      <c r="Y1" s="2065" t="s">
        <v>8426</v>
      </c>
      <c r="AI1" s="2065" t="s">
        <v>8427</v>
      </c>
      <c r="AN1" s="2065" t="s">
        <v>8428</v>
      </c>
      <c r="AS1" s="2065" t="s">
        <v>8429</v>
      </c>
      <c r="AX1" s="2065" t="s">
        <v>8380</v>
      </c>
      <c r="BC1" s="2065" t="s">
        <v>8430</v>
      </c>
      <c r="BH1" s="2065" t="s">
        <v>8431</v>
      </c>
      <c r="BI1" s="2065" t="s">
        <v>8432</v>
      </c>
      <c r="BJ1" s="2065" t="s">
        <v>8433</v>
      </c>
      <c r="BK1" s="2065" t="s">
        <v>8434</v>
      </c>
      <c r="BL1" s="2065" t="s">
        <v>8435</v>
      </c>
      <c r="BM1" s="2065" t="s">
        <v>8436</v>
      </c>
      <c r="BP1" s="2074" t="s">
        <v>8437</v>
      </c>
      <c r="BQ1" s="2070"/>
      <c r="BR1" s="2070"/>
      <c r="BS1" s="2070"/>
      <c r="BT1" s="2070"/>
      <c r="BU1" s="2070"/>
      <c r="BV1" s="2070"/>
      <c r="BW1" s="2073" t="s">
        <v>8438</v>
      </c>
      <c r="BX1" s="2069"/>
      <c r="BY1" s="2069"/>
      <c r="BZ1" s="2069"/>
      <c r="CA1" s="2069"/>
      <c r="CB1" s="2069"/>
      <c r="CC1" s="2072" t="s">
        <v>8439</v>
      </c>
      <c r="CD1" s="2071"/>
      <c r="CE1" s="2071"/>
      <c r="CF1" s="2071"/>
      <c r="CG1" s="2071"/>
      <c r="CH1" s="2071"/>
      <c r="CI1" s="2803" t="s">
        <v>8440</v>
      </c>
      <c r="CJ1" s="2804"/>
      <c r="CK1" s="2804"/>
      <c r="CL1" s="2804"/>
      <c r="CM1" s="2804"/>
      <c r="CN1" s="2804"/>
      <c r="CO1" s="2075"/>
    </row>
    <row r="2" spans="1:94" s="2063" customFormat="1" ht="100">
      <c r="A2" s="2063" t="s">
        <v>8441</v>
      </c>
      <c r="B2" s="2063" t="s">
        <v>2306</v>
      </c>
      <c r="C2" s="2063" t="s">
        <v>8442</v>
      </c>
      <c r="D2" s="2063" t="s">
        <v>8443</v>
      </c>
      <c r="E2" s="2063" t="s">
        <v>8444</v>
      </c>
      <c r="F2" s="2063" t="s">
        <v>8445</v>
      </c>
      <c r="G2" s="2063" t="s">
        <v>8446</v>
      </c>
      <c r="H2" s="2063" t="s">
        <v>8447</v>
      </c>
      <c r="I2" s="2063" t="s">
        <v>2307</v>
      </c>
      <c r="J2" s="2063" t="s">
        <v>8448</v>
      </c>
      <c r="K2" s="2063" t="s">
        <v>8449</v>
      </c>
      <c r="L2" s="2063" t="s">
        <v>8450</v>
      </c>
      <c r="M2" s="2063" t="s">
        <v>8451</v>
      </c>
      <c r="N2" s="2063" t="s">
        <v>8452</v>
      </c>
      <c r="O2" s="2063" t="s">
        <v>8453</v>
      </c>
      <c r="P2" s="2063" t="s">
        <v>8454</v>
      </c>
      <c r="Q2" s="2064" t="s">
        <v>2310</v>
      </c>
      <c r="R2" s="2063" t="s">
        <v>8455</v>
      </c>
      <c r="S2" s="2063" t="s">
        <v>8456</v>
      </c>
      <c r="T2" s="2063" t="s">
        <v>8457</v>
      </c>
      <c r="U2" s="2063" t="s">
        <v>8458</v>
      </c>
      <c r="V2" s="2063" t="s">
        <v>8459</v>
      </c>
      <c r="W2" s="2063" t="s">
        <v>8460</v>
      </c>
      <c r="X2" s="2063" t="s">
        <v>8461</v>
      </c>
      <c r="Y2" s="2063" t="s">
        <v>8462</v>
      </c>
      <c r="Z2" s="2063" t="s">
        <v>8463</v>
      </c>
      <c r="AA2" s="2063" t="s">
        <v>8464</v>
      </c>
      <c r="AB2" s="2063" t="s">
        <v>8465</v>
      </c>
      <c r="AC2" s="2063" t="s">
        <v>8466</v>
      </c>
      <c r="AD2" s="2063" t="s">
        <v>8467</v>
      </c>
      <c r="AE2" s="2063" t="s">
        <v>8468</v>
      </c>
      <c r="AF2" s="2063" t="s">
        <v>8469</v>
      </c>
      <c r="AG2" s="2063" t="s">
        <v>8470</v>
      </c>
      <c r="AH2" s="2063" t="s">
        <v>8471</v>
      </c>
      <c r="AI2" s="2063" t="s">
        <v>8472</v>
      </c>
      <c r="AJ2" s="2063" t="s">
        <v>2445</v>
      </c>
      <c r="AK2" s="2063" t="s">
        <v>2446</v>
      </c>
      <c r="AL2" s="2063" t="s">
        <v>2447</v>
      </c>
      <c r="AM2" s="2063" t="s">
        <v>2448</v>
      </c>
      <c r="AN2" s="2063" t="s">
        <v>8472</v>
      </c>
      <c r="AO2" s="2063" t="s">
        <v>2445</v>
      </c>
      <c r="AP2" s="2063" t="s">
        <v>2446</v>
      </c>
      <c r="AQ2" s="2063" t="s">
        <v>2447</v>
      </c>
      <c r="AR2" s="2063" t="s">
        <v>2448</v>
      </c>
      <c r="AS2" s="2063" t="s">
        <v>8472</v>
      </c>
      <c r="AT2" s="2063" t="s">
        <v>2445</v>
      </c>
      <c r="AU2" s="2063" t="s">
        <v>2446</v>
      </c>
      <c r="AV2" s="2063" t="s">
        <v>2447</v>
      </c>
      <c r="AW2" s="2063" t="s">
        <v>2448</v>
      </c>
      <c r="AX2" s="2063" t="s">
        <v>8472</v>
      </c>
      <c r="AY2" s="2063" t="s">
        <v>2445</v>
      </c>
      <c r="AZ2" s="2063" t="s">
        <v>2446</v>
      </c>
      <c r="BA2" s="2063" t="s">
        <v>2447</v>
      </c>
      <c r="BB2" s="2063" t="s">
        <v>2448</v>
      </c>
      <c r="BC2" s="2063" t="s">
        <v>8472</v>
      </c>
      <c r="BD2" s="2063" t="s">
        <v>2445</v>
      </c>
      <c r="BE2" s="2063" t="s">
        <v>2446</v>
      </c>
      <c r="BF2" s="2063" t="s">
        <v>2447</v>
      </c>
      <c r="BG2" s="2063" t="s">
        <v>2448</v>
      </c>
      <c r="BH2" s="2063" t="s">
        <v>8473</v>
      </c>
      <c r="BI2" s="2063" t="s">
        <v>8473</v>
      </c>
      <c r="BJ2" s="2063" t="s">
        <v>8473</v>
      </c>
      <c r="BK2" s="2063" t="s">
        <v>8473</v>
      </c>
      <c r="BL2" s="2063" t="s">
        <v>8473</v>
      </c>
      <c r="BM2" s="2063" t="s">
        <v>8473</v>
      </c>
      <c r="BN2" s="2063" t="s">
        <v>8474</v>
      </c>
      <c r="BO2" s="2063" t="s">
        <v>8475</v>
      </c>
      <c r="BP2" s="2076" t="s">
        <v>8476</v>
      </c>
      <c r="BQ2" s="2077" t="s">
        <v>8477</v>
      </c>
      <c r="BR2" s="2077" t="s">
        <v>8478</v>
      </c>
      <c r="BS2" s="2077" t="s">
        <v>8479</v>
      </c>
      <c r="BT2" s="2077" t="s">
        <v>8480</v>
      </c>
      <c r="BU2" s="2077" t="s">
        <v>8481</v>
      </c>
      <c r="BV2" s="2077" t="s">
        <v>8482</v>
      </c>
      <c r="BW2" s="2078" t="s">
        <v>8483</v>
      </c>
      <c r="BX2" s="2078" t="s">
        <v>8484</v>
      </c>
      <c r="BY2" s="2078" t="s">
        <v>8485</v>
      </c>
      <c r="BZ2" s="2078" t="s">
        <v>8486</v>
      </c>
      <c r="CA2" s="2078" t="s">
        <v>8487</v>
      </c>
      <c r="CB2" s="2078" t="s">
        <v>8488</v>
      </c>
      <c r="CC2" s="2079" t="s">
        <v>8489</v>
      </c>
      <c r="CD2" s="2079" t="s">
        <v>8490</v>
      </c>
      <c r="CE2" s="2079" t="s">
        <v>8491</v>
      </c>
      <c r="CF2" s="2079" t="s">
        <v>8492</v>
      </c>
      <c r="CG2" s="2079" t="s">
        <v>8493</v>
      </c>
      <c r="CH2" s="2079" t="s">
        <v>8494</v>
      </c>
      <c r="CI2" s="2805" t="s">
        <v>8495</v>
      </c>
      <c r="CJ2" s="2805" t="s">
        <v>8496</v>
      </c>
      <c r="CK2" s="2805" t="s">
        <v>8497</v>
      </c>
      <c r="CL2" s="2805" t="s">
        <v>8498</v>
      </c>
      <c r="CM2" s="2805" t="s">
        <v>8499</v>
      </c>
      <c r="CN2" s="2805" t="s">
        <v>8500</v>
      </c>
      <c r="CO2" s="2080"/>
      <c r="CP2" s="2063" t="s">
        <v>2307</v>
      </c>
    </row>
    <row r="3" spans="1:94">
      <c r="A3" s="1882" t="s">
        <v>8501</v>
      </c>
      <c r="B3" s="1882" t="s">
        <v>8502</v>
      </c>
      <c r="C3" s="1882" t="s">
        <v>8394</v>
      </c>
      <c r="D3" s="1882" t="s">
        <v>1626</v>
      </c>
      <c r="E3" s="1882" t="s">
        <v>8503</v>
      </c>
      <c r="F3" s="1882" t="s">
        <v>8504</v>
      </c>
      <c r="G3" s="1882" t="s">
        <v>8505</v>
      </c>
      <c r="H3" s="1882" t="s">
        <v>8506</v>
      </c>
      <c r="I3" s="1882" t="s">
        <v>8507</v>
      </c>
      <c r="J3" s="1882" t="s">
        <v>8508</v>
      </c>
      <c r="K3" s="1882" t="s">
        <v>8509</v>
      </c>
      <c r="L3" s="1882"/>
      <c r="M3" s="1882" t="s">
        <v>2460</v>
      </c>
      <c r="N3" s="1882" t="s">
        <v>2444</v>
      </c>
      <c r="O3" s="1882" t="s">
        <v>764</v>
      </c>
      <c r="P3" s="1882" t="s">
        <v>8510</v>
      </c>
      <c r="Q3" s="520">
        <v>1</v>
      </c>
      <c r="R3" s="1882" t="s">
        <v>8511</v>
      </c>
      <c r="S3" s="1882">
        <v>189.3</v>
      </c>
      <c r="T3" s="1882">
        <v>183.9</v>
      </c>
      <c r="U3" s="1882">
        <v>178.5</v>
      </c>
      <c r="V3" s="1882">
        <v>173.1</v>
      </c>
      <c r="W3" s="1882">
        <v>167.7</v>
      </c>
      <c r="X3" s="1882">
        <v>162.19999999999999</v>
      </c>
      <c r="Y3" s="1882"/>
      <c r="Z3" s="1882"/>
      <c r="AA3" s="1882"/>
      <c r="AB3" s="1882"/>
      <c r="AC3" s="1882"/>
      <c r="AD3" s="1882"/>
      <c r="AE3" s="1882" t="s">
        <v>2459</v>
      </c>
      <c r="AF3" s="1882"/>
      <c r="AG3" s="1882"/>
      <c r="AH3" s="1882">
        <v>0</v>
      </c>
      <c r="AI3" s="1882" t="s">
        <v>2459</v>
      </c>
      <c r="AJ3" s="1882" t="s">
        <v>2459</v>
      </c>
      <c r="AK3" s="1882" t="s">
        <v>2459</v>
      </c>
      <c r="AL3" s="1882" t="s">
        <v>2459</v>
      </c>
      <c r="AM3" s="1882" t="s">
        <v>2459</v>
      </c>
      <c r="AN3" s="1882">
        <v>211.9</v>
      </c>
      <c r="AO3" s="1882">
        <v>206.5</v>
      </c>
      <c r="AP3" s="1882">
        <v>201.1</v>
      </c>
      <c r="AQ3" s="1882">
        <v>195.7</v>
      </c>
      <c r="AR3" s="1882">
        <v>190.3</v>
      </c>
      <c r="AS3" s="1882">
        <v>183.9</v>
      </c>
      <c r="AT3" s="1882">
        <v>178.5</v>
      </c>
      <c r="AU3" s="1882">
        <v>173.1</v>
      </c>
      <c r="AV3" s="1882">
        <v>167.7</v>
      </c>
      <c r="AW3" s="1882">
        <v>162.19999999999999</v>
      </c>
      <c r="AX3" s="1882">
        <v>170.2</v>
      </c>
      <c r="AY3" s="1882">
        <v>170.2</v>
      </c>
      <c r="AZ3" s="1882">
        <v>170.2</v>
      </c>
      <c r="BA3" s="1882">
        <v>167.7</v>
      </c>
      <c r="BB3" s="1882">
        <v>162.19999999999999</v>
      </c>
      <c r="BC3" s="1882">
        <v>155.9</v>
      </c>
      <c r="BD3" s="1882">
        <v>150.5</v>
      </c>
      <c r="BE3" s="1882">
        <v>145.1</v>
      </c>
      <c r="BF3" s="1882">
        <v>139.69999999999999</v>
      </c>
      <c r="BG3" s="1882">
        <v>134.30000000000001</v>
      </c>
      <c r="BH3" s="1882">
        <v>0.249</v>
      </c>
      <c r="BI3" s="1882"/>
      <c r="BJ3" s="1882"/>
      <c r="BK3" s="1882"/>
      <c r="BL3" s="1882">
        <v>8.4000000000000005E-2</v>
      </c>
      <c r="BM3" s="1882">
        <v>0.126</v>
      </c>
      <c r="BN3" s="1882">
        <v>1</v>
      </c>
      <c r="BO3" s="1882" t="s">
        <v>8512</v>
      </c>
      <c r="BP3" s="520">
        <v>183.49</v>
      </c>
      <c r="BQ3" s="690">
        <v>180.89</v>
      </c>
      <c r="BR3" s="1882" t="s">
        <v>2459</v>
      </c>
      <c r="BS3" s="1882" t="s">
        <v>8513</v>
      </c>
      <c r="BT3" s="1882">
        <v>0</v>
      </c>
      <c r="BU3" s="1882" t="s">
        <v>8380</v>
      </c>
      <c r="BV3" s="1882">
        <v>0</v>
      </c>
      <c r="BW3" s="1882">
        <v>172.99</v>
      </c>
      <c r="BX3" s="1882" t="s">
        <v>2459</v>
      </c>
      <c r="BY3" s="1882">
        <v>0</v>
      </c>
      <c r="BZ3" s="1882">
        <v>0</v>
      </c>
      <c r="CA3" s="1882" t="s">
        <v>8380</v>
      </c>
      <c r="CB3" s="1882">
        <v>0</v>
      </c>
      <c r="CC3" s="1882">
        <v>172.67</v>
      </c>
      <c r="CD3" s="1882" t="s">
        <v>2459</v>
      </c>
      <c r="CE3" s="1882">
        <v>0</v>
      </c>
      <c r="CF3" s="1882">
        <v>0</v>
      </c>
      <c r="CG3" s="1882">
        <v>0</v>
      </c>
      <c r="CH3" s="1882">
        <v>0</v>
      </c>
      <c r="CI3" s="1882">
        <v>196.1</v>
      </c>
      <c r="CJ3" s="1882" t="s">
        <v>2460</v>
      </c>
      <c r="CK3" s="1882">
        <v>0</v>
      </c>
      <c r="CL3" s="1882">
        <v>0</v>
      </c>
      <c r="CM3" s="1882" t="s">
        <v>8384</v>
      </c>
      <c r="CN3" s="1882">
        <v>-6.9720000000000004</v>
      </c>
      <c r="CP3" s="1882" t="s">
        <v>8514</v>
      </c>
    </row>
    <row r="4" spans="1:94">
      <c r="A4" s="1882" t="s">
        <v>8501</v>
      </c>
      <c r="B4" s="1882" t="s">
        <v>8515</v>
      </c>
      <c r="C4" s="1882" t="s">
        <v>8394</v>
      </c>
      <c r="D4" s="1882" t="s">
        <v>1626</v>
      </c>
      <c r="E4" s="1882" t="s">
        <v>8503</v>
      </c>
      <c r="F4" s="1882" t="s">
        <v>8504</v>
      </c>
      <c r="G4" s="1882" t="s">
        <v>8516</v>
      </c>
      <c r="H4" s="1882" t="s">
        <v>8517</v>
      </c>
      <c r="I4" s="1882" t="s">
        <v>8518</v>
      </c>
      <c r="J4" s="1882" t="s">
        <v>8519</v>
      </c>
      <c r="K4" s="1882" t="s">
        <v>8509</v>
      </c>
      <c r="L4" s="1882"/>
      <c r="M4" s="1882" t="s">
        <v>2460</v>
      </c>
      <c r="N4" s="1882" t="s">
        <v>8520</v>
      </c>
      <c r="O4" s="1882" t="s">
        <v>764</v>
      </c>
      <c r="P4" s="1882" t="s">
        <v>8521</v>
      </c>
      <c r="Q4" s="520">
        <v>1</v>
      </c>
      <c r="R4" s="1882" t="s">
        <v>8511</v>
      </c>
      <c r="S4" s="1882">
        <v>158.4</v>
      </c>
      <c r="T4" s="1882">
        <v>156.30000000000001</v>
      </c>
      <c r="U4" s="1882">
        <v>155.6</v>
      </c>
      <c r="V4" s="1882">
        <v>153.30000000000001</v>
      </c>
      <c r="W4" s="1882">
        <v>150.30000000000001</v>
      </c>
      <c r="X4" s="1882">
        <v>147.4</v>
      </c>
      <c r="Y4" s="1882"/>
      <c r="Z4" s="1882"/>
      <c r="AA4" s="1882"/>
      <c r="AB4" s="1882"/>
      <c r="AC4" s="1882"/>
      <c r="AD4" s="1882"/>
      <c r="AE4" s="1882"/>
      <c r="AF4" s="1882"/>
      <c r="AG4" s="1882"/>
      <c r="AH4" s="1882">
        <v>0</v>
      </c>
      <c r="AI4" s="1882"/>
      <c r="AJ4" s="1882"/>
      <c r="AK4" s="1882" t="s">
        <v>2459</v>
      </c>
      <c r="AL4" s="1882"/>
      <c r="AM4" s="1882" t="s">
        <v>2459</v>
      </c>
      <c r="AN4" s="1882"/>
      <c r="AO4" s="1882"/>
      <c r="AP4" s="1882"/>
      <c r="AQ4" s="1882"/>
      <c r="AR4" s="1882"/>
      <c r="AS4" s="1882"/>
      <c r="AT4" s="1882"/>
      <c r="AU4" s="1882"/>
      <c r="AV4" s="1882"/>
      <c r="AW4" s="1882"/>
      <c r="AX4" s="1882"/>
      <c r="AY4" s="1882"/>
      <c r="AZ4" s="1882"/>
      <c r="BA4" s="1882"/>
      <c r="BB4" s="1882"/>
      <c r="BC4" s="1882"/>
      <c r="BD4" s="1882"/>
      <c r="BE4" s="1882"/>
      <c r="BF4" s="1882"/>
      <c r="BG4" s="1882"/>
      <c r="BH4" s="1882">
        <v>0.75</v>
      </c>
      <c r="BI4" s="1882">
        <v>1.75</v>
      </c>
      <c r="BJ4" s="1882"/>
      <c r="BK4" s="1882"/>
      <c r="BL4" s="1882"/>
      <c r="BM4" s="1882"/>
      <c r="BN4" s="1882">
        <v>1</v>
      </c>
      <c r="BO4" s="1882" t="s">
        <v>8512</v>
      </c>
      <c r="BP4" s="520">
        <v>154.9</v>
      </c>
      <c r="BQ4" s="690">
        <v>154.4</v>
      </c>
      <c r="BR4" s="1882" t="s">
        <v>2459</v>
      </c>
      <c r="BS4" s="1882" t="s">
        <v>8513</v>
      </c>
      <c r="BT4" s="1882">
        <v>0</v>
      </c>
      <c r="BU4" s="1882" t="s">
        <v>8513</v>
      </c>
      <c r="BV4" s="1882">
        <v>0</v>
      </c>
      <c r="BW4" s="1882">
        <v>159.69</v>
      </c>
      <c r="BX4" s="1882" t="s">
        <v>2460</v>
      </c>
      <c r="BY4" s="1882">
        <v>0</v>
      </c>
      <c r="BZ4" s="1882">
        <v>0</v>
      </c>
      <c r="CA4" s="1882">
        <v>0</v>
      </c>
      <c r="CB4" s="1882">
        <v>0</v>
      </c>
      <c r="CC4" s="1882">
        <v>151.68543751188128</v>
      </c>
      <c r="CD4" s="1882" t="s">
        <v>2459</v>
      </c>
      <c r="CE4" s="1882">
        <v>0</v>
      </c>
      <c r="CF4" s="1882">
        <v>0</v>
      </c>
      <c r="CG4" s="1882">
        <v>0</v>
      </c>
      <c r="CH4" s="1882">
        <v>0</v>
      </c>
      <c r="CI4" s="1882">
        <v>149.19999999999999</v>
      </c>
      <c r="CJ4" s="1882" t="s">
        <v>2459</v>
      </c>
      <c r="CK4" s="1882">
        <v>0</v>
      </c>
      <c r="CL4" s="1882">
        <v>0</v>
      </c>
      <c r="CM4" s="1882">
        <v>0</v>
      </c>
      <c r="CN4" s="1882">
        <v>0</v>
      </c>
      <c r="CP4" s="1882" t="s">
        <v>8522</v>
      </c>
    </row>
    <row r="5" spans="1:94">
      <c r="A5" s="1882" t="s">
        <v>8501</v>
      </c>
      <c r="B5" s="1882" t="s">
        <v>8523</v>
      </c>
      <c r="C5" s="1882" t="s">
        <v>8394</v>
      </c>
      <c r="D5" s="1882" t="s">
        <v>1626</v>
      </c>
      <c r="E5" s="1882" t="s">
        <v>8503</v>
      </c>
      <c r="F5" s="1882" t="s">
        <v>8504</v>
      </c>
      <c r="G5" s="1882" t="s">
        <v>8524</v>
      </c>
      <c r="H5" s="1882" t="s">
        <v>8525</v>
      </c>
      <c r="I5" s="1882" t="s">
        <v>8526</v>
      </c>
      <c r="J5" s="1882" t="s">
        <v>8519</v>
      </c>
      <c r="K5" s="1882" t="s">
        <v>8509</v>
      </c>
      <c r="L5" s="1882"/>
      <c r="M5" s="1882" t="s">
        <v>2460</v>
      </c>
      <c r="N5" s="1882" t="s">
        <v>8527</v>
      </c>
      <c r="O5" s="1882" t="s">
        <v>764</v>
      </c>
      <c r="P5" s="1882" t="s">
        <v>8510</v>
      </c>
      <c r="Q5" s="520">
        <v>1</v>
      </c>
      <c r="R5" s="1882" t="s">
        <v>8511</v>
      </c>
      <c r="S5" s="1882">
        <v>1114.7</v>
      </c>
      <c r="T5" s="1882">
        <v>1110.4000000000001</v>
      </c>
      <c r="U5" s="1882">
        <v>1103.5</v>
      </c>
      <c r="V5" s="1882">
        <v>1100.8</v>
      </c>
      <c r="W5" s="1882">
        <v>1068.0999999999999</v>
      </c>
      <c r="X5" s="1882">
        <v>1067</v>
      </c>
      <c r="Y5" s="1882"/>
      <c r="Z5" s="1882"/>
      <c r="AA5" s="1882"/>
      <c r="AB5" s="1882"/>
      <c r="AC5" s="1882"/>
      <c r="AD5" s="1882"/>
      <c r="AE5" s="1882"/>
      <c r="AF5" s="1882"/>
      <c r="AG5" s="1882"/>
      <c r="AH5" s="1882">
        <v>0</v>
      </c>
      <c r="AI5" s="1882"/>
      <c r="AJ5" s="1882"/>
      <c r="AK5" s="1882" t="s">
        <v>2459</v>
      </c>
      <c r="AL5" s="1882"/>
      <c r="AM5" s="1882" t="s">
        <v>2459</v>
      </c>
      <c r="AN5" s="1882"/>
      <c r="AO5" s="1882"/>
      <c r="AP5" s="1882"/>
      <c r="AQ5" s="1882"/>
      <c r="AR5" s="1882"/>
      <c r="AS5" s="1882"/>
      <c r="AT5" s="1882"/>
      <c r="AU5" s="1882"/>
      <c r="AV5" s="1882"/>
      <c r="AW5" s="1882"/>
      <c r="AX5" s="1882"/>
      <c r="AY5" s="1882"/>
      <c r="AZ5" s="1882"/>
      <c r="BA5" s="1882"/>
      <c r="BB5" s="1882"/>
      <c r="BC5" s="1882"/>
      <c r="BD5" s="1882"/>
      <c r="BE5" s="1882"/>
      <c r="BF5" s="1882"/>
      <c r="BG5" s="1882"/>
      <c r="BH5" s="1882">
        <v>0.59</v>
      </c>
      <c r="BI5" s="1882">
        <v>1.91</v>
      </c>
      <c r="BJ5" s="1882"/>
      <c r="BK5" s="1882"/>
      <c r="BL5" s="1882"/>
      <c r="BM5" s="1882"/>
      <c r="BN5" s="1882">
        <v>1</v>
      </c>
      <c r="BO5" s="1882" t="s">
        <v>8512</v>
      </c>
      <c r="BP5" s="520">
        <v>1151.93</v>
      </c>
      <c r="BQ5" s="690">
        <v>1139.08</v>
      </c>
      <c r="BR5" s="1882" t="s">
        <v>2459</v>
      </c>
      <c r="BS5" s="1882" t="s">
        <v>8513</v>
      </c>
      <c r="BT5" s="1882">
        <v>0</v>
      </c>
      <c r="BU5" s="1882" t="s">
        <v>8513</v>
      </c>
      <c r="BV5" s="1882">
        <v>0</v>
      </c>
      <c r="BW5" s="1882">
        <v>1153.02</v>
      </c>
      <c r="BX5" s="1882" t="s">
        <v>2459</v>
      </c>
      <c r="BY5" s="1882">
        <v>0</v>
      </c>
      <c r="BZ5" s="1882">
        <v>0</v>
      </c>
      <c r="CA5" s="1882">
        <v>0</v>
      </c>
      <c r="CB5" s="1882">
        <v>0</v>
      </c>
      <c r="CC5" s="1882">
        <v>1135.5530304347826</v>
      </c>
      <c r="CD5" s="1882" t="s">
        <v>2459</v>
      </c>
      <c r="CE5" s="1882">
        <v>0</v>
      </c>
      <c r="CF5" s="1882">
        <v>0</v>
      </c>
      <c r="CG5" s="1882">
        <v>0</v>
      </c>
      <c r="CH5" s="1882">
        <v>0</v>
      </c>
      <c r="CI5" s="1882">
        <v>1105.3</v>
      </c>
      <c r="CJ5" s="1882" t="s">
        <v>2459</v>
      </c>
      <c r="CK5" s="1882">
        <v>0</v>
      </c>
      <c r="CL5" s="1882">
        <v>0</v>
      </c>
      <c r="CM5" s="1882">
        <v>0</v>
      </c>
      <c r="CN5" s="1882">
        <v>0</v>
      </c>
      <c r="CP5" s="1882" t="s">
        <v>8528</v>
      </c>
    </row>
    <row r="6" spans="1:94">
      <c r="A6" s="1882" t="s">
        <v>8501</v>
      </c>
      <c r="B6" s="1882" t="s">
        <v>8529</v>
      </c>
      <c r="C6" s="1882" t="s">
        <v>8394</v>
      </c>
      <c r="D6" s="1882" t="s">
        <v>1626</v>
      </c>
      <c r="E6" s="1882" t="s">
        <v>8503</v>
      </c>
      <c r="F6" s="1882" t="s">
        <v>8504</v>
      </c>
      <c r="G6" s="1882" t="s">
        <v>8530</v>
      </c>
      <c r="H6" s="1882" t="s">
        <v>8531</v>
      </c>
      <c r="I6" s="1882" t="s">
        <v>8532</v>
      </c>
      <c r="J6" s="1882" t="s">
        <v>8508</v>
      </c>
      <c r="K6" s="1882" t="s">
        <v>8509</v>
      </c>
      <c r="L6" s="1882"/>
      <c r="M6" s="1882"/>
      <c r="N6" s="1882" t="s">
        <v>8533</v>
      </c>
      <c r="O6" s="1882" t="s">
        <v>764</v>
      </c>
      <c r="P6" s="1882" t="s">
        <v>8510</v>
      </c>
      <c r="Q6" s="520">
        <v>1</v>
      </c>
      <c r="R6" s="1882" t="s">
        <v>8511</v>
      </c>
      <c r="S6" s="1882">
        <v>0</v>
      </c>
      <c r="T6" s="1882">
        <v>-6.7</v>
      </c>
      <c r="U6" s="1882">
        <v>-12.5</v>
      </c>
      <c r="V6" s="1882">
        <v>-14.1</v>
      </c>
      <c r="W6" s="1882">
        <v>-42.1</v>
      </c>
      <c r="X6" s="1882">
        <v>-42.1</v>
      </c>
      <c r="Y6" s="1882"/>
      <c r="Z6" s="1882"/>
      <c r="AA6" s="1882"/>
      <c r="AB6" s="1882"/>
      <c r="AC6" s="1882"/>
      <c r="AD6" s="1882"/>
      <c r="AE6" s="1882"/>
      <c r="AF6" s="1882" t="s">
        <v>2459</v>
      </c>
      <c r="AG6" s="1882"/>
      <c r="AH6" s="1882">
        <v>0</v>
      </c>
      <c r="AI6" s="1882" t="s">
        <v>2459</v>
      </c>
      <c r="AJ6" s="1882" t="s">
        <v>2459</v>
      </c>
      <c r="AK6" s="1882" t="s">
        <v>2459</v>
      </c>
      <c r="AL6" s="1882" t="s">
        <v>2459</v>
      </c>
      <c r="AM6" s="1882" t="s">
        <v>2459</v>
      </c>
      <c r="AN6" s="1882">
        <v>0</v>
      </c>
      <c r="AO6" s="1882">
        <v>0</v>
      </c>
      <c r="AP6" s="1882">
        <v>0</v>
      </c>
      <c r="AQ6" s="1882">
        <v>0</v>
      </c>
      <c r="AR6" s="1882">
        <v>0</v>
      </c>
      <c r="AS6" s="1882">
        <v>-6.7</v>
      </c>
      <c r="AT6" s="1882">
        <v>-12.5</v>
      </c>
      <c r="AU6" s="1882">
        <v>-14.1</v>
      </c>
      <c r="AV6" s="1882">
        <v>-42.1</v>
      </c>
      <c r="AW6" s="1882">
        <v>-42.1</v>
      </c>
      <c r="AX6" s="1882">
        <v>-6.7</v>
      </c>
      <c r="AY6" s="1882">
        <v>-12.5</v>
      </c>
      <c r="AZ6" s="1882">
        <v>-14.1</v>
      </c>
      <c r="BA6" s="1882">
        <v>-42.1</v>
      </c>
      <c r="BB6" s="1882">
        <v>-42.1</v>
      </c>
      <c r="BC6" s="1882">
        <v>-6.7</v>
      </c>
      <c r="BD6" s="1882">
        <v>-15.5</v>
      </c>
      <c r="BE6" s="1882">
        <v>-35.700000000000003</v>
      </c>
      <c r="BF6" s="1882">
        <v>-42.1</v>
      </c>
      <c r="BG6" s="1882">
        <v>-42.1</v>
      </c>
      <c r="BH6" s="1882">
        <v>6.8000000000000005E-2</v>
      </c>
      <c r="BI6" s="1882"/>
      <c r="BJ6" s="1882"/>
      <c r="BK6" s="1882"/>
      <c r="BL6" s="1882">
        <v>6.8000000000000005E-2</v>
      </c>
      <c r="BM6" s="1882"/>
      <c r="BN6" s="1882">
        <v>1</v>
      </c>
      <c r="BO6" s="1882" t="s">
        <v>8512</v>
      </c>
      <c r="BP6" s="520">
        <v>0</v>
      </c>
      <c r="BQ6" s="690">
        <v>-6.7</v>
      </c>
      <c r="BR6" s="1882" t="s">
        <v>2459</v>
      </c>
      <c r="BS6" s="1882" t="s">
        <v>8513</v>
      </c>
      <c r="BT6" s="1882">
        <v>0</v>
      </c>
      <c r="BU6" s="1882" t="s">
        <v>8513</v>
      </c>
      <c r="BV6" s="1882">
        <v>0</v>
      </c>
      <c r="BW6" s="1882">
        <v>-12.5</v>
      </c>
      <c r="BX6" s="1882" t="s">
        <v>2459</v>
      </c>
      <c r="BY6" s="1882">
        <v>0</v>
      </c>
      <c r="BZ6" s="1882">
        <v>0</v>
      </c>
      <c r="CA6" s="1882">
        <v>0</v>
      </c>
      <c r="CB6" s="1882">
        <v>0</v>
      </c>
      <c r="CC6" s="1882">
        <v>-32.700000000000003</v>
      </c>
      <c r="CD6" s="1882" t="s">
        <v>2459</v>
      </c>
      <c r="CE6" s="1882">
        <v>0</v>
      </c>
      <c r="CF6" s="1882">
        <v>0</v>
      </c>
      <c r="CG6" s="1882" t="s">
        <v>8376</v>
      </c>
      <c r="CH6" s="1882">
        <v>1.2648000000000001</v>
      </c>
      <c r="CI6" s="1882">
        <v>-42.1</v>
      </c>
      <c r="CJ6" s="1882" t="s">
        <v>2459</v>
      </c>
      <c r="CK6" s="1882">
        <v>0</v>
      </c>
      <c r="CL6" s="1882">
        <v>0</v>
      </c>
      <c r="CM6" s="1882">
        <v>0</v>
      </c>
      <c r="CN6" s="1882">
        <v>0</v>
      </c>
      <c r="CP6" s="1882" t="s">
        <v>8534</v>
      </c>
    </row>
    <row r="7" spans="1:94">
      <c r="A7" s="1882" t="s">
        <v>8501</v>
      </c>
      <c r="B7" s="1882" t="s">
        <v>8535</v>
      </c>
      <c r="C7" s="1882" t="s">
        <v>8394</v>
      </c>
      <c r="D7" s="1882" t="s">
        <v>1626</v>
      </c>
      <c r="E7" s="1882" t="s">
        <v>8503</v>
      </c>
      <c r="F7" s="1882" t="s">
        <v>8504</v>
      </c>
      <c r="G7" s="1882" t="s">
        <v>8536</v>
      </c>
      <c r="H7" s="1882" t="s">
        <v>8537</v>
      </c>
      <c r="I7" s="1882" t="s">
        <v>8538</v>
      </c>
      <c r="J7" s="1882" t="s">
        <v>8539</v>
      </c>
      <c r="K7" s="1882"/>
      <c r="L7" s="1882"/>
      <c r="M7" s="1882"/>
      <c r="N7" s="1882" t="s">
        <v>8533</v>
      </c>
      <c r="O7" s="1882" t="s">
        <v>8540</v>
      </c>
      <c r="P7" s="1882" t="s">
        <v>8540</v>
      </c>
      <c r="Q7" s="520" t="s">
        <v>8540</v>
      </c>
      <c r="R7" s="1882"/>
      <c r="S7" s="1882" t="s">
        <v>8540</v>
      </c>
      <c r="T7" s="1882" t="s">
        <v>8540</v>
      </c>
      <c r="U7" s="1882" t="s">
        <v>8540</v>
      </c>
      <c r="V7" s="1882" t="s">
        <v>8540</v>
      </c>
      <c r="W7" s="1882" t="s">
        <v>8540</v>
      </c>
      <c r="X7" s="1882" t="s">
        <v>8540</v>
      </c>
      <c r="Y7" s="1882"/>
      <c r="Z7" s="1882"/>
      <c r="AA7" s="1882"/>
      <c r="AB7" s="1882"/>
      <c r="AC7" s="1882"/>
      <c r="AD7" s="1882"/>
      <c r="AE7" s="1882"/>
      <c r="AF7" s="1882"/>
      <c r="AG7" s="1882" t="s">
        <v>2459</v>
      </c>
      <c r="AH7" s="1882">
        <v>0</v>
      </c>
      <c r="AI7" s="1882"/>
      <c r="AJ7" s="1882"/>
      <c r="AK7" s="1882"/>
      <c r="AL7" s="1882"/>
      <c r="AM7" s="1882"/>
      <c r="AN7" s="1882"/>
      <c r="AO7" s="1882"/>
      <c r="AP7" s="1882"/>
      <c r="AQ7" s="1882"/>
      <c r="AR7" s="1882"/>
      <c r="AS7" s="1882"/>
      <c r="AT7" s="1882"/>
      <c r="AU7" s="1882"/>
      <c r="AV7" s="1882"/>
      <c r="AW7" s="1882"/>
      <c r="AX7" s="1882"/>
      <c r="AY7" s="1882"/>
      <c r="AZ7" s="1882"/>
      <c r="BA7" s="1882"/>
      <c r="BB7" s="1882"/>
      <c r="BC7" s="1882"/>
      <c r="BD7" s="1882"/>
      <c r="BE7" s="1882"/>
      <c r="BF7" s="1882"/>
      <c r="BG7" s="1882"/>
      <c r="BH7" s="1882"/>
      <c r="BI7" s="1882"/>
      <c r="BJ7" s="1882"/>
      <c r="BK7" s="1882"/>
      <c r="BL7" s="1882"/>
      <c r="BM7" s="1882"/>
      <c r="BN7" s="1882"/>
      <c r="BO7" s="1882"/>
      <c r="BP7" s="520" t="s">
        <v>8513</v>
      </c>
      <c r="BQ7" s="691" t="s">
        <v>8513</v>
      </c>
      <c r="BR7" s="1882" t="s">
        <v>8513</v>
      </c>
      <c r="BS7" s="1882" t="s">
        <v>8513</v>
      </c>
      <c r="BT7" s="1882">
        <v>0</v>
      </c>
      <c r="BU7" s="1882" t="s">
        <v>8513</v>
      </c>
      <c r="BV7" s="1882">
        <v>0</v>
      </c>
      <c r="BW7" s="1882">
        <v>-2.5499999999999998</v>
      </c>
      <c r="BX7" s="1882" t="s">
        <v>2451</v>
      </c>
      <c r="BY7" s="1882">
        <v>0</v>
      </c>
      <c r="BZ7" s="1882">
        <v>0</v>
      </c>
      <c r="CA7" s="1882">
        <v>0</v>
      </c>
      <c r="CB7" s="1882">
        <v>0</v>
      </c>
      <c r="CC7" s="1882">
        <v>-5.1060000000000008</v>
      </c>
      <c r="CD7" s="1882" t="s">
        <v>2451</v>
      </c>
      <c r="CE7" s="1882">
        <v>0</v>
      </c>
      <c r="CF7" s="1882">
        <v>0</v>
      </c>
      <c r="CG7" s="1882">
        <v>0</v>
      </c>
      <c r="CH7" s="1882">
        <v>0</v>
      </c>
      <c r="CI7" s="1882">
        <v>-4.1500000000000004</v>
      </c>
      <c r="CJ7" s="1882" t="s">
        <v>2451</v>
      </c>
      <c r="CK7" s="1882">
        <v>0</v>
      </c>
      <c r="CL7" s="1882">
        <v>0</v>
      </c>
      <c r="CM7" s="1882">
        <v>0</v>
      </c>
      <c r="CN7" s="1882">
        <v>0</v>
      </c>
      <c r="CP7" s="1882" t="s">
        <v>8541</v>
      </c>
    </row>
    <row r="8" spans="1:94">
      <c r="A8" s="1882" t="s">
        <v>8501</v>
      </c>
      <c r="B8" s="1882" t="s">
        <v>8542</v>
      </c>
      <c r="C8" s="1882" t="s">
        <v>8394</v>
      </c>
      <c r="D8" s="1882" t="s">
        <v>1626</v>
      </c>
      <c r="E8" s="1882" t="s">
        <v>8503</v>
      </c>
      <c r="F8" s="1882" t="s">
        <v>8543</v>
      </c>
      <c r="G8" s="1882" t="s">
        <v>8544</v>
      </c>
      <c r="H8" s="1882" t="s">
        <v>8545</v>
      </c>
      <c r="I8" s="1882" t="s">
        <v>8546</v>
      </c>
      <c r="J8" s="1882" t="s">
        <v>8519</v>
      </c>
      <c r="K8" s="1882" t="s">
        <v>8509</v>
      </c>
      <c r="L8" s="1882"/>
      <c r="M8" s="1882" t="s">
        <v>2460</v>
      </c>
      <c r="N8" s="1882" t="s">
        <v>8547</v>
      </c>
      <c r="O8" s="1882" t="s">
        <v>732</v>
      </c>
      <c r="P8" s="1882" t="s">
        <v>8548</v>
      </c>
      <c r="Q8" s="520">
        <v>2</v>
      </c>
      <c r="R8" s="1882" t="s">
        <v>8549</v>
      </c>
      <c r="S8" s="1882">
        <v>99.95</v>
      </c>
      <c r="T8" s="1882">
        <v>99.95</v>
      </c>
      <c r="U8" s="1882">
        <v>99.95</v>
      </c>
      <c r="V8" s="1882">
        <v>99.95</v>
      </c>
      <c r="W8" s="1882">
        <v>99.95</v>
      </c>
      <c r="X8" s="1882">
        <v>99.95</v>
      </c>
      <c r="Y8" s="1882" t="s">
        <v>2459</v>
      </c>
      <c r="Z8" s="1882"/>
      <c r="AA8" s="1882"/>
      <c r="AB8" s="1882"/>
      <c r="AC8" s="1882"/>
      <c r="AD8" s="1882"/>
      <c r="AE8" s="1882" t="s">
        <v>2459</v>
      </c>
      <c r="AF8" s="1882"/>
      <c r="AG8" s="1882"/>
      <c r="AH8" s="1882">
        <v>0</v>
      </c>
      <c r="AI8" s="1882" t="s">
        <v>2459</v>
      </c>
      <c r="AJ8" s="1882" t="s">
        <v>2459</v>
      </c>
      <c r="AK8" s="1882" t="s">
        <v>2459</v>
      </c>
      <c r="AL8" s="1882" t="s">
        <v>2459</v>
      </c>
      <c r="AM8" s="1882" t="s">
        <v>2459</v>
      </c>
      <c r="AN8" s="1882"/>
      <c r="AO8" s="1882"/>
      <c r="AP8" s="1882"/>
      <c r="AQ8" s="1882"/>
      <c r="AR8" s="1882"/>
      <c r="AS8" s="1882"/>
      <c r="AT8" s="1882"/>
      <c r="AU8" s="1882"/>
      <c r="AV8" s="1882"/>
      <c r="AW8" s="1882"/>
      <c r="AX8" s="1882"/>
      <c r="AY8" s="1882"/>
      <c r="AZ8" s="1882"/>
      <c r="BA8" s="1882"/>
      <c r="BB8" s="1882"/>
      <c r="BC8" s="1882"/>
      <c r="BD8" s="1882"/>
      <c r="BE8" s="1882"/>
      <c r="BF8" s="1882"/>
      <c r="BG8" s="1882"/>
      <c r="BH8" s="1882">
        <v>0.72</v>
      </c>
      <c r="BI8" s="1882"/>
      <c r="BJ8" s="1882"/>
      <c r="BK8" s="1882"/>
      <c r="BL8" s="1882"/>
      <c r="BM8" s="1882"/>
      <c r="BN8" s="1882">
        <v>1</v>
      </c>
      <c r="BO8" s="1882" t="s">
        <v>8512</v>
      </c>
      <c r="BP8" s="520">
        <v>99.97</v>
      </c>
      <c r="BQ8" s="692">
        <v>99.99</v>
      </c>
      <c r="BR8" s="1882" t="s">
        <v>2459</v>
      </c>
      <c r="BS8" s="1882" t="s">
        <v>8513</v>
      </c>
      <c r="BT8" s="1882">
        <v>0</v>
      </c>
      <c r="BU8" s="1882" t="s">
        <v>8513</v>
      </c>
      <c r="BV8" s="1882">
        <v>0</v>
      </c>
      <c r="BW8" s="1882">
        <v>99.96</v>
      </c>
      <c r="BX8" s="1882" t="s">
        <v>2459</v>
      </c>
      <c r="BY8" s="1882">
        <v>0</v>
      </c>
      <c r="BZ8" s="1882">
        <v>0</v>
      </c>
      <c r="CA8" s="1882">
        <v>0</v>
      </c>
      <c r="CB8" s="1882">
        <v>0</v>
      </c>
      <c r="CC8" s="1882">
        <v>99.96</v>
      </c>
      <c r="CD8" s="1882" t="s">
        <v>2459</v>
      </c>
      <c r="CE8" s="1882">
        <v>0</v>
      </c>
      <c r="CF8" s="1882">
        <v>0</v>
      </c>
      <c r="CG8" s="1882">
        <v>0</v>
      </c>
      <c r="CH8" s="1882">
        <v>0</v>
      </c>
      <c r="CI8" s="1882">
        <v>99.96</v>
      </c>
      <c r="CJ8" s="1882" t="s">
        <v>2459</v>
      </c>
      <c r="CK8" s="1882">
        <v>0</v>
      </c>
      <c r="CL8" s="1882">
        <v>0</v>
      </c>
      <c r="CM8" s="1882">
        <v>0</v>
      </c>
      <c r="CN8" s="1882">
        <v>0</v>
      </c>
      <c r="CP8" s="1882" t="s">
        <v>8550</v>
      </c>
    </row>
    <row r="9" spans="1:94">
      <c r="A9" s="1882" t="s">
        <v>8501</v>
      </c>
      <c r="B9" s="1882" t="s">
        <v>8551</v>
      </c>
      <c r="C9" s="1882" t="s">
        <v>8394</v>
      </c>
      <c r="D9" s="1882" t="s">
        <v>1626</v>
      </c>
      <c r="E9" s="1882" t="s">
        <v>8503</v>
      </c>
      <c r="F9" s="1882" t="s">
        <v>8543</v>
      </c>
      <c r="G9" s="1882" t="s">
        <v>8552</v>
      </c>
      <c r="H9" s="1882" t="s">
        <v>8553</v>
      </c>
      <c r="I9" s="1882" t="s">
        <v>8554</v>
      </c>
      <c r="J9" s="1882" t="s">
        <v>8519</v>
      </c>
      <c r="K9" s="1882" t="s">
        <v>8509</v>
      </c>
      <c r="L9" s="1882"/>
      <c r="M9" s="1882"/>
      <c r="N9" s="1882" t="s">
        <v>8463</v>
      </c>
      <c r="O9" s="1882" t="s">
        <v>764</v>
      </c>
      <c r="P9" s="1882" t="s">
        <v>8555</v>
      </c>
      <c r="Q9" s="520">
        <v>2</v>
      </c>
      <c r="R9" s="1882" t="s">
        <v>8511</v>
      </c>
      <c r="S9" s="1882">
        <v>0.66</v>
      </c>
      <c r="T9" s="1882">
        <v>0.66</v>
      </c>
      <c r="U9" s="1882">
        <v>0.66</v>
      </c>
      <c r="V9" s="1882">
        <v>0.66</v>
      </c>
      <c r="W9" s="1882">
        <v>0.66</v>
      </c>
      <c r="X9" s="1882">
        <v>0.66</v>
      </c>
      <c r="Y9" s="1882"/>
      <c r="Z9" s="1882" t="s">
        <v>2459</v>
      </c>
      <c r="AA9" s="1882"/>
      <c r="AB9" s="1882"/>
      <c r="AC9" s="1882"/>
      <c r="AD9" s="1882"/>
      <c r="AE9" s="1882" t="s">
        <v>2459</v>
      </c>
      <c r="AF9" s="1882"/>
      <c r="AG9" s="1882"/>
      <c r="AH9" s="1882">
        <v>0</v>
      </c>
      <c r="AI9" s="1882" t="s">
        <v>2459</v>
      </c>
      <c r="AJ9" s="1882" t="s">
        <v>2459</v>
      </c>
      <c r="AK9" s="1882" t="s">
        <v>2459</v>
      </c>
      <c r="AL9" s="1882" t="s">
        <v>2459</v>
      </c>
      <c r="AM9" s="1882" t="s">
        <v>2459</v>
      </c>
      <c r="AN9" s="1882">
        <v>1.3</v>
      </c>
      <c r="AO9" s="1882">
        <v>1.3</v>
      </c>
      <c r="AP9" s="1882">
        <v>1.3</v>
      </c>
      <c r="AQ9" s="1882">
        <v>1.3</v>
      </c>
      <c r="AR9" s="1882">
        <v>1.3</v>
      </c>
      <c r="AS9" s="1882">
        <v>0.66</v>
      </c>
      <c r="AT9" s="1882">
        <v>0.66</v>
      </c>
      <c r="AU9" s="1882">
        <v>0.66</v>
      </c>
      <c r="AV9" s="1882">
        <v>0.66</v>
      </c>
      <c r="AW9" s="1882">
        <v>0.66</v>
      </c>
      <c r="AX9" s="1882"/>
      <c r="AY9" s="1882"/>
      <c r="AZ9" s="1882"/>
      <c r="BA9" s="1882"/>
      <c r="BB9" s="1882"/>
      <c r="BC9" s="1882"/>
      <c r="BD9" s="1882"/>
      <c r="BE9" s="1882"/>
      <c r="BF9" s="1882"/>
      <c r="BG9" s="1882"/>
      <c r="BH9" s="1882">
        <v>0.438</v>
      </c>
      <c r="BI9" s="1882"/>
      <c r="BJ9" s="1882"/>
      <c r="BK9" s="1882"/>
      <c r="BL9" s="1882"/>
      <c r="BM9" s="1882"/>
      <c r="BN9" s="1882">
        <v>1</v>
      </c>
      <c r="BO9" s="1882" t="s">
        <v>8512</v>
      </c>
      <c r="BP9" s="520">
        <v>0.34</v>
      </c>
      <c r="BQ9" s="692">
        <v>0.31</v>
      </c>
      <c r="BR9" s="1882" t="s">
        <v>2459</v>
      </c>
      <c r="BS9" s="1882" t="s">
        <v>8513</v>
      </c>
      <c r="BT9" s="1882">
        <v>0</v>
      </c>
      <c r="BU9" s="1882" t="s">
        <v>8513</v>
      </c>
      <c r="BV9" s="1882">
        <v>0</v>
      </c>
      <c r="BW9" s="1882">
        <v>0.28000000000000003</v>
      </c>
      <c r="BX9" s="1882" t="s">
        <v>2459</v>
      </c>
      <c r="BY9" s="1882">
        <v>0</v>
      </c>
      <c r="BZ9" s="1882">
        <v>0</v>
      </c>
      <c r="CA9" s="1882">
        <v>0</v>
      </c>
      <c r="CB9" s="1882">
        <v>0</v>
      </c>
      <c r="CC9" s="1882">
        <v>0.27</v>
      </c>
      <c r="CD9" s="1882" t="s">
        <v>2459</v>
      </c>
      <c r="CE9" s="1882">
        <v>0</v>
      </c>
      <c r="CF9" s="1882">
        <v>0</v>
      </c>
      <c r="CG9" s="1882">
        <v>0</v>
      </c>
      <c r="CH9" s="1882">
        <v>0</v>
      </c>
      <c r="CI9" s="1882">
        <v>0.23</v>
      </c>
      <c r="CJ9" s="1882" t="s">
        <v>2459</v>
      </c>
      <c r="CK9" s="1882">
        <v>0</v>
      </c>
      <c r="CL9" s="1882">
        <v>0</v>
      </c>
      <c r="CM9" s="1882">
        <v>0</v>
      </c>
      <c r="CN9" s="1882">
        <v>0</v>
      </c>
      <c r="CP9" s="1882" t="s">
        <v>8556</v>
      </c>
    </row>
    <row r="10" spans="1:94">
      <c r="A10" s="1882" t="s">
        <v>8501</v>
      </c>
      <c r="B10" s="1882" t="s">
        <v>8557</v>
      </c>
      <c r="C10" s="1882" t="s">
        <v>8394</v>
      </c>
      <c r="D10" s="1882" t="s">
        <v>1626</v>
      </c>
      <c r="E10" s="1882" t="s">
        <v>8503</v>
      </c>
      <c r="F10" s="1882" t="s">
        <v>8558</v>
      </c>
      <c r="G10" s="1882" t="s">
        <v>8559</v>
      </c>
      <c r="H10" s="1882" t="s">
        <v>8560</v>
      </c>
      <c r="I10" s="1882" t="s">
        <v>8561</v>
      </c>
      <c r="J10" s="1882" t="s">
        <v>8508</v>
      </c>
      <c r="K10" s="1882" t="s">
        <v>8509</v>
      </c>
      <c r="L10" s="1882"/>
      <c r="M10" s="1882"/>
      <c r="N10" s="1882" t="s">
        <v>2450</v>
      </c>
      <c r="O10" s="1882" t="s">
        <v>764</v>
      </c>
      <c r="P10" s="1882" t="s">
        <v>8562</v>
      </c>
      <c r="Q10" s="520">
        <v>0</v>
      </c>
      <c r="R10" s="1882" t="s">
        <v>8511</v>
      </c>
      <c r="S10" s="1882">
        <v>320</v>
      </c>
      <c r="T10" s="1882">
        <v>320</v>
      </c>
      <c r="U10" s="1882">
        <v>320</v>
      </c>
      <c r="V10" s="1882">
        <v>320</v>
      </c>
      <c r="W10" s="1882">
        <v>320</v>
      </c>
      <c r="X10" s="1882">
        <v>320</v>
      </c>
      <c r="Y10" s="1882"/>
      <c r="Z10" s="1882"/>
      <c r="AA10" s="1882"/>
      <c r="AB10" s="1882"/>
      <c r="AC10" s="1882"/>
      <c r="AD10" s="1882"/>
      <c r="AE10" s="1882" t="s">
        <v>2459</v>
      </c>
      <c r="AF10" s="1882"/>
      <c r="AG10" s="1882"/>
      <c r="AH10" s="1882">
        <v>0</v>
      </c>
      <c r="AI10" s="1882" t="s">
        <v>2459</v>
      </c>
      <c r="AJ10" s="1882" t="s">
        <v>2459</v>
      </c>
      <c r="AK10" s="1882" t="s">
        <v>2459</v>
      </c>
      <c r="AL10" s="1882" t="s">
        <v>2459</v>
      </c>
      <c r="AM10" s="1882" t="s">
        <v>2459</v>
      </c>
      <c r="AN10" s="1882">
        <v>775</v>
      </c>
      <c r="AO10" s="1882">
        <v>775</v>
      </c>
      <c r="AP10" s="1882">
        <v>775</v>
      </c>
      <c r="AQ10" s="1882">
        <v>775</v>
      </c>
      <c r="AR10" s="1882">
        <v>775</v>
      </c>
      <c r="AS10" s="1882">
        <v>505</v>
      </c>
      <c r="AT10" s="1882">
        <v>505</v>
      </c>
      <c r="AU10" s="1882">
        <v>505</v>
      </c>
      <c r="AV10" s="1882">
        <v>505</v>
      </c>
      <c r="AW10" s="1882">
        <v>505</v>
      </c>
      <c r="AX10" s="1882">
        <v>135</v>
      </c>
      <c r="AY10" s="1882">
        <v>135</v>
      </c>
      <c r="AZ10" s="1882">
        <v>135</v>
      </c>
      <c r="BA10" s="1882">
        <v>135</v>
      </c>
      <c r="BB10" s="1882">
        <v>135</v>
      </c>
      <c r="BC10" s="1882">
        <v>0</v>
      </c>
      <c r="BD10" s="1882">
        <v>0</v>
      </c>
      <c r="BE10" s="1882">
        <v>0</v>
      </c>
      <c r="BF10" s="1882">
        <v>0</v>
      </c>
      <c r="BG10" s="1882">
        <v>0</v>
      </c>
      <c r="BH10" s="1882">
        <v>6.0650000000000001E-3</v>
      </c>
      <c r="BI10" s="1882"/>
      <c r="BJ10" s="1882"/>
      <c r="BK10" s="1882"/>
      <c r="BL10" s="1882">
        <v>1.093E-3</v>
      </c>
      <c r="BM10" s="1882"/>
      <c r="BN10" s="1882">
        <v>1</v>
      </c>
      <c r="BO10" s="1882" t="s">
        <v>8512</v>
      </c>
      <c r="BP10" s="520">
        <v>1687</v>
      </c>
      <c r="BQ10" s="692">
        <v>1771</v>
      </c>
      <c r="BR10" s="1882" t="s">
        <v>2460</v>
      </c>
      <c r="BS10" s="1882" t="s">
        <v>8513</v>
      </c>
      <c r="BT10" s="1882">
        <v>0</v>
      </c>
      <c r="BU10" s="1882" t="s">
        <v>8563</v>
      </c>
      <c r="BV10" s="1882">
        <v>-1.6375500000000001</v>
      </c>
      <c r="BW10" s="1882">
        <v>1840</v>
      </c>
      <c r="BX10" s="1882" t="s">
        <v>2460</v>
      </c>
      <c r="BY10" s="1882">
        <v>0</v>
      </c>
      <c r="BZ10" s="1882">
        <v>0</v>
      </c>
      <c r="CA10" s="1882" t="s">
        <v>8563</v>
      </c>
      <c r="CB10" s="1882">
        <v>-1.6375999999999999</v>
      </c>
      <c r="CC10" s="1882">
        <v>7890</v>
      </c>
      <c r="CD10" s="1882" t="s">
        <v>2460</v>
      </c>
      <c r="CE10" s="1882">
        <v>0</v>
      </c>
      <c r="CF10" s="1882">
        <v>0</v>
      </c>
      <c r="CG10" s="1882" t="s">
        <v>8384</v>
      </c>
      <c r="CH10" s="1882">
        <v>-1.6375999999999999</v>
      </c>
      <c r="CI10" s="1882">
        <v>309</v>
      </c>
      <c r="CJ10" s="1882" t="s">
        <v>2459</v>
      </c>
      <c r="CK10" s="1882">
        <v>0</v>
      </c>
      <c r="CL10" s="1882">
        <v>0</v>
      </c>
      <c r="CM10" s="1882">
        <v>0</v>
      </c>
      <c r="CN10" s="1882">
        <v>0</v>
      </c>
      <c r="CP10" s="1882" t="s">
        <v>8564</v>
      </c>
    </row>
    <row r="11" spans="1:94">
      <c r="A11" s="1882" t="s">
        <v>8501</v>
      </c>
      <c r="B11" s="1882" t="s">
        <v>8565</v>
      </c>
      <c r="C11" s="1882" t="s">
        <v>8394</v>
      </c>
      <c r="D11" s="1882" t="s">
        <v>1626</v>
      </c>
      <c r="E11" s="1882" t="s">
        <v>8503</v>
      </c>
      <c r="F11" s="1882" t="s">
        <v>8558</v>
      </c>
      <c r="G11" s="1882" t="s">
        <v>8566</v>
      </c>
      <c r="H11" s="1882" t="s">
        <v>8567</v>
      </c>
      <c r="I11" s="1882" t="s">
        <v>8568</v>
      </c>
      <c r="J11" s="1882" t="s">
        <v>8519</v>
      </c>
      <c r="K11" s="1882" t="s">
        <v>8509</v>
      </c>
      <c r="L11" s="1882"/>
      <c r="M11" s="1882"/>
      <c r="N11" s="1882" t="s">
        <v>8569</v>
      </c>
      <c r="O11" s="1882" t="s">
        <v>764</v>
      </c>
      <c r="P11" s="1882" t="s">
        <v>8570</v>
      </c>
      <c r="Q11" s="520">
        <v>0</v>
      </c>
      <c r="R11" s="1882" t="s">
        <v>8511</v>
      </c>
      <c r="S11" s="1882">
        <v>3100</v>
      </c>
      <c r="T11" s="1882">
        <v>3100</v>
      </c>
      <c r="U11" s="1882">
        <v>3100</v>
      </c>
      <c r="V11" s="1882">
        <v>3100</v>
      </c>
      <c r="W11" s="1882">
        <v>3100</v>
      </c>
      <c r="X11" s="1882">
        <v>3100</v>
      </c>
      <c r="Y11" s="1882"/>
      <c r="Z11" s="1882"/>
      <c r="AA11" s="1882"/>
      <c r="AB11" s="1882"/>
      <c r="AC11" s="1882"/>
      <c r="AD11" s="1882"/>
      <c r="AE11" s="1882" t="s">
        <v>2459</v>
      </c>
      <c r="AF11" s="1882"/>
      <c r="AG11" s="1882"/>
      <c r="AH11" s="1882">
        <v>0</v>
      </c>
      <c r="AI11" s="1882" t="s">
        <v>2459</v>
      </c>
      <c r="AJ11" s="1882" t="s">
        <v>2459</v>
      </c>
      <c r="AK11" s="1882" t="s">
        <v>2459</v>
      </c>
      <c r="AL11" s="1882" t="s">
        <v>2459</v>
      </c>
      <c r="AM11" s="1882" t="s">
        <v>2459</v>
      </c>
      <c r="AN11" s="1882">
        <v>4350</v>
      </c>
      <c r="AO11" s="1882">
        <v>4350</v>
      </c>
      <c r="AP11" s="1882">
        <v>4350</v>
      </c>
      <c r="AQ11" s="1882">
        <v>4350</v>
      </c>
      <c r="AR11" s="1882">
        <v>4350</v>
      </c>
      <c r="AS11" s="1882">
        <v>3500</v>
      </c>
      <c r="AT11" s="1882">
        <v>3500</v>
      </c>
      <c r="AU11" s="1882">
        <v>3500</v>
      </c>
      <c r="AV11" s="1882">
        <v>3500</v>
      </c>
      <c r="AW11" s="1882">
        <v>3500</v>
      </c>
      <c r="AX11" s="1882"/>
      <c r="AY11" s="1882"/>
      <c r="AZ11" s="1882"/>
      <c r="BA11" s="1882"/>
      <c r="BB11" s="1882"/>
      <c r="BC11" s="1882"/>
      <c r="BD11" s="1882"/>
      <c r="BE11" s="1882"/>
      <c r="BF11" s="1882"/>
      <c r="BG11" s="1882"/>
      <c r="BH11" s="1882">
        <v>2.6649999999999998E-3</v>
      </c>
      <c r="BI11" s="1882"/>
      <c r="BJ11" s="1882"/>
      <c r="BK11" s="1882"/>
      <c r="BL11" s="1882"/>
      <c r="BM11" s="1882"/>
      <c r="BN11" s="1882">
        <v>1</v>
      </c>
      <c r="BO11" s="1882" t="s">
        <v>8512</v>
      </c>
      <c r="BP11" s="520">
        <v>2414</v>
      </c>
      <c r="BQ11" s="693">
        <v>2201</v>
      </c>
      <c r="BR11" s="1882" t="s">
        <v>2459</v>
      </c>
      <c r="BS11" s="1882" t="s">
        <v>8513</v>
      </c>
      <c r="BT11" s="1882">
        <v>0</v>
      </c>
      <c r="BU11" s="1882" t="s">
        <v>8513</v>
      </c>
      <c r="BV11" s="1882">
        <v>0</v>
      </c>
      <c r="BW11" s="1882">
        <v>3077</v>
      </c>
      <c r="BX11" s="1882" t="s">
        <v>2459</v>
      </c>
      <c r="BY11" s="1882">
        <v>0</v>
      </c>
      <c r="BZ11" s="1882">
        <v>0</v>
      </c>
      <c r="CA11" s="1882">
        <v>0</v>
      </c>
      <c r="CB11" s="1882">
        <v>0</v>
      </c>
      <c r="CC11" s="1882">
        <v>2923</v>
      </c>
      <c r="CD11" s="1882" t="s">
        <v>2459</v>
      </c>
      <c r="CE11" s="1882">
        <v>0</v>
      </c>
      <c r="CF11" s="1882">
        <v>0</v>
      </c>
      <c r="CG11" s="1882">
        <v>0</v>
      </c>
      <c r="CH11" s="1882">
        <v>0</v>
      </c>
      <c r="CI11" s="1882">
        <v>2530</v>
      </c>
      <c r="CJ11" s="1882" t="s">
        <v>2459</v>
      </c>
      <c r="CK11" s="1882">
        <v>0</v>
      </c>
      <c r="CL11" s="1882">
        <v>0</v>
      </c>
      <c r="CM11" s="1882">
        <v>0</v>
      </c>
      <c r="CN11" s="1882">
        <v>0</v>
      </c>
      <c r="CP11" s="1882" t="s">
        <v>8571</v>
      </c>
    </row>
    <row r="12" spans="1:94">
      <c r="A12" s="1882" t="s">
        <v>8501</v>
      </c>
      <c r="B12" s="1882" t="s">
        <v>8572</v>
      </c>
      <c r="C12" s="1882" t="s">
        <v>8394</v>
      </c>
      <c r="D12" s="1882" t="s">
        <v>1626</v>
      </c>
      <c r="E12" s="1882" t="s">
        <v>8503</v>
      </c>
      <c r="F12" s="1882" t="s">
        <v>8558</v>
      </c>
      <c r="G12" s="1882" t="s">
        <v>8573</v>
      </c>
      <c r="H12" s="1882" t="s">
        <v>8574</v>
      </c>
      <c r="I12" s="1882" t="s">
        <v>8575</v>
      </c>
      <c r="J12" s="1882" t="s">
        <v>8539</v>
      </c>
      <c r="K12" s="1882"/>
      <c r="L12" s="1882"/>
      <c r="M12" s="1882"/>
      <c r="N12" s="1882" t="s">
        <v>2450</v>
      </c>
      <c r="O12" s="1882" t="s">
        <v>764</v>
      </c>
      <c r="P12" s="1882" t="s">
        <v>8576</v>
      </c>
      <c r="Q12" s="520">
        <v>0</v>
      </c>
      <c r="R12" s="1882" t="s">
        <v>8511</v>
      </c>
      <c r="S12" s="1882">
        <v>110</v>
      </c>
      <c r="T12" s="1882">
        <v>110</v>
      </c>
      <c r="U12" s="1882">
        <v>110</v>
      </c>
      <c r="V12" s="1882">
        <v>110</v>
      </c>
      <c r="W12" s="1882">
        <v>110</v>
      </c>
      <c r="X12" s="1882">
        <v>110</v>
      </c>
      <c r="Y12" s="1882"/>
      <c r="Z12" s="1882"/>
      <c r="AA12" s="1882"/>
      <c r="AB12" s="1882"/>
      <c r="AC12" s="1882"/>
      <c r="AD12" s="1882"/>
      <c r="AE12" s="1882" t="s">
        <v>2459</v>
      </c>
      <c r="AF12" s="1882"/>
      <c r="AG12" s="1882"/>
      <c r="AH12" s="1882">
        <v>0</v>
      </c>
      <c r="AI12" s="1882"/>
      <c r="AJ12" s="1882"/>
      <c r="AK12" s="1882"/>
      <c r="AL12" s="1882"/>
      <c r="AM12" s="1882"/>
      <c r="AN12" s="1882"/>
      <c r="AO12" s="1882"/>
      <c r="AP12" s="1882"/>
      <c r="AQ12" s="1882"/>
      <c r="AR12" s="1882"/>
      <c r="AS12" s="1882"/>
      <c r="AT12" s="1882"/>
      <c r="AU12" s="1882"/>
      <c r="AV12" s="1882"/>
      <c r="AW12" s="1882"/>
      <c r="AX12" s="1882"/>
      <c r="AY12" s="1882"/>
      <c r="AZ12" s="1882"/>
      <c r="BA12" s="1882"/>
      <c r="BB12" s="1882"/>
      <c r="BC12" s="1882"/>
      <c r="BD12" s="1882"/>
      <c r="BE12" s="1882"/>
      <c r="BF12" s="1882"/>
      <c r="BG12" s="1882"/>
      <c r="BH12" s="1882"/>
      <c r="BI12" s="1882"/>
      <c r="BJ12" s="1882"/>
      <c r="BK12" s="1882"/>
      <c r="BL12" s="1882"/>
      <c r="BM12" s="1882"/>
      <c r="BN12" s="1882"/>
      <c r="BO12" s="1882"/>
      <c r="BP12" s="520">
        <v>378</v>
      </c>
      <c r="BQ12" s="692">
        <v>400</v>
      </c>
      <c r="BR12" s="1882" t="s">
        <v>2460</v>
      </c>
      <c r="BS12" s="1882" t="s">
        <v>8513</v>
      </c>
      <c r="BT12" s="1882">
        <v>0</v>
      </c>
      <c r="BU12" s="1882" t="s">
        <v>8513</v>
      </c>
      <c r="BV12" s="1882">
        <v>0</v>
      </c>
      <c r="BW12" s="1882">
        <v>111</v>
      </c>
      <c r="BX12" s="1882" t="s">
        <v>2460</v>
      </c>
      <c r="BY12" s="1882">
        <v>0</v>
      </c>
      <c r="BZ12" s="1882">
        <v>0</v>
      </c>
      <c r="CA12" s="1882">
        <v>0</v>
      </c>
      <c r="CB12" s="1882">
        <v>0</v>
      </c>
      <c r="CC12" s="1882">
        <v>282</v>
      </c>
      <c r="CD12" s="1882" t="s">
        <v>2460</v>
      </c>
      <c r="CE12" s="1882">
        <v>0</v>
      </c>
      <c r="CF12" s="1882">
        <v>0</v>
      </c>
      <c r="CG12" s="1882">
        <v>0</v>
      </c>
      <c r="CH12" s="1882">
        <v>0</v>
      </c>
      <c r="CI12" s="1882">
        <v>68</v>
      </c>
      <c r="CJ12" s="1882" t="s">
        <v>2459</v>
      </c>
      <c r="CK12" s="1882">
        <v>0</v>
      </c>
      <c r="CL12" s="1882">
        <v>0</v>
      </c>
      <c r="CM12" s="1882">
        <v>0</v>
      </c>
      <c r="CN12" s="1882">
        <v>0</v>
      </c>
      <c r="CP12" s="1882" t="s">
        <v>8577</v>
      </c>
    </row>
    <row r="13" spans="1:94">
      <c r="A13" s="1882" t="s">
        <v>8501</v>
      </c>
      <c r="B13" s="1882" t="s">
        <v>8578</v>
      </c>
      <c r="C13" s="1882" t="s">
        <v>8394</v>
      </c>
      <c r="D13" s="1882" t="s">
        <v>1626</v>
      </c>
      <c r="E13" s="1882" t="s">
        <v>8503</v>
      </c>
      <c r="F13" s="1882" t="s">
        <v>8558</v>
      </c>
      <c r="G13" s="1882" t="s">
        <v>8579</v>
      </c>
      <c r="H13" s="1882" t="s">
        <v>8580</v>
      </c>
      <c r="I13" s="1882" t="s">
        <v>8581</v>
      </c>
      <c r="J13" s="1882" t="s">
        <v>8539</v>
      </c>
      <c r="K13" s="1882"/>
      <c r="L13" s="1882"/>
      <c r="M13" s="1882"/>
      <c r="N13" s="1882" t="s">
        <v>2450</v>
      </c>
      <c r="O13" s="1882" t="s">
        <v>764</v>
      </c>
      <c r="P13" s="1882" t="s">
        <v>8576</v>
      </c>
      <c r="Q13" s="520">
        <v>0</v>
      </c>
      <c r="R13" s="1882" t="s">
        <v>8511</v>
      </c>
      <c r="S13" s="1882">
        <v>550</v>
      </c>
      <c r="T13" s="1882">
        <v>550</v>
      </c>
      <c r="U13" s="1882">
        <v>550</v>
      </c>
      <c r="V13" s="1882">
        <v>550</v>
      </c>
      <c r="W13" s="1882">
        <v>550</v>
      </c>
      <c r="X13" s="1882">
        <v>550</v>
      </c>
      <c r="Y13" s="1882"/>
      <c r="Z13" s="1882"/>
      <c r="AA13" s="1882"/>
      <c r="AB13" s="1882"/>
      <c r="AC13" s="1882"/>
      <c r="AD13" s="1882"/>
      <c r="AE13" s="1882" t="s">
        <v>2459</v>
      </c>
      <c r="AF13" s="1882"/>
      <c r="AG13" s="1882"/>
      <c r="AH13" s="1882">
        <v>0</v>
      </c>
      <c r="AI13" s="1882"/>
      <c r="AJ13" s="1882"/>
      <c r="AK13" s="1882"/>
      <c r="AL13" s="1882"/>
      <c r="AM13" s="1882"/>
      <c r="AN13" s="1882"/>
      <c r="AO13" s="1882"/>
      <c r="AP13" s="1882"/>
      <c r="AQ13" s="1882"/>
      <c r="AR13" s="1882"/>
      <c r="AS13" s="1882"/>
      <c r="AT13" s="1882"/>
      <c r="AU13" s="1882"/>
      <c r="AV13" s="1882"/>
      <c r="AW13" s="1882"/>
      <c r="AX13" s="1882"/>
      <c r="AY13" s="1882"/>
      <c r="AZ13" s="1882"/>
      <c r="BA13" s="1882"/>
      <c r="BB13" s="1882"/>
      <c r="BC13" s="1882"/>
      <c r="BD13" s="1882"/>
      <c r="BE13" s="1882"/>
      <c r="BF13" s="1882"/>
      <c r="BG13" s="1882"/>
      <c r="BH13" s="1882"/>
      <c r="BI13" s="1882"/>
      <c r="BJ13" s="1882"/>
      <c r="BK13" s="1882"/>
      <c r="BL13" s="1882"/>
      <c r="BM13" s="1882"/>
      <c r="BN13" s="1882"/>
      <c r="BO13" s="1882"/>
      <c r="BP13" s="520">
        <v>495</v>
      </c>
      <c r="BQ13" s="692">
        <v>266</v>
      </c>
      <c r="BR13" s="1882" t="s">
        <v>2459</v>
      </c>
      <c r="BS13" s="1882" t="s">
        <v>8513</v>
      </c>
      <c r="BT13" s="1882">
        <v>0</v>
      </c>
      <c r="BU13" s="1882" t="s">
        <v>8513</v>
      </c>
      <c r="BV13" s="1882">
        <v>0</v>
      </c>
      <c r="BW13" s="1882">
        <v>436</v>
      </c>
      <c r="BX13" s="1882" t="s">
        <v>2459</v>
      </c>
      <c r="BY13" s="1882">
        <v>0</v>
      </c>
      <c r="BZ13" s="1882">
        <v>0</v>
      </c>
      <c r="CA13" s="1882">
        <v>0</v>
      </c>
      <c r="CB13" s="1882">
        <v>0</v>
      </c>
      <c r="CC13" s="1882">
        <v>484</v>
      </c>
      <c r="CD13" s="1882" t="s">
        <v>2459</v>
      </c>
      <c r="CE13" s="1882">
        <v>0</v>
      </c>
      <c r="CF13" s="1882">
        <v>0</v>
      </c>
      <c r="CG13" s="1882">
        <v>0</v>
      </c>
      <c r="CH13" s="1882">
        <v>0</v>
      </c>
      <c r="CI13" s="1882">
        <v>477</v>
      </c>
      <c r="CJ13" s="1882" t="s">
        <v>2459</v>
      </c>
      <c r="CK13" s="1882">
        <v>0</v>
      </c>
      <c r="CL13" s="1882">
        <v>0</v>
      </c>
      <c r="CM13" s="1882">
        <v>0</v>
      </c>
      <c r="CN13" s="1882">
        <v>0</v>
      </c>
      <c r="CP13" s="1882" t="s">
        <v>8582</v>
      </c>
    </row>
    <row r="14" spans="1:94">
      <c r="A14" s="1882" t="s">
        <v>8501</v>
      </c>
      <c r="B14" s="1882" t="s">
        <v>8583</v>
      </c>
      <c r="C14" s="1882" t="s">
        <v>8394</v>
      </c>
      <c r="D14" s="1882" t="s">
        <v>8584</v>
      </c>
      <c r="E14" s="1882" t="s">
        <v>8585</v>
      </c>
      <c r="F14" s="1882" t="s">
        <v>8586</v>
      </c>
      <c r="G14" s="1882" t="s">
        <v>8587</v>
      </c>
      <c r="H14" s="1882" t="s">
        <v>8588</v>
      </c>
      <c r="I14" s="1882" t="s">
        <v>8589</v>
      </c>
      <c r="J14" s="1882" t="s">
        <v>8508</v>
      </c>
      <c r="K14" s="1882" t="s">
        <v>8509</v>
      </c>
      <c r="L14" s="1882"/>
      <c r="M14" s="1882" t="s">
        <v>2460</v>
      </c>
      <c r="N14" s="1882" t="s">
        <v>8590</v>
      </c>
      <c r="O14" s="1882" t="s">
        <v>8591</v>
      </c>
      <c r="P14" s="1882" t="s">
        <v>8592</v>
      </c>
      <c r="Q14" s="520">
        <v>2</v>
      </c>
      <c r="R14" s="1882" t="s">
        <v>8549</v>
      </c>
      <c r="S14" s="1882" t="s">
        <v>8540</v>
      </c>
      <c r="T14" s="1882" t="s">
        <v>8540</v>
      </c>
      <c r="U14" s="1882" t="s">
        <v>8540</v>
      </c>
      <c r="V14" s="1882" t="s">
        <v>8540</v>
      </c>
      <c r="W14" s="1882" t="s">
        <v>8540</v>
      </c>
      <c r="X14" s="1882" t="s">
        <v>8540</v>
      </c>
      <c r="Y14" s="1882"/>
      <c r="Z14" s="1882"/>
      <c r="AA14" s="1882"/>
      <c r="AB14" s="1882"/>
      <c r="AC14" s="1882"/>
      <c r="AD14" s="1882"/>
      <c r="AE14" s="1882"/>
      <c r="AF14" s="1882"/>
      <c r="AG14" s="1882"/>
      <c r="AH14" s="1882">
        <v>0</v>
      </c>
      <c r="AI14" s="1882" t="s">
        <v>2459</v>
      </c>
      <c r="AJ14" s="1882" t="s">
        <v>2459</v>
      </c>
      <c r="AK14" s="1882" t="s">
        <v>2459</v>
      </c>
      <c r="AL14" s="1882" t="s">
        <v>2459</v>
      </c>
      <c r="AM14" s="1882" t="s">
        <v>2459</v>
      </c>
      <c r="AN14" s="1882" t="s">
        <v>8593</v>
      </c>
      <c r="AO14" s="1882" t="s">
        <v>8593</v>
      </c>
      <c r="AP14" s="1882" t="s">
        <v>8593</v>
      </c>
      <c r="AQ14" s="1882" t="s">
        <v>8593</v>
      </c>
      <c r="AR14" s="1882" t="s">
        <v>8593</v>
      </c>
      <c r="AS14" s="1882" t="s">
        <v>8593</v>
      </c>
      <c r="AT14" s="1882" t="s">
        <v>8593</v>
      </c>
      <c r="AU14" s="1882" t="s">
        <v>8593</v>
      </c>
      <c r="AV14" s="1882" t="s">
        <v>8593</v>
      </c>
      <c r="AW14" s="1882" t="s">
        <v>8593</v>
      </c>
      <c r="AX14" s="1882" t="s">
        <v>8593</v>
      </c>
      <c r="AY14" s="1882" t="s">
        <v>8593</v>
      </c>
      <c r="AZ14" s="1882" t="s">
        <v>8593</v>
      </c>
      <c r="BA14" s="1882" t="s">
        <v>8593</v>
      </c>
      <c r="BB14" s="1882" t="s">
        <v>8593</v>
      </c>
      <c r="BC14" s="1882" t="s">
        <v>8593</v>
      </c>
      <c r="BD14" s="1882" t="s">
        <v>8593</v>
      </c>
      <c r="BE14" s="1882" t="s">
        <v>8593</v>
      </c>
      <c r="BF14" s="1882" t="s">
        <v>8593</v>
      </c>
      <c r="BG14" s="1882" t="s">
        <v>8593</v>
      </c>
      <c r="BH14" s="1882" t="s">
        <v>8593</v>
      </c>
      <c r="BI14" s="1882"/>
      <c r="BJ14" s="1882"/>
      <c r="BK14" s="1882"/>
      <c r="BL14" s="1882" t="s">
        <v>8593</v>
      </c>
      <c r="BM14" s="1882"/>
      <c r="BN14" s="1882">
        <v>1</v>
      </c>
      <c r="BO14" s="1882" t="s">
        <v>8512</v>
      </c>
      <c r="BP14" s="520" t="s">
        <v>8513</v>
      </c>
      <c r="BQ14" s="691">
        <v>76.7</v>
      </c>
      <c r="BR14" s="1882" t="s">
        <v>8513</v>
      </c>
      <c r="BS14" s="1882" t="s">
        <v>8513</v>
      </c>
      <c r="BT14" s="1882">
        <v>0</v>
      </c>
      <c r="BU14" s="1882" t="s">
        <v>8513</v>
      </c>
      <c r="BV14" s="1882">
        <v>0</v>
      </c>
      <c r="BW14" s="1882">
        <v>78.510000000000005</v>
      </c>
      <c r="BX14" s="1882" t="s">
        <v>2451</v>
      </c>
      <c r="BY14" s="1882">
        <v>0</v>
      </c>
      <c r="BZ14" s="1882">
        <v>0</v>
      </c>
      <c r="CA14" s="1882">
        <v>0</v>
      </c>
      <c r="CB14" s="1882">
        <v>0</v>
      </c>
      <c r="CC14" s="1882">
        <v>80.909102903993897</v>
      </c>
      <c r="CD14" s="1882" t="s">
        <v>2451</v>
      </c>
      <c r="CE14" s="1882">
        <v>0</v>
      </c>
      <c r="CF14" s="1882">
        <v>0</v>
      </c>
      <c r="CG14" s="1882">
        <v>0</v>
      </c>
      <c r="CH14" s="1882">
        <v>0</v>
      </c>
      <c r="CI14" s="1882">
        <v>81.2</v>
      </c>
      <c r="CJ14" s="1882" t="s">
        <v>2451</v>
      </c>
      <c r="CK14" s="1882">
        <v>0</v>
      </c>
      <c r="CL14" s="1882">
        <v>0</v>
      </c>
      <c r="CM14" s="1882">
        <v>0</v>
      </c>
      <c r="CN14" s="1882">
        <v>0</v>
      </c>
      <c r="CP14" s="1882" t="s">
        <v>8594</v>
      </c>
    </row>
    <row r="15" spans="1:94">
      <c r="A15" s="1882" t="s">
        <v>8501</v>
      </c>
      <c r="B15" s="1882" t="s">
        <v>8595</v>
      </c>
      <c r="C15" s="1882" t="s">
        <v>8394</v>
      </c>
      <c r="D15" s="1882" t="s">
        <v>8584</v>
      </c>
      <c r="E15" s="1882" t="s">
        <v>8585</v>
      </c>
      <c r="F15" s="1882" t="s">
        <v>8586</v>
      </c>
      <c r="G15" s="1882" t="s">
        <v>8596</v>
      </c>
      <c r="H15" s="1882" t="s">
        <v>8597</v>
      </c>
      <c r="I15" s="1882" t="s">
        <v>8598</v>
      </c>
      <c r="J15" s="1882" t="s">
        <v>8539</v>
      </c>
      <c r="K15" s="1882"/>
      <c r="L15" s="1882"/>
      <c r="M15" s="1882"/>
      <c r="N15" s="1882" t="s">
        <v>8599</v>
      </c>
      <c r="O15" s="1882" t="s">
        <v>8591</v>
      </c>
      <c r="P15" s="1882" t="s">
        <v>8600</v>
      </c>
      <c r="Q15" s="520">
        <v>1</v>
      </c>
      <c r="R15" s="1882" t="s">
        <v>8549</v>
      </c>
      <c r="S15" s="1882" t="s">
        <v>8540</v>
      </c>
      <c r="T15" s="1882" t="s">
        <v>8540</v>
      </c>
      <c r="U15" s="1882" t="s">
        <v>8540</v>
      </c>
      <c r="V15" s="1882" t="s">
        <v>8540</v>
      </c>
      <c r="W15" s="1882" t="s">
        <v>8540</v>
      </c>
      <c r="X15" s="1882" t="s">
        <v>8540</v>
      </c>
      <c r="Y15" s="1882"/>
      <c r="Z15" s="1882"/>
      <c r="AA15" s="1882"/>
      <c r="AB15" s="1882"/>
      <c r="AC15" s="1882"/>
      <c r="AD15" s="1882"/>
      <c r="AE15" s="1882"/>
      <c r="AF15" s="1882"/>
      <c r="AG15" s="1882"/>
      <c r="AH15" s="1882">
        <v>0</v>
      </c>
      <c r="AI15" s="1882"/>
      <c r="AJ15" s="1882"/>
      <c r="AK15" s="1882"/>
      <c r="AL15" s="1882"/>
      <c r="AM15" s="1882"/>
      <c r="AN15" s="1882"/>
      <c r="AO15" s="1882"/>
      <c r="AP15" s="1882"/>
      <c r="AQ15" s="1882"/>
      <c r="AR15" s="1882"/>
      <c r="AS15" s="1882"/>
      <c r="AT15" s="1882"/>
      <c r="AU15" s="1882"/>
      <c r="AV15" s="1882"/>
      <c r="AW15" s="1882"/>
      <c r="AX15" s="1882"/>
      <c r="AY15" s="1882"/>
      <c r="AZ15" s="1882"/>
      <c r="BA15" s="1882"/>
      <c r="BB15" s="1882"/>
      <c r="BC15" s="1882"/>
      <c r="BD15" s="1882"/>
      <c r="BE15" s="1882"/>
      <c r="BF15" s="1882"/>
      <c r="BG15" s="1882"/>
      <c r="BH15" s="1882"/>
      <c r="BI15" s="1882"/>
      <c r="BJ15" s="1882"/>
      <c r="BK15" s="1882"/>
      <c r="BL15" s="1882"/>
      <c r="BM15" s="1882"/>
      <c r="BN15" s="1882"/>
      <c r="BO15" s="1882"/>
      <c r="BP15" s="520" t="s">
        <v>8513</v>
      </c>
      <c r="BQ15" s="691" t="s">
        <v>8601</v>
      </c>
      <c r="BR15" s="1882" t="s">
        <v>8513</v>
      </c>
      <c r="BS15" s="1882" t="s">
        <v>8513</v>
      </c>
      <c r="BT15" s="1882">
        <v>0</v>
      </c>
      <c r="BU15" s="1882" t="s">
        <v>8513</v>
      </c>
      <c r="BV15" s="1882">
        <v>0</v>
      </c>
      <c r="BW15" s="1882">
        <v>69.599999999999994</v>
      </c>
      <c r="BX15" s="1882" t="s">
        <v>2451</v>
      </c>
      <c r="BY15" s="1882">
        <v>0</v>
      </c>
      <c r="BZ15" s="1882">
        <v>0</v>
      </c>
      <c r="CA15" s="1882">
        <v>0</v>
      </c>
      <c r="CB15" s="1882">
        <v>0</v>
      </c>
      <c r="CC15" s="1882">
        <v>67.7</v>
      </c>
      <c r="CD15" s="1882" t="s">
        <v>2451</v>
      </c>
      <c r="CE15" s="1882">
        <v>0</v>
      </c>
      <c r="CF15" s="1882">
        <v>0</v>
      </c>
      <c r="CG15" s="1882">
        <v>0</v>
      </c>
      <c r="CH15" s="1882">
        <v>0</v>
      </c>
      <c r="CI15" s="1882">
        <v>68.3</v>
      </c>
      <c r="CJ15" s="1882" t="s">
        <v>2451</v>
      </c>
      <c r="CK15" s="1882">
        <v>0</v>
      </c>
      <c r="CL15" s="1882">
        <v>0</v>
      </c>
      <c r="CM15" s="1882">
        <v>0</v>
      </c>
      <c r="CN15" s="1882">
        <v>0</v>
      </c>
      <c r="CP15" s="1882" t="s">
        <v>8602</v>
      </c>
    </row>
    <row r="16" spans="1:94">
      <c r="A16" s="1882" t="s">
        <v>8355</v>
      </c>
      <c r="B16" s="1882" t="s">
        <v>8603</v>
      </c>
      <c r="C16" s="1882" t="s">
        <v>8352</v>
      </c>
      <c r="D16" s="1882" t="s">
        <v>1626</v>
      </c>
      <c r="E16" s="1882" t="s">
        <v>8503</v>
      </c>
      <c r="F16" s="1882" t="s">
        <v>8604</v>
      </c>
      <c r="G16" s="1882" t="s">
        <v>8516</v>
      </c>
      <c r="H16" s="1882" t="s">
        <v>8605</v>
      </c>
      <c r="I16" s="1882" t="s">
        <v>8606</v>
      </c>
      <c r="J16" s="1882" t="s">
        <v>8508</v>
      </c>
      <c r="K16" s="1882" t="s">
        <v>8509</v>
      </c>
      <c r="L16" s="1882"/>
      <c r="M16" s="1882"/>
      <c r="N16" s="1882" t="s">
        <v>2450</v>
      </c>
      <c r="O16" s="1882" t="s">
        <v>8607</v>
      </c>
      <c r="P16" s="1882" t="s">
        <v>8608</v>
      </c>
      <c r="Q16" s="520">
        <v>2</v>
      </c>
      <c r="R16" s="1882" t="s">
        <v>8511</v>
      </c>
      <c r="S16" s="1882">
        <v>19.36</v>
      </c>
      <c r="T16" s="1882">
        <v>16.899999999999999</v>
      </c>
      <c r="U16" s="1882">
        <v>14.5</v>
      </c>
      <c r="V16" s="1882">
        <v>12</v>
      </c>
      <c r="W16" s="1882">
        <v>12</v>
      </c>
      <c r="X16" s="1882">
        <v>12</v>
      </c>
      <c r="Y16" s="1882"/>
      <c r="Z16" s="1882"/>
      <c r="AA16" s="1882" t="s">
        <v>2459</v>
      </c>
      <c r="AB16" s="1882"/>
      <c r="AC16" s="1882"/>
      <c r="AD16" s="1882"/>
      <c r="AE16" s="1882" t="s">
        <v>2459</v>
      </c>
      <c r="AF16" s="1882"/>
      <c r="AG16" s="1882"/>
      <c r="AH16" s="1882">
        <v>0</v>
      </c>
      <c r="AI16" s="1882" t="s">
        <v>2459</v>
      </c>
      <c r="AJ16" s="1882" t="s">
        <v>2459</v>
      </c>
      <c r="AK16" s="1882" t="s">
        <v>2459</v>
      </c>
      <c r="AL16" s="1882" t="s">
        <v>2459</v>
      </c>
      <c r="AM16" s="1882" t="s">
        <v>2459</v>
      </c>
      <c r="AN16" s="1882">
        <v>20.86</v>
      </c>
      <c r="AO16" s="1882">
        <v>20.86</v>
      </c>
      <c r="AP16" s="1882">
        <v>13.5</v>
      </c>
      <c r="AQ16" s="1882">
        <v>13.5</v>
      </c>
      <c r="AR16" s="1882">
        <v>13.5</v>
      </c>
      <c r="AS16" s="1882">
        <v>19.36</v>
      </c>
      <c r="AT16" s="1882">
        <v>19.36</v>
      </c>
      <c r="AU16" s="1882">
        <v>12</v>
      </c>
      <c r="AV16" s="1882">
        <v>12</v>
      </c>
      <c r="AW16" s="1882">
        <v>12</v>
      </c>
      <c r="AX16" s="1882">
        <v>12</v>
      </c>
      <c r="AY16" s="1882">
        <v>12</v>
      </c>
      <c r="AZ16" s="1882">
        <v>12</v>
      </c>
      <c r="BA16" s="1882">
        <v>12</v>
      </c>
      <c r="BB16" s="1882">
        <v>12</v>
      </c>
      <c r="BC16" s="1882">
        <v>10</v>
      </c>
      <c r="BD16" s="1882">
        <v>10</v>
      </c>
      <c r="BE16" s="1882">
        <v>10</v>
      </c>
      <c r="BF16" s="1882">
        <v>10</v>
      </c>
      <c r="BG16" s="1882">
        <v>10</v>
      </c>
      <c r="BH16" s="1882">
        <v>5.7080000000000002</v>
      </c>
      <c r="BI16" s="1882"/>
      <c r="BJ16" s="1882"/>
      <c r="BK16" s="1882"/>
      <c r="BL16" s="1882">
        <v>2.8359999999999999</v>
      </c>
      <c r="BM16" s="1882"/>
      <c r="BN16" s="1882">
        <v>1</v>
      </c>
      <c r="BO16" s="1882" t="s">
        <v>8512</v>
      </c>
      <c r="BP16" s="520">
        <v>19.167000000000002</v>
      </c>
      <c r="BQ16" s="694">
        <v>8.1999999999999993</v>
      </c>
      <c r="BR16" s="1882" t="s">
        <v>2459</v>
      </c>
      <c r="BS16" s="1882" t="s">
        <v>8513</v>
      </c>
      <c r="BT16" s="1882">
        <v>0</v>
      </c>
      <c r="BU16" s="1882" t="s">
        <v>8376</v>
      </c>
      <c r="BV16" s="1882">
        <v>5.6719999999999997</v>
      </c>
      <c r="BW16" s="1882">
        <v>11.72</v>
      </c>
      <c r="BX16" s="1882" t="s">
        <v>2459</v>
      </c>
      <c r="BY16" s="1882">
        <v>0</v>
      </c>
      <c r="BZ16" s="1882">
        <v>0</v>
      </c>
      <c r="CA16" s="1882" t="s">
        <v>8376</v>
      </c>
      <c r="CB16" s="1882">
        <v>0.79410000000000003</v>
      </c>
      <c r="CC16" s="1882">
        <v>7.4</v>
      </c>
      <c r="CD16" s="1882" t="s">
        <v>2459</v>
      </c>
      <c r="CE16" s="1882">
        <v>0</v>
      </c>
      <c r="CF16" s="1882">
        <v>0</v>
      </c>
      <c r="CG16" s="1882" t="s">
        <v>8376</v>
      </c>
      <c r="CH16" s="1882">
        <v>5.6719999999999997</v>
      </c>
      <c r="CI16" s="1882">
        <v>8.73</v>
      </c>
      <c r="CJ16" s="1882" t="s">
        <v>2459</v>
      </c>
      <c r="CK16" s="1882">
        <v>0</v>
      </c>
      <c r="CL16" s="1882">
        <v>0</v>
      </c>
      <c r="CM16" s="1882" t="s">
        <v>8376</v>
      </c>
      <c r="CN16" s="1882">
        <v>5.6719999999999997</v>
      </c>
      <c r="CP16" s="1882" t="s">
        <v>8609</v>
      </c>
    </row>
    <row r="17" spans="1:94">
      <c r="A17" s="1882" t="s">
        <v>8355</v>
      </c>
      <c r="B17" s="1882" t="s">
        <v>8610</v>
      </c>
      <c r="C17" s="1882" t="s">
        <v>8352</v>
      </c>
      <c r="D17" s="1882" t="s">
        <v>1626</v>
      </c>
      <c r="E17" s="1882" t="s">
        <v>8503</v>
      </c>
      <c r="F17" s="1882" t="s">
        <v>8604</v>
      </c>
      <c r="G17" s="1882" t="s">
        <v>8524</v>
      </c>
      <c r="H17" s="1882" t="s">
        <v>8611</v>
      </c>
      <c r="I17" s="1882" t="s">
        <v>8612</v>
      </c>
      <c r="J17" s="1882" t="s">
        <v>8508</v>
      </c>
      <c r="K17" s="1882" t="s">
        <v>8509</v>
      </c>
      <c r="L17" s="1882"/>
      <c r="M17" s="1882" t="s">
        <v>2460</v>
      </c>
      <c r="N17" s="1882" t="s">
        <v>8613</v>
      </c>
      <c r="O17" s="1882" t="s">
        <v>764</v>
      </c>
      <c r="P17" s="1882" t="s">
        <v>8562</v>
      </c>
      <c r="Q17" s="520">
        <v>0</v>
      </c>
      <c r="R17" s="1882" t="s">
        <v>8511</v>
      </c>
      <c r="S17" s="1882">
        <v>517</v>
      </c>
      <c r="T17" s="1882"/>
      <c r="U17" s="1882"/>
      <c r="V17" s="1882">
        <v>361</v>
      </c>
      <c r="W17" s="1882"/>
      <c r="X17" s="1882">
        <v>257</v>
      </c>
      <c r="Y17" s="1882"/>
      <c r="Z17" s="1882"/>
      <c r="AA17" s="1882"/>
      <c r="AB17" s="1882"/>
      <c r="AC17" s="1882"/>
      <c r="AD17" s="1882"/>
      <c r="AE17" s="1882" t="s">
        <v>2459</v>
      </c>
      <c r="AF17" s="1882"/>
      <c r="AG17" s="1882"/>
      <c r="AH17" s="1882">
        <v>0</v>
      </c>
      <c r="AI17" s="1882"/>
      <c r="AJ17" s="1882"/>
      <c r="AK17" s="1882" t="s">
        <v>2459</v>
      </c>
      <c r="AL17" s="1882"/>
      <c r="AM17" s="1882" t="s">
        <v>2459</v>
      </c>
      <c r="AN17" s="1882"/>
      <c r="AO17" s="1882"/>
      <c r="AP17" s="1882">
        <v>441</v>
      </c>
      <c r="AQ17" s="1882"/>
      <c r="AR17" s="1882">
        <v>337</v>
      </c>
      <c r="AS17" s="1882"/>
      <c r="AT17" s="1882"/>
      <c r="AU17" s="1882">
        <v>366</v>
      </c>
      <c r="AV17" s="1882"/>
      <c r="AW17" s="1882">
        <v>262</v>
      </c>
      <c r="AX17" s="1882"/>
      <c r="AY17" s="1882"/>
      <c r="AZ17" s="1882"/>
      <c r="BA17" s="1882"/>
      <c r="BB17" s="1882">
        <v>230</v>
      </c>
      <c r="BC17" s="1882"/>
      <c r="BD17" s="1882"/>
      <c r="BE17" s="1882"/>
      <c r="BF17" s="1882"/>
      <c r="BG17" s="1882">
        <v>150</v>
      </c>
      <c r="BH17" s="1882">
        <v>0.03</v>
      </c>
      <c r="BI17" s="1882"/>
      <c r="BJ17" s="1882"/>
      <c r="BK17" s="1882"/>
      <c r="BL17" s="1882">
        <v>1.4999999999999999E-2</v>
      </c>
      <c r="BM17" s="1882"/>
      <c r="BN17" s="1882">
        <v>1</v>
      </c>
      <c r="BO17" s="1882" t="s">
        <v>8512</v>
      </c>
      <c r="BP17" s="520">
        <v>505</v>
      </c>
      <c r="BQ17" s="695">
        <v>462</v>
      </c>
      <c r="BR17" s="1882" t="s">
        <v>8513</v>
      </c>
      <c r="BS17" s="1882" t="s">
        <v>8513</v>
      </c>
      <c r="BT17" s="1882">
        <v>0</v>
      </c>
      <c r="BU17" s="1882" t="s">
        <v>8513</v>
      </c>
      <c r="BV17" s="1882">
        <v>0</v>
      </c>
      <c r="BW17" s="1882">
        <v>460</v>
      </c>
      <c r="BX17" s="1882" t="s">
        <v>2451</v>
      </c>
      <c r="BY17" s="1882">
        <v>0</v>
      </c>
      <c r="BZ17" s="1882">
        <v>0</v>
      </c>
      <c r="CA17" s="1882">
        <v>0</v>
      </c>
      <c r="CB17" s="1882">
        <v>0</v>
      </c>
      <c r="CC17" s="1882">
        <v>297</v>
      </c>
      <c r="CD17" s="1882" t="s">
        <v>2459</v>
      </c>
      <c r="CE17" s="1882">
        <v>0</v>
      </c>
      <c r="CF17" s="1882">
        <v>0</v>
      </c>
      <c r="CG17" s="1882">
        <v>0</v>
      </c>
      <c r="CH17" s="1882">
        <v>0</v>
      </c>
      <c r="CI17" s="1882">
        <v>287</v>
      </c>
      <c r="CJ17" s="1882" t="s">
        <v>2451</v>
      </c>
      <c r="CK17" s="1882">
        <v>0</v>
      </c>
      <c r="CL17" s="1882">
        <v>0</v>
      </c>
      <c r="CM17" s="1882">
        <v>0</v>
      </c>
      <c r="CN17" s="1882">
        <v>0</v>
      </c>
      <c r="CP17" s="1882" t="s">
        <v>8614</v>
      </c>
    </row>
    <row r="18" spans="1:94">
      <c r="A18" s="1882" t="s">
        <v>8355</v>
      </c>
      <c r="B18" s="1882" t="s">
        <v>8615</v>
      </c>
      <c r="C18" s="1882" t="s">
        <v>8352</v>
      </c>
      <c r="D18" s="1882" t="s">
        <v>1626</v>
      </c>
      <c r="E18" s="1882" t="s">
        <v>8503</v>
      </c>
      <c r="F18" s="1882" t="s">
        <v>8604</v>
      </c>
      <c r="G18" s="1882" t="s">
        <v>8530</v>
      </c>
      <c r="H18" s="1882" t="s">
        <v>8616</v>
      </c>
      <c r="I18" s="1882" t="s">
        <v>8617</v>
      </c>
      <c r="J18" s="1882" t="s">
        <v>8508</v>
      </c>
      <c r="K18" s="1882" t="s">
        <v>8509</v>
      </c>
      <c r="L18" s="1882"/>
      <c r="M18" s="1882"/>
      <c r="N18" s="1882" t="s">
        <v>8463</v>
      </c>
      <c r="O18" s="1882" t="s">
        <v>764</v>
      </c>
      <c r="P18" s="1882" t="s">
        <v>8555</v>
      </c>
      <c r="Q18" s="520">
        <v>2</v>
      </c>
      <c r="R18" s="1882" t="s">
        <v>8511</v>
      </c>
      <c r="S18" s="1882">
        <v>1.51</v>
      </c>
      <c r="T18" s="1882">
        <v>1.42</v>
      </c>
      <c r="U18" s="1882">
        <v>1.32</v>
      </c>
      <c r="V18" s="1882">
        <v>1.23</v>
      </c>
      <c r="W18" s="1882">
        <v>1.23</v>
      </c>
      <c r="X18" s="1882">
        <v>1.23</v>
      </c>
      <c r="Y18" s="1882"/>
      <c r="Z18" s="1882" t="s">
        <v>2459</v>
      </c>
      <c r="AA18" s="1882"/>
      <c r="AB18" s="1882"/>
      <c r="AC18" s="1882"/>
      <c r="AD18" s="1882"/>
      <c r="AE18" s="1882" t="s">
        <v>2459</v>
      </c>
      <c r="AF18" s="1882"/>
      <c r="AG18" s="1882"/>
      <c r="AH18" s="1882">
        <v>0</v>
      </c>
      <c r="AI18" s="1882" t="s">
        <v>2459</v>
      </c>
      <c r="AJ18" s="1882" t="s">
        <v>2459</v>
      </c>
      <c r="AK18" s="1882" t="s">
        <v>2459</v>
      </c>
      <c r="AL18" s="1882" t="s">
        <v>2459</v>
      </c>
      <c r="AM18" s="1882" t="s">
        <v>2459</v>
      </c>
      <c r="AN18" s="1882">
        <v>2.74</v>
      </c>
      <c r="AO18" s="1882">
        <v>2.74</v>
      </c>
      <c r="AP18" s="1882">
        <v>2.46</v>
      </c>
      <c r="AQ18" s="1882">
        <v>2.46</v>
      </c>
      <c r="AR18" s="1882">
        <v>2.46</v>
      </c>
      <c r="AS18" s="1882">
        <v>1.51</v>
      </c>
      <c r="AT18" s="1882">
        <v>1.51</v>
      </c>
      <c r="AU18" s="1882">
        <v>1.23</v>
      </c>
      <c r="AV18" s="1882">
        <v>1.23</v>
      </c>
      <c r="AW18" s="1882">
        <v>1.23</v>
      </c>
      <c r="AX18" s="1882">
        <v>1.23</v>
      </c>
      <c r="AY18" s="1882">
        <v>1.23</v>
      </c>
      <c r="AZ18" s="1882">
        <v>1.23</v>
      </c>
      <c r="BA18" s="1882">
        <v>1.23</v>
      </c>
      <c r="BB18" s="1882">
        <v>1.23</v>
      </c>
      <c r="BC18" s="1882">
        <v>0</v>
      </c>
      <c r="BD18" s="1882">
        <v>0</v>
      </c>
      <c r="BE18" s="1882">
        <v>0</v>
      </c>
      <c r="BF18" s="1882">
        <v>0</v>
      </c>
      <c r="BG18" s="1882">
        <v>0</v>
      </c>
      <c r="BH18" s="1882">
        <v>1.5720000000000001</v>
      </c>
      <c r="BI18" s="1882"/>
      <c r="BJ18" s="1882"/>
      <c r="BK18" s="1882"/>
      <c r="BL18" s="1882">
        <v>1.1779999999999999</v>
      </c>
      <c r="BM18" s="1882"/>
      <c r="BN18" s="1882">
        <v>1</v>
      </c>
      <c r="BO18" s="1882" t="s">
        <v>8512</v>
      </c>
      <c r="BP18" s="520">
        <v>1.48</v>
      </c>
      <c r="BQ18" s="696">
        <v>1.38</v>
      </c>
      <c r="BR18" s="1882" t="s">
        <v>2459</v>
      </c>
      <c r="BS18" s="1882" t="s">
        <v>8513</v>
      </c>
      <c r="BT18" s="1882">
        <v>0</v>
      </c>
      <c r="BU18" s="1882" t="s">
        <v>8380</v>
      </c>
      <c r="BV18" s="1882">
        <v>0</v>
      </c>
      <c r="BW18" s="1882">
        <v>1.38</v>
      </c>
      <c r="BX18" s="1882" t="s">
        <v>2460</v>
      </c>
      <c r="BY18" s="1882">
        <v>0</v>
      </c>
      <c r="BZ18" s="1882">
        <v>0</v>
      </c>
      <c r="CA18" s="1882" t="s">
        <v>8429</v>
      </c>
      <c r="CB18" s="1882">
        <v>0</v>
      </c>
      <c r="CC18" s="1882">
        <v>1.23</v>
      </c>
      <c r="CD18" s="1882" t="s">
        <v>2459</v>
      </c>
      <c r="CE18" s="1882">
        <v>0</v>
      </c>
      <c r="CF18" s="1882">
        <v>0</v>
      </c>
      <c r="CG18" s="1882">
        <v>0</v>
      </c>
      <c r="CH18" s="1882">
        <v>0</v>
      </c>
      <c r="CI18" s="1882">
        <v>1.18</v>
      </c>
      <c r="CJ18" s="1882" t="s">
        <v>2459</v>
      </c>
      <c r="CK18" s="1882">
        <v>0</v>
      </c>
      <c r="CL18" s="1882">
        <v>0</v>
      </c>
      <c r="CM18" s="1882" t="s">
        <v>8376</v>
      </c>
      <c r="CN18" s="1882">
        <v>5.8900000000000001E-2</v>
      </c>
      <c r="CP18" s="1882" t="s">
        <v>8618</v>
      </c>
    </row>
    <row r="19" spans="1:94">
      <c r="A19" s="1882" t="s">
        <v>8355</v>
      </c>
      <c r="B19" s="1882" t="s">
        <v>8619</v>
      </c>
      <c r="C19" s="1882" t="s">
        <v>8352</v>
      </c>
      <c r="D19" s="1882" t="s">
        <v>1626</v>
      </c>
      <c r="E19" s="1882" t="s">
        <v>8503</v>
      </c>
      <c r="F19" s="1882" t="s">
        <v>8620</v>
      </c>
      <c r="G19" s="1882" t="s">
        <v>8544</v>
      </c>
      <c r="H19" s="1882" t="s">
        <v>8621</v>
      </c>
      <c r="I19" s="1882" t="s">
        <v>8622</v>
      </c>
      <c r="J19" s="1882" t="s">
        <v>8508</v>
      </c>
      <c r="K19" s="1882" t="s">
        <v>8509</v>
      </c>
      <c r="L19" s="1882"/>
      <c r="M19" s="1882"/>
      <c r="N19" s="1882" t="s">
        <v>8599</v>
      </c>
      <c r="O19" s="1882" t="s">
        <v>732</v>
      </c>
      <c r="P19" s="1882" t="s">
        <v>8623</v>
      </c>
      <c r="Q19" s="520">
        <v>0</v>
      </c>
      <c r="R19" s="1882" t="s">
        <v>8549</v>
      </c>
      <c r="S19" s="1882">
        <v>0</v>
      </c>
      <c r="T19" s="1882">
        <v>0</v>
      </c>
      <c r="U19" s="1882">
        <v>0</v>
      </c>
      <c r="V19" s="1882">
        <v>0</v>
      </c>
      <c r="W19" s="1882">
        <v>0</v>
      </c>
      <c r="X19" s="1882">
        <v>0</v>
      </c>
      <c r="Y19" s="1882"/>
      <c r="Z19" s="1882"/>
      <c r="AA19" s="1882"/>
      <c r="AB19" s="1882"/>
      <c r="AC19" s="1882"/>
      <c r="AD19" s="1882"/>
      <c r="AE19" s="1882"/>
      <c r="AF19" s="1882"/>
      <c r="AG19" s="1882"/>
      <c r="AH19" s="1882">
        <v>0</v>
      </c>
      <c r="AI19" s="1882" t="s">
        <v>2459</v>
      </c>
      <c r="AJ19" s="1882" t="s">
        <v>2459</v>
      </c>
      <c r="AK19" s="1882" t="s">
        <v>2459</v>
      </c>
      <c r="AL19" s="1882" t="s">
        <v>2459</v>
      </c>
      <c r="AM19" s="1882" t="s">
        <v>2459</v>
      </c>
      <c r="AN19" s="1882">
        <v>-20</v>
      </c>
      <c r="AO19" s="1882">
        <v>-20</v>
      </c>
      <c r="AP19" s="1882">
        <v>-20</v>
      </c>
      <c r="AQ19" s="1882">
        <v>-20</v>
      </c>
      <c r="AR19" s="1882">
        <v>-20</v>
      </c>
      <c r="AS19" s="1882">
        <v>0</v>
      </c>
      <c r="AT19" s="1882">
        <v>0</v>
      </c>
      <c r="AU19" s="1882">
        <v>0</v>
      </c>
      <c r="AV19" s="1882">
        <v>0</v>
      </c>
      <c r="AW19" s="1882">
        <v>0</v>
      </c>
      <c r="AX19" s="1882">
        <v>0</v>
      </c>
      <c r="AY19" s="1882">
        <v>0</v>
      </c>
      <c r="AZ19" s="1882">
        <v>0</v>
      </c>
      <c r="BA19" s="1882">
        <v>0</v>
      </c>
      <c r="BB19" s="1882">
        <v>0</v>
      </c>
      <c r="BC19" s="1882">
        <v>20</v>
      </c>
      <c r="BD19" s="1882">
        <v>20</v>
      </c>
      <c r="BE19" s="1882">
        <v>20</v>
      </c>
      <c r="BF19" s="1882">
        <v>20</v>
      </c>
      <c r="BG19" s="1882">
        <v>20</v>
      </c>
      <c r="BH19" s="1882">
        <v>2.5000000000000001E-2</v>
      </c>
      <c r="BI19" s="1882"/>
      <c r="BJ19" s="1882"/>
      <c r="BK19" s="1882"/>
      <c r="BL19" s="1882">
        <v>2.5000000000000001E-2</v>
      </c>
      <c r="BM19" s="1882"/>
      <c r="BN19" s="1882">
        <v>1</v>
      </c>
      <c r="BO19" s="1882" t="s">
        <v>8512</v>
      </c>
      <c r="BP19" s="520">
        <v>1</v>
      </c>
      <c r="BQ19" s="695">
        <v>3</v>
      </c>
      <c r="BR19" s="1882" t="s">
        <v>2459</v>
      </c>
      <c r="BS19" s="1882" t="s">
        <v>8513</v>
      </c>
      <c r="BT19" s="1882">
        <v>0</v>
      </c>
      <c r="BU19" s="1882" t="s">
        <v>8376</v>
      </c>
      <c r="BV19" s="1882">
        <v>7.4999999999999997E-2</v>
      </c>
      <c r="BW19" s="1882">
        <v>0</v>
      </c>
      <c r="BX19" s="1882" t="s">
        <v>2459</v>
      </c>
      <c r="BY19" s="1882">
        <v>0</v>
      </c>
      <c r="BZ19" s="1882">
        <v>0</v>
      </c>
      <c r="CA19" s="1882">
        <v>0</v>
      </c>
      <c r="CB19" s="1882">
        <v>0</v>
      </c>
      <c r="CC19" s="1882">
        <v>8</v>
      </c>
      <c r="CD19" s="1882" t="s">
        <v>2459</v>
      </c>
      <c r="CE19" s="1882">
        <v>0</v>
      </c>
      <c r="CF19" s="1882">
        <v>0</v>
      </c>
      <c r="CG19" s="1882" t="s">
        <v>8376</v>
      </c>
      <c r="CH19" s="1882">
        <v>0.2</v>
      </c>
      <c r="CI19" s="1882">
        <v>1</v>
      </c>
      <c r="CJ19" s="1882" t="s">
        <v>2459</v>
      </c>
      <c r="CK19" s="1882">
        <v>0</v>
      </c>
      <c r="CL19" s="1882">
        <v>0</v>
      </c>
      <c r="CM19" s="1882" t="s">
        <v>8376</v>
      </c>
      <c r="CN19" s="1882">
        <v>2.5000000000000001E-2</v>
      </c>
      <c r="CP19" s="1882" t="s">
        <v>8624</v>
      </c>
    </row>
    <row r="20" spans="1:94">
      <c r="A20" s="1882" t="s">
        <v>8355</v>
      </c>
      <c r="B20" s="1882" t="s">
        <v>8625</v>
      </c>
      <c r="C20" s="1882" t="s">
        <v>8352</v>
      </c>
      <c r="D20" s="1882" t="s">
        <v>1626</v>
      </c>
      <c r="E20" s="1882" t="s">
        <v>8503</v>
      </c>
      <c r="F20" s="1882" t="s">
        <v>8626</v>
      </c>
      <c r="G20" s="1882" t="s">
        <v>8559</v>
      </c>
      <c r="H20" s="1882" t="s">
        <v>8627</v>
      </c>
      <c r="I20" s="1882" t="s">
        <v>8628</v>
      </c>
      <c r="J20" s="1882" t="s">
        <v>8519</v>
      </c>
      <c r="K20" s="1882" t="s">
        <v>8509</v>
      </c>
      <c r="L20" s="1882"/>
      <c r="M20" s="1882"/>
      <c r="N20" s="1882" t="s">
        <v>4580</v>
      </c>
      <c r="O20" s="1882" t="s">
        <v>732</v>
      </c>
      <c r="P20" s="1882" t="s">
        <v>8629</v>
      </c>
      <c r="Q20" s="520">
        <v>1</v>
      </c>
      <c r="R20" s="1882" t="s">
        <v>8511</v>
      </c>
      <c r="S20" s="1882">
        <v>27.5</v>
      </c>
      <c r="T20" s="1882"/>
      <c r="U20" s="1882"/>
      <c r="V20" s="1882"/>
      <c r="W20" s="1882"/>
      <c r="X20" s="1882">
        <v>24.7</v>
      </c>
      <c r="Y20" s="1882"/>
      <c r="Z20" s="1882"/>
      <c r="AA20" s="1882"/>
      <c r="AB20" s="1882"/>
      <c r="AC20" s="1882"/>
      <c r="AD20" s="1882"/>
      <c r="AE20" s="1882" t="s">
        <v>2459</v>
      </c>
      <c r="AF20" s="1882"/>
      <c r="AG20" s="1882"/>
      <c r="AH20" s="1882">
        <v>0</v>
      </c>
      <c r="AI20" s="1882"/>
      <c r="AJ20" s="1882"/>
      <c r="AK20" s="1882"/>
      <c r="AL20" s="1882"/>
      <c r="AM20" s="1882" t="s">
        <v>2459</v>
      </c>
      <c r="AN20" s="1882"/>
      <c r="AO20" s="1882"/>
      <c r="AP20" s="1882"/>
      <c r="AQ20" s="1882"/>
      <c r="AR20" s="1882">
        <v>27.5</v>
      </c>
      <c r="AS20" s="1882"/>
      <c r="AT20" s="1882"/>
      <c r="AU20" s="1882"/>
      <c r="AV20" s="1882"/>
      <c r="AW20" s="1882">
        <v>24.7</v>
      </c>
      <c r="AX20" s="1882"/>
      <c r="AY20" s="1882"/>
      <c r="AZ20" s="1882"/>
      <c r="BA20" s="1882"/>
      <c r="BB20" s="1882"/>
      <c r="BC20" s="1882"/>
      <c r="BD20" s="1882"/>
      <c r="BE20" s="1882"/>
      <c r="BF20" s="1882"/>
      <c r="BG20" s="1882"/>
      <c r="BH20" s="1882">
        <v>8.6999999999999994E-2</v>
      </c>
      <c r="BI20" s="1882"/>
      <c r="BJ20" s="1882"/>
      <c r="BK20" s="1882"/>
      <c r="BL20" s="1882"/>
      <c r="BM20" s="1882"/>
      <c r="BN20" s="1882">
        <v>5</v>
      </c>
      <c r="BO20" s="1882" t="s">
        <v>8630</v>
      </c>
      <c r="BP20" s="520">
        <v>46.9</v>
      </c>
      <c r="BQ20" s="697">
        <v>46.3</v>
      </c>
      <c r="BR20" s="1882" t="s">
        <v>8513</v>
      </c>
      <c r="BS20" s="1882" t="s">
        <v>8513</v>
      </c>
      <c r="BT20" s="1882">
        <v>0</v>
      </c>
      <c r="BU20" s="1882" t="s">
        <v>8513</v>
      </c>
      <c r="BV20" s="1882">
        <v>0</v>
      </c>
      <c r="BW20" s="1882">
        <v>46.3</v>
      </c>
      <c r="BX20" s="1882" t="s">
        <v>2451</v>
      </c>
      <c r="BY20" s="1882">
        <v>0</v>
      </c>
      <c r="BZ20" s="1882">
        <v>0</v>
      </c>
      <c r="CA20" s="1882">
        <v>0</v>
      </c>
      <c r="CB20" s="1882">
        <v>0</v>
      </c>
      <c r="CC20" s="1882">
        <v>45.3</v>
      </c>
      <c r="CD20" s="1882" t="s">
        <v>2451</v>
      </c>
      <c r="CE20" s="1882">
        <v>0</v>
      </c>
      <c r="CF20" s="1882">
        <v>0</v>
      </c>
      <c r="CG20" s="1882">
        <v>0</v>
      </c>
      <c r="CH20" s="1882">
        <v>0</v>
      </c>
      <c r="CI20" s="1882">
        <v>44.9</v>
      </c>
      <c r="CJ20" s="1882" t="s">
        <v>2451</v>
      </c>
      <c r="CK20" s="1882">
        <v>0</v>
      </c>
      <c r="CL20" s="1882">
        <v>0</v>
      </c>
      <c r="CM20" s="1882">
        <v>0</v>
      </c>
      <c r="CN20" s="1882">
        <v>0</v>
      </c>
      <c r="CP20" s="1882" t="s">
        <v>8631</v>
      </c>
    </row>
    <row r="21" spans="1:94">
      <c r="A21" s="1882" t="s">
        <v>8355</v>
      </c>
      <c r="B21" s="1882" t="s">
        <v>8632</v>
      </c>
      <c r="C21" s="1882" t="s">
        <v>8352</v>
      </c>
      <c r="D21" s="1882" t="s">
        <v>1626</v>
      </c>
      <c r="E21" s="1882" t="s">
        <v>8503</v>
      </c>
      <c r="F21" s="1882" t="s">
        <v>8626</v>
      </c>
      <c r="G21" s="1882" t="s">
        <v>8566</v>
      </c>
      <c r="H21" s="1882" t="s">
        <v>8633</v>
      </c>
      <c r="I21" s="1882" t="s">
        <v>8634</v>
      </c>
      <c r="J21" s="1882" t="s">
        <v>8539</v>
      </c>
      <c r="K21" s="1882"/>
      <c r="L21" s="1882"/>
      <c r="M21" s="1882"/>
      <c r="N21" s="1882" t="s">
        <v>8635</v>
      </c>
      <c r="O21" s="1882" t="s">
        <v>764</v>
      </c>
      <c r="P21" s="1882" t="s">
        <v>8636</v>
      </c>
      <c r="Q21" s="520">
        <v>0</v>
      </c>
      <c r="R21" s="1882" t="s">
        <v>8511</v>
      </c>
      <c r="S21" s="1882">
        <v>1</v>
      </c>
      <c r="T21" s="1882"/>
      <c r="U21" s="1882"/>
      <c r="V21" s="1882"/>
      <c r="W21" s="1882"/>
      <c r="X21" s="1882">
        <v>1</v>
      </c>
      <c r="Y21" s="1882"/>
      <c r="Z21" s="1882"/>
      <c r="AA21" s="1882"/>
      <c r="AB21" s="1882"/>
      <c r="AC21" s="1882"/>
      <c r="AD21" s="1882"/>
      <c r="AE21" s="1882"/>
      <c r="AF21" s="1882"/>
      <c r="AG21" s="1882"/>
      <c r="AH21" s="1882">
        <v>0</v>
      </c>
      <c r="AI21" s="1882"/>
      <c r="AJ21" s="1882"/>
      <c r="AK21" s="1882"/>
      <c r="AL21" s="1882"/>
      <c r="AM21" s="1882"/>
      <c r="AN21" s="1882"/>
      <c r="AO21" s="1882"/>
      <c r="AP21" s="1882"/>
      <c r="AQ21" s="1882"/>
      <c r="AR21" s="1882"/>
      <c r="AS21" s="1882"/>
      <c r="AT21" s="1882"/>
      <c r="AU21" s="1882"/>
      <c r="AV21" s="1882"/>
      <c r="AW21" s="1882"/>
      <c r="AX21" s="1882"/>
      <c r="AY21" s="1882"/>
      <c r="AZ21" s="1882"/>
      <c r="BA21" s="1882"/>
      <c r="BB21" s="1882"/>
      <c r="BC21" s="1882"/>
      <c r="BD21" s="1882"/>
      <c r="BE21" s="1882"/>
      <c r="BF21" s="1882"/>
      <c r="BG21" s="1882"/>
      <c r="BH21" s="1882"/>
      <c r="BI21" s="1882"/>
      <c r="BJ21" s="1882"/>
      <c r="BK21" s="1882"/>
      <c r="BL21" s="1882"/>
      <c r="BM21" s="1882"/>
      <c r="BN21" s="1882"/>
      <c r="BO21" s="1882"/>
      <c r="BP21" s="520">
        <v>1</v>
      </c>
      <c r="BQ21" s="695">
        <v>1</v>
      </c>
      <c r="BR21" s="1882" t="s">
        <v>8513</v>
      </c>
      <c r="BS21" s="1882" t="s">
        <v>8513</v>
      </c>
      <c r="BT21" s="1882">
        <v>0</v>
      </c>
      <c r="BU21" s="1882" t="s">
        <v>8513</v>
      </c>
      <c r="BV21" s="1882">
        <v>0</v>
      </c>
      <c r="BW21" s="1882">
        <v>1</v>
      </c>
      <c r="BX21" s="1882" t="s">
        <v>2451</v>
      </c>
      <c r="BY21" s="1882">
        <v>0</v>
      </c>
      <c r="BZ21" s="1882">
        <v>0</v>
      </c>
      <c r="CA21" s="1882">
        <v>0</v>
      </c>
      <c r="CB21" s="1882">
        <v>0</v>
      </c>
      <c r="CC21" s="1882">
        <v>1</v>
      </c>
      <c r="CD21" s="1882" t="s">
        <v>2451</v>
      </c>
      <c r="CE21" s="1882">
        <v>0</v>
      </c>
      <c r="CF21" s="1882">
        <v>0</v>
      </c>
      <c r="CG21" s="1882">
        <v>0</v>
      </c>
      <c r="CH21" s="1882">
        <v>0</v>
      </c>
      <c r="CI21" s="1882">
        <v>1</v>
      </c>
      <c r="CJ21" s="1882" t="s">
        <v>2451</v>
      </c>
      <c r="CK21" s="1882">
        <v>0</v>
      </c>
      <c r="CL21" s="1882">
        <v>0</v>
      </c>
      <c r="CM21" s="1882">
        <v>0</v>
      </c>
      <c r="CN21" s="1882">
        <v>0</v>
      </c>
      <c r="CP21" s="1882" t="s">
        <v>8637</v>
      </c>
    </row>
    <row r="22" spans="1:94">
      <c r="A22" s="1882" t="s">
        <v>8355</v>
      </c>
      <c r="B22" s="1882" t="s">
        <v>8638</v>
      </c>
      <c r="C22" s="1882" t="s">
        <v>8352</v>
      </c>
      <c r="D22" s="1882" t="s">
        <v>1626</v>
      </c>
      <c r="E22" s="1882" t="s">
        <v>8503</v>
      </c>
      <c r="F22" s="1882" t="s">
        <v>8639</v>
      </c>
      <c r="G22" s="1882" t="s">
        <v>8640</v>
      </c>
      <c r="H22" s="1882" t="s">
        <v>8641</v>
      </c>
      <c r="I22" s="1882" t="s">
        <v>8642</v>
      </c>
      <c r="J22" s="1882" t="s">
        <v>8539</v>
      </c>
      <c r="K22" s="1882"/>
      <c r="L22" s="1882"/>
      <c r="M22" s="1882"/>
      <c r="N22" s="1882" t="s">
        <v>8527</v>
      </c>
      <c r="O22" s="1882" t="s">
        <v>8591</v>
      </c>
      <c r="P22" s="1882" t="s">
        <v>8643</v>
      </c>
      <c r="Q22" s="520">
        <v>0</v>
      </c>
      <c r="R22" s="1882" t="s">
        <v>8549</v>
      </c>
      <c r="S22" s="1882">
        <v>100</v>
      </c>
      <c r="T22" s="1882"/>
      <c r="U22" s="1882"/>
      <c r="V22" s="1882"/>
      <c r="W22" s="1882"/>
      <c r="X22" s="1882">
        <v>100</v>
      </c>
      <c r="Y22" s="1882"/>
      <c r="Z22" s="1882"/>
      <c r="AA22" s="1882"/>
      <c r="AB22" s="1882"/>
      <c r="AC22" s="1882"/>
      <c r="AD22" s="1882"/>
      <c r="AE22" s="1882"/>
      <c r="AF22" s="1882"/>
      <c r="AG22" s="1882"/>
      <c r="AH22" s="1882">
        <v>0</v>
      </c>
      <c r="AI22" s="1882"/>
      <c r="AJ22" s="1882"/>
      <c r="AK22" s="1882"/>
      <c r="AL22" s="1882"/>
      <c r="AM22" s="1882"/>
      <c r="AN22" s="1882"/>
      <c r="AO22" s="1882"/>
      <c r="AP22" s="1882"/>
      <c r="AQ22" s="1882"/>
      <c r="AR22" s="1882"/>
      <c r="AS22" s="1882"/>
      <c r="AT22" s="1882"/>
      <c r="AU22" s="1882"/>
      <c r="AV22" s="1882"/>
      <c r="AW22" s="1882"/>
      <c r="AX22" s="1882"/>
      <c r="AY22" s="1882"/>
      <c r="AZ22" s="1882"/>
      <c r="BA22" s="1882"/>
      <c r="BB22" s="1882"/>
      <c r="BC22" s="1882"/>
      <c r="BD22" s="1882"/>
      <c r="BE22" s="1882"/>
      <c r="BF22" s="1882"/>
      <c r="BG22" s="1882"/>
      <c r="BH22" s="1882"/>
      <c r="BI22" s="1882"/>
      <c r="BJ22" s="1882"/>
      <c r="BK22" s="1882"/>
      <c r="BL22" s="1882"/>
      <c r="BM22" s="1882"/>
      <c r="BN22" s="1882"/>
      <c r="BO22" s="1882"/>
      <c r="BP22" s="520">
        <v>100</v>
      </c>
      <c r="BQ22" s="695">
        <v>100</v>
      </c>
      <c r="BR22" s="1882" t="s">
        <v>8513</v>
      </c>
      <c r="BS22" s="1882" t="s">
        <v>8513</v>
      </c>
      <c r="BT22" s="1882">
        <v>0</v>
      </c>
      <c r="BU22" s="1882" t="s">
        <v>8513</v>
      </c>
      <c r="BV22" s="1882">
        <v>0</v>
      </c>
      <c r="BW22" s="1882">
        <v>100</v>
      </c>
      <c r="BX22" s="1882" t="s">
        <v>2451</v>
      </c>
      <c r="BY22" s="1882">
        <v>0</v>
      </c>
      <c r="BZ22" s="1882">
        <v>0</v>
      </c>
      <c r="CA22" s="1882">
        <v>0</v>
      </c>
      <c r="CB22" s="1882">
        <v>0</v>
      </c>
      <c r="CC22" s="1882">
        <v>100</v>
      </c>
      <c r="CD22" s="1882" t="s">
        <v>2451</v>
      </c>
      <c r="CE22" s="1882">
        <v>0</v>
      </c>
      <c r="CF22" s="1882">
        <v>0</v>
      </c>
      <c r="CG22" s="1882">
        <v>0</v>
      </c>
      <c r="CH22" s="1882">
        <v>0</v>
      </c>
      <c r="CI22" s="1882">
        <v>100</v>
      </c>
      <c r="CJ22" s="1882" t="s">
        <v>2451</v>
      </c>
      <c r="CK22" s="1882">
        <v>0</v>
      </c>
      <c r="CL22" s="1882">
        <v>0</v>
      </c>
      <c r="CM22" s="1882">
        <v>0</v>
      </c>
      <c r="CN22" s="1882">
        <v>0</v>
      </c>
      <c r="CP22" s="1882" t="s">
        <v>8644</v>
      </c>
    </row>
    <row r="23" spans="1:94">
      <c r="A23" s="1882" t="s">
        <v>8355</v>
      </c>
      <c r="B23" s="1882" t="s">
        <v>8645</v>
      </c>
      <c r="C23" s="1882" t="s">
        <v>8352</v>
      </c>
      <c r="D23" s="1882" t="s">
        <v>1626</v>
      </c>
      <c r="E23" s="1882" t="s">
        <v>8503</v>
      </c>
      <c r="F23" s="1882" t="s">
        <v>8639</v>
      </c>
      <c r="G23" s="1882" t="s">
        <v>8646</v>
      </c>
      <c r="H23" s="1882" t="s">
        <v>8647</v>
      </c>
      <c r="I23" s="1882" t="s">
        <v>8648</v>
      </c>
      <c r="J23" s="1882" t="s">
        <v>8539</v>
      </c>
      <c r="K23" s="1882"/>
      <c r="L23" s="1882"/>
      <c r="M23" s="1882"/>
      <c r="N23" s="1882" t="s">
        <v>8527</v>
      </c>
      <c r="O23" s="1882" t="s">
        <v>8591</v>
      </c>
      <c r="P23" s="1882" t="s">
        <v>8643</v>
      </c>
      <c r="Q23" s="520">
        <v>0</v>
      </c>
      <c r="R23" s="1882" t="s">
        <v>8549</v>
      </c>
      <c r="S23" s="1882">
        <v>100</v>
      </c>
      <c r="T23" s="1882"/>
      <c r="U23" s="1882"/>
      <c r="V23" s="1882"/>
      <c r="W23" s="1882"/>
      <c r="X23" s="1882">
        <v>100</v>
      </c>
      <c r="Y23" s="1882"/>
      <c r="Z23" s="1882"/>
      <c r="AA23" s="1882"/>
      <c r="AB23" s="1882"/>
      <c r="AC23" s="1882"/>
      <c r="AD23" s="1882"/>
      <c r="AE23" s="1882"/>
      <c r="AF23" s="1882"/>
      <c r="AG23" s="1882"/>
      <c r="AH23" s="1882">
        <v>0</v>
      </c>
      <c r="AI23" s="1882"/>
      <c r="AJ23" s="1882"/>
      <c r="AK23" s="1882"/>
      <c r="AL23" s="1882"/>
      <c r="AM23" s="1882"/>
      <c r="AN23" s="1882"/>
      <c r="AO23" s="1882"/>
      <c r="AP23" s="1882"/>
      <c r="AQ23" s="1882"/>
      <c r="AR23" s="1882"/>
      <c r="AS23" s="1882"/>
      <c r="AT23" s="1882"/>
      <c r="AU23" s="1882"/>
      <c r="AV23" s="1882"/>
      <c r="AW23" s="1882"/>
      <c r="AX23" s="1882"/>
      <c r="AY23" s="1882"/>
      <c r="AZ23" s="1882"/>
      <c r="BA23" s="1882"/>
      <c r="BB23" s="1882"/>
      <c r="BC23" s="1882"/>
      <c r="BD23" s="1882"/>
      <c r="BE23" s="1882"/>
      <c r="BF23" s="1882"/>
      <c r="BG23" s="1882"/>
      <c r="BH23" s="1882"/>
      <c r="BI23" s="1882"/>
      <c r="BJ23" s="1882"/>
      <c r="BK23" s="1882"/>
      <c r="BL23" s="1882"/>
      <c r="BM23" s="1882"/>
      <c r="BN23" s="1882"/>
      <c r="BO23" s="1882"/>
      <c r="BP23" s="520">
        <v>100</v>
      </c>
      <c r="BQ23" s="695">
        <v>100</v>
      </c>
      <c r="BR23" s="1882" t="s">
        <v>8513</v>
      </c>
      <c r="BS23" s="1882" t="s">
        <v>8513</v>
      </c>
      <c r="BT23" s="1882">
        <v>0</v>
      </c>
      <c r="BU23" s="1882" t="s">
        <v>8513</v>
      </c>
      <c r="BV23" s="1882">
        <v>0</v>
      </c>
      <c r="BW23" s="1882">
        <v>100</v>
      </c>
      <c r="BX23" s="1882" t="s">
        <v>2451</v>
      </c>
      <c r="BY23" s="1882">
        <v>0</v>
      </c>
      <c r="BZ23" s="1882">
        <v>0</v>
      </c>
      <c r="CA23" s="1882">
        <v>0</v>
      </c>
      <c r="CB23" s="1882">
        <v>0</v>
      </c>
      <c r="CC23" s="1882">
        <v>100</v>
      </c>
      <c r="CD23" s="1882" t="s">
        <v>2451</v>
      </c>
      <c r="CE23" s="1882">
        <v>0</v>
      </c>
      <c r="CF23" s="1882">
        <v>0</v>
      </c>
      <c r="CG23" s="1882">
        <v>0</v>
      </c>
      <c r="CH23" s="1882">
        <v>0</v>
      </c>
      <c r="CI23" s="1882">
        <v>100</v>
      </c>
      <c r="CJ23" s="1882" t="s">
        <v>2451</v>
      </c>
      <c r="CK23" s="1882">
        <v>0</v>
      </c>
      <c r="CL23" s="1882">
        <v>0</v>
      </c>
      <c r="CM23" s="1882">
        <v>0</v>
      </c>
      <c r="CN23" s="1882">
        <v>0</v>
      </c>
      <c r="CP23" s="1882" t="s">
        <v>8649</v>
      </c>
    </row>
    <row r="24" spans="1:94">
      <c r="A24" s="1882" t="s">
        <v>8355</v>
      </c>
      <c r="B24" s="1882" t="s">
        <v>8650</v>
      </c>
      <c r="C24" s="1882" t="s">
        <v>8352</v>
      </c>
      <c r="D24" s="1882" t="s">
        <v>1626</v>
      </c>
      <c r="E24" s="1882" t="s">
        <v>8503</v>
      </c>
      <c r="F24" s="1882" t="s">
        <v>8639</v>
      </c>
      <c r="G24" s="1882" t="s">
        <v>8651</v>
      </c>
      <c r="H24" s="1882" t="s">
        <v>8652</v>
      </c>
      <c r="I24" s="1882" t="s">
        <v>8653</v>
      </c>
      <c r="J24" s="1882" t="s">
        <v>8519</v>
      </c>
      <c r="K24" s="1882" t="s">
        <v>8509</v>
      </c>
      <c r="L24" s="1882"/>
      <c r="M24" s="1882"/>
      <c r="N24" s="1882" t="s">
        <v>8520</v>
      </c>
      <c r="O24" s="1882" t="s">
        <v>764</v>
      </c>
      <c r="P24" s="1882" t="s">
        <v>8654</v>
      </c>
      <c r="Q24" s="520">
        <v>0</v>
      </c>
      <c r="R24" s="1882" t="s">
        <v>8549</v>
      </c>
      <c r="S24" s="1882">
        <v>0</v>
      </c>
      <c r="T24" s="1882"/>
      <c r="U24" s="1882"/>
      <c r="V24" s="1882"/>
      <c r="W24" s="1882"/>
      <c r="X24" s="1882">
        <v>7</v>
      </c>
      <c r="Y24" s="1882"/>
      <c r="Z24" s="1882"/>
      <c r="AA24" s="1882"/>
      <c r="AB24" s="1882"/>
      <c r="AC24" s="1882"/>
      <c r="AD24" s="1882"/>
      <c r="AE24" s="1882"/>
      <c r="AF24" s="1882"/>
      <c r="AG24" s="1882"/>
      <c r="AH24" s="1882">
        <v>0</v>
      </c>
      <c r="AI24" s="1882"/>
      <c r="AJ24" s="1882"/>
      <c r="AK24" s="1882"/>
      <c r="AL24" s="1882"/>
      <c r="AM24" s="1882" t="s">
        <v>2459</v>
      </c>
      <c r="AN24" s="1882"/>
      <c r="AO24" s="1882"/>
      <c r="AP24" s="1882"/>
      <c r="AQ24" s="1882"/>
      <c r="AR24" s="1882">
        <v>0</v>
      </c>
      <c r="AS24" s="1882"/>
      <c r="AT24" s="1882"/>
      <c r="AU24" s="1882"/>
      <c r="AV24" s="1882"/>
      <c r="AW24" s="1882">
        <v>7</v>
      </c>
      <c r="AX24" s="1882"/>
      <c r="AY24" s="1882"/>
      <c r="AZ24" s="1882"/>
      <c r="BA24" s="1882"/>
      <c r="BB24" s="1882"/>
      <c r="BC24" s="1882"/>
      <c r="BD24" s="1882"/>
      <c r="BE24" s="1882"/>
      <c r="BF24" s="1882"/>
      <c r="BG24" s="1882"/>
      <c r="BH24" s="1882">
        <v>0.222</v>
      </c>
      <c r="BI24" s="1882"/>
      <c r="BJ24" s="1882"/>
      <c r="BK24" s="1882"/>
      <c r="BL24" s="1882"/>
      <c r="BM24" s="1882"/>
      <c r="BN24" s="1882">
        <v>5</v>
      </c>
      <c r="BO24" s="1882" t="s">
        <v>8630</v>
      </c>
      <c r="BP24" s="520">
        <v>0</v>
      </c>
      <c r="BQ24" s="695">
        <v>-2</v>
      </c>
      <c r="BR24" s="1882" t="s">
        <v>8513</v>
      </c>
      <c r="BS24" s="1882" t="s">
        <v>8513</v>
      </c>
      <c r="BT24" s="1882">
        <v>0</v>
      </c>
      <c r="BU24" s="1882" t="s">
        <v>8513</v>
      </c>
      <c r="BV24" s="1882">
        <v>0</v>
      </c>
      <c r="BW24" s="1882">
        <v>-2</v>
      </c>
      <c r="BX24" s="1882" t="s">
        <v>2451</v>
      </c>
      <c r="BY24" s="1882">
        <v>0</v>
      </c>
      <c r="BZ24" s="1882">
        <v>0</v>
      </c>
      <c r="CA24" s="1882">
        <v>0</v>
      </c>
      <c r="CB24" s="1882">
        <v>0</v>
      </c>
      <c r="CC24" s="1882">
        <v>-4</v>
      </c>
      <c r="CD24" s="1882" t="s">
        <v>2451</v>
      </c>
      <c r="CE24" s="1882">
        <v>0</v>
      </c>
      <c r="CF24" s="1882">
        <v>0</v>
      </c>
      <c r="CG24" s="1882">
        <v>0</v>
      </c>
      <c r="CH24" s="1882">
        <v>0</v>
      </c>
      <c r="CI24" s="1882">
        <v>-11</v>
      </c>
      <c r="CJ24" s="1882" t="s">
        <v>2451</v>
      </c>
      <c r="CK24" s="1882">
        <v>0</v>
      </c>
      <c r="CL24" s="1882">
        <v>0</v>
      </c>
      <c r="CM24" s="1882">
        <v>0</v>
      </c>
      <c r="CN24" s="1882">
        <v>0</v>
      </c>
      <c r="CP24" s="1882" t="s">
        <v>8655</v>
      </c>
    </row>
    <row r="25" spans="1:94">
      <c r="A25" s="1882" t="s">
        <v>8355</v>
      </c>
      <c r="B25" s="1882" t="s">
        <v>8656</v>
      </c>
      <c r="C25" s="1882" t="s">
        <v>8352</v>
      </c>
      <c r="D25" s="1882" t="s">
        <v>1626</v>
      </c>
      <c r="E25" s="1882" t="s">
        <v>8503</v>
      </c>
      <c r="F25" s="1882" t="s">
        <v>8639</v>
      </c>
      <c r="G25" s="1882" t="s">
        <v>8657</v>
      </c>
      <c r="H25" s="1882" t="s">
        <v>8658</v>
      </c>
      <c r="I25" s="1882" t="s">
        <v>8659</v>
      </c>
      <c r="J25" s="1882" t="s">
        <v>8508</v>
      </c>
      <c r="K25" s="1882" t="s">
        <v>8509</v>
      </c>
      <c r="L25" s="1882" t="s">
        <v>2459</v>
      </c>
      <c r="M25" s="1882" t="s">
        <v>2460</v>
      </c>
      <c r="N25" s="1882" t="s">
        <v>2444</v>
      </c>
      <c r="O25" s="1882" t="s">
        <v>764</v>
      </c>
      <c r="P25" s="1882" t="s">
        <v>8510</v>
      </c>
      <c r="Q25" s="520">
        <v>0</v>
      </c>
      <c r="R25" s="1882" t="s">
        <v>8511</v>
      </c>
      <c r="S25" s="1882">
        <v>192</v>
      </c>
      <c r="T25" s="1882">
        <v>192</v>
      </c>
      <c r="U25" s="1882">
        <v>192</v>
      </c>
      <c r="V25" s="1882">
        <v>192</v>
      </c>
      <c r="W25" s="1882">
        <v>192</v>
      </c>
      <c r="X25" s="1882">
        <v>192</v>
      </c>
      <c r="Y25" s="1882"/>
      <c r="Z25" s="1882"/>
      <c r="AA25" s="1882"/>
      <c r="AB25" s="1882"/>
      <c r="AC25" s="1882"/>
      <c r="AD25" s="1882"/>
      <c r="AE25" s="1882" t="s">
        <v>2459</v>
      </c>
      <c r="AF25" s="1882"/>
      <c r="AG25" s="1882"/>
      <c r="AH25" s="1882">
        <v>0</v>
      </c>
      <c r="AI25" s="1882" t="s">
        <v>2459</v>
      </c>
      <c r="AJ25" s="1882" t="s">
        <v>2459</v>
      </c>
      <c r="AK25" s="1882" t="s">
        <v>2459</v>
      </c>
      <c r="AL25" s="1882" t="s">
        <v>2459</v>
      </c>
      <c r="AM25" s="1882" t="s">
        <v>2459</v>
      </c>
      <c r="AN25" s="1882">
        <v>211</v>
      </c>
      <c r="AO25" s="1882">
        <v>211</v>
      </c>
      <c r="AP25" s="1882">
        <v>211</v>
      </c>
      <c r="AQ25" s="1882">
        <v>211</v>
      </c>
      <c r="AR25" s="1882">
        <v>211</v>
      </c>
      <c r="AS25" s="1882">
        <v>192</v>
      </c>
      <c r="AT25" s="1882">
        <v>192</v>
      </c>
      <c r="AU25" s="1882">
        <v>192</v>
      </c>
      <c r="AV25" s="1882">
        <v>192</v>
      </c>
      <c r="AW25" s="1882">
        <v>192</v>
      </c>
      <c r="AX25" s="1882">
        <v>192</v>
      </c>
      <c r="AY25" s="1882">
        <v>192</v>
      </c>
      <c r="AZ25" s="1882">
        <v>192</v>
      </c>
      <c r="BA25" s="1882">
        <v>192</v>
      </c>
      <c r="BB25" s="1882">
        <v>192</v>
      </c>
      <c r="BC25" s="1882">
        <v>191</v>
      </c>
      <c r="BD25" s="1882">
        <v>187</v>
      </c>
      <c r="BE25" s="1882">
        <v>182</v>
      </c>
      <c r="BF25" s="1882">
        <v>177</v>
      </c>
      <c r="BG25" s="1882">
        <v>172</v>
      </c>
      <c r="BH25" s="1882">
        <v>0.4</v>
      </c>
      <c r="BI25" s="1882"/>
      <c r="BJ25" s="1882"/>
      <c r="BK25" s="1882"/>
      <c r="BL25" s="1882">
        <v>0.51500000000000001</v>
      </c>
      <c r="BM25" s="1882">
        <v>0.51500000000000001</v>
      </c>
      <c r="BN25" s="1882">
        <v>1</v>
      </c>
      <c r="BO25" s="1882" t="s">
        <v>8512</v>
      </c>
      <c r="BP25" s="520">
        <v>191</v>
      </c>
      <c r="BQ25" s="695">
        <v>189</v>
      </c>
      <c r="BR25" s="1882" t="s">
        <v>2459</v>
      </c>
      <c r="BS25" s="1882" t="s">
        <v>8376</v>
      </c>
      <c r="BT25" s="1882">
        <v>0.51500000000000001</v>
      </c>
      <c r="BU25" s="1882" t="s">
        <v>8513</v>
      </c>
      <c r="BV25" s="1882">
        <v>0</v>
      </c>
      <c r="BW25" s="1882">
        <v>186</v>
      </c>
      <c r="BX25" s="1882" t="s">
        <v>2459</v>
      </c>
      <c r="BY25" s="1882" t="s">
        <v>8376</v>
      </c>
      <c r="BZ25" s="1882">
        <v>2.5750000000000002</v>
      </c>
      <c r="CA25" s="1882">
        <v>0</v>
      </c>
      <c r="CB25" s="1882">
        <v>0</v>
      </c>
      <c r="CC25" s="1882">
        <v>183.3</v>
      </c>
      <c r="CD25" s="1882" t="s">
        <v>2459</v>
      </c>
      <c r="CE25" s="1882" t="s">
        <v>8376</v>
      </c>
      <c r="CF25" s="1882">
        <v>4.6349999999999998</v>
      </c>
      <c r="CG25" s="1882">
        <v>0</v>
      </c>
      <c r="CH25" s="1882">
        <v>0</v>
      </c>
      <c r="CI25" s="1882">
        <v>186</v>
      </c>
      <c r="CJ25" s="1882" t="s">
        <v>2459</v>
      </c>
      <c r="CK25" s="1882" t="s">
        <v>8376</v>
      </c>
      <c r="CL25" s="1882">
        <v>3.09</v>
      </c>
      <c r="CM25" s="1882">
        <v>0</v>
      </c>
      <c r="CN25" s="1882">
        <v>0</v>
      </c>
      <c r="CP25" s="1882" t="s">
        <v>8660</v>
      </c>
    </row>
    <row r="26" spans="1:94">
      <c r="A26" s="1882" t="s">
        <v>8355</v>
      </c>
      <c r="B26" s="1882" t="s">
        <v>8661</v>
      </c>
      <c r="C26" s="1882" t="s">
        <v>8352</v>
      </c>
      <c r="D26" s="1882" t="s">
        <v>1626</v>
      </c>
      <c r="E26" s="1882" t="s">
        <v>8503</v>
      </c>
      <c r="F26" s="1882" t="s">
        <v>8662</v>
      </c>
      <c r="G26" s="1882" t="s">
        <v>8663</v>
      </c>
      <c r="H26" s="1882" t="s">
        <v>8664</v>
      </c>
      <c r="I26" s="1882" t="s">
        <v>8665</v>
      </c>
      <c r="J26" s="1882" t="s">
        <v>8539</v>
      </c>
      <c r="K26" s="1882"/>
      <c r="L26" s="1882"/>
      <c r="M26" s="1882"/>
      <c r="N26" s="1882" t="s">
        <v>8666</v>
      </c>
      <c r="O26" s="1882" t="s">
        <v>732</v>
      </c>
      <c r="P26" s="1882" t="s">
        <v>8667</v>
      </c>
      <c r="Q26" s="520">
        <v>0</v>
      </c>
      <c r="R26" s="1882" t="s">
        <v>8549</v>
      </c>
      <c r="S26" s="1882">
        <v>49</v>
      </c>
      <c r="T26" s="1882"/>
      <c r="U26" s="1882"/>
      <c r="V26" s="1882"/>
      <c r="W26" s="1882"/>
      <c r="X26" s="1882">
        <v>50</v>
      </c>
      <c r="Y26" s="1882"/>
      <c r="Z26" s="1882"/>
      <c r="AA26" s="1882"/>
      <c r="AB26" s="1882"/>
      <c r="AC26" s="1882"/>
      <c r="AD26" s="1882"/>
      <c r="AE26" s="1882"/>
      <c r="AF26" s="1882" t="s">
        <v>2459</v>
      </c>
      <c r="AG26" s="1882"/>
      <c r="AH26" s="1882">
        <v>0</v>
      </c>
      <c r="AI26" s="1882"/>
      <c r="AJ26" s="1882"/>
      <c r="AK26" s="1882"/>
      <c r="AL26" s="1882"/>
      <c r="AM26" s="1882"/>
      <c r="AN26" s="1882"/>
      <c r="AO26" s="1882"/>
      <c r="AP26" s="1882"/>
      <c r="AQ26" s="1882"/>
      <c r="AR26" s="1882"/>
      <c r="AS26" s="1882"/>
      <c r="AT26" s="1882"/>
      <c r="AU26" s="1882"/>
      <c r="AV26" s="1882"/>
      <c r="AW26" s="1882"/>
      <c r="AX26" s="1882"/>
      <c r="AY26" s="1882"/>
      <c r="AZ26" s="1882"/>
      <c r="BA26" s="1882"/>
      <c r="BB26" s="1882"/>
      <c r="BC26" s="1882"/>
      <c r="BD26" s="1882"/>
      <c r="BE26" s="1882"/>
      <c r="BF26" s="1882"/>
      <c r="BG26" s="1882"/>
      <c r="BH26" s="1882"/>
      <c r="BI26" s="1882"/>
      <c r="BJ26" s="1882"/>
      <c r="BK26" s="1882"/>
      <c r="BL26" s="1882"/>
      <c r="BM26" s="1882"/>
      <c r="BN26" s="1882"/>
      <c r="BO26" s="1882"/>
      <c r="BP26" s="520">
        <v>49</v>
      </c>
      <c r="BQ26" s="695">
        <v>98.85</v>
      </c>
      <c r="BR26" s="1882" t="s">
        <v>8513</v>
      </c>
      <c r="BS26" s="1882" t="s">
        <v>8513</v>
      </c>
      <c r="BT26" s="1882">
        <v>0</v>
      </c>
      <c r="BU26" s="1882" t="s">
        <v>8513</v>
      </c>
      <c r="BV26" s="1882">
        <v>0</v>
      </c>
      <c r="BW26" s="1882">
        <v>98.83</v>
      </c>
      <c r="BX26" s="1882" t="s">
        <v>2451</v>
      </c>
      <c r="BY26" s="1882">
        <v>0</v>
      </c>
      <c r="BZ26" s="1882">
        <v>0</v>
      </c>
      <c r="CA26" s="1882">
        <v>0</v>
      </c>
      <c r="CB26" s="1882">
        <v>0</v>
      </c>
      <c r="CC26" s="1882">
        <v>98.832999999999998</v>
      </c>
      <c r="CD26" s="1882" t="s">
        <v>2451</v>
      </c>
      <c r="CE26" s="1882">
        <v>0</v>
      </c>
      <c r="CF26" s="1882">
        <v>0</v>
      </c>
      <c r="CG26" s="1882">
        <v>0</v>
      </c>
      <c r="CH26" s="1882">
        <v>0</v>
      </c>
      <c r="CI26" s="1882">
        <v>99</v>
      </c>
      <c r="CJ26" s="1882" t="s">
        <v>2451</v>
      </c>
      <c r="CK26" s="1882">
        <v>0</v>
      </c>
      <c r="CL26" s="1882">
        <v>0</v>
      </c>
      <c r="CM26" s="1882">
        <v>0</v>
      </c>
      <c r="CN26" s="1882">
        <v>0</v>
      </c>
      <c r="CP26" s="1882" t="s">
        <v>8668</v>
      </c>
    </row>
    <row r="27" spans="1:94">
      <c r="A27" s="1882" t="s">
        <v>8355</v>
      </c>
      <c r="B27" s="1882" t="s">
        <v>8669</v>
      </c>
      <c r="C27" s="1882" t="s">
        <v>8352</v>
      </c>
      <c r="D27" s="1882" t="s">
        <v>1626</v>
      </c>
      <c r="E27" s="1882" t="s">
        <v>8503</v>
      </c>
      <c r="F27" s="1882" t="s">
        <v>8662</v>
      </c>
      <c r="G27" s="1882" t="s">
        <v>8670</v>
      </c>
      <c r="H27" s="1882" t="s">
        <v>8671</v>
      </c>
      <c r="I27" s="1882" t="s">
        <v>8672</v>
      </c>
      <c r="J27" s="1882" t="s">
        <v>8519</v>
      </c>
      <c r="K27" s="1882" t="s">
        <v>8509</v>
      </c>
      <c r="L27" s="1882"/>
      <c r="M27" s="1882"/>
      <c r="N27" s="1882" t="s">
        <v>8673</v>
      </c>
      <c r="O27" s="1882" t="s">
        <v>764</v>
      </c>
      <c r="P27" s="1882" t="s">
        <v>8674</v>
      </c>
      <c r="Q27" s="520">
        <v>0</v>
      </c>
      <c r="R27" s="1882" t="s">
        <v>8549</v>
      </c>
      <c r="S27" s="1882">
        <v>0</v>
      </c>
      <c r="T27" s="1882"/>
      <c r="U27" s="1882"/>
      <c r="V27" s="1882"/>
      <c r="W27" s="1882"/>
      <c r="X27" s="1882">
        <v>16</v>
      </c>
      <c r="Y27" s="1882"/>
      <c r="Z27" s="1882"/>
      <c r="AA27" s="1882"/>
      <c r="AB27" s="1882"/>
      <c r="AC27" s="1882"/>
      <c r="AD27" s="1882"/>
      <c r="AE27" s="1882"/>
      <c r="AF27" s="1882" t="s">
        <v>2459</v>
      </c>
      <c r="AG27" s="1882"/>
      <c r="AH27" s="1882">
        <v>0</v>
      </c>
      <c r="AI27" s="1882"/>
      <c r="AJ27" s="1882"/>
      <c r="AK27" s="1882"/>
      <c r="AL27" s="1882"/>
      <c r="AM27" s="1882" t="s">
        <v>2459</v>
      </c>
      <c r="AN27" s="1882"/>
      <c r="AO27" s="1882"/>
      <c r="AP27" s="1882"/>
      <c r="AQ27" s="1882"/>
      <c r="AR27" s="1882">
        <v>0</v>
      </c>
      <c r="AS27" s="1882"/>
      <c r="AT27" s="1882"/>
      <c r="AU27" s="1882"/>
      <c r="AV27" s="1882"/>
      <c r="AW27" s="1882">
        <v>16</v>
      </c>
      <c r="AX27" s="1882"/>
      <c r="AY27" s="1882"/>
      <c r="AZ27" s="1882"/>
      <c r="BA27" s="1882"/>
      <c r="BB27" s="1882"/>
      <c r="BC27" s="1882"/>
      <c r="BD27" s="1882"/>
      <c r="BE27" s="1882"/>
      <c r="BF27" s="1882"/>
      <c r="BG27" s="1882"/>
      <c r="BH27" s="1882">
        <v>0.156</v>
      </c>
      <c r="BI27" s="1882"/>
      <c r="BJ27" s="1882"/>
      <c r="BK27" s="1882"/>
      <c r="BL27" s="1882"/>
      <c r="BM27" s="1882"/>
      <c r="BN27" s="1882">
        <v>5</v>
      </c>
      <c r="BO27" s="1882" t="s">
        <v>8630</v>
      </c>
      <c r="BP27" s="520">
        <v>0</v>
      </c>
      <c r="BQ27" s="695">
        <v>0</v>
      </c>
      <c r="BR27" s="1882" t="s">
        <v>8513</v>
      </c>
      <c r="BS27" s="1882" t="s">
        <v>8513</v>
      </c>
      <c r="BT27" s="1882">
        <v>0</v>
      </c>
      <c r="BU27" s="1882" t="s">
        <v>8513</v>
      </c>
      <c r="BV27" s="1882">
        <v>0</v>
      </c>
      <c r="BW27" s="1882">
        <v>2</v>
      </c>
      <c r="BX27" s="1882" t="s">
        <v>2451</v>
      </c>
      <c r="BY27" s="1882">
        <v>0</v>
      </c>
      <c r="BZ27" s="1882">
        <v>0</v>
      </c>
      <c r="CA27" s="1882">
        <v>0</v>
      </c>
      <c r="CB27" s="1882">
        <v>0</v>
      </c>
      <c r="CC27" s="1882">
        <v>4</v>
      </c>
      <c r="CD27" s="1882" t="s">
        <v>2451</v>
      </c>
      <c r="CE27" s="1882">
        <v>0</v>
      </c>
      <c r="CF27" s="1882">
        <v>0</v>
      </c>
      <c r="CG27" s="1882">
        <v>0</v>
      </c>
      <c r="CH27" s="1882">
        <v>0</v>
      </c>
      <c r="CI27" s="1882">
        <v>5</v>
      </c>
      <c r="CJ27" s="1882" t="s">
        <v>2451</v>
      </c>
      <c r="CK27" s="1882">
        <v>0</v>
      </c>
      <c r="CL27" s="1882">
        <v>0</v>
      </c>
      <c r="CM27" s="1882">
        <v>0</v>
      </c>
      <c r="CN27" s="1882">
        <v>0</v>
      </c>
      <c r="CP27" s="1882" t="s">
        <v>8675</v>
      </c>
    </row>
    <row r="28" spans="1:94">
      <c r="A28" s="1882" t="s">
        <v>8355</v>
      </c>
      <c r="B28" s="1882" t="s">
        <v>8676</v>
      </c>
      <c r="C28" s="1882" t="s">
        <v>8352</v>
      </c>
      <c r="D28" s="1882" t="s">
        <v>1626</v>
      </c>
      <c r="E28" s="1882" t="s">
        <v>8503</v>
      </c>
      <c r="F28" s="1882" t="s">
        <v>8677</v>
      </c>
      <c r="G28" s="1882" t="s">
        <v>8678</v>
      </c>
      <c r="H28" s="1882" t="s">
        <v>8679</v>
      </c>
      <c r="I28" s="1882" t="s">
        <v>8680</v>
      </c>
      <c r="J28" s="1882" t="s">
        <v>8539</v>
      </c>
      <c r="K28" s="1882"/>
      <c r="L28" s="1882"/>
      <c r="M28" s="1882"/>
      <c r="N28" s="1882" t="s">
        <v>8681</v>
      </c>
      <c r="O28" s="1882" t="s">
        <v>732</v>
      </c>
      <c r="P28" s="1882" t="s">
        <v>8682</v>
      </c>
      <c r="Q28" s="520">
        <v>0</v>
      </c>
      <c r="R28" s="1882" t="s">
        <v>8549</v>
      </c>
      <c r="S28" s="1882">
        <v>0</v>
      </c>
      <c r="T28" s="1882"/>
      <c r="U28" s="1882"/>
      <c r="V28" s="1882"/>
      <c r="W28" s="1882"/>
      <c r="X28" s="1882">
        <v>7</v>
      </c>
      <c r="Y28" s="1882"/>
      <c r="Z28" s="1882"/>
      <c r="AA28" s="1882"/>
      <c r="AB28" s="1882"/>
      <c r="AC28" s="1882"/>
      <c r="AD28" s="1882"/>
      <c r="AE28" s="1882"/>
      <c r="AF28" s="1882"/>
      <c r="AG28" s="1882"/>
      <c r="AH28" s="1882">
        <v>0</v>
      </c>
      <c r="AI28" s="1882"/>
      <c r="AJ28" s="1882"/>
      <c r="AK28" s="1882"/>
      <c r="AL28" s="1882"/>
      <c r="AM28" s="1882"/>
      <c r="AN28" s="1882"/>
      <c r="AO28" s="1882"/>
      <c r="AP28" s="1882"/>
      <c r="AQ28" s="1882"/>
      <c r="AR28" s="1882"/>
      <c r="AS28" s="1882"/>
      <c r="AT28" s="1882"/>
      <c r="AU28" s="1882"/>
      <c r="AV28" s="1882"/>
      <c r="AW28" s="1882"/>
      <c r="AX28" s="1882"/>
      <c r="AY28" s="1882"/>
      <c r="AZ28" s="1882"/>
      <c r="BA28" s="1882"/>
      <c r="BB28" s="1882"/>
      <c r="BC28" s="1882"/>
      <c r="BD28" s="1882"/>
      <c r="BE28" s="1882"/>
      <c r="BF28" s="1882"/>
      <c r="BG28" s="1882"/>
      <c r="BH28" s="1882"/>
      <c r="BI28" s="1882"/>
      <c r="BJ28" s="1882"/>
      <c r="BK28" s="1882"/>
      <c r="BL28" s="1882"/>
      <c r="BM28" s="1882"/>
      <c r="BN28" s="1882"/>
      <c r="BO28" s="1882"/>
      <c r="BP28" s="520">
        <v>0</v>
      </c>
      <c r="BQ28" s="695">
        <v>5</v>
      </c>
      <c r="BR28" s="1882" t="s">
        <v>8513</v>
      </c>
      <c r="BS28" s="1882" t="s">
        <v>8513</v>
      </c>
      <c r="BT28" s="1882">
        <v>0</v>
      </c>
      <c r="BU28" s="1882" t="s">
        <v>8513</v>
      </c>
      <c r="BV28" s="1882">
        <v>0</v>
      </c>
      <c r="BW28" s="1882">
        <v>11</v>
      </c>
      <c r="BX28" s="1882" t="s">
        <v>2451</v>
      </c>
      <c r="BY28" s="1882">
        <v>0</v>
      </c>
      <c r="BZ28" s="1882">
        <v>0</v>
      </c>
      <c r="CA28" s="1882">
        <v>0</v>
      </c>
      <c r="CB28" s="1882">
        <v>0</v>
      </c>
      <c r="CC28" s="1882">
        <v>19.600000000000001</v>
      </c>
      <c r="CD28" s="1882" t="s">
        <v>2451</v>
      </c>
      <c r="CE28" s="1882">
        <v>0</v>
      </c>
      <c r="CF28" s="1882">
        <v>0</v>
      </c>
      <c r="CG28" s="1882">
        <v>0</v>
      </c>
      <c r="CH28" s="1882">
        <v>0</v>
      </c>
      <c r="CI28" s="1882">
        <v>29</v>
      </c>
      <c r="CJ28" s="1882" t="s">
        <v>2451</v>
      </c>
      <c r="CK28" s="1882">
        <v>0</v>
      </c>
      <c r="CL28" s="1882">
        <v>0</v>
      </c>
      <c r="CM28" s="1882">
        <v>0</v>
      </c>
      <c r="CN28" s="1882">
        <v>0</v>
      </c>
      <c r="CP28" s="1882" t="s">
        <v>8683</v>
      </c>
    </row>
    <row r="29" spans="1:94">
      <c r="A29" s="1882" t="s">
        <v>8355</v>
      </c>
      <c r="B29" s="1882" t="s">
        <v>8684</v>
      </c>
      <c r="C29" s="1882" t="s">
        <v>8352</v>
      </c>
      <c r="D29" s="1882" t="s">
        <v>1626</v>
      </c>
      <c r="E29" s="1882" t="s">
        <v>8503</v>
      </c>
      <c r="F29" s="1882" t="s">
        <v>8677</v>
      </c>
      <c r="G29" s="1882" t="s">
        <v>8685</v>
      </c>
      <c r="H29" s="1882" t="s">
        <v>8686</v>
      </c>
      <c r="I29" s="1882" t="s">
        <v>8687</v>
      </c>
      <c r="J29" s="1882" t="s">
        <v>8539</v>
      </c>
      <c r="K29" s="1882"/>
      <c r="L29" s="1882"/>
      <c r="M29" s="1882"/>
      <c r="N29" s="1882" t="s">
        <v>8681</v>
      </c>
      <c r="O29" s="1882" t="s">
        <v>732</v>
      </c>
      <c r="P29" s="1882" t="s">
        <v>8688</v>
      </c>
      <c r="Q29" s="520">
        <v>0</v>
      </c>
      <c r="R29" s="1882" t="s">
        <v>8549</v>
      </c>
      <c r="S29" s="1882">
        <v>50</v>
      </c>
      <c r="T29" s="1882"/>
      <c r="U29" s="1882"/>
      <c r="V29" s="1882"/>
      <c r="W29" s="1882"/>
      <c r="X29" s="1882">
        <v>60</v>
      </c>
      <c r="Y29" s="1882"/>
      <c r="Z29" s="1882"/>
      <c r="AA29" s="1882"/>
      <c r="AB29" s="1882"/>
      <c r="AC29" s="1882"/>
      <c r="AD29" s="1882"/>
      <c r="AE29" s="1882"/>
      <c r="AF29" s="1882"/>
      <c r="AG29" s="1882"/>
      <c r="AH29" s="1882">
        <v>0</v>
      </c>
      <c r="AI29" s="1882"/>
      <c r="AJ29" s="1882"/>
      <c r="AK29" s="1882"/>
      <c r="AL29" s="1882"/>
      <c r="AM29" s="1882"/>
      <c r="AN29" s="1882"/>
      <c r="AO29" s="1882"/>
      <c r="AP29" s="1882"/>
      <c r="AQ29" s="1882"/>
      <c r="AR29" s="1882"/>
      <c r="AS29" s="1882"/>
      <c r="AT29" s="1882"/>
      <c r="AU29" s="1882"/>
      <c r="AV29" s="1882"/>
      <c r="AW29" s="1882"/>
      <c r="AX29" s="1882"/>
      <c r="AY29" s="1882"/>
      <c r="AZ29" s="1882"/>
      <c r="BA29" s="1882"/>
      <c r="BB29" s="1882"/>
      <c r="BC29" s="1882"/>
      <c r="BD29" s="1882"/>
      <c r="BE29" s="1882"/>
      <c r="BF29" s="1882"/>
      <c r="BG29" s="1882"/>
      <c r="BH29" s="1882"/>
      <c r="BI29" s="1882"/>
      <c r="BJ29" s="1882"/>
      <c r="BK29" s="1882"/>
      <c r="BL29" s="1882"/>
      <c r="BM29" s="1882"/>
      <c r="BN29" s="1882"/>
      <c r="BO29" s="1882"/>
      <c r="BP29" s="520">
        <v>54</v>
      </c>
      <c r="BQ29" s="695">
        <v>53</v>
      </c>
      <c r="BR29" s="1882" t="s">
        <v>8513</v>
      </c>
      <c r="BS29" s="1882" t="s">
        <v>8513</v>
      </c>
      <c r="BT29" s="1882">
        <v>0</v>
      </c>
      <c r="BU29" s="1882" t="s">
        <v>8513</v>
      </c>
      <c r="BV29" s="1882">
        <v>0</v>
      </c>
      <c r="BW29" s="1882">
        <v>55</v>
      </c>
      <c r="BX29" s="1882" t="s">
        <v>2451</v>
      </c>
      <c r="BY29" s="1882">
        <v>0</v>
      </c>
      <c r="BZ29" s="1882">
        <v>0</v>
      </c>
      <c r="CA29" s="1882">
        <v>0</v>
      </c>
      <c r="CB29" s="1882">
        <v>0</v>
      </c>
      <c r="CC29" s="1882">
        <v>57</v>
      </c>
      <c r="CD29" s="1882" t="s">
        <v>2451</v>
      </c>
      <c r="CE29" s="1882">
        <v>0</v>
      </c>
      <c r="CF29" s="1882">
        <v>0</v>
      </c>
      <c r="CG29" s="1882">
        <v>0</v>
      </c>
      <c r="CH29" s="1882">
        <v>0</v>
      </c>
      <c r="CI29" s="1882">
        <v>58</v>
      </c>
      <c r="CJ29" s="1882" t="s">
        <v>2451</v>
      </c>
      <c r="CK29" s="1882">
        <v>0</v>
      </c>
      <c r="CL29" s="1882">
        <v>0</v>
      </c>
      <c r="CM29" s="1882">
        <v>0</v>
      </c>
      <c r="CN29" s="1882">
        <v>0</v>
      </c>
      <c r="CP29" s="1882" t="s">
        <v>8689</v>
      </c>
    </row>
    <row r="30" spans="1:94">
      <c r="A30" s="1882" t="s">
        <v>8355</v>
      </c>
      <c r="B30" s="1882" t="s">
        <v>8690</v>
      </c>
      <c r="C30" s="1882" t="s">
        <v>8352</v>
      </c>
      <c r="D30" s="1882" t="s">
        <v>1626</v>
      </c>
      <c r="E30" s="1882" t="s">
        <v>8503</v>
      </c>
      <c r="F30" s="1882" t="s">
        <v>8691</v>
      </c>
      <c r="G30" s="1882" t="s">
        <v>8692</v>
      </c>
      <c r="H30" s="1882" t="s">
        <v>8693</v>
      </c>
      <c r="I30" s="1882" t="s">
        <v>8694</v>
      </c>
      <c r="J30" s="1882" t="s">
        <v>8539</v>
      </c>
      <c r="K30" s="1882"/>
      <c r="L30" s="1882"/>
      <c r="M30" s="1882"/>
      <c r="N30" s="1882" t="s">
        <v>8695</v>
      </c>
      <c r="O30" s="1882" t="s">
        <v>732</v>
      </c>
      <c r="P30" s="1882" t="s">
        <v>8696</v>
      </c>
      <c r="Q30" s="520" t="s">
        <v>8512</v>
      </c>
      <c r="R30" s="1882" t="s">
        <v>8549</v>
      </c>
      <c r="S30" s="1882">
        <v>56</v>
      </c>
      <c r="T30" s="1882"/>
      <c r="U30" s="1882"/>
      <c r="V30" s="1882"/>
      <c r="W30" s="1882"/>
      <c r="X30" s="1882">
        <v>60</v>
      </c>
      <c r="Y30" s="1882"/>
      <c r="Z30" s="1882"/>
      <c r="AA30" s="1882"/>
      <c r="AB30" s="1882"/>
      <c r="AC30" s="1882"/>
      <c r="AD30" s="1882"/>
      <c r="AE30" s="1882"/>
      <c r="AF30" s="1882"/>
      <c r="AG30" s="1882"/>
      <c r="AH30" s="1882">
        <v>0</v>
      </c>
      <c r="AI30" s="1882"/>
      <c r="AJ30" s="1882"/>
      <c r="AK30" s="1882"/>
      <c r="AL30" s="1882"/>
      <c r="AM30" s="1882"/>
      <c r="AN30" s="1882"/>
      <c r="AO30" s="1882"/>
      <c r="AP30" s="1882"/>
      <c r="AQ30" s="1882"/>
      <c r="AR30" s="1882"/>
      <c r="AS30" s="1882"/>
      <c r="AT30" s="1882"/>
      <c r="AU30" s="1882"/>
      <c r="AV30" s="1882"/>
      <c r="AW30" s="1882"/>
      <c r="AX30" s="1882"/>
      <c r="AY30" s="1882"/>
      <c r="AZ30" s="1882"/>
      <c r="BA30" s="1882"/>
      <c r="BB30" s="1882"/>
      <c r="BC30" s="1882"/>
      <c r="BD30" s="1882"/>
      <c r="BE30" s="1882"/>
      <c r="BF30" s="1882"/>
      <c r="BG30" s="1882"/>
      <c r="BH30" s="1882"/>
      <c r="BI30" s="1882"/>
      <c r="BJ30" s="1882"/>
      <c r="BK30" s="1882"/>
      <c r="BL30" s="1882"/>
      <c r="BM30" s="1882"/>
      <c r="BN30" s="1882"/>
      <c r="BO30" s="1882"/>
      <c r="BP30" s="520" t="s">
        <v>8697</v>
      </c>
      <c r="BQ30" s="698">
        <v>56</v>
      </c>
      <c r="BR30" s="1882" t="s">
        <v>8513</v>
      </c>
      <c r="BS30" s="1882" t="s">
        <v>8513</v>
      </c>
      <c r="BT30" s="1882">
        <v>0</v>
      </c>
      <c r="BU30" s="1882" t="s">
        <v>8513</v>
      </c>
      <c r="BV30" s="1882">
        <v>0</v>
      </c>
      <c r="BW30" s="1882">
        <v>52</v>
      </c>
      <c r="BX30" s="1882" t="s">
        <v>2451</v>
      </c>
      <c r="BY30" s="1882">
        <v>0</v>
      </c>
      <c r="BZ30" s="1882">
        <v>0</v>
      </c>
      <c r="CA30" s="1882">
        <v>0</v>
      </c>
      <c r="CB30" s="1882">
        <v>0</v>
      </c>
      <c r="CC30" s="1882">
        <v>55</v>
      </c>
      <c r="CD30" s="1882" t="s">
        <v>2451</v>
      </c>
      <c r="CE30" s="1882">
        <v>0</v>
      </c>
      <c r="CF30" s="1882">
        <v>0</v>
      </c>
      <c r="CG30" s="1882">
        <v>0</v>
      </c>
      <c r="CH30" s="1882">
        <v>0</v>
      </c>
      <c r="CI30" s="1882">
        <v>57</v>
      </c>
      <c r="CJ30" s="1882" t="s">
        <v>2451</v>
      </c>
      <c r="CK30" s="1882">
        <v>0</v>
      </c>
      <c r="CL30" s="1882">
        <v>0</v>
      </c>
      <c r="CM30" s="1882">
        <v>0</v>
      </c>
      <c r="CN30" s="1882">
        <v>0</v>
      </c>
      <c r="CP30" s="1882" t="s">
        <v>8698</v>
      </c>
    </row>
    <row r="31" spans="1:94">
      <c r="A31" s="1882" t="s">
        <v>8355</v>
      </c>
      <c r="B31" s="1882" t="s">
        <v>8699</v>
      </c>
      <c r="C31" s="1882" t="s">
        <v>8352</v>
      </c>
      <c r="D31" s="1882" t="s">
        <v>1626</v>
      </c>
      <c r="E31" s="1882" t="s">
        <v>8503</v>
      </c>
      <c r="F31" s="1882" t="s">
        <v>8700</v>
      </c>
      <c r="G31" s="1882" t="s">
        <v>8701</v>
      </c>
      <c r="H31" s="1882" t="s">
        <v>8702</v>
      </c>
      <c r="I31" s="1882" t="s">
        <v>8703</v>
      </c>
      <c r="J31" s="1882" t="s">
        <v>8519</v>
      </c>
      <c r="K31" s="1882" t="s">
        <v>8509</v>
      </c>
      <c r="L31" s="1882"/>
      <c r="M31" s="1882" t="s">
        <v>2460</v>
      </c>
      <c r="N31" s="1882" t="s">
        <v>8569</v>
      </c>
      <c r="O31" s="1882" t="s">
        <v>8704</v>
      </c>
      <c r="P31" s="1882" t="s">
        <v>8705</v>
      </c>
      <c r="Q31" s="520" t="s">
        <v>8512</v>
      </c>
      <c r="R31" s="1882"/>
      <c r="S31" s="1882" t="s">
        <v>8706</v>
      </c>
      <c r="T31" s="1882" t="s">
        <v>2458</v>
      </c>
      <c r="U31" s="1882" t="s">
        <v>2458</v>
      </c>
      <c r="V31" s="1882" t="s">
        <v>2458</v>
      </c>
      <c r="W31" s="1882" t="s">
        <v>2458</v>
      </c>
      <c r="X31" s="1882" t="s">
        <v>2458</v>
      </c>
      <c r="Y31" s="1882"/>
      <c r="Z31" s="1882"/>
      <c r="AA31" s="1882"/>
      <c r="AB31" s="1882"/>
      <c r="AC31" s="1882"/>
      <c r="AD31" s="1882"/>
      <c r="AE31" s="1882" t="s">
        <v>2459</v>
      </c>
      <c r="AF31" s="1882"/>
      <c r="AG31" s="1882"/>
      <c r="AH31" s="1882">
        <v>4</v>
      </c>
      <c r="AI31" s="1882" t="s">
        <v>2459</v>
      </c>
      <c r="AJ31" s="1882" t="s">
        <v>2459</v>
      </c>
      <c r="AK31" s="1882" t="s">
        <v>2459</v>
      </c>
      <c r="AL31" s="1882" t="s">
        <v>2459</v>
      </c>
      <c r="AM31" s="1882" t="s">
        <v>2459</v>
      </c>
      <c r="AN31" s="1882"/>
      <c r="AO31" s="1882"/>
      <c r="AP31" s="1882"/>
      <c r="AQ31" s="1882"/>
      <c r="AR31" s="1882"/>
      <c r="AS31" s="1882"/>
      <c r="AT31" s="1882"/>
      <c r="AU31" s="1882"/>
      <c r="AV31" s="1882"/>
      <c r="AW31" s="1882"/>
      <c r="AX31" s="1882"/>
      <c r="AY31" s="1882"/>
      <c r="AZ31" s="1882"/>
      <c r="BA31" s="1882"/>
      <c r="BB31" s="1882"/>
      <c r="BC31" s="1882"/>
      <c r="BD31" s="1882"/>
      <c r="BE31" s="1882"/>
      <c r="BF31" s="1882"/>
      <c r="BG31" s="1882"/>
      <c r="BH31" s="1882"/>
      <c r="BI31" s="1882"/>
      <c r="BJ31" s="1882"/>
      <c r="BK31" s="1882"/>
      <c r="BL31" s="1882"/>
      <c r="BM31" s="1882"/>
      <c r="BN31" s="1882">
        <v>1</v>
      </c>
      <c r="BO31" s="1882" t="s">
        <v>8512</v>
      </c>
      <c r="BP31" s="520" t="s">
        <v>8706</v>
      </c>
      <c r="BQ31" s="697" t="s">
        <v>2458</v>
      </c>
      <c r="BR31" s="1882" t="s">
        <v>2459</v>
      </c>
      <c r="BS31" s="1882" t="s">
        <v>8513</v>
      </c>
      <c r="BT31" s="1882">
        <v>0</v>
      </c>
      <c r="BU31" s="1882" t="s">
        <v>8513</v>
      </c>
      <c r="BV31" s="1882">
        <v>0</v>
      </c>
      <c r="BW31" s="1882" t="s">
        <v>2457</v>
      </c>
      <c r="BX31" s="1882" t="s">
        <v>2460</v>
      </c>
      <c r="BY31" s="1882">
        <v>0</v>
      </c>
      <c r="BZ31" s="1882">
        <v>0</v>
      </c>
      <c r="CA31" s="1882" t="s">
        <v>8563</v>
      </c>
      <c r="CB31" s="1882">
        <v>-0.55800000000000005</v>
      </c>
      <c r="CC31" s="1882" t="s">
        <v>2458</v>
      </c>
      <c r="CD31" s="1882" t="s">
        <v>2459</v>
      </c>
      <c r="CE31" s="1882">
        <v>0</v>
      </c>
      <c r="CF31" s="1882">
        <v>0</v>
      </c>
      <c r="CG31" s="1882">
        <v>0</v>
      </c>
      <c r="CH31" s="1882">
        <v>0</v>
      </c>
      <c r="CI31" s="1882" t="s">
        <v>2458</v>
      </c>
      <c r="CJ31" s="1882" t="s">
        <v>2459</v>
      </c>
      <c r="CK31" s="1882">
        <v>0</v>
      </c>
      <c r="CL31" s="1882">
        <v>0</v>
      </c>
      <c r="CM31" s="1882">
        <v>0</v>
      </c>
      <c r="CN31" s="1882">
        <v>0</v>
      </c>
      <c r="CP31" s="1882" t="s">
        <v>8707</v>
      </c>
    </row>
    <row r="32" spans="1:94">
      <c r="A32" s="1882" t="s">
        <v>8355</v>
      </c>
      <c r="B32" s="1882" t="s">
        <v>8708</v>
      </c>
      <c r="C32" s="1882" t="s">
        <v>8352</v>
      </c>
      <c r="D32" s="1882" t="s">
        <v>1626</v>
      </c>
      <c r="E32" s="1882" t="s">
        <v>8503</v>
      </c>
      <c r="F32" s="1882" t="s">
        <v>8700</v>
      </c>
      <c r="G32" s="1882" t="s">
        <v>8709</v>
      </c>
      <c r="H32" s="1882" t="s">
        <v>8710</v>
      </c>
      <c r="I32" s="1882" t="s">
        <v>8711</v>
      </c>
      <c r="J32" s="1882" t="s">
        <v>8519</v>
      </c>
      <c r="K32" s="1882" t="s">
        <v>8509</v>
      </c>
      <c r="L32" s="1882"/>
      <c r="M32" s="1882" t="s">
        <v>2460</v>
      </c>
      <c r="N32" s="1882" t="s">
        <v>8569</v>
      </c>
      <c r="O32" s="1882" t="s">
        <v>8704</v>
      </c>
      <c r="P32" s="1882" t="s">
        <v>8705</v>
      </c>
      <c r="Q32" s="520" t="s">
        <v>8512</v>
      </c>
      <c r="R32" s="1882"/>
      <c r="S32" s="1882" t="s">
        <v>8706</v>
      </c>
      <c r="T32" s="1882" t="s">
        <v>2458</v>
      </c>
      <c r="U32" s="1882" t="s">
        <v>2458</v>
      </c>
      <c r="V32" s="1882" t="s">
        <v>2458</v>
      </c>
      <c r="W32" s="1882" t="s">
        <v>2458</v>
      </c>
      <c r="X32" s="1882" t="s">
        <v>2458</v>
      </c>
      <c r="Y32" s="1882"/>
      <c r="Z32" s="1882"/>
      <c r="AA32" s="1882"/>
      <c r="AB32" s="1882"/>
      <c r="AC32" s="1882"/>
      <c r="AD32" s="1882"/>
      <c r="AE32" s="1882" t="s">
        <v>2459</v>
      </c>
      <c r="AF32" s="1882"/>
      <c r="AG32" s="1882"/>
      <c r="AH32" s="1882">
        <v>3</v>
      </c>
      <c r="AI32" s="1882" t="s">
        <v>2459</v>
      </c>
      <c r="AJ32" s="1882" t="s">
        <v>2459</v>
      </c>
      <c r="AK32" s="1882" t="s">
        <v>2459</v>
      </c>
      <c r="AL32" s="1882" t="s">
        <v>2459</v>
      </c>
      <c r="AM32" s="1882" t="s">
        <v>2459</v>
      </c>
      <c r="AN32" s="1882"/>
      <c r="AO32" s="1882"/>
      <c r="AP32" s="1882"/>
      <c r="AQ32" s="1882"/>
      <c r="AR32" s="1882"/>
      <c r="AS32" s="1882"/>
      <c r="AT32" s="1882"/>
      <c r="AU32" s="1882"/>
      <c r="AV32" s="1882"/>
      <c r="AW32" s="1882"/>
      <c r="AX32" s="1882"/>
      <c r="AY32" s="1882"/>
      <c r="AZ32" s="1882"/>
      <c r="BA32" s="1882"/>
      <c r="BB32" s="1882"/>
      <c r="BC32" s="1882"/>
      <c r="BD32" s="1882"/>
      <c r="BE32" s="1882"/>
      <c r="BF32" s="1882"/>
      <c r="BG32" s="1882"/>
      <c r="BH32" s="1882"/>
      <c r="BI32" s="1882"/>
      <c r="BJ32" s="1882"/>
      <c r="BK32" s="1882"/>
      <c r="BL32" s="1882"/>
      <c r="BM32" s="1882"/>
      <c r="BN32" s="1882">
        <v>1</v>
      </c>
      <c r="BO32" s="1882" t="s">
        <v>8512</v>
      </c>
      <c r="BP32" s="520" t="s">
        <v>8706</v>
      </c>
      <c r="BQ32" s="697" t="s">
        <v>2458</v>
      </c>
      <c r="BR32" s="1882" t="s">
        <v>2459</v>
      </c>
      <c r="BS32" s="1882" t="s">
        <v>8513</v>
      </c>
      <c r="BT32" s="1882">
        <v>0</v>
      </c>
      <c r="BU32" s="1882" t="s">
        <v>8513</v>
      </c>
      <c r="BV32" s="1882">
        <v>0</v>
      </c>
      <c r="BW32" s="1882" t="s">
        <v>2458</v>
      </c>
      <c r="BX32" s="1882" t="s">
        <v>2459</v>
      </c>
      <c r="BY32" s="1882">
        <v>0</v>
      </c>
      <c r="BZ32" s="1882">
        <v>0</v>
      </c>
      <c r="CA32" s="1882">
        <v>0</v>
      </c>
      <c r="CB32" s="1882">
        <v>0</v>
      </c>
      <c r="CC32" s="1882" t="s">
        <v>2458</v>
      </c>
      <c r="CD32" s="1882" t="s">
        <v>2459</v>
      </c>
      <c r="CE32" s="1882">
        <v>0</v>
      </c>
      <c r="CF32" s="1882">
        <v>0</v>
      </c>
      <c r="CG32" s="1882">
        <v>0</v>
      </c>
      <c r="CH32" s="1882">
        <v>0</v>
      </c>
      <c r="CI32" s="1882" t="s">
        <v>2458</v>
      </c>
      <c r="CJ32" s="1882" t="s">
        <v>2459</v>
      </c>
      <c r="CK32" s="1882">
        <v>0</v>
      </c>
      <c r="CL32" s="1882">
        <v>0</v>
      </c>
      <c r="CM32" s="1882">
        <v>0</v>
      </c>
      <c r="CN32" s="1882">
        <v>0</v>
      </c>
      <c r="CP32" s="1882" t="s">
        <v>8712</v>
      </c>
    </row>
    <row r="33" spans="1:94">
      <c r="A33" s="1882" t="s">
        <v>8355</v>
      </c>
      <c r="B33" s="1882" t="s">
        <v>8713</v>
      </c>
      <c r="C33" s="1882" t="s">
        <v>8352</v>
      </c>
      <c r="D33" s="1882" t="s">
        <v>1626</v>
      </c>
      <c r="E33" s="1882" t="s">
        <v>8503</v>
      </c>
      <c r="F33" s="1882" t="s">
        <v>8714</v>
      </c>
      <c r="G33" s="1882" t="s">
        <v>8715</v>
      </c>
      <c r="H33" s="1882" t="s">
        <v>8716</v>
      </c>
      <c r="I33" s="1882" t="s">
        <v>8717</v>
      </c>
      <c r="J33" s="1882" t="s">
        <v>8519</v>
      </c>
      <c r="K33" s="1882" t="s">
        <v>8509</v>
      </c>
      <c r="L33" s="1882"/>
      <c r="M33" s="1882" t="s">
        <v>2460</v>
      </c>
      <c r="N33" s="1882" t="s">
        <v>8547</v>
      </c>
      <c r="O33" s="1882" t="s">
        <v>732</v>
      </c>
      <c r="P33" s="1882" t="s">
        <v>8548</v>
      </c>
      <c r="Q33" s="520">
        <v>2</v>
      </c>
      <c r="R33" s="1882" t="s">
        <v>8549</v>
      </c>
      <c r="S33" s="1882">
        <v>99.96</v>
      </c>
      <c r="T33" s="1882">
        <v>99.96</v>
      </c>
      <c r="U33" s="1882">
        <v>99.96</v>
      </c>
      <c r="V33" s="1882">
        <v>100</v>
      </c>
      <c r="W33" s="1882">
        <v>100</v>
      </c>
      <c r="X33" s="1882">
        <v>100</v>
      </c>
      <c r="Y33" s="1882" t="s">
        <v>2459</v>
      </c>
      <c r="Z33" s="1882"/>
      <c r="AA33" s="1882"/>
      <c r="AB33" s="1882"/>
      <c r="AC33" s="1882"/>
      <c r="AD33" s="1882"/>
      <c r="AE33" s="1882" t="s">
        <v>2459</v>
      </c>
      <c r="AF33" s="1882"/>
      <c r="AG33" s="1882"/>
      <c r="AH33" s="1882">
        <v>0</v>
      </c>
      <c r="AI33" s="1882"/>
      <c r="AJ33" s="1882"/>
      <c r="AK33" s="1882" t="s">
        <v>2459</v>
      </c>
      <c r="AL33" s="1882" t="s">
        <v>2459</v>
      </c>
      <c r="AM33" s="1882" t="s">
        <v>2459</v>
      </c>
      <c r="AN33" s="1882"/>
      <c r="AO33" s="1882"/>
      <c r="AP33" s="1882">
        <v>99.89</v>
      </c>
      <c r="AQ33" s="1882">
        <v>99.89</v>
      </c>
      <c r="AR33" s="1882">
        <v>99.89</v>
      </c>
      <c r="AS33" s="1882"/>
      <c r="AT33" s="1882"/>
      <c r="AU33" s="1882">
        <v>99.95</v>
      </c>
      <c r="AV33" s="1882">
        <v>99.95</v>
      </c>
      <c r="AW33" s="1882">
        <v>99.95</v>
      </c>
      <c r="AX33" s="1882"/>
      <c r="AY33" s="1882"/>
      <c r="AZ33" s="1882"/>
      <c r="BA33" s="1882"/>
      <c r="BB33" s="1882"/>
      <c r="BC33" s="1882"/>
      <c r="BD33" s="1882"/>
      <c r="BE33" s="1882"/>
      <c r="BF33" s="1882"/>
      <c r="BG33" s="1882"/>
      <c r="BH33" s="1882">
        <v>17.412500000000001</v>
      </c>
      <c r="BI33" s="1882"/>
      <c r="BJ33" s="1882"/>
      <c r="BK33" s="1882"/>
      <c r="BL33" s="1882"/>
      <c r="BM33" s="1882"/>
      <c r="BN33" s="1882">
        <v>1</v>
      </c>
      <c r="BO33" s="1882" t="s">
        <v>8512</v>
      </c>
      <c r="BP33" s="520">
        <v>99.95</v>
      </c>
      <c r="BQ33" s="696">
        <v>99.97</v>
      </c>
      <c r="BR33" s="1882" t="s">
        <v>2459</v>
      </c>
      <c r="BS33" s="1882" t="s">
        <v>8513</v>
      </c>
      <c r="BT33" s="1882">
        <v>0</v>
      </c>
      <c r="BU33" s="1882" t="s">
        <v>8513</v>
      </c>
      <c r="BV33" s="1882">
        <v>0</v>
      </c>
      <c r="BW33" s="1882">
        <v>99.97</v>
      </c>
      <c r="BX33" s="1882" t="s">
        <v>2459</v>
      </c>
      <c r="BY33" s="1882">
        <v>0</v>
      </c>
      <c r="BZ33" s="1882">
        <v>0</v>
      </c>
      <c r="CA33" s="1882">
        <v>0</v>
      </c>
      <c r="CB33" s="1882">
        <v>0</v>
      </c>
      <c r="CC33" s="1882">
        <v>99.96</v>
      </c>
      <c r="CD33" s="1882" t="s">
        <v>2460</v>
      </c>
      <c r="CE33" s="1882">
        <v>0</v>
      </c>
      <c r="CF33" s="1882">
        <v>0</v>
      </c>
      <c r="CG33" s="1882" t="s">
        <v>8388</v>
      </c>
      <c r="CH33" s="1882">
        <v>0</v>
      </c>
      <c r="CI33" s="1882">
        <v>99.95</v>
      </c>
      <c r="CJ33" s="1882" t="s">
        <v>2460</v>
      </c>
      <c r="CK33" s="1882">
        <v>0</v>
      </c>
      <c r="CL33" s="1882">
        <v>0</v>
      </c>
      <c r="CM33" s="1882" t="s">
        <v>8388</v>
      </c>
      <c r="CN33" s="1882">
        <v>0</v>
      </c>
      <c r="CP33" s="1882" t="s">
        <v>8718</v>
      </c>
    </row>
    <row r="34" spans="1:94">
      <c r="A34" s="1882" t="s">
        <v>8355</v>
      </c>
      <c r="B34" s="1882" t="s">
        <v>8719</v>
      </c>
      <c r="C34" s="1882" t="s">
        <v>8352</v>
      </c>
      <c r="D34" s="1882" t="s">
        <v>1627</v>
      </c>
      <c r="E34" s="1882" t="s">
        <v>8720</v>
      </c>
      <c r="F34" s="1882" t="s">
        <v>8604</v>
      </c>
      <c r="G34" s="1882" t="s">
        <v>8721</v>
      </c>
      <c r="H34" s="1882" t="s">
        <v>8722</v>
      </c>
      <c r="I34" s="1882" t="s">
        <v>8723</v>
      </c>
      <c r="J34" s="1882" t="s">
        <v>8508</v>
      </c>
      <c r="K34" s="1882" t="s">
        <v>8509</v>
      </c>
      <c r="L34" s="1882"/>
      <c r="M34" s="1882"/>
      <c r="N34" s="1882" t="s">
        <v>8724</v>
      </c>
      <c r="O34" s="1882" t="s">
        <v>764</v>
      </c>
      <c r="P34" s="1882" t="s">
        <v>8725</v>
      </c>
      <c r="Q34" s="520">
        <v>0</v>
      </c>
      <c r="R34" s="1882" t="s">
        <v>8549</v>
      </c>
      <c r="S34" s="1882">
        <v>0</v>
      </c>
      <c r="T34" s="1882"/>
      <c r="U34" s="1882"/>
      <c r="V34" s="1882"/>
      <c r="W34" s="1882"/>
      <c r="X34" s="1882">
        <v>27</v>
      </c>
      <c r="Y34" s="1882"/>
      <c r="Z34" s="1882"/>
      <c r="AA34" s="1882"/>
      <c r="AB34" s="1882"/>
      <c r="AC34" s="1882" t="s">
        <v>2459</v>
      </c>
      <c r="AD34" s="1882"/>
      <c r="AE34" s="1882" t="s">
        <v>2459</v>
      </c>
      <c r="AF34" s="1882"/>
      <c r="AG34" s="1882"/>
      <c r="AH34" s="1882">
        <v>0</v>
      </c>
      <c r="AI34" s="1882"/>
      <c r="AJ34" s="1882"/>
      <c r="AK34" s="1882"/>
      <c r="AL34" s="1882"/>
      <c r="AM34" s="1882" t="s">
        <v>2459</v>
      </c>
      <c r="AN34" s="1882"/>
      <c r="AO34" s="1882"/>
      <c r="AP34" s="1882"/>
      <c r="AQ34" s="1882"/>
      <c r="AR34" s="1882">
        <v>-24</v>
      </c>
      <c r="AS34" s="1882"/>
      <c r="AT34" s="1882"/>
      <c r="AU34" s="1882"/>
      <c r="AV34" s="1882"/>
      <c r="AW34" s="1882">
        <v>24</v>
      </c>
      <c r="AX34" s="1882"/>
      <c r="AY34" s="1882"/>
      <c r="AZ34" s="1882"/>
      <c r="BA34" s="1882"/>
      <c r="BB34" s="1882">
        <v>30</v>
      </c>
      <c r="BC34" s="1882"/>
      <c r="BD34" s="1882"/>
      <c r="BE34" s="1882"/>
      <c r="BF34" s="1882"/>
      <c r="BG34" s="1882">
        <v>78</v>
      </c>
      <c r="BH34" s="1882">
        <v>4.2000000000000003E-2</v>
      </c>
      <c r="BI34" s="1882"/>
      <c r="BJ34" s="1882"/>
      <c r="BK34" s="1882"/>
      <c r="BL34" s="1882">
        <v>3.5999999999999997E-2</v>
      </c>
      <c r="BM34" s="1882"/>
      <c r="BN34" s="1882">
        <v>5</v>
      </c>
      <c r="BO34" s="1882" t="s">
        <v>8630</v>
      </c>
      <c r="BP34" s="520">
        <v>0</v>
      </c>
      <c r="BQ34" s="695">
        <v>61</v>
      </c>
      <c r="BR34" s="1882" t="s">
        <v>8513</v>
      </c>
      <c r="BS34" s="1882" t="s">
        <v>8513</v>
      </c>
      <c r="BT34" s="1882">
        <v>0</v>
      </c>
      <c r="BU34" s="1882" t="s">
        <v>8513</v>
      </c>
      <c r="BV34" s="1882">
        <v>0</v>
      </c>
      <c r="BW34" s="1882">
        <v>45</v>
      </c>
      <c r="BX34" s="1882" t="s">
        <v>2451</v>
      </c>
      <c r="BY34" s="1882">
        <v>0</v>
      </c>
      <c r="BZ34" s="1882">
        <v>0</v>
      </c>
      <c r="CA34" s="1882">
        <v>0</v>
      </c>
      <c r="CB34" s="1882">
        <v>0</v>
      </c>
      <c r="CC34" s="1882">
        <v>79</v>
      </c>
      <c r="CD34" s="1882" t="s">
        <v>2451</v>
      </c>
      <c r="CE34" s="1882">
        <v>0</v>
      </c>
      <c r="CF34" s="1882">
        <v>0</v>
      </c>
      <c r="CG34" s="1882">
        <v>0</v>
      </c>
      <c r="CH34" s="1882">
        <v>0</v>
      </c>
      <c r="CI34" s="1882">
        <v>133</v>
      </c>
      <c r="CJ34" s="1882" t="s">
        <v>2451</v>
      </c>
      <c r="CK34" s="1882">
        <v>0</v>
      </c>
      <c r="CL34" s="1882">
        <v>0</v>
      </c>
      <c r="CM34" s="1882">
        <v>0</v>
      </c>
      <c r="CN34" s="1882">
        <v>0</v>
      </c>
      <c r="CP34" s="1882" t="s">
        <v>8726</v>
      </c>
    </row>
    <row r="35" spans="1:94">
      <c r="A35" s="1882" t="s">
        <v>8355</v>
      </c>
      <c r="B35" s="1882" t="s">
        <v>8727</v>
      </c>
      <c r="C35" s="1882" t="s">
        <v>8352</v>
      </c>
      <c r="D35" s="1882" t="s">
        <v>1627</v>
      </c>
      <c r="E35" s="1882" t="s">
        <v>8720</v>
      </c>
      <c r="F35" s="1882" t="s">
        <v>8604</v>
      </c>
      <c r="G35" s="1882" t="s">
        <v>8728</v>
      </c>
      <c r="H35" s="1882" t="s">
        <v>8729</v>
      </c>
      <c r="I35" s="1882" t="s">
        <v>8730</v>
      </c>
      <c r="J35" s="1882" t="s">
        <v>8519</v>
      </c>
      <c r="K35" s="1882" t="s">
        <v>8509</v>
      </c>
      <c r="L35" s="1882"/>
      <c r="M35" s="1882"/>
      <c r="N35" s="1882" t="s">
        <v>8724</v>
      </c>
      <c r="O35" s="1882" t="s">
        <v>764</v>
      </c>
      <c r="P35" s="1882" t="s">
        <v>8731</v>
      </c>
      <c r="Q35" s="520">
        <v>0</v>
      </c>
      <c r="R35" s="1882" t="s">
        <v>8549</v>
      </c>
      <c r="S35" s="1882">
        <v>0</v>
      </c>
      <c r="T35" s="1882"/>
      <c r="U35" s="1882"/>
      <c r="V35" s="1882"/>
      <c r="W35" s="1882"/>
      <c r="X35" s="1882">
        <v>22</v>
      </c>
      <c r="Y35" s="1882"/>
      <c r="Z35" s="1882"/>
      <c r="AA35" s="1882"/>
      <c r="AB35" s="1882"/>
      <c r="AC35" s="1882"/>
      <c r="AD35" s="1882"/>
      <c r="AE35" s="1882" t="s">
        <v>2459</v>
      </c>
      <c r="AF35" s="1882"/>
      <c r="AG35" s="1882"/>
      <c r="AH35" s="1882">
        <v>0</v>
      </c>
      <c r="AI35" s="1882"/>
      <c r="AJ35" s="1882"/>
      <c r="AK35" s="1882"/>
      <c r="AL35" s="1882"/>
      <c r="AM35" s="1882" t="s">
        <v>2459</v>
      </c>
      <c r="AN35" s="1882"/>
      <c r="AO35" s="1882"/>
      <c r="AP35" s="1882"/>
      <c r="AQ35" s="1882"/>
      <c r="AR35" s="1882">
        <v>-66</v>
      </c>
      <c r="AS35" s="1882"/>
      <c r="AT35" s="1882"/>
      <c r="AU35" s="1882"/>
      <c r="AV35" s="1882"/>
      <c r="AW35" s="1882">
        <v>21</v>
      </c>
      <c r="AX35" s="1882"/>
      <c r="AY35" s="1882"/>
      <c r="AZ35" s="1882"/>
      <c r="BA35" s="1882"/>
      <c r="BB35" s="1882"/>
      <c r="BC35" s="1882"/>
      <c r="BD35" s="1882"/>
      <c r="BE35" s="1882"/>
      <c r="BF35" s="1882"/>
      <c r="BG35" s="1882"/>
      <c r="BH35" s="1882">
        <v>2.3E-2</v>
      </c>
      <c r="BI35" s="1882"/>
      <c r="BJ35" s="1882"/>
      <c r="BK35" s="1882"/>
      <c r="BL35" s="1882"/>
      <c r="BM35" s="1882"/>
      <c r="BN35" s="1882">
        <v>5</v>
      </c>
      <c r="BO35" s="1882" t="s">
        <v>8630</v>
      </c>
      <c r="BP35" s="520">
        <v>0</v>
      </c>
      <c r="BQ35" s="695">
        <v>536</v>
      </c>
      <c r="BR35" s="1882" t="s">
        <v>8513</v>
      </c>
      <c r="BS35" s="1882" t="s">
        <v>8513</v>
      </c>
      <c r="BT35" s="1882">
        <v>0</v>
      </c>
      <c r="BU35" s="1882" t="s">
        <v>8513</v>
      </c>
      <c r="BV35" s="1882">
        <v>0</v>
      </c>
      <c r="BW35" s="1882">
        <v>717</v>
      </c>
      <c r="BX35" s="1882" t="s">
        <v>2451</v>
      </c>
      <c r="BY35" s="1882">
        <v>0</v>
      </c>
      <c r="BZ35" s="1882">
        <v>0</v>
      </c>
      <c r="CA35" s="1882">
        <v>0</v>
      </c>
      <c r="CB35" s="1882">
        <v>0</v>
      </c>
      <c r="CC35" s="1882">
        <v>1357</v>
      </c>
      <c r="CD35" s="1882" t="s">
        <v>2451</v>
      </c>
      <c r="CE35" s="1882">
        <v>0</v>
      </c>
      <c r="CF35" s="1882">
        <v>0</v>
      </c>
      <c r="CG35" s="1882">
        <v>0</v>
      </c>
      <c r="CH35" s="1882">
        <v>0</v>
      </c>
      <c r="CI35" s="1882">
        <v>2033</v>
      </c>
      <c r="CJ35" s="1882" t="s">
        <v>2451</v>
      </c>
      <c r="CK35" s="1882">
        <v>0</v>
      </c>
      <c r="CL35" s="1882">
        <v>0</v>
      </c>
      <c r="CM35" s="1882">
        <v>0</v>
      </c>
      <c r="CN35" s="1882">
        <v>0</v>
      </c>
      <c r="CP35" s="1882" t="s">
        <v>8732</v>
      </c>
    </row>
    <row r="36" spans="1:94">
      <c r="A36" s="1882" t="s">
        <v>8355</v>
      </c>
      <c r="B36" s="1882" t="s">
        <v>8733</v>
      </c>
      <c r="C36" s="1882" t="s">
        <v>8352</v>
      </c>
      <c r="D36" s="1882" t="s">
        <v>1627</v>
      </c>
      <c r="E36" s="1882" t="s">
        <v>8720</v>
      </c>
      <c r="F36" s="1882" t="s">
        <v>8604</v>
      </c>
      <c r="G36" s="1882" t="s">
        <v>8734</v>
      </c>
      <c r="H36" s="1882" t="s">
        <v>8735</v>
      </c>
      <c r="I36" s="1882" t="s">
        <v>8736</v>
      </c>
      <c r="J36" s="1882" t="s">
        <v>8539</v>
      </c>
      <c r="K36" s="1882"/>
      <c r="L36" s="1882"/>
      <c r="M36" s="1882"/>
      <c r="N36" s="1882" t="s">
        <v>8737</v>
      </c>
      <c r="O36" s="1882" t="s">
        <v>732</v>
      </c>
      <c r="P36" s="1882" t="s">
        <v>8738</v>
      </c>
      <c r="Q36" s="520">
        <v>0</v>
      </c>
      <c r="R36" s="1882" t="s">
        <v>8549</v>
      </c>
      <c r="S36" s="1882"/>
      <c r="T36" s="1882"/>
      <c r="U36" s="1882"/>
      <c r="V36" s="1882"/>
      <c r="W36" s="1882"/>
      <c r="X36" s="1882">
        <v>25</v>
      </c>
      <c r="Y36" s="1882"/>
      <c r="Z36" s="1882"/>
      <c r="AA36" s="1882"/>
      <c r="AB36" s="1882"/>
      <c r="AC36" s="1882"/>
      <c r="AD36" s="1882"/>
      <c r="AE36" s="1882"/>
      <c r="AF36" s="1882"/>
      <c r="AG36" s="1882"/>
      <c r="AH36" s="1882">
        <v>0</v>
      </c>
      <c r="AI36" s="1882"/>
      <c r="AJ36" s="1882"/>
      <c r="AK36" s="1882"/>
      <c r="AL36" s="1882"/>
      <c r="AM36" s="1882"/>
      <c r="AN36" s="1882"/>
      <c r="AO36" s="1882"/>
      <c r="AP36" s="1882"/>
      <c r="AQ36" s="1882"/>
      <c r="AR36" s="1882"/>
      <c r="AS36" s="1882"/>
      <c r="AT36" s="1882"/>
      <c r="AU36" s="1882"/>
      <c r="AV36" s="1882"/>
      <c r="AW36" s="1882"/>
      <c r="AX36" s="1882"/>
      <c r="AY36" s="1882"/>
      <c r="AZ36" s="1882"/>
      <c r="BA36" s="1882"/>
      <c r="BB36" s="1882"/>
      <c r="BC36" s="1882"/>
      <c r="BD36" s="1882"/>
      <c r="BE36" s="1882"/>
      <c r="BF36" s="1882"/>
      <c r="BG36" s="1882"/>
      <c r="BH36" s="1882"/>
      <c r="BI36" s="1882"/>
      <c r="BJ36" s="1882"/>
      <c r="BK36" s="1882"/>
      <c r="BL36" s="1882"/>
      <c r="BM36" s="1882"/>
      <c r="BN36" s="1882"/>
      <c r="BO36" s="1882"/>
      <c r="BP36" s="520">
        <v>0</v>
      </c>
      <c r="BQ36" s="695">
        <v>4</v>
      </c>
      <c r="BR36" s="1882" t="s">
        <v>8513</v>
      </c>
      <c r="BS36" s="1882" t="s">
        <v>8513</v>
      </c>
      <c r="BT36" s="1882">
        <v>0</v>
      </c>
      <c r="BU36" s="1882" t="s">
        <v>8513</v>
      </c>
      <c r="BV36" s="1882">
        <v>0</v>
      </c>
      <c r="BW36" s="1882">
        <v>25</v>
      </c>
      <c r="BX36" s="1882" t="s">
        <v>2451</v>
      </c>
      <c r="BY36" s="1882">
        <v>0</v>
      </c>
      <c r="BZ36" s="1882">
        <v>0</v>
      </c>
      <c r="CA36" s="1882">
        <v>0</v>
      </c>
      <c r="CB36" s="1882">
        <v>0</v>
      </c>
      <c r="CC36" s="1882">
        <v>46</v>
      </c>
      <c r="CD36" s="1882" t="s">
        <v>2451</v>
      </c>
      <c r="CE36" s="1882">
        <v>0</v>
      </c>
      <c r="CF36" s="1882">
        <v>0</v>
      </c>
      <c r="CG36" s="1882">
        <v>0</v>
      </c>
      <c r="CH36" s="1882">
        <v>0</v>
      </c>
      <c r="CI36" s="1882">
        <v>41</v>
      </c>
      <c r="CJ36" s="1882" t="s">
        <v>2451</v>
      </c>
      <c r="CK36" s="1882">
        <v>0</v>
      </c>
      <c r="CL36" s="1882">
        <v>0</v>
      </c>
      <c r="CM36" s="1882">
        <v>0</v>
      </c>
      <c r="CN36" s="1882">
        <v>0</v>
      </c>
      <c r="CP36" s="1882" t="s">
        <v>8739</v>
      </c>
    </row>
    <row r="37" spans="1:94">
      <c r="A37" s="1882" t="s">
        <v>8355</v>
      </c>
      <c r="B37" s="1882" t="s">
        <v>8740</v>
      </c>
      <c r="C37" s="1882" t="s">
        <v>8352</v>
      </c>
      <c r="D37" s="1882" t="s">
        <v>1627</v>
      </c>
      <c r="E37" s="1882" t="s">
        <v>8720</v>
      </c>
      <c r="F37" s="1882" t="s">
        <v>8620</v>
      </c>
      <c r="G37" s="1882" t="s">
        <v>8741</v>
      </c>
      <c r="H37" s="1882" t="s">
        <v>8742</v>
      </c>
      <c r="I37" s="1882" t="s">
        <v>8743</v>
      </c>
      <c r="J37" s="1882" t="s">
        <v>8508</v>
      </c>
      <c r="K37" s="1882" t="s">
        <v>8509</v>
      </c>
      <c r="L37" s="1882"/>
      <c r="M37" s="1882"/>
      <c r="N37" s="1882" t="s">
        <v>8599</v>
      </c>
      <c r="O37" s="1882" t="s">
        <v>732</v>
      </c>
      <c r="P37" s="1882" t="s">
        <v>8623</v>
      </c>
      <c r="Q37" s="520">
        <v>0</v>
      </c>
      <c r="R37" s="1882" t="s">
        <v>8549</v>
      </c>
      <c r="S37" s="1882">
        <v>0</v>
      </c>
      <c r="T37" s="1882">
        <v>0</v>
      </c>
      <c r="U37" s="1882">
        <v>0</v>
      </c>
      <c r="V37" s="1882">
        <v>0</v>
      </c>
      <c r="W37" s="1882">
        <v>0</v>
      </c>
      <c r="X37" s="1882">
        <v>0</v>
      </c>
      <c r="Y37" s="1882"/>
      <c r="Z37" s="1882"/>
      <c r="AA37" s="1882"/>
      <c r="AB37" s="1882"/>
      <c r="AC37" s="1882"/>
      <c r="AD37" s="1882"/>
      <c r="AE37" s="1882"/>
      <c r="AF37" s="1882"/>
      <c r="AG37" s="1882"/>
      <c r="AH37" s="1882">
        <v>0</v>
      </c>
      <c r="AI37" s="1882" t="s">
        <v>2459</v>
      </c>
      <c r="AJ37" s="1882" t="s">
        <v>2459</v>
      </c>
      <c r="AK37" s="1882" t="s">
        <v>2459</v>
      </c>
      <c r="AL37" s="1882" t="s">
        <v>2459</v>
      </c>
      <c r="AM37" s="1882" t="s">
        <v>2459</v>
      </c>
      <c r="AN37" s="1882">
        <v>-20</v>
      </c>
      <c r="AO37" s="1882">
        <v>-20</v>
      </c>
      <c r="AP37" s="1882">
        <v>-20</v>
      </c>
      <c r="AQ37" s="1882">
        <v>-20</v>
      </c>
      <c r="AR37" s="1882">
        <v>-20</v>
      </c>
      <c r="AS37" s="1882">
        <v>0</v>
      </c>
      <c r="AT37" s="1882">
        <v>0</v>
      </c>
      <c r="AU37" s="1882">
        <v>0</v>
      </c>
      <c r="AV37" s="1882">
        <v>0</v>
      </c>
      <c r="AW37" s="1882">
        <v>0</v>
      </c>
      <c r="AX37" s="1882">
        <v>0</v>
      </c>
      <c r="AY37" s="1882">
        <v>0</v>
      </c>
      <c r="AZ37" s="1882">
        <v>0</v>
      </c>
      <c r="BA37" s="1882">
        <v>0</v>
      </c>
      <c r="BB37" s="1882">
        <v>0</v>
      </c>
      <c r="BC37" s="1882">
        <v>20</v>
      </c>
      <c r="BD37" s="1882">
        <v>20</v>
      </c>
      <c r="BE37" s="1882">
        <v>20</v>
      </c>
      <c r="BF37" s="1882">
        <v>20</v>
      </c>
      <c r="BG37" s="1882">
        <v>20</v>
      </c>
      <c r="BH37" s="1882">
        <v>2.5000000000000001E-2</v>
      </c>
      <c r="BI37" s="1882"/>
      <c r="BJ37" s="1882"/>
      <c r="BK37" s="1882"/>
      <c r="BL37" s="1882">
        <v>2.5000000000000001E-2</v>
      </c>
      <c r="BM37" s="1882"/>
      <c r="BN37" s="1882">
        <v>1</v>
      </c>
      <c r="BO37" s="1882" t="s">
        <v>8512</v>
      </c>
      <c r="BP37" s="520">
        <v>1</v>
      </c>
      <c r="BQ37" s="695">
        <v>4</v>
      </c>
      <c r="BR37" s="1882" t="s">
        <v>2459</v>
      </c>
      <c r="BS37" s="1882" t="s">
        <v>8513</v>
      </c>
      <c r="BT37" s="1882">
        <v>0</v>
      </c>
      <c r="BU37" s="1882" t="s">
        <v>8376</v>
      </c>
      <c r="BV37" s="1882">
        <v>0.1</v>
      </c>
      <c r="BW37" s="1882">
        <v>1</v>
      </c>
      <c r="BX37" s="1882" t="s">
        <v>2459</v>
      </c>
      <c r="BY37" s="1882">
        <v>0</v>
      </c>
      <c r="BZ37" s="1882">
        <v>0</v>
      </c>
      <c r="CA37" s="1882" t="s">
        <v>8376</v>
      </c>
      <c r="CB37" s="1882">
        <v>2.5000000000000001E-2</v>
      </c>
      <c r="CC37" s="1882">
        <v>5</v>
      </c>
      <c r="CD37" s="1882" t="s">
        <v>2459</v>
      </c>
      <c r="CE37" s="1882">
        <v>0</v>
      </c>
      <c r="CF37" s="1882">
        <v>0</v>
      </c>
      <c r="CG37" s="1882" t="s">
        <v>8376</v>
      </c>
      <c r="CH37" s="1882">
        <v>0.125</v>
      </c>
      <c r="CI37" s="1882">
        <v>1</v>
      </c>
      <c r="CJ37" s="1882" t="s">
        <v>2459</v>
      </c>
      <c r="CK37" s="1882">
        <v>0</v>
      </c>
      <c r="CL37" s="1882">
        <v>0</v>
      </c>
      <c r="CM37" s="1882" t="s">
        <v>8376</v>
      </c>
      <c r="CN37" s="1882">
        <v>2.5000000000000001E-2</v>
      </c>
      <c r="CP37" s="1882" t="s">
        <v>8744</v>
      </c>
    </row>
    <row r="38" spans="1:94">
      <c r="A38" s="1882" t="s">
        <v>8355</v>
      </c>
      <c r="B38" s="1882" t="s">
        <v>8745</v>
      </c>
      <c r="C38" s="1882" t="s">
        <v>8352</v>
      </c>
      <c r="D38" s="1882" t="s">
        <v>1627</v>
      </c>
      <c r="E38" s="1882" t="s">
        <v>8720</v>
      </c>
      <c r="F38" s="1882" t="s">
        <v>8662</v>
      </c>
      <c r="G38" s="1882" t="s">
        <v>8746</v>
      </c>
      <c r="H38" s="1882" t="s">
        <v>8747</v>
      </c>
      <c r="I38" s="1882" t="s">
        <v>8748</v>
      </c>
      <c r="J38" s="1882" t="s">
        <v>8508</v>
      </c>
      <c r="K38" s="1882" t="s">
        <v>8509</v>
      </c>
      <c r="L38" s="1882"/>
      <c r="M38" s="1882"/>
      <c r="N38" s="1882" t="s">
        <v>8673</v>
      </c>
      <c r="O38" s="1882" t="s">
        <v>732</v>
      </c>
      <c r="P38" s="1882" t="s">
        <v>8749</v>
      </c>
      <c r="Q38" s="520">
        <v>0</v>
      </c>
      <c r="R38" s="1882" t="s">
        <v>8549</v>
      </c>
      <c r="S38" s="1882">
        <v>58</v>
      </c>
      <c r="T38" s="1882"/>
      <c r="U38" s="1882"/>
      <c r="V38" s="1882"/>
      <c r="W38" s="1882"/>
      <c r="X38" s="1882">
        <v>67</v>
      </c>
      <c r="Y38" s="1882"/>
      <c r="Z38" s="1882"/>
      <c r="AA38" s="1882"/>
      <c r="AB38" s="1882"/>
      <c r="AC38" s="1882"/>
      <c r="AD38" s="1882"/>
      <c r="AE38" s="1882"/>
      <c r="AF38" s="1882" t="s">
        <v>2459</v>
      </c>
      <c r="AG38" s="1882"/>
      <c r="AH38" s="1882">
        <v>0</v>
      </c>
      <c r="AI38" s="1882"/>
      <c r="AJ38" s="1882"/>
      <c r="AK38" s="1882"/>
      <c r="AL38" s="1882"/>
      <c r="AM38" s="1882" t="s">
        <v>2459</v>
      </c>
      <c r="AN38" s="1882"/>
      <c r="AO38" s="1882"/>
      <c r="AP38" s="1882"/>
      <c r="AQ38" s="1882"/>
      <c r="AR38" s="1882">
        <v>58</v>
      </c>
      <c r="AS38" s="1882"/>
      <c r="AT38" s="1882"/>
      <c r="AU38" s="1882"/>
      <c r="AV38" s="1882"/>
      <c r="AW38" s="1882">
        <v>67</v>
      </c>
      <c r="AX38" s="1882"/>
      <c r="AY38" s="1882"/>
      <c r="AZ38" s="1882"/>
      <c r="BA38" s="1882"/>
      <c r="BB38" s="1882">
        <v>67</v>
      </c>
      <c r="BC38" s="1882"/>
      <c r="BD38" s="1882"/>
      <c r="BE38" s="1882"/>
      <c r="BF38" s="1882"/>
      <c r="BG38" s="1882">
        <v>75</v>
      </c>
      <c r="BH38" s="1882">
        <v>0.373</v>
      </c>
      <c r="BI38" s="1882"/>
      <c r="BJ38" s="1882"/>
      <c r="BK38" s="1882"/>
      <c r="BL38" s="1882">
        <v>0.373</v>
      </c>
      <c r="BM38" s="1882"/>
      <c r="BN38" s="1882">
        <v>5</v>
      </c>
      <c r="BO38" s="1882" t="s">
        <v>8630</v>
      </c>
      <c r="BP38" s="520">
        <v>71</v>
      </c>
      <c r="BQ38" s="695">
        <v>71</v>
      </c>
      <c r="BR38" s="1882" t="s">
        <v>8513</v>
      </c>
      <c r="BS38" s="1882" t="s">
        <v>8513</v>
      </c>
      <c r="BT38" s="1882">
        <v>0</v>
      </c>
      <c r="BU38" s="1882" t="s">
        <v>8513</v>
      </c>
      <c r="BV38" s="1882">
        <v>0</v>
      </c>
      <c r="BW38" s="1882">
        <v>65</v>
      </c>
      <c r="BX38" s="1882" t="s">
        <v>2451</v>
      </c>
      <c r="BY38" s="1882">
        <v>0</v>
      </c>
      <c r="BZ38" s="1882">
        <v>0</v>
      </c>
      <c r="CA38" s="1882">
        <v>0</v>
      </c>
      <c r="CB38" s="1882">
        <v>0</v>
      </c>
      <c r="CC38" s="1882">
        <v>63.3</v>
      </c>
      <c r="CD38" s="1882" t="s">
        <v>2451</v>
      </c>
      <c r="CE38" s="1882">
        <v>0</v>
      </c>
      <c r="CF38" s="1882">
        <v>0</v>
      </c>
      <c r="CG38" s="1882">
        <v>0</v>
      </c>
      <c r="CH38" s="1882">
        <v>0</v>
      </c>
      <c r="CI38" s="1882">
        <v>65.3</v>
      </c>
      <c r="CJ38" s="1882" t="s">
        <v>2451</v>
      </c>
      <c r="CK38" s="1882">
        <v>0</v>
      </c>
      <c r="CL38" s="1882">
        <v>0</v>
      </c>
      <c r="CM38" s="1882">
        <v>0</v>
      </c>
      <c r="CN38" s="1882">
        <v>0</v>
      </c>
      <c r="CP38" s="1882" t="s">
        <v>8750</v>
      </c>
    </row>
    <row r="39" spans="1:94">
      <c r="A39" s="1882" t="s">
        <v>8355</v>
      </c>
      <c r="B39" s="1882" t="s">
        <v>8751</v>
      </c>
      <c r="C39" s="1882" t="s">
        <v>8352</v>
      </c>
      <c r="D39" s="1882" t="s">
        <v>1627</v>
      </c>
      <c r="E39" s="1882" t="s">
        <v>8720</v>
      </c>
      <c r="F39" s="1882" t="s">
        <v>8662</v>
      </c>
      <c r="G39" s="1882" t="s">
        <v>8752</v>
      </c>
      <c r="H39" s="1882" t="s">
        <v>8753</v>
      </c>
      <c r="I39" s="1882" t="s">
        <v>8754</v>
      </c>
      <c r="J39" s="1882" t="s">
        <v>8539</v>
      </c>
      <c r="K39" s="1882"/>
      <c r="L39" s="1882"/>
      <c r="M39" s="1882"/>
      <c r="N39" s="1882" t="s">
        <v>8666</v>
      </c>
      <c r="O39" s="1882" t="s">
        <v>732</v>
      </c>
      <c r="P39" s="1882" t="s">
        <v>8667</v>
      </c>
      <c r="Q39" s="520">
        <v>0</v>
      </c>
      <c r="R39" s="1882" t="s">
        <v>8549</v>
      </c>
      <c r="S39" s="1882">
        <v>49</v>
      </c>
      <c r="T39" s="1882"/>
      <c r="U39" s="1882"/>
      <c r="V39" s="1882"/>
      <c r="W39" s="1882"/>
      <c r="X39" s="1882">
        <v>50</v>
      </c>
      <c r="Y39" s="1882"/>
      <c r="Z39" s="1882"/>
      <c r="AA39" s="1882"/>
      <c r="AB39" s="1882"/>
      <c r="AC39" s="1882"/>
      <c r="AD39" s="1882"/>
      <c r="AE39" s="1882"/>
      <c r="AF39" s="1882" t="s">
        <v>2459</v>
      </c>
      <c r="AG39" s="1882"/>
      <c r="AH39" s="1882">
        <v>0</v>
      </c>
      <c r="AI39" s="1882"/>
      <c r="AJ39" s="1882"/>
      <c r="AK39" s="1882"/>
      <c r="AL39" s="1882"/>
      <c r="AM39" s="1882"/>
      <c r="AN39" s="1882"/>
      <c r="AO39" s="1882"/>
      <c r="AP39" s="1882"/>
      <c r="AQ39" s="1882"/>
      <c r="AR39" s="1882"/>
      <c r="AS39" s="1882"/>
      <c r="AT39" s="1882"/>
      <c r="AU39" s="1882"/>
      <c r="AV39" s="1882"/>
      <c r="AW39" s="1882"/>
      <c r="AX39" s="1882"/>
      <c r="AY39" s="1882"/>
      <c r="AZ39" s="1882"/>
      <c r="BA39" s="1882"/>
      <c r="BB39" s="1882"/>
      <c r="BC39" s="1882"/>
      <c r="BD39" s="1882"/>
      <c r="BE39" s="1882"/>
      <c r="BF39" s="1882"/>
      <c r="BG39" s="1882"/>
      <c r="BH39" s="1882"/>
      <c r="BI39" s="1882"/>
      <c r="BJ39" s="1882"/>
      <c r="BK39" s="1882"/>
      <c r="BL39" s="1882"/>
      <c r="BM39" s="1882"/>
      <c r="BN39" s="1882"/>
      <c r="BO39" s="1882"/>
      <c r="BP39" s="520">
        <v>49</v>
      </c>
      <c r="BQ39" s="695">
        <v>98.85</v>
      </c>
      <c r="BR39" s="1882" t="s">
        <v>8513</v>
      </c>
      <c r="BS39" s="1882" t="s">
        <v>8513</v>
      </c>
      <c r="BT39" s="1882">
        <v>0</v>
      </c>
      <c r="BU39" s="1882" t="s">
        <v>8513</v>
      </c>
      <c r="BV39" s="1882">
        <v>0</v>
      </c>
      <c r="BW39" s="1882">
        <v>98.83</v>
      </c>
      <c r="BX39" s="1882" t="s">
        <v>2451</v>
      </c>
      <c r="BY39" s="1882">
        <v>0</v>
      </c>
      <c r="BZ39" s="1882">
        <v>0</v>
      </c>
      <c r="CA39" s="1882">
        <v>0</v>
      </c>
      <c r="CB39" s="1882">
        <v>0</v>
      </c>
      <c r="CC39" s="1882">
        <v>98.832999999999998</v>
      </c>
      <c r="CD39" s="1882" t="s">
        <v>2451</v>
      </c>
      <c r="CE39" s="1882">
        <v>0</v>
      </c>
      <c r="CF39" s="1882">
        <v>0</v>
      </c>
      <c r="CG39" s="1882">
        <v>0</v>
      </c>
      <c r="CH39" s="1882">
        <v>0</v>
      </c>
      <c r="CI39" s="1882">
        <v>99</v>
      </c>
      <c r="CJ39" s="1882" t="s">
        <v>2451</v>
      </c>
      <c r="CK39" s="1882">
        <v>0</v>
      </c>
      <c r="CL39" s="1882">
        <v>0</v>
      </c>
      <c r="CM39" s="1882">
        <v>0</v>
      </c>
      <c r="CN39" s="1882">
        <v>0</v>
      </c>
      <c r="CP39" s="1882" t="s">
        <v>8755</v>
      </c>
    </row>
    <row r="40" spans="1:94">
      <c r="A40" s="1882" t="s">
        <v>8355</v>
      </c>
      <c r="B40" s="1882" t="s">
        <v>8756</v>
      </c>
      <c r="C40" s="1882" t="s">
        <v>8352</v>
      </c>
      <c r="D40" s="1882" t="s">
        <v>1627</v>
      </c>
      <c r="E40" s="1882" t="s">
        <v>8720</v>
      </c>
      <c r="F40" s="1882" t="s">
        <v>8662</v>
      </c>
      <c r="G40" s="1882" t="s">
        <v>8757</v>
      </c>
      <c r="H40" s="1882" t="s">
        <v>8758</v>
      </c>
      <c r="I40" s="1882" t="s">
        <v>8759</v>
      </c>
      <c r="J40" s="1882" t="s">
        <v>8508</v>
      </c>
      <c r="K40" s="1882" t="s">
        <v>8509</v>
      </c>
      <c r="L40" s="1882"/>
      <c r="M40" s="1882"/>
      <c r="N40" s="1882" t="s">
        <v>8760</v>
      </c>
      <c r="O40" s="1882" t="s">
        <v>764</v>
      </c>
      <c r="P40" s="1882" t="s">
        <v>8761</v>
      </c>
      <c r="Q40" s="520">
        <v>0</v>
      </c>
      <c r="R40" s="1882" t="s">
        <v>8511</v>
      </c>
      <c r="S40" s="1882">
        <v>408</v>
      </c>
      <c r="T40" s="1882">
        <v>371</v>
      </c>
      <c r="U40" s="1882">
        <v>335</v>
      </c>
      <c r="V40" s="1882">
        <v>298</v>
      </c>
      <c r="W40" s="1882">
        <v>298</v>
      </c>
      <c r="X40" s="1882">
        <v>298</v>
      </c>
      <c r="Y40" s="1882"/>
      <c r="Z40" s="1882"/>
      <c r="AA40" s="1882"/>
      <c r="AB40" s="1882" t="s">
        <v>2459</v>
      </c>
      <c r="AC40" s="1882"/>
      <c r="AD40" s="1882"/>
      <c r="AE40" s="1882" t="s">
        <v>2459</v>
      </c>
      <c r="AF40" s="1882"/>
      <c r="AG40" s="1882"/>
      <c r="AH40" s="1882">
        <v>0</v>
      </c>
      <c r="AI40" s="1882" t="s">
        <v>2459</v>
      </c>
      <c r="AJ40" s="1882" t="s">
        <v>2459</v>
      </c>
      <c r="AK40" s="1882" t="s">
        <v>2459</v>
      </c>
      <c r="AL40" s="1882" t="s">
        <v>2459</v>
      </c>
      <c r="AM40" s="1882" t="s">
        <v>2459</v>
      </c>
      <c r="AN40" s="1882">
        <v>505</v>
      </c>
      <c r="AO40" s="1882">
        <v>505</v>
      </c>
      <c r="AP40" s="1882">
        <v>505</v>
      </c>
      <c r="AQ40" s="1882">
        <v>505</v>
      </c>
      <c r="AR40" s="1882">
        <v>505</v>
      </c>
      <c r="AS40" s="1882">
        <v>408</v>
      </c>
      <c r="AT40" s="1882">
        <v>408</v>
      </c>
      <c r="AU40" s="1882">
        <v>298</v>
      </c>
      <c r="AV40" s="1882">
        <v>298</v>
      </c>
      <c r="AW40" s="1882">
        <v>298</v>
      </c>
      <c r="AX40" s="1882">
        <v>298</v>
      </c>
      <c r="AY40" s="1882">
        <v>298</v>
      </c>
      <c r="AZ40" s="1882">
        <v>298</v>
      </c>
      <c r="BA40" s="1882">
        <v>298</v>
      </c>
      <c r="BB40" s="1882">
        <v>298</v>
      </c>
      <c r="BC40" s="1882">
        <v>140</v>
      </c>
      <c r="BD40" s="1882">
        <v>140</v>
      </c>
      <c r="BE40" s="1882">
        <v>140</v>
      </c>
      <c r="BF40" s="1882">
        <v>140</v>
      </c>
      <c r="BG40" s="1882">
        <v>140</v>
      </c>
      <c r="BH40" s="1882">
        <v>2.8500000000000001E-2</v>
      </c>
      <c r="BI40" s="1882"/>
      <c r="BJ40" s="1882"/>
      <c r="BK40" s="1882"/>
      <c r="BL40" s="1882">
        <v>2.8500000000000001E-2</v>
      </c>
      <c r="BM40" s="1882"/>
      <c r="BN40" s="1882">
        <v>1</v>
      </c>
      <c r="BO40" s="1882" t="s">
        <v>8512</v>
      </c>
      <c r="BP40" s="520">
        <v>390</v>
      </c>
      <c r="BQ40" s="695">
        <v>144</v>
      </c>
      <c r="BR40" s="1882" t="s">
        <v>2459</v>
      </c>
      <c r="BS40" s="1882" t="s">
        <v>8513</v>
      </c>
      <c r="BT40" s="1882">
        <v>0</v>
      </c>
      <c r="BU40" s="1882" t="s">
        <v>8376</v>
      </c>
      <c r="BV40" s="1882">
        <v>4.3890000000000002</v>
      </c>
      <c r="BW40" s="1882">
        <v>217</v>
      </c>
      <c r="BX40" s="1882" t="s">
        <v>2459</v>
      </c>
      <c r="BY40" s="1882">
        <v>0</v>
      </c>
      <c r="BZ40" s="1882">
        <v>0</v>
      </c>
      <c r="CA40" s="1882" t="s">
        <v>8376</v>
      </c>
      <c r="CB40" s="1882">
        <v>2.3085</v>
      </c>
      <c r="CC40" s="1882">
        <v>219</v>
      </c>
      <c r="CD40" s="1882" t="s">
        <v>2459</v>
      </c>
      <c r="CE40" s="1882">
        <v>0</v>
      </c>
      <c r="CF40" s="1882">
        <v>0</v>
      </c>
      <c r="CG40" s="1882" t="s">
        <v>8376</v>
      </c>
      <c r="CH40" s="1882">
        <v>2.2519999999999998</v>
      </c>
      <c r="CI40" s="1882">
        <v>185</v>
      </c>
      <c r="CJ40" s="1882" t="s">
        <v>2459</v>
      </c>
      <c r="CK40" s="1882">
        <v>0</v>
      </c>
      <c r="CL40" s="1882">
        <v>0</v>
      </c>
      <c r="CM40" s="1882" t="s">
        <v>8376</v>
      </c>
      <c r="CN40" s="1882">
        <v>3.2204999999999999</v>
      </c>
      <c r="CP40" s="1882" t="s">
        <v>8762</v>
      </c>
    </row>
    <row r="41" spans="1:94">
      <c r="A41" s="1882" t="s">
        <v>8355</v>
      </c>
      <c r="B41" s="1882" t="s">
        <v>8763</v>
      </c>
      <c r="C41" s="1882" t="s">
        <v>8352</v>
      </c>
      <c r="D41" s="1882" t="s">
        <v>1627</v>
      </c>
      <c r="E41" s="1882" t="s">
        <v>8720</v>
      </c>
      <c r="F41" s="1882" t="s">
        <v>8662</v>
      </c>
      <c r="G41" s="1882" t="s">
        <v>8764</v>
      </c>
      <c r="H41" s="1882" t="s">
        <v>8765</v>
      </c>
      <c r="I41" s="1882" t="s">
        <v>8766</v>
      </c>
      <c r="J41" s="1882" t="s">
        <v>8519</v>
      </c>
      <c r="K41" s="1882" t="s">
        <v>8509</v>
      </c>
      <c r="L41" s="1882"/>
      <c r="M41" s="1882"/>
      <c r="N41" s="1882" t="s">
        <v>8673</v>
      </c>
      <c r="O41" s="1882" t="s">
        <v>764</v>
      </c>
      <c r="P41" s="1882" t="s">
        <v>8674</v>
      </c>
      <c r="Q41" s="520">
        <v>0</v>
      </c>
      <c r="R41" s="1882" t="s">
        <v>8549</v>
      </c>
      <c r="S41" s="1882">
        <v>0</v>
      </c>
      <c r="T41" s="1882"/>
      <c r="U41" s="1882"/>
      <c r="V41" s="1882"/>
      <c r="W41" s="1882"/>
      <c r="X41" s="1882">
        <v>81</v>
      </c>
      <c r="Y41" s="1882"/>
      <c r="Z41" s="1882"/>
      <c r="AA41" s="1882"/>
      <c r="AB41" s="1882"/>
      <c r="AC41" s="1882"/>
      <c r="AD41" s="1882"/>
      <c r="AE41" s="1882"/>
      <c r="AF41" s="1882" t="s">
        <v>2459</v>
      </c>
      <c r="AG41" s="1882"/>
      <c r="AH41" s="1882">
        <v>0</v>
      </c>
      <c r="AI41" s="1882"/>
      <c r="AJ41" s="1882"/>
      <c r="AK41" s="1882"/>
      <c r="AL41" s="1882"/>
      <c r="AM41" s="1882" t="s">
        <v>2459</v>
      </c>
      <c r="AN41" s="1882"/>
      <c r="AO41" s="1882"/>
      <c r="AP41" s="1882"/>
      <c r="AQ41" s="1882"/>
      <c r="AR41" s="1882">
        <v>0</v>
      </c>
      <c r="AS41" s="1882"/>
      <c r="AT41" s="1882"/>
      <c r="AU41" s="1882"/>
      <c r="AV41" s="1882"/>
      <c r="AW41" s="1882">
        <v>81</v>
      </c>
      <c r="AX41" s="1882"/>
      <c r="AY41" s="1882"/>
      <c r="AZ41" s="1882"/>
      <c r="BA41" s="1882"/>
      <c r="BB41" s="1882"/>
      <c r="BC41" s="1882"/>
      <c r="BD41" s="1882"/>
      <c r="BE41" s="1882"/>
      <c r="BF41" s="1882"/>
      <c r="BG41" s="1882"/>
      <c r="BH41" s="1882">
        <v>0.62</v>
      </c>
      <c r="BI41" s="1882"/>
      <c r="BJ41" s="1882"/>
      <c r="BK41" s="1882"/>
      <c r="BL41" s="1882"/>
      <c r="BM41" s="1882"/>
      <c r="BN41" s="1882">
        <v>1</v>
      </c>
      <c r="BO41" s="1882" t="s">
        <v>8512</v>
      </c>
      <c r="BP41" s="520">
        <v>0</v>
      </c>
      <c r="BQ41" s="695">
        <v>0</v>
      </c>
      <c r="BR41" s="1882" t="s">
        <v>8513</v>
      </c>
      <c r="BS41" s="1882" t="s">
        <v>8513</v>
      </c>
      <c r="BT41" s="1882">
        <v>0</v>
      </c>
      <c r="BU41" s="1882" t="s">
        <v>8513</v>
      </c>
      <c r="BV41" s="1882">
        <v>0</v>
      </c>
      <c r="BW41" s="1882">
        <v>3</v>
      </c>
      <c r="BX41" s="1882" t="s">
        <v>2451</v>
      </c>
      <c r="BY41" s="1882">
        <v>0</v>
      </c>
      <c r="BZ41" s="1882">
        <v>0</v>
      </c>
      <c r="CA41" s="1882">
        <v>0</v>
      </c>
      <c r="CB41" s="1882">
        <v>0</v>
      </c>
      <c r="CC41" s="1882">
        <v>36</v>
      </c>
      <c r="CD41" s="1882" t="s">
        <v>2451</v>
      </c>
      <c r="CE41" s="1882">
        <v>0</v>
      </c>
      <c r="CF41" s="1882">
        <v>0</v>
      </c>
      <c r="CG41" s="1882">
        <v>0</v>
      </c>
      <c r="CH41" s="1882">
        <v>0</v>
      </c>
      <c r="CI41" s="1882">
        <v>39</v>
      </c>
      <c r="CJ41" s="1882" t="s">
        <v>2451</v>
      </c>
      <c r="CK41" s="1882">
        <v>0</v>
      </c>
      <c r="CL41" s="1882">
        <v>0</v>
      </c>
      <c r="CM41" s="1882">
        <v>0</v>
      </c>
      <c r="CN41" s="1882">
        <v>0</v>
      </c>
      <c r="CP41" s="1882" t="s">
        <v>8767</v>
      </c>
    </row>
    <row r="42" spans="1:94">
      <c r="A42" s="1882" t="s">
        <v>8355</v>
      </c>
      <c r="B42" s="1882" t="s">
        <v>8768</v>
      </c>
      <c r="C42" s="1882" t="s">
        <v>8352</v>
      </c>
      <c r="D42" s="1882" t="s">
        <v>1627</v>
      </c>
      <c r="E42" s="1882" t="s">
        <v>8720</v>
      </c>
      <c r="F42" s="1882" t="s">
        <v>8677</v>
      </c>
      <c r="G42" s="1882" t="s">
        <v>8769</v>
      </c>
      <c r="H42" s="1882" t="s">
        <v>8770</v>
      </c>
      <c r="I42" s="1882" t="s">
        <v>8771</v>
      </c>
      <c r="J42" s="1882" t="s">
        <v>8539</v>
      </c>
      <c r="K42" s="1882"/>
      <c r="L42" s="1882"/>
      <c r="M42" s="1882"/>
      <c r="N42" s="1882" t="s">
        <v>8681</v>
      </c>
      <c r="O42" s="1882" t="s">
        <v>732</v>
      </c>
      <c r="P42" s="1882" t="s">
        <v>8682</v>
      </c>
      <c r="Q42" s="520">
        <v>0</v>
      </c>
      <c r="R42" s="1882" t="s">
        <v>8549</v>
      </c>
      <c r="S42" s="1882">
        <v>0</v>
      </c>
      <c r="T42" s="1882"/>
      <c r="U42" s="1882"/>
      <c r="V42" s="1882"/>
      <c r="W42" s="1882"/>
      <c r="X42" s="1882">
        <v>7</v>
      </c>
      <c r="Y42" s="1882"/>
      <c r="Z42" s="1882"/>
      <c r="AA42" s="1882"/>
      <c r="AB42" s="1882"/>
      <c r="AC42" s="1882"/>
      <c r="AD42" s="1882"/>
      <c r="AE42" s="1882"/>
      <c r="AF42" s="1882"/>
      <c r="AG42" s="1882"/>
      <c r="AH42" s="1882">
        <v>0</v>
      </c>
      <c r="AI42" s="1882"/>
      <c r="AJ42" s="1882"/>
      <c r="AK42" s="1882"/>
      <c r="AL42" s="1882"/>
      <c r="AM42" s="1882"/>
      <c r="AN42" s="1882"/>
      <c r="AO42" s="1882"/>
      <c r="AP42" s="1882"/>
      <c r="AQ42" s="1882"/>
      <c r="AR42" s="1882"/>
      <c r="AS42" s="1882"/>
      <c r="AT42" s="1882"/>
      <c r="AU42" s="1882"/>
      <c r="AV42" s="1882"/>
      <c r="AW42" s="1882"/>
      <c r="AX42" s="1882"/>
      <c r="AY42" s="1882"/>
      <c r="AZ42" s="1882"/>
      <c r="BA42" s="1882"/>
      <c r="BB42" s="1882"/>
      <c r="BC42" s="1882"/>
      <c r="BD42" s="1882"/>
      <c r="BE42" s="1882"/>
      <c r="BF42" s="1882"/>
      <c r="BG42" s="1882"/>
      <c r="BH42" s="1882"/>
      <c r="BI42" s="1882"/>
      <c r="BJ42" s="1882"/>
      <c r="BK42" s="1882"/>
      <c r="BL42" s="1882"/>
      <c r="BM42" s="1882"/>
      <c r="BN42" s="1882"/>
      <c r="BO42" s="1882"/>
      <c r="BP42" s="520">
        <v>0</v>
      </c>
      <c r="BQ42" s="695">
        <v>5</v>
      </c>
      <c r="BR42" s="1882" t="s">
        <v>8513</v>
      </c>
      <c r="BS42" s="1882" t="s">
        <v>8513</v>
      </c>
      <c r="BT42" s="1882">
        <v>0</v>
      </c>
      <c r="BU42" s="1882" t="s">
        <v>8513</v>
      </c>
      <c r="BV42" s="1882">
        <v>0</v>
      </c>
      <c r="BW42" s="1882">
        <v>11</v>
      </c>
      <c r="BX42" s="1882" t="s">
        <v>2451</v>
      </c>
      <c r="BY42" s="1882">
        <v>0</v>
      </c>
      <c r="BZ42" s="1882">
        <v>0</v>
      </c>
      <c r="CA42" s="1882">
        <v>0</v>
      </c>
      <c r="CB42" s="1882">
        <v>0</v>
      </c>
      <c r="CC42" s="1882">
        <v>19.600000000000001</v>
      </c>
      <c r="CD42" s="1882" t="s">
        <v>2451</v>
      </c>
      <c r="CE42" s="1882">
        <v>0</v>
      </c>
      <c r="CF42" s="1882">
        <v>0</v>
      </c>
      <c r="CG42" s="1882">
        <v>0</v>
      </c>
      <c r="CH42" s="1882">
        <v>0</v>
      </c>
      <c r="CI42" s="1882">
        <v>29</v>
      </c>
      <c r="CJ42" s="1882" t="s">
        <v>2451</v>
      </c>
      <c r="CK42" s="1882">
        <v>0</v>
      </c>
      <c r="CL42" s="1882">
        <v>0</v>
      </c>
      <c r="CM42" s="1882">
        <v>0</v>
      </c>
      <c r="CN42" s="1882">
        <v>0</v>
      </c>
      <c r="CP42" s="1882" t="s">
        <v>8772</v>
      </c>
    </row>
    <row r="43" spans="1:94">
      <c r="A43" s="1882" t="s">
        <v>8355</v>
      </c>
      <c r="B43" s="1882" t="s">
        <v>8773</v>
      </c>
      <c r="C43" s="1882" t="s">
        <v>8352</v>
      </c>
      <c r="D43" s="1882" t="s">
        <v>1627</v>
      </c>
      <c r="E43" s="1882" t="s">
        <v>8720</v>
      </c>
      <c r="F43" s="1882" t="s">
        <v>8677</v>
      </c>
      <c r="G43" s="1882" t="s">
        <v>8774</v>
      </c>
      <c r="H43" s="1882" t="s">
        <v>8775</v>
      </c>
      <c r="I43" s="1882" t="s">
        <v>8776</v>
      </c>
      <c r="J43" s="1882" t="s">
        <v>8539</v>
      </c>
      <c r="K43" s="1882"/>
      <c r="L43" s="1882"/>
      <c r="M43" s="1882"/>
      <c r="N43" s="1882" t="s">
        <v>8681</v>
      </c>
      <c r="O43" s="1882" t="s">
        <v>732</v>
      </c>
      <c r="P43" s="1882" t="s">
        <v>8688</v>
      </c>
      <c r="Q43" s="520">
        <v>0</v>
      </c>
      <c r="R43" s="1882" t="s">
        <v>8549</v>
      </c>
      <c r="S43" s="1882">
        <v>50</v>
      </c>
      <c r="T43" s="1882"/>
      <c r="U43" s="1882"/>
      <c r="V43" s="1882"/>
      <c r="W43" s="1882"/>
      <c r="X43" s="1882">
        <v>60</v>
      </c>
      <c r="Y43" s="1882"/>
      <c r="Z43" s="1882"/>
      <c r="AA43" s="1882"/>
      <c r="AB43" s="1882"/>
      <c r="AC43" s="1882"/>
      <c r="AD43" s="1882"/>
      <c r="AE43" s="1882"/>
      <c r="AF43" s="1882"/>
      <c r="AG43" s="1882"/>
      <c r="AH43" s="1882">
        <v>0</v>
      </c>
      <c r="AI43" s="1882"/>
      <c r="AJ43" s="1882"/>
      <c r="AK43" s="1882"/>
      <c r="AL43" s="1882"/>
      <c r="AM43" s="1882"/>
      <c r="AN43" s="1882"/>
      <c r="AO43" s="1882"/>
      <c r="AP43" s="1882"/>
      <c r="AQ43" s="1882"/>
      <c r="AR43" s="1882"/>
      <c r="AS43" s="1882"/>
      <c r="AT43" s="1882"/>
      <c r="AU43" s="1882"/>
      <c r="AV43" s="1882"/>
      <c r="AW43" s="1882"/>
      <c r="AX43" s="1882"/>
      <c r="AY43" s="1882"/>
      <c r="AZ43" s="1882"/>
      <c r="BA43" s="1882"/>
      <c r="BB43" s="1882"/>
      <c r="BC43" s="1882"/>
      <c r="BD43" s="1882"/>
      <c r="BE43" s="1882"/>
      <c r="BF43" s="1882"/>
      <c r="BG43" s="1882"/>
      <c r="BH43" s="1882"/>
      <c r="BI43" s="1882"/>
      <c r="BJ43" s="1882"/>
      <c r="BK43" s="1882"/>
      <c r="BL43" s="1882"/>
      <c r="BM43" s="1882"/>
      <c r="BN43" s="1882"/>
      <c r="BO43" s="1882"/>
      <c r="BP43" s="520">
        <v>54</v>
      </c>
      <c r="BQ43" s="695">
        <v>53</v>
      </c>
      <c r="BR43" s="1882" t="s">
        <v>8513</v>
      </c>
      <c r="BS43" s="1882" t="s">
        <v>8513</v>
      </c>
      <c r="BT43" s="1882">
        <v>0</v>
      </c>
      <c r="BU43" s="1882" t="s">
        <v>8513</v>
      </c>
      <c r="BV43" s="1882">
        <v>0</v>
      </c>
      <c r="BW43" s="1882">
        <v>55</v>
      </c>
      <c r="BX43" s="1882" t="s">
        <v>2451</v>
      </c>
      <c r="BY43" s="1882">
        <v>0</v>
      </c>
      <c r="BZ43" s="1882">
        <v>0</v>
      </c>
      <c r="CA43" s="1882">
        <v>0</v>
      </c>
      <c r="CB43" s="1882">
        <v>0</v>
      </c>
      <c r="CC43" s="1882">
        <v>57</v>
      </c>
      <c r="CD43" s="1882" t="s">
        <v>2451</v>
      </c>
      <c r="CE43" s="1882">
        <v>0</v>
      </c>
      <c r="CF43" s="1882">
        <v>0</v>
      </c>
      <c r="CG43" s="1882">
        <v>0</v>
      </c>
      <c r="CH43" s="1882">
        <v>0</v>
      </c>
      <c r="CI43" s="1882">
        <v>58</v>
      </c>
      <c r="CJ43" s="1882" t="s">
        <v>2451</v>
      </c>
      <c r="CK43" s="1882">
        <v>0</v>
      </c>
      <c r="CL43" s="1882">
        <v>0</v>
      </c>
      <c r="CM43" s="1882">
        <v>0</v>
      </c>
      <c r="CN43" s="1882">
        <v>0</v>
      </c>
      <c r="CP43" s="1882" t="s">
        <v>8777</v>
      </c>
    </row>
    <row r="44" spans="1:94">
      <c r="A44" s="1882" t="s">
        <v>8355</v>
      </c>
      <c r="B44" s="1882" t="s">
        <v>8778</v>
      </c>
      <c r="C44" s="1882" t="s">
        <v>8352</v>
      </c>
      <c r="D44" s="1882" t="s">
        <v>1627</v>
      </c>
      <c r="E44" s="1882" t="s">
        <v>8720</v>
      </c>
      <c r="F44" s="1882" t="s">
        <v>8691</v>
      </c>
      <c r="G44" s="1882" t="s">
        <v>8779</v>
      </c>
      <c r="H44" s="1882" t="s">
        <v>8780</v>
      </c>
      <c r="I44" s="1882" t="s">
        <v>8781</v>
      </c>
      <c r="J44" s="1882" t="s">
        <v>8539</v>
      </c>
      <c r="K44" s="1882"/>
      <c r="L44" s="1882"/>
      <c r="M44" s="1882"/>
      <c r="N44" s="1882" t="s">
        <v>8695</v>
      </c>
      <c r="O44" s="1882" t="s">
        <v>732</v>
      </c>
      <c r="P44" s="1882" t="s">
        <v>8696</v>
      </c>
      <c r="Q44" s="520" t="s">
        <v>8512</v>
      </c>
      <c r="R44" s="1882" t="s">
        <v>8549</v>
      </c>
      <c r="S44" s="1882">
        <v>56</v>
      </c>
      <c r="T44" s="1882"/>
      <c r="U44" s="1882"/>
      <c r="V44" s="1882"/>
      <c r="W44" s="1882"/>
      <c r="X44" s="1882">
        <v>60</v>
      </c>
      <c r="Y44" s="1882"/>
      <c r="Z44" s="1882"/>
      <c r="AA44" s="1882"/>
      <c r="AB44" s="1882"/>
      <c r="AC44" s="1882"/>
      <c r="AD44" s="1882"/>
      <c r="AE44" s="1882"/>
      <c r="AF44" s="1882"/>
      <c r="AG44" s="1882"/>
      <c r="AH44" s="1882">
        <v>0</v>
      </c>
      <c r="AI44" s="1882"/>
      <c r="AJ44" s="1882"/>
      <c r="AK44" s="1882"/>
      <c r="AL44" s="1882"/>
      <c r="AM44" s="1882"/>
      <c r="AN44" s="1882"/>
      <c r="AO44" s="1882"/>
      <c r="AP44" s="1882"/>
      <c r="AQ44" s="1882"/>
      <c r="AR44" s="1882"/>
      <c r="AS44" s="1882"/>
      <c r="AT44" s="1882"/>
      <c r="AU44" s="1882"/>
      <c r="AV44" s="1882"/>
      <c r="AW44" s="1882"/>
      <c r="AX44" s="1882"/>
      <c r="AY44" s="1882"/>
      <c r="AZ44" s="1882"/>
      <c r="BA44" s="1882"/>
      <c r="BB44" s="1882"/>
      <c r="BC44" s="1882"/>
      <c r="BD44" s="1882"/>
      <c r="BE44" s="1882"/>
      <c r="BF44" s="1882"/>
      <c r="BG44" s="1882"/>
      <c r="BH44" s="1882"/>
      <c r="BI44" s="1882"/>
      <c r="BJ44" s="1882"/>
      <c r="BK44" s="1882"/>
      <c r="BL44" s="1882"/>
      <c r="BM44" s="1882"/>
      <c r="BN44" s="1882"/>
      <c r="BO44" s="1882"/>
      <c r="BP44" s="520" t="s">
        <v>8697</v>
      </c>
      <c r="BQ44" s="697">
        <v>56</v>
      </c>
      <c r="BR44" s="1882" t="s">
        <v>8513</v>
      </c>
      <c r="BS44" s="1882" t="s">
        <v>8513</v>
      </c>
      <c r="BT44" s="1882">
        <v>0</v>
      </c>
      <c r="BU44" s="1882" t="s">
        <v>8513</v>
      </c>
      <c r="BV44" s="1882">
        <v>0</v>
      </c>
      <c r="BW44" s="1882">
        <v>52</v>
      </c>
      <c r="BX44" s="1882" t="s">
        <v>2451</v>
      </c>
      <c r="BY44" s="1882">
        <v>0</v>
      </c>
      <c r="BZ44" s="1882">
        <v>0</v>
      </c>
      <c r="CA44" s="1882">
        <v>0</v>
      </c>
      <c r="CB44" s="1882">
        <v>0</v>
      </c>
      <c r="CC44" s="1882">
        <v>55</v>
      </c>
      <c r="CD44" s="1882" t="s">
        <v>2451</v>
      </c>
      <c r="CE44" s="1882">
        <v>0</v>
      </c>
      <c r="CF44" s="1882">
        <v>0</v>
      </c>
      <c r="CG44" s="1882">
        <v>0</v>
      </c>
      <c r="CH44" s="1882">
        <v>0</v>
      </c>
      <c r="CI44" s="1882">
        <v>57</v>
      </c>
      <c r="CJ44" s="1882" t="s">
        <v>2451</v>
      </c>
      <c r="CK44" s="1882">
        <v>0</v>
      </c>
      <c r="CL44" s="1882">
        <v>0</v>
      </c>
      <c r="CM44" s="1882">
        <v>0</v>
      </c>
      <c r="CN44" s="1882">
        <v>0</v>
      </c>
      <c r="CP44" s="1882" t="s">
        <v>8782</v>
      </c>
    </row>
    <row r="45" spans="1:94">
      <c r="A45" s="1882" t="s">
        <v>8355</v>
      </c>
      <c r="B45" s="1882" t="s">
        <v>8783</v>
      </c>
      <c r="C45" s="1882" t="s">
        <v>8352</v>
      </c>
      <c r="D45" s="1882" t="s">
        <v>1627</v>
      </c>
      <c r="E45" s="1882" t="s">
        <v>8720</v>
      </c>
      <c r="F45" s="1882" t="s">
        <v>8700</v>
      </c>
      <c r="G45" s="1882" t="s">
        <v>8784</v>
      </c>
      <c r="H45" s="1882" t="s">
        <v>8785</v>
      </c>
      <c r="I45" s="1882" t="s">
        <v>8786</v>
      </c>
      <c r="J45" s="1882" t="s">
        <v>8519</v>
      </c>
      <c r="K45" s="1882" t="s">
        <v>8509</v>
      </c>
      <c r="L45" s="1882"/>
      <c r="M45" s="1882" t="s">
        <v>2460</v>
      </c>
      <c r="N45" s="1882" t="s">
        <v>8787</v>
      </c>
      <c r="O45" s="1882" t="s">
        <v>8704</v>
      </c>
      <c r="P45" s="1882" t="s">
        <v>8705</v>
      </c>
      <c r="Q45" s="520" t="s">
        <v>8512</v>
      </c>
      <c r="R45" s="1882"/>
      <c r="S45" s="1882" t="s">
        <v>8706</v>
      </c>
      <c r="T45" s="1882" t="s">
        <v>2458</v>
      </c>
      <c r="U45" s="1882" t="s">
        <v>2458</v>
      </c>
      <c r="V45" s="1882" t="s">
        <v>2458</v>
      </c>
      <c r="W45" s="1882" t="s">
        <v>2458</v>
      </c>
      <c r="X45" s="1882" t="s">
        <v>2458</v>
      </c>
      <c r="Y45" s="1882"/>
      <c r="Z45" s="1882"/>
      <c r="AA45" s="1882"/>
      <c r="AB45" s="1882"/>
      <c r="AC45" s="1882"/>
      <c r="AD45" s="1882"/>
      <c r="AE45" s="1882" t="s">
        <v>2459</v>
      </c>
      <c r="AF45" s="1882"/>
      <c r="AG45" s="1882"/>
      <c r="AH45" s="1882">
        <v>4</v>
      </c>
      <c r="AI45" s="1882" t="s">
        <v>2459</v>
      </c>
      <c r="AJ45" s="1882" t="s">
        <v>2459</v>
      </c>
      <c r="AK45" s="1882" t="s">
        <v>2459</v>
      </c>
      <c r="AL45" s="1882" t="s">
        <v>2459</v>
      </c>
      <c r="AM45" s="1882" t="s">
        <v>2459</v>
      </c>
      <c r="AN45" s="1882"/>
      <c r="AO45" s="1882"/>
      <c r="AP45" s="1882"/>
      <c r="AQ45" s="1882"/>
      <c r="AR45" s="1882"/>
      <c r="AS45" s="1882"/>
      <c r="AT45" s="1882"/>
      <c r="AU45" s="1882"/>
      <c r="AV45" s="1882"/>
      <c r="AW45" s="1882"/>
      <c r="AX45" s="1882"/>
      <c r="AY45" s="1882"/>
      <c r="AZ45" s="1882"/>
      <c r="BA45" s="1882"/>
      <c r="BB45" s="1882"/>
      <c r="BC45" s="1882"/>
      <c r="BD45" s="1882"/>
      <c r="BE45" s="1882"/>
      <c r="BF45" s="1882"/>
      <c r="BG45" s="1882"/>
      <c r="BH45" s="1882"/>
      <c r="BI45" s="1882"/>
      <c r="BJ45" s="1882"/>
      <c r="BK45" s="1882"/>
      <c r="BL45" s="1882"/>
      <c r="BM45" s="1882"/>
      <c r="BN45" s="1882">
        <v>1</v>
      </c>
      <c r="BO45" s="1882" t="s">
        <v>8512</v>
      </c>
      <c r="BP45" s="520" t="s">
        <v>8706</v>
      </c>
      <c r="BQ45" s="697" t="s">
        <v>2458</v>
      </c>
      <c r="BR45" s="1882" t="s">
        <v>2459</v>
      </c>
      <c r="BS45" s="1882" t="s">
        <v>8513</v>
      </c>
      <c r="BT45" s="1882">
        <v>0</v>
      </c>
      <c r="BU45" s="1882" t="s">
        <v>8513</v>
      </c>
      <c r="BV45" s="1882">
        <v>0</v>
      </c>
      <c r="BW45" s="1882" t="s">
        <v>2458</v>
      </c>
      <c r="BX45" s="1882" t="s">
        <v>2459</v>
      </c>
      <c r="BY45" s="1882">
        <v>0</v>
      </c>
      <c r="BZ45" s="1882">
        <v>0</v>
      </c>
      <c r="CA45" s="1882">
        <v>0</v>
      </c>
      <c r="CB45" s="1882">
        <v>0</v>
      </c>
      <c r="CC45" s="1882" t="s">
        <v>2458</v>
      </c>
      <c r="CD45" s="1882" t="s">
        <v>2459</v>
      </c>
      <c r="CE45" s="1882">
        <v>0</v>
      </c>
      <c r="CF45" s="1882">
        <v>0</v>
      </c>
      <c r="CG45" s="1882">
        <v>0</v>
      </c>
      <c r="CH45" s="1882">
        <v>0</v>
      </c>
      <c r="CI45" s="1882" t="s">
        <v>2458</v>
      </c>
      <c r="CJ45" s="1882" t="s">
        <v>2459</v>
      </c>
      <c r="CK45" s="1882">
        <v>0</v>
      </c>
      <c r="CL45" s="1882">
        <v>0</v>
      </c>
      <c r="CM45" s="1882">
        <v>0</v>
      </c>
      <c r="CN45" s="1882">
        <v>0</v>
      </c>
      <c r="CP45" s="1882" t="s">
        <v>8788</v>
      </c>
    </row>
    <row r="46" spans="1:94">
      <c r="A46" s="1882" t="s">
        <v>8355</v>
      </c>
      <c r="B46" s="1882" t="s">
        <v>8789</v>
      </c>
      <c r="C46" s="1882" t="s">
        <v>8352</v>
      </c>
      <c r="D46" s="1882" t="s">
        <v>1627</v>
      </c>
      <c r="E46" s="1882" t="s">
        <v>8720</v>
      </c>
      <c r="F46" s="1882" t="s">
        <v>8700</v>
      </c>
      <c r="G46" s="1882" t="s">
        <v>8790</v>
      </c>
      <c r="H46" s="1882" t="s">
        <v>8791</v>
      </c>
      <c r="I46" s="1882" t="s">
        <v>8792</v>
      </c>
      <c r="J46" s="1882" t="s">
        <v>8519</v>
      </c>
      <c r="K46" s="1882" t="s">
        <v>8509</v>
      </c>
      <c r="L46" s="1882"/>
      <c r="M46" s="1882" t="s">
        <v>2460</v>
      </c>
      <c r="N46" s="1882" t="s">
        <v>8787</v>
      </c>
      <c r="O46" s="1882" t="s">
        <v>8704</v>
      </c>
      <c r="P46" s="1882" t="s">
        <v>8705</v>
      </c>
      <c r="Q46" s="520" t="s">
        <v>8512</v>
      </c>
      <c r="R46" s="1882"/>
      <c r="S46" s="1882" t="s">
        <v>8706</v>
      </c>
      <c r="T46" s="1882" t="s">
        <v>2458</v>
      </c>
      <c r="U46" s="1882" t="s">
        <v>2458</v>
      </c>
      <c r="V46" s="1882" t="s">
        <v>2458</v>
      </c>
      <c r="W46" s="1882" t="s">
        <v>2458</v>
      </c>
      <c r="X46" s="1882" t="s">
        <v>2458</v>
      </c>
      <c r="Y46" s="1882"/>
      <c r="Z46" s="1882"/>
      <c r="AA46" s="1882"/>
      <c r="AB46" s="1882"/>
      <c r="AC46" s="1882"/>
      <c r="AD46" s="1882"/>
      <c r="AE46" s="1882" t="s">
        <v>2459</v>
      </c>
      <c r="AF46" s="1882"/>
      <c r="AG46" s="1882"/>
      <c r="AH46" s="1882">
        <v>2</v>
      </c>
      <c r="AI46" s="1882" t="s">
        <v>2459</v>
      </c>
      <c r="AJ46" s="1882" t="s">
        <v>2459</v>
      </c>
      <c r="AK46" s="1882" t="s">
        <v>2459</v>
      </c>
      <c r="AL46" s="1882" t="s">
        <v>2459</v>
      </c>
      <c r="AM46" s="1882" t="s">
        <v>2459</v>
      </c>
      <c r="AN46" s="1882"/>
      <c r="AO46" s="1882"/>
      <c r="AP46" s="1882"/>
      <c r="AQ46" s="1882"/>
      <c r="AR46" s="1882"/>
      <c r="AS46" s="1882"/>
      <c r="AT46" s="1882"/>
      <c r="AU46" s="1882"/>
      <c r="AV46" s="1882"/>
      <c r="AW46" s="1882"/>
      <c r="AX46" s="1882"/>
      <c r="AY46" s="1882"/>
      <c r="AZ46" s="1882"/>
      <c r="BA46" s="1882"/>
      <c r="BB46" s="1882"/>
      <c r="BC46" s="1882"/>
      <c r="BD46" s="1882"/>
      <c r="BE46" s="1882"/>
      <c r="BF46" s="1882"/>
      <c r="BG46" s="1882"/>
      <c r="BH46" s="1882"/>
      <c r="BI46" s="1882"/>
      <c r="BJ46" s="1882"/>
      <c r="BK46" s="1882"/>
      <c r="BL46" s="1882"/>
      <c r="BM46" s="1882"/>
      <c r="BN46" s="1882">
        <v>1</v>
      </c>
      <c r="BO46" s="1882" t="s">
        <v>8512</v>
      </c>
      <c r="BP46" s="520" t="s">
        <v>8706</v>
      </c>
      <c r="BQ46" s="697" t="s">
        <v>2458</v>
      </c>
      <c r="BR46" s="1882" t="s">
        <v>2459</v>
      </c>
      <c r="BS46" s="1882" t="s">
        <v>8513</v>
      </c>
      <c r="BT46" s="1882">
        <v>0</v>
      </c>
      <c r="BU46" s="1882" t="s">
        <v>8513</v>
      </c>
      <c r="BV46" s="1882">
        <v>0</v>
      </c>
      <c r="BW46" s="1882" t="s">
        <v>2458</v>
      </c>
      <c r="BX46" s="1882" t="s">
        <v>2459</v>
      </c>
      <c r="BY46" s="1882">
        <v>0</v>
      </c>
      <c r="BZ46" s="1882">
        <v>0</v>
      </c>
      <c r="CA46" s="1882">
        <v>0</v>
      </c>
      <c r="CB46" s="1882">
        <v>0</v>
      </c>
      <c r="CC46" s="1882" t="s">
        <v>2458</v>
      </c>
      <c r="CD46" s="1882" t="s">
        <v>2459</v>
      </c>
      <c r="CE46" s="1882">
        <v>0</v>
      </c>
      <c r="CF46" s="1882">
        <v>0</v>
      </c>
      <c r="CG46" s="1882">
        <v>0</v>
      </c>
      <c r="CH46" s="1882">
        <v>0</v>
      </c>
      <c r="CI46" s="1882" t="s">
        <v>2458</v>
      </c>
      <c r="CJ46" s="1882" t="s">
        <v>2459</v>
      </c>
      <c r="CK46" s="1882">
        <v>0</v>
      </c>
      <c r="CL46" s="1882">
        <v>0</v>
      </c>
      <c r="CM46" s="1882">
        <v>0</v>
      </c>
      <c r="CN46" s="1882">
        <v>0</v>
      </c>
      <c r="CP46" s="1882" t="s">
        <v>8793</v>
      </c>
    </row>
    <row r="47" spans="1:94" ht="19">
      <c r="A47" s="1882" t="s">
        <v>8355</v>
      </c>
      <c r="B47" s="1882" t="s">
        <v>8794</v>
      </c>
      <c r="C47" s="1882" t="s">
        <v>8352</v>
      </c>
      <c r="D47" s="1882" t="s">
        <v>8584</v>
      </c>
      <c r="E47" s="1882" t="s">
        <v>8585</v>
      </c>
      <c r="F47" s="1882" t="s">
        <v>8604</v>
      </c>
      <c r="G47" s="1882" t="s">
        <v>8587</v>
      </c>
      <c r="H47" s="1882" t="s">
        <v>8795</v>
      </c>
      <c r="I47" s="1882" t="s">
        <v>8796</v>
      </c>
      <c r="J47" s="1882" t="s">
        <v>8539</v>
      </c>
      <c r="K47" s="1882"/>
      <c r="L47" s="1882"/>
      <c r="M47" s="1882"/>
      <c r="N47" s="1882" t="s">
        <v>8590</v>
      </c>
      <c r="O47" s="1882" t="s">
        <v>8797</v>
      </c>
      <c r="P47" s="1882" t="s">
        <v>8798</v>
      </c>
      <c r="Q47" s="520" t="s">
        <v>8512</v>
      </c>
      <c r="R47" s="1882"/>
      <c r="S47" s="1882" t="s">
        <v>8799</v>
      </c>
      <c r="T47" s="1882" t="s">
        <v>8799</v>
      </c>
      <c r="U47" s="1882" t="s">
        <v>8799</v>
      </c>
      <c r="V47" s="1882" t="s">
        <v>8799</v>
      </c>
      <c r="W47" s="1882" t="s">
        <v>8799</v>
      </c>
      <c r="X47" s="1882" t="s">
        <v>8799</v>
      </c>
      <c r="Y47" s="1882"/>
      <c r="Z47" s="1882"/>
      <c r="AA47" s="1882"/>
      <c r="AB47" s="1882"/>
      <c r="AC47" s="1882"/>
      <c r="AD47" s="1882"/>
      <c r="AE47" s="1882"/>
      <c r="AF47" s="1882"/>
      <c r="AG47" s="1882"/>
      <c r="AH47" s="1882">
        <v>0</v>
      </c>
      <c r="AI47" s="1882"/>
      <c r="AJ47" s="1882"/>
      <c r="AK47" s="1882"/>
      <c r="AL47" s="1882"/>
      <c r="AM47" s="1882"/>
      <c r="AN47" s="1882"/>
      <c r="AO47" s="1882"/>
      <c r="AP47" s="1882"/>
      <c r="AQ47" s="1882"/>
      <c r="AR47" s="1882"/>
      <c r="AS47" s="1882"/>
      <c r="AT47" s="1882"/>
      <c r="AU47" s="1882"/>
      <c r="AV47" s="1882"/>
      <c r="AW47" s="1882"/>
      <c r="AX47" s="1882"/>
      <c r="AY47" s="1882"/>
      <c r="AZ47" s="1882"/>
      <c r="BA47" s="1882"/>
      <c r="BB47" s="1882"/>
      <c r="BC47" s="1882"/>
      <c r="BD47" s="1882"/>
      <c r="BE47" s="1882"/>
      <c r="BF47" s="1882"/>
      <c r="BG47" s="1882"/>
      <c r="BH47" s="1882"/>
      <c r="BI47" s="1882"/>
      <c r="BJ47" s="1882"/>
      <c r="BK47" s="1882"/>
      <c r="BL47" s="1882"/>
      <c r="BM47" s="1882"/>
      <c r="BN47" s="1882"/>
      <c r="BO47" s="1882"/>
      <c r="BP47" s="520" t="s">
        <v>3514</v>
      </c>
      <c r="BQ47" s="699" t="s">
        <v>8800</v>
      </c>
      <c r="BR47" s="1882" t="s">
        <v>2459</v>
      </c>
      <c r="BS47" s="1882" t="s">
        <v>8513</v>
      </c>
      <c r="BT47" s="1882">
        <v>0</v>
      </c>
      <c r="BU47" s="1882" t="s">
        <v>8513</v>
      </c>
      <c r="BV47" s="1882">
        <v>0</v>
      </c>
      <c r="BW47" s="1882" t="s">
        <v>8801</v>
      </c>
      <c r="BX47" s="1882" t="s">
        <v>2460</v>
      </c>
      <c r="BY47" s="1882">
        <v>0</v>
      </c>
      <c r="BZ47" s="1882">
        <v>0</v>
      </c>
      <c r="CA47" s="1882">
        <v>0</v>
      </c>
      <c r="CB47" s="1882">
        <v>0</v>
      </c>
      <c r="CC47" s="1882" t="s">
        <v>8802</v>
      </c>
      <c r="CD47" s="1882" t="s">
        <v>2459</v>
      </c>
      <c r="CE47" s="1882">
        <v>0</v>
      </c>
      <c r="CF47" s="1882">
        <v>0</v>
      </c>
      <c r="CG47" s="1882">
        <v>0</v>
      </c>
      <c r="CH47" s="1882">
        <v>0</v>
      </c>
      <c r="CI47" s="1882" t="s">
        <v>8802</v>
      </c>
      <c r="CJ47" s="1882" t="s">
        <v>2459</v>
      </c>
      <c r="CK47" s="1882">
        <v>0</v>
      </c>
      <c r="CL47" s="1882">
        <v>0</v>
      </c>
      <c r="CM47" s="1882">
        <v>0</v>
      </c>
      <c r="CN47" s="1882">
        <v>0</v>
      </c>
      <c r="CP47" s="1882" t="s">
        <v>8803</v>
      </c>
    </row>
    <row r="48" spans="1:94">
      <c r="A48" s="1882" t="s">
        <v>8355</v>
      </c>
      <c r="B48" s="1882" t="s">
        <v>8804</v>
      </c>
      <c r="C48" s="1882" t="s">
        <v>8352</v>
      </c>
      <c r="D48" s="1882" t="s">
        <v>8584</v>
      </c>
      <c r="E48" s="1882" t="s">
        <v>8585</v>
      </c>
      <c r="F48" s="1882" t="s">
        <v>8604</v>
      </c>
      <c r="G48" s="1882" t="s">
        <v>8596</v>
      </c>
      <c r="H48" s="1882" t="s">
        <v>8805</v>
      </c>
      <c r="I48" s="1882" t="s">
        <v>8806</v>
      </c>
      <c r="J48" s="1882" t="s">
        <v>8508</v>
      </c>
      <c r="K48" s="1882" t="s">
        <v>8509</v>
      </c>
      <c r="L48" s="1882"/>
      <c r="M48" s="1882" t="s">
        <v>2460</v>
      </c>
      <c r="N48" s="1882" t="s">
        <v>8590</v>
      </c>
      <c r="O48" s="1882" t="s">
        <v>8591</v>
      </c>
      <c r="P48" s="1882" t="s">
        <v>8592</v>
      </c>
      <c r="Q48" s="520">
        <v>0</v>
      </c>
      <c r="R48" s="1882" t="s">
        <v>8549</v>
      </c>
      <c r="S48" s="1882">
        <v>85</v>
      </c>
      <c r="T48" s="1882" t="s">
        <v>8593</v>
      </c>
      <c r="U48" s="1882" t="s">
        <v>8593</v>
      </c>
      <c r="V48" s="1882" t="s">
        <v>8593</v>
      </c>
      <c r="W48" s="1882" t="s">
        <v>8593</v>
      </c>
      <c r="X48" s="1882" t="s">
        <v>8593</v>
      </c>
      <c r="Y48" s="1882"/>
      <c r="Z48" s="1882"/>
      <c r="AA48" s="1882"/>
      <c r="AB48" s="1882"/>
      <c r="AC48" s="1882"/>
      <c r="AD48" s="1882"/>
      <c r="AE48" s="1882"/>
      <c r="AF48" s="1882"/>
      <c r="AG48" s="1882"/>
      <c r="AH48" s="1882">
        <v>0</v>
      </c>
      <c r="AI48" s="1882" t="s">
        <v>2459</v>
      </c>
      <c r="AJ48" s="1882" t="s">
        <v>2459</v>
      </c>
      <c r="AK48" s="1882" t="s">
        <v>2459</v>
      </c>
      <c r="AL48" s="1882" t="s">
        <v>2459</v>
      </c>
      <c r="AM48" s="1882" t="s">
        <v>2459</v>
      </c>
      <c r="AN48" s="1882" t="s">
        <v>8593</v>
      </c>
      <c r="AO48" s="1882" t="s">
        <v>8593</v>
      </c>
      <c r="AP48" s="1882" t="s">
        <v>8593</v>
      </c>
      <c r="AQ48" s="1882" t="s">
        <v>8593</v>
      </c>
      <c r="AR48" s="1882" t="s">
        <v>8593</v>
      </c>
      <c r="AS48" s="1882" t="s">
        <v>8593</v>
      </c>
      <c r="AT48" s="1882" t="s">
        <v>8593</v>
      </c>
      <c r="AU48" s="1882" t="s">
        <v>8593</v>
      </c>
      <c r="AV48" s="1882" t="s">
        <v>8593</v>
      </c>
      <c r="AW48" s="1882" t="s">
        <v>8593</v>
      </c>
      <c r="AX48" s="1882" t="s">
        <v>8593</v>
      </c>
      <c r="AY48" s="1882" t="s">
        <v>8593</v>
      </c>
      <c r="AZ48" s="1882" t="s">
        <v>8593</v>
      </c>
      <c r="BA48" s="1882" t="s">
        <v>8593</v>
      </c>
      <c r="BB48" s="1882" t="s">
        <v>8593</v>
      </c>
      <c r="BC48" s="1882" t="s">
        <v>8593</v>
      </c>
      <c r="BD48" s="1882" t="s">
        <v>8593</v>
      </c>
      <c r="BE48" s="1882" t="s">
        <v>8593</v>
      </c>
      <c r="BF48" s="1882" t="s">
        <v>8593</v>
      </c>
      <c r="BG48" s="1882" t="s">
        <v>8593</v>
      </c>
      <c r="BH48" s="1882" t="s">
        <v>8593</v>
      </c>
      <c r="BI48" s="1882"/>
      <c r="BJ48" s="1882"/>
      <c r="BK48" s="1882"/>
      <c r="BL48" s="1882" t="s">
        <v>8593</v>
      </c>
      <c r="BM48" s="1882"/>
      <c r="BN48" s="1882">
        <v>1</v>
      </c>
      <c r="BO48" s="1882" t="s">
        <v>8512</v>
      </c>
      <c r="BP48" s="520" t="s">
        <v>3514</v>
      </c>
      <c r="BQ48" s="697">
        <v>85</v>
      </c>
      <c r="BR48" s="1882" t="s">
        <v>8513</v>
      </c>
      <c r="BS48" s="1882" t="s">
        <v>8513</v>
      </c>
      <c r="BT48" s="1882">
        <v>0</v>
      </c>
      <c r="BU48" s="1882" t="s">
        <v>8513</v>
      </c>
      <c r="BV48" s="1882">
        <v>0</v>
      </c>
      <c r="BW48" s="1882">
        <v>86</v>
      </c>
      <c r="BX48" s="1882" t="s">
        <v>2451</v>
      </c>
      <c r="BY48" s="1882">
        <v>0</v>
      </c>
      <c r="BZ48" s="1882">
        <v>0</v>
      </c>
      <c r="CA48" s="1882">
        <v>0</v>
      </c>
      <c r="CB48" s="1882">
        <v>0</v>
      </c>
      <c r="CC48" s="1882">
        <v>88</v>
      </c>
      <c r="CD48" s="1882" t="s">
        <v>2451</v>
      </c>
      <c r="CE48" s="1882">
        <v>0</v>
      </c>
      <c r="CF48" s="1882">
        <v>0</v>
      </c>
      <c r="CG48" s="1882">
        <v>0</v>
      </c>
      <c r="CH48" s="1882">
        <v>0</v>
      </c>
      <c r="CI48" s="1882">
        <v>90</v>
      </c>
      <c r="CJ48" s="1882" t="s">
        <v>2451</v>
      </c>
      <c r="CK48" s="1882">
        <v>0</v>
      </c>
      <c r="CL48" s="1882">
        <v>0</v>
      </c>
      <c r="CM48" s="1882">
        <v>0</v>
      </c>
      <c r="CN48" s="1882">
        <v>0</v>
      </c>
      <c r="CP48" s="1882" t="s">
        <v>8807</v>
      </c>
    </row>
    <row r="49" spans="1:94">
      <c r="A49" s="1882" t="s">
        <v>8355</v>
      </c>
      <c r="B49" s="1882" t="s">
        <v>8808</v>
      </c>
      <c r="C49" s="1882" t="s">
        <v>8352</v>
      </c>
      <c r="D49" s="1882" t="s">
        <v>8584</v>
      </c>
      <c r="E49" s="1882" t="s">
        <v>8585</v>
      </c>
      <c r="F49" s="1882" t="s">
        <v>8604</v>
      </c>
      <c r="G49" s="1882" t="s">
        <v>8809</v>
      </c>
      <c r="H49" s="1882" t="s">
        <v>8810</v>
      </c>
      <c r="I49" s="1882" t="s">
        <v>8811</v>
      </c>
      <c r="J49" s="1882" t="s">
        <v>8539</v>
      </c>
      <c r="K49" s="1882"/>
      <c r="L49" s="1882"/>
      <c r="M49" s="1882"/>
      <c r="N49" s="1882" t="s">
        <v>8695</v>
      </c>
      <c r="O49" s="1882" t="s">
        <v>8812</v>
      </c>
      <c r="P49" s="1882" t="s">
        <v>8813</v>
      </c>
      <c r="Q49" s="520" t="s">
        <v>8512</v>
      </c>
      <c r="R49" s="1882"/>
      <c r="S49" s="1882" t="s">
        <v>8814</v>
      </c>
      <c r="T49" s="1882"/>
      <c r="U49" s="1882"/>
      <c r="V49" s="1882"/>
      <c r="W49" s="1882"/>
      <c r="X49" s="1882" t="s">
        <v>8815</v>
      </c>
      <c r="Y49" s="1882"/>
      <c r="Z49" s="1882"/>
      <c r="AA49" s="1882"/>
      <c r="AB49" s="1882"/>
      <c r="AC49" s="1882"/>
      <c r="AD49" s="1882"/>
      <c r="AE49" s="1882"/>
      <c r="AF49" s="1882"/>
      <c r="AG49" s="1882"/>
      <c r="AH49" s="1882">
        <v>0</v>
      </c>
      <c r="AI49" s="1882"/>
      <c r="AJ49" s="1882"/>
      <c r="AK49" s="1882"/>
      <c r="AL49" s="1882"/>
      <c r="AM49" s="1882"/>
      <c r="AN49" s="1882"/>
      <c r="AO49" s="1882"/>
      <c r="AP49" s="1882"/>
      <c r="AQ49" s="1882"/>
      <c r="AR49" s="1882"/>
      <c r="AS49" s="1882"/>
      <c r="AT49" s="1882"/>
      <c r="AU49" s="1882"/>
      <c r="AV49" s="1882"/>
      <c r="AW49" s="1882"/>
      <c r="AX49" s="1882"/>
      <c r="AY49" s="1882"/>
      <c r="AZ49" s="1882"/>
      <c r="BA49" s="1882"/>
      <c r="BB49" s="1882"/>
      <c r="BC49" s="1882"/>
      <c r="BD49" s="1882"/>
      <c r="BE49" s="1882"/>
      <c r="BF49" s="1882"/>
      <c r="BG49" s="1882"/>
      <c r="BH49" s="1882"/>
      <c r="BI49" s="1882"/>
      <c r="BJ49" s="1882"/>
      <c r="BK49" s="1882"/>
      <c r="BL49" s="1882"/>
      <c r="BM49" s="1882"/>
      <c r="BN49" s="1882"/>
      <c r="BO49" s="1882"/>
      <c r="BP49" s="520" t="s">
        <v>8814</v>
      </c>
      <c r="BQ49" s="700" t="s">
        <v>8816</v>
      </c>
      <c r="BR49" s="1882" t="s">
        <v>8513</v>
      </c>
      <c r="BS49" s="1882" t="s">
        <v>8513</v>
      </c>
      <c r="BT49" s="1882">
        <v>0</v>
      </c>
      <c r="BU49" s="1882" t="s">
        <v>8513</v>
      </c>
      <c r="BV49" s="1882">
        <v>0</v>
      </c>
      <c r="BW49" s="1882" t="s">
        <v>8817</v>
      </c>
      <c r="BX49" s="1882" t="s">
        <v>2451</v>
      </c>
      <c r="BY49" s="1882">
        <v>0</v>
      </c>
      <c r="BZ49" s="1882">
        <v>0</v>
      </c>
      <c r="CA49" s="1882">
        <v>0</v>
      </c>
      <c r="CB49" s="1882">
        <v>0</v>
      </c>
      <c r="CC49" s="1882" t="s">
        <v>8818</v>
      </c>
      <c r="CD49" s="1882" t="s">
        <v>2451</v>
      </c>
      <c r="CE49" s="1882">
        <v>0</v>
      </c>
      <c r="CF49" s="1882">
        <v>0</v>
      </c>
      <c r="CG49" s="1882">
        <v>0</v>
      </c>
      <c r="CH49" s="1882">
        <v>0</v>
      </c>
      <c r="CI49" s="1882" t="s">
        <v>8819</v>
      </c>
      <c r="CJ49" s="1882" t="s">
        <v>2451</v>
      </c>
      <c r="CK49" s="1882">
        <v>0</v>
      </c>
      <c r="CL49" s="1882">
        <v>0</v>
      </c>
      <c r="CM49" s="1882">
        <v>0</v>
      </c>
      <c r="CN49" s="1882">
        <v>0</v>
      </c>
      <c r="CP49" s="1882" t="s">
        <v>8820</v>
      </c>
    </row>
    <row r="50" spans="1:94">
      <c r="A50" s="1882" t="s">
        <v>8355</v>
      </c>
      <c r="B50" s="1882" t="s">
        <v>8821</v>
      </c>
      <c r="C50" s="1882" t="s">
        <v>8352</v>
      </c>
      <c r="D50" s="1882" t="s">
        <v>8584</v>
      </c>
      <c r="E50" s="1882" t="s">
        <v>8585</v>
      </c>
      <c r="F50" s="1882" t="s">
        <v>8620</v>
      </c>
      <c r="G50" s="1882" t="s">
        <v>8822</v>
      </c>
      <c r="H50" s="1882" t="s">
        <v>8823</v>
      </c>
      <c r="I50" s="1882" t="s">
        <v>8824</v>
      </c>
      <c r="J50" s="1882" t="s">
        <v>8508</v>
      </c>
      <c r="K50" s="1882" t="s">
        <v>8509</v>
      </c>
      <c r="L50" s="1882"/>
      <c r="M50" s="1882"/>
      <c r="N50" s="1882" t="s">
        <v>8599</v>
      </c>
      <c r="O50" s="1882" t="s">
        <v>732</v>
      </c>
      <c r="P50" s="1882" t="s">
        <v>8623</v>
      </c>
      <c r="Q50" s="520">
        <v>0</v>
      </c>
      <c r="R50" s="1882" t="s">
        <v>8549</v>
      </c>
      <c r="S50" s="1882">
        <v>0</v>
      </c>
      <c r="T50" s="1882">
        <v>0</v>
      </c>
      <c r="U50" s="1882">
        <v>0</v>
      </c>
      <c r="V50" s="1882">
        <v>0</v>
      </c>
      <c r="W50" s="1882">
        <v>0</v>
      </c>
      <c r="X50" s="1882">
        <v>0</v>
      </c>
      <c r="Y50" s="1882"/>
      <c r="Z50" s="1882"/>
      <c r="AA50" s="1882"/>
      <c r="AB50" s="1882"/>
      <c r="AC50" s="1882"/>
      <c r="AD50" s="1882"/>
      <c r="AE50" s="1882"/>
      <c r="AF50" s="1882"/>
      <c r="AG50" s="1882"/>
      <c r="AH50" s="1882">
        <v>0</v>
      </c>
      <c r="AI50" s="1882" t="s">
        <v>2459</v>
      </c>
      <c r="AJ50" s="1882" t="s">
        <v>2459</v>
      </c>
      <c r="AK50" s="1882" t="s">
        <v>2459</v>
      </c>
      <c r="AL50" s="1882" t="s">
        <v>2459</v>
      </c>
      <c r="AM50" s="1882" t="s">
        <v>2459</v>
      </c>
      <c r="AN50" s="1882">
        <v>-20</v>
      </c>
      <c r="AO50" s="1882">
        <v>-20</v>
      </c>
      <c r="AP50" s="1882">
        <v>-20</v>
      </c>
      <c r="AQ50" s="1882">
        <v>-20</v>
      </c>
      <c r="AR50" s="1882">
        <v>-20</v>
      </c>
      <c r="AS50" s="1882">
        <v>0</v>
      </c>
      <c r="AT50" s="1882">
        <v>0</v>
      </c>
      <c r="AU50" s="1882">
        <v>0</v>
      </c>
      <c r="AV50" s="1882">
        <v>0</v>
      </c>
      <c r="AW50" s="1882">
        <v>0</v>
      </c>
      <c r="AX50" s="1882">
        <v>0</v>
      </c>
      <c r="AY50" s="1882">
        <v>0</v>
      </c>
      <c r="AZ50" s="1882">
        <v>0</v>
      </c>
      <c r="BA50" s="1882">
        <v>0</v>
      </c>
      <c r="BB50" s="1882">
        <v>0</v>
      </c>
      <c r="BC50" s="1882">
        <v>20</v>
      </c>
      <c r="BD50" s="1882">
        <v>20</v>
      </c>
      <c r="BE50" s="1882">
        <v>20</v>
      </c>
      <c r="BF50" s="1882">
        <v>20</v>
      </c>
      <c r="BG50" s="1882">
        <v>20</v>
      </c>
      <c r="BH50" s="1882">
        <v>2.5000000000000001E-2</v>
      </c>
      <c r="BI50" s="1882"/>
      <c r="BJ50" s="1882"/>
      <c r="BK50" s="1882"/>
      <c r="BL50" s="1882">
        <v>2.5000000000000001E-2</v>
      </c>
      <c r="BM50" s="1882"/>
      <c r="BN50" s="1882">
        <v>1</v>
      </c>
      <c r="BO50" s="1882" t="s">
        <v>8512</v>
      </c>
      <c r="BP50" s="520">
        <v>3</v>
      </c>
      <c r="BQ50" s="695">
        <v>5</v>
      </c>
      <c r="BR50" s="1882" t="s">
        <v>2459</v>
      </c>
      <c r="BS50" s="1882" t="s">
        <v>8513</v>
      </c>
      <c r="BT50" s="1882">
        <v>0</v>
      </c>
      <c r="BU50" s="1882" t="s">
        <v>8376</v>
      </c>
      <c r="BV50" s="1882">
        <v>0.125</v>
      </c>
      <c r="BW50" s="1882">
        <v>3</v>
      </c>
      <c r="BX50" s="1882" t="s">
        <v>2459</v>
      </c>
      <c r="BY50" s="1882">
        <v>0</v>
      </c>
      <c r="BZ50" s="1882">
        <v>0</v>
      </c>
      <c r="CA50" s="1882" t="s">
        <v>8376</v>
      </c>
      <c r="CB50" s="1882">
        <v>7.4999999999999997E-2</v>
      </c>
      <c r="CC50" s="1882">
        <v>9</v>
      </c>
      <c r="CD50" s="1882" t="s">
        <v>2459</v>
      </c>
      <c r="CE50" s="1882">
        <v>0</v>
      </c>
      <c r="CF50" s="1882">
        <v>0</v>
      </c>
      <c r="CG50" s="1882" t="s">
        <v>8376</v>
      </c>
      <c r="CH50" s="1882">
        <v>0.22500000000000001</v>
      </c>
      <c r="CI50" s="1882">
        <v>2</v>
      </c>
      <c r="CJ50" s="1882" t="s">
        <v>2459</v>
      </c>
      <c r="CK50" s="1882">
        <v>0</v>
      </c>
      <c r="CL50" s="1882">
        <v>0</v>
      </c>
      <c r="CM50" s="1882" t="s">
        <v>8376</v>
      </c>
      <c r="CN50" s="1882">
        <v>0.05</v>
      </c>
      <c r="CP50" s="1882" t="s">
        <v>8825</v>
      </c>
    </row>
    <row r="51" spans="1:94">
      <c r="A51" s="1882" t="s">
        <v>8355</v>
      </c>
      <c r="B51" s="1882" t="s">
        <v>8826</v>
      </c>
      <c r="C51" s="1882" t="s">
        <v>8352</v>
      </c>
      <c r="D51" s="1882" t="s">
        <v>8584</v>
      </c>
      <c r="E51" s="1882" t="s">
        <v>8585</v>
      </c>
      <c r="F51" s="1882" t="s">
        <v>8620</v>
      </c>
      <c r="G51" s="1882" t="s">
        <v>8827</v>
      </c>
      <c r="H51" s="1882" t="s">
        <v>8828</v>
      </c>
      <c r="I51" s="1882" t="s">
        <v>8829</v>
      </c>
      <c r="J51" s="1882" t="s">
        <v>8508</v>
      </c>
      <c r="K51" s="1882" t="s">
        <v>8509</v>
      </c>
      <c r="L51" s="1882"/>
      <c r="M51" s="1882"/>
      <c r="N51" s="1882" t="s">
        <v>8599</v>
      </c>
      <c r="O51" s="1882" t="s">
        <v>732</v>
      </c>
      <c r="P51" s="1882" t="s">
        <v>8623</v>
      </c>
      <c r="Q51" s="520">
        <v>0</v>
      </c>
      <c r="R51" s="1882" t="s">
        <v>8549</v>
      </c>
      <c r="S51" s="1882">
        <v>0</v>
      </c>
      <c r="T51" s="1882">
        <v>0</v>
      </c>
      <c r="U51" s="1882">
        <v>0</v>
      </c>
      <c r="V51" s="1882">
        <v>0</v>
      </c>
      <c r="W51" s="1882">
        <v>0</v>
      </c>
      <c r="X51" s="1882">
        <v>0</v>
      </c>
      <c r="Y51" s="1882"/>
      <c r="Z51" s="1882"/>
      <c r="AA51" s="1882"/>
      <c r="AB51" s="1882"/>
      <c r="AC51" s="1882"/>
      <c r="AD51" s="1882"/>
      <c r="AE51" s="1882"/>
      <c r="AF51" s="1882"/>
      <c r="AG51" s="1882"/>
      <c r="AH51" s="1882">
        <v>0</v>
      </c>
      <c r="AI51" s="1882" t="s">
        <v>2459</v>
      </c>
      <c r="AJ51" s="1882" t="s">
        <v>2459</v>
      </c>
      <c r="AK51" s="1882" t="s">
        <v>2459</v>
      </c>
      <c r="AL51" s="1882" t="s">
        <v>2459</v>
      </c>
      <c r="AM51" s="1882" t="s">
        <v>2459</v>
      </c>
      <c r="AN51" s="1882">
        <v>-20</v>
      </c>
      <c r="AO51" s="1882">
        <v>-20</v>
      </c>
      <c r="AP51" s="1882">
        <v>-20</v>
      </c>
      <c r="AQ51" s="1882">
        <v>-20</v>
      </c>
      <c r="AR51" s="1882">
        <v>-20</v>
      </c>
      <c r="AS51" s="1882">
        <v>0</v>
      </c>
      <c r="AT51" s="1882">
        <v>0</v>
      </c>
      <c r="AU51" s="1882">
        <v>0</v>
      </c>
      <c r="AV51" s="1882">
        <v>0</v>
      </c>
      <c r="AW51" s="1882">
        <v>0</v>
      </c>
      <c r="AX51" s="1882">
        <v>0</v>
      </c>
      <c r="AY51" s="1882">
        <v>0</v>
      </c>
      <c r="AZ51" s="1882">
        <v>0</v>
      </c>
      <c r="BA51" s="1882">
        <v>0</v>
      </c>
      <c r="BB51" s="1882">
        <v>0</v>
      </c>
      <c r="BC51" s="1882">
        <v>20</v>
      </c>
      <c r="BD51" s="1882">
        <v>20</v>
      </c>
      <c r="BE51" s="1882">
        <v>20</v>
      </c>
      <c r="BF51" s="1882">
        <v>20</v>
      </c>
      <c r="BG51" s="1882">
        <v>20</v>
      </c>
      <c r="BH51" s="1882">
        <v>2.5000000000000001E-2</v>
      </c>
      <c r="BI51" s="1882"/>
      <c r="BJ51" s="1882"/>
      <c r="BK51" s="1882"/>
      <c r="BL51" s="1882">
        <v>2.5000000000000001E-2</v>
      </c>
      <c r="BM51" s="1882"/>
      <c r="BN51" s="1882">
        <v>1</v>
      </c>
      <c r="BO51" s="1882" t="s">
        <v>8512</v>
      </c>
      <c r="BP51" s="520">
        <v>4</v>
      </c>
      <c r="BQ51" s="695">
        <v>6</v>
      </c>
      <c r="BR51" s="1882" t="s">
        <v>2459</v>
      </c>
      <c r="BS51" s="1882" t="s">
        <v>8513</v>
      </c>
      <c r="BT51" s="1882">
        <v>0</v>
      </c>
      <c r="BU51" s="1882" t="s">
        <v>8376</v>
      </c>
      <c r="BV51" s="1882">
        <v>0.15</v>
      </c>
      <c r="BW51" s="1882">
        <v>4</v>
      </c>
      <c r="BX51" s="1882" t="s">
        <v>2459</v>
      </c>
      <c r="BY51" s="1882">
        <v>0</v>
      </c>
      <c r="BZ51" s="1882">
        <v>0</v>
      </c>
      <c r="CA51" s="1882" t="s">
        <v>8376</v>
      </c>
      <c r="CB51" s="1882">
        <v>0.1</v>
      </c>
      <c r="CC51" s="1882">
        <v>10</v>
      </c>
      <c r="CD51" s="1882" t="s">
        <v>2459</v>
      </c>
      <c r="CE51" s="1882">
        <v>0</v>
      </c>
      <c r="CF51" s="1882">
        <v>0</v>
      </c>
      <c r="CG51" s="1882" t="s">
        <v>8376</v>
      </c>
      <c r="CH51" s="1882">
        <v>0.25</v>
      </c>
      <c r="CI51" s="1882">
        <v>2</v>
      </c>
      <c r="CJ51" s="1882" t="s">
        <v>2459</v>
      </c>
      <c r="CK51" s="1882">
        <v>0</v>
      </c>
      <c r="CL51" s="1882">
        <v>0</v>
      </c>
      <c r="CM51" s="1882" t="s">
        <v>8376</v>
      </c>
      <c r="CN51" s="1882">
        <v>0.05</v>
      </c>
      <c r="CP51" s="1882" t="s">
        <v>8830</v>
      </c>
    </row>
    <row r="52" spans="1:94">
      <c r="A52" s="1882" t="s">
        <v>8355</v>
      </c>
      <c r="B52" s="1882" t="s">
        <v>8831</v>
      </c>
      <c r="C52" s="1882" t="s">
        <v>8352</v>
      </c>
      <c r="D52" s="1882" t="s">
        <v>8584</v>
      </c>
      <c r="E52" s="1882" t="s">
        <v>8585</v>
      </c>
      <c r="F52" s="1882" t="s">
        <v>8677</v>
      </c>
      <c r="G52" s="1882" t="s">
        <v>8832</v>
      </c>
      <c r="H52" s="1882" t="s">
        <v>8833</v>
      </c>
      <c r="I52" s="1882" t="s">
        <v>8834</v>
      </c>
      <c r="J52" s="1882" t="s">
        <v>8539</v>
      </c>
      <c r="K52" s="1882"/>
      <c r="L52" s="1882"/>
      <c r="M52" s="1882"/>
      <c r="N52" s="1882" t="s">
        <v>8681</v>
      </c>
      <c r="O52" s="1882" t="s">
        <v>732</v>
      </c>
      <c r="P52" s="1882" t="s">
        <v>8682</v>
      </c>
      <c r="Q52" s="520">
        <v>0</v>
      </c>
      <c r="R52" s="1882" t="s">
        <v>8549</v>
      </c>
      <c r="S52" s="1882">
        <v>0</v>
      </c>
      <c r="T52" s="1882"/>
      <c r="U52" s="1882"/>
      <c r="V52" s="1882"/>
      <c r="W52" s="1882"/>
      <c r="X52" s="1882">
        <v>7</v>
      </c>
      <c r="Y52" s="1882"/>
      <c r="Z52" s="1882"/>
      <c r="AA52" s="1882"/>
      <c r="AB52" s="1882"/>
      <c r="AC52" s="1882"/>
      <c r="AD52" s="1882"/>
      <c r="AE52" s="1882"/>
      <c r="AF52" s="1882"/>
      <c r="AG52" s="1882"/>
      <c r="AH52" s="1882">
        <v>0</v>
      </c>
      <c r="AI52" s="1882"/>
      <c r="AJ52" s="1882"/>
      <c r="AK52" s="1882"/>
      <c r="AL52" s="1882"/>
      <c r="AM52" s="1882"/>
      <c r="AN52" s="1882"/>
      <c r="AO52" s="1882"/>
      <c r="AP52" s="1882"/>
      <c r="AQ52" s="1882"/>
      <c r="AR52" s="1882"/>
      <c r="AS52" s="1882"/>
      <c r="AT52" s="1882"/>
      <c r="AU52" s="1882"/>
      <c r="AV52" s="1882"/>
      <c r="AW52" s="1882"/>
      <c r="AX52" s="1882"/>
      <c r="AY52" s="1882"/>
      <c r="AZ52" s="1882"/>
      <c r="BA52" s="1882"/>
      <c r="BB52" s="1882"/>
      <c r="BC52" s="1882"/>
      <c r="BD52" s="1882"/>
      <c r="BE52" s="1882"/>
      <c r="BF52" s="1882"/>
      <c r="BG52" s="1882"/>
      <c r="BH52" s="1882"/>
      <c r="BI52" s="1882"/>
      <c r="BJ52" s="1882"/>
      <c r="BK52" s="1882"/>
      <c r="BL52" s="1882"/>
      <c r="BM52" s="1882"/>
      <c r="BN52" s="1882"/>
      <c r="BO52" s="1882"/>
      <c r="BP52" s="520">
        <v>0</v>
      </c>
      <c r="BQ52" s="695">
        <v>5</v>
      </c>
      <c r="BR52" s="1882" t="s">
        <v>8513</v>
      </c>
      <c r="BS52" s="1882" t="s">
        <v>8513</v>
      </c>
      <c r="BT52" s="1882">
        <v>0</v>
      </c>
      <c r="BU52" s="1882" t="s">
        <v>8513</v>
      </c>
      <c r="BV52" s="1882">
        <v>0</v>
      </c>
      <c r="BW52" s="1882">
        <v>11</v>
      </c>
      <c r="BX52" s="1882" t="s">
        <v>2451</v>
      </c>
      <c r="BY52" s="1882">
        <v>0</v>
      </c>
      <c r="BZ52" s="1882">
        <v>0</v>
      </c>
      <c r="CA52" s="1882">
        <v>0</v>
      </c>
      <c r="CB52" s="1882">
        <v>0</v>
      </c>
      <c r="CC52" s="1882">
        <v>19.600000000000001</v>
      </c>
      <c r="CD52" s="1882" t="s">
        <v>2451</v>
      </c>
      <c r="CE52" s="1882">
        <v>0</v>
      </c>
      <c r="CF52" s="1882">
        <v>0</v>
      </c>
      <c r="CG52" s="1882">
        <v>0</v>
      </c>
      <c r="CH52" s="1882">
        <v>0</v>
      </c>
      <c r="CI52" s="1882">
        <v>29</v>
      </c>
      <c r="CJ52" s="1882" t="s">
        <v>2451</v>
      </c>
      <c r="CK52" s="1882">
        <v>0</v>
      </c>
      <c r="CL52" s="1882">
        <v>0</v>
      </c>
      <c r="CM52" s="1882">
        <v>0</v>
      </c>
      <c r="CN52" s="1882">
        <v>0</v>
      </c>
      <c r="CP52" s="1882" t="s">
        <v>8835</v>
      </c>
    </row>
    <row r="53" spans="1:94">
      <c r="A53" s="1882" t="s">
        <v>8355</v>
      </c>
      <c r="B53" s="1882" t="s">
        <v>8836</v>
      </c>
      <c r="C53" s="1882" t="s">
        <v>8352</v>
      </c>
      <c r="D53" s="1882" t="s">
        <v>8584</v>
      </c>
      <c r="E53" s="1882" t="s">
        <v>8585</v>
      </c>
      <c r="F53" s="1882" t="s">
        <v>8677</v>
      </c>
      <c r="G53" s="1882" t="s">
        <v>8837</v>
      </c>
      <c r="H53" s="1882" t="s">
        <v>8838</v>
      </c>
      <c r="I53" s="1882" t="s">
        <v>8839</v>
      </c>
      <c r="J53" s="1882" t="s">
        <v>8539</v>
      </c>
      <c r="K53" s="1882"/>
      <c r="L53" s="1882"/>
      <c r="M53" s="1882"/>
      <c r="N53" s="1882" t="s">
        <v>8681</v>
      </c>
      <c r="O53" s="1882" t="s">
        <v>732</v>
      </c>
      <c r="P53" s="1882" t="s">
        <v>8688</v>
      </c>
      <c r="Q53" s="520">
        <v>0</v>
      </c>
      <c r="R53" s="1882" t="s">
        <v>8549</v>
      </c>
      <c r="S53" s="1882">
        <v>50</v>
      </c>
      <c r="T53" s="1882"/>
      <c r="U53" s="1882"/>
      <c r="V53" s="1882"/>
      <c r="W53" s="1882"/>
      <c r="X53" s="1882">
        <v>60</v>
      </c>
      <c r="Y53" s="1882"/>
      <c r="Z53" s="1882"/>
      <c r="AA53" s="1882"/>
      <c r="AB53" s="1882"/>
      <c r="AC53" s="1882"/>
      <c r="AD53" s="1882"/>
      <c r="AE53" s="1882"/>
      <c r="AF53" s="1882"/>
      <c r="AG53" s="1882"/>
      <c r="AH53" s="1882">
        <v>0</v>
      </c>
      <c r="AI53" s="1882"/>
      <c r="AJ53" s="1882"/>
      <c r="AK53" s="1882"/>
      <c r="AL53" s="1882"/>
      <c r="AM53" s="1882"/>
      <c r="AN53" s="1882"/>
      <c r="AO53" s="1882"/>
      <c r="AP53" s="1882"/>
      <c r="AQ53" s="1882"/>
      <c r="AR53" s="1882"/>
      <c r="AS53" s="1882"/>
      <c r="AT53" s="1882"/>
      <c r="AU53" s="1882"/>
      <c r="AV53" s="1882"/>
      <c r="AW53" s="1882"/>
      <c r="AX53" s="1882"/>
      <c r="AY53" s="1882"/>
      <c r="AZ53" s="1882"/>
      <c r="BA53" s="1882"/>
      <c r="BB53" s="1882"/>
      <c r="BC53" s="1882"/>
      <c r="BD53" s="1882"/>
      <c r="BE53" s="1882"/>
      <c r="BF53" s="1882"/>
      <c r="BG53" s="1882"/>
      <c r="BH53" s="1882"/>
      <c r="BI53" s="1882"/>
      <c r="BJ53" s="1882"/>
      <c r="BK53" s="1882"/>
      <c r="BL53" s="1882"/>
      <c r="BM53" s="1882"/>
      <c r="BN53" s="1882"/>
      <c r="BO53" s="1882"/>
      <c r="BP53" s="520">
        <v>54</v>
      </c>
      <c r="BQ53" s="695">
        <v>53</v>
      </c>
      <c r="BR53" s="1882" t="s">
        <v>8513</v>
      </c>
      <c r="BS53" s="1882" t="s">
        <v>8513</v>
      </c>
      <c r="BT53" s="1882">
        <v>0</v>
      </c>
      <c r="BU53" s="1882" t="s">
        <v>8513</v>
      </c>
      <c r="BV53" s="1882">
        <v>0</v>
      </c>
      <c r="BW53" s="1882">
        <v>55</v>
      </c>
      <c r="BX53" s="1882" t="s">
        <v>2451</v>
      </c>
      <c r="BY53" s="1882">
        <v>0</v>
      </c>
      <c r="BZ53" s="1882">
        <v>0</v>
      </c>
      <c r="CA53" s="1882">
        <v>0</v>
      </c>
      <c r="CB53" s="1882">
        <v>0</v>
      </c>
      <c r="CC53" s="1882">
        <v>57</v>
      </c>
      <c r="CD53" s="1882" t="s">
        <v>2451</v>
      </c>
      <c r="CE53" s="1882">
        <v>0</v>
      </c>
      <c r="CF53" s="1882">
        <v>0</v>
      </c>
      <c r="CG53" s="1882">
        <v>0</v>
      </c>
      <c r="CH53" s="1882">
        <v>0</v>
      </c>
      <c r="CI53" s="1882">
        <v>58</v>
      </c>
      <c r="CJ53" s="1882" t="s">
        <v>2451</v>
      </c>
      <c r="CK53" s="1882">
        <v>0</v>
      </c>
      <c r="CL53" s="1882">
        <v>0</v>
      </c>
      <c r="CM53" s="1882">
        <v>0</v>
      </c>
      <c r="CN53" s="1882">
        <v>0</v>
      </c>
      <c r="CP53" s="1882" t="s">
        <v>8840</v>
      </c>
    </row>
    <row r="54" spans="1:94">
      <c r="A54" s="1882" t="s">
        <v>8355</v>
      </c>
      <c r="B54" s="1882" t="s">
        <v>8841</v>
      </c>
      <c r="C54" s="1882" t="s">
        <v>8352</v>
      </c>
      <c r="D54" s="1882" t="s">
        <v>8584</v>
      </c>
      <c r="E54" s="1882" t="s">
        <v>8585</v>
      </c>
      <c r="F54" s="1882" t="s">
        <v>8691</v>
      </c>
      <c r="G54" s="1882" t="s">
        <v>8842</v>
      </c>
      <c r="H54" s="1882" t="s">
        <v>8843</v>
      </c>
      <c r="I54" s="1882" t="s">
        <v>8844</v>
      </c>
      <c r="J54" s="1882" t="s">
        <v>8539</v>
      </c>
      <c r="K54" s="1882"/>
      <c r="L54" s="1882"/>
      <c r="M54" s="1882"/>
      <c r="N54" s="1882" t="s">
        <v>8695</v>
      </c>
      <c r="O54" s="1882" t="s">
        <v>732</v>
      </c>
      <c r="P54" s="1882" t="s">
        <v>8696</v>
      </c>
      <c r="Q54" s="520" t="s">
        <v>8512</v>
      </c>
      <c r="R54" s="1882" t="s">
        <v>8549</v>
      </c>
      <c r="S54" s="1882">
        <v>56</v>
      </c>
      <c r="T54" s="1882"/>
      <c r="U54" s="1882"/>
      <c r="V54" s="1882"/>
      <c r="W54" s="1882"/>
      <c r="X54" s="1882">
        <v>60</v>
      </c>
      <c r="Y54" s="1882"/>
      <c r="Z54" s="1882"/>
      <c r="AA54" s="1882"/>
      <c r="AB54" s="1882"/>
      <c r="AC54" s="1882"/>
      <c r="AD54" s="1882"/>
      <c r="AE54" s="1882"/>
      <c r="AF54" s="1882"/>
      <c r="AG54" s="1882"/>
      <c r="AH54" s="1882">
        <v>0</v>
      </c>
      <c r="AI54" s="1882"/>
      <c r="AJ54" s="1882"/>
      <c r="AK54" s="1882"/>
      <c r="AL54" s="1882"/>
      <c r="AM54" s="1882"/>
      <c r="AN54" s="1882"/>
      <c r="AO54" s="1882"/>
      <c r="AP54" s="1882"/>
      <c r="AQ54" s="1882"/>
      <c r="AR54" s="1882"/>
      <c r="AS54" s="1882"/>
      <c r="AT54" s="1882"/>
      <c r="AU54" s="1882"/>
      <c r="AV54" s="1882"/>
      <c r="AW54" s="1882"/>
      <c r="AX54" s="1882"/>
      <c r="AY54" s="1882"/>
      <c r="AZ54" s="1882"/>
      <c r="BA54" s="1882"/>
      <c r="BB54" s="1882"/>
      <c r="BC54" s="1882"/>
      <c r="BD54" s="1882"/>
      <c r="BE54" s="1882"/>
      <c r="BF54" s="1882"/>
      <c r="BG54" s="1882"/>
      <c r="BH54" s="1882"/>
      <c r="BI54" s="1882"/>
      <c r="BJ54" s="1882"/>
      <c r="BK54" s="1882"/>
      <c r="BL54" s="1882"/>
      <c r="BM54" s="1882"/>
      <c r="BN54" s="1882"/>
      <c r="BO54" s="1882"/>
      <c r="BP54" s="520" t="s">
        <v>8697</v>
      </c>
      <c r="BQ54" s="697">
        <v>56</v>
      </c>
      <c r="BR54" s="1882" t="s">
        <v>8513</v>
      </c>
      <c r="BS54" s="1882" t="s">
        <v>8513</v>
      </c>
      <c r="BT54" s="1882">
        <v>0</v>
      </c>
      <c r="BU54" s="1882" t="s">
        <v>8513</v>
      </c>
      <c r="BV54" s="1882">
        <v>0</v>
      </c>
      <c r="BW54" s="1882">
        <v>52</v>
      </c>
      <c r="BX54" s="1882" t="s">
        <v>2451</v>
      </c>
      <c r="BY54" s="1882">
        <v>0</v>
      </c>
      <c r="BZ54" s="1882">
        <v>0</v>
      </c>
      <c r="CA54" s="1882">
        <v>0</v>
      </c>
      <c r="CB54" s="1882">
        <v>0</v>
      </c>
      <c r="CC54" s="1882">
        <v>55</v>
      </c>
      <c r="CD54" s="1882" t="s">
        <v>2451</v>
      </c>
      <c r="CE54" s="1882">
        <v>0</v>
      </c>
      <c r="CF54" s="1882">
        <v>0</v>
      </c>
      <c r="CG54" s="1882">
        <v>0</v>
      </c>
      <c r="CH54" s="1882">
        <v>0</v>
      </c>
      <c r="CI54" s="1882">
        <v>57</v>
      </c>
      <c r="CJ54" s="1882" t="s">
        <v>2451</v>
      </c>
      <c r="CK54" s="1882">
        <v>0</v>
      </c>
      <c r="CL54" s="1882">
        <v>0</v>
      </c>
      <c r="CM54" s="1882">
        <v>0</v>
      </c>
      <c r="CN54" s="1882">
        <v>0</v>
      </c>
      <c r="CP54" s="1882" t="s">
        <v>8845</v>
      </c>
    </row>
    <row r="55" spans="1:94">
      <c r="A55" s="1882" t="s">
        <v>8846</v>
      </c>
      <c r="B55" s="1882" t="s">
        <v>8847</v>
      </c>
      <c r="C55" s="1882" t="s">
        <v>8394</v>
      </c>
      <c r="D55" s="1882" t="s">
        <v>1626</v>
      </c>
      <c r="E55" s="1882" t="s">
        <v>8503</v>
      </c>
      <c r="F55" s="1882" t="s">
        <v>8848</v>
      </c>
      <c r="G55" s="1882" t="s">
        <v>7234</v>
      </c>
      <c r="H55" s="1882" t="s">
        <v>8849</v>
      </c>
      <c r="I55" s="1882" t="s">
        <v>8850</v>
      </c>
      <c r="J55" s="1882" t="s">
        <v>8508</v>
      </c>
      <c r="K55" s="1882" t="s">
        <v>8509</v>
      </c>
      <c r="L55" s="1882"/>
      <c r="M55" s="1882"/>
      <c r="N55" s="1882" t="s">
        <v>2450</v>
      </c>
      <c r="O55" s="1882" t="s">
        <v>8607</v>
      </c>
      <c r="P55" s="1882" t="s">
        <v>8608</v>
      </c>
      <c r="Q55" s="520">
        <v>1</v>
      </c>
      <c r="R55" s="1882" t="s">
        <v>8511</v>
      </c>
      <c r="S55" s="1882">
        <v>13.7</v>
      </c>
      <c r="T55" s="1882">
        <v>13.4</v>
      </c>
      <c r="U55" s="1882">
        <v>13.1</v>
      </c>
      <c r="V55" s="1882">
        <v>12.8</v>
      </c>
      <c r="W55" s="1882">
        <v>12.5</v>
      </c>
      <c r="X55" s="1882">
        <v>12.2</v>
      </c>
      <c r="Y55" s="1882"/>
      <c r="Z55" s="1882"/>
      <c r="AA55" s="1882" t="s">
        <v>2459</v>
      </c>
      <c r="AB55" s="1882"/>
      <c r="AC55" s="1882"/>
      <c r="AD55" s="1882"/>
      <c r="AE55" s="1882" t="s">
        <v>2459</v>
      </c>
      <c r="AF55" s="1882"/>
      <c r="AG55" s="1882"/>
      <c r="AH55" s="1882">
        <v>0</v>
      </c>
      <c r="AI55" s="1882" t="s">
        <v>2459</v>
      </c>
      <c r="AJ55" s="1882" t="s">
        <v>2459</v>
      </c>
      <c r="AK55" s="1882" t="s">
        <v>2459</v>
      </c>
      <c r="AL55" s="1882" t="s">
        <v>2459</v>
      </c>
      <c r="AM55" s="1882" t="s">
        <v>2459</v>
      </c>
      <c r="AN55" s="1882">
        <v>15.4</v>
      </c>
      <c r="AO55" s="1882">
        <v>15.1</v>
      </c>
      <c r="AP55" s="1882">
        <v>14.8</v>
      </c>
      <c r="AQ55" s="1882">
        <v>14.5</v>
      </c>
      <c r="AR55" s="1882">
        <v>14.2</v>
      </c>
      <c r="AS55" s="1882">
        <v>14.4</v>
      </c>
      <c r="AT55" s="1882">
        <v>14.1</v>
      </c>
      <c r="AU55" s="1882">
        <v>13.8</v>
      </c>
      <c r="AV55" s="1882">
        <v>13.5</v>
      </c>
      <c r="AW55" s="1882">
        <v>13.2</v>
      </c>
      <c r="AX55" s="1882">
        <v>10.199999999999999</v>
      </c>
      <c r="AY55" s="1882">
        <v>10.199999999999999</v>
      </c>
      <c r="AZ55" s="1882">
        <v>10.199999999999999</v>
      </c>
      <c r="BA55" s="1882">
        <v>10.199999999999999</v>
      </c>
      <c r="BB55" s="1882">
        <v>10.199999999999999</v>
      </c>
      <c r="BC55" s="1882">
        <v>8.9</v>
      </c>
      <c r="BD55" s="1882">
        <v>8.9</v>
      </c>
      <c r="BE55" s="1882">
        <v>8.9</v>
      </c>
      <c r="BF55" s="1882">
        <v>8.9</v>
      </c>
      <c r="BG55" s="1882">
        <v>8.9</v>
      </c>
      <c r="BH55" s="1882">
        <v>0.7389</v>
      </c>
      <c r="BI55" s="1882"/>
      <c r="BJ55" s="1882"/>
      <c r="BK55" s="1882"/>
      <c r="BL55" s="1882">
        <v>0.50970000000000004</v>
      </c>
      <c r="BM55" s="1882"/>
      <c r="BN55" s="1882">
        <v>1</v>
      </c>
      <c r="BO55" s="1882" t="s">
        <v>8512</v>
      </c>
      <c r="BP55" s="520">
        <v>152.4</v>
      </c>
      <c r="BQ55" s="696">
        <v>15.49</v>
      </c>
      <c r="BR55" s="1882" t="s">
        <v>2460</v>
      </c>
      <c r="BS55" s="1882" t="s">
        <v>8513</v>
      </c>
      <c r="BT55" s="1882">
        <v>0</v>
      </c>
      <c r="BU55" s="1882" t="s">
        <v>8563</v>
      </c>
      <c r="BV55" s="1882">
        <v>-0.7389</v>
      </c>
      <c r="BW55" s="1882">
        <v>13.12</v>
      </c>
      <c r="BX55" s="1882" t="s">
        <v>2459</v>
      </c>
      <c r="BY55" s="1882">
        <v>0</v>
      </c>
      <c r="BZ55" s="1882">
        <v>0</v>
      </c>
      <c r="CA55" s="1882">
        <v>0</v>
      </c>
      <c r="CB55" s="1882">
        <v>0</v>
      </c>
      <c r="CC55" s="1882">
        <v>73.7</v>
      </c>
      <c r="CD55" s="1882" t="s">
        <v>2460</v>
      </c>
      <c r="CE55" s="1882">
        <v>0</v>
      </c>
      <c r="CF55" s="1882">
        <v>0</v>
      </c>
      <c r="CG55" s="1882" t="s">
        <v>8384</v>
      </c>
      <c r="CH55" s="1882">
        <v>-0.7389</v>
      </c>
      <c r="CI55" s="1882">
        <v>14.67</v>
      </c>
      <c r="CJ55" s="1882" t="s">
        <v>2460</v>
      </c>
      <c r="CK55" s="1882">
        <v>0</v>
      </c>
      <c r="CL55" s="1882">
        <v>0</v>
      </c>
      <c r="CM55" s="1882" t="s">
        <v>8384</v>
      </c>
      <c r="CN55" s="1882">
        <v>-0.7389</v>
      </c>
      <c r="CP55" s="1882" t="s">
        <v>8851</v>
      </c>
    </row>
    <row r="56" spans="1:94">
      <c r="A56" s="1882" t="s">
        <v>8846</v>
      </c>
      <c r="B56" s="1882" t="s">
        <v>8852</v>
      </c>
      <c r="C56" s="1882" t="s">
        <v>8394</v>
      </c>
      <c r="D56" s="1882" t="s">
        <v>1626</v>
      </c>
      <c r="E56" s="1882" t="s">
        <v>8503</v>
      </c>
      <c r="F56" s="1882" t="s">
        <v>8848</v>
      </c>
      <c r="G56" s="1882" t="s">
        <v>7235</v>
      </c>
      <c r="H56" s="1882" t="s">
        <v>8853</v>
      </c>
      <c r="I56" s="1882" t="s">
        <v>8854</v>
      </c>
      <c r="J56" s="1882" t="s">
        <v>8519</v>
      </c>
      <c r="K56" s="1882" t="s">
        <v>8855</v>
      </c>
      <c r="L56" s="1882"/>
      <c r="M56" s="1882" t="s">
        <v>2460</v>
      </c>
      <c r="N56" s="1882" t="s">
        <v>8569</v>
      </c>
      <c r="O56" s="1882" t="s">
        <v>8704</v>
      </c>
      <c r="P56" s="1882" t="s">
        <v>8856</v>
      </c>
      <c r="Q56" s="520" t="s">
        <v>8512</v>
      </c>
      <c r="R56" s="1882"/>
      <c r="S56" s="1882" t="s">
        <v>8706</v>
      </c>
      <c r="T56" s="1882" t="s">
        <v>8706</v>
      </c>
      <c r="U56" s="1882" t="s">
        <v>8706</v>
      </c>
      <c r="V56" s="1882" t="s">
        <v>8706</v>
      </c>
      <c r="W56" s="1882" t="s">
        <v>8706</v>
      </c>
      <c r="X56" s="1882" t="s">
        <v>8706</v>
      </c>
      <c r="Y56" s="1882"/>
      <c r="Z56" s="1882"/>
      <c r="AA56" s="1882"/>
      <c r="AB56" s="1882"/>
      <c r="AC56" s="1882"/>
      <c r="AD56" s="1882"/>
      <c r="AE56" s="1882" t="s">
        <v>2459</v>
      </c>
      <c r="AF56" s="1882"/>
      <c r="AG56" s="1882"/>
      <c r="AH56" s="1882">
        <v>2</v>
      </c>
      <c r="AI56" s="1882" t="s">
        <v>2459</v>
      </c>
      <c r="AJ56" s="1882" t="s">
        <v>2459</v>
      </c>
      <c r="AK56" s="1882" t="s">
        <v>2459</v>
      </c>
      <c r="AL56" s="1882" t="s">
        <v>2459</v>
      </c>
      <c r="AM56" s="1882" t="s">
        <v>2459</v>
      </c>
      <c r="AN56" s="1882" t="s">
        <v>8857</v>
      </c>
      <c r="AO56" s="1882" t="s">
        <v>8857</v>
      </c>
      <c r="AP56" s="1882" t="s">
        <v>8857</v>
      </c>
      <c r="AQ56" s="1882" t="s">
        <v>8857</v>
      </c>
      <c r="AR56" s="1882" t="s">
        <v>8857</v>
      </c>
      <c r="AS56" s="1882" t="s">
        <v>8858</v>
      </c>
      <c r="AT56" s="1882" t="s">
        <v>8858</v>
      </c>
      <c r="AU56" s="1882" t="s">
        <v>8858</v>
      </c>
      <c r="AV56" s="1882" t="s">
        <v>8858</v>
      </c>
      <c r="AW56" s="1882" t="s">
        <v>8858</v>
      </c>
      <c r="AX56" s="1882"/>
      <c r="AY56" s="1882"/>
      <c r="AZ56" s="1882"/>
      <c r="BA56" s="1882"/>
      <c r="BB56" s="1882"/>
      <c r="BC56" s="1882"/>
      <c r="BD56" s="1882"/>
      <c r="BE56" s="1882"/>
      <c r="BF56" s="1882"/>
      <c r="BG56" s="1882"/>
      <c r="BH56" s="1882">
        <v>2.0539999999999998</v>
      </c>
      <c r="BI56" s="1882">
        <v>0.68500000000000005</v>
      </c>
      <c r="BJ56" s="1882"/>
      <c r="BK56" s="1882"/>
      <c r="BL56" s="1882"/>
      <c r="BM56" s="1882"/>
      <c r="BN56" s="1882">
        <v>1</v>
      </c>
      <c r="BO56" s="1882" t="s">
        <v>8512</v>
      </c>
      <c r="BP56" s="520" t="s">
        <v>8706</v>
      </c>
      <c r="BQ56" s="697" t="s">
        <v>8706</v>
      </c>
      <c r="BR56" s="1882" t="s">
        <v>2459</v>
      </c>
      <c r="BS56" s="1882" t="s">
        <v>8513</v>
      </c>
      <c r="BT56" s="1882">
        <v>0</v>
      </c>
      <c r="BU56" s="1882" t="s">
        <v>8513</v>
      </c>
      <c r="BV56" s="1882">
        <v>0</v>
      </c>
      <c r="BW56" s="1882" t="s">
        <v>8706</v>
      </c>
      <c r="BX56" s="1882" t="s">
        <v>2459</v>
      </c>
      <c r="BY56" s="1882">
        <v>0</v>
      </c>
      <c r="BZ56" s="1882">
        <v>0</v>
      </c>
      <c r="CA56" s="1882">
        <v>0</v>
      </c>
      <c r="CB56" s="1882">
        <v>0</v>
      </c>
      <c r="CC56" s="1882" t="s">
        <v>8858</v>
      </c>
      <c r="CD56" s="1882" t="s">
        <v>2460</v>
      </c>
      <c r="CE56" s="1882">
        <v>0</v>
      </c>
      <c r="CF56" s="1882">
        <v>0</v>
      </c>
      <c r="CG56" s="1882" t="s">
        <v>8388</v>
      </c>
      <c r="CH56" s="1882">
        <v>0</v>
      </c>
      <c r="CI56" s="1882" t="s">
        <v>8858</v>
      </c>
      <c r="CJ56" s="1882" t="s">
        <v>2460</v>
      </c>
      <c r="CK56" s="1882">
        <v>0</v>
      </c>
      <c r="CL56" s="1882">
        <v>0</v>
      </c>
      <c r="CM56" s="1882" t="s">
        <v>8384</v>
      </c>
      <c r="CN56" s="1882">
        <v>-0.68500000000000005</v>
      </c>
      <c r="CP56" s="1882" t="s">
        <v>8859</v>
      </c>
    </row>
    <row r="57" spans="1:94">
      <c r="A57" s="1882" t="s">
        <v>8846</v>
      </c>
      <c r="B57" s="1882" t="s">
        <v>8860</v>
      </c>
      <c r="C57" s="1882" t="s">
        <v>8394</v>
      </c>
      <c r="D57" s="1882" t="s">
        <v>1626</v>
      </c>
      <c r="E57" s="1882" t="s">
        <v>8503</v>
      </c>
      <c r="F57" s="1882" t="s">
        <v>8848</v>
      </c>
      <c r="G57" s="1882" t="s">
        <v>8233</v>
      </c>
      <c r="H57" s="1882" t="s">
        <v>8861</v>
      </c>
      <c r="I57" s="1882" t="s">
        <v>8862</v>
      </c>
      <c r="J57" s="1882" t="s">
        <v>8519</v>
      </c>
      <c r="K57" s="1882" t="s">
        <v>8855</v>
      </c>
      <c r="L57" s="1882"/>
      <c r="M57" s="1882" t="s">
        <v>2460</v>
      </c>
      <c r="N57" s="1882" t="s">
        <v>8569</v>
      </c>
      <c r="O57" s="1882" t="s">
        <v>8704</v>
      </c>
      <c r="P57" s="1882" t="s">
        <v>8856</v>
      </c>
      <c r="Q57" s="520" t="s">
        <v>8512</v>
      </c>
      <c r="R57" s="1882"/>
      <c r="S57" s="1882" t="s">
        <v>8706</v>
      </c>
      <c r="T57" s="1882" t="s">
        <v>8706</v>
      </c>
      <c r="U57" s="1882" t="s">
        <v>8706</v>
      </c>
      <c r="V57" s="1882" t="s">
        <v>8706</v>
      </c>
      <c r="W57" s="1882" t="s">
        <v>8706</v>
      </c>
      <c r="X57" s="1882" t="s">
        <v>8706</v>
      </c>
      <c r="Y57" s="1882"/>
      <c r="Z57" s="1882"/>
      <c r="AA57" s="1882"/>
      <c r="AB57" s="1882"/>
      <c r="AC57" s="1882"/>
      <c r="AD57" s="1882"/>
      <c r="AE57" s="1882" t="s">
        <v>2459</v>
      </c>
      <c r="AF57" s="1882"/>
      <c r="AG57" s="1882"/>
      <c r="AH57" s="1882">
        <v>2</v>
      </c>
      <c r="AI57" s="1882" t="s">
        <v>2459</v>
      </c>
      <c r="AJ57" s="1882" t="s">
        <v>2459</v>
      </c>
      <c r="AK57" s="1882" t="s">
        <v>2459</v>
      </c>
      <c r="AL57" s="1882" t="s">
        <v>2459</v>
      </c>
      <c r="AM57" s="1882" t="s">
        <v>2459</v>
      </c>
      <c r="AN57" s="1882" t="s">
        <v>8857</v>
      </c>
      <c r="AO57" s="1882" t="s">
        <v>8857</v>
      </c>
      <c r="AP57" s="1882" t="s">
        <v>8857</v>
      </c>
      <c r="AQ57" s="1882" t="s">
        <v>8857</v>
      </c>
      <c r="AR57" s="1882" t="s">
        <v>8857</v>
      </c>
      <c r="AS57" s="1882" t="s">
        <v>8858</v>
      </c>
      <c r="AT57" s="1882" t="s">
        <v>8858</v>
      </c>
      <c r="AU57" s="1882" t="s">
        <v>8858</v>
      </c>
      <c r="AV57" s="1882" t="s">
        <v>8858</v>
      </c>
      <c r="AW57" s="1882" t="s">
        <v>8858</v>
      </c>
      <c r="AX57" s="1882"/>
      <c r="AY57" s="1882"/>
      <c r="AZ57" s="1882"/>
      <c r="BA57" s="1882"/>
      <c r="BB57" s="1882"/>
      <c r="BC57" s="1882"/>
      <c r="BD57" s="1882"/>
      <c r="BE57" s="1882"/>
      <c r="BF57" s="1882"/>
      <c r="BG57" s="1882"/>
      <c r="BH57" s="1882">
        <v>2.1190000000000002</v>
      </c>
      <c r="BI57" s="1882">
        <v>0.70599999999999996</v>
      </c>
      <c r="BJ57" s="1882"/>
      <c r="BK57" s="1882"/>
      <c r="BL57" s="1882"/>
      <c r="BM57" s="1882"/>
      <c r="BN57" s="1882">
        <v>1</v>
      </c>
      <c r="BO57" s="1882" t="s">
        <v>8512</v>
      </c>
      <c r="BP57" s="520" t="s">
        <v>8706</v>
      </c>
      <c r="BQ57" s="697" t="s">
        <v>8706</v>
      </c>
      <c r="BR57" s="1882" t="s">
        <v>2459</v>
      </c>
      <c r="BS57" s="1882" t="s">
        <v>8513</v>
      </c>
      <c r="BT57" s="1882">
        <v>0</v>
      </c>
      <c r="BU57" s="1882" t="s">
        <v>8513</v>
      </c>
      <c r="BV57" s="1882">
        <v>0</v>
      </c>
      <c r="BW57" s="1882" t="s">
        <v>8706</v>
      </c>
      <c r="BX57" s="1882" t="s">
        <v>2459</v>
      </c>
      <c r="BY57" s="1882">
        <v>0</v>
      </c>
      <c r="BZ57" s="1882">
        <v>0</v>
      </c>
      <c r="CA57" s="1882">
        <v>0</v>
      </c>
      <c r="CB57" s="1882">
        <v>0</v>
      </c>
      <c r="CC57" s="1882" t="s">
        <v>8706</v>
      </c>
      <c r="CD57" s="1882" t="s">
        <v>2459</v>
      </c>
      <c r="CE57" s="1882">
        <v>0</v>
      </c>
      <c r="CF57" s="1882">
        <v>0</v>
      </c>
      <c r="CG57" s="1882">
        <v>0</v>
      </c>
      <c r="CH57" s="1882">
        <v>0</v>
      </c>
      <c r="CI57" s="1882" t="s">
        <v>8706</v>
      </c>
      <c r="CJ57" s="1882" t="s">
        <v>2459</v>
      </c>
      <c r="CK57" s="1882">
        <v>0</v>
      </c>
      <c r="CL57" s="1882">
        <v>0</v>
      </c>
      <c r="CM57" s="1882">
        <v>0</v>
      </c>
      <c r="CN57" s="1882">
        <v>0</v>
      </c>
      <c r="CP57" s="1882" t="s">
        <v>8863</v>
      </c>
    </row>
    <row r="58" spans="1:94">
      <c r="A58" s="1882" t="s">
        <v>8846</v>
      </c>
      <c r="B58" s="1882" t="s">
        <v>8864</v>
      </c>
      <c r="C58" s="1882" t="s">
        <v>8394</v>
      </c>
      <c r="D58" s="1882" t="s">
        <v>1626</v>
      </c>
      <c r="E58" s="1882" t="s">
        <v>8503</v>
      </c>
      <c r="F58" s="1882" t="s">
        <v>8865</v>
      </c>
      <c r="G58" s="1882" t="s">
        <v>7236</v>
      </c>
      <c r="H58" s="1882" t="s">
        <v>8866</v>
      </c>
      <c r="I58" s="1882" t="s">
        <v>8867</v>
      </c>
      <c r="J58" s="1882" t="s">
        <v>8508</v>
      </c>
      <c r="K58" s="1882" t="s">
        <v>8509</v>
      </c>
      <c r="L58" s="1882"/>
      <c r="M58" s="1882"/>
      <c r="N58" s="1882" t="s">
        <v>4580</v>
      </c>
      <c r="O58" s="1882" t="s">
        <v>764</v>
      </c>
      <c r="P58" s="1882" t="s">
        <v>8868</v>
      </c>
      <c r="Q58" s="520">
        <v>0</v>
      </c>
      <c r="R58" s="1882" t="s">
        <v>8511</v>
      </c>
      <c r="S58" s="1882">
        <v>288589</v>
      </c>
      <c r="T58" s="1882">
        <v>288589</v>
      </c>
      <c r="U58" s="1882">
        <v>288589</v>
      </c>
      <c r="V58" s="1882">
        <v>9063</v>
      </c>
      <c r="W58" s="1882">
        <v>9063</v>
      </c>
      <c r="X58" s="1882">
        <v>9063</v>
      </c>
      <c r="Y58" s="1882"/>
      <c r="Z58" s="1882"/>
      <c r="AA58" s="1882"/>
      <c r="AB58" s="1882"/>
      <c r="AC58" s="1882"/>
      <c r="AD58" s="1882" t="s">
        <v>2459</v>
      </c>
      <c r="AE58" s="1882" t="s">
        <v>2459</v>
      </c>
      <c r="AF58" s="1882"/>
      <c r="AG58" s="1882"/>
      <c r="AH58" s="1882">
        <v>0</v>
      </c>
      <c r="AI58" s="1882" t="s">
        <v>2459</v>
      </c>
      <c r="AJ58" s="1882" t="s">
        <v>2459</v>
      </c>
      <c r="AK58" s="1882" t="s">
        <v>2459</v>
      </c>
      <c r="AL58" s="1882" t="s">
        <v>2459</v>
      </c>
      <c r="AM58" s="1882" t="s">
        <v>2459</v>
      </c>
      <c r="AN58" s="1882">
        <v>308589</v>
      </c>
      <c r="AO58" s="1882">
        <v>308589</v>
      </c>
      <c r="AP58" s="1882">
        <v>69063</v>
      </c>
      <c r="AQ58" s="1882">
        <v>69063</v>
      </c>
      <c r="AR58" s="1882">
        <v>69063</v>
      </c>
      <c r="AS58" s="1882">
        <v>288589</v>
      </c>
      <c r="AT58" s="1882">
        <v>288589</v>
      </c>
      <c r="AU58" s="1882">
        <v>9063</v>
      </c>
      <c r="AV58" s="1882">
        <v>9063</v>
      </c>
      <c r="AW58" s="1882">
        <v>9063</v>
      </c>
      <c r="AX58" s="1882">
        <v>288589</v>
      </c>
      <c r="AY58" s="1882">
        <v>288589</v>
      </c>
      <c r="AZ58" s="1882">
        <v>9063</v>
      </c>
      <c r="BA58" s="1882">
        <v>9063</v>
      </c>
      <c r="BB58" s="1882">
        <v>9063</v>
      </c>
      <c r="BC58" s="1882">
        <v>268589</v>
      </c>
      <c r="BD58" s="1882">
        <v>268589</v>
      </c>
      <c r="BE58" s="1882">
        <v>0</v>
      </c>
      <c r="BF58" s="1882">
        <v>0</v>
      </c>
      <c r="BG58" s="1882">
        <v>0</v>
      </c>
      <c r="BH58" s="1882">
        <v>4.0599999999999998E-5</v>
      </c>
      <c r="BI58" s="1882"/>
      <c r="BJ58" s="1882"/>
      <c r="BK58" s="1882"/>
      <c r="BL58" s="1882">
        <v>2.1209999999999999E-5</v>
      </c>
      <c r="BM58" s="1882"/>
      <c r="BN58" s="1882">
        <v>1</v>
      </c>
      <c r="BO58" s="1882" t="s">
        <v>8512</v>
      </c>
      <c r="BP58" s="520">
        <v>288589</v>
      </c>
      <c r="BQ58" s="695">
        <v>288589</v>
      </c>
      <c r="BR58" s="1882" t="s">
        <v>2459</v>
      </c>
      <c r="BS58" s="1882" t="s">
        <v>8513</v>
      </c>
      <c r="BT58" s="1882">
        <v>0</v>
      </c>
      <c r="BU58" s="1882" t="s">
        <v>8513</v>
      </c>
      <c r="BV58" s="1882">
        <v>0</v>
      </c>
      <c r="BW58" s="1882">
        <v>288589</v>
      </c>
      <c r="BX58" s="1882" t="s">
        <v>2459</v>
      </c>
      <c r="BY58" s="1882">
        <v>0</v>
      </c>
      <c r="BZ58" s="1882">
        <v>0</v>
      </c>
      <c r="CA58" s="1882">
        <v>0</v>
      </c>
      <c r="CB58" s="1882">
        <v>0</v>
      </c>
      <c r="CC58" s="1882">
        <v>9063</v>
      </c>
      <c r="CD58" s="1882" t="s">
        <v>2459</v>
      </c>
      <c r="CE58" s="1882">
        <v>0</v>
      </c>
      <c r="CF58" s="1882">
        <v>0</v>
      </c>
      <c r="CG58" s="1882">
        <v>0</v>
      </c>
      <c r="CH58" s="1882">
        <v>0</v>
      </c>
      <c r="CI58" s="1882">
        <v>9063</v>
      </c>
      <c r="CJ58" s="1882" t="s">
        <v>2459</v>
      </c>
      <c r="CK58" s="1882">
        <v>0</v>
      </c>
      <c r="CL58" s="1882">
        <v>0</v>
      </c>
      <c r="CM58" s="1882">
        <v>0</v>
      </c>
      <c r="CN58" s="1882">
        <v>0</v>
      </c>
      <c r="CP58" s="1882" t="s">
        <v>8869</v>
      </c>
    </row>
    <row r="59" spans="1:94">
      <c r="A59" s="1882" t="s">
        <v>8846</v>
      </c>
      <c r="B59" s="1882" t="s">
        <v>8870</v>
      </c>
      <c r="C59" s="1882" t="s">
        <v>8394</v>
      </c>
      <c r="D59" s="1882" t="s">
        <v>1626</v>
      </c>
      <c r="E59" s="1882" t="s">
        <v>8503</v>
      </c>
      <c r="F59" s="1882" t="s">
        <v>8871</v>
      </c>
      <c r="G59" s="1882" t="s">
        <v>8254</v>
      </c>
      <c r="H59" s="1882" t="s">
        <v>8872</v>
      </c>
      <c r="I59" s="1882" t="s">
        <v>8873</v>
      </c>
      <c r="J59" s="1882" t="s">
        <v>8539</v>
      </c>
      <c r="K59" s="1882"/>
      <c r="L59" s="1882"/>
      <c r="M59" s="1882"/>
      <c r="N59" s="1882" t="s">
        <v>8527</v>
      </c>
      <c r="O59" s="1882" t="s">
        <v>8591</v>
      </c>
      <c r="P59" s="1882" t="s">
        <v>8643</v>
      </c>
      <c r="Q59" s="520">
        <v>0</v>
      </c>
      <c r="R59" s="1882" t="s">
        <v>8549</v>
      </c>
      <c r="S59" s="1882">
        <v>100</v>
      </c>
      <c r="T59" s="1882">
        <v>100</v>
      </c>
      <c r="U59" s="1882">
        <v>100</v>
      </c>
      <c r="V59" s="1882">
        <v>100</v>
      </c>
      <c r="W59" s="1882">
        <v>100</v>
      </c>
      <c r="X59" s="1882">
        <v>100</v>
      </c>
      <c r="Y59" s="1882"/>
      <c r="Z59" s="1882"/>
      <c r="AA59" s="1882"/>
      <c r="AB59" s="1882"/>
      <c r="AC59" s="1882"/>
      <c r="AD59" s="1882"/>
      <c r="AE59" s="1882"/>
      <c r="AF59" s="1882"/>
      <c r="AG59" s="1882"/>
      <c r="AH59" s="1882">
        <v>0</v>
      </c>
      <c r="AI59" s="1882"/>
      <c r="AJ59" s="1882"/>
      <c r="AK59" s="1882"/>
      <c r="AL59" s="1882"/>
      <c r="AM59" s="1882"/>
      <c r="AN59" s="1882"/>
      <c r="AO59" s="1882"/>
      <c r="AP59" s="1882"/>
      <c r="AQ59" s="1882"/>
      <c r="AR59" s="1882"/>
      <c r="AS59" s="1882"/>
      <c r="AT59" s="1882"/>
      <c r="AU59" s="1882"/>
      <c r="AV59" s="1882"/>
      <c r="AW59" s="1882"/>
      <c r="AX59" s="1882"/>
      <c r="AY59" s="1882"/>
      <c r="AZ59" s="1882"/>
      <c r="BA59" s="1882"/>
      <c r="BB59" s="1882"/>
      <c r="BC59" s="1882"/>
      <c r="BD59" s="1882"/>
      <c r="BE59" s="1882"/>
      <c r="BF59" s="1882"/>
      <c r="BG59" s="1882"/>
      <c r="BH59" s="1882"/>
      <c r="BI59" s="1882"/>
      <c r="BJ59" s="1882"/>
      <c r="BK59" s="1882"/>
      <c r="BL59" s="1882"/>
      <c r="BM59" s="1882"/>
      <c r="BN59" s="1882"/>
      <c r="BO59" s="1882"/>
      <c r="BP59" s="520">
        <v>100</v>
      </c>
      <c r="BQ59" s="695">
        <v>100</v>
      </c>
      <c r="BR59" s="1882" t="s">
        <v>2459</v>
      </c>
      <c r="BS59" s="1882" t="s">
        <v>8513</v>
      </c>
      <c r="BT59" s="1882">
        <v>0</v>
      </c>
      <c r="BU59" s="1882" t="s">
        <v>8513</v>
      </c>
      <c r="BV59" s="1882">
        <v>0</v>
      </c>
      <c r="BW59" s="1882">
        <v>100</v>
      </c>
      <c r="BX59" s="1882" t="s">
        <v>2459</v>
      </c>
      <c r="BY59" s="1882">
        <v>0</v>
      </c>
      <c r="BZ59" s="1882">
        <v>0</v>
      </c>
      <c r="CA59" s="1882">
        <v>0</v>
      </c>
      <c r="CB59" s="1882">
        <v>0</v>
      </c>
      <c r="CC59" s="1882">
        <v>100</v>
      </c>
      <c r="CD59" s="1882" t="s">
        <v>2459</v>
      </c>
      <c r="CE59" s="1882">
        <v>0</v>
      </c>
      <c r="CF59" s="1882">
        <v>0</v>
      </c>
      <c r="CG59" s="1882">
        <v>0</v>
      </c>
      <c r="CH59" s="1882">
        <v>0</v>
      </c>
      <c r="CI59" s="1882">
        <v>100</v>
      </c>
      <c r="CJ59" s="1882" t="s">
        <v>2459</v>
      </c>
      <c r="CK59" s="1882">
        <v>0</v>
      </c>
      <c r="CL59" s="1882">
        <v>0</v>
      </c>
      <c r="CM59" s="1882">
        <v>0</v>
      </c>
      <c r="CN59" s="1882">
        <v>0</v>
      </c>
      <c r="CP59" s="1882" t="s">
        <v>8874</v>
      </c>
    </row>
    <row r="60" spans="1:94">
      <c r="A60" s="1882" t="s">
        <v>8846</v>
      </c>
      <c r="B60" s="1882" t="s">
        <v>8875</v>
      </c>
      <c r="C60" s="1882" t="s">
        <v>8394</v>
      </c>
      <c r="D60" s="1882" t="s">
        <v>1626</v>
      </c>
      <c r="E60" s="1882" t="s">
        <v>8503</v>
      </c>
      <c r="F60" s="1882" t="s">
        <v>8871</v>
      </c>
      <c r="G60" s="1882" t="s">
        <v>8257</v>
      </c>
      <c r="H60" s="1882" t="s">
        <v>8876</v>
      </c>
      <c r="I60" s="1882" t="s">
        <v>8877</v>
      </c>
      <c r="J60" s="1882" t="s">
        <v>8519</v>
      </c>
      <c r="K60" s="1882" t="s">
        <v>8509</v>
      </c>
      <c r="L60" s="1882"/>
      <c r="M60" s="1882"/>
      <c r="N60" s="1882" t="s">
        <v>8635</v>
      </c>
      <c r="O60" s="1882" t="s">
        <v>764</v>
      </c>
      <c r="P60" s="1882" t="s">
        <v>8878</v>
      </c>
      <c r="Q60" s="520">
        <v>1</v>
      </c>
      <c r="R60" s="1882" t="s">
        <v>8511</v>
      </c>
      <c r="S60" s="1882">
        <v>0</v>
      </c>
      <c r="T60" s="1882">
        <v>10.199999999999999</v>
      </c>
      <c r="U60" s="1882">
        <v>10.199999999999999</v>
      </c>
      <c r="V60" s="1882">
        <v>10.199999999999999</v>
      </c>
      <c r="W60" s="1882">
        <v>10.199999999999999</v>
      </c>
      <c r="X60" s="1882">
        <v>10.199999999999999</v>
      </c>
      <c r="Y60" s="1882"/>
      <c r="Z60" s="1882"/>
      <c r="AA60" s="1882"/>
      <c r="AB60" s="1882"/>
      <c r="AC60" s="1882"/>
      <c r="AD60" s="1882"/>
      <c r="AE60" s="1882"/>
      <c r="AF60" s="1882"/>
      <c r="AG60" s="1882"/>
      <c r="AH60" s="1882">
        <v>0</v>
      </c>
      <c r="AI60" s="1882" t="s">
        <v>2459</v>
      </c>
      <c r="AJ60" s="1882" t="s">
        <v>2459</v>
      </c>
      <c r="AK60" s="1882" t="s">
        <v>2459</v>
      </c>
      <c r="AL60" s="1882" t="s">
        <v>2459</v>
      </c>
      <c r="AM60" s="1882" t="s">
        <v>2459</v>
      </c>
      <c r="AN60" s="1882">
        <v>15.2</v>
      </c>
      <c r="AO60" s="1882">
        <v>15.2</v>
      </c>
      <c r="AP60" s="1882">
        <v>15.2</v>
      </c>
      <c r="AQ60" s="1882">
        <v>15.2</v>
      </c>
      <c r="AR60" s="1882">
        <v>15.2</v>
      </c>
      <c r="AS60" s="1882">
        <v>10.199999999999999</v>
      </c>
      <c r="AT60" s="1882">
        <v>10.199999999999999</v>
      </c>
      <c r="AU60" s="1882">
        <v>10.199999999999999</v>
      </c>
      <c r="AV60" s="1882">
        <v>10.199999999999999</v>
      </c>
      <c r="AW60" s="1882">
        <v>10.199999999999999</v>
      </c>
      <c r="AX60" s="1882"/>
      <c r="AY60" s="1882"/>
      <c r="AZ60" s="1882"/>
      <c r="BA60" s="1882"/>
      <c r="BB60" s="1882"/>
      <c r="BC60" s="1882"/>
      <c r="BD60" s="1882"/>
      <c r="BE60" s="1882"/>
      <c r="BF60" s="1882"/>
      <c r="BG60" s="1882"/>
      <c r="BH60" s="1882">
        <v>4.2999999999999997E-2</v>
      </c>
      <c r="BI60" s="1882"/>
      <c r="BJ60" s="1882"/>
      <c r="BK60" s="1882"/>
      <c r="BL60" s="1882"/>
      <c r="BM60" s="1882"/>
      <c r="BN60" s="1882">
        <v>1</v>
      </c>
      <c r="BO60" s="1882" t="s">
        <v>8512</v>
      </c>
      <c r="BP60" s="520">
        <v>10.199999999999999</v>
      </c>
      <c r="BQ60" s="701">
        <v>1.54</v>
      </c>
      <c r="BR60" s="1882" t="s">
        <v>2459</v>
      </c>
      <c r="BS60" s="1882" t="s">
        <v>8513</v>
      </c>
      <c r="BT60" s="1882">
        <v>0</v>
      </c>
      <c r="BU60" s="1882" t="s">
        <v>8513</v>
      </c>
      <c r="BV60" s="1882">
        <v>0</v>
      </c>
      <c r="BW60" s="1882">
        <v>3.09</v>
      </c>
      <c r="BX60" s="1882" t="s">
        <v>2459</v>
      </c>
      <c r="BY60" s="1882">
        <v>0</v>
      </c>
      <c r="BZ60" s="1882">
        <v>0</v>
      </c>
      <c r="CA60" s="1882">
        <v>0</v>
      </c>
      <c r="CB60" s="1882">
        <v>0</v>
      </c>
      <c r="CC60" s="1882">
        <v>3.09</v>
      </c>
      <c r="CD60" s="1882" t="s">
        <v>2459</v>
      </c>
      <c r="CE60" s="1882">
        <v>0</v>
      </c>
      <c r="CF60" s="1882">
        <v>0</v>
      </c>
      <c r="CG60" s="1882">
        <v>0</v>
      </c>
      <c r="CH60" s="1882">
        <v>0</v>
      </c>
      <c r="CI60" s="1882">
        <v>3.09</v>
      </c>
      <c r="CJ60" s="1882" t="s">
        <v>2459</v>
      </c>
      <c r="CK60" s="1882">
        <v>0</v>
      </c>
      <c r="CL60" s="1882">
        <v>0</v>
      </c>
      <c r="CM60" s="1882">
        <v>0</v>
      </c>
      <c r="CN60" s="1882">
        <v>0</v>
      </c>
      <c r="CP60" s="1882" t="s">
        <v>8879</v>
      </c>
    </row>
    <row r="61" spans="1:94">
      <c r="A61" s="1882" t="s">
        <v>8846</v>
      </c>
      <c r="B61" s="1882" t="s">
        <v>8880</v>
      </c>
      <c r="C61" s="1882" t="s">
        <v>8394</v>
      </c>
      <c r="D61" s="1882" t="s">
        <v>1626</v>
      </c>
      <c r="E61" s="1882" t="s">
        <v>8503</v>
      </c>
      <c r="F61" s="1882" t="s">
        <v>8881</v>
      </c>
      <c r="G61" s="1882" t="s">
        <v>8261</v>
      </c>
      <c r="H61" s="1882" t="s">
        <v>8882</v>
      </c>
      <c r="I61" s="1882" t="s">
        <v>8883</v>
      </c>
      <c r="J61" s="1882" t="s">
        <v>8519</v>
      </c>
      <c r="K61" s="1882" t="s">
        <v>8509</v>
      </c>
      <c r="L61" s="1882"/>
      <c r="M61" s="1882"/>
      <c r="N61" s="1882" t="s">
        <v>8547</v>
      </c>
      <c r="O61" s="1882" t="s">
        <v>732</v>
      </c>
      <c r="P61" s="1882" t="s">
        <v>8548</v>
      </c>
      <c r="Q61" s="520">
        <v>2</v>
      </c>
      <c r="R61" s="1882" t="s">
        <v>8549</v>
      </c>
      <c r="S61" s="1882">
        <v>99.96</v>
      </c>
      <c r="T61" s="1882">
        <v>99.96</v>
      </c>
      <c r="U61" s="1882">
        <v>99.96</v>
      </c>
      <c r="V61" s="1882">
        <v>100</v>
      </c>
      <c r="W61" s="1882">
        <v>100</v>
      </c>
      <c r="X61" s="1882">
        <v>100</v>
      </c>
      <c r="Y61" s="1882" t="s">
        <v>2459</v>
      </c>
      <c r="Z61" s="1882"/>
      <c r="AA61" s="1882"/>
      <c r="AB61" s="1882"/>
      <c r="AC61" s="1882"/>
      <c r="AD61" s="1882"/>
      <c r="AE61" s="1882" t="s">
        <v>2459</v>
      </c>
      <c r="AF61" s="1882"/>
      <c r="AG61" s="1882"/>
      <c r="AH61" s="1882">
        <v>0</v>
      </c>
      <c r="AI61" s="1882" t="s">
        <v>2459</v>
      </c>
      <c r="AJ61" s="1882" t="s">
        <v>2459</v>
      </c>
      <c r="AK61" s="1882" t="s">
        <v>2459</v>
      </c>
      <c r="AL61" s="1882" t="s">
        <v>2459</v>
      </c>
      <c r="AM61" s="1882" t="s">
        <v>2459</v>
      </c>
      <c r="AN61" s="1882">
        <v>99.94</v>
      </c>
      <c r="AO61" s="1882">
        <v>99.94</v>
      </c>
      <c r="AP61" s="1882">
        <v>99.94</v>
      </c>
      <c r="AQ61" s="1882">
        <v>99.94</v>
      </c>
      <c r="AR61" s="1882">
        <v>99.94</v>
      </c>
      <c r="AS61" s="1882">
        <v>99.95</v>
      </c>
      <c r="AT61" s="1882">
        <v>99.95</v>
      </c>
      <c r="AU61" s="1882">
        <v>99.95</v>
      </c>
      <c r="AV61" s="1882">
        <v>99.95</v>
      </c>
      <c r="AW61" s="1882">
        <v>99.95</v>
      </c>
      <c r="AX61" s="1882"/>
      <c r="AY61" s="1882"/>
      <c r="AZ61" s="1882"/>
      <c r="BA61" s="1882"/>
      <c r="BB61" s="1882"/>
      <c r="BC61" s="1882"/>
      <c r="BD61" s="1882"/>
      <c r="BE61" s="1882"/>
      <c r="BF61" s="1882"/>
      <c r="BG61" s="1882"/>
      <c r="BH61" s="1882">
        <v>0.28399999999999997</v>
      </c>
      <c r="BI61" s="1882"/>
      <c r="BJ61" s="1882"/>
      <c r="BK61" s="1882"/>
      <c r="BL61" s="1882"/>
      <c r="BM61" s="1882"/>
      <c r="BN61" s="1882">
        <v>100</v>
      </c>
      <c r="BO61" s="1882" t="s">
        <v>8884</v>
      </c>
      <c r="BP61" s="520">
        <v>99.92</v>
      </c>
      <c r="BQ61" s="696">
        <v>99.93</v>
      </c>
      <c r="BR61" s="1882" t="s">
        <v>2460</v>
      </c>
      <c r="BS61" s="1882" t="s">
        <v>8513</v>
      </c>
      <c r="BT61" s="1882">
        <v>0</v>
      </c>
      <c r="BU61" s="1882" t="s">
        <v>8563</v>
      </c>
      <c r="BV61" s="1882">
        <v>-0.28399999999999997</v>
      </c>
      <c r="BW61" s="1882">
        <v>99.97</v>
      </c>
      <c r="BX61" s="1882" t="s">
        <v>2459</v>
      </c>
      <c r="BY61" s="1882">
        <v>0</v>
      </c>
      <c r="BZ61" s="1882">
        <v>0</v>
      </c>
      <c r="CA61" s="1882">
        <v>0</v>
      </c>
      <c r="CB61" s="1882">
        <v>0</v>
      </c>
      <c r="CC61" s="1882">
        <v>99.93</v>
      </c>
      <c r="CD61" s="1882" t="s">
        <v>2460</v>
      </c>
      <c r="CE61" s="1882">
        <v>0</v>
      </c>
      <c r="CF61" s="1882">
        <v>0</v>
      </c>
      <c r="CG61" s="1882" t="s">
        <v>8384</v>
      </c>
      <c r="CH61" s="1882">
        <v>-0.28399999999999997</v>
      </c>
      <c r="CI61" s="1882">
        <v>99.99</v>
      </c>
      <c r="CJ61" s="1882" t="s">
        <v>2460</v>
      </c>
      <c r="CK61" s="1882">
        <v>0</v>
      </c>
      <c r="CL61" s="1882">
        <v>0</v>
      </c>
      <c r="CM61" s="1882" t="s">
        <v>8388</v>
      </c>
      <c r="CN61" s="1882">
        <v>0</v>
      </c>
      <c r="CP61" s="1882" t="s">
        <v>8885</v>
      </c>
    </row>
    <row r="62" spans="1:94">
      <c r="A62" s="1882" t="s">
        <v>8846</v>
      </c>
      <c r="B62" s="1882" t="s">
        <v>8886</v>
      </c>
      <c r="C62" s="1882" t="s">
        <v>8394</v>
      </c>
      <c r="D62" s="1882" t="s">
        <v>1626</v>
      </c>
      <c r="E62" s="1882" t="s">
        <v>8503</v>
      </c>
      <c r="F62" s="1882" t="s">
        <v>8887</v>
      </c>
      <c r="G62" s="1882" t="s">
        <v>8277</v>
      </c>
      <c r="H62" s="1882" t="s">
        <v>8888</v>
      </c>
      <c r="I62" s="1882" t="s">
        <v>8889</v>
      </c>
      <c r="J62" s="1882" t="s">
        <v>8508</v>
      </c>
      <c r="K62" s="1882" t="s">
        <v>8509</v>
      </c>
      <c r="L62" s="1882"/>
      <c r="M62" s="1882"/>
      <c r="N62" s="1882" t="s">
        <v>8463</v>
      </c>
      <c r="O62" s="1882" t="s">
        <v>764</v>
      </c>
      <c r="P62" s="1882" t="s">
        <v>8890</v>
      </c>
      <c r="Q62" s="520">
        <v>0</v>
      </c>
      <c r="R62" s="1882" t="s">
        <v>8511</v>
      </c>
      <c r="S62" s="1882">
        <v>2450</v>
      </c>
      <c r="T62" s="1882">
        <v>2422</v>
      </c>
      <c r="U62" s="1882">
        <v>2409</v>
      </c>
      <c r="V62" s="1882">
        <v>2322</v>
      </c>
      <c r="W62" s="1882">
        <v>2275</v>
      </c>
      <c r="X62" s="1882">
        <v>2221</v>
      </c>
      <c r="Y62" s="1882"/>
      <c r="Z62" s="1882" t="s">
        <v>2459</v>
      </c>
      <c r="AA62" s="1882"/>
      <c r="AB62" s="1882"/>
      <c r="AC62" s="1882"/>
      <c r="AD62" s="1882"/>
      <c r="AE62" s="1882" t="s">
        <v>2459</v>
      </c>
      <c r="AF62" s="1882"/>
      <c r="AG62" s="1882"/>
      <c r="AH62" s="1882">
        <v>0</v>
      </c>
      <c r="AI62" s="1882" t="s">
        <v>2459</v>
      </c>
      <c r="AJ62" s="1882" t="s">
        <v>2459</v>
      </c>
      <c r="AK62" s="1882" t="s">
        <v>2459</v>
      </c>
      <c r="AL62" s="1882" t="s">
        <v>2459</v>
      </c>
      <c r="AM62" s="1882" t="s">
        <v>2459</v>
      </c>
      <c r="AN62" s="1882">
        <v>2477</v>
      </c>
      <c r="AO62" s="1882">
        <v>2464</v>
      </c>
      <c r="AP62" s="1882">
        <v>2377</v>
      </c>
      <c r="AQ62" s="1882">
        <v>2330</v>
      </c>
      <c r="AR62" s="1882">
        <v>2276</v>
      </c>
      <c r="AS62" s="1882">
        <v>2422</v>
      </c>
      <c r="AT62" s="1882">
        <v>2409</v>
      </c>
      <c r="AU62" s="1882">
        <v>2322</v>
      </c>
      <c r="AV62" s="1882">
        <v>2275</v>
      </c>
      <c r="AW62" s="1882">
        <v>2221</v>
      </c>
      <c r="AX62" s="1882">
        <v>1439</v>
      </c>
      <c r="AY62" s="1882">
        <v>1439</v>
      </c>
      <c r="AZ62" s="1882">
        <v>1439</v>
      </c>
      <c r="BA62" s="1882">
        <v>1439</v>
      </c>
      <c r="BB62" s="1882">
        <v>1439</v>
      </c>
      <c r="BC62" s="1882">
        <v>1276</v>
      </c>
      <c r="BD62" s="1882">
        <v>1276</v>
      </c>
      <c r="BE62" s="1882">
        <v>1276</v>
      </c>
      <c r="BF62" s="1882">
        <v>1276</v>
      </c>
      <c r="BG62" s="1882">
        <v>1276</v>
      </c>
      <c r="BH62" s="1882">
        <v>5.8950000000000001E-3</v>
      </c>
      <c r="BI62" s="1882"/>
      <c r="BJ62" s="1882"/>
      <c r="BK62" s="1882"/>
      <c r="BL62" s="1882">
        <v>1.23E-3</v>
      </c>
      <c r="BM62" s="1882"/>
      <c r="BN62" s="1882">
        <v>1</v>
      </c>
      <c r="BO62" s="1882" t="s">
        <v>8512</v>
      </c>
      <c r="BP62" s="520">
        <v>2576</v>
      </c>
      <c r="BQ62" s="695">
        <v>2329</v>
      </c>
      <c r="BR62" s="1882" t="s">
        <v>2459</v>
      </c>
      <c r="BS62" s="1882" t="s">
        <v>8513</v>
      </c>
      <c r="BT62" s="1882">
        <v>0</v>
      </c>
      <c r="BU62" s="1882" t="s">
        <v>8380</v>
      </c>
      <c r="BV62" s="1882">
        <v>0</v>
      </c>
      <c r="BW62" s="1882">
        <v>2162</v>
      </c>
      <c r="BX62" s="1882" t="s">
        <v>2459</v>
      </c>
      <c r="BY62" s="1882">
        <v>0</v>
      </c>
      <c r="BZ62" s="1882">
        <v>0</v>
      </c>
      <c r="CA62" s="1882" t="s">
        <v>8380</v>
      </c>
      <c r="CB62" s="1882">
        <v>0</v>
      </c>
      <c r="CC62" s="1882">
        <v>1711</v>
      </c>
      <c r="CD62" s="1882" t="s">
        <v>2459</v>
      </c>
      <c r="CE62" s="1882">
        <v>0</v>
      </c>
      <c r="CF62" s="1882">
        <v>0</v>
      </c>
      <c r="CG62" s="1882" t="s">
        <v>8380</v>
      </c>
      <c r="CH62" s="1882">
        <v>0</v>
      </c>
      <c r="CI62" s="1882">
        <v>1934</v>
      </c>
      <c r="CJ62" s="1882" t="s">
        <v>2459</v>
      </c>
      <c r="CK62" s="1882">
        <v>0</v>
      </c>
      <c r="CL62" s="1882">
        <v>0</v>
      </c>
      <c r="CM62" s="1882" t="s">
        <v>8380</v>
      </c>
      <c r="CN62" s="1882">
        <v>0</v>
      </c>
      <c r="CP62" s="1882" t="s">
        <v>8891</v>
      </c>
    </row>
    <row r="63" spans="1:94">
      <c r="A63" s="1882" t="s">
        <v>8846</v>
      </c>
      <c r="B63" s="1882" t="s">
        <v>8892</v>
      </c>
      <c r="C63" s="1882" t="s">
        <v>8394</v>
      </c>
      <c r="D63" s="1882" t="s">
        <v>1626</v>
      </c>
      <c r="E63" s="1882" t="s">
        <v>8503</v>
      </c>
      <c r="F63" s="1882" t="s">
        <v>8893</v>
      </c>
      <c r="G63" s="1882" t="s">
        <v>8293</v>
      </c>
      <c r="H63" s="1882" t="s">
        <v>8894</v>
      </c>
      <c r="I63" s="1882" t="s">
        <v>8895</v>
      </c>
      <c r="J63" s="1882" t="s">
        <v>8508</v>
      </c>
      <c r="K63" s="1882" t="s">
        <v>8509</v>
      </c>
      <c r="L63" s="1882"/>
      <c r="M63" s="1882" t="s">
        <v>2460</v>
      </c>
      <c r="N63" s="1882" t="s">
        <v>2444</v>
      </c>
      <c r="O63" s="1882" t="s">
        <v>764</v>
      </c>
      <c r="P63" s="1882" t="s">
        <v>8510</v>
      </c>
      <c r="Q63" s="520">
        <v>1</v>
      </c>
      <c r="R63" s="1882" t="s">
        <v>8511</v>
      </c>
      <c r="S63" s="1882">
        <v>48</v>
      </c>
      <c r="T63" s="1882">
        <v>48</v>
      </c>
      <c r="U63" s="1882">
        <v>47</v>
      </c>
      <c r="V63" s="1882">
        <v>45</v>
      </c>
      <c r="W63" s="1882">
        <v>44</v>
      </c>
      <c r="X63" s="1882">
        <v>43</v>
      </c>
      <c r="Y63" s="1882"/>
      <c r="Z63" s="1882"/>
      <c r="AA63" s="1882"/>
      <c r="AB63" s="1882"/>
      <c r="AC63" s="1882"/>
      <c r="AD63" s="1882"/>
      <c r="AE63" s="1882" t="s">
        <v>2459</v>
      </c>
      <c r="AF63" s="1882"/>
      <c r="AG63" s="1882"/>
      <c r="AH63" s="1882">
        <v>0</v>
      </c>
      <c r="AI63" s="1882" t="s">
        <v>2459</v>
      </c>
      <c r="AJ63" s="1882" t="s">
        <v>2459</v>
      </c>
      <c r="AK63" s="1882" t="s">
        <v>2459</v>
      </c>
      <c r="AL63" s="1882" t="s">
        <v>2459</v>
      </c>
      <c r="AM63" s="1882" t="s">
        <v>2459</v>
      </c>
      <c r="AN63" s="1882">
        <v>50</v>
      </c>
      <c r="AO63" s="1882">
        <v>49</v>
      </c>
      <c r="AP63" s="1882">
        <v>47</v>
      </c>
      <c r="AQ63" s="1882">
        <v>46</v>
      </c>
      <c r="AR63" s="1882">
        <v>45</v>
      </c>
      <c r="AS63" s="1882">
        <v>48</v>
      </c>
      <c r="AT63" s="1882">
        <v>47</v>
      </c>
      <c r="AU63" s="1882">
        <v>45</v>
      </c>
      <c r="AV63" s="1882">
        <v>44</v>
      </c>
      <c r="AW63" s="1882">
        <v>43</v>
      </c>
      <c r="AX63" s="1882">
        <v>44</v>
      </c>
      <c r="AY63" s="1882">
        <v>44</v>
      </c>
      <c r="AZ63" s="1882">
        <v>44</v>
      </c>
      <c r="BA63" s="1882">
        <v>44</v>
      </c>
      <c r="BB63" s="1882">
        <v>43</v>
      </c>
      <c r="BC63" s="1882">
        <v>42</v>
      </c>
      <c r="BD63" s="1882">
        <v>42</v>
      </c>
      <c r="BE63" s="1882">
        <v>42</v>
      </c>
      <c r="BF63" s="1882">
        <v>42</v>
      </c>
      <c r="BG63" s="1882">
        <v>41</v>
      </c>
      <c r="BH63" s="1882">
        <v>0.90200000000000002</v>
      </c>
      <c r="BI63" s="1882"/>
      <c r="BJ63" s="1882"/>
      <c r="BK63" s="1882"/>
      <c r="BL63" s="1882">
        <v>0.48599999999999999</v>
      </c>
      <c r="BM63" s="1882"/>
      <c r="BN63" s="1882">
        <v>1</v>
      </c>
      <c r="BO63" s="1882" t="s">
        <v>8512</v>
      </c>
      <c r="BP63" s="520">
        <v>45.1</v>
      </c>
      <c r="BQ63" s="695">
        <v>44.2</v>
      </c>
      <c r="BR63" s="1882" t="s">
        <v>2459</v>
      </c>
      <c r="BS63" s="1882" t="s">
        <v>8513</v>
      </c>
      <c r="BT63" s="1882">
        <v>0</v>
      </c>
      <c r="BU63" s="1882" t="s">
        <v>8380</v>
      </c>
      <c r="BV63" s="1882">
        <v>0</v>
      </c>
      <c r="BW63" s="1882">
        <v>47.4</v>
      </c>
      <c r="BX63" s="1882" t="s">
        <v>2460</v>
      </c>
      <c r="BY63" s="1882">
        <v>0</v>
      </c>
      <c r="BZ63" s="1882">
        <v>0</v>
      </c>
      <c r="CA63" s="1882" t="s">
        <v>8563</v>
      </c>
      <c r="CB63" s="1882">
        <v>0</v>
      </c>
      <c r="CC63" s="1882">
        <v>49.58</v>
      </c>
      <c r="CD63" s="1882" t="s">
        <v>2460</v>
      </c>
      <c r="CE63" s="1882">
        <v>0</v>
      </c>
      <c r="CF63" s="1882">
        <v>0</v>
      </c>
      <c r="CG63" s="1882" t="s">
        <v>8384</v>
      </c>
      <c r="CH63" s="1882">
        <v>-1.0824</v>
      </c>
      <c r="CI63" s="1882">
        <v>45.83</v>
      </c>
      <c r="CJ63" s="1882" t="s">
        <v>2460</v>
      </c>
      <c r="CK63" s="1882">
        <v>0</v>
      </c>
      <c r="CL63" s="1882">
        <v>0</v>
      </c>
      <c r="CM63" s="1882" t="s">
        <v>8384</v>
      </c>
      <c r="CN63" s="1882">
        <v>-1.804</v>
      </c>
      <c r="CP63" s="1882" t="s">
        <v>8896</v>
      </c>
    </row>
    <row r="64" spans="1:94">
      <c r="A64" s="1882" t="s">
        <v>8846</v>
      </c>
      <c r="B64" s="1882" t="s">
        <v>8897</v>
      </c>
      <c r="C64" s="1882" t="s">
        <v>8394</v>
      </c>
      <c r="D64" s="1882" t="s">
        <v>1626</v>
      </c>
      <c r="E64" s="1882" t="s">
        <v>8503</v>
      </c>
      <c r="F64" s="1882" t="s">
        <v>8898</v>
      </c>
      <c r="G64" s="1882" t="s">
        <v>8899</v>
      </c>
      <c r="H64" s="1882" t="s">
        <v>8900</v>
      </c>
      <c r="I64" s="1882" t="s">
        <v>8901</v>
      </c>
      <c r="J64" s="1882" t="s">
        <v>8508</v>
      </c>
      <c r="K64" s="1882" t="s">
        <v>8509</v>
      </c>
      <c r="L64" s="1882"/>
      <c r="M64" s="1882"/>
      <c r="N64" s="1882" t="s">
        <v>8902</v>
      </c>
      <c r="O64" s="1882" t="s">
        <v>732</v>
      </c>
      <c r="P64" s="1882" t="s">
        <v>8903</v>
      </c>
      <c r="Q64" s="520">
        <v>1</v>
      </c>
      <c r="R64" s="1882" t="s">
        <v>8549</v>
      </c>
      <c r="S64" s="1882">
        <v>45.6</v>
      </c>
      <c r="T64" s="1882">
        <v>50.4</v>
      </c>
      <c r="U64" s="1882">
        <v>54.8</v>
      </c>
      <c r="V64" s="1882">
        <v>58.8</v>
      </c>
      <c r="W64" s="1882">
        <v>62.5</v>
      </c>
      <c r="X64" s="1882">
        <v>65.900000000000006</v>
      </c>
      <c r="Y64" s="1882"/>
      <c r="Z64" s="1882"/>
      <c r="AA64" s="1882"/>
      <c r="AB64" s="1882"/>
      <c r="AC64" s="1882"/>
      <c r="AD64" s="1882"/>
      <c r="AE64" s="1882"/>
      <c r="AF64" s="1882"/>
      <c r="AG64" s="1882"/>
      <c r="AH64" s="1882">
        <v>0</v>
      </c>
      <c r="AI64" s="1882" t="s">
        <v>2459</v>
      </c>
      <c r="AJ64" s="1882" t="s">
        <v>2459</v>
      </c>
      <c r="AK64" s="1882" t="s">
        <v>2459</v>
      </c>
      <c r="AL64" s="1882" t="s">
        <v>2459</v>
      </c>
      <c r="AM64" s="1882" t="s">
        <v>2459</v>
      </c>
      <c r="AN64" s="1882">
        <v>46.4</v>
      </c>
      <c r="AO64" s="1882">
        <v>50.8</v>
      </c>
      <c r="AP64" s="1882">
        <v>54.8</v>
      </c>
      <c r="AQ64" s="1882">
        <v>58.5</v>
      </c>
      <c r="AR64" s="1882">
        <v>61.9</v>
      </c>
      <c r="AS64" s="1882">
        <v>50.4</v>
      </c>
      <c r="AT64" s="1882">
        <v>54.8</v>
      </c>
      <c r="AU64" s="1882">
        <v>58.8</v>
      </c>
      <c r="AV64" s="1882">
        <v>62.5</v>
      </c>
      <c r="AW64" s="1882">
        <v>65.900000000000006</v>
      </c>
      <c r="AX64" s="1882">
        <v>50.4</v>
      </c>
      <c r="AY64" s="1882">
        <v>54.8</v>
      </c>
      <c r="AZ64" s="1882">
        <v>58.8</v>
      </c>
      <c r="BA64" s="1882">
        <v>62.5</v>
      </c>
      <c r="BB64" s="1882">
        <v>65.900000000000006</v>
      </c>
      <c r="BC64" s="1882">
        <v>54.4</v>
      </c>
      <c r="BD64" s="1882">
        <v>58.8</v>
      </c>
      <c r="BE64" s="1882">
        <v>62.8</v>
      </c>
      <c r="BF64" s="1882">
        <v>66.5</v>
      </c>
      <c r="BG64" s="1882">
        <v>69.900000000000006</v>
      </c>
      <c r="BH64" s="1882">
        <v>3.7999999999999999E-2</v>
      </c>
      <c r="BI64" s="1882"/>
      <c r="BJ64" s="1882"/>
      <c r="BK64" s="1882"/>
      <c r="BL64" s="1882">
        <v>3.5999999999999997E-2</v>
      </c>
      <c r="BM64" s="1882"/>
      <c r="BN64" s="1882">
        <v>1</v>
      </c>
      <c r="BO64" s="1882" t="s">
        <v>8512</v>
      </c>
      <c r="BP64" s="520">
        <v>45.8</v>
      </c>
      <c r="BQ64" s="701">
        <v>47.3</v>
      </c>
      <c r="BR64" s="1882" t="s">
        <v>2460</v>
      </c>
      <c r="BS64" s="1882" t="s">
        <v>8513</v>
      </c>
      <c r="BT64" s="1882">
        <v>0</v>
      </c>
      <c r="BU64" s="1882" t="s">
        <v>8563</v>
      </c>
      <c r="BV64" s="1882">
        <v>-0.1178</v>
      </c>
      <c r="BW64" s="1882">
        <v>49.6</v>
      </c>
      <c r="BX64" s="1882" t="s">
        <v>2460</v>
      </c>
      <c r="BY64" s="1882">
        <v>0</v>
      </c>
      <c r="BZ64" s="1882">
        <v>0</v>
      </c>
      <c r="CA64" s="1882" t="s">
        <v>8563</v>
      </c>
      <c r="CB64" s="1882">
        <v>-0.152</v>
      </c>
      <c r="CC64" s="1882">
        <v>52.67</v>
      </c>
      <c r="CD64" s="1882" t="s">
        <v>2460</v>
      </c>
      <c r="CE64" s="1882">
        <v>0</v>
      </c>
      <c r="CF64" s="1882">
        <v>0</v>
      </c>
      <c r="CG64" s="1882" t="s">
        <v>8384</v>
      </c>
      <c r="CH64" s="1882">
        <v>-0.152</v>
      </c>
      <c r="CI64" s="1882">
        <v>56</v>
      </c>
      <c r="CJ64" s="1882" t="s">
        <v>2460</v>
      </c>
      <c r="CK64" s="1882">
        <v>0</v>
      </c>
      <c r="CL64" s="1882">
        <v>0</v>
      </c>
      <c r="CM64" s="1882" t="s">
        <v>8384</v>
      </c>
      <c r="CN64" s="1882">
        <v>-0.152</v>
      </c>
      <c r="CP64" s="1882" t="s">
        <v>8904</v>
      </c>
    </row>
    <row r="65" spans="1:94">
      <c r="A65" s="1882" t="s">
        <v>8846</v>
      </c>
      <c r="B65" s="1882" t="s">
        <v>8905</v>
      </c>
      <c r="C65" s="1882" t="s">
        <v>8394</v>
      </c>
      <c r="D65" s="1882" t="s">
        <v>1626</v>
      </c>
      <c r="E65" s="1882" t="s">
        <v>8503</v>
      </c>
      <c r="F65" s="1882" t="s">
        <v>8906</v>
      </c>
      <c r="G65" s="1882" t="s">
        <v>8907</v>
      </c>
      <c r="H65" s="1882" t="s">
        <v>8908</v>
      </c>
      <c r="I65" s="1882" t="s">
        <v>8909</v>
      </c>
      <c r="J65" s="1882" t="s">
        <v>8539</v>
      </c>
      <c r="K65" s="1882"/>
      <c r="L65" s="1882"/>
      <c r="M65" s="1882"/>
      <c r="N65" s="1882" t="s">
        <v>8681</v>
      </c>
      <c r="O65" s="1882" t="s">
        <v>764</v>
      </c>
      <c r="P65" s="1882" t="s">
        <v>8910</v>
      </c>
      <c r="Q65" s="520">
        <v>0</v>
      </c>
      <c r="R65" s="1882" t="s">
        <v>8511</v>
      </c>
      <c r="S65" s="1882">
        <v>40</v>
      </c>
      <c r="T65" s="1882">
        <v>32</v>
      </c>
      <c r="U65" s="1882">
        <v>25</v>
      </c>
      <c r="V65" s="1882">
        <v>23</v>
      </c>
      <c r="W65" s="1882">
        <v>22</v>
      </c>
      <c r="X65" s="1882">
        <v>20</v>
      </c>
      <c r="Y65" s="1882"/>
      <c r="Z65" s="1882"/>
      <c r="AA65" s="1882"/>
      <c r="AB65" s="1882"/>
      <c r="AC65" s="1882"/>
      <c r="AD65" s="1882"/>
      <c r="AE65" s="1882"/>
      <c r="AF65" s="1882"/>
      <c r="AG65" s="1882"/>
      <c r="AH65" s="1882">
        <v>0</v>
      </c>
      <c r="AI65" s="1882"/>
      <c r="AJ65" s="1882"/>
      <c r="AK65" s="1882"/>
      <c r="AL65" s="1882"/>
      <c r="AM65" s="1882"/>
      <c r="AN65" s="1882"/>
      <c r="AO65" s="1882"/>
      <c r="AP65" s="1882"/>
      <c r="AQ65" s="1882"/>
      <c r="AR65" s="1882"/>
      <c r="AS65" s="1882"/>
      <c r="AT65" s="1882"/>
      <c r="AU65" s="1882"/>
      <c r="AV65" s="1882"/>
      <c r="AW65" s="1882"/>
      <c r="AX65" s="1882"/>
      <c r="AY65" s="1882"/>
      <c r="AZ65" s="1882"/>
      <c r="BA65" s="1882"/>
      <c r="BB65" s="1882"/>
      <c r="BC65" s="1882"/>
      <c r="BD65" s="1882"/>
      <c r="BE65" s="1882"/>
      <c r="BF65" s="1882"/>
      <c r="BG65" s="1882"/>
      <c r="BH65" s="1882"/>
      <c r="BI65" s="1882"/>
      <c r="BJ65" s="1882"/>
      <c r="BK65" s="1882"/>
      <c r="BL65" s="1882"/>
      <c r="BM65" s="1882"/>
      <c r="BN65" s="1882"/>
      <c r="BO65" s="1882"/>
      <c r="BP65" s="520">
        <v>38.5</v>
      </c>
      <c r="BQ65" s="695">
        <v>35.26</v>
      </c>
      <c r="BR65" s="1882" t="s">
        <v>2460</v>
      </c>
      <c r="BS65" s="1882" t="s">
        <v>8513</v>
      </c>
      <c r="BT65" s="1882">
        <v>0</v>
      </c>
      <c r="BU65" s="1882" t="s">
        <v>8513</v>
      </c>
      <c r="BV65" s="1882">
        <v>0</v>
      </c>
      <c r="BW65" s="1882">
        <v>31.8</v>
      </c>
      <c r="BX65" s="1882" t="s">
        <v>2460</v>
      </c>
      <c r="BY65" s="1882">
        <v>0</v>
      </c>
      <c r="BZ65" s="1882">
        <v>0</v>
      </c>
      <c r="CA65" s="1882">
        <v>0</v>
      </c>
      <c r="CB65" s="1882">
        <v>0</v>
      </c>
      <c r="CC65" s="1882">
        <v>28.35</v>
      </c>
      <c r="CD65" s="1882" t="s">
        <v>2460</v>
      </c>
      <c r="CE65" s="1882">
        <v>0</v>
      </c>
      <c r="CF65" s="1882">
        <v>0</v>
      </c>
      <c r="CG65" s="1882">
        <v>0</v>
      </c>
      <c r="CH65" s="1882">
        <v>0</v>
      </c>
      <c r="CI65" s="1882">
        <v>22.81</v>
      </c>
      <c r="CJ65" s="1882" t="s">
        <v>2460</v>
      </c>
      <c r="CK65" s="1882">
        <v>0</v>
      </c>
      <c r="CL65" s="1882">
        <v>0</v>
      </c>
      <c r="CM65" s="1882">
        <v>0</v>
      </c>
      <c r="CN65" s="1882">
        <v>0</v>
      </c>
      <c r="CP65" s="1882" t="s">
        <v>8911</v>
      </c>
    </row>
    <row r="66" spans="1:94" ht="25">
      <c r="A66" s="1882" t="s">
        <v>8846</v>
      </c>
      <c r="B66" s="1882" t="s">
        <v>8912</v>
      </c>
      <c r="C66" s="1882" t="s">
        <v>8394</v>
      </c>
      <c r="D66" s="1882" t="s">
        <v>1626</v>
      </c>
      <c r="E66" s="1882" t="s">
        <v>8503</v>
      </c>
      <c r="F66" s="1882" t="s">
        <v>8906</v>
      </c>
      <c r="G66" s="1882" t="s">
        <v>8913</v>
      </c>
      <c r="H66" s="1882" t="s">
        <v>8914</v>
      </c>
      <c r="I66" s="1882" t="s">
        <v>8915</v>
      </c>
      <c r="J66" s="1882" t="s">
        <v>8539</v>
      </c>
      <c r="K66" s="1882"/>
      <c r="L66" s="1882"/>
      <c r="M66" s="1882"/>
      <c r="N66" s="1882" t="s">
        <v>8533</v>
      </c>
      <c r="O66" s="1882" t="s">
        <v>8704</v>
      </c>
      <c r="P66" s="1882" t="s">
        <v>8916</v>
      </c>
      <c r="Q66" s="520">
        <v>0</v>
      </c>
      <c r="R66" s="1882"/>
      <c r="S66" s="1882" t="s">
        <v>8857</v>
      </c>
      <c r="T66" s="1882" t="s">
        <v>8857</v>
      </c>
      <c r="U66" s="1882" t="s">
        <v>8857</v>
      </c>
      <c r="V66" s="1882" t="s">
        <v>8858</v>
      </c>
      <c r="W66" s="1882" t="s">
        <v>8858</v>
      </c>
      <c r="X66" s="1882" t="s">
        <v>8706</v>
      </c>
      <c r="Y66" s="1882"/>
      <c r="Z66" s="1882"/>
      <c r="AA66" s="1882"/>
      <c r="AB66" s="1882"/>
      <c r="AC66" s="1882"/>
      <c r="AD66" s="1882"/>
      <c r="AE66" s="1882"/>
      <c r="AF66" s="1882" t="s">
        <v>2459</v>
      </c>
      <c r="AG66" s="1882"/>
      <c r="AH66" s="1882">
        <v>0</v>
      </c>
      <c r="AI66" s="1882"/>
      <c r="AJ66" s="1882"/>
      <c r="AK66" s="1882"/>
      <c r="AL66" s="1882"/>
      <c r="AM66" s="1882"/>
      <c r="AN66" s="1882"/>
      <c r="AO66" s="1882"/>
      <c r="AP66" s="1882"/>
      <c r="AQ66" s="1882"/>
      <c r="AR66" s="1882"/>
      <c r="AS66" s="1882"/>
      <c r="AT66" s="1882"/>
      <c r="AU66" s="1882"/>
      <c r="AV66" s="1882"/>
      <c r="AW66" s="1882"/>
      <c r="AX66" s="1882"/>
      <c r="AY66" s="1882"/>
      <c r="AZ66" s="1882"/>
      <c r="BA66" s="1882"/>
      <c r="BB66" s="1882"/>
      <c r="BC66" s="1882"/>
      <c r="BD66" s="1882"/>
      <c r="BE66" s="1882"/>
      <c r="BF66" s="1882"/>
      <c r="BG66" s="1882"/>
      <c r="BH66" s="1882"/>
      <c r="BI66" s="1882"/>
      <c r="BJ66" s="1882"/>
      <c r="BK66" s="1882"/>
      <c r="BL66" s="1882"/>
      <c r="BM66" s="1882"/>
      <c r="BN66" s="1882"/>
      <c r="BO66" s="1882"/>
      <c r="BP66" s="520" t="s">
        <v>8857</v>
      </c>
      <c r="BQ66" s="697" t="s">
        <v>8857</v>
      </c>
      <c r="BR66" s="1882" t="s">
        <v>2459</v>
      </c>
      <c r="BS66" s="1882" t="s">
        <v>8513</v>
      </c>
      <c r="BT66" s="1882">
        <v>0</v>
      </c>
      <c r="BU66" s="1882" t="s">
        <v>8513</v>
      </c>
      <c r="BV66" s="1882">
        <v>0</v>
      </c>
      <c r="BW66" s="1882" t="s">
        <v>8857</v>
      </c>
      <c r="BX66" s="1882" t="s">
        <v>2459</v>
      </c>
      <c r="BY66" s="1882">
        <v>0</v>
      </c>
      <c r="BZ66" s="1882">
        <v>0</v>
      </c>
      <c r="CA66" s="1882">
        <v>0</v>
      </c>
      <c r="CB66" s="1882">
        <v>0</v>
      </c>
      <c r="CC66" s="1882">
        <v>-1</v>
      </c>
      <c r="CD66" s="1882" t="s">
        <v>2459</v>
      </c>
      <c r="CE66" s="1882">
        <v>0</v>
      </c>
      <c r="CF66" s="1882">
        <v>0</v>
      </c>
      <c r="CG66" s="1882">
        <v>0</v>
      </c>
      <c r="CH66" s="1882">
        <v>0</v>
      </c>
      <c r="CI66" s="1882">
        <v>-14</v>
      </c>
      <c r="CJ66" s="1882" t="s">
        <v>2459</v>
      </c>
      <c r="CK66" s="1882">
        <v>0</v>
      </c>
      <c r="CL66" s="1882">
        <v>0</v>
      </c>
      <c r="CM66" s="1882">
        <v>0</v>
      </c>
      <c r="CN66" s="1882">
        <v>0</v>
      </c>
      <c r="CP66" s="1882" t="s">
        <v>8917</v>
      </c>
    </row>
    <row r="67" spans="1:94">
      <c r="A67" s="1882" t="s">
        <v>8846</v>
      </c>
      <c r="B67" s="1882" t="s">
        <v>8918</v>
      </c>
      <c r="C67" s="1882" t="s">
        <v>8394</v>
      </c>
      <c r="D67" s="1882" t="s">
        <v>1626</v>
      </c>
      <c r="E67" s="1882" t="s">
        <v>8503</v>
      </c>
      <c r="F67" s="1882" t="s">
        <v>8906</v>
      </c>
      <c r="G67" s="1882" t="s">
        <v>8919</v>
      </c>
      <c r="H67" s="1882" t="s">
        <v>8920</v>
      </c>
      <c r="I67" s="1882" t="s">
        <v>8921</v>
      </c>
      <c r="J67" s="1882" t="s">
        <v>8539</v>
      </c>
      <c r="K67" s="1882"/>
      <c r="L67" s="1882"/>
      <c r="M67" s="1882"/>
      <c r="N67" s="1882" t="s">
        <v>8666</v>
      </c>
      <c r="O67" s="1882" t="s">
        <v>8591</v>
      </c>
      <c r="P67" s="1882" t="s">
        <v>8922</v>
      </c>
      <c r="Q67" s="520">
        <v>0</v>
      </c>
      <c r="R67" s="1882" t="s">
        <v>8549</v>
      </c>
      <c r="S67" s="1882" t="s">
        <v>8923</v>
      </c>
      <c r="T67" s="1882" t="s">
        <v>8924</v>
      </c>
      <c r="U67" s="1882" t="s">
        <v>8924</v>
      </c>
      <c r="V67" s="1882" t="s">
        <v>8924</v>
      </c>
      <c r="W67" s="1882" t="s">
        <v>8924</v>
      </c>
      <c r="X67" s="1882" t="s">
        <v>8924</v>
      </c>
      <c r="Y67" s="1882"/>
      <c r="Z67" s="1882"/>
      <c r="AA67" s="1882"/>
      <c r="AB67" s="1882"/>
      <c r="AC67" s="1882"/>
      <c r="AD67" s="1882"/>
      <c r="AE67" s="1882"/>
      <c r="AF67" s="1882" t="s">
        <v>2459</v>
      </c>
      <c r="AG67" s="1882"/>
      <c r="AH67" s="1882">
        <v>0</v>
      </c>
      <c r="AI67" s="1882"/>
      <c r="AJ67" s="1882"/>
      <c r="AK67" s="1882"/>
      <c r="AL67" s="1882"/>
      <c r="AM67" s="1882"/>
      <c r="AN67" s="1882"/>
      <c r="AO67" s="1882"/>
      <c r="AP67" s="1882"/>
      <c r="AQ67" s="1882"/>
      <c r="AR67" s="1882"/>
      <c r="AS67" s="1882"/>
      <c r="AT67" s="1882"/>
      <c r="AU67" s="1882"/>
      <c r="AV67" s="1882"/>
      <c r="AW67" s="1882"/>
      <c r="AX67" s="1882"/>
      <c r="AY67" s="1882"/>
      <c r="AZ67" s="1882"/>
      <c r="BA67" s="1882"/>
      <c r="BB67" s="1882"/>
      <c r="BC67" s="1882"/>
      <c r="BD67" s="1882"/>
      <c r="BE67" s="1882"/>
      <c r="BF67" s="1882"/>
      <c r="BG67" s="1882"/>
      <c r="BH67" s="1882"/>
      <c r="BI67" s="1882"/>
      <c r="BJ67" s="1882"/>
      <c r="BK67" s="1882"/>
      <c r="BL67" s="1882"/>
      <c r="BM67" s="1882"/>
      <c r="BN67" s="1882"/>
      <c r="BO67" s="1882"/>
      <c r="BP67" s="520">
        <v>17596</v>
      </c>
      <c r="BQ67" s="702" t="s">
        <v>8925</v>
      </c>
      <c r="BR67" s="1882" t="s">
        <v>2459</v>
      </c>
      <c r="BS67" s="1882" t="s">
        <v>8513</v>
      </c>
      <c r="BT67" s="1882">
        <v>0</v>
      </c>
      <c r="BU67" s="1882" t="s">
        <v>8513</v>
      </c>
      <c r="BV67" s="1882">
        <v>0</v>
      </c>
      <c r="BW67" s="1882" t="s">
        <v>8925</v>
      </c>
      <c r="BX67" s="1882" t="s">
        <v>2459</v>
      </c>
      <c r="BY67" s="1882">
        <v>0</v>
      </c>
      <c r="BZ67" s="1882">
        <v>0</v>
      </c>
      <c r="CA67" s="1882">
        <v>0</v>
      </c>
      <c r="CB67" s="1882">
        <v>0</v>
      </c>
      <c r="CC67" s="1882">
        <v>17657.490000000002</v>
      </c>
      <c r="CD67" s="1882" t="s">
        <v>2459</v>
      </c>
      <c r="CE67" s="1882">
        <v>0</v>
      </c>
      <c r="CF67" s="1882">
        <v>0</v>
      </c>
      <c r="CG67" s="1882">
        <v>0</v>
      </c>
      <c r="CH67" s="1882">
        <v>0</v>
      </c>
      <c r="CI67" s="1882">
        <v>17668</v>
      </c>
      <c r="CJ67" s="1882" t="s">
        <v>2459</v>
      </c>
      <c r="CK67" s="1882">
        <v>0</v>
      </c>
      <c r="CL67" s="1882">
        <v>0</v>
      </c>
      <c r="CM67" s="1882">
        <v>0</v>
      </c>
      <c r="CN67" s="1882">
        <v>0</v>
      </c>
      <c r="CP67" s="1882" t="s">
        <v>8926</v>
      </c>
    </row>
    <row r="68" spans="1:94">
      <c r="A68" s="1882" t="s">
        <v>8846</v>
      </c>
      <c r="B68" s="1882" t="s">
        <v>8927</v>
      </c>
      <c r="C68" s="1882" t="s">
        <v>8394</v>
      </c>
      <c r="D68" s="1882" t="s">
        <v>1626</v>
      </c>
      <c r="E68" s="1882" t="s">
        <v>8503</v>
      </c>
      <c r="F68" s="1882" t="s">
        <v>8906</v>
      </c>
      <c r="G68" s="1882" t="s">
        <v>8928</v>
      </c>
      <c r="H68" s="1882" t="s">
        <v>8929</v>
      </c>
      <c r="I68" s="1882" t="s">
        <v>8930</v>
      </c>
      <c r="J68" s="1882" t="s">
        <v>8539</v>
      </c>
      <c r="K68" s="1882"/>
      <c r="L68" s="1882"/>
      <c r="M68" s="1882"/>
      <c r="N68" s="1882" t="s">
        <v>8931</v>
      </c>
      <c r="O68" s="1882" t="s">
        <v>732</v>
      </c>
      <c r="P68" s="1882" t="s">
        <v>8932</v>
      </c>
      <c r="Q68" s="520">
        <v>0</v>
      </c>
      <c r="R68" s="1882" t="s">
        <v>8549</v>
      </c>
      <c r="S68" s="1882">
        <v>97</v>
      </c>
      <c r="T68" s="1882">
        <v>100</v>
      </c>
      <c r="U68" s="1882">
        <v>100</v>
      </c>
      <c r="V68" s="1882">
        <v>100</v>
      </c>
      <c r="W68" s="1882">
        <v>100</v>
      </c>
      <c r="X68" s="1882">
        <v>100</v>
      </c>
      <c r="Y68" s="1882"/>
      <c r="Z68" s="1882"/>
      <c r="AA68" s="1882"/>
      <c r="AB68" s="1882"/>
      <c r="AC68" s="1882"/>
      <c r="AD68" s="1882"/>
      <c r="AE68" s="1882"/>
      <c r="AF68" s="1882"/>
      <c r="AG68" s="1882"/>
      <c r="AH68" s="1882">
        <v>0</v>
      </c>
      <c r="AI68" s="1882"/>
      <c r="AJ68" s="1882"/>
      <c r="AK68" s="1882"/>
      <c r="AL68" s="1882"/>
      <c r="AM68" s="1882"/>
      <c r="AN68" s="1882"/>
      <c r="AO68" s="1882"/>
      <c r="AP68" s="1882"/>
      <c r="AQ68" s="1882"/>
      <c r="AR68" s="1882"/>
      <c r="AS68" s="1882"/>
      <c r="AT68" s="1882"/>
      <c r="AU68" s="1882"/>
      <c r="AV68" s="1882"/>
      <c r="AW68" s="1882"/>
      <c r="AX68" s="1882"/>
      <c r="AY68" s="1882"/>
      <c r="AZ68" s="1882"/>
      <c r="BA68" s="1882"/>
      <c r="BB68" s="1882"/>
      <c r="BC68" s="1882"/>
      <c r="BD68" s="1882"/>
      <c r="BE68" s="1882"/>
      <c r="BF68" s="1882"/>
      <c r="BG68" s="1882"/>
      <c r="BH68" s="1882"/>
      <c r="BI68" s="1882"/>
      <c r="BJ68" s="1882"/>
      <c r="BK68" s="1882"/>
      <c r="BL68" s="1882"/>
      <c r="BM68" s="1882"/>
      <c r="BN68" s="1882"/>
      <c r="BO68" s="1882"/>
      <c r="BP68" s="520">
        <v>99</v>
      </c>
      <c r="BQ68" s="695">
        <v>96.1</v>
      </c>
      <c r="BR68" s="1882" t="s">
        <v>2460</v>
      </c>
      <c r="BS68" s="1882" t="s">
        <v>8513</v>
      </c>
      <c r="BT68" s="1882">
        <v>0</v>
      </c>
      <c r="BU68" s="1882" t="s">
        <v>8513</v>
      </c>
      <c r="BV68" s="1882">
        <v>0</v>
      </c>
      <c r="BW68" s="1882">
        <v>95.83</v>
      </c>
      <c r="BX68" s="1882" t="s">
        <v>2460</v>
      </c>
      <c r="BY68" s="1882">
        <v>0</v>
      </c>
      <c r="BZ68" s="1882">
        <v>0</v>
      </c>
      <c r="CA68" s="1882">
        <v>0</v>
      </c>
      <c r="CB68" s="1882">
        <v>0</v>
      </c>
      <c r="CC68" s="1882">
        <v>98.08</v>
      </c>
      <c r="CD68" s="1882" t="s">
        <v>2460</v>
      </c>
      <c r="CE68" s="1882">
        <v>0</v>
      </c>
      <c r="CF68" s="1882">
        <v>0</v>
      </c>
      <c r="CG68" s="1882">
        <v>0</v>
      </c>
      <c r="CH68" s="1882">
        <v>0</v>
      </c>
      <c r="CI68" s="1882">
        <v>97.93</v>
      </c>
      <c r="CJ68" s="1882" t="s">
        <v>2460</v>
      </c>
      <c r="CK68" s="1882">
        <v>0</v>
      </c>
      <c r="CL68" s="1882">
        <v>0</v>
      </c>
      <c r="CM68" s="1882">
        <v>0</v>
      </c>
      <c r="CN68" s="1882">
        <v>0</v>
      </c>
      <c r="CP68" s="1882" t="s">
        <v>8933</v>
      </c>
    </row>
    <row r="69" spans="1:94">
      <c r="A69" s="1882" t="s">
        <v>8846</v>
      </c>
      <c r="B69" s="1882" t="s">
        <v>8934</v>
      </c>
      <c r="C69" s="1882" t="s">
        <v>8394</v>
      </c>
      <c r="D69" s="1882" t="s">
        <v>8584</v>
      </c>
      <c r="E69" s="1882" t="s">
        <v>8585</v>
      </c>
      <c r="F69" s="1882" t="s">
        <v>8898</v>
      </c>
      <c r="G69" s="1882" t="s">
        <v>8935</v>
      </c>
      <c r="H69" s="1882" t="s">
        <v>8936</v>
      </c>
      <c r="I69" s="1882" t="s">
        <v>8937</v>
      </c>
      <c r="J69" s="1882" t="s">
        <v>8539</v>
      </c>
      <c r="K69" s="1882"/>
      <c r="L69" s="1882"/>
      <c r="M69" s="1882"/>
      <c r="N69" s="1882" t="s">
        <v>8520</v>
      </c>
      <c r="O69" s="1882" t="s">
        <v>764</v>
      </c>
      <c r="P69" s="1882" t="s">
        <v>8938</v>
      </c>
      <c r="Q69" s="520">
        <v>1</v>
      </c>
      <c r="R69" s="1882" t="s">
        <v>8511</v>
      </c>
      <c r="S69" s="1882">
        <v>145.6</v>
      </c>
      <c r="T69" s="1882">
        <v>145.4</v>
      </c>
      <c r="U69" s="1882">
        <v>144.5</v>
      </c>
      <c r="V69" s="1882">
        <v>143.6</v>
      </c>
      <c r="W69" s="1882">
        <v>142.80000000000001</v>
      </c>
      <c r="X69" s="1882">
        <v>142</v>
      </c>
      <c r="Y69" s="1882"/>
      <c r="Z69" s="1882"/>
      <c r="AA69" s="1882"/>
      <c r="AB69" s="1882"/>
      <c r="AC69" s="1882"/>
      <c r="AD69" s="1882"/>
      <c r="AE69" s="1882"/>
      <c r="AF69" s="1882"/>
      <c r="AG69" s="1882"/>
      <c r="AH69" s="1882">
        <v>0</v>
      </c>
      <c r="AI69" s="1882"/>
      <c r="AJ69" s="1882"/>
      <c r="AK69" s="1882"/>
      <c r="AL69" s="1882"/>
      <c r="AM69" s="1882"/>
      <c r="AN69" s="1882"/>
      <c r="AO69" s="1882"/>
      <c r="AP69" s="1882"/>
      <c r="AQ69" s="1882"/>
      <c r="AR69" s="1882"/>
      <c r="AS69" s="1882"/>
      <c r="AT69" s="1882"/>
      <c r="AU69" s="1882"/>
      <c r="AV69" s="1882"/>
      <c r="AW69" s="1882"/>
      <c r="AX69" s="1882"/>
      <c r="AY69" s="1882"/>
      <c r="AZ69" s="1882"/>
      <c r="BA69" s="1882"/>
      <c r="BB69" s="1882"/>
      <c r="BC69" s="1882"/>
      <c r="BD69" s="1882"/>
      <c r="BE69" s="1882"/>
      <c r="BF69" s="1882"/>
      <c r="BG69" s="1882"/>
      <c r="BH69" s="1882"/>
      <c r="BI69" s="1882"/>
      <c r="BJ69" s="1882"/>
      <c r="BK69" s="1882"/>
      <c r="BL69" s="1882"/>
      <c r="BM69" s="1882"/>
      <c r="BN69" s="1882"/>
      <c r="BO69" s="1882"/>
      <c r="BP69" s="520">
        <v>143</v>
      </c>
      <c r="BQ69" s="701">
        <v>141.1</v>
      </c>
      <c r="BR69" s="1882" t="s">
        <v>2459</v>
      </c>
      <c r="BS69" s="1882" t="s">
        <v>8513</v>
      </c>
      <c r="BT69" s="1882">
        <v>0</v>
      </c>
      <c r="BU69" s="1882" t="s">
        <v>8513</v>
      </c>
      <c r="BV69" s="1882">
        <v>0</v>
      </c>
      <c r="BW69" s="1882">
        <v>144.1</v>
      </c>
      <c r="BX69" s="1882" t="s">
        <v>2459</v>
      </c>
      <c r="BY69" s="1882">
        <v>0</v>
      </c>
      <c r="BZ69" s="1882">
        <v>0</v>
      </c>
      <c r="CA69" s="1882">
        <v>0</v>
      </c>
      <c r="CB69" s="1882">
        <v>0</v>
      </c>
      <c r="CC69" s="1882">
        <v>144.5</v>
      </c>
      <c r="CD69" s="1882" t="s">
        <v>2460</v>
      </c>
      <c r="CE69" s="1882">
        <v>0</v>
      </c>
      <c r="CF69" s="1882">
        <v>0</v>
      </c>
      <c r="CG69" s="1882">
        <v>0</v>
      </c>
      <c r="CH69" s="1882">
        <v>0</v>
      </c>
      <c r="CI69" s="1882">
        <v>148.30000000000001</v>
      </c>
      <c r="CJ69" s="1882" t="s">
        <v>2460</v>
      </c>
      <c r="CK69" s="1882">
        <v>0</v>
      </c>
      <c r="CL69" s="1882">
        <v>0</v>
      </c>
      <c r="CM69" s="1882">
        <v>0</v>
      </c>
      <c r="CN69" s="1882">
        <v>0</v>
      </c>
      <c r="CP69" s="1882" t="s">
        <v>8939</v>
      </c>
    </row>
    <row r="70" spans="1:94">
      <c r="A70" s="1882" t="s">
        <v>8846</v>
      </c>
      <c r="B70" s="1882" t="s">
        <v>8940</v>
      </c>
      <c r="C70" s="1882" t="s">
        <v>8394</v>
      </c>
      <c r="D70" s="1882" t="s">
        <v>8584</v>
      </c>
      <c r="E70" s="1882" t="s">
        <v>8585</v>
      </c>
      <c r="F70" s="1882" t="s">
        <v>8941</v>
      </c>
      <c r="G70" s="1882" t="s">
        <v>8942</v>
      </c>
      <c r="H70" s="1882" t="s">
        <v>8943</v>
      </c>
      <c r="I70" s="1882" t="s">
        <v>8944</v>
      </c>
      <c r="J70" s="1882" t="s">
        <v>8539</v>
      </c>
      <c r="K70" s="1882"/>
      <c r="L70" s="1882"/>
      <c r="M70" s="1882"/>
      <c r="N70" s="1882" t="s">
        <v>8599</v>
      </c>
      <c r="O70" s="1882" t="s">
        <v>732</v>
      </c>
      <c r="P70" s="1882" t="s">
        <v>8945</v>
      </c>
      <c r="Q70" s="520">
        <v>1</v>
      </c>
      <c r="R70" s="1882" t="s">
        <v>8511</v>
      </c>
      <c r="S70" s="1882">
        <v>2.1</v>
      </c>
      <c r="T70" s="1882">
        <v>2</v>
      </c>
      <c r="U70" s="1882">
        <v>2</v>
      </c>
      <c r="V70" s="1882">
        <v>1.9</v>
      </c>
      <c r="W70" s="1882">
        <v>1.9</v>
      </c>
      <c r="X70" s="1882">
        <v>1.8</v>
      </c>
      <c r="Y70" s="1882"/>
      <c r="Z70" s="1882"/>
      <c r="AA70" s="1882"/>
      <c r="AB70" s="1882"/>
      <c r="AC70" s="1882"/>
      <c r="AD70" s="1882"/>
      <c r="AE70" s="1882"/>
      <c r="AF70" s="1882"/>
      <c r="AG70" s="1882"/>
      <c r="AH70" s="1882">
        <v>0</v>
      </c>
      <c r="AI70" s="1882"/>
      <c r="AJ70" s="1882"/>
      <c r="AK70" s="1882"/>
      <c r="AL70" s="1882"/>
      <c r="AM70" s="1882"/>
      <c r="AN70" s="1882"/>
      <c r="AO70" s="1882"/>
      <c r="AP70" s="1882"/>
      <c r="AQ70" s="1882"/>
      <c r="AR70" s="1882"/>
      <c r="AS70" s="1882"/>
      <c r="AT70" s="1882"/>
      <c r="AU70" s="1882"/>
      <c r="AV70" s="1882"/>
      <c r="AW70" s="1882"/>
      <c r="AX70" s="1882"/>
      <c r="AY70" s="1882"/>
      <c r="AZ70" s="1882"/>
      <c r="BA70" s="1882"/>
      <c r="BB70" s="1882"/>
      <c r="BC70" s="1882"/>
      <c r="BD70" s="1882"/>
      <c r="BE70" s="1882"/>
      <c r="BF70" s="1882"/>
      <c r="BG70" s="1882"/>
      <c r="BH70" s="1882"/>
      <c r="BI70" s="1882"/>
      <c r="BJ70" s="1882"/>
      <c r="BK70" s="1882"/>
      <c r="BL70" s="1882"/>
      <c r="BM70" s="1882"/>
      <c r="BN70" s="1882"/>
      <c r="BO70" s="1882"/>
      <c r="BP70" s="520">
        <v>2.5</v>
      </c>
      <c r="BQ70" s="701">
        <v>0.37</v>
      </c>
      <c r="BR70" s="1882" t="s">
        <v>2459</v>
      </c>
      <c r="BS70" s="1882" t="s">
        <v>8513</v>
      </c>
      <c r="BT70" s="1882">
        <v>0</v>
      </c>
      <c r="BU70" s="1882" t="s">
        <v>8513</v>
      </c>
      <c r="BV70" s="1882">
        <v>0</v>
      </c>
      <c r="BW70" s="1882">
        <v>0.94</v>
      </c>
      <c r="BX70" s="1882" t="s">
        <v>2459</v>
      </c>
      <c r="BY70" s="1882">
        <v>0</v>
      </c>
      <c r="BZ70" s="1882">
        <v>0</v>
      </c>
      <c r="CA70" s="1882">
        <v>0</v>
      </c>
      <c r="CB70" s="1882">
        <v>0</v>
      </c>
      <c r="CC70" s="1882">
        <v>0</v>
      </c>
      <c r="CD70" s="1882" t="s">
        <v>2459</v>
      </c>
      <c r="CE70" s="1882">
        <v>0</v>
      </c>
      <c r="CF70" s="1882">
        <v>0</v>
      </c>
      <c r="CG70" s="1882">
        <v>0</v>
      </c>
      <c r="CH70" s="1882">
        <v>0</v>
      </c>
      <c r="CI70" s="1882">
        <v>0</v>
      </c>
      <c r="CJ70" s="1882" t="s">
        <v>2459</v>
      </c>
      <c r="CK70" s="1882">
        <v>0</v>
      </c>
      <c r="CL70" s="1882">
        <v>0</v>
      </c>
      <c r="CM70" s="1882">
        <v>0</v>
      </c>
      <c r="CN70" s="1882">
        <v>0</v>
      </c>
      <c r="CP70" s="1882" t="s">
        <v>8946</v>
      </c>
    </row>
    <row r="71" spans="1:94">
      <c r="A71" s="1882" t="s">
        <v>8846</v>
      </c>
      <c r="B71" s="1882" t="s">
        <v>8947</v>
      </c>
      <c r="C71" s="1882" t="s">
        <v>8394</v>
      </c>
      <c r="D71" s="1882" t="s">
        <v>8584</v>
      </c>
      <c r="E71" s="1882" t="s">
        <v>8585</v>
      </c>
      <c r="F71" s="1882" t="s">
        <v>8604</v>
      </c>
      <c r="G71" s="1882" t="s">
        <v>8948</v>
      </c>
      <c r="H71" s="1882" t="s">
        <v>8949</v>
      </c>
      <c r="I71" s="1882" t="s">
        <v>8950</v>
      </c>
      <c r="J71" s="1882" t="s">
        <v>8508</v>
      </c>
      <c r="K71" s="1882" t="s">
        <v>8509</v>
      </c>
      <c r="L71" s="1882"/>
      <c r="M71" s="1882" t="s">
        <v>2460</v>
      </c>
      <c r="N71" s="1882" t="s">
        <v>8590</v>
      </c>
      <c r="O71" s="1882" t="s">
        <v>8812</v>
      </c>
      <c r="P71" s="1882" t="s">
        <v>8951</v>
      </c>
      <c r="Q71" s="520" t="s">
        <v>8512</v>
      </c>
      <c r="R71" s="1882" t="s">
        <v>8549</v>
      </c>
      <c r="S71" s="1882">
        <v>85.3</v>
      </c>
      <c r="T71" s="1882" t="s">
        <v>8952</v>
      </c>
      <c r="U71" s="1882" t="s">
        <v>8952</v>
      </c>
      <c r="V71" s="1882" t="s">
        <v>8952</v>
      </c>
      <c r="W71" s="1882" t="s">
        <v>8952</v>
      </c>
      <c r="X71" s="1882" t="s">
        <v>8952</v>
      </c>
      <c r="Y71" s="1882"/>
      <c r="Z71" s="1882"/>
      <c r="AA71" s="1882"/>
      <c r="AB71" s="1882"/>
      <c r="AC71" s="1882"/>
      <c r="AD71" s="1882"/>
      <c r="AE71" s="1882"/>
      <c r="AF71" s="1882"/>
      <c r="AG71" s="1882"/>
      <c r="AH71" s="1882">
        <v>0</v>
      </c>
      <c r="AI71" s="1882" t="s">
        <v>2459</v>
      </c>
      <c r="AJ71" s="1882" t="s">
        <v>2459</v>
      </c>
      <c r="AK71" s="1882" t="s">
        <v>2459</v>
      </c>
      <c r="AL71" s="1882" t="s">
        <v>2459</v>
      </c>
      <c r="AM71" s="1882" t="s">
        <v>2459</v>
      </c>
      <c r="AN71" s="1882" t="s">
        <v>8593</v>
      </c>
      <c r="AO71" s="1882" t="s">
        <v>8593</v>
      </c>
      <c r="AP71" s="1882" t="s">
        <v>8593</v>
      </c>
      <c r="AQ71" s="1882" t="s">
        <v>8593</v>
      </c>
      <c r="AR71" s="1882" t="s">
        <v>8593</v>
      </c>
      <c r="AS71" s="1882" t="s">
        <v>8593</v>
      </c>
      <c r="AT71" s="1882" t="s">
        <v>8593</v>
      </c>
      <c r="AU71" s="1882" t="s">
        <v>8593</v>
      </c>
      <c r="AV71" s="1882" t="s">
        <v>8593</v>
      </c>
      <c r="AW71" s="1882" t="s">
        <v>8593</v>
      </c>
      <c r="AX71" s="1882" t="s">
        <v>8593</v>
      </c>
      <c r="AY71" s="1882" t="s">
        <v>8593</v>
      </c>
      <c r="AZ71" s="1882" t="s">
        <v>8593</v>
      </c>
      <c r="BA71" s="1882" t="s">
        <v>8593</v>
      </c>
      <c r="BB71" s="1882" t="s">
        <v>8593</v>
      </c>
      <c r="BC71" s="1882" t="s">
        <v>8593</v>
      </c>
      <c r="BD71" s="1882" t="s">
        <v>8593</v>
      </c>
      <c r="BE71" s="1882" t="s">
        <v>8593</v>
      </c>
      <c r="BF71" s="1882" t="s">
        <v>8593</v>
      </c>
      <c r="BG71" s="1882" t="s">
        <v>8593</v>
      </c>
      <c r="BH71" s="1882" t="s">
        <v>8593</v>
      </c>
      <c r="BI71" s="1882"/>
      <c r="BJ71" s="1882"/>
      <c r="BK71" s="1882"/>
      <c r="BL71" s="1882" t="s">
        <v>8593</v>
      </c>
      <c r="BM71" s="1882"/>
      <c r="BN71" s="1882">
        <v>1</v>
      </c>
      <c r="BO71" s="1882" t="s">
        <v>8512</v>
      </c>
      <c r="BP71" s="520">
        <v>80</v>
      </c>
      <c r="BQ71" s="700">
        <v>85.1</v>
      </c>
      <c r="BR71" s="1882" t="s">
        <v>2459</v>
      </c>
      <c r="BS71" s="1882" t="s">
        <v>8513</v>
      </c>
      <c r="BT71" s="1882">
        <v>0</v>
      </c>
      <c r="BU71" s="1882" t="s">
        <v>8513</v>
      </c>
      <c r="BV71" s="1882">
        <v>0</v>
      </c>
      <c r="BW71" s="1882">
        <v>85.9</v>
      </c>
      <c r="BX71" s="1882" t="s">
        <v>2460</v>
      </c>
      <c r="BY71" s="1882">
        <v>0</v>
      </c>
      <c r="BZ71" s="1882">
        <v>0</v>
      </c>
      <c r="CA71" s="1882">
        <v>0</v>
      </c>
      <c r="CB71" s="1882">
        <v>0</v>
      </c>
      <c r="CC71" s="1882">
        <v>83.38</v>
      </c>
      <c r="CD71" s="1882" t="s">
        <v>2460</v>
      </c>
      <c r="CE71" s="1882">
        <v>0</v>
      </c>
      <c r="CF71" s="1882">
        <v>0</v>
      </c>
      <c r="CG71" s="1882">
        <v>0</v>
      </c>
      <c r="CH71" s="1882">
        <v>0</v>
      </c>
      <c r="CI71" s="1882">
        <v>84.71</v>
      </c>
      <c r="CJ71" s="1882" t="s">
        <v>2460</v>
      </c>
      <c r="CK71" s="1882">
        <v>0</v>
      </c>
      <c r="CL71" s="1882">
        <v>0</v>
      </c>
      <c r="CM71" s="1882">
        <v>0</v>
      </c>
      <c r="CN71" s="1882">
        <v>0</v>
      </c>
      <c r="CP71" s="1882" t="s">
        <v>8953</v>
      </c>
    </row>
    <row r="72" spans="1:94">
      <c r="A72" s="1882" t="s">
        <v>8846</v>
      </c>
      <c r="B72" s="1882" t="s">
        <v>8954</v>
      </c>
      <c r="C72" s="1882" t="s">
        <v>8394</v>
      </c>
      <c r="D72" s="1882" t="s">
        <v>8584</v>
      </c>
      <c r="E72" s="1882" t="s">
        <v>8585</v>
      </c>
      <c r="F72" s="1882" t="s">
        <v>8604</v>
      </c>
      <c r="G72" s="1882" t="s">
        <v>8955</v>
      </c>
      <c r="H72" s="1882" t="s">
        <v>8956</v>
      </c>
      <c r="I72" s="1882" t="s">
        <v>8957</v>
      </c>
      <c r="J72" s="1882" t="s">
        <v>8539</v>
      </c>
      <c r="K72" s="1882"/>
      <c r="L72" s="1882"/>
      <c r="M72" s="1882"/>
      <c r="N72" s="1882" t="s">
        <v>8695</v>
      </c>
      <c r="O72" s="1882" t="s">
        <v>732</v>
      </c>
      <c r="P72" s="1882" t="s">
        <v>8696</v>
      </c>
      <c r="Q72" s="520">
        <v>0</v>
      </c>
      <c r="R72" s="1882" t="s">
        <v>8549</v>
      </c>
      <c r="S72" s="1882">
        <v>93</v>
      </c>
      <c r="T72" s="1882">
        <v>93</v>
      </c>
      <c r="U72" s="1882">
        <v>93</v>
      </c>
      <c r="V72" s="1882">
        <v>93</v>
      </c>
      <c r="W72" s="1882">
        <v>93</v>
      </c>
      <c r="X72" s="1882" t="s">
        <v>8958</v>
      </c>
      <c r="Y72" s="1882"/>
      <c r="Z72" s="1882"/>
      <c r="AA72" s="1882"/>
      <c r="AB72" s="1882"/>
      <c r="AC72" s="1882"/>
      <c r="AD72" s="1882"/>
      <c r="AE72" s="1882"/>
      <c r="AF72" s="1882"/>
      <c r="AG72" s="1882"/>
      <c r="AH72" s="1882">
        <v>0</v>
      </c>
      <c r="AI72" s="1882"/>
      <c r="AJ72" s="1882"/>
      <c r="AK72" s="1882"/>
      <c r="AL72" s="1882"/>
      <c r="AM72" s="1882"/>
      <c r="AN72" s="1882"/>
      <c r="AO72" s="1882"/>
      <c r="AP72" s="1882"/>
      <c r="AQ72" s="1882"/>
      <c r="AR72" s="1882"/>
      <c r="AS72" s="1882"/>
      <c r="AT72" s="1882"/>
      <c r="AU72" s="1882"/>
      <c r="AV72" s="1882"/>
      <c r="AW72" s="1882"/>
      <c r="AX72" s="1882"/>
      <c r="AY72" s="1882"/>
      <c r="AZ72" s="1882"/>
      <c r="BA72" s="1882"/>
      <c r="BB72" s="1882"/>
      <c r="BC72" s="1882"/>
      <c r="BD72" s="1882"/>
      <c r="BE72" s="1882"/>
      <c r="BF72" s="1882"/>
      <c r="BG72" s="1882"/>
      <c r="BH72" s="1882"/>
      <c r="BI72" s="1882"/>
      <c r="BJ72" s="1882"/>
      <c r="BK72" s="1882"/>
      <c r="BL72" s="1882"/>
      <c r="BM72" s="1882"/>
      <c r="BN72" s="1882"/>
      <c r="BO72" s="1882"/>
      <c r="BP72" s="520">
        <v>69</v>
      </c>
      <c r="BQ72" s="695">
        <v>83</v>
      </c>
      <c r="BR72" s="1882" t="s">
        <v>2460</v>
      </c>
      <c r="BS72" s="1882" t="s">
        <v>8513</v>
      </c>
      <c r="BT72" s="1882">
        <v>0</v>
      </c>
      <c r="BU72" s="1882" t="s">
        <v>8513</v>
      </c>
      <c r="BV72" s="1882">
        <v>0</v>
      </c>
      <c r="BW72" s="1882">
        <v>86</v>
      </c>
      <c r="BX72" s="1882" t="s">
        <v>2460</v>
      </c>
      <c r="BY72" s="1882">
        <v>0</v>
      </c>
      <c r="BZ72" s="1882">
        <v>0</v>
      </c>
      <c r="CA72" s="1882">
        <v>0</v>
      </c>
      <c r="CB72" s="1882">
        <v>0</v>
      </c>
      <c r="CC72" s="1882">
        <v>87</v>
      </c>
      <c r="CD72" s="1882" t="s">
        <v>2460</v>
      </c>
      <c r="CE72" s="1882">
        <v>0</v>
      </c>
      <c r="CF72" s="1882">
        <v>0</v>
      </c>
      <c r="CG72" s="1882">
        <v>0</v>
      </c>
      <c r="CH72" s="1882">
        <v>0</v>
      </c>
      <c r="CI72" s="1882">
        <v>89</v>
      </c>
      <c r="CJ72" s="1882" t="s">
        <v>2460</v>
      </c>
      <c r="CK72" s="1882">
        <v>0</v>
      </c>
      <c r="CL72" s="1882">
        <v>0</v>
      </c>
      <c r="CM72" s="1882">
        <v>0</v>
      </c>
      <c r="CN72" s="1882">
        <v>0</v>
      </c>
      <c r="CP72" s="1882" t="s">
        <v>8959</v>
      </c>
    </row>
    <row r="73" spans="1:94">
      <c r="A73" s="1882" t="s">
        <v>8846</v>
      </c>
      <c r="B73" s="1882" t="s">
        <v>8960</v>
      </c>
      <c r="C73" s="1882" t="s">
        <v>8394</v>
      </c>
      <c r="D73" s="1882" t="s">
        <v>8584</v>
      </c>
      <c r="E73" s="1882" t="s">
        <v>8585</v>
      </c>
      <c r="F73" s="1882" t="s">
        <v>8604</v>
      </c>
      <c r="G73" s="1882" t="s">
        <v>8961</v>
      </c>
      <c r="H73" s="1882" t="s">
        <v>8962</v>
      </c>
      <c r="I73" s="1882" t="s">
        <v>8963</v>
      </c>
      <c r="J73" s="1882" t="s">
        <v>8539</v>
      </c>
      <c r="K73" s="1882"/>
      <c r="L73" s="1882"/>
      <c r="M73" s="1882"/>
      <c r="N73" s="1882" t="s">
        <v>8599</v>
      </c>
      <c r="O73" s="1882" t="s">
        <v>732</v>
      </c>
      <c r="P73" s="1882" t="s">
        <v>8696</v>
      </c>
      <c r="Q73" s="520">
        <v>0</v>
      </c>
      <c r="R73" s="1882" t="s">
        <v>8549</v>
      </c>
      <c r="S73" s="1882">
        <v>70</v>
      </c>
      <c r="T73" s="1882">
        <v>71</v>
      </c>
      <c r="U73" s="1882">
        <v>71</v>
      </c>
      <c r="V73" s="1882">
        <v>72</v>
      </c>
      <c r="W73" s="1882">
        <v>72</v>
      </c>
      <c r="X73" s="1882">
        <v>72</v>
      </c>
      <c r="Y73" s="1882"/>
      <c r="Z73" s="1882"/>
      <c r="AA73" s="1882"/>
      <c r="AB73" s="1882"/>
      <c r="AC73" s="1882"/>
      <c r="AD73" s="1882"/>
      <c r="AE73" s="1882"/>
      <c r="AF73" s="1882"/>
      <c r="AG73" s="1882"/>
      <c r="AH73" s="1882">
        <v>0</v>
      </c>
      <c r="AI73" s="1882"/>
      <c r="AJ73" s="1882"/>
      <c r="AK73" s="1882"/>
      <c r="AL73" s="1882"/>
      <c r="AM73" s="1882"/>
      <c r="AN73" s="1882"/>
      <c r="AO73" s="1882"/>
      <c r="AP73" s="1882"/>
      <c r="AQ73" s="1882"/>
      <c r="AR73" s="1882"/>
      <c r="AS73" s="1882"/>
      <c r="AT73" s="1882"/>
      <c r="AU73" s="1882"/>
      <c r="AV73" s="1882"/>
      <c r="AW73" s="1882"/>
      <c r="AX73" s="1882"/>
      <c r="AY73" s="1882"/>
      <c r="AZ73" s="1882"/>
      <c r="BA73" s="1882"/>
      <c r="BB73" s="1882"/>
      <c r="BC73" s="1882"/>
      <c r="BD73" s="1882"/>
      <c r="BE73" s="1882"/>
      <c r="BF73" s="1882"/>
      <c r="BG73" s="1882"/>
      <c r="BH73" s="1882"/>
      <c r="BI73" s="1882"/>
      <c r="BJ73" s="1882"/>
      <c r="BK73" s="1882"/>
      <c r="BL73" s="1882"/>
      <c r="BM73" s="1882"/>
      <c r="BN73" s="1882"/>
      <c r="BO73" s="1882"/>
      <c r="BP73" s="520">
        <v>73</v>
      </c>
      <c r="BQ73" s="695">
        <v>70</v>
      </c>
      <c r="BR73" s="1882" t="s">
        <v>2460</v>
      </c>
      <c r="BS73" s="1882" t="s">
        <v>8513</v>
      </c>
      <c r="BT73" s="1882">
        <v>0</v>
      </c>
      <c r="BU73" s="1882" t="s">
        <v>8513</v>
      </c>
      <c r="BV73" s="1882">
        <v>0</v>
      </c>
      <c r="BW73" s="1882">
        <v>72</v>
      </c>
      <c r="BX73" s="1882" t="s">
        <v>2459</v>
      </c>
      <c r="BY73" s="1882">
        <v>0</v>
      </c>
      <c r="BZ73" s="1882">
        <v>0</v>
      </c>
      <c r="CA73" s="1882">
        <v>0</v>
      </c>
      <c r="CB73" s="1882">
        <v>0</v>
      </c>
      <c r="CC73" s="1882">
        <v>68.900000000000006</v>
      </c>
      <c r="CD73" s="1882" t="s">
        <v>2460</v>
      </c>
      <c r="CE73" s="1882">
        <v>0</v>
      </c>
      <c r="CF73" s="1882">
        <v>0</v>
      </c>
      <c r="CG73" s="1882">
        <v>0</v>
      </c>
      <c r="CH73" s="1882">
        <v>0</v>
      </c>
      <c r="CI73" s="1882">
        <v>67.599999999999994</v>
      </c>
      <c r="CJ73" s="1882" t="s">
        <v>2460</v>
      </c>
      <c r="CK73" s="1882">
        <v>0</v>
      </c>
      <c r="CL73" s="1882">
        <v>0</v>
      </c>
      <c r="CM73" s="1882">
        <v>0</v>
      </c>
      <c r="CN73" s="1882">
        <v>0</v>
      </c>
      <c r="CP73" s="1882" t="s">
        <v>8964</v>
      </c>
    </row>
    <row r="74" spans="1:94">
      <c r="A74" s="1882" t="s">
        <v>8846</v>
      </c>
      <c r="B74" s="1882" t="s">
        <v>8965</v>
      </c>
      <c r="C74" s="1882" t="s">
        <v>8394</v>
      </c>
      <c r="D74" s="1882" t="s">
        <v>8584</v>
      </c>
      <c r="E74" s="1882" t="s">
        <v>8585</v>
      </c>
      <c r="F74" s="1882" t="s">
        <v>8966</v>
      </c>
      <c r="G74" s="1882" t="s">
        <v>8967</v>
      </c>
      <c r="H74" s="1882" t="s">
        <v>8968</v>
      </c>
      <c r="I74" s="1882" t="s">
        <v>8969</v>
      </c>
      <c r="J74" s="1882" t="s">
        <v>8539</v>
      </c>
      <c r="K74" s="1882"/>
      <c r="L74" s="1882"/>
      <c r="M74" s="1882"/>
      <c r="N74" s="1882" t="s">
        <v>8695</v>
      </c>
      <c r="O74" s="1882" t="s">
        <v>732</v>
      </c>
      <c r="P74" s="1882" t="s">
        <v>8696</v>
      </c>
      <c r="Q74" s="520">
        <v>1</v>
      </c>
      <c r="R74" s="1882" t="s">
        <v>8549</v>
      </c>
      <c r="S74" s="1882">
        <v>96.2</v>
      </c>
      <c r="T74" s="1882">
        <v>96.3</v>
      </c>
      <c r="U74" s="1882">
        <v>96.4</v>
      </c>
      <c r="V74" s="1882">
        <v>96.5</v>
      </c>
      <c r="W74" s="1882" t="s">
        <v>8970</v>
      </c>
      <c r="X74" s="1882" t="s">
        <v>8970</v>
      </c>
      <c r="Y74" s="1882"/>
      <c r="Z74" s="1882"/>
      <c r="AA74" s="1882"/>
      <c r="AB74" s="1882"/>
      <c r="AC74" s="1882"/>
      <c r="AD74" s="1882"/>
      <c r="AE74" s="1882"/>
      <c r="AF74" s="1882"/>
      <c r="AG74" s="1882"/>
      <c r="AH74" s="1882">
        <v>0</v>
      </c>
      <c r="AI74" s="1882"/>
      <c r="AJ74" s="1882"/>
      <c r="AK74" s="1882"/>
      <c r="AL74" s="1882"/>
      <c r="AM74" s="1882"/>
      <c r="AN74" s="1882"/>
      <c r="AO74" s="1882"/>
      <c r="AP74" s="1882"/>
      <c r="AQ74" s="1882"/>
      <c r="AR74" s="1882"/>
      <c r="AS74" s="1882"/>
      <c r="AT74" s="1882"/>
      <c r="AU74" s="1882"/>
      <c r="AV74" s="1882"/>
      <c r="AW74" s="1882"/>
      <c r="AX74" s="1882"/>
      <c r="AY74" s="1882"/>
      <c r="AZ74" s="1882"/>
      <c r="BA74" s="1882"/>
      <c r="BB74" s="1882"/>
      <c r="BC74" s="1882"/>
      <c r="BD74" s="1882"/>
      <c r="BE74" s="1882"/>
      <c r="BF74" s="1882"/>
      <c r="BG74" s="1882"/>
      <c r="BH74" s="1882"/>
      <c r="BI74" s="1882"/>
      <c r="BJ74" s="1882"/>
      <c r="BK74" s="1882"/>
      <c r="BL74" s="1882"/>
      <c r="BM74" s="1882"/>
      <c r="BN74" s="1882"/>
      <c r="BO74" s="1882"/>
      <c r="BP74" s="520">
        <v>95.2</v>
      </c>
      <c r="BQ74" s="701">
        <v>94.8</v>
      </c>
      <c r="BR74" s="1882" t="s">
        <v>2460</v>
      </c>
      <c r="BS74" s="1882" t="s">
        <v>8513</v>
      </c>
      <c r="BT74" s="1882">
        <v>0</v>
      </c>
      <c r="BU74" s="1882" t="s">
        <v>8513</v>
      </c>
      <c r="BV74" s="1882">
        <v>0</v>
      </c>
      <c r="BW74" s="1882">
        <v>94.4</v>
      </c>
      <c r="BX74" s="1882" t="s">
        <v>2460</v>
      </c>
      <c r="BY74" s="1882">
        <v>0</v>
      </c>
      <c r="BZ74" s="1882">
        <v>0</v>
      </c>
      <c r="CA74" s="1882">
        <v>0</v>
      </c>
      <c r="CB74" s="1882">
        <v>0</v>
      </c>
      <c r="CC74" s="1882">
        <v>93.1</v>
      </c>
      <c r="CD74" s="1882" t="s">
        <v>2460</v>
      </c>
      <c r="CE74" s="1882">
        <v>0</v>
      </c>
      <c r="CF74" s="1882">
        <v>0</v>
      </c>
      <c r="CG74" s="1882">
        <v>0</v>
      </c>
      <c r="CH74" s="1882">
        <v>0</v>
      </c>
      <c r="CI74" s="1882">
        <v>91.4</v>
      </c>
      <c r="CJ74" s="1882" t="s">
        <v>2460</v>
      </c>
      <c r="CK74" s="1882">
        <v>0</v>
      </c>
      <c r="CL74" s="1882">
        <v>0</v>
      </c>
      <c r="CM74" s="1882">
        <v>0</v>
      </c>
      <c r="CN74" s="1882">
        <v>0</v>
      </c>
      <c r="CP74" s="1882" t="s">
        <v>8971</v>
      </c>
    </row>
    <row r="75" spans="1:94">
      <c r="A75" s="1882" t="s">
        <v>8846</v>
      </c>
      <c r="B75" s="1882" t="s">
        <v>8972</v>
      </c>
      <c r="C75" s="1882" t="s">
        <v>8394</v>
      </c>
      <c r="D75" s="1882" t="s">
        <v>8584</v>
      </c>
      <c r="E75" s="1882" t="s">
        <v>8585</v>
      </c>
      <c r="F75" s="1882" t="s">
        <v>8973</v>
      </c>
      <c r="G75" s="1882" t="s">
        <v>8974</v>
      </c>
      <c r="H75" s="1882" t="s">
        <v>8975</v>
      </c>
      <c r="I75" s="1882" t="s">
        <v>8976</v>
      </c>
      <c r="J75" s="1882" t="s">
        <v>8539</v>
      </c>
      <c r="K75" s="1882"/>
      <c r="L75" s="1882"/>
      <c r="M75" s="1882"/>
      <c r="N75" s="1882" t="s">
        <v>8599</v>
      </c>
      <c r="O75" s="1882" t="s">
        <v>764</v>
      </c>
      <c r="P75" s="1882" t="s">
        <v>8890</v>
      </c>
      <c r="Q75" s="520">
        <v>0</v>
      </c>
      <c r="R75" s="1882" t="s">
        <v>8511</v>
      </c>
      <c r="S75" s="1882">
        <v>2570</v>
      </c>
      <c r="T75" s="1882">
        <v>2480</v>
      </c>
      <c r="U75" s="1882">
        <v>2395</v>
      </c>
      <c r="V75" s="1882">
        <v>2315</v>
      </c>
      <c r="W75" s="1882">
        <v>2240</v>
      </c>
      <c r="X75" s="1882">
        <v>2170</v>
      </c>
      <c r="Y75" s="1882"/>
      <c r="Z75" s="1882"/>
      <c r="AA75" s="1882"/>
      <c r="AB75" s="1882"/>
      <c r="AC75" s="1882"/>
      <c r="AD75" s="1882"/>
      <c r="AE75" s="1882"/>
      <c r="AF75" s="1882"/>
      <c r="AG75" s="1882"/>
      <c r="AH75" s="1882">
        <v>0</v>
      </c>
      <c r="AI75" s="1882"/>
      <c r="AJ75" s="1882"/>
      <c r="AK75" s="1882"/>
      <c r="AL75" s="1882"/>
      <c r="AM75" s="1882"/>
      <c r="AN75" s="1882"/>
      <c r="AO75" s="1882"/>
      <c r="AP75" s="1882"/>
      <c r="AQ75" s="1882"/>
      <c r="AR75" s="1882"/>
      <c r="AS75" s="1882"/>
      <c r="AT75" s="1882"/>
      <c r="AU75" s="1882"/>
      <c r="AV75" s="1882"/>
      <c r="AW75" s="1882"/>
      <c r="AX75" s="1882"/>
      <c r="AY75" s="1882"/>
      <c r="AZ75" s="1882"/>
      <c r="BA75" s="1882"/>
      <c r="BB75" s="1882"/>
      <c r="BC75" s="1882"/>
      <c r="BD75" s="1882"/>
      <c r="BE75" s="1882"/>
      <c r="BF75" s="1882"/>
      <c r="BG75" s="1882"/>
      <c r="BH75" s="1882"/>
      <c r="BI75" s="1882"/>
      <c r="BJ75" s="1882"/>
      <c r="BK75" s="1882"/>
      <c r="BL75" s="1882"/>
      <c r="BM75" s="1882"/>
      <c r="BN75" s="1882"/>
      <c r="BO75" s="1882"/>
      <c r="BP75" s="520">
        <v>2612</v>
      </c>
      <c r="BQ75" s="695">
        <v>2301</v>
      </c>
      <c r="BR75" s="1882" t="s">
        <v>2459</v>
      </c>
      <c r="BS75" s="1882" t="s">
        <v>8513</v>
      </c>
      <c r="BT75" s="1882">
        <v>0</v>
      </c>
      <c r="BU75" s="1882" t="s">
        <v>8513</v>
      </c>
      <c r="BV75" s="1882">
        <v>0</v>
      </c>
      <c r="BW75" s="1882">
        <v>3096</v>
      </c>
      <c r="BX75" s="1882" t="s">
        <v>2460</v>
      </c>
      <c r="BY75" s="1882">
        <v>0</v>
      </c>
      <c r="BZ75" s="1882">
        <v>0</v>
      </c>
      <c r="CA75" s="1882">
        <v>0</v>
      </c>
      <c r="CB75" s="1882">
        <v>0</v>
      </c>
      <c r="CC75" s="1882">
        <v>2300</v>
      </c>
      <c r="CD75" s="1882" t="s">
        <v>2459</v>
      </c>
      <c r="CE75" s="1882">
        <v>0</v>
      </c>
      <c r="CF75" s="1882">
        <v>0</v>
      </c>
      <c r="CG75" s="1882">
        <v>0</v>
      </c>
      <c r="CH75" s="1882">
        <v>0</v>
      </c>
      <c r="CI75" s="1882">
        <v>1595</v>
      </c>
      <c r="CJ75" s="1882" t="s">
        <v>2459</v>
      </c>
      <c r="CK75" s="1882">
        <v>0</v>
      </c>
      <c r="CL75" s="1882">
        <v>0</v>
      </c>
      <c r="CM75" s="1882">
        <v>0</v>
      </c>
      <c r="CN75" s="1882">
        <v>0</v>
      </c>
      <c r="CP75" s="1882" t="s">
        <v>8977</v>
      </c>
    </row>
    <row r="76" spans="1:94">
      <c r="A76" s="1882" t="s">
        <v>8978</v>
      </c>
      <c r="B76" s="1882" t="s">
        <v>8979</v>
      </c>
      <c r="C76" s="1882" t="s">
        <v>8394</v>
      </c>
      <c r="D76" s="1882" t="s">
        <v>1626</v>
      </c>
      <c r="E76" s="1882" t="s">
        <v>8503</v>
      </c>
      <c r="F76" s="1882" t="s">
        <v>8980</v>
      </c>
      <c r="G76" s="1882" t="s">
        <v>7234</v>
      </c>
      <c r="H76" s="1882" t="s">
        <v>8981</v>
      </c>
      <c r="I76" s="1882" t="s">
        <v>8982</v>
      </c>
      <c r="J76" s="1882" t="s">
        <v>8508</v>
      </c>
      <c r="K76" s="1882" t="s">
        <v>8509</v>
      </c>
      <c r="L76" s="1882"/>
      <c r="M76" s="1882"/>
      <c r="N76" s="1882" t="s">
        <v>8463</v>
      </c>
      <c r="O76" s="1882" t="s">
        <v>764</v>
      </c>
      <c r="P76" s="1882" t="s">
        <v>8555</v>
      </c>
      <c r="Q76" s="520">
        <v>2</v>
      </c>
      <c r="R76" s="1882" t="s">
        <v>8511</v>
      </c>
      <c r="S76" s="1882">
        <v>3.69</v>
      </c>
      <c r="T76" s="1882">
        <v>2.8</v>
      </c>
      <c r="U76" s="1882">
        <v>1.9</v>
      </c>
      <c r="V76" s="1882">
        <v>1.01</v>
      </c>
      <c r="W76" s="1882">
        <v>1.01</v>
      </c>
      <c r="X76" s="1882">
        <v>1.01</v>
      </c>
      <c r="Y76" s="1882"/>
      <c r="Z76" s="1882" t="s">
        <v>2459</v>
      </c>
      <c r="AA76" s="1882"/>
      <c r="AB76" s="1882"/>
      <c r="AC76" s="1882"/>
      <c r="AD76" s="1882"/>
      <c r="AE76" s="1882" t="s">
        <v>2459</v>
      </c>
      <c r="AF76" s="1882"/>
      <c r="AG76" s="1882"/>
      <c r="AH76" s="1882">
        <v>0</v>
      </c>
      <c r="AI76" s="1882" t="s">
        <v>2459</v>
      </c>
      <c r="AJ76" s="1882" t="s">
        <v>2459</v>
      </c>
      <c r="AK76" s="1882" t="s">
        <v>2459</v>
      </c>
      <c r="AL76" s="1882" t="s">
        <v>2459</v>
      </c>
      <c r="AM76" s="1882" t="s">
        <v>2459</v>
      </c>
      <c r="AN76" s="1882">
        <v>4.9400000000000004</v>
      </c>
      <c r="AO76" s="1882">
        <v>4.9400000000000004</v>
      </c>
      <c r="AP76" s="1882">
        <v>4.9400000000000004</v>
      </c>
      <c r="AQ76" s="1882">
        <v>4.9400000000000004</v>
      </c>
      <c r="AR76" s="1882">
        <v>4.9400000000000004</v>
      </c>
      <c r="AS76" s="1882">
        <v>3.69</v>
      </c>
      <c r="AT76" s="1882">
        <v>3.69</v>
      </c>
      <c r="AU76" s="1882">
        <v>1.01</v>
      </c>
      <c r="AV76" s="1882">
        <v>1.01</v>
      </c>
      <c r="AW76" s="1882">
        <v>1.01</v>
      </c>
      <c r="AX76" s="1882">
        <v>1.01</v>
      </c>
      <c r="AY76" s="1882">
        <v>1.01</v>
      </c>
      <c r="AZ76" s="1882">
        <v>1.01</v>
      </c>
      <c r="BA76" s="1882">
        <v>1.01</v>
      </c>
      <c r="BB76" s="1882">
        <v>1.01</v>
      </c>
      <c r="BC76" s="1882">
        <v>0</v>
      </c>
      <c r="BD76" s="1882">
        <v>0</v>
      </c>
      <c r="BE76" s="1882">
        <v>0</v>
      </c>
      <c r="BF76" s="1882">
        <v>0</v>
      </c>
      <c r="BG76" s="1882">
        <v>0</v>
      </c>
      <c r="BH76" s="1882">
        <v>3.0585999999999999E-2</v>
      </c>
      <c r="BI76" s="1882"/>
      <c r="BJ76" s="1882"/>
      <c r="BK76" s="1882"/>
      <c r="BL76" s="1882">
        <v>2.4934000000000001E-2</v>
      </c>
      <c r="BM76" s="1882"/>
      <c r="BN76" s="1882">
        <v>1</v>
      </c>
      <c r="BO76" s="1882" t="s">
        <v>8512</v>
      </c>
      <c r="BP76" s="520">
        <v>2.2799999999999998</v>
      </c>
      <c r="BQ76" s="694">
        <v>1.32</v>
      </c>
      <c r="BR76" s="1882" t="s">
        <v>2459</v>
      </c>
      <c r="BS76" s="1882" t="s">
        <v>8513</v>
      </c>
      <c r="BT76" s="1882">
        <v>0</v>
      </c>
      <c r="BU76" s="1882" t="s">
        <v>8380</v>
      </c>
      <c r="BV76" s="1882">
        <v>0</v>
      </c>
      <c r="BW76" s="1882">
        <v>1.07</v>
      </c>
      <c r="BX76" s="1882" t="s">
        <v>2459</v>
      </c>
      <c r="BY76" s="1882">
        <v>0</v>
      </c>
      <c r="BZ76" s="1882">
        <v>0</v>
      </c>
      <c r="CA76" s="1882" t="s">
        <v>8380</v>
      </c>
      <c r="CB76" s="1882">
        <v>0</v>
      </c>
      <c r="CC76" s="1882">
        <v>0.91</v>
      </c>
      <c r="CD76" s="1882" t="s">
        <v>2459</v>
      </c>
      <c r="CE76" s="1882">
        <v>0</v>
      </c>
      <c r="CF76" s="1882">
        <v>0</v>
      </c>
      <c r="CG76" s="1882" t="s">
        <v>8376</v>
      </c>
      <c r="CH76" s="1882">
        <v>2.5000000000000001E-3</v>
      </c>
      <c r="CI76" s="1882" t="s">
        <v>8513</v>
      </c>
      <c r="CJ76" s="1882" t="s">
        <v>8513</v>
      </c>
      <c r="CK76" s="1882" t="s">
        <v>8513</v>
      </c>
      <c r="CL76" s="1882">
        <v>0</v>
      </c>
      <c r="CM76" s="1882" t="s">
        <v>8513</v>
      </c>
      <c r="CN76" s="1882">
        <v>0</v>
      </c>
      <c r="CP76" s="1882" t="s">
        <v>8983</v>
      </c>
    </row>
    <row r="77" spans="1:94">
      <c r="A77" s="1882" t="s">
        <v>8978</v>
      </c>
      <c r="B77" s="1882" t="s">
        <v>8984</v>
      </c>
      <c r="C77" s="1882" t="s">
        <v>8394</v>
      </c>
      <c r="D77" s="1882" t="s">
        <v>1626</v>
      </c>
      <c r="E77" s="1882" t="s">
        <v>8503</v>
      </c>
      <c r="F77" s="1882" t="s">
        <v>8980</v>
      </c>
      <c r="G77" s="1882" t="s">
        <v>7235</v>
      </c>
      <c r="H77" s="1882" t="s">
        <v>8985</v>
      </c>
      <c r="I77" s="1882" t="s">
        <v>8986</v>
      </c>
      <c r="J77" s="1882" t="s">
        <v>8519</v>
      </c>
      <c r="K77" s="1882" t="s">
        <v>8509</v>
      </c>
      <c r="L77" s="1882"/>
      <c r="M77" s="1882"/>
      <c r="N77" s="1882" t="s">
        <v>8547</v>
      </c>
      <c r="O77" s="1882" t="s">
        <v>732</v>
      </c>
      <c r="P77" s="1882" t="s">
        <v>8548</v>
      </c>
      <c r="Q77" s="520">
        <v>2</v>
      </c>
      <c r="R77" s="1882" t="s">
        <v>8549</v>
      </c>
      <c r="S77" s="1882">
        <v>99.96</v>
      </c>
      <c r="T77" s="1882">
        <v>100</v>
      </c>
      <c r="U77" s="1882">
        <v>100</v>
      </c>
      <c r="V77" s="1882">
        <v>100</v>
      </c>
      <c r="W77" s="1882">
        <v>100</v>
      </c>
      <c r="X77" s="1882">
        <v>100</v>
      </c>
      <c r="Y77" s="1882" t="s">
        <v>2459</v>
      </c>
      <c r="Z77" s="1882"/>
      <c r="AA77" s="1882"/>
      <c r="AB77" s="1882"/>
      <c r="AC77" s="1882"/>
      <c r="AD77" s="1882"/>
      <c r="AE77" s="1882" t="s">
        <v>2459</v>
      </c>
      <c r="AF77" s="1882"/>
      <c r="AG77" s="1882"/>
      <c r="AH77" s="1882">
        <v>0</v>
      </c>
      <c r="AI77" s="1882" t="s">
        <v>2459</v>
      </c>
      <c r="AJ77" s="1882" t="s">
        <v>2459</v>
      </c>
      <c r="AK77" s="1882" t="s">
        <v>2459</v>
      </c>
      <c r="AL77" s="1882" t="s">
        <v>2459</v>
      </c>
      <c r="AM77" s="1882" t="s">
        <v>2459</v>
      </c>
      <c r="AN77" s="1882">
        <v>99.92</v>
      </c>
      <c r="AO77" s="1882">
        <v>99.92</v>
      </c>
      <c r="AP77" s="1882">
        <v>99.94</v>
      </c>
      <c r="AQ77" s="1882">
        <v>99.94</v>
      </c>
      <c r="AR77" s="1882">
        <v>99.94</v>
      </c>
      <c r="AS77" s="1882">
        <v>99.93</v>
      </c>
      <c r="AT77" s="1882">
        <v>99.93</v>
      </c>
      <c r="AU77" s="1882">
        <v>99.95</v>
      </c>
      <c r="AV77" s="1882">
        <v>99.95</v>
      </c>
      <c r="AW77" s="1882">
        <v>99.95</v>
      </c>
      <c r="AX77" s="1882"/>
      <c r="AY77" s="1882"/>
      <c r="AZ77" s="1882"/>
      <c r="BA77" s="1882"/>
      <c r="BB77" s="1882"/>
      <c r="BC77" s="1882"/>
      <c r="BD77" s="1882"/>
      <c r="BE77" s="1882"/>
      <c r="BF77" s="1882"/>
      <c r="BG77" s="1882"/>
      <c r="BH77" s="1882">
        <v>4.7399999999999998E-2</v>
      </c>
      <c r="BI77" s="1882"/>
      <c r="BJ77" s="1882"/>
      <c r="BK77" s="1882"/>
      <c r="BL77" s="1882"/>
      <c r="BM77" s="1882"/>
      <c r="BN77" s="1882">
        <v>1</v>
      </c>
      <c r="BO77" s="1882" t="s">
        <v>8512</v>
      </c>
      <c r="BP77" s="520">
        <v>99.88</v>
      </c>
      <c r="BQ77" s="694">
        <v>99.95</v>
      </c>
      <c r="BR77" s="1882" t="s">
        <v>2460</v>
      </c>
      <c r="BS77" s="1882" t="s">
        <v>8513</v>
      </c>
      <c r="BT77" s="1882">
        <v>0</v>
      </c>
      <c r="BU77" s="1882" t="s">
        <v>8429</v>
      </c>
      <c r="BV77" s="1882">
        <v>0</v>
      </c>
      <c r="BW77" s="1882">
        <v>99.99</v>
      </c>
      <c r="BX77" s="1882" t="s">
        <v>2460</v>
      </c>
      <c r="BY77" s="1882">
        <v>0</v>
      </c>
      <c r="BZ77" s="1882">
        <v>0</v>
      </c>
      <c r="CA77" s="1882" t="s">
        <v>8429</v>
      </c>
      <c r="CB77" s="1882">
        <v>0</v>
      </c>
      <c r="CC77" s="1882">
        <v>99.97</v>
      </c>
      <c r="CD77" s="1882" t="s">
        <v>2460</v>
      </c>
      <c r="CE77" s="1882">
        <v>0</v>
      </c>
      <c r="CF77" s="1882">
        <v>0</v>
      </c>
      <c r="CG77" s="1882" t="s">
        <v>8388</v>
      </c>
      <c r="CH77" s="1882">
        <v>0</v>
      </c>
      <c r="CI77" s="1882" t="s">
        <v>8513</v>
      </c>
      <c r="CJ77" s="1882" t="s">
        <v>8513</v>
      </c>
      <c r="CK77" s="1882" t="s">
        <v>8513</v>
      </c>
      <c r="CL77" s="1882">
        <v>0</v>
      </c>
      <c r="CM77" s="1882" t="s">
        <v>8513</v>
      </c>
      <c r="CN77" s="1882">
        <v>0</v>
      </c>
      <c r="CP77" s="1882" t="s">
        <v>8987</v>
      </c>
    </row>
    <row r="78" spans="1:94">
      <c r="A78" s="1882" t="s">
        <v>8978</v>
      </c>
      <c r="B78" s="1882" t="s">
        <v>8988</v>
      </c>
      <c r="C78" s="1882" t="s">
        <v>8394</v>
      </c>
      <c r="D78" s="1882" t="s">
        <v>1626</v>
      </c>
      <c r="E78" s="1882" t="s">
        <v>8503</v>
      </c>
      <c r="F78" s="1882" t="s">
        <v>8980</v>
      </c>
      <c r="G78" s="1882" t="s">
        <v>8233</v>
      </c>
      <c r="H78" s="1882" t="s">
        <v>8989</v>
      </c>
      <c r="I78" s="1882" t="s">
        <v>8990</v>
      </c>
      <c r="J78" s="1882" t="s">
        <v>8519</v>
      </c>
      <c r="K78" s="1882" t="s">
        <v>8855</v>
      </c>
      <c r="L78" s="1882"/>
      <c r="M78" s="1882" t="s">
        <v>2460</v>
      </c>
      <c r="N78" s="1882" t="s">
        <v>8547</v>
      </c>
      <c r="O78" s="1882" t="s">
        <v>8797</v>
      </c>
      <c r="P78" s="1882" t="s">
        <v>8991</v>
      </c>
      <c r="Q78" s="520" t="s">
        <v>8512</v>
      </c>
      <c r="R78" s="1882"/>
      <c r="S78" s="1882"/>
      <c r="T78" s="1882"/>
      <c r="U78" s="1882"/>
      <c r="V78" s="1882" t="s">
        <v>8992</v>
      </c>
      <c r="W78" s="1882"/>
      <c r="X78" s="1882"/>
      <c r="Y78" s="1882"/>
      <c r="Z78" s="1882"/>
      <c r="AA78" s="1882"/>
      <c r="AB78" s="1882"/>
      <c r="AC78" s="1882"/>
      <c r="AD78" s="1882" t="s">
        <v>2459</v>
      </c>
      <c r="AE78" s="1882" t="s">
        <v>2459</v>
      </c>
      <c r="AF78" s="1882"/>
      <c r="AG78" s="1882"/>
      <c r="AH78" s="1882">
        <v>0</v>
      </c>
      <c r="AI78" s="1882"/>
      <c r="AJ78" s="1882"/>
      <c r="AK78" s="1882" t="s">
        <v>2459</v>
      </c>
      <c r="AL78" s="1882" t="s">
        <v>2459</v>
      </c>
      <c r="AM78" s="1882" t="s">
        <v>2459</v>
      </c>
      <c r="AN78" s="1882"/>
      <c r="AO78" s="1882"/>
      <c r="AP78" s="1882"/>
      <c r="AQ78" s="1882"/>
      <c r="AR78" s="1882"/>
      <c r="AS78" s="1882"/>
      <c r="AT78" s="1882"/>
      <c r="AU78" s="1882"/>
      <c r="AV78" s="1882"/>
      <c r="AW78" s="1882"/>
      <c r="AX78" s="1882"/>
      <c r="AY78" s="1882"/>
      <c r="AZ78" s="1882"/>
      <c r="BA78" s="1882"/>
      <c r="BB78" s="1882"/>
      <c r="BC78" s="1882"/>
      <c r="BD78" s="1882"/>
      <c r="BE78" s="1882"/>
      <c r="BF78" s="1882"/>
      <c r="BG78" s="1882"/>
      <c r="BH78" s="1882">
        <v>0.51</v>
      </c>
      <c r="BI78" s="1882">
        <v>19</v>
      </c>
      <c r="BJ78" s="1882"/>
      <c r="BK78" s="1882"/>
      <c r="BL78" s="1882"/>
      <c r="BM78" s="1882"/>
      <c r="BN78" s="1882">
        <v>1</v>
      </c>
      <c r="BO78" s="1882" t="s">
        <v>8512</v>
      </c>
      <c r="BP78" s="520" t="s">
        <v>3504</v>
      </c>
      <c r="BQ78" s="692" t="s">
        <v>8993</v>
      </c>
      <c r="BR78" s="1882" t="s">
        <v>8513</v>
      </c>
      <c r="BS78" s="1882" t="s">
        <v>8513</v>
      </c>
      <c r="BT78" s="1882">
        <v>0</v>
      </c>
      <c r="BU78" s="1882" t="s">
        <v>8513</v>
      </c>
      <c r="BV78" s="1882">
        <v>0</v>
      </c>
      <c r="BW78" s="1882" t="s">
        <v>8993</v>
      </c>
      <c r="BX78" s="1882" t="s">
        <v>2459</v>
      </c>
      <c r="BY78" s="1882">
        <v>0</v>
      </c>
      <c r="BZ78" s="1882">
        <v>0</v>
      </c>
      <c r="CA78" s="1882">
        <v>0</v>
      </c>
      <c r="CB78" s="1882">
        <v>0</v>
      </c>
      <c r="CC78" s="1882" t="s">
        <v>8992</v>
      </c>
      <c r="CD78" s="1882" t="s">
        <v>2459</v>
      </c>
      <c r="CE78" s="1882">
        <v>0</v>
      </c>
      <c r="CF78" s="1882">
        <v>0</v>
      </c>
      <c r="CG78" s="1882">
        <v>0</v>
      </c>
      <c r="CH78" s="1882">
        <v>0</v>
      </c>
      <c r="CI78" s="1882" t="s">
        <v>8513</v>
      </c>
      <c r="CJ78" s="1882" t="s">
        <v>8513</v>
      </c>
      <c r="CK78" s="1882" t="s">
        <v>8513</v>
      </c>
      <c r="CL78" s="1882">
        <v>0</v>
      </c>
      <c r="CM78" s="1882" t="s">
        <v>8513</v>
      </c>
      <c r="CN78" s="1882">
        <v>0</v>
      </c>
      <c r="CP78" s="1882" t="s">
        <v>8994</v>
      </c>
    </row>
    <row r="79" spans="1:94">
      <c r="A79" s="1882" t="s">
        <v>8978</v>
      </c>
      <c r="B79" s="1882" t="s">
        <v>8995</v>
      </c>
      <c r="C79" s="1882" t="s">
        <v>8394</v>
      </c>
      <c r="D79" s="1882" t="s">
        <v>1626</v>
      </c>
      <c r="E79" s="1882" t="s">
        <v>8503</v>
      </c>
      <c r="F79" s="1882" t="s">
        <v>8980</v>
      </c>
      <c r="G79" s="1882" t="s">
        <v>8236</v>
      </c>
      <c r="H79" s="1882" t="s">
        <v>8996</v>
      </c>
      <c r="I79" s="1882" t="s">
        <v>8997</v>
      </c>
      <c r="J79" s="1882" t="s">
        <v>8519</v>
      </c>
      <c r="K79" s="1882" t="s">
        <v>8855</v>
      </c>
      <c r="L79" s="1882"/>
      <c r="M79" s="1882" t="s">
        <v>2460</v>
      </c>
      <c r="N79" s="1882" t="s">
        <v>8547</v>
      </c>
      <c r="O79" s="1882" t="s">
        <v>8797</v>
      </c>
      <c r="P79" s="1882" t="s">
        <v>8998</v>
      </c>
      <c r="Q79" s="520" t="s">
        <v>8512</v>
      </c>
      <c r="R79" s="1882"/>
      <c r="S79" s="1882"/>
      <c r="T79" s="1882"/>
      <c r="U79" s="1882"/>
      <c r="V79" s="1882"/>
      <c r="W79" s="1882" t="s">
        <v>8999</v>
      </c>
      <c r="X79" s="1882" t="s">
        <v>9000</v>
      </c>
      <c r="Y79" s="1882"/>
      <c r="Z79" s="1882"/>
      <c r="AA79" s="1882"/>
      <c r="AB79" s="1882"/>
      <c r="AC79" s="1882"/>
      <c r="AD79" s="1882" t="s">
        <v>2459</v>
      </c>
      <c r="AE79" s="1882" t="s">
        <v>2459</v>
      </c>
      <c r="AF79" s="1882"/>
      <c r="AG79" s="1882"/>
      <c r="AH79" s="1882">
        <v>0</v>
      </c>
      <c r="AI79" s="1882"/>
      <c r="AJ79" s="1882"/>
      <c r="AK79" s="1882"/>
      <c r="AL79" s="1882" t="s">
        <v>2459</v>
      </c>
      <c r="AM79" s="1882" t="s">
        <v>2459</v>
      </c>
      <c r="AN79" s="1882"/>
      <c r="AO79" s="1882"/>
      <c r="AP79" s="1882"/>
      <c r="AQ79" s="1882"/>
      <c r="AR79" s="1882"/>
      <c r="AS79" s="1882"/>
      <c r="AT79" s="1882"/>
      <c r="AU79" s="1882"/>
      <c r="AV79" s="1882"/>
      <c r="AW79" s="1882"/>
      <c r="AX79" s="1882"/>
      <c r="AY79" s="1882"/>
      <c r="AZ79" s="1882"/>
      <c r="BA79" s="1882"/>
      <c r="BB79" s="1882"/>
      <c r="BC79" s="1882"/>
      <c r="BD79" s="1882"/>
      <c r="BE79" s="1882"/>
      <c r="BF79" s="1882"/>
      <c r="BG79" s="1882"/>
      <c r="BH79" s="1882">
        <v>1</v>
      </c>
      <c r="BI79" s="1882">
        <v>1</v>
      </c>
      <c r="BJ79" s="1882">
        <v>5.5</v>
      </c>
      <c r="BK79" s="1882">
        <v>1.5</v>
      </c>
      <c r="BL79" s="1882"/>
      <c r="BM79" s="1882"/>
      <c r="BN79" s="1882">
        <v>1</v>
      </c>
      <c r="BO79" s="1882" t="s">
        <v>8512</v>
      </c>
      <c r="BP79" s="520" t="s">
        <v>3504</v>
      </c>
      <c r="BQ79" s="692" t="s">
        <v>8993</v>
      </c>
      <c r="BR79" s="1882" t="s">
        <v>8513</v>
      </c>
      <c r="BS79" s="1882" t="s">
        <v>8513</v>
      </c>
      <c r="BT79" s="1882">
        <v>0</v>
      </c>
      <c r="BU79" s="1882" t="s">
        <v>8513</v>
      </c>
      <c r="BV79" s="1882">
        <v>0</v>
      </c>
      <c r="BW79" s="1882" t="s">
        <v>8993</v>
      </c>
      <c r="BX79" s="1882" t="s">
        <v>2459</v>
      </c>
      <c r="BY79" s="1882">
        <v>0</v>
      </c>
      <c r="BZ79" s="1882">
        <v>0</v>
      </c>
      <c r="CA79" s="1882">
        <v>0</v>
      </c>
      <c r="CB79" s="1882">
        <v>0</v>
      </c>
      <c r="CC79" s="1882" t="s">
        <v>8993</v>
      </c>
      <c r="CD79" s="1882" t="s">
        <v>2451</v>
      </c>
      <c r="CE79" s="1882">
        <v>0</v>
      </c>
      <c r="CF79" s="1882">
        <v>0</v>
      </c>
      <c r="CG79" s="1882">
        <v>0</v>
      </c>
      <c r="CH79" s="1882">
        <v>0</v>
      </c>
      <c r="CI79" s="1882" t="s">
        <v>8513</v>
      </c>
      <c r="CJ79" s="1882" t="s">
        <v>8513</v>
      </c>
      <c r="CK79" s="1882" t="s">
        <v>8513</v>
      </c>
      <c r="CL79" s="1882">
        <v>0</v>
      </c>
      <c r="CM79" s="1882" t="s">
        <v>8513</v>
      </c>
      <c r="CN79" s="1882">
        <v>0</v>
      </c>
      <c r="CP79" s="1882" t="s">
        <v>9001</v>
      </c>
    </row>
    <row r="80" spans="1:94">
      <c r="A80" s="1882" t="s">
        <v>8978</v>
      </c>
      <c r="B80" s="1882" t="s">
        <v>9002</v>
      </c>
      <c r="C80" s="1882" t="s">
        <v>8394</v>
      </c>
      <c r="D80" s="1882" t="s">
        <v>1626</v>
      </c>
      <c r="E80" s="1882" t="s">
        <v>8503</v>
      </c>
      <c r="F80" s="1882" t="s">
        <v>9003</v>
      </c>
      <c r="G80" s="1882" t="s">
        <v>7236</v>
      </c>
      <c r="H80" s="1882" t="s">
        <v>9004</v>
      </c>
      <c r="I80" s="1882" t="s">
        <v>9005</v>
      </c>
      <c r="J80" s="1882" t="s">
        <v>8508</v>
      </c>
      <c r="K80" s="1882" t="s">
        <v>8509</v>
      </c>
      <c r="L80" s="1882"/>
      <c r="M80" s="1882"/>
      <c r="N80" s="1882" t="s">
        <v>2450</v>
      </c>
      <c r="O80" s="1882" t="s">
        <v>8607</v>
      </c>
      <c r="P80" s="1882" t="s">
        <v>9006</v>
      </c>
      <c r="Q80" s="520">
        <v>2</v>
      </c>
      <c r="R80" s="1882" t="s">
        <v>8511</v>
      </c>
      <c r="S80" s="1882">
        <v>0.33</v>
      </c>
      <c r="T80" s="1882">
        <v>0.28999999999999998</v>
      </c>
      <c r="U80" s="1882">
        <v>0.24</v>
      </c>
      <c r="V80" s="1882">
        <v>0.2</v>
      </c>
      <c r="W80" s="1882">
        <v>0.2</v>
      </c>
      <c r="X80" s="1882">
        <v>0.2</v>
      </c>
      <c r="Y80" s="1882"/>
      <c r="Z80" s="1882"/>
      <c r="AA80" s="1882" t="s">
        <v>2459</v>
      </c>
      <c r="AB80" s="1882"/>
      <c r="AC80" s="1882"/>
      <c r="AD80" s="1882"/>
      <c r="AE80" s="1882" t="s">
        <v>2459</v>
      </c>
      <c r="AF80" s="1882"/>
      <c r="AG80" s="1882"/>
      <c r="AH80" s="1882">
        <v>0</v>
      </c>
      <c r="AI80" s="1882" t="s">
        <v>2459</v>
      </c>
      <c r="AJ80" s="1882" t="s">
        <v>2459</v>
      </c>
      <c r="AK80" s="1882" t="s">
        <v>2459</v>
      </c>
      <c r="AL80" s="1882" t="s">
        <v>2459</v>
      </c>
      <c r="AM80" s="1882" t="s">
        <v>2459</v>
      </c>
      <c r="AN80" s="1882">
        <v>0.53</v>
      </c>
      <c r="AO80" s="1882">
        <v>0.53</v>
      </c>
      <c r="AP80" s="1882">
        <v>0.4</v>
      </c>
      <c r="AQ80" s="1882">
        <v>0.4</v>
      </c>
      <c r="AR80" s="1882">
        <v>0.4</v>
      </c>
      <c r="AS80" s="1882">
        <v>0.33</v>
      </c>
      <c r="AT80" s="1882">
        <v>0.33</v>
      </c>
      <c r="AU80" s="1882">
        <v>0.2</v>
      </c>
      <c r="AV80" s="1882">
        <v>0.2</v>
      </c>
      <c r="AW80" s="1882">
        <v>0.2</v>
      </c>
      <c r="AX80" s="1882">
        <v>0.2</v>
      </c>
      <c r="AY80" s="1882">
        <v>0.2</v>
      </c>
      <c r="AZ80" s="1882">
        <v>0.2</v>
      </c>
      <c r="BA80" s="1882">
        <v>0.2</v>
      </c>
      <c r="BB80" s="1882">
        <v>0.2</v>
      </c>
      <c r="BC80" s="1882">
        <v>0.1</v>
      </c>
      <c r="BD80" s="1882">
        <v>0.1</v>
      </c>
      <c r="BE80" s="1882">
        <v>0.1</v>
      </c>
      <c r="BF80" s="1882">
        <v>0.1</v>
      </c>
      <c r="BG80" s="1882">
        <v>0.1</v>
      </c>
      <c r="BH80" s="1882">
        <v>4.1783599999999999E-3</v>
      </c>
      <c r="BI80" s="1882"/>
      <c r="BJ80" s="1882"/>
      <c r="BK80" s="1882"/>
      <c r="BL80" s="1882">
        <v>2.0870400000000001E-3</v>
      </c>
      <c r="BM80" s="1882"/>
      <c r="BN80" s="1882">
        <v>100</v>
      </c>
      <c r="BO80" s="1882" t="s">
        <v>9007</v>
      </c>
      <c r="BP80" s="520">
        <v>0.17</v>
      </c>
      <c r="BQ80" s="694">
        <v>8.6999999999999994E-2</v>
      </c>
      <c r="BR80" s="1882" t="s">
        <v>2459</v>
      </c>
      <c r="BS80" s="1882" t="s">
        <v>8513</v>
      </c>
      <c r="BT80" s="1882">
        <v>0</v>
      </c>
      <c r="BU80" s="1882" t="s">
        <v>8376</v>
      </c>
      <c r="BV80" s="1882">
        <v>2.0870400000000001E-2</v>
      </c>
      <c r="BW80" s="1882">
        <v>0.35</v>
      </c>
      <c r="BX80" s="1882" t="s">
        <v>2460</v>
      </c>
      <c r="BY80" s="1882">
        <v>0</v>
      </c>
      <c r="BZ80" s="1882">
        <v>0</v>
      </c>
      <c r="CA80" s="1882" t="s">
        <v>8563</v>
      </c>
      <c r="CB80" s="1882">
        <v>-8.3567199999999998E-3</v>
      </c>
      <c r="CC80" s="1882">
        <v>7.0000000000000007E-2</v>
      </c>
      <c r="CD80" s="1882" t="s">
        <v>2459</v>
      </c>
      <c r="CE80" s="1882">
        <v>0</v>
      </c>
      <c r="CF80" s="1882">
        <v>0</v>
      </c>
      <c r="CG80" s="1882" t="s">
        <v>8376</v>
      </c>
      <c r="CH80" s="1882">
        <v>2.0899999999999998E-2</v>
      </c>
      <c r="CI80" s="1882" t="s">
        <v>8513</v>
      </c>
      <c r="CJ80" s="1882" t="s">
        <v>8513</v>
      </c>
      <c r="CK80" s="1882" t="s">
        <v>8513</v>
      </c>
      <c r="CL80" s="1882">
        <v>0</v>
      </c>
      <c r="CM80" s="1882" t="s">
        <v>8513</v>
      </c>
      <c r="CN80" s="1882">
        <v>0</v>
      </c>
      <c r="CP80" s="1882" t="s">
        <v>9008</v>
      </c>
    </row>
    <row r="81" spans="1:94">
      <c r="A81" s="1882" t="s">
        <v>8978</v>
      </c>
      <c r="B81" s="1882" t="s">
        <v>9009</v>
      </c>
      <c r="C81" s="1882" t="s">
        <v>8394</v>
      </c>
      <c r="D81" s="1882" t="s">
        <v>1626</v>
      </c>
      <c r="E81" s="1882" t="s">
        <v>8503</v>
      </c>
      <c r="F81" s="1882" t="s">
        <v>9003</v>
      </c>
      <c r="G81" s="1882" t="s">
        <v>7237</v>
      </c>
      <c r="H81" s="1882" t="s">
        <v>9010</v>
      </c>
      <c r="I81" s="1882" t="s">
        <v>9011</v>
      </c>
      <c r="J81" s="1882" t="s">
        <v>8508</v>
      </c>
      <c r="K81" s="1882" t="s">
        <v>8509</v>
      </c>
      <c r="L81" s="1882"/>
      <c r="M81" s="1882"/>
      <c r="N81" s="1882" t="s">
        <v>2444</v>
      </c>
      <c r="O81" s="1882" t="s">
        <v>764</v>
      </c>
      <c r="P81" s="1882" t="s">
        <v>9012</v>
      </c>
      <c r="Q81" s="520">
        <v>1</v>
      </c>
      <c r="R81" s="1882" t="s">
        <v>8511</v>
      </c>
      <c r="S81" s="1882">
        <v>90.8</v>
      </c>
      <c r="T81" s="1882">
        <v>90.8</v>
      </c>
      <c r="U81" s="1882">
        <v>90.8</v>
      </c>
      <c r="V81" s="1882">
        <v>90.8</v>
      </c>
      <c r="W81" s="1882">
        <v>90.8</v>
      </c>
      <c r="X81" s="1882">
        <v>90.8</v>
      </c>
      <c r="Y81" s="1882"/>
      <c r="Z81" s="1882"/>
      <c r="AA81" s="1882"/>
      <c r="AB81" s="1882"/>
      <c r="AC81" s="1882"/>
      <c r="AD81" s="1882"/>
      <c r="AE81" s="1882" t="s">
        <v>2459</v>
      </c>
      <c r="AF81" s="1882"/>
      <c r="AG81" s="1882"/>
      <c r="AH81" s="1882">
        <v>0</v>
      </c>
      <c r="AI81" s="1882" t="s">
        <v>2459</v>
      </c>
      <c r="AJ81" s="1882" t="s">
        <v>2459</v>
      </c>
      <c r="AK81" s="1882" t="s">
        <v>2459</v>
      </c>
      <c r="AL81" s="1882" t="s">
        <v>2459</v>
      </c>
      <c r="AM81" s="1882" t="s">
        <v>2459</v>
      </c>
      <c r="AN81" s="1882">
        <v>121.6</v>
      </c>
      <c r="AO81" s="1882">
        <v>121.6</v>
      </c>
      <c r="AP81" s="1882">
        <v>121.6</v>
      </c>
      <c r="AQ81" s="1882">
        <v>121.6</v>
      </c>
      <c r="AR81" s="1882">
        <v>121.6</v>
      </c>
      <c r="AS81" s="1882">
        <v>90.8</v>
      </c>
      <c r="AT81" s="1882">
        <v>90.8</v>
      </c>
      <c r="AU81" s="1882">
        <v>90.8</v>
      </c>
      <c r="AV81" s="1882">
        <v>90.8</v>
      </c>
      <c r="AW81" s="1882">
        <v>90.8</v>
      </c>
      <c r="AX81" s="1882">
        <v>76.099999999999994</v>
      </c>
      <c r="AY81" s="1882">
        <v>76.099999999999994</v>
      </c>
      <c r="AZ81" s="1882">
        <v>76.099999999999994</v>
      </c>
      <c r="BA81" s="1882">
        <v>76.099999999999994</v>
      </c>
      <c r="BB81" s="1882">
        <v>76.099999999999994</v>
      </c>
      <c r="BC81" s="1882">
        <v>60</v>
      </c>
      <c r="BD81" s="1882">
        <v>60</v>
      </c>
      <c r="BE81" s="1882">
        <v>60</v>
      </c>
      <c r="BF81" s="1882">
        <v>60</v>
      </c>
      <c r="BG81" s="1882">
        <v>60</v>
      </c>
      <c r="BH81" s="1882">
        <v>5.1504300000000001E-3</v>
      </c>
      <c r="BI81" s="1882"/>
      <c r="BJ81" s="1882"/>
      <c r="BK81" s="1882"/>
      <c r="BL81" s="1882">
        <v>1.9763799999999998E-3</v>
      </c>
      <c r="BM81" s="1882"/>
      <c r="BN81" s="1882">
        <v>1</v>
      </c>
      <c r="BO81" s="1882" t="s">
        <v>8512</v>
      </c>
      <c r="BP81" s="520">
        <v>77.89</v>
      </c>
      <c r="BQ81" s="690">
        <v>78.400000000000006</v>
      </c>
      <c r="BR81" s="1882" t="s">
        <v>2459</v>
      </c>
      <c r="BS81" s="1882" t="s">
        <v>8513</v>
      </c>
      <c r="BT81" s="1882">
        <v>0</v>
      </c>
      <c r="BU81" s="1882" t="s">
        <v>8380</v>
      </c>
      <c r="BV81" s="1882">
        <v>0</v>
      </c>
      <c r="BW81" s="1882">
        <v>88.96</v>
      </c>
      <c r="BX81" s="1882" t="s">
        <v>2459</v>
      </c>
      <c r="BY81" s="1882">
        <v>0</v>
      </c>
      <c r="BZ81" s="1882">
        <v>0</v>
      </c>
      <c r="CA81" s="1882" t="s">
        <v>8380</v>
      </c>
      <c r="CB81" s="1882">
        <v>0</v>
      </c>
      <c r="CC81" s="1882">
        <v>92.5</v>
      </c>
      <c r="CD81" s="1882" t="s">
        <v>2460</v>
      </c>
      <c r="CE81" s="1882">
        <v>0</v>
      </c>
      <c r="CF81" s="1882">
        <v>0</v>
      </c>
      <c r="CG81" s="1882" t="s">
        <v>8384</v>
      </c>
      <c r="CH81" s="1882">
        <v>-8.7550000000000006E-3</v>
      </c>
      <c r="CI81" s="1882" t="s">
        <v>8513</v>
      </c>
      <c r="CJ81" s="1882" t="s">
        <v>8513</v>
      </c>
      <c r="CK81" s="1882" t="s">
        <v>8513</v>
      </c>
      <c r="CL81" s="1882">
        <v>0</v>
      </c>
      <c r="CM81" s="1882" t="s">
        <v>8513</v>
      </c>
      <c r="CN81" s="1882">
        <v>0</v>
      </c>
      <c r="CP81" s="1882" t="s">
        <v>9013</v>
      </c>
    </row>
    <row r="82" spans="1:94">
      <c r="A82" s="1882" t="s">
        <v>8978</v>
      </c>
      <c r="B82" s="1882" t="s">
        <v>9014</v>
      </c>
      <c r="C82" s="1882" t="s">
        <v>8394</v>
      </c>
      <c r="D82" s="1882" t="s">
        <v>1626</v>
      </c>
      <c r="E82" s="1882" t="s">
        <v>8503</v>
      </c>
      <c r="F82" s="1882" t="s">
        <v>9003</v>
      </c>
      <c r="G82" s="1882" t="s">
        <v>8250</v>
      </c>
      <c r="H82" s="1882" t="s">
        <v>9015</v>
      </c>
      <c r="I82" s="1882" t="s">
        <v>9016</v>
      </c>
      <c r="J82" s="1882" t="s">
        <v>8539</v>
      </c>
      <c r="K82" s="1882"/>
      <c r="L82" s="1882"/>
      <c r="M82" s="1882"/>
      <c r="N82" s="1882" t="s">
        <v>8527</v>
      </c>
      <c r="O82" s="1882" t="s">
        <v>8591</v>
      </c>
      <c r="P82" s="1882" t="s">
        <v>8643</v>
      </c>
      <c r="Q82" s="520">
        <v>0</v>
      </c>
      <c r="R82" s="1882" t="s">
        <v>8549</v>
      </c>
      <c r="S82" s="1882">
        <v>100</v>
      </c>
      <c r="T82" s="1882">
        <v>100</v>
      </c>
      <c r="U82" s="1882">
        <v>100</v>
      </c>
      <c r="V82" s="1882">
        <v>100</v>
      </c>
      <c r="W82" s="1882">
        <v>100</v>
      </c>
      <c r="X82" s="1882">
        <v>100</v>
      </c>
      <c r="Y82" s="1882"/>
      <c r="Z82" s="1882"/>
      <c r="AA82" s="1882"/>
      <c r="AB82" s="1882"/>
      <c r="AC82" s="1882"/>
      <c r="AD82" s="1882"/>
      <c r="AE82" s="1882"/>
      <c r="AF82" s="1882"/>
      <c r="AG82" s="1882"/>
      <c r="AH82" s="1882">
        <v>0</v>
      </c>
      <c r="AI82" s="1882"/>
      <c r="AJ82" s="1882"/>
      <c r="AK82" s="1882"/>
      <c r="AL82" s="1882"/>
      <c r="AM82" s="1882"/>
      <c r="AN82" s="1882"/>
      <c r="AO82" s="1882"/>
      <c r="AP82" s="1882"/>
      <c r="AQ82" s="1882"/>
      <c r="AR82" s="1882"/>
      <c r="AS82" s="1882"/>
      <c r="AT82" s="1882"/>
      <c r="AU82" s="1882"/>
      <c r="AV82" s="1882"/>
      <c r="AW82" s="1882"/>
      <c r="AX82" s="1882"/>
      <c r="AY82" s="1882"/>
      <c r="AZ82" s="1882"/>
      <c r="BA82" s="1882"/>
      <c r="BB82" s="1882"/>
      <c r="BC82" s="1882"/>
      <c r="BD82" s="1882"/>
      <c r="BE82" s="1882"/>
      <c r="BF82" s="1882"/>
      <c r="BG82" s="1882"/>
      <c r="BH82" s="1882"/>
      <c r="BI82" s="1882"/>
      <c r="BJ82" s="1882"/>
      <c r="BK82" s="1882"/>
      <c r="BL82" s="1882"/>
      <c r="BM82" s="1882"/>
      <c r="BN82" s="1882"/>
      <c r="BO82" s="1882"/>
      <c r="BP82" s="520">
        <v>100</v>
      </c>
      <c r="BQ82" s="693">
        <v>100</v>
      </c>
      <c r="BR82" s="1882" t="s">
        <v>2459</v>
      </c>
      <c r="BS82" s="1882" t="s">
        <v>8513</v>
      </c>
      <c r="BT82" s="1882">
        <v>0</v>
      </c>
      <c r="BU82" s="1882" t="s">
        <v>8513</v>
      </c>
      <c r="BV82" s="1882">
        <v>0</v>
      </c>
      <c r="BW82" s="1882">
        <v>100</v>
      </c>
      <c r="BX82" s="1882" t="s">
        <v>2459</v>
      </c>
      <c r="BY82" s="1882">
        <v>0</v>
      </c>
      <c r="BZ82" s="1882">
        <v>0</v>
      </c>
      <c r="CA82" s="1882">
        <v>0</v>
      </c>
      <c r="CB82" s="1882">
        <v>0</v>
      </c>
      <c r="CC82" s="1882">
        <v>100</v>
      </c>
      <c r="CD82" s="1882" t="s">
        <v>2459</v>
      </c>
      <c r="CE82" s="1882">
        <v>0</v>
      </c>
      <c r="CF82" s="1882">
        <v>0</v>
      </c>
      <c r="CG82" s="1882">
        <v>0</v>
      </c>
      <c r="CH82" s="1882">
        <v>0</v>
      </c>
      <c r="CI82" s="1882" t="s">
        <v>8513</v>
      </c>
      <c r="CJ82" s="1882" t="s">
        <v>8513</v>
      </c>
      <c r="CK82" s="1882" t="s">
        <v>8513</v>
      </c>
      <c r="CL82" s="1882">
        <v>0</v>
      </c>
      <c r="CM82" s="1882" t="s">
        <v>8513</v>
      </c>
      <c r="CN82" s="1882">
        <v>0</v>
      </c>
      <c r="CP82" s="1882" t="s">
        <v>9017</v>
      </c>
    </row>
    <row r="83" spans="1:94">
      <c r="A83" s="1882" t="s">
        <v>8978</v>
      </c>
      <c r="B83" s="1882" t="s">
        <v>9018</v>
      </c>
      <c r="C83" s="1882" t="s">
        <v>8394</v>
      </c>
      <c r="D83" s="1882" t="s">
        <v>1626</v>
      </c>
      <c r="E83" s="1882" t="s">
        <v>8503</v>
      </c>
      <c r="F83" s="1882" t="s">
        <v>9003</v>
      </c>
      <c r="G83" s="1882" t="s">
        <v>9019</v>
      </c>
      <c r="H83" s="1882" t="s">
        <v>9020</v>
      </c>
      <c r="I83" s="1882" t="s">
        <v>9021</v>
      </c>
      <c r="J83" s="1882" t="s">
        <v>8508</v>
      </c>
      <c r="K83" s="1882" t="s">
        <v>8509</v>
      </c>
      <c r="L83" s="1882"/>
      <c r="M83" s="1882"/>
      <c r="N83" s="1882" t="s">
        <v>8569</v>
      </c>
      <c r="O83" s="1882" t="s">
        <v>764</v>
      </c>
      <c r="P83" s="1882" t="s">
        <v>8570</v>
      </c>
      <c r="Q83" s="520">
        <v>0</v>
      </c>
      <c r="R83" s="1882" t="s">
        <v>8511</v>
      </c>
      <c r="S83" s="1882">
        <v>211</v>
      </c>
      <c r="T83" s="1882">
        <v>246</v>
      </c>
      <c r="U83" s="1882">
        <v>234</v>
      </c>
      <c r="V83" s="1882">
        <v>222</v>
      </c>
      <c r="W83" s="1882">
        <v>222</v>
      </c>
      <c r="X83" s="1882">
        <v>222</v>
      </c>
      <c r="Y83" s="1882"/>
      <c r="Z83" s="1882"/>
      <c r="AA83" s="1882"/>
      <c r="AB83" s="1882"/>
      <c r="AC83" s="1882"/>
      <c r="AD83" s="1882"/>
      <c r="AE83" s="1882" t="s">
        <v>2459</v>
      </c>
      <c r="AF83" s="1882"/>
      <c r="AG83" s="1882"/>
      <c r="AH83" s="1882">
        <v>0</v>
      </c>
      <c r="AI83" s="1882" t="s">
        <v>2459</v>
      </c>
      <c r="AJ83" s="1882" t="s">
        <v>2459</v>
      </c>
      <c r="AK83" s="1882" t="s">
        <v>2459</v>
      </c>
      <c r="AL83" s="1882" t="s">
        <v>2459</v>
      </c>
      <c r="AM83" s="1882" t="s">
        <v>2459</v>
      </c>
      <c r="AN83" s="1882">
        <v>538</v>
      </c>
      <c r="AO83" s="1882">
        <v>526</v>
      </c>
      <c r="AP83" s="1882">
        <v>514</v>
      </c>
      <c r="AQ83" s="1882">
        <v>514</v>
      </c>
      <c r="AR83" s="1882">
        <v>514</v>
      </c>
      <c r="AS83" s="1882">
        <v>316</v>
      </c>
      <c r="AT83" s="1882">
        <v>304</v>
      </c>
      <c r="AU83" s="1882">
        <v>292</v>
      </c>
      <c r="AV83" s="1882">
        <v>292</v>
      </c>
      <c r="AW83" s="1882">
        <v>292</v>
      </c>
      <c r="AX83" s="1882">
        <v>176</v>
      </c>
      <c r="AY83" s="1882">
        <v>164</v>
      </c>
      <c r="AZ83" s="1882">
        <v>152</v>
      </c>
      <c r="BA83" s="1882">
        <v>152</v>
      </c>
      <c r="BB83" s="1882">
        <v>152</v>
      </c>
      <c r="BC83" s="1882">
        <v>154</v>
      </c>
      <c r="BD83" s="1882">
        <v>142</v>
      </c>
      <c r="BE83" s="1882">
        <v>130</v>
      </c>
      <c r="BF83" s="1882">
        <v>130</v>
      </c>
      <c r="BG83" s="1882">
        <v>130</v>
      </c>
      <c r="BH83" s="1882">
        <v>1.3013600000000001E-3</v>
      </c>
      <c r="BI83" s="1882"/>
      <c r="BJ83" s="1882"/>
      <c r="BK83" s="1882"/>
      <c r="BL83" s="1882">
        <v>6.5068000000000005E-4</v>
      </c>
      <c r="BM83" s="1882"/>
      <c r="BN83" s="1882">
        <v>1</v>
      </c>
      <c r="BO83" s="1882" t="s">
        <v>8512</v>
      </c>
      <c r="BP83" s="520">
        <v>247</v>
      </c>
      <c r="BQ83" s="693">
        <v>169</v>
      </c>
      <c r="BR83" s="1882" t="s">
        <v>2459</v>
      </c>
      <c r="BS83" s="1882" t="s">
        <v>8513</v>
      </c>
      <c r="BT83" s="1882">
        <v>0</v>
      </c>
      <c r="BU83" s="1882" t="s">
        <v>8376</v>
      </c>
      <c r="BV83" s="1882">
        <v>4.5547599999999997E-3</v>
      </c>
      <c r="BW83" s="1882">
        <v>209</v>
      </c>
      <c r="BX83" s="1882" t="s">
        <v>2459</v>
      </c>
      <c r="BY83" s="1882">
        <v>0</v>
      </c>
      <c r="BZ83" s="1882">
        <v>0</v>
      </c>
      <c r="CA83" s="1882" t="s">
        <v>8380</v>
      </c>
      <c r="CB83" s="1882">
        <v>0</v>
      </c>
      <c r="CC83" s="1882">
        <v>243</v>
      </c>
      <c r="CD83" s="1882" t="s">
        <v>2460</v>
      </c>
      <c r="CE83" s="1882">
        <v>0</v>
      </c>
      <c r="CF83" s="1882">
        <v>0</v>
      </c>
      <c r="CG83" s="1882" t="s">
        <v>8388</v>
      </c>
      <c r="CH83" s="1882">
        <v>0</v>
      </c>
      <c r="CI83" s="1882" t="s">
        <v>8513</v>
      </c>
      <c r="CJ83" s="1882" t="s">
        <v>8513</v>
      </c>
      <c r="CK83" s="1882" t="s">
        <v>8513</v>
      </c>
      <c r="CL83" s="1882">
        <v>0</v>
      </c>
      <c r="CM83" s="1882" t="s">
        <v>8513</v>
      </c>
      <c r="CN83" s="1882">
        <v>0</v>
      </c>
      <c r="CP83" s="1882" t="s">
        <v>9022</v>
      </c>
    </row>
    <row r="84" spans="1:94">
      <c r="A84" s="1882" t="s">
        <v>8978</v>
      </c>
      <c r="B84" s="1882" t="s">
        <v>9023</v>
      </c>
      <c r="C84" s="1882" t="s">
        <v>8394</v>
      </c>
      <c r="D84" s="1882" t="s">
        <v>1626</v>
      </c>
      <c r="E84" s="1882" t="s">
        <v>8503</v>
      </c>
      <c r="F84" s="1882" t="s">
        <v>9024</v>
      </c>
      <c r="G84" s="1882" t="s">
        <v>8254</v>
      </c>
      <c r="H84" s="1882" t="s">
        <v>9025</v>
      </c>
      <c r="I84" s="1882" t="s">
        <v>9026</v>
      </c>
      <c r="J84" s="1882" t="s">
        <v>8539</v>
      </c>
      <c r="K84" s="1882"/>
      <c r="L84" s="1882"/>
      <c r="M84" s="1882"/>
      <c r="N84" s="1882" t="s">
        <v>8681</v>
      </c>
      <c r="O84" s="1882" t="s">
        <v>764</v>
      </c>
      <c r="P84" s="1882" t="s">
        <v>9027</v>
      </c>
      <c r="Q84" s="520">
        <v>0</v>
      </c>
      <c r="R84" s="1882" t="s">
        <v>8511</v>
      </c>
      <c r="S84" s="1882">
        <v>9889</v>
      </c>
      <c r="T84" s="1882">
        <v>9783</v>
      </c>
      <c r="U84" s="1882">
        <v>9762</v>
      </c>
      <c r="V84" s="1882">
        <v>9752</v>
      </c>
      <c r="W84" s="1882">
        <v>9740</v>
      </c>
      <c r="X84" s="1882">
        <v>9727</v>
      </c>
      <c r="Y84" s="1882"/>
      <c r="Z84" s="1882"/>
      <c r="AA84" s="1882"/>
      <c r="AB84" s="1882"/>
      <c r="AC84" s="1882"/>
      <c r="AD84" s="1882"/>
      <c r="AE84" s="1882"/>
      <c r="AF84" s="1882"/>
      <c r="AG84" s="1882"/>
      <c r="AH84" s="1882">
        <v>0</v>
      </c>
      <c r="AI84" s="1882"/>
      <c r="AJ84" s="1882"/>
      <c r="AK84" s="1882"/>
      <c r="AL84" s="1882"/>
      <c r="AM84" s="1882"/>
      <c r="AN84" s="1882"/>
      <c r="AO84" s="1882"/>
      <c r="AP84" s="1882"/>
      <c r="AQ84" s="1882"/>
      <c r="AR84" s="1882"/>
      <c r="AS84" s="1882"/>
      <c r="AT84" s="1882"/>
      <c r="AU84" s="1882"/>
      <c r="AV84" s="1882"/>
      <c r="AW84" s="1882"/>
      <c r="AX84" s="1882"/>
      <c r="AY84" s="1882"/>
      <c r="AZ84" s="1882"/>
      <c r="BA84" s="1882"/>
      <c r="BB84" s="1882"/>
      <c r="BC84" s="1882"/>
      <c r="BD84" s="1882"/>
      <c r="BE84" s="1882"/>
      <c r="BF84" s="1882"/>
      <c r="BG84" s="1882"/>
      <c r="BH84" s="1882"/>
      <c r="BI84" s="1882"/>
      <c r="BJ84" s="1882"/>
      <c r="BK84" s="1882"/>
      <c r="BL84" s="1882"/>
      <c r="BM84" s="1882"/>
      <c r="BN84" s="1882"/>
      <c r="BO84" s="1882"/>
      <c r="BP84" s="520">
        <v>9389</v>
      </c>
      <c r="BQ84" s="693">
        <v>9219</v>
      </c>
      <c r="BR84" s="1882" t="s">
        <v>2459</v>
      </c>
      <c r="BS84" s="1882" t="s">
        <v>8513</v>
      </c>
      <c r="BT84" s="1882">
        <v>0</v>
      </c>
      <c r="BU84" s="1882" t="s">
        <v>8513</v>
      </c>
      <c r="BV84" s="1882">
        <v>0</v>
      </c>
      <c r="BW84" s="1882">
        <v>8385</v>
      </c>
      <c r="BX84" s="1882" t="s">
        <v>2459</v>
      </c>
      <c r="BY84" s="1882">
        <v>0</v>
      </c>
      <c r="BZ84" s="1882">
        <v>0</v>
      </c>
      <c r="CA84" s="1882">
        <v>0</v>
      </c>
      <c r="CB84" s="1882">
        <v>0</v>
      </c>
      <c r="CC84" s="1882">
        <v>7709</v>
      </c>
      <c r="CD84" s="1882" t="s">
        <v>2459</v>
      </c>
      <c r="CE84" s="1882">
        <v>0</v>
      </c>
      <c r="CF84" s="1882">
        <v>0</v>
      </c>
      <c r="CG84" s="1882">
        <v>0</v>
      </c>
      <c r="CH84" s="1882">
        <v>0</v>
      </c>
      <c r="CI84" s="1882" t="s">
        <v>8513</v>
      </c>
      <c r="CJ84" s="1882" t="s">
        <v>8513</v>
      </c>
      <c r="CK84" s="1882" t="s">
        <v>8513</v>
      </c>
      <c r="CL84" s="1882">
        <v>0</v>
      </c>
      <c r="CM84" s="1882" t="s">
        <v>8513</v>
      </c>
      <c r="CN84" s="1882">
        <v>0</v>
      </c>
      <c r="CP84" s="1882" t="s">
        <v>9028</v>
      </c>
    </row>
    <row r="85" spans="1:94">
      <c r="A85" s="1882" t="s">
        <v>8978</v>
      </c>
      <c r="B85" s="1882" t="s">
        <v>9029</v>
      </c>
      <c r="C85" s="1882" t="s">
        <v>8394</v>
      </c>
      <c r="D85" s="1882" t="s">
        <v>1626</v>
      </c>
      <c r="E85" s="1882" t="s">
        <v>8503</v>
      </c>
      <c r="F85" s="1882" t="s">
        <v>9030</v>
      </c>
      <c r="G85" s="1882" t="s">
        <v>8261</v>
      </c>
      <c r="H85" s="1882" t="s">
        <v>9031</v>
      </c>
      <c r="I85" s="1882" t="s">
        <v>9032</v>
      </c>
      <c r="J85" s="1882" t="s">
        <v>8539</v>
      </c>
      <c r="K85" s="1882"/>
      <c r="L85" s="1882"/>
      <c r="M85" s="1882"/>
      <c r="N85" s="1882" t="s">
        <v>8695</v>
      </c>
      <c r="O85" s="1882" t="s">
        <v>732</v>
      </c>
      <c r="P85" s="1882" t="s">
        <v>8696</v>
      </c>
      <c r="Q85" s="520" t="s">
        <v>8512</v>
      </c>
      <c r="R85" s="1882" t="s">
        <v>8549</v>
      </c>
      <c r="S85" s="1882"/>
      <c r="T85" s="1882">
        <v>80</v>
      </c>
      <c r="U85" s="1882" t="s">
        <v>9033</v>
      </c>
      <c r="V85" s="1882" t="s">
        <v>9033</v>
      </c>
      <c r="W85" s="1882" t="s">
        <v>9033</v>
      </c>
      <c r="X85" s="1882" t="s">
        <v>9033</v>
      </c>
      <c r="Y85" s="1882"/>
      <c r="Z85" s="1882"/>
      <c r="AA85" s="1882"/>
      <c r="AB85" s="1882"/>
      <c r="AC85" s="1882"/>
      <c r="AD85" s="1882"/>
      <c r="AE85" s="1882"/>
      <c r="AF85" s="1882"/>
      <c r="AG85" s="1882"/>
      <c r="AH85" s="1882">
        <v>0</v>
      </c>
      <c r="AI85" s="1882"/>
      <c r="AJ85" s="1882"/>
      <c r="AK85" s="1882"/>
      <c r="AL85" s="1882"/>
      <c r="AM85" s="1882"/>
      <c r="AN85" s="1882"/>
      <c r="AO85" s="1882"/>
      <c r="AP85" s="1882"/>
      <c r="AQ85" s="1882"/>
      <c r="AR85" s="1882"/>
      <c r="AS85" s="1882"/>
      <c r="AT85" s="1882"/>
      <c r="AU85" s="1882"/>
      <c r="AV85" s="1882"/>
      <c r="AW85" s="1882"/>
      <c r="AX85" s="1882"/>
      <c r="AY85" s="1882"/>
      <c r="AZ85" s="1882"/>
      <c r="BA85" s="1882"/>
      <c r="BB85" s="1882"/>
      <c r="BC85" s="1882"/>
      <c r="BD85" s="1882"/>
      <c r="BE85" s="1882"/>
      <c r="BF85" s="1882"/>
      <c r="BG85" s="1882"/>
      <c r="BH85" s="1882"/>
      <c r="BI85" s="1882"/>
      <c r="BJ85" s="1882"/>
      <c r="BK85" s="1882"/>
      <c r="BL85" s="1882"/>
      <c r="BM85" s="1882"/>
      <c r="BN85" s="1882"/>
      <c r="BO85" s="1882"/>
      <c r="BP85" s="520" t="s">
        <v>3504</v>
      </c>
      <c r="BQ85" s="692">
        <v>80</v>
      </c>
      <c r="BR85" s="1882" t="s">
        <v>2459</v>
      </c>
      <c r="BS85" s="1882" t="s">
        <v>8513</v>
      </c>
      <c r="BT85" s="1882">
        <v>0</v>
      </c>
      <c r="BU85" s="1882" t="s">
        <v>8513</v>
      </c>
      <c r="BV85" s="1882">
        <v>0</v>
      </c>
      <c r="BW85" s="1882">
        <v>77</v>
      </c>
      <c r="BX85" s="1882" t="s">
        <v>2460</v>
      </c>
      <c r="BY85" s="1882">
        <v>0</v>
      </c>
      <c r="BZ85" s="1882">
        <v>0</v>
      </c>
      <c r="CA85" s="1882">
        <v>0</v>
      </c>
      <c r="CB85" s="1882">
        <v>0</v>
      </c>
      <c r="CC85" s="1882">
        <v>73</v>
      </c>
      <c r="CD85" s="1882" t="s">
        <v>2460</v>
      </c>
      <c r="CE85" s="1882">
        <v>0</v>
      </c>
      <c r="CF85" s="1882">
        <v>0</v>
      </c>
      <c r="CG85" s="1882">
        <v>0</v>
      </c>
      <c r="CH85" s="1882">
        <v>0</v>
      </c>
      <c r="CI85" s="1882" t="s">
        <v>8513</v>
      </c>
      <c r="CJ85" s="1882" t="s">
        <v>8513</v>
      </c>
      <c r="CK85" s="1882" t="s">
        <v>8513</v>
      </c>
      <c r="CL85" s="1882">
        <v>0</v>
      </c>
      <c r="CM85" s="1882" t="s">
        <v>8513</v>
      </c>
      <c r="CN85" s="1882">
        <v>0</v>
      </c>
      <c r="CP85" s="1882" t="s">
        <v>9034</v>
      </c>
    </row>
    <row r="86" spans="1:94">
      <c r="A86" s="1882" t="s">
        <v>8978</v>
      </c>
      <c r="B86" s="1882" t="s">
        <v>9035</v>
      </c>
      <c r="C86" s="1882" t="s">
        <v>8394</v>
      </c>
      <c r="D86" s="1882" t="s">
        <v>9036</v>
      </c>
      <c r="E86" s="1882" t="s">
        <v>9037</v>
      </c>
      <c r="F86" s="1882" t="s">
        <v>9038</v>
      </c>
      <c r="G86" s="1882" t="s">
        <v>8293</v>
      </c>
      <c r="H86" s="1882" t="s">
        <v>9039</v>
      </c>
      <c r="I86" s="1882" t="s">
        <v>9040</v>
      </c>
      <c r="J86" s="1882" t="s">
        <v>8508</v>
      </c>
      <c r="K86" s="1882" t="s">
        <v>8509</v>
      </c>
      <c r="L86" s="1882"/>
      <c r="M86" s="1882" t="s">
        <v>2460</v>
      </c>
      <c r="N86" s="1882" t="s">
        <v>8590</v>
      </c>
      <c r="O86" s="1882" t="s">
        <v>8591</v>
      </c>
      <c r="P86" s="1882" t="s">
        <v>8592</v>
      </c>
      <c r="Q86" s="520">
        <v>1</v>
      </c>
      <c r="R86" s="1882" t="s">
        <v>8549</v>
      </c>
      <c r="S86" s="1882">
        <v>80</v>
      </c>
      <c r="T86" s="1882">
        <v>80</v>
      </c>
      <c r="U86" s="1882">
        <v>80</v>
      </c>
      <c r="V86" s="1882">
        <v>80</v>
      </c>
      <c r="W86" s="1882">
        <v>80</v>
      </c>
      <c r="X86" s="1882">
        <v>80</v>
      </c>
      <c r="Y86" s="1882"/>
      <c r="Z86" s="1882"/>
      <c r="AA86" s="1882"/>
      <c r="AB86" s="1882"/>
      <c r="AC86" s="1882"/>
      <c r="AD86" s="1882"/>
      <c r="AE86" s="1882"/>
      <c r="AF86" s="1882"/>
      <c r="AG86" s="1882"/>
      <c r="AH86" s="1882">
        <v>0</v>
      </c>
      <c r="AI86" s="1882" t="s">
        <v>2459</v>
      </c>
      <c r="AJ86" s="1882" t="s">
        <v>2459</v>
      </c>
      <c r="AK86" s="1882" t="s">
        <v>2459</v>
      </c>
      <c r="AL86" s="1882" t="s">
        <v>2459</v>
      </c>
      <c r="AM86" s="1882" t="s">
        <v>2459</v>
      </c>
      <c r="AN86" s="1882" t="s">
        <v>8593</v>
      </c>
      <c r="AO86" s="1882" t="s">
        <v>8593</v>
      </c>
      <c r="AP86" s="1882" t="s">
        <v>8593</v>
      </c>
      <c r="AQ86" s="1882" t="s">
        <v>8593</v>
      </c>
      <c r="AR86" s="1882" t="s">
        <v>8593</v>
      </c>
      <c r="AS86" s="1882" t="s">
        <v>8593</v>
      </c>
      <c r="AT86" s="1882" t="s">
        <v>8593</v>
      </c>
      <c r="AU86" s="1882" t="s">
        <v>8593</v>
      </c>
      <c r="AV86" s="1882" t="s">
        <v>8593</v>
      </c>
      <c r="AW86" s="1882" t="s">
        <v>8593</v>
      </c>
      <c r="AX86" s="1882" t="s">
        <v>8593</v>
      </c>
      <c r="AY86" s="1882" t="s">
        <v>8593</v>
      </c>
      <c r="AZ86" s="1882" t="s">
        <v>8593</v>
      </c>
      <c r="BA86" s="1882" t="s">
        <v>8593</v>
      </c>
      <c r="BB86" s="1882" t="s">
        <v>8593</v>
      </c>
      <c r="BC86" s="1882" t="s">
        <v>8593</v>
      </c>
      <c r="BD86" s="1882" t="s">
        <v>8593</v>
      </c>
      <c r="BE86" s="1882" t="s">
        <v>8593</v>
      </c>
      <c r="BF86" s="1882" t="s">
        <v>8593</v>
      </c>
      <c r="BG86" s="1882" t="s">
        <v>8593</v>
      </c>
      <c r="BH86" s="1882" t="s">
        <v>8593</v>
      </c>
      <c r="BI86" s="1882"/>
      <c r="BJ86" s="1882"/>
      <c r="BK86" s="1882"/>
      <c r="BL86" s="1882" t="s">
        <v>8593</v>
      </c>
      <c r="BM86" s="1882"/>
      <c r="BN86" s="1882">
        <v>1</v>
      </c>
      <c r="BO86" s="1882" t="s">
        <v>8512</v>
      </c>
      <c r="BP86" s="520" t="s">
        <v>3504</v>
      </c>
      <c r="BQ86" s="690">
        <v>88.51</v>
      </c>
      <c r="BR86" s="1882" t="s">
        <v>2459</v>
      </c>
      <c r="BS86" s="1882" t="s">
        <v>8513</v>
      </c>
      <c r="BT86" s="1882">
        <v>0</v>
      </c>
      <c r="BU86" s="1882" t="s">
        <v>8513</v>
      </c>
      <c r="BV86" s="1882">
        <v>0</v>
      </c>
      <c r="BW86" s="1882">
        <v>90.43</v>
      </c>
      <c r="BX86" s="1882" t="s">
        <v>2459</v>
      </c>
      <c r="BY86" s="1882">
        <v>0</v>
      </c>
      <c r="BZ86" s="1882">
        <v>0</v>
      </c>
      <c r="CA86" s="1882">
        <v>0</v>
      </c>
      <c r="CB86" s="1882">
        <v>0</v>
      </c>
      <c r="CC86" s="1882">
        <v>94</v>
      </c>
      <c r="CD86" s="1882" t="s">
        <v>2459</v>
      </c>
      <c r="CE86" s="1882">
        <v>0</v>
      </c>
      <c r="CF86" s="1882">
        <v>0</v>
      </c>
      <c r="CG86" s="1882">
        <v>0</v>
      </c>
      <c r="CH86" s="1882">
        <v>0</v>
      </c>
      <c r="CI86" s="1882" t="s">
        <v>8513</v>
      </c>
      <c r="CJ86" s="1882" t="s">
        <v>8513</v>
      </c>
      <c r="CK86" s="1882" t="s">
        <v>8513</v>
      </c>
      <c r="CL86" s="1882">
        <v>0</v>
      </c>
      <c r="CM86" s="1882" t="s">
        <v>8513</v>
      </c>
      <c r="CN86" s="1882">
        <v>0</v>
      </c>
      <c r="CP86" s="1882" t="s">
        <v>9041</v>
      </c>
    </row>
    <row r="87" spans="1:94">
      <c r="A87" s="1882" t="s">
        <v>8978</v>
      </c>
      <c r="B87" s="1882" t="s">
        <v>9042</v>
      </c>
      <c r="C87" s="1882" t="s">
        <v>8394</v>
      </c>
      <c r="D87" s="1882" t="s">
        <v>8584</v>
      </c>
      <c r="E87" s="1882" t="s">
        <v>8585</v>
      </c>
      <c r="F87" s="1882" t="s">
        <v>9043</v>
      </c>
      <c r="G87" s="1882" t="s">
        <v>8277</v>
      </c>
      <c r="H87" s="1882" t="s">
        <v>9044</v>
      </c>
      <c r="I87" s="1882" t="s">
        <v>9045</v>
      </c>
      <c r="J87" s="1882" t="s">
        <v>8539</v>
      </c>
      <c r="K87" s="1882"/>
      <c r="L87" s="1882"/>
      <c r="M87" s="1882"/>
      <c r="N87" s="1882" t="s">
        <v>8520</v>
      </c>
      <c r="O87" s="1882" t="s">
        <v>764</v>
      </c>
      <c r="P87" s="1882" t="s">
        <v>9046</v>
      </c>
      <c r="Q87" s="520">
        <v>2</v>
      </c>
      <c r="R87" s="1882" t="s">
        <v>8511</v>
      </c>
      <c r="S87" s="1882">
        <v>132.38999999999999</v>
      </c>
      <c r="T87" s="1882">
        <v>131.44</v>
      </c>
      <c r="U87" s="1882">
        <v>130.44999999999999</v>
      </c>
      <c r="V87" s="1882">
        <v>129.44</v>
      </c>
      <c r="W87" s="1882">
        <v>128.37</v>
      </c>
      <c r="X87" s="1882">
        <v>127.28</v>
      </c>
      <c r="Y87" s="1882"/>
      <c r="Z87" s="1882"/>
      <c r="AA87" s="1882"/>
      <c r="AB87" s="1882"/>
      <c r="AC87" s="1882"/>
      <c r="AD87" s="1882"/>
      <c r="AE87" s="1882"/>
      <c r="AF87" s="1882"/>
      <c r="AG87" s="1882"/>
      <c r="AH87" s="1882">
        <v>0</v>
      </c>
      <c r="AI87" s="1882"/>
      <c r="AJ87" s="1882"/>
      <c r="AK87" s="1882"/>
      <c r="AL87" s="1882"/>
      <c r="AM87" s="1882"/>
      <c r="AN87" s="1882"/>
      <c r="AO87" s="1882"/>
      <c r="AP87" s="1882"/>
      <c r="AQ87" s="1882"/>
      <c r="AR87" s="1882"/>
      <c r="AS87" s="1882"/>
      <c r="AT87" s="1882"/>
      <c r="AU87" s="1882"/>
      <c r="AV87" s="1882"/>
      <c r="AW87" s="1882"/>
      <c r="AX87" s="1882"/>
      <c r="AY87" s="1882"/>
      <c r="AZ87" s="1882"/>
      <c r="BA87" s="1882"/>
      <c r="BB87" s="1882"/>
      <c r="BC87" s="1882"/>
      <c r="BD87" s="1882"/>
      <c r="BE87" s="1882"/>
      <c r="BF87" s="1882"/>
      <c r="BG87" s="1882"/>
      <c r="BH87" s="1882"/>
      <c r="BI87" s="1882"/>
      <c r="BJ87" s="1882"/>
      <c r="BK87" s="1882"/>
      <c r="BL87" s="1882"/>
      <c r="BM87" s="1882"/>
      <c r="BN87" s="1882"/>
      <c r="BO87" s="1882"/>
      <c r="BP87" s="520">
        <v>129.53</v>
      </c>
      <c r="BQ87" s="694">
        <v>134.87</v>
      </c>
      <c r="BR87" s="1882" t="s">
        <v>2460</v>
      </c>
      <c r="BS87" s="1882" t="s">
        <v>8513</v>
      </c>
      <c r="BT87" s="1882">
        <v>0</v>
      </c>
      <c r="BU87" s="1882" t="s">
        <v>8513</v>
      </c>
      <c r="BV87" s="1882">
        <v>0</v>
      </c>
      <c r="BW87" s="1882">
        <v>135.21</v>
      </c>
      <c r="BX87" s="1882" t="s">
        <v>2460</v>
      </c>
      <c r="BY87" s="1882">
        <v>0</v>
      </c>
      <c r="BZ87" s="1882">
        <v>0</v>
      </c>
      <c r="CA87" s="1882">
        <v>0</v>
      </c>
      <c r="CB87" s="1882">
        <v>0</v>
      </c>
      <c r="CC87" s="1882">
        <v>136.57</v>
      </c>
      <c r="CD87" s="1882" t="s">
        <v>2460</v>
      </c>
      <c r="CE87" s="1882">
        <v>0</v>
      </c>
      <c r="CF87" s="1882">
        <v>0</v>
      </c>
      <c r="CG87" s="1882">
        <v>0</v>
      </c>
      <c r="CH87" s="1882">
        <v>0</v>
      </c>
      <c r="CI87" s="1882" t="s">
        <v>8513</v>
      </c>
      <c r="CJ87" s="1882" t="s">
        <v>8513</v>
      </c>
      <c r="CK87" s="1882" t="s">
        <v>8513</v>
      </c>
      <c r="CL87" s="1882">
        <v>0</v>
      </c>
      <c r="CM87" s="1882" t="s">
        <v>8513</v>
      </c>
      <c r="CN87" s="1882">
        <v>0</v>
      </c>
      <c r="CP87" s="1882" t="s">
        <v>9047</v>
      </c>
    </row>
    <row r="88" spans="1:94">
      <c r="A88" s="1882" t="s">
        <v>8978</v>
      </c>
      <c r="B88" s="1882" t="s">
        <v>9048</v>
      </c>
      <c r="C88" s="1882" t="s">
        <v>8394</v>
      </c>
      <c r="D88" s="1882" t="s">
        <v>8584</v>
      </c>
      <c r="E88" s="1882" t="s">
        <v>8585</v>
      </c>
      <c r="F88" s="1882" t="s">
        <v>9043</v>
      </c>
      <c r="G88" s="1882" t="s">
        <v>8280</v>
      </c>
      <c r="H88" s="1882" t="s">
        <v>9049</v>
      </c>
      <c r="I88" s="1882" t="s">
        <v>9050</v>
      </c>
      <c r="J88" s="1882" t="s">
        <v>8508</v>
      </c>
      <c r="K88" s="1882" t="s">
        <v>8509</v>
      </c>
      <c r="L88" s="1882"/>
      <c r="M88" s="1882" t="s">
        <v>2460</v>
      </c>
      <c r="N88" s="1882" t="s">
        <v>8590</v>
      </c>
      <c r="O88" s="1882" t="s">
        <v>8591</v>
      </c>
      <c r="P88" s="1882" t="s">
        <v>8592</v>
      </c>
      <c r="Q88" s="520">
        <v>1</v>
      </c>
      <c r="R88" s="1882" t="s">
        <v>8549</v>
      </c>
      <c r="S88" s="1882">
        <v>80</v>
      </c>
      <c r="T88" s="1882">
        <v>80</v>
      </c>
      <c r="U88" s="1882">
        <v>80</v>
      </c>
      <c r="V88" s="1882">
        <v>80</v>
      </c>
      <c r="W88" s="1882">
        <v>80</v>
      </c>
      <c r="X88" s="1882">
        <v>80</v>
      </c>
      <c r="Y88" s="1882"/>
      <c r="Z88" s="1882"/>
      <c r="AA88" s="1882"/>
      <c r="AB88" s="1882"/>
      <c r="AC88" s="1882"/>
      <c r="AD88" s="1882"/>
      <c r="AE88" s="1882"/>
      <c r="AF88" s="1882"/>
      <c r="AG88" s="1882"/>
      <c r="AH88" s="1882">
        <v>0</v>
      </c>
      <c r="AI88" s="1882" t="s">
        <v>2459</v>
      </c>
      <c r="AJ88" s="1882" t="s">
        <v>2459</v>
      </c>
      <c r="AK88" s="1882" t="s">
        <v>2459</v>
      </c>
      <c r="AL88" s="1882" t="s">
        <v>2459</v>
      </c>
      <c r="AM88" s="1882" t="s">
        <v>2459</v>
      </c>
      <c r="AN88" s="1882" t="s">
        <v>8593</v>
      </c>
      <c r="AO88" s="1882" t="s">
        <v>8593</v>
      </c>
      <c r="AP88" s="1882" t="s">
        <v>8593</v>
      </c>
      <c r="AQ88" s="1882" t="s">
        <v>8593</v>
      </c>
      <c r="AR88" s="1882" t="s">
        <v>8593</v>
      </c>
      <c r="AS88" s="1882" t="s">
        <v>8593</v>
      </c>
      <c r="AT88" s="1882" t="s">
        <v>8593</v>
      </c>
      <c r="AU88" s="1882" t="s">
        <v>8593</v>
      </c>
      <c r="AV88" s="1882" t="s">
        <v>8593</v>
      </c>
      <c r="AW88" s="1882" t="s">
        <v>8593</v>
      </c>
      <c r="AX88" s="1882" t="s">
        <v>8593</v>
      </c>
      <c r="AY88" s="1882" t="s">
        <v>8593</v>
      </c>
      <c r="AZ88" s="1882" t="s">
        <v>8593</v>
      </c>
      <c r="BA88" s="1882" t="s">
        <v>8593</v>
      </c>
      <c r="BB88" s="1882" t="s">
        <v>8593</v>
      </c>
      <c r="BC88" s="1882" t="s">
        <v>8593</v>
      </c>
      <c r="BD88" s="1882" t="s">
        <v>8593</v>
      </c>
      <c r="BE88" s="1882" t="s">
        <v>8593</v>
      </c>
      <c r="BF88" s="1882" t="s">
        <v>8593</v>
      </c>
      <c r="BG88" s="1882" t="s">
        <v>8593</v>
      </c>
      <c r="BH88" s="1882" t="s">
        <v>8593</v>
      </c>
      <c r="BI88" s="1882"/>
      <c r="BJ88" s="1882"/>
      <c r="BK88" s="1882"/>
      <c r="BL88" s="1882" t="s">
        <v>8593</v>
      </c>
      <c r="BM88" s="1882"/>
      <c r="BN88" s="1882">
        <v>1</v>
      </c>
      <c r="BO88" s="1882" t="s">
        <v>8512</v>
      </c>
      <c r="BP88" s="520">
        <v>77.900000000000006</v>
      </c>
      <c r="BQ88" s="690">
        <v>83.42</v>
      </c>
      <c r="BR88" s="1882" t="s">
        <v>2459</v>
      </c>
      <c r="BS88" s="1882" t="s">
        <v>8513</v>
      </c>
      <c r="BT88" s="1882">
        <v>0</v>
      </c>
      <c r="BU88" s="1882" t="s">
        <v>8513</v>
      </c>
      <c r="BV88" s="1882">
        <v>0</v>
      </c>
      <c r="BW88" s="1882">
        <v>85.98</v>
      </c>
      <c r="BX88" s="1882" t="s">
        <v>2459</v>
      </c>
      <c r="BY88" s="1882">
        <v>0</v>
      </c>
      <c r="BZ88" s="1882">
        <v>0</v>
      </c>
      <c r="CA88" s="1882">
        <v>0</v>
      </c>
      <c r="CB88" s="1882">
        <v>0</v>
      </c>
      <c r="CC88" s="1882">
        <v>86.5</v>
      </c>
      <c r="CD88" s="1882" t="s">
        <v>2459</v>
      </c>
      <c r="CE88" s="1882">
        <v>0</v>
      </c>
      <c r="CF88" s="1882">
        <v>0</v>
      </c>
      <c r="CG88" s="1882">
        <v>0</v>
      </c>
      <c r="CH88" s="1882">
        <v>0</v>
      </c>
      <c r="CI88" s="1882" t="s">
        <v>8513</v>
      </c>
      <c r="CJ88" s="1882" t="s">
        <v>8513</v>
      </c>
      <c r="CK88" s="1882" t="s">
        <v>8513</v>
      </c>
      <c r="CL88" s="1882">
        <v>0</v>
      </c>
      <c r="CM88" s="1882" t="s">
        <v>8513</v>
      </c>
      <c r="CN88" s="1882">
        <v>0</v>
      </c>
      <c r="CP88" s="1882" t="s">
        <v>9051</v>
      </c>
    </row>
    <row r="89" spans="1:94">
      <c r="A89" s="1882" t="s">
        <v>8362</v>
      </c>
      <c r="B89" s="1882" t="s">
        <v>9052</v>
      </c>
      <c r="C89" s="1882" t="s">
        <v>8352</v>
      </c>
      <c r="D89" s="1882" t="s">
        <v>1626</v>
      </c>
      <c r="E89" s="1882" t="s">
        <v>8503</v>
      </c>
      <c r="F89" s="1882" t="s">
        <v>9053</v>
      </c>
      <c r="G89" s="1882" t="s">
        <v>8505</v>
      </c>
      <c r="H89" s="1882" t="s">
        <v>9054</v>
      </c>
      <c r="I89" s="1882" t="s">
        <v>9055</v>
      </c>
      <c r="J89" s="1882" t="s">
        <v>8539</v>
      </c>
      <c r="K89" s="1882"/>
      <c r="L89" s="1882"/>
      <c r="M89" s="1882"/>
      <c r="N89" s="1882" t="s">
        <v>8569</v>
      </c>
      <c r="O89" s="1882" t="s">
        <v>3504</v>
      </c>
      <c r="P89" s="1882" t="s">
        <v>9056</v>
      </c>
      <c r="Q89" s="520" t="s">
        <v>8512</v>
      </c>
      <c r="R89" s="1882"/>
      <c r="S89" s="1882" t="s">
        <v>3504</v>
      </c>
      <c r="T89" s="1882" t="s">
        <v>3504</v>
      </c>
      <c r="U89" s="1882" t="s">
        <v>3504</v>
      </c>
      <c r="V89" s="1882" t="s">
        <v>3504</v>
      </c>
      <c r="W89" s="1882" t="s">
        <v>3504</v>
      </c>
      <c r="X89" s="1882" t="s">
        <v>3504</v>
      </c>
      <c r="Y89" s="1882"/>
      <c r="Z89" s="1882"/>
      <c r="AA89" s="1882"/>
      <c r="AB89" s="1882"/>
      <c r="AC89" s="1882"/>
      <c r="AD89" s="1882"/>
      <c r="AE89" s="1882" t="s">
        <v>2459</v>
      </c>
      <c r="AF89" s="1882"/>
      <c r="AG89" s="1882"/>
      <c r="AH89" s="1882">
        <v>0</v>
      </c>
      <c r="AI89" s="1882"/>
      <c r="AJ89" s="1882"/>
      <c r="AK89" s="1882"/>
      <c r="AL89" s="1882"/>
      <c r="AM89" s="1882"/>
      <c r="AN89" s="1882"/>
      <c r="AO89" s="1882"/>
      <c r="AP89" s="1882"/>
      <c r="AQ89" s="1882"/>
      <c r="AR89" s="1882"/>
      <c r="AS89" s="1882"/>
      <c r="AT89" s="1882"/>
      <c r="AU89" s="1882"/>
      <c r="AV89" s="1882"/>
      <c r="AW89" s="1882"/>
      <c r="AX89" s="1882"/>
      <c r="AY89" s="1882"/>
      <c r="AZ89" s="1882"/>
      <c r="BA89" s="1882"/>
      <c r="BB89" s="1882"/>
      <c r="BC89" s="1882"/>
      <c r="BD89" s="1882"/>
      <c r="BE89" s="1882"/>
      <c r="BF89" s="1882"/>
      <c r="BG89" s="1882"/>
      <c r="BH89" s="1882"/>
      <c r="BI89" s="1882"/>
      <c r="BJ89" s="1882"/>
      <c r="BK89" s="1882"/>
      <c r="BL89" s="1882"/>
      <c r="BM89" s="1882"/>
      <c r="BN89" s="1882"/>
      <c r="BO89" s="1882"/>
      <c r="BP89" s="520" t="s">
        <v>3514</v>
      </c>
      <c r="BQ89" s="692" t="s">
        <v>3514</v>
      </c>
      <c r="BR89" s="1882" t="s">
        <v>8513</v>
      </c>
      <c r="BS89" s="1882" t="s">
        <v>8513</v>
      </c>
      <c r="BT89" s="1882">
        <v>0</v>
      </c>
      <c r="BU89" s="1882" t="s">
        <v>8513</v>
      </c>
      <c r="BV89" s="1882">
        <v>0</v>
      </c>
      <c r="BW89" s="1882" t="s">
        <v>3514</v>
      </c>
      <c r="BX89" s="1882" t="s">
        <v>2451</v>
      </c>
      <c r="BY89" s="1882">
        <v>0</v>
      </c>
      <c r="BZ89" s="1882">
        <v>0</v>
      </c>
      <c r="CA89" s="1882">
        <v>0</v>
      </c>
      <c r="CB89" s="1882">
        <v>0</v>
      </c>
      <c r="CC89" s="1882" t="s">
        <v>3514</v>
      </c>
      <c r="CD89" s="1882" t="s">
        <v>2451</v>
      </c>
      <c r="CE89" s="1882">
        <v>0</v>
      </c>
      <c r="CF89" s="1882">
        <v>0</v>
      </c>
      <c r="CG89" s="1882">
        <v>0</v>
      </c>
      <c r="CH89" s="1882">
        <v>0</v>
      </c>
      <c r="CI89" s="1882" t="s">
        <v>3514</v>
      </c>
      <c r="CJ89" s="1882" t="s">
        <v>2451</v>
      </c>
      <c r="CK89" s="1882">
        <v>0</v>
      </c>
      <c r="CL89" s="1882">
        <v>0</v>
      </c>
      <c r="CM89" s="1882">
        <v>0</v>
      </c>
      <c r="CN89" s="1882">
        <v>0</v>
      </c>
      <c r="CP89" s="1882" t="s">
        <v>9057</v>
      </c>
    </row>
    <row r="90" spans="1:94">
      <c r="A90" s="1882" t="s">
        <v>8362</v>
      </c>
      <c r="B90" s="1882" t="s">
        <v>9058</v>
      </c>
      <c r="C90" s="1882" t="s">
        <v>8352</v>
      </c>
      <c r="D90" s="1882" t="s">
        <v>1626</v>
      </c>
      <c r="E90" s="1882" t="s">
        <v>8503</v>
      </c>
      <c r="F90" s="1882" t="s">
        <v>9059</v>
      </c>
      <c r="G90" s="1882" t="s">
        <v>8544</v>
      </c>
      <c r="H90" s="1882" t="s">
        <v>9060</v>
      </c>
      <c r="I90" s="1882" t="s">
        <v>9061</v>
      </c>
      <c r="J90" s="1882" t="s">
        <v>8508</v>
      </c>
      <c r="K90" s="1882" t="s">
        <v>8855</v>
      </c>
      <c r="L90" s="1882"/>
      <c r="M90" s="1882"/>
      <c r="N90" s="1882" t="s">
        <v>8463</v>
      </c>
      <c r="O90" s="1882" t="s">
        <v>764</v>
      </c>
      <c r="P90" s="1882" t="s">
        <v>9062</v>
      </c>
      <c r="Q90" s="520">
        <v>0</v>
      </c>
      <c r="R90" s="1882" t="s">
        <v>8511</v>
      </c>
      <c r="S90" s="1882">
        <v>1402</v>
      </c>
      <c r="T90" s="1882">
        <v>1236</v>
      </c>
      <c r="U90" s="1882">
        <v>1069</v>
      </c>
      <c r="V90" s="1882">
        <v>903</v>
      </c>
      <c r="W90" s="1882">
        <v>903</v>
      </c>
      <c r="X90" s="1882">
        <v>903</v>
      </c>
      <c r="Y90" s="1882"/>
      <c r="Z90" s="1882" t="s">
        <v>2459</v>
      </c>
      <c r="AA90" s="1882"/>
      <c r="AB90" s="1882"/>
      <c r="AC90" s="1882"/>
      <c r="AD90" s="1882"/>
      <c r="AE90" s="1882" t="s">
        <v>2459</v>
      </c>
      <c r="AF90" s="1882"/>
      <c r="AG90" s="1882"/>
      <c r="AH90" s="1882">
        <v>0</v>
      </c>
      <c r="AI90" s="1882" t="s">
        <v>2459</v>
      </c>
      <c r="AJ90" s="1882" t="s">
        <v>2459</v>
      </c>
      <c r="AK90" s="1882" t="s">
        <v>2459</v>
      </c>
      <c r="AL90" s="1882" t="s">
        <v>2459</v>
      </c>
      <c r="AM90" s="1882" t="s">
        <v>2459</v>
      </c>
      <c r="AN90" s="1882" t="s">
        <v>9063</v>
      </c>
      <c r="AO90" s="1882" t="s">
        <v>9063</v>
      </c>
      <c r="AP90" s="1882" t="s">
        <v>9064</v>
      </c>
      <c r="AQ90" s="1882" t="s">
        <v>9064</v>
      </c>
      <c r="AR90" s="1882" t="s">
        <v>9064</v>
      </c>
      <c r="AS90" s="1882" t="s">
        <v>9065</v>
      </c>
      <c r="AT90" s="1882" t="s">
        <v>9065</v>
      </c>
      <c r="AU90" s="1882" t="s">
        <v>9066</v>
      </c>
      <c r="AV90" s="1882" t="s">
        <v>9066</v>
      </c>
      <c r="AW90" s="1882" t="s">
        <v>9066</v>
      </c>
      <c r="AX90" s="1882" t="s">
        <v>9067</v>
      </c>
      <c r="AY90" s="1882" t="s">
        <v>9067</v>
      </c>
      <c r="AZ90" s="1882" t="s">
        <v>9067</v>
      </c>
      <c r="BA90" s="1882" t="s">
        <v>9067</v>
      </c>
      <c r="BB90" s="1882" t="s">
        <v>9067</v>
      </c>
      <c r="BC90" s="1882" t="s">
        <v>9068</v>
      </c>
      <c r="BD90" s="1882" t="s">
        <v>9069</v>
      </c>
      <c r="BE90" s="1882" t="s">
        <v>9068</v>
      </c>
      <c r="BF90" s="1882" t="s">
        <v>9068</v>
      </c>
      <c r="BG90" s="1882" t="s">
        <v>9068</v>
      </c>
      <c r="BH90" s="1882">
        <v>2.3E-2</v>
      </c>
      <c r="BI90" s="1882"/>
      <c r="BJ90" s="1882"/>
      <c r="BK90" s="1882"/>
      <c r="BL90" s="1882">
        <v>1.0999999999999999E-2</v>
      </c>
      <c r="BM90" s="1882"/>
      <c r="BN90" s="1882">
        <v>1</v>
      </c>
      <c r="BO90" s="1882" t="s">
        <v>8512</v>
      </c>
      <c r="BP90" s="520">
        <v>1405</v>
      </c>
      <c r="BQ90" s="693">
        <v>1225</v>
      </c>
      <c r="BR90" s="1882" t="s">
        <v>2459</v>
      </c>
      <c r="BS90" s="1882" t="s">
        <v>8513</v>
      </c>
      <c r="BT90" s="1882">
        <v>0</v>
      </c>
      <c r="BU90" s="1882" t="s">
        <v>8380</v>
      </c>
      <c r="BV90" s="1882">
        <v>0</v>
      </c>
      <c r="BW90" s="1882">
        <v>1229</v>
      </c>
      <c r="BX90" s="1882" t="s">
        <v>2460</v>
      </c>
      <c r="BY90" s="1882">
        <v>0</v>
      </c>
      <c r="BZ90" s="1882">
        <v>0</v>
      </c>
      <c r="CA90" s="1882" t="s">
        <v>8429</v>
      </c>
      <c r="CB90" s="1882">
        <v>0</v>
      </c>
      <c r="CC90" s="1882">
        <v>978</v>
      </c>
      <c r="CD90" s="1882" t="s">
        <v>2459</v>
      </c>
      <c r="CE90" s="1882">
        <v>0</v>
      </c>
      <c r="CF90" s="1882">
        <v>0</v>
      </c>
      <c r="CG90" s="1882" t="s">
        <v>8376</v>
      </c>
      <c r="CH90" s="1882">
        <v>9.9000000000000005E-2</v>
      </c>
      <c r="CI90" s="1882">
        <v>1060</v>
      </c>
      <c r="CJ90" s="1882" t="s">
        <v>2460</v>
      </c>
      <c r="CK90" s="1882">
        <v>0</v>
      </c>
      <c r="CL90" s="1882">
        <v>0</v>
      </c>
      <c r="CM90" s="1882" t="s">
        <v>8384</v>
      </c>
      <c r="CN90" s="1882">
        <v>-1.679</v>
      </c>
      <c r="CP90" s="1882" t="s">
        <v>9070</v>
      </c>
    </row>
    <row r="91" spans="1:94">
      <c r="A91" s="1882" t="s">
        <v>8362</v>
      </c>
      <c r="B91" s="1882" t="s">
        <v>9071</v>
      </c>
      <c r="C91" s="1882" t="s">
        <v>8352</v>
      </c>
      <c r="D91" s="1882" t="s">
        <v>1626</v>
      </c>
      <c r="E91" s="1882" t="s">
        <v>8503</v>
      </c>
      <c r="F91" s="1882" t="s">
        <v>9059</v>
      </c>
      <c r="G91" s="1882" t="s">
        <v>8552</v>
      </c>
      <c r="H91" s="1882" t="s">
        <v>9072</v>
      </c>
      <c r="I91" s="1882" t="s">
        <v>9073</v>
      </c>
      <c r="J91" s="1882" t="s">
        <v>8519</v>
      </c>
      <c r="K91" s="1882" t="s">
        <v>8855</v>
      </c>
      <c r="L91" s="1882"/>
      <c r="M91" s="1882" t="s">
        <v>2460</v>
      </c>
      <c r="N91" s="1882" t="s">
        <v>8547</v>
      </c>
      <c r="O91" s="1882" t="s">
        <v>732</v>
      </c>
      <c r="P91" s="1882" t="s">
        <v>8548</v>
      </c>
      <c r="Q91" s="520">
        <v>3</v>
      </c>
      <c r="R91" s="1882" t="s">
        <v>8549</v>
      </c>
      <c r="S91" s="1882">
        <v>99.94</v>
      </c>
      <c r="T91" s="1882" t="s">
        <v>9074</v>
      </c>
      <c r="U91" s="1882" t="s">
        <v>9074</v>
      </c>
      <c r="V91" s="1882">
        <v>100</v>
      </c>
      <c r="W91" s="1882">
        <v>100</v>
      </c>
      <c r="X91" s="1882">
        <v>100</v>
      </c>
      <c r="Y91" s="1882" t="s">
        <v>2459</v>
      </c>
      <c r="Z91" s="1882"/>
      <c r="AA91" s="1882"/>
      <c r="AB91" s="1882"/>
      <c r="AC91" s="1882"/>
      <c r="AD91" s="1882"/>
      <c r="AE91" s="1882" t="s">
        <v>2459</v>
      </c>
      <c r="AF91" s="1882"/>
      <c r="AG91" s="1882"/>
      <c r="AH91" s="1882">
        <v>0</v>
      </c>
      <c r="AI91" s="1882"/>
      <c r="AJ91" s="1882"/>
      <c r="AK91" s="1882" t="s">
        <v>2459</v>
      </c>
      <c r="AL91" s="1882" t="s">
        <v>2459</v>
      </c>
      <c r="AM91" s="1882" t="s">
        <v>2459</v>
      </c>
      <c r="AN91" s="1882" t="s">
        <v>9075</v>
      </c>
      <c r="AO91" s="1882" t="s">
        <v>9075</v>
      </c>
      <c r="AP91" s="1882" t="s">
        <v>9076</v>
      </c>
      <c r="AQ91" s="1882" t="s">
        <v>9077</v>
      </c>
      <c r="AR91" s="1882" t="s">
        <v>9078</v>
      </c>
      <c r="AS91" s="1882" t="s">
        <v>9079</v>
      </c>
      <c r="AT91" s="1882" t="s">
        <v>9079</v>
      </c>
      <c r="AU91" s="1882" t="s">
        <v>9080</v>
      </c>
      <c r="AV91" s="1882" t="s">
        <v>9081</v>
      </c>
      <c r="AW91" s="1882" t="s">
        <v>9082</v>
      </c>
      <c r="AX91" s="1882"/>
      <c r="AY91" s="1882"/>
      <c r="AZ91" s="1882"/>
      <c r="BA91" s="1882"/>
      <c r="BB91" s="1882"/>
      <c r="BC91" s="1882"/>
      <c r="BD91" s="1882"/>
      <c r="BE91" s="1882"/>
      <c r="BF91" s="1882"/>
      <c r="BG91" s="1882"/>
      <c r="BH91" s="1882">
        <v>3.98475</v>
      </c>
      <c r="BI91" s="1882">
        <v>3.98475</v>
      </c>
      <c r="BJ91" s="1882"/>
      <c r="BK91" s="1882"/>
      <c r="BL91" s="1882"/>
      <c r="BM91" s="1882"/>
      <c r="BN91" s="1882">
        <v>1</v>
      </c>
      <c r="BO91" s="1882" t="s">
        <v>8512</v>
      </c>
      <c r="BP91" s="520">
        <v>99.93</v>
      </c>
      <c r="BQ91" s="694">
        <v>99.936999999999998</v>
      </c>
      <c r="BR91" s="1882" t="s">
        <v>8513</v>
      </c>
      <c r="BS91" s="1882" t="s">
        <v>8513</v>
      </c>
      <c r="BT91" s="1882">
        <v>0</v>
      </c>
      <c r="BU91" s="1882" t="s">
        <v>8513</v>
      </c>
      <c r="BV91" s="1882">
        <v>0</v>
      </c>
      <c r="BW91" s="1882">
        <v>99.944000000000003</v>
      </c>
      <c r="BX91" s="1882" t="s">
        <v>2451</v>
      </c>
      <c r="BY91" s="1882">
        <v>0</v>
      </c>
      <c r="BZ91" s="1882">
        <v>0</v>
      </c>
      <c r="CA91" s="1882">
        <v>0</v>
      </c>
      <c r="CB91" s="1882">
        <v>0</v>
      </c>
      <c r="CC91" s="1882">
        <v>99.942999999999998</v>
      </c>
      <c r="CD91" s="1882" t="s">
        <v>2460</v>
      </c>
      <c r="CE91" s="1882">
        <v>0</v>
      </c>
      <c r="CF91" s="1882">
        <v>0</v>
      </c>
      <c r="CG91" s="1882" t="s">
        <v>8388</v>
      </c>
      <c r="CH91" s="1882">
        <v>0</v>
      </c>
      <c r="CI91" s="1882">
        <v>99.941000000000003</v>
      </c>
      <c r="CJ91" s="1882" t="s">
        <v>2460</v>
      </c>
      <c r="CK91" s="1882">
        <v>0</v>
      </c>
      <c r="CL91" s="1882">
        <v>0</v>
      </c>
      <c r="CM91" s="1882" t="s">
        <v>8384</v>
      </c>
      <c r="CN91" s="1882">
        <v>-3.9847999999999999</v>
      </c>
      <c r="CP91" s="1882" t="s">
        <v>9083</v>
      </c>
    </row>
    <row r="92" spans="1:94">
      <c r="A92" s="1882" t="s">
        <v>8362</v>
      </c>
      <c r="B92" s="1882" t="s">
        <v>9084</v>
      </c>
      <c r="C92" s="1882" t="s">
        <v>8352</v>
      </c>
      <c r="D92" s="1882" t="s">
        <v>1626</v>
      </c>
      <c r="E92" s="1882" t="s">
        <v>8503</v>
      </c>
      <c r="F92" s="1882" t="s">
        <v>9059</v>
      </c>
      <c r="G92" s="1882" t="s">
        <v>9085</v>
      </c>
      <c r="H92" s="1882" t="s">
        <v>9086</v>
      </c>
      <c r="I92" s="1882" t="s">
        <v>9087</v>
      </c>
      <c r="J92" s="1882" t="s">
        <v>8508</v>
      </c>
      <c r="K92" s="1882" t="s">
        <v>8855</v>
      </c>
      <c r="L92" s="1882"/>
      <c r="M92" s="1882" t="s">
        <v>2460</v>
      </c>
      <c r="N92" s="1882" t="s">
        <v>8463</v>
      </c>
      <c r="O92" s="1882" t="s">
        <v>764</v>
      </c>
      <c r="P92" s="1882" t="s">
        <v>9062</v>
      </c>
      <c r="Q92" s="520">
        <v>0</v>
      </c>
      <c r="R92" s="1882" t="s">
        <v>8511</v>
      </c>
      <c r="S92" s="1882">
        <v>4600</v>
      </c>
      <c r="T92" s="1882">
        <v>4054</v>
      </c>
      <c r="U92" s="1882">
        <v>3508</v>
      </c>
      <c r="V92" s="1882">
        <v>2962</v>
      </c>
      <c r="W92" s="1882">
        <v>2962</v>
      </c>
      <c r="X92" s="1882">
        <v>2962</v>
      </c>
      <c r="Y92" s="1882"/>
      <c r="Z92" s="1882" t="s">
        <v>2459</v>
      </c>
      <c r="AA92" s="1882"/>
      <c r="AB92" s="1882"/>
      <c r="AC92" s="1882"/>
      <c r="AD92" s="1882"/>
      <c r="AE92" s="1882" t="s">
        <v>2459</v>
      </c>
      <c r="AF92" s="1882"/>
      <c r="AG92" s="1882"/>
      <c r="AH92" s="1882">
        <v>0</v>
      </c>
      <c r="AI92" s="1882"/>
      <c r="AJ92" s="1882"/>
      <c r="AK92" s="1882" t="s">
        <v>2459</v>
      </c>
      <c r="AL92" s="1882" t="s">
        <v>2459</v>
      </c>
      <c r="AM92" s="1882" t="s">
        <v>2459</v>
      </c>
      <c r="AN92" s="1882" t="s">
        <v>9088</v>
      </c>
      <c r="AO92" s="1882" t="s">
        <v>9088</v>
      </c>
      <c r="AP92" s="1882" t="s">
        <v>9089</v>
      </c>
      <c r="AQ92" s="1882" t="s">
        <v>9090</v>
      </c>
      <c r="AR92" s="1882" t="s">
        <v>9091</v>
      </c>
      <c r="AS92" s="1882" t="s">
        <v>9092</v>
      </c>
      <c r="AT92" s="1882" t="s">
        <v>9092</v>
      </c>
      <c r="AU92" s="1882" t="s">
        <v>9093</v>
      </c>
      <c r="AV92" s="1882" t="s">
        <v>9094</v>
      </c>
      <c r="AW92" s="1882" t="s">
        <v>9095</v>
      </c>
      <c r="AX92" s="1882" t="s">
        <v>9096</v>
      </c>
      <c r="AY92" s="1882" t="s">
        <v>9096</v>
      </c>
      <c r="AZ92" s="1882" t="s">
        <v>9096</v>
      </c>
      <c r="BA92" s="1882" t="s">
        <v>9096</v>
      </c>
      <c r="BB92" s="1882" t="s">
        <v>9096</v>
      </c>
      <c r="BC92" s="1882" t="s">
        <v>9097</v>
      </c>
      <c r="BD92" s="1882" t="s">
        <v>9097</v>
      </c>
      <c r="BE92" s="1882" t="s">
        <v>9097</v>
      </c>
      <c r="BF92" s="1882" t="s">
        <v>9097</v>
      </c>
      <c r="BG92" s="1882" t="s">
        <v>9097</v>
      </c>
      <c r="BH92" s="1882">
        <v>3.98475</v>
      </c>
      <c r="BI92" s="1882">
        <v>3.98475</v>
      </c>
      <c r="BJ92" s="1882"/>
      <c r="BK92" s="1882"/>
      <c r="BL92" s="1882">
        <v>2E-3</v>
      </c>
      <c r="BM92" s="1882"/>
      <c r="BN92" s="1882">
        <v>1</v>
      </c>
      <c r="BO92" s="1882" t="s">
        <v>8512</v>
      </c>
      <c r="BP92" s="520">
        <v>4292</v>
      </c>
      <c r="BQ92" s="693">
        <v>3762</v>
      </c>
      <c r="BR92" s="1882" t="s">
        <v>8513</v>
      </c>
      <c r="BS92" s="1882" t="s">
        <v>8513</v>
      </c>
      <c r="BT92" s="1882">
        <v>0</v>
      </c>
      <c r="BU92" s="1882" t="s">
        <v>8513</v>
      </c>
      <c r="BV92" s="1882">
        <v>0</v>
      </c>
      <c r="BW92" s="1882">
        <v>3227</v>
      </c>
      <c r="BX92" s="1882" t="s">
        <v>2451</v>
      </c>
      <c r="BY92" s="1882">
        <v>0</v>
      </c>
      <c r="BZ92" s="1882">
        <v>0</v>
      </c>
      <c r="CA92" s="1882">
        <v>0</v>
      </c>
      <c r="CB92" s="1882">
        <v>0</v>
      </c>
      <c r="CC92" s="1882">
        <v>2776</v>
      </c>
      <c r="CD92" s="1882" t="s">
        <v>2459</v>
      </c>
      <c r="CE92" s="1882">
        <v>0</v>
      </c>
      <c r="CF92" s="1882">
        <v>0</v>
      </c>
      <c r="CG92" s="1882" t="s">
        <v>8376</v>
      </c>
      <c r="CH92" s="1882">
        <v>0.26329999999999998</v>
      </c>
      <c r="CI92" s="1882">
        <v>2667</v>
      </c>
      <c r="CJ92" s="1882" t="s">
        <v>2459</v>
      </c>
      <c r="CK92" s="1882">
        <v>0</v>
      </c>
      <c r="CL92" s="1882">
        <v>0</v>
      </c>
      <c r="CM92" s="1882" t="s">
        <v>8376</v>
      </c>
      <c r="CN92" s="1882">
        <v>0</v>
      </c>
      <c r="CP92" s="1882" t="s">
        <v>9098</v>
      </c>
    </row>
    <row r="93" spans="1:94">
      <c r="A93" s="1882" t="s">
        <v>8362</v>
      </c>
      <c r="B93" s="1882" t="s">
        <v>9099</v>
      </c>
      <c r="C93" s="1882" t="s">
        <v>8352</v>
      </c>
      <c r="D93" s="1882" t="s">
        <v>1626</v>
      </c>
      <c r="E93" s="1882" t="s">
        <v>8503</v>
      </c>
      <c r="F93" s="1882" t="s">
        <v>9100</v>
      </c>
      <c r="G93" s="1882" t="s">
        <v>8559</v>
      </c>
      <c r="H93" s="1882" t="s">
        <v>9101</v>
      </c>
      <c r="I93" s="1882" t="s">
        <v>9102</v>
      </c>
      <c r="J93" s="1882" t="s">
        <v>8508</v>
      </c>
      <c r="K93" s="1882" t="s">
        <v>8855</v>
      </c>
      <c r="L93" s="1882"/>
      <c r="M93" s="1882" t="s">
        <v>2460</v>
      </c>
      <c r="N93" s="1882" t="s">
        <v>2450</v>
      </c>
      <c r="O93" s="1882" t="s">
        <v>8607</v>
      </c>
      <c r="P93" s="1882" t="s">
        <v>9103</v>
      </c>
      <c r="Q93" s="520" t="s">
        <v>9104</v>
      </c>
      <c r="R93" s="1882" t="s">
        <v>8511</v>
      </c>
      <c r="S93" s="1882">
        <v>0.3034722222222222</v>
      </c>
      <c r="T93" s="1882">
        <v>0.28472222222222221</v>
      </c>
      <c r="U93" s="1882">
        <v>0.26597222222222222</v>
      </c>
      <c r="V93" s="1882">
        <v>0.24722222222222223</v>
      </c>
      <c r="W93" s="1882">
        <v>0.22847222222222222</v>
      </c>
      <c r="X93" s="1882">
        <v>0.20833333333333334</v>
      </c>
      <c r="Y93" s="1882"/>
      <c r="Z93" s="1882"/>
      <c r="AA93" s="1882" t="s">
        <v>2459</v>
      </c>
      <c r="AB93" s="1882"/>
      <c r="AC93" s="1882"/>
      <c r="AD93" s="1882"/>
      <c r="AE93" s="1882" t="s">
        <v>2459</v>
      </c>
      <c r="AF93" s="1882"/>
      <c r="AG93" s="1882"/>
      <c r="AH93" s="1882">
        <v>0</v>
      </c>
      <c r="AI93" s="1882" t="s">
        <v>2459</v>
      </c>
      <c r="AJ93" s="1882" t="s">
        <v>2459</v>
      </c>
      <c r="AK93" s="1882" t="s">
        <v>2459</v>
      </c>
      <c r="AL93" s="1882" t="s">
        <v>2459</v>
      </c>
      <c r="AM93" s="1882" t="s">
        <v>2459</v>
      </c>
      <c r="AN93" s="1882" t="s">
        <v>9105</v>
      </c>
      <c r="AO93" s="1882" t="s">
        <v>9106</v>
      </c>
      <c r="AP93" s="1882" t="s">
        <v>9107</v>
      </c>
      <c r="AQ93" s="1882" t="s">
        <v>9108</v>
      </c>
      <c r="AR93" s="1882" t="s">
        <v>9109</v>
      </c>
      <c r="AS93" s="1882" t="s">
        <v>9110</v>
      </c>
      <c r="AT93" s="1882" t="s">
        <v>9111</v>
      </c>
      <c r="AU93" s="1882" t="s">
        <v>9112</v>
      </c>
      <c r="AV93" s="1882" t="s">
        <v>9113</v>
      </c>
      <c r="AW93" s="1882" t="s">
        <v>9114</v>
      </c>
      <c r="AX93" s="1882" t="s">
        <v>9115</v>
      </c>
      <c r="AY93" s="1882" t="s">
        <v>9116</v>
      </c>
      <c r="AZ93" s="1882" t="s">
        <v>9117</v>
      </c>
      <c r="BA93" s="1882" t="s">
        <v>9118</v>
      </c>
      <c r="BB93" s="1882" t="s">
        <v>9119</v>
      </c>
      <c r="BC93" s="1882" t="s">
        <v>9120</v>
      </c>
      <c r="BD93" s="1882" t="s">
        <v>9120</v>
      </c>
      <c r="BE93" s="1882" t="s">
        <v>9120</v>
      </c>
      <c r="BF93" s="1882" t="s">
        <v>9120</v>
      </c>
      <c r="BG93" s="1882" t="s">
        <v>9120</v>
      </c>
      <c r="BH93" s="1882">
        <v>0.15</v>
      </c>
      <c r="BI93" s="1882"/>
      <c r="BJ93" s="1882"/>
      <c r="BK93" s="1882"/>
      <c r="BL93" s="1882">
        <v>1.7999999999999999E-2</v>
      </c>
      <c r="BM93" s="1882"/>
      <c r="BN93" s="1882">
        <v>1</v>
      </c>
      <c r="BO93" s="1882" t="s">
        <v>8512</v>
      </c>
      <c r="BP93" s="520">
        <v>0.16388888888888889</v>
      </c>
      <c r="BQ93" s="703">
        <v>0.1388888888888889</v>
      </c>
      <c r="BR93" s="1882" t="s">
        <v>2459</v>
      </c>
      <c r="BS93" s="1882" t="s">
        <v>8513</v>
      </c>
      <c r="BT93" s="1882">
        <v>0</v>
      </c>
      <c r="BU93" s="1882" t="s">
        <v>8376</v>
      </c>
      <c r="BV93" s="1882">
        <v>3.78</v>
      </c>
      <c r="BW93" s="1612" t="s">
        <v>9121</v>
      </c>
      <c r="BX93" s="1882" t="s">
        <v>2459</v>
      </c>
      <c r="BY93" s="1882">
        <v>0</v>
      </c>
      <c r="BZ93" s="1882">
        <v>0</v>
      </c>
      <c r="CA93" s="1882" t="s">
        <v>8376</v>
      </c>
      <c r="CB93" s="1882">
        <v>3.5639999999999996</v>
      </c>
      <c r="CC93" s="1882">
        <v>0.22430555555555556</v>
      </c>
      <c r="CD93" s="1882" t="s">
        <v>2459</v>
      </c>
      <c r="CE93" s="1882">
        <v>0</v>
      </c>
      <c r="CF93" s="1882">
        <v>0</v>
      </c>
      <c r="CG93" s="1882" t="s">
        <v>8376</v>
      </c>
      <c r="CH93" s="1882">
        <v>0.59399999999999997</v>
      </c>
      <c r="CI93" s="1882">
        <v>0.3833333333333333</v>
      </c>
      <c r="CJ93" s="1882" t="s">
        <v>2460</v>
      </c>
      <c r="CK93" s="1882">
        <v>0</v>
      </c>
      <c r="CL93" s="1882">
        <v>0</v>
      </c>
      <c r="CM93" s="1882" t="s">
        <v>8388</v>
      </c>
      <c r="CN93" s="1882">
        <v>0</v>
      </c>
      <c r="CP93" s="1882" t="s">
        <v>9122</v>
      </c>
    </row>
    <row r="94" spans="1:94">
      <c r="A94" s="1882" t="s">
        <v>8362</v>
      </c>
      <c r="B94" s="1882" t="s">
        <v>9123</v>
      </c>
      <c r="C94" s="1882" t="s">
        <v>8352</v>
      </c>
      <c r="D94" s="1882" t="s">
        <v>1626</v>
      </c>
      <c r="E94" s="1882" t="s">
        <v>8503</v>
      </c>
      <c r="F94" s="1882" t="s">
        <v>9100</v>
      </c>
      <c r="G94" s="1882" t="s">
        <v>8566</v>
      </c>
      <c r="H94" s="1882" t="s">
        <v>9124</v>
      </c>
      <c r="I94" s="1882" t="s">
        <v>9125</v>
      </c>
      <c r="J94" s="1882" t="s">
        <v>8508</v>
      </c>
      <c r="K94" s="1882" t="s">
        <v>8855</v>
      </c>
      <c r="L94" s="1882"/>
      <c r="M94" s="1882" t="s">
        <v>2460</v>
      </c>
      <c r="N94" s="1882" t="s">
        <v>8613</v>
      </c>
      <c r="O94" s="1882" t="s">
        <v>764</v>
      </c>
      <c r="P94" s="1882" t="s">
        <v>8562</v>
      </c>
      <c r="Q94" s="520">
        <v>0</v>
      </c>
      <c r="R94" s="1882" t="s">
        <v>8511</v>
      </c>
      <c r="S94" s="1882">
        <v>257</v>
      </c>
      <c r="T94" s="1882">
        <v>216</v>
      </c>
      <c r="U94" s="1882">
        <v>216</v>
      </c>
      <c r="V94" s="1882">
        <v>216</v>
      </c>
      <c r="W94" s="1882">
        <v>216</v>
      </c>
      <c r="X94" s="1882">
        <v>216</v>
      </c>
      <c r="Y94" s="1882"/>
      <c r="Z94" s="1882"/>
      <c r="AA94" s="1882"/>
      <c r="AB94" s="1882"/>
      <c r="AC94" s="1882"/>
      <c r="AD94" s="1882"/>
      <c r="AE94" s="1882" t="s">
        <v>2459</v>
      </c>
      <c r="AF94" s="1882"/>
      <c r="AG94" s="1882"/>
      <c r="AH94" s="1882">
        <v>0</v>
      </c>
      <c r="AI94" s="1882"/>
      <c r="AJ94" s="1882"/>
      <c r="AK94" s="1882" t="s">
        <v>2459</v>
      </c>
      <c r="AL94" s="1882" t="s">
        <v>2459</v>
      </c>
      <c r="AM94" s="1882" t="s">
        <v>2459</v>
      </c>
      <c r="AN94" s="1882" t="s">
        <v>9126</v>
      </c>
      <c r="AO94" s="1882" t="s">
        <v>9126</v>
      </c>
      <c r="AP94" s="1882" t="s">
        <v>9126</v>
      </c>
      <c r="AQ94" s="1882" t="s">
        <v>9126</v>
      </c>
      <c r="AR94" s="1882" t="s">
        <v>9126</v>
      </c>
      <c r="AS94" s="1882" t="s">
        <v>9127</v>
      </c>
      <c r="AT94" s="1882" t="s">
        <v>9127</v>
      </c>
      <c r="AU94" s="1882" t="s">
        <v>9127</v>
      </c>
      <c r="AV94" s="1882" t="s">
        <v>9127</v>
      </c>
      <c r="AW94" s="1882" t="s">
        <v>9127</v>
      </c>
      <c r="AX94" s="1882" t="s">
        <v>9128</v>
      </c>
      <c r="AY94" s="1882" t="s">
        <v>9128</v>
      </c>
      <c r="AZ94" s="1882" t="s">
        <v>9128</v>
      </c>
      <c r="BA94" s="1882" t="s">
        <v>9128</v>
      </c>
      <c r="BB94" s="1882" t="s">
        <v>9128</v>
      </c>
      <c r="BC94" s="1882">
        <v>0</v>
      </c>
      <c r="BD94" s="1882">
        <v>0</v>
      </c>
      <c r="BE94" s="1882">
        <v>0</v>
      </c>
      <c r="BF94" s="1882">
        <v>0</v>
      </c>
      <c r="BG94" s="1882">
        <v>0</v>
      </c>
      <c r="BH94" s="1882">
        <v>3.98475</v>
      </c>
      <c r="BI94" s="1882">
        <v>3.98475</v>
      </c>
      <c r="BJ94" s="1882"/>
      <c r="BK94" s="1882"/>
      <c r="BL94" s="1882">
        <v>1E-3</v>
      </c>
      <c r="BM94" s="1882"/>
      <c r="BN94" s="1882">
        <v>1</v>
      </c>
      <c r="BO94" s="1882" t="s">
        <v>8512</v>
      </c>
      <c r="BP94" s="520">
        <v>254</v>
      </c>
      <c r="BQ94" s="693">
        <v>238</v>
      </c>
      <c r="BR94" s="1882" t="s">
        <v>8513</v>
      </c>
      <c r="BS94" s="1882" t="s">
        <v>8513</v>
      </c>
      <c r="BT94" s="1882">
        <v>0</v>
      </c>
      <c r="BU94" s="1882" t="s">
        <v>8513</v>
      </c>
      <c r="BV94" s="1882">
        <v>0</v>
      </c>
      <c r="BW94" s="1882">
        <v>217</v>
      </c>
      <c r="BX94" s="1882" t="s">
        <v>2451</v>
      </c>
      <c r="BY94" s="1882">
        <v>0</v>
      </c>
      <c r="BZ94" s="1882">
        <v>0</v>
      </c>
      <c r="CA94" s="1882">
        <v>0</v>
      </c>
      <c r="CB94" s="1882">
        <v>0</v>
      </c>
      <c r="CC94" s="1882">
        <v>202</v>
      </c>
      <c r="CD94" s="1882" t="s">
        <v>2459</v>
      </c>
      <c r="CE94" s="1882">
        <v>0</v>
      </c>
      <c r="CF94" s="1882">
        <v>0</v>
      </c>
      <c r="CG94" s="1882" t="s">
        <v>8380</v>
      </c>
      <c r="CH94" s="1882">
        <v>0</v>
      </c>
      <c r="CI94" s="1882">
        <v>195</v>
      </c>
      <c r="CJ94" s="1882" t="s">
        <v>2459</v>
      </c>
      <c r="CK94" s="1882">
        <v>0</v>
      </c>
      <c r="CL94" s="1882">
        <v>0</v>
      </c>
      <c r="CM94" s="1882" t="s">
        <v>8380</v>
      </c>
      <c r="CN94" s="1882">
        <v>0</v>
      </c>
      <c r="CP94" s="1882" t="s">
        <v>9129</v>
      </c>
    </row>
    <row r="95" spans="1:94">
      <c r="A95" s="1882" t="s">
        <v>8362</v>
      </c>
      <c r="B95" s="1882" t="s">
        <v>9130</v>
      </c>
      <c r="C95" s="1882" t="s">
        <v>8352</v>
      </c>
      <c r="D95" s="1882" t="s">
        <v>1626</v>
      </c>
      <c r="E95" s="1882" t="s">
        <v>8503</v>
      </c>
      <c r="F95" s="1882" t="s">
        <v>9100</v>
      </c>
      <c r="G95" s="1882" t="s">
        <v>8573</v>
      </c>
      <c r="H95" s="1882" t="s">
        <v>9131</v>
      </c>
      <c r="I95" s="1882" t="s">
        <v>9132</v>
      </c>
      <c r="J95" s="1882" t="s">
        <v>8519</v>
      </c>
      <c r="K95" s="1882" t="s">
        <v>8855</v>
      </c>
      <c r="L95" s="1882"/>
      <c r="M95" s="1882" t="s">
        <v>2460</v>
      </c>
      <c r="N95" s="1882" t="s">
        <v>8569</v>
      </c>
      <c r="O95" s="1882" t="s">
        <v>764</v>
      </c>
      <c r="P95" s="1882" t="s">
        <v>8570</v>
      </c>
      <c r="Q95" s="520">
        <v>0</v>
      </c>
      <c r="R95" s="1882" t="s">
        <v>8511</v>
      </c>
      <c r="S95" s="1882">
        <v>4586</v>
      </c>
      <c r="T95" s="1882">
        <v>4586</v>
      </c>
      <c r="U95" s="1882">
        <v>4586</v>
      </c>
      <c r="V95" s="1882">
        <v>4586</v>
      </c>
      <c r="W95" s="1882">
        <v>4586</v>
      </c>
      <c r="X95" s="1882">
        <v>4586</v>
      </c>
      <c r="Y95" s="1882"/>
      <c r="Z95" s="1882"/>
      <c r="AA95" s="1882"/>
      <c r="AB95" s="1882"/>
      <c r="AC95" s="1882"/>
      <c r="AD95" s="1882"/>
      <c r="AE95" s="1882" t="s">
        <v>2459</v>
      </c>
      <c r="AF95" s="1882"/>
      <c r="AG95" s="1882"/>
      <c r="AH95" s="1882">
        <v>0</v>
      </c>
      <c r="AI95" s="1882"/>
      <c r="AJ95" s="1882"/>
      <c r="AK95" s="1882" t="s">
        <v>2459</v>
      </c>
      <c r="AL95" s="1882" t="s">
        <v>2459</v>
      </c>
      <c r="AM95" s="1882" t="s">
        <v>2459</v>
      </c>
      <c r="AN95" s="1882" t="s">
        <v>9133</v>
      </c>
      <c r="AO95" s="1882" t="s">
        <v>9133</v>
      </c>
      <c r="AP95" s="1882" t="s">
        <v>9133</v>
      </c>
      <c r="AQ95" s="1882" t="s">
        <v>9133</v>
      </c>
      <c r="AR95" s="1882" t="s">
        <v>9133</v>
      </c>
      <c r="AS95" s="1882" t="s">
        <v>9134</v>
      </c>
      <c r="AT95" s="1882" t="s">
        <v>9134</v>
      </c>
      <c r="AU95" s="1882" t="s">
        <v>9134</v>
      </c>
      <c r="AV95" s="1882" t="s">
        <v>9134</v>
      </c>
      <c r="AW95" s="1882" t="s">
        <v>9134</v>
      </c>
      <c r="AX95" s="1882"/>
      <c r="AY95" s="1882"/>
      <c r="AZ95" s="1882"/>
      <c r="BA95" s="1882"/>
      <c r="BB95" s="1882"/>
      <c r="BC95" s="1882"/>
      <c r="BD95" s="1882"/>
      <c r="BE95" s="1882"/>
      <c r="BF95" s="1882"/>
      <c r="BG95" s="1882"/>
      <c r="BH95" s="1882">
        <v>3.98475</v>
      </c>
      <c r="BI95" s="1882">
        <v>3.98475</v>
      </c>
      <c r="BJ95" s="1882"/>
      <c r="BK95" s="1882"/>
      <c r="BL95" s="1882"/>
      <c r="BM95" s="1882"/>
      <c r="BN95" s="1882">
        <v>1</v>
      </c>
      <c r="BO95" s="1882" t="s">
        <v>8512</v>
      </c>
      <c r="BP95" s="520">
        <v>3964</v>
      </c>
      <c r="BQ95" s="693">
        <v>3916</v>
      </c>
      <c r="BR95" s="1882" t="s">
        <v>8513</v>
      </c>
      <c r="BS95" s="1882" t="s">
        <v>8513</v>
      </c>
      <c r="BT95" s="1882">
        <v>0</v>
      </c>
      <c r="BU95" s="1882" t="s">
        <v>8513</v>
      </c>
      <c r="BV95" s="1882">
        <v>0</v>
      </c>
      <c r="BW95" s="1882">
        <v>4048</v>
      </c>
      <c r="BX95" s="1882" t="s">
        <v>2451</v>
      </c>
      <c r="BY95" s="1882">
        <v>0</v>
      </c>
      <c r="BZ95" s="1882">
        <v>0</v>
      </c>
      <c r="CA95" s="1882">
        <v>0</v>
      </c>
      <c r="CB95" s="1882">
        <v>0</v>
      </c>
      <c r="CC95" s="1882">
        <v>4102</v>
      </c>
      <c r="CD95" s="1882" t="s">
        <v>2459</v>
      </c>
      <c r="CE95" s="1882">
        <v>0</v>
      </c>
      <c r="CF95" s="1882">
        <v>0</v>
      </c>
      <c r="CG95" s="1882">
        <v>0</v>
      </c>
      <c r="CH95" s="1882">
        <v>0</v>
      </c>
      <c r="CI95" s="1882">
        <v>4113</v>
      </c>
      <c r="CJ95" s="1882" t="s">
        <v>2459</v>
      </c>
      <c r="CK95" s="1882">
        <v>0</v>
      </c>
      <c r="CL95" s="1882">
        <v>0</v>
      </c>
      <c r="CM95" s="1882">
        <v>0</v>
      </c>
      <c r="CN95" s="1882">
        <v>0</v>
      </c>
      <c r="CP95" s="1882" t="s">
        <v>9135</v>
      </c>
    </row>
    <row r="96" spans="1:94">
      <c r="A96" s="1882" t="s">
        <v>8362</v>
      </c>
      <c r="B96" s="1882" t="s">
        <v>9136</v>
      </c>
      <c r="C96" s="1882" t="s">
        <v>8352</v>
      </c>
      <c r="D96" s="1882" t="s">
        <v>1626</v>
      </c>
      <c r="E96" s="1882" t="s">
        <v>8503</v>
      </c>
      <c r="F96" s="1882" t="s">
        <v>9100</v>
      </c>
      <c r="G96" s="1882" t="s">
        <v>8579</v>
      </c>
      <c r="H96" s="1882" t="s">
        <v>9137</v>
      </c>
      <c r="I96" s="1882" t="s">
        <v>9138</v>
      </c>
      <c r="J96" s="1882" t="s">
        <v>8508</v>
      </c>
      <c r="K96" s="1882" t="s">
        <v>8855</v>
      </c>
      <c r="L96" s="1882"/>
      <c r="M96" s="1882"/>
      <c r="N96" s="1882" t="s">
        <v>2444</v>
      </c>
      <c r="O96" s="1882" t="s">
        <v>764</v>
      </c>
      <c r="P96" s="1882" t="s">
        <v>8510</v>
      </c>
      <c r="Q96" s="520">
        <v>2</v>
      </c>
      <c r="R96" s="1882" t="s">
        <v>8511</v>
      </c>
      <c r="S96" s="1882">
        <v>141</v>
      </c>
      <c r="T96" s="1882">
        <v>139</v>
      </c>
      <c r="U96" s="1882">
        <v>137</v>
      </c>
      <c r="V96" s="1882">
        <v>137</v>
      </c>
      <c r="W96" s="1882">
        <v>137</v>
      </c>
      <c r="X96" s="1882">
        <v>137</v>
      </c>
      <c r="Y96" s="1882"/>
      <c r="Z96" s="1882"/>
      <c r="AA96" s="1882"/>
      <c r="AB96" s="1882"/>
      <c r="AC96" s="1882"/>
      <c r="AD96" s="1882"/>
      <c r="AE96" s="1882" t="s">
        <v>2459</v>
      </c>
      <c r="AF96" s="1882"/>
      <c r="AG96" s="1882"/>
      <c r="AH96" s="1882">
        <v>0</v>
      </c>
      <c r="AI96" s="1882" t="s">
        <v>2459</v>
      </c>
      <c r="AJ96" s="1882" t="s">
        <v>2459</v>
      </c>
      <c r="AK96" s="1882" t="s">
        <v>2459</v>
      </c>
      <c r="AL96" s="1882" t="s">
        <v>2459</v>
      </c>
      <c r="AM96" s="1882" t="s">
        <v>2459</v>
      </c>
      <c r="AN96" s="1882" t="s">
        <v>9139</v>
      </c>
      <c r="AO96" s="1882" t="s">
        <v>9140</v>
      </c>
      <c r="AP96" s="1882" t="s">
        <v>9140</v>
      </c>
      <c r="AQ96" s="1882" t="s">
        <v>9140</v>
      </c>
      <c r="AR96" s="1882" t="s">
        <v>9140</v>
      </c>
      <c r="AS96" s="1882" t="s">
        <v>9141</v>
      </c>
      <c r="AT96" s="1882" t="s">
        <v>9142</v>
      </c>
      <c r="AU96" s="1882" t="s">
        <v>9142</v>
      </c>
      <c r="AV96" s="1882" t="s">
        <v>9142</v>
      </c>
      <c r="AW96" s="1882" t="s">
        <v>9142</v>
      </c>
      <c r="AX96" s="1882" t="s">
        <v>9143</v>
      </c>
      <c r="AY96" s="1882" t="s">
        <v>9143</v>
      </c>
      <c r="AZ96" s="1882" t="s">
        <v>9143</v>
      </c>
      <c r="BA96" s="1882" t="s">
        <v>9143</v>
      </c>
      <c r="BB96" s="1882" t="s">
        <v>9143</v>
      </c>
      <c r="BC96" s="1882" t="s">
        <v>9144</v>
      </c>
      <c r="BD96" s="1882" t="s">
        <v>9144</v>
      </c>
      <c r="BE96" s="1882" t="s">
        <v>9144</v>
      </c>
      <c r="BF96" s="1882" t="s">
        <v>9144</v>
      </c>
      <c r="BG96" s="1882" t="s">
        <v>9144</v>
      </c>
      <c r="BH96" s="1882">
        <v>0.115</v>
      </c>
      <c r="BI96" s="1882"/>
      <c r="BJ96" s="1882"/>
      <c r="BK96" s="1882"/>
      <c r="BL96" s="1882">
        <v>0.115</v>
      </c>
      <c r="BM96" s="1882"/>
      <c r="BN96" s="1882">
        <v>1</v>
      </c>
      <c r="BO96" s="1882" t="s">
        <v>8512</v>
      </c>
      <c r="BP96" s="520">
        <v>136.77000000000001</v>
      </c>
      <c r="BQ96" s="693">
        <v>134.66</v>
      </c>
      <c r="BR96" s="1882" t="s">
        <v>2459</v>
      </c>
      <c r="BS96" s="1882" t="s">
        <v>8513</v>
      </c>
      <c r="BT96" s="1882">
        <v>0</v>
      </c>
      <c r="BU96" s="1882" t="s">
        <v>8380</v>
      </c>
      <c r="BV96" s="1882">
        <v>0</v>
      </c>
      <c r="BW96" s="1882">
        <v>133.82</v>
      </c>
      <c r="BX96" s="1882" t="s">
        <v>2459</v>
      </c>
      <c r="BY96" s="1882">
        <v>0</v>
      </c>
      <c r="BZ96" s="1882">
        <v>0</v>
      </c>
      <c r="CA96" s="1882" t="s">
        <v>8380</v>
      </c>
      <c r="CB96" s="1882">
        <v>0</v>
      </c>
      <c r="CC96" s="1882">
        <v>137.05000000000001</v>
      </c>
      <c r="CD96" s="1882" t="s">
        <v>2460</v>
      </c>
      <c r="CE96" s="1882">
        <v>0</v>
      </c>
      <c r="CF96" s="1882">
        <v>0</v>
      </c>
      <c r="CG96" s="1882" t="s">
        <v>8388</v>
      </c>
      <c r="CH96" s="1882">
        <v>0</v>
      </c>
      <c r="CI96" s="1882">
        <v>136.26</v>
      </c>
      <c r="CJ96" s="1882" t="s">
        <v>2459</v>
      </c>
      <c r="CK96" s="1882">
        <v>0</v>
      </c>
      <c r="CL96" s="1882">
        <v>0</v>
      </c>
      <c r="CM96" s="1882" t="s">
        <v>8380</v>
      </c>
      <c r="CN96" s="1882">
        <v>0</v>
      </c>
      <c r="CP96" s="1882" t="s">
        <v>9145</v>
      </c>
    </row>
    <row r="97" spans="1:94">
      <c r="A97" s="1882" t="s">
        <v>8362</v>
      </c>
      <c r="B97" s="1882" t="s">
        <v>9146</v>
      </c>
      <c r="C97" s="1882" t="s">
        <v>8352</v>
      </c>
      <c r="D97" s="1882" t="s">
        <v>1626</v>
      </c>
      <c r="E97" s="1882" t="s">
        <v>8503</v>
      </c>
      <c r="F97" s="1882" t="s">
        <v>9100</v>
      </c>
      <c r="G97" s="1882" t="s">
        <v>9147</v>
      </c>
      <c r="H97" s="1882" t="s">
        <v>9148</v>
      </c>
      <c r="I97" s="1882" t="s">
        <v>9149</v>
      </c>
      <c r="J97" s="1882" t="s">
        <v>8508</v>
      </c>
      <c r="K97" s="1882" t="s">
        <v>8855</v>
      </c>
      <c r="L97" s="1882"/>
      <c r="M97" s="1882"/>
      <c r="N97" s="1882" t="s">
        <v>2444</v>
      </c>
      <c r="O97" s="1882" t="s">
        <v>764</v>
      </c>
      <c r="P97" s="1882" t="s">
        <v>8510</v>
      </c>
      <c r="Q97" s="520">
        <v>2</v>
      </c>
      <c r="R97" s="1882" t="s">
        <v>8511</v>
      </c>
      <c r="S97" s="1882">
        <v>66</v>
      </c>
      <c r="T97" s="1882">
        <v>66</v>
      </c>
      <c r="U97" s="1882">
        <v>66</v>
      </c>
      <c r="V97" s="1882">
        <v>66</v>
      </c>
      <c r="W97" s="1882">
        <v>66</v>
      </c>
      <c r="X97" s="1882">
        <v>66</v>
      </c>
      <c r="Y97" s="1882"/>
      <c r="Z97" s="1882"/>
      <c r="AA97" s="1882"/>
      <c r="AB97" s="1882"/>
      <c r="AC97" s="1882"/>
      <c r="AD97" s="1882"/>
      <c r="AE97" s="1882" t="s">
        <v>2459</v>
      </c>
      <c r="AF97" s="1882"/>
      <c r="AG97" s="1882"/>
      <c r="AH97" s="1882">
        <v>0</v>
      </c>
      <c r="AI97" s="1882" t="s">
        <v>2459</v>
      </c>
      <c r="AJ97" s="1882" t="s">
        <v>2459</v>
      </c>
      <c r="AK97" s="1882" t="s">
        <v>2459</v>
      </c>
      <c r="AL97" s="1882" t="s">
        <v>2459</v>
      </c>
      <c r="AM97" s="1882" t="s">
        <v>2459</v>
      </c>
      <c r="AN97" s="1882" t="s">
        <v>9150</v>
      </c>
      <c r="AO97" s="1882" t="s">
        <v>9150</v>
      </c>
      <c r="AP97" s="1882" t="s">
        <v>9150</v>
      </c>
      <c r="AQ97" s="1882" t="s">
        <v>9150</v>
      </c>
      <c r="AR97" s="1882" t="s">
        <v>9150</v>
      </c>
      <c r="AS97" s="1882" t="s">
        <v>9151</v>
      </c>
      <c r="AT97" s="1882" t="s">
        <v>9151</v>
      </c>
      <c r="AU97" s="1882" t="s">
        <v>9151</v>
      </c>
      <c r="AV97" s="1882" t="s">
        <v>9151</v>
      </c>
      <c r="AW97" s="1882" t="s">
        <v>9151</v>
      </c>
      <c r="AX97" s="1882" t="s">
        <v>9152</v>
      </c>
      <c r="AY97" s="1882" t="s">
        <v>9152</v>
      </c>
      <c r="AZ97" s="1882" t="s">
        <v>9152</v>
      </c>
      <c r="BA97" s="1882" t="s">
        <v>9152</v>
      </c>
      <c r="BB97" s="1882" t="s">
        <v>9152</v>
      </c>
      <c r="BC97" s="1882" t="s">
        <v>9153</v>
      </c>
      <c r="BD97" s="1882" t="s">
        <v>9153</v>
      </c>
      <c r="BE97" s="1882" t="s">
        <v>9153</v>
      </c>
      <c r="BF97" s="1882" t="s">
        <v>9153</v>
      </c>
      <c r="BG97" s="1882" t="s">
        <v>9153</v>
      </c>
      <c r="BH97" s="1882">
        <v>0.115</v>
      </c>
      <c r="BI97" s="1882"/>
      <c r="BJ97" s="1882"/>
      <c r="BK97" s="1882"/>
      <c r="BL97" s="1882">
        <v>0.115</v>
      </c>
      <c r="BM97" s="1882"/>
      <c r="BN97" s="1882">
        <v>1</v>
      </c>
      <c r="BO97" s="1882" t="s">
        <v>8512</v>
      </c>
      <c r="BP97" s="520">
        <v>60.86</v>
      </c>
      <c r="BQ97" s="693">
        <v>62.42</v>
      </c>
      <c r="BR97" s="1882" t="s">
        <v>2459</v>
      </c>
      <c r="BS97" s="1882" t="s">
        <v>8513</v>
      </c>
      <c r="BT97" s="1882">
        <v>0</v>
      </c>
      <c r="BU97" s="1882" t="s">
        <v>8380</v>
      </c>
      <c r="BV97" s="1882">
        <v>0</v>
      </c>
      <c r="BW97" s="1882">
        <v>68.08</v>
      </c>
      <c r="BX97" s="1882" t="s">
        <v>2460</v>
      </c>
      <c r="BY97" s="1882">
        <v>0</v>
      </c>
      <c r="BZ97" s="1882">
        <v>0</v>
      </c>
      <c r="CA97" s="1882" t="s">
        <v>8563</v>
      </c>
      <c r="CB97" s="1882">
        <v>-0.124</v>
      </c>
      <c r="CC97" s="1882">
        <v>66.17</v>
      </c>
      <c r="CD97" s="1882" t="s">
        <v>2460</v>
      </c>
      <c r="CE97" s="1882">
        <v>0</v>
      </c>
      <c r="CF97" s="1882">
        <v>0</v>
      </c>
      <c r="CG97" s="1882" t="s">
        <v>8388</v>
      </c>
      <c r="CH97" s="1882">
        <v>0</v>
      </c>
      <c r="CI97" s="1882">
        <v>64.180000000000007</v>
      </c>
      <c r="CJ97" s="1882" t="s">
        <v>2459</v>
      </c>
      <c r="CK97" s="1882">
        <v>0</v>
      </c>
      <c r="CL97" s="1882">
        <v>0</v>
      </c>
      <c r="CM97" s="1882" t="s">
        <v>8380</v>
      </c>
      <c r="CN97" s="1882">
        <v>0</v>
      </c>
      <c r="CP97" s="1882" t="s">
        <v>9154</v>
      </c>
    </row>
    <row r="98" spans="1:94">
      <c r="A98" s="1882" t="s">
        <v>8362</v>
      </c>
      <c r="B98" s="1882" t="s">
        <v>9155</v>
      </c>
      <c r="C98" s="1882" t="s">
        <v>8352</v>
      </c>
      <c r="D98" s="1882" t="s">
        <v>1626</v>
      </c>
      <c r="E98" s="1882" t="s">
        <v>8503</v>
      </c>
      <c r="F98" s="1882" t="s">
        <v>9156</v>
      </c>
      <c r="G98" s="1882" t="s">
        <v>8640</v>
      </c>
      <c r="H98" s="1882" t="s">
        <v>9157</v>
      </c>
      <c r="I98" s="1882" t="s">
        <v>9158</v>
      </c>
      <c r="J98" s="1882" t="s">
        <v>8539</v>
      </c>
      <c r="K98" s="1882"/>
      <c r="L98" s="1882"/>
      <c r="M98" s="1882"/>
      <c r="N98" s="1882" t="s">
        <v>8695</v>
      </c>
      <c r="O98" s="1882" t="s">
        <v>8591</v>
      </c>
      <c r="P98" s="1882" t="s">
        <v>9159</v>
      </c>
      <c r="Q98" s="520">
        <v>1</v>
      </c>
      <c r="R98" s="1882" t="s">
        <v>8549</v>
      </c>
      <c r="S98" s="1882">
        <v>8.1999999999999993</v>
      </c>
      <c r="T98" s="1882">
        <v>8.1999999999999993</v>
      </c>
      <c r="U98" s="1882">
        <v>8.1999999999999993</v>
      </c>
      <c r="V98" s="1882">
        <v>8.1999999999999993</v>
      </c>
      <c r="W98" s="1882">
        <v>8.1999999999999993</v>
      </c>
      <c r="X98" s="1882">
        <v>8.1999999999999993</v>
      </c>
      <c r="Y98" s="1882"/>
      <c r="Z98" s="1882"/>
      <c r="AA98" s="1882"/>
      <c r="AB98" s="1882"/>
      <c r="AC98" s="1882"/>
      <c r="AD98" s="1882"/>
      <c r="AE98" s="1882"/>
      <c r="AF98" s="1882"/>
      <c r="AG98" s="1882"/>
      <c r="AH98" s="1882">
        <v>0</v>
      </c>
      <c r="AI98" s="1882"/>
      <c r="AJ98" s="1882"/>
      <c r="AK98" s="1882"/>
      <c r="AL98" s="1882"/>
      <c r="AM98" s="1882"/>
      <c r="AN98" s="1882"/>
      <c r="AO98" s="1882"/>
      <c r="AP98" s="1882"/>
      <c r="AQ98" s="1882"/>
      <c r="AR98" s="1882"/>
      <c r="AS98" s="1882"/>
      <c r="AT98" s="1882"/>
      <c r="AU98" s="1882"/>
      <c r="AV98" s="1882"/>
      <c r="AW98" s="1882"/>
      <c r="AX98" s="1882"/>
      <c r="AY98" s="1882"/>
      <c r="AZ98" s="1882"/>
      <c r="BA98" s="1882"/>
      <c r="BB98" s="1882"/>
      <c r="BC98" s="1882"/>
      <c r="BD98" s="1882"/>
      <c r="BE98" s="1882"/>
      <c r="BF98" s="1882"/>
      <c r="BG98" s="1882"/>
      <c r="BH98" s="1882"/>
      <c r="BI98" s="1882"/>
      <c r="BJ98" s="1882"/>
      <c r="BK98" s="1882"/>
      <c r="BL98" s="1882"/>
      <c r="BM98" s="1882"/>
      <c r="BN98" s="1882"/>
      <c r="BO98" s="1882"/>
      <c r="BP98" s="520">
        <v>8.3000000000000007</v>
      </c>
      <c r="BQ98" s="690">
        <v>8.5</v>
      </c>
      <c r="BR98" s="1882" t="s">
        <v>2459</v>
      </c>
      <c r="BS98" s="1882" t="s">
        <v>8513</v>
      </c>
      <c r="BT98" s="1882">
        <v>0</v>
      </c>
      <c r="BU98" s="1882" t="s">
        <v>8513</v>
      </c>
      <c r="BV98" s="1882">
        <v>0</v>
      </c>
      <c r="BW98" s="1882">
        <v>8.5</v>
      </c>
      <c r="BX98" s="1882" t="s">
        <v>2459</v>
      </c>
      <c r="BY98" s="1882">
        <v>0</v>
      </c>
      <c r="BZ98" s="1882">
        <v>0</v>
      </c>
      <c r="CA98" s="1882">
        <v>0</v>
      </c>
      <c r="CB98" s="1882">
        <v>0</v>
      </c>
      <c r="CC98" s="1882">
        <v>8.6999999999999993</v>
      </c>
      <c r="CD98" s="1882" t="s">
        <v>2459</v>
      </c>
      <c r="CE98" s="1882">
        <v>0</v>
      </c>
      <c r="CF98" s="1882">
        <v>0</v>
      </c>
      <c r="CG98" s="1882">
        <v>0</v>
      </c>
      <c r="CH98" s="1882">
        <v>0</v>
      </c>
      <c r="CI98" s="1882">
        <v>8.6999999999999993</v>
      </c>
      <c r="CJ98" s="1882" t="s">
        <v>2459</v>
      </c>
      <c r="CK98" s="1882">
        <v>0</v>
      </c>
      <c r="CL98" s="1882">
        <v>0</v>
      </c>
      <c r="CM98" s="1882">
        <v>0</v>
      </c>
      <c r="CN98" s="1882">
        <v>0</v>
      </c>
      <c r="CP98" s="1882" t="s">
        <v>9160</v>
      </c>
    </row>
    <row r="99" spans="1:94">
      <c r="A99" s="1882" t="s">
        <v>8362</v>
      </c>
      <c r="B99" s="1882" t="s">
        <v>9161</v>
      </c>
      <c r="C99" s="1882" t="s">
        <v>8352</v>
      </c>
      <c r="D99" s="1882" t="s">
        <v>1626</v>
      </c>
      <c r="E99" s="1882" t="s">
        <v>8503</v>
      </c>
      <c r="F99" s="1882" t="s">
        <v>9156</v>
      </c>
      <c r="G99" s="1882" t="s">
        <v>8646</v>
      </c>
      <c r="H99" s="1882" t="s">
        <v>9162</v>
      </c>
      <c r="I99" s="1882" t="s">
        <v>9163</v>
      </c>
      <c r="J99" s="1882" t="s">
        <v>8508</v>
      </c>
      <c r="K99" s="1882" t="s">
        <v>8509</v>
      </c>
      <c r="L99" s="1882"/>
      <c r="M99" s="1882" t="s">
        <v>2460</v>
      </c>
      <c r="N99" s="1882" t="s">
        <v>8590</v>
      </c>
      <c r="O99" s="1882" t="s">
        <v>8591</v>
      </c>
      <c r="P99" s="1882" t="s">
        <v>8592</v>
      </c>
      <c r="Q99" s="520">
        <v>1</v>
      </c>
      <c r="R99" s="1882" t="s">
        <v>8549</v>
      </c>
      <c r="S99" s="1882">
        <v>89.4</v>
      </c>
      <c r="T99" s="1882">
        <v>90</v>
      </c>
      <c r="U99" s="1882">
        <v>90</v>
      </c>
      <c r="V99" s="1882">
        <v>90</v>
      </c>
      <c r="W99" s="1882">
        <v>90</v>
      </c>
      <c r="X99" s="1882">
        <v>90</v>
      </c>
      <c r="Y99" s="1882"/>
      <c r="Z99" s="1882"/>
      <c r="AA99" s="1882"/>
      <c r="AB99" s="1882"/>
      <c r="AC99" s="1882"/>
      <c r="AD99" s="1882"/>
      <c r="AE99" s="1882"/>
      <c r="AF99" s="1882"/>
      <c r="AG99" s="1882"/>
      <c r="AH99" s="1882">
        <v>0</v>
      </c>
      <c r="AI99" s="1882" t="s">
        <v>2459</v>
      </c>
      <c r="AJ99" s="1882" t="s">
        <v>2459</v>
      </c>
      <c r="AK99" s="1882" t="s">
        <v>2459</v>
      </c>
      <c r="AL99" s="1882" t="s">
        <v>2459</v>
      </c>
      <c r="AM99" s="1882" t="s">
        <v>2459</v>
      </c>
      <c r="AN99" s="1882" t="s">
        <v>8593</v>
      </c>
      <c r="AO99" s="1882" t="s">
        <v>8593</v>
      </c>
      <c r="AP99" s="1882" t="s">
        <v>8593</v>
      </c>
      <c r="AQ99" s="1882" t="s">
        <v>8593</v>
      </c>
      <c r="AR99" s="1882" t="s">
        <v>8593</v>
      </c>
      <c r="AS99" s="1882" t="s">
        <v>8593</v>
      </c>
      <c r="AT99" s="1882" t="s">
        <v>8593</v>
      </c>
      <c r="AU99" s="1882" t="s">
        <v>8593</v>
      </c>
      <c r="AV99" s="1882" t="s">
        <v>8593</v>
      </c>
      <c r="AW99" s="1882" t="s">
        <v>8593</v>
      </c>
      <c r="AX99" s="1882" t="s">
        <v>8593</v>
      </c>
      <c r="AY99" s="1882" t="s">
        <v>8593</v>
      </c>
      <c r="AZ99" s="1882" t="s">
        <v>8593</v>
      </c>
      <c r="BA99" s="1882" t="s">
        <v>8593</v>
      </c>
      <c r="BB99" s="1882" t="s">
        <v>8593</v>
      </c>
      <c r="BC99" s="1882" t="s">
        <v>8593</v>
      </c>
      <c r="BD99" s="1882" t="s">
        <v>8593</v>
      </c>
      <c r="BE99" s="1882" t="s">
        <v>8593</v>
      </c>
      <c r="BF99" s="1882" t="s">
        <v>8593</v>
      </c>
      <c r="BG99" s="1882" t="s">
        <v>8593</v>
      </c>
      <c r="BH99" s="1882" t="s">
        <v>8593</v>
      </c>
      <c r="BI99" s="1882"/>
      <c r="BJ99" s="1882"/>
      <c r="BK99" s="1882"/>
      <c r="BL99" s="1882" t="s">
        <v>8593</v>
      </c>
      <c r="BM99" s="1882"/>
      <c r="BN99" s="1882">
        <v>1</v>
      </c>
      <c r="BO99" s="1882" t="s">
        <v>8512</v>
      </c>
      <c r="BP99" s="520">
        <v>83.72</v>
      </c>
      <c r="BQ99" s="690">
        <v>83.64</v>
      </c>
      <c r="BR99" s="1882" t="s">
        <v>2460</v>
      </c>
      <c r="BS99" s="1882" t="s">
        <v>8513</v>
      </c>
      <c r="BT99" s="1882">
        <v>0</v>
      </c>
      <c r="BU99" s="1882" t="s">
        <v>8513</v>
      </c>
      <c r="BV99" s="1882">
        <v>0</v>
      </c>
      <c r="BW99" s="1882">
        <v>87.53</v>
      </c>
      <c r="BX99" s="1882" t="s">
        <v>2460</v>
      </c>
      <c r="BY99" s="1882">
        <v>0</v>
      </c>
      <c r="BZ99" s="1882">
        <v>0</v>
      </c>
      <c r="CA99" s="1882">
        <v>0</v>
      </c>
      <c r="CB99" s="1882">
        <v>0</v>
      </c>
      <c r="CC99" s="1882">
        <v>86.39</v>
      </c>
      <c r="CD99" s="1882" t="s">
        <v>2460</v>
      </c>
      <c r="CE99" s="1882">
        <v>0</v>
      </c>
      <c r="CF99" s="1882">
        <v>0</v>
      </c>
      <c r="CG99" s="1882">
        <v>0</v>
      </c>
      <c r="CH99" s="1882">
        <v>0</v>
      </c>
      <c r="CI99" s="1882">
        <v>85.9</v>
      </c>
      <c r="CJ99" s="1882" t="s">
        <v>2460</v>
      </c>
      <c r="CK99" s="1882">
        <v>0</v>
      </c>
      <c r="CL99" s="1882">
        <v>0</v>
      </c>
      <c r="CM99" s="1882">
        <v>0</v>
      </c>
      <c r="CN99" s="1882">
        <v>0</v>
      </c>
      <c r="CP99" s="1882" t="s">
        <v>9164</v>
      </c>
    </row>
    <row r="100" spans="1:94">
      <c r="A100" s="1882" t="s">
        <v>8362</v>
      </c>
      <c r="B100" s="1882" t="s">
        <v>9165</v>
      </c>
      <c r="C100" s="1882" t="s">
        <v>8352</v>
      </c>
      <c r="D100" s="1882" t="s">
        <v>1626</v>
      </c>
      <c r="E100" s="1882" t="s">
        <v>8503</v>
      </c>
      <c r="F100" s="1882" t="s">
        <v>9156</v>
      </c>
      <c r="G100" s="1882" t="s">
        <v>8651</v>
      </c>
      <c r="H100" s="1882" t="s">
        <v>9166</v>
      </c>
      <c r="I100" s="1882" t="s">
        <v>9167</v>
      </c>
      <c r="J100" s="1882" t="s">
        <v>8539</v>
      </c>
      <c r="K100" s="1882"/>
      <c r="L100" s="1882"/>
      <c r="M100" s="1882"/>
      <c r="N100" s="1882" t="s">
        <v>8695</v>
      </c>
      <c r="O100" s="1882" t="s">
        <v>732</v>
      </c>
      <c r="P100" s="1882" t="s">
        <v>8696</v>
      </c>
      <c r="Q100" s="520">
        <v>0</v>
      </c>
      <c r="R100" s="1882" t="s">
        <v>8549</v>
      </c>
      <c r="S100" s="1882">
        <v>32</v>
      </c>
      <c r="T100" s="1882">
        <v>32</v>
      </c>
      <c r="U100" s="1882">
        <v>32</v>
      </c>
      <c r="V100" s="1882">
        <v>32</v>
      </c>
      <c r="W100" s="1882">
        <v>32</v>
      </c>
      <c r="X100" s="1882">
        <v>32</v>
      </c>
      <c r="Y100" s="1882"/>
      <c r="Z100" s="1882"/>
      <c r="AA100" s="1882"/>
      <c r="AB100" s="1882"/>
      <c r="AC100" s="1882"/>
      <c r="AD100" s="1882"/>
      <c r="AE100" s="1882"/>
      <c r="AF100" s="1882"/>
      <c r="AG100" s="1882"/>
      <c r="AH100" s="1882">
        <v>0</v>
      </c>
      <c r="AI100" s="1882"/>
      <c r="AJ100" s="1882"/>
      <c r="AK100" s="1882"/>
      <c r="AL100" s="1882"/>
      <c r="AM100" s="1882"/>
      <c r="AN100" s="1882"/>
      <c r="AO100" s="1882"/>
      <c r="AP100" s="1882"/>
      <c r="AQ100" s="1882"/>
      <c r="AR100" s="1882"/>
      <c r="AS100" s="1882"/>
      <c r="AT100" s="1882"/>
      <c r="AU100" s="1882"/>
      <c r="AV100" s="1882"/>
      <c r="AW100" s="1882"/>
      <c r="AX100" s="1882"/>
      <c r="AY100" s="1882"/>
      <c r="AZ100" s="1882"/>
      <c r="BA100" s="1882"/>
      <c r="BB100" s="1882"/>
      <c r="BC100" s="1882"/>
      <c r="BD100" s="1882"/>
      <c r="BE100" s="1882"/>
      <c r="BF100" s="1882"/>
      <c r="BG100" s="1882"/>
      <c r="BH100" s="1882"/>
      <c r="BI100" s="1882"/>
      <c r="BJ100" s="1882"/>
      <c r="BK100" s="1882"/>
      <c r="BL100" s="1882"/>
      <c r="BM100" s="1882"/>
      <c r="BN100" s="1882"/>
      <c r="BO100" s="1882"/>
      <c r="BP100" s="520">
        <v>42</v>
      </c>
      <c r="BQ100" s="693">
        <v>49</v>
      </c>
      <c r="BR100" s="1882" t="s">
        <v>2459</v>
      </c>
      <c r="BS100" s="1882" t="s">
        <v>8513</v>
      </c>
      <c r="BT100" s="1882">
        <v>0</v>
      </c>
      <c r="BU100" s="1882" t="s">
        <v>8513</v>
      </c>
      <c r="BV100" s="1882">
        <v>0</v>
      </c>
      <c r="BW100" s="1882">
        <v>46</v>
      </c>
      <c r="BX100" s="1882" t="s">
        <v>2459</v>
      </c>
      <c r="BY100" s="1882">
        <v>0</v>
      </c>
      <c r="BZ100" s="1882">
        <v>0</v>
      </c>
      <c r="CA100" s="1882">
        <v>0</v>
      </c>
      <c r="CB100" s="1882">
        <v>0</v>
      </c>
      <c r="CC100" s="1882">
        <v>44</v>
      </c>
      <c r="CD100" s="1882" t="s">
        <v>2459</v>
      </c>
      <c r="CE100" s="1882">
        <v>0</v>
      </c>
      <c r="CF100" s="1882">
        <v>0</v>
      </c>
      <c r="CG100" s="1882">
        <v>0</v>
      </c>
      <c r="CH100" s="1882">
        <v>0</v>
      </c>
      <c r="CI100" s="1882">
        <v>43</v>
      </c>
      <c r="CJ100" s="1882" t="s">
        <v>2459</v>
      </c>
      <c r="CK100" s="1882">
        <v>0</v>
      </c>
      <c r="CL100" s="1882">
        <v>0</v>
      </c>
      <c r="CM100" s="1882">
        <v>0</v>
      </c>
      <c r="CN100" s="1882">
        <v>0</v>
      </c>
      <c r="CP100" s="1882" t="s">
        <v>9168</v>
      </c>
    </row>
    <row r="101" spans="1:94">
      <c r="A101" s="1882" t="s">
        <v>8362</v>
      </c>
      <c r="B101" s="1882" t="s">
        <v>9169</v>
      </c>
      <c r="C101" s="1882" t="s">
        <v>8352</v>
      </c>
      <c r="D101" s="1882" t="s">
        <v>1626</v>
      </c>
      <c r="E101" s="1882" t="s">
        <v>8503</v>
      </c>
      <c r="F101" s="1882" t="s">
        <v>9170</v>
      </c>
      <c r="G101" s="1882" t="s">
        <v>8663</v>
      </c>
      <c r="H101" s="1882" t="s">
        <v>9171</v>
      </c>
      <c r="I101" s="1882" t="s">
        <v>9172</v>
      </c>
      <c r="J101" s="1882" t="s">
        <v>8539</v>
      </c>
      <c r="K101" s="1882"/>
      <c r="L101" s="1882"/>
      <c r="M101" s="1882"/>
      <c r="N101" s="1882" t="s">
        <v>8695</v>
      </c>
      <c r="O101" s="1882" t="s">
        <v>732</v>
      </c>
      <c r="P101" s="1882" t="s">
        <v>8696</v>
      </c>
      <c r="Q101" s="520">
        <v>0</v>
      </c>
      <c r="R101" s="1882" t="s">
        <v>8549</v>
      </c>
      <c r="S101" s="1882" t="s">
        <v>9173</v>
      </c>
      <c r="T101" s="1882" t="s">
        <v>9174</v>
      </c>
      <c r="U101" s="1882" t="s">
        <v>9174</v>
      </c>
      <c r="V101" s="1882" t="s">
        <v>9174</v>
      </c>
      <c r="W101" s="1882" t="s">
        <v>9174</v>
      </c>
      <c r="X101" s="1882" t="s">
        <v>9174</v>
      </c>
      <c r="Y101" s="1882"/>
      <c r="Z101" s="1882"/>
      <c r="AA101" s="1882"/>
      <c r="AB101" s="1882"/>
      <c r="AC101" s="1882"/>
      <c r="AD101" s="1882"/>
      <c r="AE101" s="1882"/>
      <c r="AF101" s="1882"/>
      <c r="AG101" s="1882"/>
      <c r="AH101" s="1882">
        <v>0</v>
      </c>
      <c r="AI101" s="1882"/>
      <c r="AJ101" s="1882"/>
      <c r="AK101" s="1882"/>
      <c r="AL101" s="1882"/>
      <c r="AM101" s="1882"/>
      <c r="AN101" s="1882"/>
      <c r="AO101" s="1882"/>
      <c r="AP101" s="1882"/>
      <c r="AQ101" s="1882"/>
      <c r="AR101" s="1882"/>
      <c r="AS101" s="1882"/>
      <c r="AT101" s="1882"/>
      <c r="AU101" s="1882"/>
      <c r="AV101" s="1882"/>
      <c r="AW101" s="1882"/>
      <c r="AX101" s="1882"/>
      <c r="AY101" s="1882"/>
      <c r="AZ101" s="1882"/>
      <c r="BA101" s="1882"/>
      <c r="BB101" s="1882"/>
      <c r="BC101" s="1882"/>
      <c r="BD101" s="1882"/>
      <c r="BE101" s="1882"/>
      <c r="BF101" s="1882"/>
      <c r="BG101" s="1882"/>
      <c r="BH101" s="1882"/>
      <c r="BI101" s="1882"/>
      <c r="BJ101" s="1882"/>
      <c r="BK101" s="1882"/>
      <c r="BL101" s="1882"/>
      <c r="BM101" s="1882"/>
      <c r="BN101" s="1882"/>
      <c r="BO101" s="1882"/>
      <c r="BP101" s="520">
        <v>91</v>
      </c>
      <c r="BQ101" s="692">
        <v>94</v>
      </c>
      <c r="BR101" s="1882" t="s">
        <v>8513</v>
      </c>
      <c r="BS101" s="1882" t="s">
        <v>8513</v>
      </c>
      <c r="BT101" s="1882">
        <v>0</v>
      </c>
      <c r="BU101" s="1882" t="s">
        <v>8513</v>
      </c>
      <c r="BV101" s="1882">
        <v>0</v>
      </c>
      <c r="BW101" s="1882">
        <v>94</v>
      </c>
      <c r="BX101" s="1882" t="s">
        <v>2451</v>
      </c>
      <c r="BY101" s="1882">
        <v>0</v>
      </c>
      <c r="BZ101" s="1882">
        <v>0</v>
      </c>
      <c r="CA101" s="1882">
        <v>0</v>
      </c>
      <c r="CB101" s="1882">
        <v>0</v>
      </c>
      <c r="CC101" s="1882">
        <v>94</v>
      </c>
      <c r="CD101" s="1882" t="s">
        <v>2459</v>
      </c>
      <c r="CE101" s="1882">
        <v>0</v>
      </c>
      <c r="CF101" s="1882">
        <v>0</v>
      </c>
      <c r="CG101" s="1882">
        <v>0</v>
      </c>
      <c r="CH101" s="1882">
        <v>0</v>
      </c>
      <c r="CI101" s="1882">
        <v>93</v>
      </c>
      <c r="CJ101" s="1882" t="s">
        <v>2460</v>
      </c>
      <c r="CK101" s="1882">
        <v>0</v>
      </c>
      <c r="CL101" s="1882">
        <v>0</v>
      </c>
      <c r="CM101" s="1882">
        <v>0</v>
      </c>
      <c r="CN101" s="1882">
        <v>0</v>
      </c>
      <c r="CP101" s="1882" t="s">
        <v>9175</v>
      </c>
    </row>
    <row r="102" spans="1:94">
      <c r="A102" s="1882" t="s">
        <v>8362</v>
      </c>
      <c r="B102" s="1882" t="s">
        <v>9176</v>
      </c>
      <c r="C102" s="1882" t="s">
        <v>8352</v>
      </c>
      <c r="D102" s="1882" t="s">
        <v>1626</v>
      </c>
      <c r="E102" s="1882" t="s">
        <v>8503</v>
      </c>
      <c r="F102" s="1882" t="s">
        <v>9177</v>
      </c>
      <c r="G102" s="1882" t="s">
        <v>8678</v>
      </c>
      <c r="H102" s="1882" t="s">
        <v>9178</v>
      </c>
      <c r="I102" s="1882" t="s">
        <v>9179</v>
      </c>
      <c r="J102" s="1882" t="s">
        <v>8539</v>
      </c>
      <c r="K102" s="1882"/>
      <c r="L102" s="1882"/>
      <c r="M102" s="1882"/>
      <c r="N102" s="1882" t="s">
        <v>8681</v>
      </c>
      <c r="O102" s="1882" t="s">
        <v>764</v>
      </c>
      <c r="P102" s="1882" t="s">
        <v>9180</v>
      </c>
      <c r="Q102" s="520">
        <v>0</v>
      </c>
      <c r="R102" s="1882" t="s">
        <v>8511</v>
      </c>
      <c r="S102" s="1882">
        <v>206</v>
      </c>
      <c r="T102" s="1882">
        <v>194</v>
      </c>
      <c r="U102" s="1882">
        <v>183</v>
      </c>
      <c r="V102" s="1882">
        <v>172</v>
      </c>
      <c r="W102" s="1882">
        <v>161</v>
      </c>
      <c r="X102" s="1882">
        <v>150</v>
      </c>
      <c r="Y102" s="1882"/>
      <c r="Z102" s="1882"/>
      <c r="AA102" s="1882"/>
      <c r="AB102" s="1882"/>
      <c r="AC102" s="1882"/>
      <c r="AD102" s="1882"/>
      <c r="AE102" s="1882"/>
      <c r="AF102" s="1882"/>
      <c r="AG102" s="1882"/>
      <c r="AH102" s="1882">
        <v>0</v>
      </c>
      <c r="AI102" s="1882"/>
      <c r="AJ102" s="1882"/>
      <c r="AK102" s="1882"/>
      <c r="AL102" s="1882"/>
      <c r="AM102" s="1882"/>
      <c r="AN102" s="1882"/>
      <c r="AO102" s="1882"/>
      <c r="AP102" s="1882"/>
      <c r="AQ102" s="1882"/>
      <c r="AR102" s="1882"/>
      <c r="AS102" s="1882"/>
      <c r="AT102" s="1882"/>
      <c r="AU102" s="1882"/>
      <c r="AV102" s="1882"/>
      <c r="AW102" s="1882"/>
      <c r="AX102" s="1882"/>
      <c r="AY102" s="1882"/>
      <c r="AZ102" s="1882"/>
      <c r="BA102" s="1882"/>
      <c r="BB102" s="1882"/>
      <c r="BC102" s="1882"/>
      <c r="BD102" s="1882"/>
      <c r="BE102" s="1882"/>
      <c r="BF102" s="1882"/>
      <c r="BG102" s="1882"/>
      <c r="BH102" s="1882"/>
      <c r="BI102" s="1882"/>
      <c r="BJ102" s="1882"/>
      <c r="BK102" s="1882"/>
      <c r="BL102" s="1882"/>
      <c r="BM102" s="1882"/>
      <c r="BN102" s="1882"/>
      <c r="BO102" s="1882"/>
      <c r="BP102" s="520">
        <v>213.6</v>
      </c>
      <c r="BQ102" s="693">
        <v>225.2</v>
      </c>
      <c r="BR102" s="1882" t="s">
        <v>2460</v>
      </c>
      <c r="BS102" s="1882" t="s">
        <v>8513</v>
      </c>
      <c r="BT102" s="1882">
        <v>0</v>
      </c>
      <c r="BU102" s="1882" t="s">
        <v>8513</v>
      </c>
      <c r="BV102" s="1882">
        <v>0</v>
      </c>
      <c r="BW102" s="1882">
        <v>187.7</v>
      </c>
      <c r="BX102" s="1882" t="s">
        <v>2460</v>
      </c>
      <c r="BY102" s="1882">
        <v>0</v>
      </c>
      <c r="BZ102" s="1882">
        <v>0</v>
      </c>
      <c r="CA102" s="1882">
        <v>0</v>
      </c>
      <c r="CB102" s="1882">
        <v>0</v>
      </c>
      <c r="CC102" s="1882">
        <v>164</v>
      </c>
      <c r="CD102" s="1882" t="s">
        <v>2459</v>
      </c>
      <c r="CE102" s="1882">
        <v>0</v>
      </c>
      <c r="CF102" s="1882">
        <v>0</v>
      </c>
      <c r="CG102" s="1882">
        <v>0</v>
      </c>
      <c r="CH102" s="1882">
        <v>0</v>
      </c>
      <c r="CI102" s="1882">
        <v>148</v>
      </c>
      <c r="CJ102" s="1882" t="s">
        <v>2459</v>
      </c>
      <c r="CK102" s="1882">
        <v>0</v>
      </c>
      <c r="CL102" s="1882">
        <v>0</v>
      </c>
      <c r="CM102" s="1882">
        <v>0</v>
      </c>
      <c r="CN102" s="1882">
        <v>0</v>
      </c>
      <c r="CP102" s="1882" t="s">
        <v>9181</v>
      </c>
    </row>
    <row r="103" spans="1:94" ht="25">
      <c r="A103" s="1882" t="s">
        <v>8362</v>
      </c>
      <c r="B103" s="1882" t="s">
        <v>9182</v>
      </c>
      <c r="C103" s="1882" t="s">
        <v>8352</v>
      </c>
      <c r="D103" s="1882" t="s">
        <v>1626</v>
      </c>
      <c r="E103" s="1882" t="s">
        <v>8503</v>
      </c>
      <c r="F103" s="1882" t="s">
        <v>9177</v>
      </c>
      <c r="G103" s="1882" t="s">
        <v>8685</v>
      </c>
      <c r="H103" s="1882" t="s">
        <v>9183</v>
      </c>
      <c r="I103" s="1882" t="s">
        <v>9184</v>
      </c>
      <c r="J103" s="1882" t="s">
        <v>8539</v>
      </c>
      <c r="K103" s="1882"/>
      <c r="L103" s="1882"/>
      <c r="M103" s="1882"/>
      <c r="N103" s="1882" t="s">
        <v>8673</v>
      </c>
      <c r="O103" s="1882" t="s">
        <v>8797</v>
      </c>
      <c r="P103" s="1882" t="s">
        <v>9185</v>
      </c>
      <c r="Q103" s="520" t="s">
        <v>8512</v>
      </c>
      <c r="R103" s="1882"/>
      <c r="S103" s="1882" t="s">
        <v>9173</v>
      </c>
      <c r="T103" s="1882" t="s">
        <v>9186</v>
      </c>
      <c r="U103" s="1882" t="s">
        <v>9186</v>
      </c>
      <c r="V103" s="1882" t="s">
        <v>9186</v>
      </c>
      <c r="W103" s="1882" t="s">
        <v>9186</v>
      </c>
      <c r="X103" s="1882" t="s">
        <v>9186</v>
      </c>
      <c r="Y103" s="1882"/>
      <c r="Z103" s="1882"/>
      <c r="AA103" s="1882"/>
      <c r="AB103" s="1882"/>
      <c r="AC103" s="1882"/>
      <c r="AD103" s="1882"/>
      <c r="AE103" s="1882"/>
      <c r="AF103" s="1882"/>
      <c r="AG103" s="1882"/>
      <c r="AH103" s="1882">
        <v>0</v>
      </c>
      <c r="AI103" s="1882"/>
      <c r="AJ103" s="1882"/>
      <c r="AK103" s="1882"/>
      <c r="AL103" s="1882"/>
      <c r="AM103" s="1882"/>
      <c r="AN103" s="1882"/>
      <c r="AO103" s="1882"/>
      <c r="AP103" s="1882"/>
      <c r="AQ103" s="1882"/>
      <c r="AR103" s="1882"/>
      <c r="AS103" s="1882"/>
      <c r="AT103" s="1882"/>
      <c r="AU103" s="1882"/>
      <c r="AV103" s="1882"/>
      <c r="AW103" s="1882"/>
      <c r="AX103" s="1882"/>
      <c r="AY103" s="1882"/>
      <c r="AZ103" s="1882"/>
      <c r="BA103" s="1882"/>
      <c r="BB103" s="1882"/>
      <c r="BC103" s="1882"/>
      <c r="BD103" s="1882"/>
      <c r="BE103" s="1882"/>
      <c r="BF103" s="1882"/>
      <c r="BG103" s="1882"/>
      <c r="BH103" s="1882"/>
      <c r="BI103" s="1882"/>
      <c r="BJ103" s="1882"/>
      <c r="BK103" s="1882"/>
      <c r="BL103" s="1882"/>
      <c r="BM103" s="1882"/>
      <c r="BN103" s="1882"/>
      <c r="BO103" s="1882"/>
      <c r="BP103" s="520" t="s">
        <v>3514</v>
      </c>
      <c r="BQ103" s="692" t="s">
        <v>9187</v>
      </c>
      <c r="BR103" s="1882" t="s">
        <v>2459</v>
      </c>
      <c r="BS103" s="1882" t="s">
        <v>8513</v>
      </c>
      <c r="BT103" s="1882">
        <v>0</v>
      </c>
      <c r="BU103" s="1882" t="s">
        <v>8513</v>
      </c>
      <c r="BV103" s="1882">
        <v>0</v>
      </c>
      <c r="BW103" s="1882" t="s">
        <v>9188</v>
      </c>
      <c r="BX103" s="1882" t="s">
        <v>2459</v>
      </c>
      <c r="BY103" s="1882">
        <v>0</v>
      </c>
      <c r="BZ103" s="1882">
        <v>0</v>
      </c>
      <c r="CA103" s="1882">
        <v>0</v>
      </c>
      <c r="CB103" s="1882">
        <v>0</v>
      </c>
      <c r="CC103" s="1882" t="s">
        <v>9189</v>
      </c>
      <c r="CD103" s="1882" t="s">
        <v>2459</v>
      </c>
      <c r="CE103" s="1882">
        <v>0</v>
      </c>
      <c r="CF103" s="1882">
        <v>0</v>
      </c>
      <c r="CG103" s="1882">
        <v>0</v>
      </c>
      <c r="CH103" s="1882">
        <v>0</v>
      </c>
      <c r="CI103" s="1882" t="s">
        <v>9190</v>
      </c>
      <c r="CJ103" s="1882" t="s">
        <v>2459</v>
      </c>
      <c r="CK103" s="1882">
        <v>0</v>
      </c>
      <c r="CL103" s="1882">
        <v>0</v>
      </c>
      <c r="CM103" s="1882">
        <v>0</v>
      </c>
      <c r="CN103" s="1882">
        <v>0</v>
      </c>
      <c r="CP103" s="1882" t="s">
        <v>9191</v>
      </c>
    </row>
    <row r="104" spans="1:94">
      <c r="A104" s="1882" t="s">
        <v>8362</v>
      </c>
      <c r="B104" s="1882" t="s">
        <v>9192</v>
      </c>
      <c r="C104" s="1882" t="s">
        <v>8352</v>
      </c>
      <c r="D104" s="1882" t="s">
        <v>1627</v>
      </c>
      <c r="E104" s="1882" t="s">
        <v>8720</v>
      </c>
      <c r="F104" s="1882" t="s">
        <v>9053</v>
      </c>
      <c r="G104" s="1882" t="s">
        <v>9193</v>
      </c>
      <c r="H104" s="1882" t="s">
        <v>9194</v>
      </c>
      <c r="I104" s="1882" t="s">
        <v>9195</v>
      </c>
      <c r="J104" s="1882" t="s">
        <v>8539</v>
      </c>
      <c r="K104" s="1882"/>
      <c r="L104" s="1882"/>
      <c r="M104" s="1882"/>
      <c r="N104" s="1882" t="s">
        <v>8787</v>
      </c>
      <c r="O104" s="1882" t="s">
        <v>3504</v>
      </c>
      <c r="P104" s="1882" t="s">
        <v>9056</v>
      </c>
      <c r="Q104" s="520" t="s">
        <v>8512</v>
      </c>
      <c r="R104" s="1882"/>
      <c r="S104" s="1882" t="s">
        <v>3504</v>
      </c>
      <c r="T104" s="1882" t="s">
        <v>3504</v>
      </c>
      <c r="U104" s="1882" t="s">
        <v>3504</v>
      </c>
      <c r="V104" s="1882" t="s">
        <v>3504</v>
      </c>
      <c r="W104" s="1882" t="s">
        <v>3504</v>
      </c>
      <c r="X104" s="1882" t="s">
        <v>3504</v>
      </c>
      <c r="Y104" s="1882"/>
      <c r="Z104" s="1882"/>
      <c r="AA104" s="1882"/>
      <c r="AB104" s="1882"/>
      <c r="AC104" s="1882"/>
      <c r="AD104" s="1882"/>
      <c r="AE104" s="1882" t="s">
        <v>2459</v>
      </c>
      <c r="AF104" s="1882"/>
      <c r="AG104" s="1882"/>
      <c r="AH104" s="1882">
        <v>0</v>
      </c>
      <c r="AI104" s="1882"/>
      <c r="AJ104" s="1882"/>
      <c r="AK104" s="1882"/>
      <c r="AL104" s="1882"/>
      <c r="AM104" s="1882"/>
      <c r="AN104" s="1882"/>
      <c r="AO104" s="1882"/>
      <c r="AP104" s="1882"/>
      <c r="AQ104" s="1882"/>
      <c r="AR104" s="1882"/>
      <c r="AS104" s="1882"/>
      <c r="AT104" s="1882"/>
      <c r="AU104" s="1882"/>
      <c r="AV104" s="1882"/>
      <c r="AW104" s="1882"/>
      <c r="AX104" s="1882"/>
      <c r="AY104" s="1882"/>
      <c r="AZ104" s="1882"/>
      <c r="BA104" s="1882"/>
      <c r="BB104" s="1882"/>
      <c r="BC104" s="1882"/>
      <c r="BD104" s="1882"/>
      <c r="BE104" s="1882"/>
      <c r="BF104" s="1882"/>
      <c r="BG104" s="1882"/>
      <c r="BH104" s="1882"/>
      <c r="BI104" s="1882"/>
      <c r="BJ104" s="1882"/>
      <c r="BK104" s="1882"/>
      <c r="BL104" s="1882"/>
      <c r="BM104" s="1882"/>
      <c r="BN104" s="1882"/>
      <c r="BO104" s="1882"/>
      <c r="BP104" s="520" t="s">
        <v>3514</v>
      </c>
      <c r="BQ104" s="692" t="s">
        <v>3514</v>
      </c>
      <c r="BR104" s="1882" t="s">
        <v>8513</v>
      </c>
      <c r="BS104" s="1882" t="s">
        <v>8513</v>
      </c>
      <c r="BT104" s="1882">
        <v>0</v>
      </c>
      <c r="BU104" s="1882" t="s">
        <v>8513</v>
      </c>
      <c r="BV104" s="1882">
        <v>0</v>
      </c>
      <c r="BW104" s="1882" t="s">
        <v>3514</v>
      </c>
      <c r="BX104" s="1882" t="s">
        <v>2451</v>
      </c>
      <c r="BY104" s="1882">
        <v>0</v>
      </c>
      <c r="BZ104" s="1882">
        <v>0</v>
      </c>
      <c r="CA104" s="1882">
        <v>0</v>
      </c>
      <c r="CB104" s="1882">
        <v>0</v>
      </c>
      <c r="CC104" s="1882" t="s">
        <v>3514</v>
      </c>
      <c r="CD104" s="1882" t="s">
        <v>2451</v>
      </c>
      <c r="CE104" s="1882">
        <v>0</v>
      </c>
      <c r="CF104" s="1882">
        <v>0</v>
      </c>
      <c r="CG104" s="1882">
        <v>0</v>
      </c>
      <c r="CH104" s="1882">
        <v>0</v>
      </c>
      <c r="CI104" s="1882" t="s">
        <v>3514</v>
      </c>
      <c r="CJ104" s="1882" t="s">
        <v>2451</v>
      </c>
      <c r="CK104" s="1882">
        <v>0</v>
      </c>
      <c r="CL104" s="1882">
        <v>0</v>
      </c>
      <c r="CM104" s="1882">
        <v>0</v>
      </c>
      <c r="CN104" s="1882">
        <v>0</v>
      </c>
      <c r="CP104" s="1882" t="s">
        <v>9196</v>
      </c>
    </row>
    <row r="105" spans="1:94">
      <c r="A105" s="1882" t="s">
        <v>8362</v>
      </c>
      <c r="B105" s="1882" t="s">
        <v>9197</v>
      </c>
      <c r="C105" s="1882" t="s">
        <v>8352</v>
      </c>
      <c r="D105" s="1882" t="s">
        <v>1627</v>
      </c>
      <c r="E105" s="1882" t="s">
        <v>8720</v>
      </c>
      <c r="F105" s="1882" t="s">
        <v>9198</v>
      </c>
      <c r="G105" s="1882" t="s">
        <v>8741</v>
      </c>
      <c r="H105" s="1882" t="s">
        <v>9199</v>
      </c>
      <c r="I105" s="1882" t="s">
        <v>9200</v>
      </c>
      <c r="J105" s="1882" t="s">
        <v>8508</v>
      </c>
      <c r="K105" s="1882" t="s">
        <v>8855</v>
      </c>
      <c r="L105" s="1882"/>
      <c r="M105" s="1882"/>
      <c r="N105" s="1882" t="s">
        <v>8724</v>
      </c>
      <c r="O105" s="1882" t="s">
        <v>764</v>
      </c>
      <c r="P105" s="1882" t="s">
        <v>9201</v>
      </c>
      <c r="Q105" s="520">
        <v>0</v>
      </c>
      <c r="R105" s="1882" t="s">
        <v>8511</v>
      </c>
      <c r="S105" s="1882">
        <v>1318</v>
      </c>
      <c r="T105" s="1882">
        <v>1318</v>
      </c>
      <c r="U105" s="1882">
        <v>1318</v>
      </c>
      <c r="V105" s="1882">
        <v>1318</v>
      </c>
      <c r="W105" s="1882">
        <v>1318</v>
      </c>
      <c r="X105" s="1882">
        <v>1318</v>
      </c>
      <c r="Y105" s="1882"/>
      <c r="Z105" s="1882"/>
      <c r="AA105" s="1882"/>
      <c r="AB105" s="1882"/>
      <c r="AC105" s="1882"/>
      <c r="AD105" s="1882"/>
      <c r="AE105" s="1882" t="s">
        <v>2459</v>
      </c>
      <c r="AF105" s="1882"/>
      <c r="AG105" s="1882"/>
      <c r="AH105" s="1882">
        <v>0</v>
      </c>
      <c r="AI105" s="1882" t="s">
        <v>2459</v>
      </c>
      <c r="AJ105" s="1882" t="s">
        <v>2459</v>
      </c>
      <c r="AK105" s="1882" t="s">
        <v>2459</v>
      </c>
      <c r="AL105" s="1882" t="s">
        <v>2459</v>
      </c>
      <c r="AM105" s="1882" t="s">
        <v>2459</v>
      </c>
      <c r="AN105" s="1882" t="s">
        <v>9202</v>
      </c>
      <c r="AO105" s="1882" t="s">
        <v>9202</v>
      </c>
      <c r="AP105" s="1882" t="s">
        <v>9202</v>
      </c>
      <c r="AQ105" s="1882" t="s">
        <v>9202</v>
      </c>
      <c r="AR105" s="1882" t="s">
        <v>9202</v>
      </c>
      <c r="AS105" s="1882" t="s">
        <v>9203</v>
      </c>
      <c r="AT105" s="1882" t="s">
        <v>9203</v>
      </c>
      <c r="AU105" s="1882" t="s">
        <v>9203</v>
      </c>
      <c r="AV105" s="1882" t="s">
        <v>9203</v>
      </c>
      <c r="AW105" s="1882" t="s">
        <v>9203</v>
      </c>
      <c r="AX105" s="1882" t="s">
        <v>9204</v>
      </c>
      <c r="AY105" s="1882" t="s">
        <v>9204</v>
      </c>
      <c r="AZ105" s="1882" t="s">
        <v>9204</v>
      </c>
      <c r="BA105" s="1882" t="s">
        <v>9204</v>
      </c>
      <c r="BB105" s="1882" t="s">
        <v>9204</v>
      </c>
      <c r="BC105" s="1882" t="s">
        <v>9205</v>
      </c>
      <c r="BD105" s="1882" t="s">
        <v>9205</v>
      </c>
      <c r="BE105" s="1882" t="s">
        <v>9205</v>
      </c>
      <c r="BF105" s="1882" t="s">
        <v>9205</v>
      </c>
      <c r="BG105" s="1882" t="s">
        <v>9205</v>
      </c>
      <c r="BH105" s="1882">
        <v>3.0000000000000001E-3</v>
      </c>
      <c r="BI105" s="1882"/>
      <c r="BJ105" s="1882"/>
      <c r="BK105" s="1882"/>
      <c r="BL105" s="1882">
        <v>2E-3</v>
      </c>
      <c r="BM105" s="1882"/>
      <c r="BN105" s="1882">
        <v>1</v>
      </c>
      <c r="BO105" s="1882" t="s">
        <v>8512</v>
      </c>
      <c r="BP105" s="520">
        <v>1170</v>
      </c>
      <c r="BQ105" s="693">
        <v>1061</v>
      </c>
      <c r="BR105" s="1882" t="s">
        <v>2459</v>
      </c>
      <c r="BS105" s="1882" t="s">
        <v>8513</v>
      </c>
      <c r="BT105" s="1882">
        <v>0</v>
      </c>
      <c r="BU105" s="1882" t="s">
        <v>8376</v>
      </c>
      <c r="BV105" s="1882">
        <v>0.156</v>
      </c>
      <c r="BW105" s="1882">
        <v>839</v>
      </c>
      <c r="BX105" s="1882" t="s">
        <v>2459</v>
      </c>
      <c r="BY105" s="1882">
        <v>0</v>
      </c>
      <c r="BZ105" s="1882">
        <v>0</v>
      </c>
      <c r="CA105" s="1882" t="s">
        <v>8376</v>
      </c>
      <c r="CB105" s="1882">
        <v>0.6</v>
      </c>
      <c r="CC105" s="1882">
        <v>944</v>
      </c>
      <c r="CD105" s="1882" t="s">
        <v>2459</v>
      </c>
      <c r="CE105" s="1882">
        <v>0</v>
      </c>
      <c r="CF105" s="1882">
        <v>0</v>
      </c>
      <c r="CG105" s="1882" t="s">
        <v>8376</v>
      </c>
      <c r="CH105" s="1882">
        <v>0.39</v>
      </c>
      <c r="CI105" s="1882">
        <v>902</v>
      </c>
      <c r="CJ105" s="1882" t="s">
        <v>2459</v>
      </c>
      <c r="CK105" s="1882">
        <v>0</v>
      </c>
      <c r="CL105" s="1882">
        <v>0</v>
      </c>
      <c r="CM105" s="1882" t="s">
        <v>8376</v>
      </c>
      <c r="CN105" s="1882">
        <v>0.47399999999999998</v>
      </c>
      <c r="CP105" s="1882" t="s">
        <v>9206</v>
      </c>
    </row>
    <row r="106" spans="1:94">
      <c r="A106" s="1882" t="s">
        <v>8362</v>
      </c>
      <c r="B106" s="1882" t="s">
        <v>9207</v>
      </c>
      <c r="C106" s="1882" t="s">
        <v>8352</v>
      </c>
      <c r="D106" s="1882" t="s">
        <v>1627</v>
      </c>
      <c r="E106" s="1882" t="s">
        <v>8720</v>
      </c>
      <c r="F106" s="1882" t="s">
        <v>9198</v>
      </c>
      <c r="G106" s="1882" t="s">
        <v>9208</v>
      </c>
      <c r="H106" s="1882" t="s">
        <v>9209</v>
      </c>
      <c r="I106" s="1882" t="s">
        <v>9210</v>
      </c>
      <c r="J106" s="1882" t="s">
        <v>8508</v>
      </c>
      <c r="K106" s="1882" t="s">
        <v>8855</v>
      </c>
      <c r="L106" s="1882"/>
      <c r="M106" s="1882"/>
      <c r="N106" s="1882" t="s">
        <v>8724</v>
      </c>
      <c r="O106" s="1882" t="s">
        <v>764</v>
      </c>
      <c r="P106" s="1882" t="s">
        <v>9211</v>
      </c>
      <c r="Q106" s="520">
        <v>0</v>
      </c>
      <c r="R106" s="1882" t="s">
        <v>8511</v>
      </c>
      <c r="S106" s="1882">
        <v>300</v>
      </c>
      <c r="T106" s="1882">
        <v>262</v>
      </c>
      <c r="U106" s="1882">
        <v>224</v>
      </c>
      <c r="V106" s="1882">
        <v>186</v>
      </c>
      <c r="W106" s="1882">
        <v>186</v>
      </c>
      <c r="X106" s="1882">
        <v>186</v>
      </c>
      <c r="Y106" s="1882"/>
      <c r="Z106" s="1882"/>
      <c r="AA106" s="1882"/>
      <c r="AB106" s="1882"/>
      <c r="AC106" s="1882" t="s">
        <v>2459</v>
      </c>
      <c r="AD106" s="1882"/>
      <c r="AE106" s="1882" t="s">
        <v>2459</v>
      </c>
      <c r="AF106" s="1882"/>
      <c r="AG106" s="1882"/>
      <c r="AH106" s="1882">
        <v>0</v>
      </c>
      <c r="AI106" s="1882" t="s">
        <v>2459</v>
      </c>
      <c r="AJ106" s="1882" t="s">
        <v>2459</v>
      </c>
      <c r="AK106" s="1882" t="s">
        <v>2459</v>
      </c>
      <c r="AL106" s="1882" t="s">
        <v>2459</v>
      </c>
      <c r="AM106" s="1882" t="s">
        <v>2459</v>
      </c>
      <c r="AN106" s="1882">
        <v>383</v>
      </c>
      <c r="AO106" s="1882">
        <v>383</v>
      </c>
      <c r="AP106" s="1882">
        <v>269</v>
      </c>
      <c r="AQ106" s="1882">
        <v>269</v>
      </c>
      <c r="AR106" s="1882">
        <v>269</v>
      </c>
      <c r="AS106" s="1882">
        <v>300</v>
      </c>
      <c r="AT106" s="1882">
        <v>300</v>
      </c>
      <c r="AU106" s="1882">
        <v>186</v>
      </c>
      <c r="AV106" s="1882">
        <v>186</v>
      </c>
      <c r="AW106" s="1882">
        <v>186</v>
      </c>
      <c r="AX106" s="1882">
        <v>186</v>
      </c>
      <c r="AY106" s="1882">
        <v>186</v>
      </c>
      <c r="AZ106" s="1882">
        <v>186</v>
      </c>
      <c r="BA106" s="1882">
        <v>186</v>
      </c>
      <c r="BB106" s="1882">
        <v>186</v>
      </c>
      <c r="BC106" s="1882">
        <v>89</v>
      </c>
      <c r="BD106" s="1882">
        <v>89</v>
      </c>
      <c r="BE106" s="1882">
        <v>89</v>
      </c>
      <c r="BF106" s="1882">
        <v>89</v>
      </c>
      <c r="BG106" s="1882">
        <v>89</v>
      </c>
      <c r="BH106" s="1882">
        <v>1.7000000000000001E-2</v>
      </c>
      <c r="BI106" s="1882"/>
      <c r="BJ106" s="1882"/>
      <c r="BK106" s="1882"/>
      <c r="BL106" s="1882">
        <v>1.2999999999999999E-2</v>
      </c>
      <c r="BM106" s="1882"/>
      <c r="BN106" s="1882">
        <v>1</v>
      </c>
      <c r="BO106" s="1882" t="s">
        <v>8512</v>
      </c>
      <c r="BP106" s="520">
        <v>228</v>
      </c>
      <c r="BQ106" s="693">
        <v>143</v>
      </c>
      <c r="BR106" s="1882" t="s">
        <v>2459</v>
      </c>
      <c r="BS106" s="1882" t="s">
        <v>8513</v>
      </c>
      <c r="BT106" s="1882">
        <v>0</v>
      </c>
      <c r="BU106" s="1882" t="s">
        <v>8376</v>
      </c>
      <c r="BV106" s="1882">
        <v>0.55900000000000005</v>
      </c>
      <c r="BW106" s="1882">
        <v>119</v>
      </c>
      <c r="BX106" s="1882" t="s">
        <v>2459</v>
      </c>
      <c r="BY106" s="1882">
        <v>0</v>
      </c>
      <c r="BZ106" s="1882">
        <v>0</v>
      </c>
      <c r="CA106" s="1882" t="s">
        <v>8376</v>
      </c>
      <c r="CB106" s="1882">
        <v>0.871</v>
      </c>
      <c r="CC106" s="1882">
        <v>96</v>
      </c>
      <c r="CD106" s="1882" t="s">
        <v>2459</v>
      </c>
      <c r="CE106" s="1882">
        <v>0</v>
      </c>
      <c r="CF106" s="1882">
        <v>0</v>
      </c>
      <c r="CG106" s="1882" t="s">
        <v>8376</v>
      </c>
      <c r="CH106" s="1882">
        <v>1.17</v>
      </c>
      <c r="CI106" s="1882">
        <v>124</v>
      </c>
      <c r="CJ106" s="1882" t="s">
        <v>2459</v>
      </c>
      <c r="CK106" s="1882">
        <v>0</v>
      </c>
      <c r="CL106" s="1882">
        <v>0</v>
      </c>
      <c r="CM106" s="1882" t="s">
        <v>8376</v>
      </c>
      <c r="CN106" s="1882">
        <v>0.80600000000000005</v>
      </c>
      <c r="CP106" s="1882" t="s">
        <v>9212</v>
      </c>
    </row>
    <row r="107" spans="1:94">
      <c r="A107" s="1882" t="s">
        <v>8362</v>
      </c>
      <c r="B107" s="1882" t="s">
        <v>9213</v>
      </c>
      <c r="C107" s="1882" t="s">
        <v>8352</v>
      </c>
      <c r="D107" s="1882" t="s">
        <v>1627</v>
      </c>
      <c r="E107" s="1882" t="s">
        <v>8720</v>
      </c>
      <c r="F107" s="1882" t="s">
        <v>9198</v>
      </c>
      <c r="G107" s="1882" t="s">
        <v>9214</v>
      </c>
      <c r="H107" s="1882" t="s">
        <v>9215</v>
      </c>
      <c r="I107" s="1882" t="s">
        <v>9216</v>
      </c>
      <c r="J107" s="1882" t="s">
        <v>8508</v>
      </c>
      <c r="K107" s="1882" t="s">
        <v>8855</v>
      </c>
      <c r="L107" s="1882"/>
      <c r="M107" s="1882" t="s">
        <v>2460</v>
      </c>
      <c r="N107" s="1882" t="s">
        <v>8724</v>
      </c>
      <c r="O107" s="1882" t="s">
        <v>764</v>
      </c>
      <c r="P107" s="1882" t="s">
        <v>9201</v>
      </c>
      <c r="Q107" s="520">
        <v>0</v>
      </c>
      <c r="R107" s="1882" t="s">
        <v>8511</v>
      </c>
      <c r="S107" s="1882">
        <v>496</v>
      </c>
      <c r="T107" s="1882">
        <v>496</v>
      </c>
      <c r="U107" s="1882">
        <v>496</v>
      </c>
      <c r="V107" s="1882">
        <v>496</v>
      </c>
      <c r="W107" s="1882">
        <v>496</v>
      </c>
      <c r="X107" s="1882">
        <v>496</v>
      </c>
      <c r="Y107" s="1882"/>
      <c r="Z107" s="1882"/>
      <c r="AA107" s="1882"/>
      <c r="AB107" s="1882"/>
      <c r="AC107" s="1882"/>
      <c r="AD107" s="1882"/>
      <c r="AE107" s="1882" t="s">
        <v>2459</v>
      </c>
      <c r="AF107" s="1882"/>
      <c r="AG107" s="1882"/>
      <c r="AH107" s="1882">
        <v>0</v>
      </c>
      <c r="AI107" s="1882"/>
      <c r="AJ107" s="1882"/>
      <c r="AK107" s="1882" t="s">
        <v>2459</v>
      </c>
      <c r="AL107" s="1882" t="s">
        <v>2459</v>
      </c>
      <c r="AM107" s="1882" t="s">
        <v>2459</v>
      </c>
      <c r="AN107" s="1882" t="s">
        <v>9217</v>
      </c>
      <c r="AO107" s="1882" t="s">
        <v>9217</v>
      </c>
      <c r="AP107" s="1882" t="s">
        <v>9217</v>
      </c>
      <c r="AQ107" s="1882" t="s">
        <v>9217</v>
      </c>
      <c r="AR107" s="1882" t="s">
        <v>9217</v>
      </c>
      <c r="AS107" s="1882" t="s">
        <v>9218</v>
      </c>
      <c r="AT107" s="1882" t="s">
        <v>9218</v>
      </c>
      <c r="AU107" s="1882" t="s">
        <v>9218</v>
      </c>
      <c r="AV107" s="1882" t="s">
        <v>9218</v>
      </c>
      <c r="AW107" s="1882" t="s">
        <v>9218</v>
      </c>
      <c r="AX107" s="1882" t="s">
        <v>9219</v>
      </c>
      <c r="AY107" s="1882" t="s">
        <v>9219</v>
      </c>
      <c r="AZ107" s="1882" t="s">
        <v>9219</v>
      </c>
      <c r="BA107" s="1882" t="s">
        <v>9219</v>
      </c>
      <c r="BB107" s="1882" t="s">
        <v>9219</v>
      </c>
      <c r="BC107" s="1882" t="s">
        <v>9220</v>
      </c>
      <c r="BD107" s="1882" t="s">
        <v>9220</v>
      </c>
      <c r="BE107" s="1882" t="s">
        <v>9220</v>
      </c>
      <c r="BF107" s="1882" t="s">
        <v>9220</v>
      </c>
      <c r="BG107" s="1882" t="s">
        <v>9220</v>
      </c>
      <c r="BH107" s="1882">
        <v>2.2286250000000001</v>
      </c>
      <c r="BI107" s="1882">
        <v>2.2286250000000001</v>
      </c>
      <c r="BJ107" s="1882"/>
      <c r="BK107" s="1882"/>
      <c r="BL107" s="1882">
        <v>1.2999999999999999E-2</v>
      </c>
      <c r="BM107" s="1882"/>
      <c r="BN107" s="1882">
        <v>1</v>
      </c>
      <c r="BO107" s="1882" t="s">
        <v>8512</v>
      </c>
      <c r="BP107" s="520">
        <v>555</v>
      </c>
      <c r="BQ107" s="693">
        <v>184</v>
      </c>
      <c r="BR107" s="1882" t="s">
        <v>8513</v>
      </c>
      <c r="BS107" s="1882" t="s">
        <v>8513</v>
      </c>
      <c r="BT107" s="1882">
        <v>0</v>
      </c>
      <c r="BU107" s="1882" t="s">
        <v>8513</v>
      </c>
      <c r="BV107" s="1882">
        <v>0</v>
      </c>
      <c r="BW107" s="1882">
        <v>82</v>
      </c>
      <c r="BX107" s="1882" t="s">
        <v>2451</v>
      </c>
      <c r="BY107" s="1882">
        <v>0</v>
      </c>
      <c r="BZ107" s="1882">
        <v>0</v>
      </c>
      <c r="CA107" s="1882">
        <v>0</v>
      </c>
      <c r="CB107" s="1882">
        <v>0</v>
      </c>
      <c r="CC107" s="1882">
        <v>55</v>
      </c>
      <c r="CD107" s="1882" t="s">
        <v>2459</v>
      </c>
      <c r="CE107" s="1882">
        <v>0</v>
      </c>
      <c r="CF107" s="1882">
        <v>0</v>
      </c>
      <c r="CG107" s="1882" t="s">
        <v>8376</v>
      </c>
      <c r="CH107" s="1882">
        <v>1.2609999999999999</v>
      </c>
      <c r="CI107" s="1882">
        <v>48</v>
      </c>
      <c r="CJ107" s="1882" t="s">
        <v>2459</v>
      </c>
      <c r="CK107" s="1882">
        <v>0</v>
      </c>
      <c r="CL107" s="1882">
        <v>0</v>
      </c>
      <c r="CM107" s="1882" t="s">
        <v>8376</v>
      </c>
      <c r="CN107" s="1882">
        <v>1.2609999999999999</v>
      </c>
      <c r="CP107" s="1882" t="s">
        <v>9221</v>
      </c>
    </row>
    <row r="108" spans="1:94">
      <c r="A108" s="1882" t="s">
        <v>8362</v>
      </c>
      <c r="B108" s="1882" t="s">
        <v>9222</v>
      </c>
      <c r="C108" s="1882" t="s">
        <v>8352</v>
      </c>
      <c r="D108" s="1882" t="s">
        <v>1627</v>
      </c>
      <c r="E108" s="1882" t="s">
        <v>8720</v>
      </c>
      <c r="F108" s="1882" t="s">
        <v>9198</v>
      </c>
      <c r="G108" s="1882" t="s">
        <v>9223</v>
      </c>
      <c r="H108" s="1882" t="s">
        <v>9224</v>
      </c>
      <c r="I108" s="1882" t="s">
        <v>9225</v>
      </c>
      <c r="J108" s="1882" t="s">
        <v>8519</v>
      </c>
      <c r="K108" s="1882" t="s">
        <v>8855</v>
      </c>
      <c r="L108" s="1882"/>
      <c r="M108" s="1882" t="s">
        <v>2460</v>
      </c>
      <c r="N108" s="1882" t="s">
        <v>8724</v>
      </c>
      <c r="O108" s="1882" t="s">
        <v>764</v>
      </c>
      <c r="P108" s="1882" t="s">
        <v>9226</v>
      </c>
      <c r="Q108" s="520">
        <v>0</v>
      </c>
      <c r="R108" s="1882" t="s">
        <v>8511</v>
      </c>
      <c r="S108" s="1882">
        <v>58</v>
      </c>
      <c r="T108" s="1882">
        <v>58</v>
      </c>
      <c r="U108" s="1882">
        <v>58</v>
      </c>
      <c r="V108" s="1882">
        <v>58</v>
      </c>
      <c r="W108" s="1882">
        <v>58</v>
      </c>
      <c r="X108" s="1882">
        <v>58</v>
      </c>
      <c r="Y108" s="1882"/>
      <c r="Z108" s="1882"/>
      <c r="AA108" s="1882"/>
      <c r="AB108" s="1882"/>
      <c r="AC108" s="1882"/>
      <c r="AD108" s="1882"/>
      <c r="AE108" s="1882" t="s">
        <v>2459</v>
      </c>
      <c r="AF108" s="1882"/>
      <c r="AG108" s="1882"/>
      <c r="AH108" s="1882">
        <v>0</v>
      </c>
      <c r="AI108" s="1882"/>
      <c r="AJ108" s="1882"/>
      <c r="AK108" s="1882" t="s">
        <v>2459</v>
      </c>
      <c r="AL108" s="1882" t="s">
        <v>2459</v>
      </c>
      <c r="AM108" s="1882" t="s">
        <v>2459</v>
      </c>
      <c r="AN108" s="1882" t="s">
        <v>9227</v>
      </c>
      <c r="AO108" s="1882" t="s">
        <v>9227</v>
      </c>
      <c r="AP108" s="1882" t="s">
        <v>9227</v>
      </c>
      <c r="AQ108" s="1882" t="s">
        <v>9227</v>
      </c>
      <c r="AR108" s="1882" t="s">
        <v>9227</v>
      </c>
      <c r="AS108" s="1882" t="s">
        <v>9228</v>
      </c>
      <c r="AT108" s="1882" t="s">
        <v>9228</v>
      </c>
      <c r="AU108" s="1882" t="s">
        <v>9228</v>
      </c>
      <c r="AV108" s="1882" t="s">
        <v>9228</v>
      </c>
      <c r="AW108" s="1882" t="s">
        <v>9228</v>
      </c>
      <c r="AX108" s="1882"/>
      <c r="AY108" s="1882"/>
      <c r="AZ108" s="1882"/>
      <c r="BA108" s="1882"/>
      <c r="BB108" s="1882"/>
      <c r="BC108" s="1882"/>
      <c r="BD108" s="1882"/>
      <c r="BE108" s="1882"/>
      <c r="BF108" s="1882"/>
      <c r="BG108" s="1882"/>
      <c r="BH108" s="1882">
        <v>2.2286250000000001</v>
      </c>
      <c r="BI108" s="1882">
        <v>2.2286250000000001</v>
      </c>
      <c r="BJ108" s="1882"/>
      <c r="BK108" s="1882"/>
      <c r="BL108" s="1882"/>
      <c r="BM108" s="1882"/>
      <c r="BN108" s="1882">
        <v>1</v>
      </c>
      <c r="BO108" s="1882" t="s">
        <v>8512</v>
      </c>
      <c r="BP108" s="520">
        <v>49</v>
      </c>
      <c r="BQ108" s="693">
        <v>48</v>
      </c>
      <c r="BR108" s="1882" t="s">
        <v>8513</v>
      </c>
      <c r="BS108" s="1882" t="s">
        <v>8513</v>
      </c>
      <c r="BT108" s="1882">
        <v>0</v>
      </c>
      <c r="BU108" s="1882" t="s">
        <v>8513</v>
      </c>
      <c r="BV108" s="1882">
        <v>0</v>
      </c>
      <c r="BW108" s="1882">
        <v>49</v>
      </c>
      <c r="BX108" s="1882" t="s">
        <v>2451</v>
      </c>
      <c r="BY108" s="1882">
        <v>0</v>
      </c>
      <c r="BZ108" s="1882">
        <v>0</v>
      </c>
      <c r="CA108" s="1882">
        <v>0</v>
      </c>
      <c r="CB108" s="1882">
        <v>0</v>
      </c>
      <c r="CC108" s="1882">
        <v>46</v>
      </c>
      <c r="CD108" s="1882" t="s">
        <v>2459</v>
      </c>
      <c r="CE108" s="1882">
        <v>0</v>
      </c>
      <c r="CF108" s="1882">
        <v>0</v>
      </c>
      <c r="CG108" s="1882">
        <v>0</v>
      </c>
      <c r="CH108" s="1882">
        <v>0</v>
      </c>
      <c r="CI108" s="1882">
        <v>50</v>
      </c>
      <c r="CJ108" s="1882" t="s">
        <v>2459</v>
      </c>
      <c r="CK108" s="1882">
        <v>0</v>
      </c>
      <c r="CL108" s="1882">
        <v>0</v>
      </c>
      <c r="CM108" s="1882">
        <v>0</v>
      </c>
      <c r="CN108" s="1882">
        <v>0</v>
      </c>
      <c r="CP108" s="1882" t="s">
        <v>9229</v>
      </c>
    </row>
    <row r="109" spans="1:94">
      <c r="A109" s="1882" t="s">
        <v>8362</v>
      </c>
      <c r="B109" s="1882" t="s">
        <v>9230</v>
      </c>
      <c r="C109" s="1882" t="s">
        <v>8352</v>
      </c>
      <c r="D109" s="1882" t="s">
        <v>1627</v>
      </c>
      <c r="E109" s="1882" t="s">
        <v>8720</v>
      </c>
      <c r="F109" s="1882" t="s">
        <v>9198</v>
      </c>
      <c r="G109" s="1882" t="s">
        <v>9231</v>
      </c>
      <c r="H109" s="1882" t="s">
        <v>9232</v>
      </c>
      <c r="I109" s="1882" t="s">
        <v>9233</v>
      </c>
      <c r="J109" s="1882" t="s">
        <v>8508</v>
      </c>
      <c r="K109" s="1882" t="s">
        <v>8855</v>
      </c>
      <c r="L109" s="1882"/>
      <c r="M109" s="1882"/>
      <c r="N109" s="1882" t="s">
        <v>8724</v>
      </c>
      <c r="O109" s="1882" t="s">
        <v>764</v>
      </c>
      <c r="P109" s="1882" t="s">
        <v>9201</v>
      </c>
      <c r="Q109" s="520">
        <v>0</v>
      </c>
      <c r="R109" s="1882" t="s">
        <v>8511</v>
      </c>
      <c r="S109" s="1882">
        <v>228</v>
      </c>
      <c r="T109" s="1882">
        <v>228</v>
      </c>
      <c r="U109" s="1882">
        <v>228</v>
      </c>
      <c r="V109" s="1882">
        <v>228</v>
      </c>
      <c r="W109" s="1882">
        <v>228</v>
      </c>
      <c r="X109" s="1882">
        <v>228</v>
      </c>
      <c r="Y109" s="1882"/>
      <c r="Z109" s="1882"/>
      <c r="AA109" s="1882"/>
      <c r="AB109" s="1882"/>
      <c r="AC109" s="1882" t="s">
        <v>2459</v>
      </c>
      <c r="AD109" s="1882"/>
      <c r="AE109" s="1882" t="s">
        <v>2459</v>
      </c>
      <c r="AF109" s="1882"/>
      <c r="AG109" s="1882"/>
      <c r="AH109" s="1882">
        <v>0</v>
      </c>
      <c r="AI109" s="1882" t="s">
        <v>2459</v>
      </c>
      <c r="AJ109" s="1882" t="s">
        <v>2459</v>
      </c>
      <c r="AK109" s="1882" t="s">
        <v>2459</v>
      </c>
      <c r="AL109" s="1882" t="s">
        <v>2459</v>
      </c>
      <c r="AM109" s="1882" t="s">
        <v>2459</v>
      </c>
      <c r="AN109" s="1882" t="s">
        <v>9234</v>
      </c>
      <c r="AO109" s="1882" t="s">
        <v>9234</v>
      </c>
      <c r="AP109" s="1882" t="s">
        <v>9234</v>
      </c>
      <c r="AQ109" s="1882" t="s">
        <v>9234</v>
      </c>
      <c r="AR109" s="1882" t="s">
        <v>9234</v>
      </c>
      <c r="AS109" s="1882" t="s">
        <v>9235</v>
      </c>
      <c r="AT109" s="1882" t="s">
        <v>9235</v>
      </c>
      <c r="AU109" s="1882" t="s">
        <v>9235</v>
      </c>
      <c r="AV109" s="1882" t="s">
        <v>9235</v>
      </c>
      <c r="AW109" s="1882" t="s">
        <v>9235</v>
      </c>
      <c r="AX109" s="1882" t="s">
        <v>9236</v>
      </c>
      <c r="AY109" s="1882" t="s">
        <v>9236</v>
      </c>
      <c r="AZ109" s="1882" t="s">
        <v>9236</v>
      </c>
      <c r="BA109" s="1882" t="s">
        <v>9236</v>
      </c>
      <c r="BB109" s="1882" t="s">
        <v>9236</v>
      </c>
      <c r="BC109" s="1882" t="s">
        <v>9237</v>
      </c>
      <c r="BD109" s="1882" t="s">
        <v>9237</v>
      </c>
      <c r="BE109" s="1882" t="s">
        <v>9237</v>
      </c>
      <c r="BF109" s="1882" t="s">
        <v>9237</v>
      </c>
      <c r="BG109" s="1882" t="s">
        <v>9237</v>
      </c>
      <c r="BH109" s="1882">
        <v>1.7000000000000001E-2</v>
      </c>
      <c r="BI109" s="1882"/>
      <c r="BJ109" s="1882"/>
      <c r="BK109" s="1882"/>
      <c r="BL109" s="1882">
        <v>1.2999999999999999E-2</v>
      </c>
      <c r="BM109" s="1882"/>
      <c r="BN109" s="1882">
        <v>1</v>
      </c>
      <c r="BO109" s="1882" t="s">
        <v>8512</v>
      </c>
      <c r="BP109" s="520">
        <v>188</v>
      </c>
      <c r="BQ109" s="693">
        <v>219</v>
      </c>
      <c r="BR109" s="1882" t="s">
        <v>2459</v>
      </c>
      <c r="BS109" s="1882" t="s">
        <v>8513</v>
      </c>
      <c r="BT109" s="1882">
        <v>0</v>
      </c>
      <c r="BU109" s="1882" t="s">
        <v>8380</v>
      </c>
      <c r="BV109" s="1882">
        <v>0</v>
      </c>
      <c r="BW109" s="1882">
        <v>215</v>
      </c>
      <c r="BX109" s="1882" t="s">
        <v>2459</v>
      </c>
      <c r="BY109" s="1882">
        <v>0</v>
      </c>
      <c r="BZ109" s="1882">
        <v>0</v>
      </c>
      <c r="CA109" s="1882" t="s">
        <v>8380</v>
      </c>
      <c r="CB109" s="1882">
        <v>0</v>
      </c>
      <c r="CC109" s="1882">
        <v>199</v>
      </c>
      <c r="CD109" s="1882" t="s">
        <v>2459</v>
      </c>
      <c r="CE109" s="1882">
        <v>0</v>
      </c>
      <c r="CF109" s="1882">
        <v>0</v>
      </c>
      <c r="CG109" s="1882" t="s">
        <v>8380</v>
      </c>
      <c r="CH109" s="1882">
        <v>0</v>
      </c>
      <c r="CI109" s="1882">
        <v>246</v>
      </c>
      <c r="CJ109" s="1882" t="s">
        <v>2460</v>
      </c>
      <c r="CK109" s="1882">
        <v>0</v>
      </c>
      <c r="CL109" s="1882">
        <v>0</v>
      </c>
      <c r="CM109" s="1882" t="s">
        <v>8388</v>
      </c>
      <c r="CN109" s="1882">
        <v>0</v>
      </c>
      <c r="CP109" s="1882" t="s">
        <v>9238</v>
      </c>
    </row>
    <row r="110" spans="1:94">
      <c r="A110" s="1882" t="s">
        <v>8362</v>
      </c>
      <c r="B110" s="1882" t="s">
        <v>9239</v>
      </c>
      <c r="C110" s="1882" t="s">
        <v>8352</v>
      </c>
      <c r="D110" s="1882" t="s">
        <v>1627</v>
      </c>
      <c r="E110" s="1882" t="s">
        <v>8720</v>
      </c>
      <c r="F110" s="1882" t="s">
        <v>9198</v>
      </c>
      <c r="G110" s="1882" t="s">
        <v>9240</v>
      </c>
      <c r="H110" s="1882" t="s">
        <v>9241</v>
      </c>
      <c r="I110" s="1882" t="s">
        <v>9242</v>
      </c>
      <c r="J110" s="1882" t="s">
        <v>8508</v>
      </c>
      <c r="K110" s="1882" t="s">
        <v>8855</v>
      </c>
      <c r="L110" s="1882"/>
      <c r="M110" s="1882"/>
      <c r="N110" s="1882" t="s">
        <v>8724</v>
      </c>
      <c r="O110" s="1882" t="s">
        <v>764</v>
      </c>
      <c r="P110" s="1882" t="s">
        <v>9201</v>
      </c>
      <c r="Q110" s="520">
        <v>0</v>
      </c>
      <c r="R110" s="1882" t="s">
        <v>8511</v>
      </c>
      <c r="S110" s="1882">
        <v>2931</v>
      </c>
      <c r="T110" s="1882">
        <v>2931</v>
      </c>
      <c r="U110" s="1882">
        <v>2931</v>
      </c>
      <c r="V110" s="1882">
        <v>2931</v>
      </c>
      <c r="W110" s="1882">
        <v>2931</v>
      </c>
      <c r="X110" s="1882">
        <v>2931</v>
      </c>
      <c r="Y110" s="1882"/>
      <c r="Z110" s="1882"/>
      <c r="AA110" s="1882"/>
      <c r="AB110" s="1882"/>
      <c r="AC110" s="1882"/>
      <c r="AD110" s="1882"/>
      <c r="AE110" s="1882" t="s">
        <v>2459</v>
      </c>
      <c r="AF110" s="1882"/>
      <c r="AG110" s="1882"/>
      <c r="AH110" s="1882">
        <v>0</v>
      </c>
      <c r="AI110" s="1882" t="s">
        <v>2459</v>
      </c>
      <c r="AJ110" s="1882" t="s">
        <v>2459</v>
      </c>
      <c r="AK110" s="1882" t="s">
        <v>2459</v>
      </c>
      <c r="AL110" s="1882" t="s">
        <v>2459</v>
      </c>
      <c r="AM110" s="1882" t="s">
        <v>2459</v>
      </c>
      <c r="AN110" s="1882" t="s">
        <v>9243</v>
      </c>
      <c r="AO110" s="1882" t="s">
        <v>9243</v>
      </c>
      <c r="AP110" s="1882" t="s">
        <v>9243</v>
      </c>
      <c r="AQ110" s="1882" t="s">
        <v>9243</v>
      </c>
      <c r="AR110" s="1882" t="s">
        <v>9243</v>
      </c>
      <c r="AS110" s="1882" t="s">
        <v>9244</v>
      </c>
      <c r="AT110" s="1882" t="s">
        <v>9244</v>
      </c>
      <c r="AU110" s="1882" t="s">
        <v>9244</v>
      </c>
      <c r="AV110" s="1882" t="s">
        <v>9244</v>
      </c>
      <c r="AW110" s="1882" t="s">
        <v>9244</v>
      </c>
      <c r="AX110" s="1882" t="s">
        <v>9245</v>
      </c>
      <c r="AY110" s="1882" t="s">
        <v>9245</v>
      </c>
      <c r="AZ110" s="1882" t="s">
        <v>9245</v>
      </c>
      <c r="BA110" s="1882" t="s">
        <v>9245</v>
      </c>
      <c r="BB110" s="1882" t="s">
        <v>9245</v>
      </c>
      <c r="BC110" s="1882" t="s">
        <v>9246</v>
      </c>
      <c r="BD110" s="1882" t="s">
        <v>9246</v>
      </c>
      <c r="BE110" s="1882" t="s">
        <v>9246</v>
      </c>
      <c r="BF110" s="1882" t="s">
        <v>9246</v>
      </c>
      <c r="BG110" s="1882" t="s">
        <v>9246</v>
      </c>
      <c r="BH110" s="1882">
        <v>3.0000000000000001E-3</v>
      </c>
      <c r="BI110" s="1882"/>
      <c r="BJ110" s="1882"/>
      <c r="BK110" s="1882"/>
      <c r="BL110" s="1882">
        <v>2E-3</v>
      </c>
      <c r="BM110" s="1882"/>
      <c r="BN110" s="1882">
        <v>1</v>
      </c>
      <c r="BO110" s="1882" t="s">
        <v>8512</v>
      </c>
      <c r="BP110" s="520">
        <v>2479</v>
      </c>
      <c r="BQ110" s="693">
        <v>2506</v>
      </c>
      <c r="BR110" s="1882" t="s">
        <v>2459</v>
      </c>
      <c r="BS110" s="1882" t="s">
        <v>8513</v>
      </c>
      <c r="BT110" s="1882">
        <v>0</v>
      </c>
      <c r="BU110" s="1882" t="s">
        <v>8380</v>
      </c>
      <c r="BV110" s="1882">
        <v>0</v>
      </c>
      <c r="BW110" s="1882">
        <v>2730</v>
      </c>
      <c r="BX110" s="1882" t="s">
        <v>2459</v>
      </c>
      <c r="BY110" s="1882">
        <v>0</v>
      </c>
      <c r="BZ110" s="1882">
        <v>0</v>
      </c>
      <c r="CA110" s="1882" t="s">
        <v>8380</v>
      </c>
      <c r="CB110" s="1882">
        <v>0</v>
      </c>
      <c r="CC110" s="1882">
        <v>2726</v>
      </c>
      <c r="CD110" s="1882" t="s">
        <v>2459</v>
      </c>
      <c r="CE110" s="1882">
        <v>0</v>
      </c>
      <c r="CF110" s="1882">
        <v>0</v>
      </c>
      <c r="CG110" s="1882" t="s">
        <v>8380</v>
      </c>
      <c r="CH110" s="1882">
        <v>0</v>
      </c>
      <c r="CI110" s="1882">
        <v>2967</v>
      </c>
      <c r="CJ110" s="1882" t="s">
        <v>2460</v>
      </c>
      <c r="CK110" s="1882">
        <v>0</v>
      </c>
      <c r="CL110" s="1882">
        <v>0</v>
      </c>
      <c r="CM110" s="1882" t="s">
        <v>8388</v>
      </c>
      <c r="CN110" s="1882">
        <v>0</v>
      </c>
      <c r="CP110" s="1882" t="s">
        <v>9247</v>
      </c>
    </row>
    <row r="111" spans="1:94">
      <c r="A111" s="1882" t="s">
        <v>8362</v>
      </c>
      <c r="B111" s="1882" t="s">
        <v>9248</v>
      </c>
      <c r="C111" s="1882" t="s">
        <v>8352</v>
      </c>
      <c r="D111" s="1882" t="s">
        <v>1627</v>
      </c>
      <c r="E111" s="1882" t="s">
        <v>8720</v>
      </c>
      <c r="F111" s="1882" t="s">
        <v>9198</v>
      </c>
      <c r="G111" s="1882" t="s">
        <v>9249</v>
      </c>
      <c r="H111" s="1882" t="s">
        <v>9250</v>
      </c>
      <c r="I111" s="1882" t="s">
        <v>9251</v>
      </c>
      <c r="J111" s="1882" t="s">
        <v>8539</v>
      </c>
      <c r="K111" s="1882"/>
      <c r="L111" s="1882"/>
      <c r="M111" s="1882"/>
      <c r="N111" s="1882" t="s">
        <v>8724</v>
      </c>
      <c r="O111" s="1882" t="s">
        <v>764</v>
      </c>
      <c r="P111" s="1882" t="s">
        <v>9252</v>
      </c>
      <c r="Q111" s="520">
        <v>0</v>
      </c>
      <c r="R111" s="1882" t="s">
        <v>8511</v>
      </c>
      <c r="S111" s="1882">
        <v>84</v>
      </c>
      <c r="T111" s="1882">
        <v>84</v>
      </c>
      <c r="U111" s="1882">
        <v>84</v>
      </c>
      <c r="V111" s="1882">
        <v>84</v>
      </c>
      <c r="W111" s="1882">
        <v>84</v>
      </c>
      <c r="X111" s="1882">
        <v>84</v>
      </c>
      <c r="Y111" s="1882"/>
      <c r="Z111" s="1882"/>
      <c r="AA111" s="1882"/>
      <c r="AB111" s="1882"/>
      <c r="AC111" s="1882"/>
      <c r="AD111" s="1882"/>
      <c r="AE111" s="1882" t="s">
        <v>2459</v>
      </c>
      <c r="AF111" s="1882"/>
      <c r="AG111" s="1882"/>
      <c r="AH111" s="1882">
        <v>0</v>
      </c>
      <c r="AI111" s="1882"/>
      <c r="AJ111" s="1882"/>
      <c r="AK111" s="1882"/>
      <c r="AL111" s="1882"/>
      <c r="AM111" s="1882"/>
      <c r="AN111" s="1882"/>
      <c r="AO111" s="1882"/>
      <c r="AP111" s="1882"/>
      <c r="AQ111" s="1882"/>
      <c r="AR111" s="1882"/>
      <c r="AS111" s="1882"/>
      <c r="AT111" s="1882"/>
      <c r="AU111" s="1882"/>
      <c r="AV111" s="1882"/>
      <c r="AW111" s="1882"/>
      <c r="AX111" s="1882"/>
      <c r="AY111" s="1882"/>
      <c r="AZ111" s="1882"/>
      <c r="BA111" s="1882"/>
      <c r="BB111" s="1882"/>
      <c r="BC111" s="1882"/>
      <c r="BD111" s="1882"/>
      <c r="BE111" s="1882"/>
      <c r="BF111" s="1882"/>
      <c r="BG111" s="1882"/>
      <c r="BH111" s="1882"/>
      <c r="BI111" s="1882"/>
      <c r="BJ111" s="1882"/>
      <c r="BK111" s="1882"/>
      <c r="BL111" s="1882"/>
      <c r="BM111" s="1882"/>
      <c r="BN111" s="1882"/>
      <c r="BO111" s="1882"/>
      <c r="BP111" s="520">
        <v>74</v>
      </c>
      <c r="BQ111" s="693">
        <v>58</v>
      </c>
      <c r="BR111" s="1882" t="s">
        <v>2459</v>
      </c>
      <c r="BS111" s="1882" t="s">
        <v>8513</v>
      </c>
      <c r="BT111" s="1882">
        <v>0</v>
      </c>
      <c r="BU111" s="1882" t="s">
        <v>8513</v>
      </c>
      <c r="BV111" s="1882">
        <v>0</v>
      </c>
      <c r="BW111" s="1882">
        <v>72</v>
      </c>
      <c r="BX111" s="1882" t="s">
        <v>2459</v>
      </c>
      <c r="BY111" s="1882">
        <v>0</v>
      </c>
      <c r="BZ111" s="1882">
        <v>0</v>
      </c>
      <c r="CA111" s="1882">
        <v>0</v>
      </c>
      <c r="CB111" s="1882">
        <v>0</v>
      </c>
      <c r="CC111" s="1882">
        <v>51</v>
      </c>
      <c r="CD111" s="1882" t="s">
        <v>2459</v>
      </c>
      <c r="CE111" s="1882">
        <v>0</v>
      </c>
      <c r="CF111" s="1882">
        <v>0</v>
      </c>
      <c r="CG111" s="1882" t="s">
        <v>8513</v>
      </c>
      <c r="CH111" s="1882">
        <v>0</v>
      </c>
      <c r="CI111" s="1882">
        <v>59</v>
      </c>
      <c r="CJ111" s="1882" t="s">
        <v>2459</v>
      </c>
      <c r="CK111" s="1882">
        <v>0</v>
      </c>
      <c r="CL111" s="1882">
        <v>0</v>
      </c>
      <c r="CM111" s="1882">
        <v>0</v>
      </c>
      <c r="CN111" s="1882">
        <v>0</v>
      </c>
      <c r="CP111" s="1882" t="s">
        <v>9253</v>
      </c>
    </row>
    <row r="112" spans="1:94">
      <c r="A112" s="1882" t="s">
        <v>8362</v>
      </c>
      <c r="B112" s="1882" t="s">
        <v>9254</v>
      </c>
      <c r="C112" s="1882" t="s">
        <v>8352</v>
      </c>
      <c r="D112" s="1882" t="s">
        <v>1627</v>
      </c>
      <c r="E112" s="1882" t="s">
        <v>8720</v>
      </c>
      <c r="F112" s="1882" t="s">
        <v>9255</v>
      </c>
      <c r="G112" s="1882" t="s">
        <v>8746</v>
      </c>
      <c r="H112" s="1882" t="s">
        <v>9256</v>
      </c>
      <c r="I112" s="1882" t="s">
        <v>9257</v>
      </c>
      <c r="J112" s="1882" t="s">
        <v>8519</v>
      </c>
      <c r="K112" s="1882" t="s">
        <v>8855</v>
      </c>
      <c r="L112" s="1882"/>
      <c r="M112" s="1882" t="s">
        <v>2460</v>
      </c>
      <c r="N112" s="1882" t="s">
        <v>8673</v>
      </c>
      <c r="O112" s="1882" t="s">
        <v>764</v>
      </c>
      <c r="P112" s="1882" t="s">
        <v>9258</v>
      </c>
      <c r="Q112" s="520">
        <v>2</v>
      </c>
      <c r="R112" s="1882" t="s">
        <v>8511</v>
      </c>
      <c r="S112" s="1882">
        <v>0</v>
      </c>
      <c r="T112" s="1882">
        <v>0</v>
      </c>
      <c r="U112" s="1882">
        <v>0</v>
      </c>
      <c r="V112" s="1882">
        <v>0</v>
      </c>
      <c r="W112" s="1882">
        <v>0</v>
      </c>
      <c r="X112" s="1882">
        <v>0</v>
      </c>
      <c r="Y112" s="1882"/>
      <c r="Z112" s="1882"/>
      <c r="AA112" s="1882"/>
      <c r="AB112" s="1882"/>
      <c r="AC112" s="1882"/>
      <c r="AD112" s="1882"/>
      <c r="AE112" s="1882" t="s">
        <v>2459</v>
      </c>
      <c r="AF112" s="1882"/>
      <c r="AG112" s="1882"/>
      <c r="AH112" s="1882">
        <v>0</v>
      </c>
      <c r="AI112" s="1882"/>
      <c r="AJ112" s="1882"/>
      <c r="AK112" s="1882" t="s">
        <v>2459</v>
      </c>
      <c r="AL112" s="1882" t="s">
        <v>2459</v>
      </c>
      <c r="AM112" s="1882" t="s">
        <v>2459</v>
      </c>
      <c r="AN112" s="1882" t="s">
        <v>9259</v>
      </c>
      <c r="AO112" s="1882" t="s">
        <v>9259</v>
      </c>
      <c r="AP112" s="1882" t="s">
        <v>9259</v>
      </c>
      <c r="AQ112" s="1882" t="s">
        <v>9259</v>
      </c>
      <c r="AR112" s="1882" t="s">
        <v>9259</v>
      </c>
      <c r="AS112" s="1882" t="s">
        <v>9260</v>
      </c>
      <c r="AT112" s="1882" t="s">
        <v>9260</v>
      </c>
      <c r="AU112" s="1882" t="s">
        <v>9260</v>
      </c>
      <c r="AV112" s="1882" t="s">
        <v>9260</v>
      </c>
      <c r="AW112" s="1882" t="s">
        <v>9260</v>
      </c>
      <c r="AX112" s="1882"/>
      <c r="AY112" s="1882"/>
      <c r="AZ112" s="1882"/>
      <c r="BA112" s="1882"/>
      <c r="BB112" s="1882"/>
      <c r="BC112" s="1882"/>
      <c r="BD112" s="1882"/>
      <c r="BE112" s="1882"/>
      <c r="BF112" s="1882"/>
      <c r="BG112" s="1882"/>
      <c r="BH112" s="1882">
        <v>2.2286250000000001</v>
      </c>
      <c r="BI112" s="1882">
        <v>2.2286250000000001</v>
      </c>
      <c r="BJ112" s="1882"/>
      <c r="BK112" s="1882"/>
      <c r="BL112" s="1882"/>
      <c r="BM112" s="1882"/>
      <c r="BN112" s="1882">
        <v>1</v>
      </c>
      <c r="BO112" s="1882" t="s">
        <v>8512</v>
      </c>
      <c r="BP112" s="520">
        <v>1</v>
      </c>
      <c r="BQ112" s="693">
        <v>1</v>
      </c>
      <c r="BR112" s="1882" t="s">
        <v>8513</v>
      </c>
      <c r="BS112" s="1882" t="s">
        <v>8513</v>
      </c>
      <c r="BT112" s="1882">
        <v>0</v>
      </c>
      <c r="BU112" s="1882" t="s">
        <v>8513</v>
      </c>
      <c r="BV112" s="1882">
        <v>0</v>
      </c>
      <c r="BW112" s="1882">
        <v>0.67</v>
      </c>
      <c r="BX112" s="1882" t="s">
        <v>2451</v>
      </c>
      <c r="BY112" s="1882">
        <v>0</v>
      </c>
      <c r="BZ112" s="1882">
        <v>0</v>
      </c>
      <c r="CA112" s="1882">
        <v>0</v>
      </c>
      <c r="CB112" s="1882">
        <v>0</v>
      </c>
      <c r="CC112" s="1882">
        <v>1.33</v>
      </c>
      <c r="CD112" s="1882" t="s">
        <v>2460</v>
      </c>
      <c r="CE112" s="1882">
        <v>0</v>
      </c>
      <c r="CF112" s="1882">
        <v>0</v>
      </c>
      <c r="CG112" s="1882" t="s">
        <v>8388</v>
      </c>
      <c r="CH112" s="1882">
        <v>0</v>
      </c>
      <c r="CI112" s="1882">
        <v>1</v>
      </c>
      <c r="CJ112" s="1882" t="s">
        <v>2460</v>
      </c>
      <c r="CK112" s="1882">
        <v>0</v>
      </c>
      <c r="CL112" s="1882">
        <v>0</v>
      </c>
      <c r="CM112" s="1882" t="s">
        <v>8388</v>
      </c>
      <c r="CN112" s="1882">
        <v>0</v>
      </c>
      <c r="CP112" s="1882" t="s">
        <v>9261</v>
      </c>
    </row>
    <row r="113" spans="1:94">
      <c r="A113" s="1882" t="s">
        <v>8362</v>
      </c>
      <c r="B113" s="1882" t="s">
        <v>9262</v>
      </c>
      <c r="C113" s="1882" t="s">
        <v>8352</v>
      </c>
      <c r="D113" s="1882" t="s">
        <v>1627</v>
      </c>
      <c r="E113" s="1882" t="s">
        <v>8720</v>
      </c>
      <c r="F113" s="1882" t="s">
        <v>9255</v>
      </c>
      <c r="G113" s="1882" t="s">
        <v>8752</v>
      </c>
      <c r="H113" s="1882" t="s">
        <v>9263</v>
      </c>
      <c r="I113" s="1882" t="s">
        <v>9264</v>
      </c>
      <c r="J113" s="1882" t="s">
        <v>8508</v>
      </c>
      <c r="K113" s="1882" t="s">
        <v>8855</v>
      </c>
      <c r="L113" s="1882"/>
      <c r="M113" s="1882" t="s">
        <v>2460</v>
      </c>
      <c r="N113" s="1882" t="s">
        <v>8760</v>
      </c>
      <c r="O113" s="1882" t="s">
        <v>764</v>
      </c>
      <c r="P113" s="1882" t="s">
        <v>8761</v>
      </c>
      <c r="Q113" s="520">
        <v>0</v>
      </c>
      <c r="R113" s="1882" t="s">
        <v>8511</v>
      </c>
      <c r="S113" s="1882">
        <v>115</v>
      </c>
      <c r="T113" s="1882">
        <v>115</v>
      </c>
      <c r="U113" s="1882">
        <v>115</v>
      </c>
      <c r="V113" s="1882">
        <v>115</v>
      </c>
      <c r="W113" s="1882">
        <v>115</v>
      </c>
      <c r="X113" s="1882">
        <v>115</v>
      </c>
      <c r="Y113" s="1882"/>
      <c r="Z113" s="1882"/>
      <c r="AA113" s="1882"/>
      <c r="AB113" s="1882" t="s">
        <v>2459</v>
      </c>
      <c r="AC113" s="1882"/>
      <c r="AD113" s="1882"/>
      <c r="AE113" s="1882" t="s">
        <v>2459</v>
      </c>
      <c r="AF113" s="1882"/>
      <c r="AG113" s="1882"/>
      <c r="AH113" s="1882">
        <v>0</v>
      </c>
      <c r="AI113" s="1882"/>
      <c r="AJ113" s="1882"/>
      <c r="AK113" s="1882" t="s">
        <v>2459</v>
      </c>
      <c r="AL113" s="1882" t="s">
        <v>2459</v>
      </c>
      <c r="AM113" s="1882" t="s">
        <v>2459</v>
      </c>
      <c r="AN113" s="1882" t="s">
        <v>9265</v>
      </c>
      <c r="AO113" s="1882" t="s">
        <v>9265</v>
      </c>
      <c r="AP113" s="1882" t="s">
        <v>9266</v>
      </c>
      <c r="AQ113" s="1882" t="s">
        <v>9267</v>
      </c>
      <c r="AR113" s="1882" t="s">
        <v>9140</v>
      </c>
      <c r="AS113" s="1882" t="s">
        <v>9268</v>
      </c>
      <c r="AT113" s="1882" t="s">
        <v>9268</v>
      </c>
      <c r="AU113" s="1882" t="s">
        <v>9269</v>
      </c>
      <c r="AV113" s="1882" t="s">
        <v>9270</v>
      </c>
      <c r="AW113" s="1882" t="s">
        <v>9271</v>
      </c>
      <c r="AX113" s="1882" t="s">
        <v>9272</v>
      </c>
      <c r="AY113" s="1882" t="s">
        <v>9272</v>
      </c>
      <c r="AZ113" s="1882" t="s">
        <v>9272</v>
      </c>
      <c r="BA113" s="1882" t="s">
        <v>9272</v>
      </c>
      <c r="BB113" s="1882" t="s">
        <v>9272</v>
      </c>
      <c r="BC113" s="1882" t="s">
        <v>9273</v>
      </c>
      <c r="BD113" s="1882" t="s">
        <v>9273</v>
      </c>
      <c r="BE113" s="1882" t="s">
        <v>9273</v>
      </c>
      <c r="BF113" s="1882" t="s">
        <v>9273</v>
      </c>
      <c r="BG113" s="1882" t="s">
        <v>9273</v>
      </c>
      <c r="BH113" s="1882">
        <v>2.2286250000000001</v>
      </c>
      <c r="BI113" s="1882">
        <v>2.2286250000000001</v>
      </c>
      <c r="BJ113" s="1882"/>
      <c r="BK113" s="1882"/>
      <c r="BL113" s="1882">
        <v>1.6E-2</v>
      </c>
      <c r="BM113" s="1882"/>
      <c r="BN113" s="1882">
        <v>1</v>
      </c>
      <c r="BO113" s="1882" t="s">
        <v>8512</v>
      </c>
      <c r="BP113" s="520">
        <v>136</v>
      </c>
      <c r="BQ113" s="693">
        <v>124</v>
      </c>
      <c r="BR113" s="1882" t="s">
        <v>8513</v>
      </c>
      <c r="BS113" s="1882" t="s">
        <v>8513</v>
      </c>
      <c r="BT113" s="1882">
        <v>0</v>
      </c>
      <c r="BU113" s="1882" t="s">
        <v>8513</v>
      </c>
      <c r="BV113" s="1882">
        <v>0</v>
      </c>
      <c r="BW113" s="1882">
        <v>115</v>
      </c>
      <c r="BX113" s="1882" t="s">
        <v>2451</v>
      </c>
      <c r="BY113" s="1882">
        <v>0</v>
      </c>
      <c r="BZ113" s="1882">
        <v>0</v>
      </c>
      <c r="CA113" s="1882">
        <v>0</v>
      </c>
      <c r="CB113" s="1882">
        <v>0</v>
      </c>
      <c r="CC113" s="1882">
        <v>105</v>
      </c>
      <c r="CD113" s="1882" t="s">
        <v>2459</v>
      </c>
      <c r="CE113" s="1882">
        <v>0</v>
      </c>
      <c r="CF113" s="1882">
        <v>0</v>
      </c>
      <c r="CG113" s="1882" t="s">
        <v>8380</v>
      </c>
      <c r="CH113" s="1882">
        <v>0</v>
      </c>
      <c r="CI113" s="1882">
        <v>73</v>
      </c>
      <c r="CJ113" s="1882" t="s">
        <v>2459</v>
      </c>
      <c r="CK113" s="1882">
        <v>0</v>
      </c>
      <c r="CL113" s="1882">
        <v>0</v>
      </c>
      <c r="CM113" s="1882" t="s">
        <v>8376</v>
      </c>
      <c r="CN113" s="1882">
        <v>6.4000000000000001E-2</v>
      </c>
      <c r="CP113" s="1882" t="s">
        <v>9274</v>
      </c>
    </row>
    <row r="114" spans="1:94">
      <c r="A114" s="1882" t="s">
        <v>8362</v>
      </c>
      <c r="B114" s="1882" t="s">
        <v>9275</v>
      </c>
      <c r="C114" s="1882" t="s">
        <v>8352</v>
      </c>
      <c r="D114" s="1882" t="s">
        <v>1627</v>
      </c>
      <c r="E114" s="1882" t="s">
        <v>8720</v>
      </c>
      <c r="F114" s="1882" t="s">
        <v>9255</v>
      </c>
      <c r="G114" s="1882" t="s">
        <v>8757</v>
      </c>
      <c r="H114" s="1882" t="s">
        <v>9276</v>
      </c>
      <c r="I114" s="1882" t="s">
        <v>9277</v>
      </c>
      <c r="J114" s="1882" t="s">
        <v>8519</v>
      </c>
      <c r="K114" s="1882" t="s">
        <v>8855</v>
      </c>
      <c r="L114" s="1882"/>
      <c r="M114" s="1882"/>
      <c r="N114" s="1882" t="s">
        <v>8673</v>
      </c>
      <c r="O114" s="1882" t="s">
        <v>764</v>
      </c>
      <c r="P114" s="1882" t="s">
        <v>9278</v>
      </c>
      <c r="Q114" s="520">
        <v>0</v>
      </c>
      <c r="R114" s="1882" t="s">
        <v>8549</v>
      </c>
      <c r="S114" s="1882">
        <v>32</v>
      </c>
      <c r="T114" s="1882">
        <v>32</v>
      </c>
      <c r="U114" s="1882">
        <v>32</v>
      </c>
      <c r="V114" s="1882">
        <v>32</v>
      </c>
      <c r="W114" s="1882">
        <v>34</v>
      </c>
      <c r="X114" s="1882">
        <v>34</v>
      </c>
      <c r="Y114" s="1882"/>
      <c r="Z114" s="1882"/>
      <c r="AA114" s="1882"/>
      <c r="AB114" s="1882"/>
      <c r="AC114" s="1882"/>
      <c r="AD114" s="1882"/>
      <c r="AE114" s="1882"/>
      <c r="AF114" s="1882" t="s">
        <v>2459</v>
      </c>
      <c r="AG114" s="1882"/>
      <c r="AH114" s="1882">
        <v>0</v>
      </c>
      <c r="AI114" s="1882" t="s">
        <v>2459</v>
      </c>
      <c r="AJ114" s="1882" t="s">
        <v>2459</v>
      </c>
      <c r="AK114" s="1882" t="s">
        <v>2459</v>
      </c>
      <c r="AL114" s="1882" t="s">
        <v>2459</v>
      </c>
      <c r="AM114" s="1882" t="s">
        <v>2459</v>
      </c>
      <c r="AN114" s="1882">
        <v>31</v>
      </c>
      <c r="AO114" s="1882">
        <v>31</v>
      </c>
      <c r="AP114" s="1882">
        <v>31</v>
      </c>
      <c r="AQ114" s="1882">
        <v>31</v>
      </c>
      <c r="AR114" s="1882">
        <v>31</v>
      </c>
      <c r="AS114" s="1882" t="s">
        <v>9279</v>
      </c>
      <c r="AT114" s="1882" t="s">
        <v>9279</v>
      </c>
      <c r="AU114" s="1882" t="s">
        <v>9279</v>
      </c>
      <c r="AV114" s="1882" t="s">
        <v>9280</v>
      </c>
      <c r="AW114" s="1882" t="s">
        <v>9281</v>
      </c>
      <c r="AX114" s="1882"/>
      <c r="AY114" s="1882"/>
      <c r="AZ114" s="1882"/>
      <c r="BA114" s="1882"/>
      <c r="BB114" s="1882"/>
      <c r="BC114" s="1882"/>
      <c r="BD114" s="1882"/>
      <c r="BE114" s="1882"/>
      <c r="BF114" s="1882"/>
      <c r="BG114" s="1882"/>
      <c r="BH114" s="1882">
        <v>0.113</v>
      </c>
      <c r="BI114" s="1882"/>
      <c r="BJ114" s="1882"/>
      <c r="BK114" s="1882"/>
      <c r="BL114" s="1882"/>
      <c r="BM114" s="1882"/>
      <c r="BN114" s="1882">
        <v>1</v>
      </c>
      <c r="BO114" s="1882" t="s">
        <v>8512</v>
      </c>
      <c r="BP114" s="520">
        <v>33</v>
      </c>
      <c r="BQ114" s="693">
        <v>33</v>
      </c>
      <c r="BR114" s="1882" t="s">
        <v>2459</v>
      </c>
      <c r="BS114" s="1882" t="s">
        <v>8513</v>
      </c>
      <c r="BT114" s="1882">
        <v>0</v>
      </c>
      <c r="BU114" s="1882" t="s">
        <v>8513</v>
      </c>
      <c r="BV114" s="1882">
        <v>0</v>
      </c>
      <c r="BW114" s="1882">
        <v>34</v>
      </c>
      <c r="BX114" s="1882" t="s">
        <v>2459</v>
      </c>
      <c r="BY114" s="1882">
        <v>0</v>
      </c>
      <c r="BZ114" s="1882">
        <v>0</v>
      </c>
      <c r="CA114" s="1882">
        <v>0</v>
      </c>
      <c r="CB114" s="1882">
        <v>0</v>
      </c>
      <c r="CC114" s="1882">
        <v>34</v>
      </c>
      <c r="CD114" s="1882" t="s">
        <v>2459</v>
      </c>
      <c r="CE114" s="1882">
        <v>0</v>
      </c>
      <c r="CF114" s="1882">
        <v>0</v>
      </c>
      <c r="CG114" s="1882">
        <v>0</v>
      </c>
      <c r="CH114" s="1882">
        <v>0</v>
      </c>
      <c r="CI114" s="1882">
        <v>33</v>
      </c>
      <c r="CJ114" s="1882" t="s">
        <v>2460</v>
      </c>
      <c r="CK114" s="1882">
        <v>0</v>
      </c>
      <c r="CL114" s="1882">
        <v>0</v>
      </c>
      <c r="CM114" s="1882" t="s">
        <v>8388</v>
      </c>
      <c r="CN114" s="1882">
        <v>0</v>
      </c>
      <c r="CP114" s="1882" t="s">
        <v>9282</v>
      </c>
    </row>
    <row r="115" spans="1:94">
      <c r="A115" s="1882" t="s">
        <v>8362</v>
      </c>
      <c r="B115" s="1882" t="s">
        <v>9283</v>
      </c>
      <c r="C115" s="1882" t="s">
        <v>8352</v>
      </c>
      <c r="D115" s="1882" t="s">
        <v>1627</v>
      </c>
      <c r="E115" s="1882" t="s">
        <v>8720</v>
      </c>
      <c r="F115" s="1882" t="s">
        <v>9255</v>
      </c>
      <c r="G115" s="1882" t="s">
        <v>8764</v>
      </c>
      <c r="H115" s="1882" t="s">
        <v>9284</v>
      </c>
      <c r="I115" s="1882" t="s">
        <v>9285</v>
      </c>
      <c r="J115" s="1882" t="s">
        <v>8519</v>
      </c>
      <c r="K115" s="1882" t="s">
        <v>8855</v>
      </c>
      <c r="L115" s="1882"/>
      <c r="M115" s="1882" t="s">
        <v>2460</v>
      </c>
      <c r="N115" s="1882" t="s">
        <v>8673</v>
      </c>
      <c r="O115" s="1882" t="s">
        <v>8797</v>
      </c>
      <c r="P115" s="1882" t="s">
        <v>9286</v>
      </c>
      <c r="Q115" s="520" t="s">
        <v>8512</v>
      </c>
      <c r="R115" s="1882"/>
      <c r="S115" s="1882" t="s">
        <v>9287</v>
      </c>
      <c r="T115" s="1882" t="s">
        <v>9287</v>
      </c>
      <c r="U115" s="1882" t="s">
        <v>9287</v>
      </c>
      <c r="V115" s="1882" t="s">
        <v>9288</v>
      </c>
      <c r="W115" s="1882" t="s">
        <v>9288</v>
      </c>
      <c r="X115" s="1882" t="s">
        <v>9288</v>
      </c>
      <c r="Y115" s="1882"/>
      <c r="Z115" s="1882"/>
      <c r="AA115" s="1882"/>
      <c r="AB115" s="1882"/>
      <c r="AC115" s="1882"/>
      <c r="AD115" s="1882" t="s">
        <v>2459</v>
      </c>
      <c r="AE115" s="1882"/>
      <c r="AF115" s="1882" t="s">
        <v>2459</v>
      </c>
      <c r="AG115" s="1882"/>
      <c r="AH115" s="1882">
        <v>0</v>
      </c>
      <c r="AI115" s="1882"/>
      <c r="AJ115" s="1882"/>
      <c r="AK115" s="1882"/>
      <c r="AL115" s="1882" t="s">
        <v>2459</v>
      </c>
      <c r="AM115" s="1882" t="s">
        <v>2459</v>
      </c>
      <c r="AN115" s="1882" t="s">
        <v>9287</v>
      </c>
      <c r="AO115" s="1882" t="s">
        <v>9287</v>
      </c>
      <c r="AP115" s="1882" t="s">
        <v>9287</v>
      </c>
      <c r="AQ115" s="1882" t="s">
        <v>9287</v>
      </c>
      <c r="AR115" s="1882" t="s">
        <v>9287</v>
      </c>
      <c r="AS115" s="1882" t="s">
        <v>9287</v>
      </c>
      <c r="AT115" s="1882" t="s">
        <v>9287</v>
      </c>
      <c r="AU115" s="1882" t="s">
        <v>9287</v>
      </c>
      <c r="AV115" s="1882" t="s">
        <v>9287</v>
      </c>
      <c r="AW115" s="1882" t="s">
        <v>9287</v>
      </c>
      <c r="AX115" s="1882"/>
      <c r="AY115" s="1882"/>
      <c r="AZ115" s="1882"/>
      <c r="BA115" s="1882"/>
      <c r="BB115" s="1882"/>
      <c r="BC115" s="1882"/>
      <c r="BD115" s="1882"/>
      <c r="BE115" s="1882"/>
      <c r="BF115" s="1882"/>
      <c r="BG115" s="1882"/>
      <c r="BH115" s="1882">
        <v>0.2</v>
      </c>
      <c r="BI115" s="1882">
        <v>4</v>
      </c>
      <c r="BJ115" s="1882"/>
      <c r="BK115" s="1882"/>
      <c r="BL115" s="1882"/>
      <c r="BM115" s="1882"/>
      <c r="BN115" s="1882">
        <v>1</v>
      </c>
      <c r="BO115" s="1882" t="s">
        <v>8512</v>
      </c>
      <c r="BP115" s="520" t="s">
        <v>3514</v>
      </c>
      <c r="BQ115" s="692" t="s">
        <v>3514</v>
      </c>
      <c r="BR115" s="1882" t="s">
        <v>8513</v>
      </c>
      <c r="BS115" s="1882" t="s">
        <v>8513</v>
      </c>
      <c r="BT115" s="1882">
        <v>0</v>
      </c>
      <c r="BU115" s="1882" t="s">
        <v>8513</v>
      </c>
      <c r="BV115" s="1882">
        <v>0</v>
      </c>
      <c r="BW115" s="1882" t="s">
        <v>3514</v>
      </c>
      <c r="BX115" s="1882" t="s">
        <v>2451</v>
      </c>
      <c r="BY115" s="1882">
        <v>0</v>
      </c>
      <c r="BZ115" s="1882">
        <v>0</v>
      </c>
      <c r="CA115" s="1882">
        <v>0</v>
      </c>
      <c r="CB115" s="1882">
        <v>0</v>
      </c>
      <c r="CC115" s="1882" t="s">
        <v>9289</v>
      </c>
      <c r="CD115" s="1882" t="s">
        <v>2459</v>
      </c>
      <c r="CE115" s="1882">
        <v>0</v>
      </c>
      <c r="CF115" s="1882">
        <v>0</v>
      </c>
      <c r="CG115" s="1882">
        <v>0</v>
      </c>
      <c r="CH115" s="1882">
        <v>0</v>
      </c>
      <c r="CI115" s="1882" t="s">
        <v>3514</v>
      </c>
      <c r="CJ115" s="1882" t="s">
        <v>2451</v>
      </c>
      <c r="CK115" s="1882">
        <v>0</v>
      </c>
      <c r="CL115" s="1882">
        <v>0</v>
      </c>
      <c r="CM115" s="1882">
        <v>0</v>
      </c>
      <c r="CN115" s="1882">
        <v>0</v>
      </c>
      <c r="CP115" s="1882" t="s">
        <v>9290</v>
      </c>
    </row>
    <row r="116" spans="1:94">
      <c r="A116" s="1882" t="s">
        <v>8362</v>
      </c>
      <c r="B116" s="1882" t="s">
        <v>9291</v>
      </c>
      <c r="C116" s="1882" t="s">
        <v>8352</v>
      </c>
      <c r="D116" s="1882" t="s">
        <v>1627</v>
      </c>
      <c r="E116" s="1882" t="s">
        <v>8720</v>
      </c>
      <c r="F116" s="1882" t="s">
        <v>9156</v>
      </c>
      <c r="G116" s="1882" t="s">
        <v>8769</v>
      </c>
      <c r="H116" s="1882" t="s">
        <v>9292</v>
      </c>
      <c r="I116" s="1882" t="s">
        <v>9293</v>
      </c>
      <c r="J116" s="1882" t="s">
        <v>8539</v>
      </c>
      <c r="K116" s="1882"/>
      <c r="L116" s="1882"/>
      <c r="M116" s="1882"/>
      <c r="N116" s="1882" t="s">
        <v>8695</v>
      </c>
      <c r="O116" s="1882" t="s">
        <v>8591</v>
      </c>
      <c r="P116" s="1882" t="s">
        <v>9294</v>
      </c>
      <c r="Q116" s="520">
        <v>1</v>
      </c>
      <c r="R116" s="1882" t="s">
        <v>8549</v>
      </c>
      <c r="S116" s="1882">
        <v>8.1999999999999993</v>
      </c>
      <c r="T116" s="1882">
        <v>8.1999999999999993</v>
      </c>
      <c r="U116" s="1882">
        <v>8.1999999999999993</v>
      </c>
      <c r="V116" s="1882">
        <v>8.1999999999999993</v>
      </c>
      <c r="W116" s="1882">
        <v>8.1999999999999993</v>
      </c>
      <c r="X116" s="1882">
        <v>8.1999999999999993</v>
      </c>
      <c r="Y116" s="1882"/>
      <c r="Z116" s="1882"/>
      <c r="AA116" s="1882"/>
      <c r="AB116" s="1882"/>
      <c r="AC116" s="1882"/>
      <c r="AD116" s="1882"/>
      <c r="AE116" s="1882"/>
      <c r="AF116" s="1882"/>
      <c r="AG116" s="1882"/>
      <c r="AH116" s="1882">
        <v>0</v>
      </c>
      <c r="AI116" s="1882"/>
      <c r="AJ116" s="1882"/>
      <c r="AK116" s="1882"/>
      <c r="AL116" s="1882"/>
      <c r="AM116" s="1882"/>
      <c r="AN116" s="1882"/>
      <c r="AO116" s="1882"/>
      <c r="AP116" s="1882"/>
      <c r="AQ116" s="1882"/>
      <c r="AR116" s="1882"/>
      <c r="AS116" s="1882"/>
      <c r="AT116" s="1882"/>
      <c r="AU116" s="1882"/>
      <c r="AV116" s="1882"/>
      <c r="AW116" s="1882"/>
      <c r="AX116" s="1882"/>
      <c r="AY116" s="1882"/>
      <c r="AZ116" s="1882"/>
      <c r="BA116" s="1882"/>
      <c r="BB116" s="1882"/>
      <c r="BC116" s="1882"/>
      <c r="BD116" s="1882"/>
      <c r="BE116" s="1882"/>
      <c r="BF116" s="1882"/>
      <c r="BG116" s="1882"/>
      <c r="BH116" s="1882"/>
      <c r="BI116" s="1882"/>
      <c r="BJ116" s="1882"/>
      <c r="BK116" s="1882"/>
      <c r="BL116" s="1882"/>
      <c r="BM116" s="1882"/>
      <c r="BN116" s="1882"/>
      <c r="BO116" s="1882"/>
      <c r="BP116" s="520">
        <v>8.3000000000000007</v>
      </c>
      <c r="BQ116" s="690">
        <v>8.5</v>
      </c>
      <c r="BR116" s="1882" t="s">
        <v>2459</v>
      </c>
      <c r="BS116" s="1882" t="s">
        <v>8513</v>
      </c>
      <c r="BT116" s="1882">
        <v>0</v>
      </c>
      <c r="BU116" s="1882" t="s">
        <v>8513</v>
      </c>
      <c r="BV116" s="1882">
        <v>0</v>
      </c>
      <c r="BW116" s="1882">
        <v>8.5</v>
      </c>
      <c r="BX116" s="1882" t="s">
        <v>2459</v>
      </c>
      <c r="BY116" s="1882">
        <v>0</v>
      </c>
      <c r="BZ116" s="1882">
        <v>0</v>
      </c>
      <c r="CA116" s="1882">
        <v>0</v>
      </c>
      <c r="CB116" s="1882">
        <v>0</v>
      </c>
      <c r="CC116" s="1882">
        <v>8.6999999999999993</v>
      </c>
      <c r="CD116" s="1882" t="s">
        <v>2459</v>
      </c>
      <c r="CE116" s="1882">
        <v>0</v>
      </c>
      <c r="CF116" s="1882">
        <v>0</v>
      </c>
      <c r="CG116" s="1882">
        <v>0</v>
      </c>
      <c r="CH116" s="1882">
        <v>0</v>
      </c>
      <c r="CI116" s="1882">
        <v>8.6999999999999993</v>
      </c>
      <c r="CJ116" s="1882" t="s">
        <v>2459</v>
      </c>
      <c r="CK116" s="1882">
        <v>0</v>
      </c>
      <c r="CL116" s="1882">
        <v>0</v>
      </c>
      <c r="CM116" s="1882">
        <v>0</v>
      </c>
      <c r="CN116" s="1882">
        <v>0</v>
      </c>
      <c r="CP116" s="1882" t="s">
        <v>9295</v>
      </c>
    </row>
    <row r="117" spans="1:94">
      <c r="A117" s="1882" t="s">
        <v>8362</v>
      </c>
      <c r="B117" s="1882" t="s">
        <v>9296</v>
      </c>
      <c r="C117" s="1882" t="s">
        <v>8352</v>
      </c>
      <c r="D117" s="1882" t="s">
        <v>1627</v>
      </c>
      <c r="E117" s="1882" t="s">
        <v>8720</v>
      </c>
      <c r="F117" s="1882" t="s">
        <v>9156</v>
      </c>
      <c r="G117" s="1882" t="s">
        <v>8774</v>
      </c>
      <c r="H117" s="1882" t="s">
        <v>9297</v>
      </c>
      <c r="I117" s="1882" t="s">
        <v>9298</v>
      </c>
      <c r="J117" s="1882" t="s">
        <v>8508</v>
      </c>
      <c r="K117" s="1882" t="s">
        <v>8509</v>
      </c>
      <c r="L117" s="1882"/>
      <c r="M117" s="1882" t="s">
        <v>2460</v>
      </c>
      <c r="N117" s="1882" t="s">
        <v>8590</v>
      </c>
      <c r="O117" s="1882" t="s">
        <v>8591</v>
      </c>
      <c r="P117" s="1882" t="s">
        <v>8592</v>
      </c>
      <c r="Q117" s="520">
        <v>1</v>
      </c>
      <c r="R117" s="1882" t="s">
        <v>8549</v>
      </c>
      <c r="S117" s="1882">
        <v>89.4</v>
      </c>
      <c r="T117" s="1882">
        <v>90</v>
      </c>
      <c r="U117" s="1882">
        <v>90</v>
      </c>
      <c r="V117" s="1882">
        <v>90</v>
      </c>
      <c r="W117" s="1882">
        <v>90</v>
      </c>
      <c r="X117" s="1882">
        <v>90</v>
      </c>
      <c r="Y117" s="1882"/>
      <c r="Z117" s="1882"/>
      <c r="AA117" s="1882"/>
      <c r="AB117" s="1882"/>
      <c r="AC117" s="1882"/>
      <c r="AD117" s="1882"/>
      <c r="AE117" s="1882"/>
      <c r="AF117" s="1882"/>
      <c r="AG117" s="1882"/>
      <c r="AH117" s="1882">
        <v>0</v>
      </c>
      <c r="AI117" s="1882" t="s">
        <v>2459</v>
      </c>
      <c r="AJ117" s="1882" t="s">
        <v>2459</v>
      </c>
      <c r="AK117" s="1882" t="s">
        <v>2459</v>
      </c>
      <c r="AL117" s="1882" t="s">
        <v>2459</v>
      </c>
      <c r="AM117" s="1882" t="s">
        <v>2459</v>
      </c>
      <c r="AN117" s="1882" t="s">
        <v>8593</v>
      </c>
      <c r="AO117" s="1882" t="s">
        <v>8593</v>
      </c>
      <c r="AP117" s="1882" t="s">
        <v>8593</v>
      </c>
      <c r="AQ117" s="1882" t="s">
        <v>8593</v>
      </c>
      <c r="AR117" s="1882" t="s">
        <v>8593</v>
      </c>
      <c r="AS117" s="1882" t="s">
        <v>8593</v>
      </c>
      <c r="AT117" s="1882" t="s">
        <v>8593</v>
      </c>
      <c r="AU117" s="1882" t="s">
        <v>8593</v>
      </c>
      <c r="AV117" s="1882" t="s">
        <v>8593</v>
      </c>
      <c r="AW117" s="1882" t="s">
        <v>8593</v>
      </c>
      <c r="AX117" s="1882" t="s">
        <v>8593</v>
      </c>
      <c r="AY117" s="1882" t="s">
        <v>8593</v>
      </c>
      <c r="AZ117" s="1882" t="s">
        <v>8593</v>
      </c>
      <c r="BA117" s="1882" t="s">
        <v>8593</v>
      </c>
      <c r="BB117" s="1882" t="s">
        <v>8593</v>
      </c>
      <c r="BC117" s="1882" t="s">
        <v>8593</v>
      </c>
      <c r="BD117" s="1882" t="s">
        <v>8593</v>
      </c>
      <c r="BE117" s="1882" t="s">
        <v>8593</v>
      </c>
      <c r="BF117" s="1882" t="s">
        <v>8593</v>
      </c>
      <c r="BG117" s="1882" t="s">
        <v>8593</v>
      </c>
      <c r="BH117" s="1882" t="s">
        <v>8593</v>
      </c>
      <c r="BI117" s="1882"/>
      <c r="BJ117" s="1882"/>
      <c r="BK117" s="1882"/>
      <c r="BL117" s="1882" t="s">
        <v>8593</v>
      </c>
      <c r="BM117" s="1882"/>
      <c r="BN117" s="1882">
        <v>1</v>
      </c>
      <c r="BO117" s="1882" t="s">
        <v>8512</v>
      </c>
      <c r="BP117" s="520">
        <v>83.72</v>
      </c>
      <c r="BQ117" s="690">
        <v>83.64</v>
      </c>
      <c r="BR117" s="1882" t="s">
        <v>2460</v>
      </c>
      <c r="BS117" s="1882" t="s">
        <v>8513</v>
      </c>
      <c r="BT117" s="1882">
        <v>0</v>
      </c>
      <c r="BU117" s="1882" t="s">
        <v>8513</v>
      </c>
      <c r="BV117" s="1882">
        <v>0</v>
      </c>
      <c r="BW117" s="1882">
        <v>87.53</v>
      </c>
      <c r="BX117" s="1882" t="s">
        <v>2460</v>
      </c>
      <c r="BY117" s="1882">
        <v>0</v>
      </c>
      <c r="BZ117" s="1882">
        <v>0</v>
      </c>
      <c r="CA117" s="1882">
        <v>0</v>
      </c>
      <c r="CB117" s="1882">
        <v>0</v>
      </c>
      <c r="CC117" s="1882">
        <v>86.39</v>
      </c>
      <c r="CD117" s="1882" t="s">
        <v>2460</v>
      </c>
      <c r="CE117" s="1882">
        <v>0</v>
      </c>
      <c r="CF117" s="1882">
        <v>0</v>
      </c>
      <c r="CG117" s="1882">
        <v>0</v>
      </c>
      <c r="CH117" s="1882">
        <v>0</v>
      </c>
      <c r="CI117" s="1882">
        <v>85.9</v>
      </c>
      <c r="CJ117" s="1882" t="s">
        <v>2460</v>
      </c>
      <c r="CK117" s="1882">
        <v>0</v>
      </c>
      <c r="CL117" s="1882">
        <v>0</v>
      </c>
      <c r="CM117" s="1882">
        <v>0</v>
      </c>
      <c r="CN117" s="1882">
        <v>0</v>
      </c>
      <c r="CP117" s="1882" t="s">
        <v>9299</v>
      </c>
    </row>
    <row r="118" spans="1:94">
      <c r="A118" s="1882" t="s">
        <v>8362</v>
      </c>
      <c r="B118" s="1882" t="s">
        <v>9300</v>
      </c>
      <c r="C118" s="1882" t="s">
        <v>8352</v>
      </c>
      <c r="D118" s="1882" t="s">
        <v>1627</v>
      </c>
      <c r="E118" s="1882" t="s">
        <v>8720</v>
      </c>
      <c r="F118" s="1882" t="s">
        <v>9156</v>
      </c>
      <c r="G118" s="1882" t="s">
        <v>9301</v>
      </c>
      <c r="H118" s="1882" t="s">
        <v>9302</v>
      </c>
      <c r="I118" s="1882" t="s">
        <v>9303</v>
      </c>
      <c r="J118" s="1882" t="s">
        <v>8539</v>
      </c>
      <c r="K118" s="1882"/>
      <c r="L118" s="1882"/>
      <c r="M118" s="1882"/>
      <c r="N118" s="1882" t="s">
        <v>8695</v>
      </c>
      <c r="O118" s="1882" t="s">
        <v>732</v>
      </c>
      <c r="P118" s="1882" t="s">
        <v>8696</v>
      </c>
      <c r="Q118" s="520">
        <v>0</v>
      </c>
      <c r="R118" s="1882" t="s">
        <v>8549</v>
      </c>
      <c r="S118" s="1882">
        <v>32</v>
      </c>
      <c r="T118" s="1882">
        <v>32</v>
      </c>
      <c r="U118" s="1882">
        <v>32</v>
      </c>
      <c r="V118" s="1882">
        <v>32</v>
      </c>
      <c r="W118" s="1882">
        <v>32</v>
      </c>
      <c r="X118" s="1882">
        <v>32</v>
      </c>
      <c r="Y118" s="1882"/>
      <c r="Z118" s="1882"/>
      <c r="AA118" s="1882"/>
      <c r="AB118" s="1882"/>
      <c r="AC118" s="1882"/>
      <c r="AD118" s="1882"/>
      <c r="AE118" s="1882"/>
      <c r="AF118" s="1882"/>
      <c r="AG118" s="1882"/>
      <c r="AH118" s="1882">
        <v>0</v>
      </c>
      <c r="AI118" s="1882"/>
      <c r="AJ118" s="1882"/>
      <c r="AK118" s="1882"/>
      <c r="AL118" s="1882"/>
      <c r="AM118" s="1882"/>
      <c r="AN118" s="1882"/>
      <c r="AO118" s="1882"/>
      <c r="AP118" s="1882"/>
      <c r="AQ118" s="1882"/>
      <c r="AR118" s="1882"/>
      <c r="AS118" s="1882"/>
      <c r="AT118" s="1882"/>
      <c r="AU118" s="1882"/>
      <c r="AV118" s="1882"/>
      <c r="AW118" s="1882"/>
      <c r="AX118" s="1882"/>
      <c r="AY118" s="1882"/>
      <c r="AZ118" s="1882"/>
      <c r="BA118" s="1882"/>
      <c r="BB118" s="1882"/>
      <c r="BC118" s="1882"/>
      <c r="BD118" s="1882"/>
      <c r="BE118" s="1882"/>
      <c r="BF118" s="1882"/>
      <c r="BG118" s="1882"/>
      <c r="BH118" s="1882"/>
      <c r="BI118" s="1882"/>
      <c r="BJ118" s="1882"/>
      <c r="BK118" s="1882"/>
      <c r="BL118" s="1882"/>
      <c r="BM118" s="1882"/>
      <c r="BN118" s="1882"/>
      <c r="BO118" s="1882"/>
      <c r="BP118" s="520">
        <v>42</v>
      </c>
      <c r="BQ118" s="693">
        <v>49</v>
      </c>
      <c r="BR118" s="1882" t="s">
        <v>2459</v>
      </c>
      <c r="BS118" s="1882" t="s">
        <v>8513</v>
      </c>
      <c r="BT118" s="1882">
        <v>0</v>
      </c>
      <c r="BU118" s="1882" t="s">
        <v>8513</v>
      </c>
      <c r="BV118" s="1882">
        <v>0</v>
      </c>
      <c r="BW118" s="1882">
        <v>46</v>
      </c>
      <c r="BX118" s="1882" t="s">
        <v>2459</v>
      </c>
      <c r="BY118" s="1882">
        <v>0</v>
      </c>
      <c r="BZ118" s="1882">
        <v>0</v>
      </c>
      <c r="CA118" s="1882">
        <v>0</v>
      </c>
      <c r="CB118" s="1882">
        <v>0</v>
      </c>
      <c r="CC118" s="1882">
        <v>44</v>
      </c>
      <c r="CD118" s="1882" t="s">
        <v>2459</v>
      </c>
      <c r="CE118" s="1882">
        <v>0</v>
      </c>
      <c r="CF118" s="1882">
        <v>0</v>
      </c>
      <c r="CG118" s="1882">
        <v>0</v>
      </c>
      <c r="CH118" s="1882">
        <v>0</v>
      </c>
      <c r="CI118" s="1882">
        <v>43</v>
      </c>
      <c r="CJ118" s="1882" t="s">
        <v>2459</v>
      </c>
      <c r="CK118" s="1882">
        <v>0</v>
      </c>
      <c r="CL118" s="1882">
        <v>0</v>
      </c>
      <c r="CM118" s="1882">
        <v>0</v>
      </c>
      <c r="CN118" s="1882">
        <v>0</v>
      </c>
      <c r="CP118" s="1882" t="s">
        <v>9304</v>
      </c>
    </row>
    <row r="119" spans="1:94">
      <c r="A119" s="1882" t="s">
        <v>8362</v>
      </c>
      <c r="B119" s="1882" t="s">
        <v>9305</v>
      </c>
      <c r="C119" s="1882" t="s">
        <v>8352</v>
      </c>
      <c r="D119" s="1882" t="s">
        <v>1627</v>
      </c>
      <c r="E119" s="1882" t="s">
        <v>8720</v>
      </c>
      <c r="F119" s="1882" t="s">
        <v>9170</v>
      </c>
      <c r="G119" s="1882" t="s">
        <v>8779</v>
      </c>
      <c r="H119" s="1882" t="s">
        <v>9306</v>
      </c>
      <c r="I119" s="1882" t="s">
        <v>9307</v>
      </c>
      <c r="J119" s="1882" t="s">
        <v>8539</v>
      </c>
      <c r="K119" s="1882"/>
      <c r="L119" s="1882"/>
      <c r="M119" s="1882"/>
      <c r="N119" s="1882" t="s">
        <v>8695</v>
      </c>
      <c r="O119" s="1882" t="s">
        <v>732</v>
      </c>
      <c r="P119" s="1882" t="s">
        <v>8696</v>
      </c>
      <c r="Q119" s="520">
        <v>0</v>
      </c>
      <c r="R119" s="1882" t="s">
        <v>8549</v>
      </c>
      <c r="S119" s="1882" t="s">
        <v>9173</v>
      </c>
      <c r="T119" s="1882" t="s">
        <v>9174</v>
      </c>
      <c r="U119" s="1882" t="s">
        <v>9174</v>
      </c>
      <c r="V119" s="1882" t="s">
        <v>9174</v>
      </c>
      <c r="W119" s="1882" t="s">
        <v>9174</v>
      </c>
      <c r="X119" s="1882" t="s">
        <v>9174</v>
      </c>
      <c r="Y119" s="1882"/>
      <c r="Z119" s="1882"/>
      <c r="AA119" s="1882"/>
      <c r="AB119" s="1882"/>
      <c r="AC119" s="1882"/>
      <c r="AD119" s="1882"/>
      <c r="AE119" s="1882"/>
      <c r="AF119" s="1882"/>
      <c r="AG119" s="1882"/>
      <c r="AH119" s="1882">
        <v>0</v>
      </c>
      <c r="AI119" s="1882"/>
      <c r="AJ119" s="1882"/>
      <c r="AK119" s="1882"/>
      <c r="AL119" s="1882"/>
      <c r="AM119" s="1882"/>
      <c r="AN119" s="1882"/>
      <c r="AO119" s="1882"/>
      <c r="AP119" s="1882"/>
      <c r="AQ119" s="1882"/>
      <c r="AR119" s="1882"/>
      <c r="AS119" s="1882"/>
      <c r="AT119" s="1882"/>
      <c r="AU119" s="1882"/>
      <c r="AV119" s="1882"/>
      <c r="AW119" s="1882"/>
      <c r="AX119" s="1882"/>
      <c r="AY119" s="1882"/>
      <c r="AZ119" s="1882"/>
      <c r="BA119" s="1882"/>
      <c r="BB119" s="1882"/>
      <c r="BC119" s="1882"/>
      <c r="BD119" s="1882"/>
      <c r="BE119" s="1882"/>
      <c r="BF119" s="1882"/>
      <c r="BG119" s="1882"/>
      <c r="BH119" s="1882"/>
      <c r="BI119" s="1882"/>
      <c r="BJ119" s="1882"/>
      <c r="BK119" s="1882"/>
      <c r="BL119" s="1882"/>
      <c r="BM119" s="1882"/>
      <c r="BN119" s="1882"/>
      <c r="BO119" s="1882"/>
      <c r="BP119" s="520">
        <v>91</v>
      </c>
      <c r="BQ119" s="692">
        <v>94</v>
      </c>
      <c r="BR119" s="1882" t="s">
        <v>8513</v>
      </c>
      <c r="BS119" s="1882" t="s">
        <v>8513</v>
      </c>
      <c r="BT119" s="1882">
        <v>0</v>
      </c>
      <c r="BU119" s="1882" t="s">
        <v>8513</v>
      </c>
      <c r="BV119" s="1882">
        <v>0</v>
      </c>
      <c r="BW119" s="1882">
        <v>94</v>
      </c>
      <c r="BX119" s="1882" t="s">
        <v>2451</v>
      </c>
      <c r="BY119" s="1882">
        <v>0</v>
      </c>
      <c r="BZ119" s="1882">
        <v>0</v>
      </c>
      <c r="CA119" s="1882">
        <v>0</v>
      </c>
      <c r="CB119" s="1882">
        <v>0</v>
      </c>
      <c r="CC119" s="1882">
        <v>94</v>
      </c>
      <c r="CD119" s="1882" t="s">
        <v>2459</v>
      </c>
      <c r="CE119" s="1882">
        <v>0</v>
      </c>
      <c r="CF119" s="1882">
        <v>0</v>
      </c>
      <c r="CG119" s="1882">
        <v>0</v>
      </c>
      <c r="CH119" s="1882">
        <v>0</v>
      </c>
      <c r="CI119" s="1882">
        <v>93</v>
      </c>
      <c r="CJ119" s="1882" t="s">
        <v>2460</v>
      </c>
      <c r="CK119" s="1882">
        <v>0</v>
      </c>
      <c r="CL119" s="1882">
        <v>0</v>
      </c>
      <c r="CM119" s="1882">
        <v>0</v>
      </c>
      <c r="CN119" s="1882">
        <v>0</v>
      </c>
      <c r="CP119" s="1882" t="s">
        <v>9308</v>
      </c>
    </row>
    <row r="120" spans="1:94">
      <c r="A120" s="1882" t="s">
        <v>8362</v>
      </c>
      <c r="B120" s="1882" t="s">
        <v>9309</v>
      </c>
      <c r="C120" s="1882" t="s">
        <v>8352</v>
      </c>
      <c r="D120" s="1882" t="s">
        <v>1627</v>
      </c>
      <c r="E120" s="1882" t="s">
        <v>8720</v>
      </c>
      <c r="F120" s="1882" t="s">
        <v>9310</v>
      </c>
      <c r="G120" s="1882" t="s">
        <v>8784</v>
      </c>
      <c r="H120" s="1882" t="s">
        <v>9311</v>
      </c>
      <c r="I120" s="1882" t="s">
        <v>9312</v>
      </c>
      <c r="J120" s="1882" t="s">
        <v>8539</v>
      </c>
      <c r="K120" s="1882"/>
      <c r="L120" s="1882"/>
      <c r="M120" s="1882"/>
      <c r="N120" s="1882" t="s">
        <v>8681</v>
      </c>
      <c r="O120" s="1882" t="s">
        <v>764</v>
      </c>
      <c r="P120" s="1882" t="s">
        <v>9180</v>
      </c>
      <c r="Q120" s="520">
        <v>0</v>
      </c>
      <c r="R120" s="1882" t="s">
        <v>8511</v>
      </c>
      <c r="S120" s="1882">
        <v>206</v>
      </c>
      <c r="T120" s="1882">
        <v>194</v>
      </c>
      <c r="U120" s="1882">
        <v>183</v>
      </c>
      <c r="V120" s="1882">
        <v>172</v>
      </c>
      <c r="W120" s="1882">
        <v>161</v>
      </c>
      <c r="X120" s="1882">
        <v>150</v>
      </c>
      <c r="Y120" s="1882"/>
      <c r="Z120" s="1882"/>
      <c r="AA120" s="1882"/>
      <c r="AB120" s="1882"/>
      <c r="AC120" s="1882"/>
      <c r="AD120" s="1882"/>
      <c r="AE120" s="1882"/>
      <c r="AF120" s="1882"/>
      <c r="AG120" s="1882"/>
      <c r="AH120" s="1882">
        <v>0</v>
      </c>
      <c r="AI120" s="1882"/>
      <c r="AJ120" s="1882"/>
      <c r="AK120" s="1882"/>
      <c r="AL120" s="1882"/>
      <c r="AM120" s="1882"/>
      <c r="AN120" s="1882"/>
      <c r="AO120" s="1882"/>
      <c r="AP120" s="1882"/>
      <c r="AQ120" s="1882"/>
      <c r="AR120" s="1882"/>
      <c r="AS120" s="1882"/>
      <c r="AT120" s="1882"/>
      <c r="AU120" s="1882"/>
      <c r="AV120" s="1882"/>
      <c r="AW120" s="1882"/>
      <c r="AX120" s="1882"/>
      <c r="AY120" s="1882"/>
      <c r="AZ120" s="1882"/>
      <c r="BA120" s="1882"/>
      <c r="BB120" s="1882"/>
      <c r="BC120" s="1882"/>
      <c r="BD120" s="1882"/>
      <c r="BE120" s="1882"/>
      <c r="BF120" s="1882"/>
      <c r="BG120" s="1882"/>
      <c r="BH120" s="1882"/>
      <c r="BI120" s="1882"/>
      <c r="BJ120" s="1882"/>
      <c r="BK120" s="1882"/>
      <c r="BL120" s="1882"/>
      <c r="BM120" s="1882"/>
      <c r="BN120" s="1882"/>
      <c r="BO120" s="1882"/>
      <c r="BP120" s="520">
        <v>213.6</v>
      </c>
      <c r="BQ120" s="693">
        <v>225.2</v>
      </c>
      <c r="BR120" s="1882" t="s">
        <v>2460</v>
      </c>
      <c r="BS120" s="1882" t="s">
        <v>8513</v>
      </c>
      <c r="BT120" s="1882">
        <v>0</v>
      </c>
      <c r="BU120" s="1882" t="s">
        <v>8513</v>
      </c>
      <c r="BV120" s="1882">
        <v>0</v>
      </c>
      <c r="BW120" s="1882">
        <v>187.7</v>
      </c>
      <c r="BX120" s="1882" t="s">
        <v>2460</v>
      </c>
      <c r="BY120" s="1882">
        <v>0</v>
      </c>
      <c r="BZ120" s="1882">
        <v>0</v>
      </c>
      <c r="CA120" s="1882">
        <v>0</v>
      </c>
      <c r="CB120" s="1882">
        <v>0</v>
      </c>
      <c r="CC120" s="1882">
        <v>164</v>
      </c>
      <c r="CD120" s="1882" t="s">
        <v>2459</v>
      </c>
      <c r="CE120" s="1882">
        <v>0</v>
      </c>
      <c r="CF120" s="1882">
        <v>0</v>
      </c>
      <c r="CG120" s="1882">
        <v>0</v>
      </c>
      <c r="CH120" s="1882">
        <v>0</v>
      </c>
      <c r="CI120" s="1882">
        <v>148</v>
      </c>
      <c r="CJ120" s="1882" t="s">
        <v>2459</v>
      </c>
      <c r="CK120" s="1882">
        <v>0</v>
      </c>
      <c r="CL120" s="1882">
        <v>0</v>
      </c>
      <c r="CM120" s="1882">
        <v>0</v>
      </c>
      <c r="CN120" s="1882">
        <v>0</v>
      </c>
      <c r="CP120" s="1882" t="s">
        <v>9313</v>
      </c>
    </row>
    <row r="121" spans="1:94" ht="25">
      <c r="A121" s="1882" t="s">
        <v>8362</v>
      </c>
      <c r="B121" s="1882" t="s">
        <v>9314</v>
      </c>
      <c r="C121" s="1882" t="s">
        <v>8352</v>
      </c>
      <c r="D121" s="1882" t="s">
        <v>1627</v>
      </c>
      <c r="E121" s="1882" t="s">
        <v>8720</v>
      </c>
      <c r="F121" s="1882" t="s">
        <v>9310</v>
      </c>
      <c r="G121" s="1882" t="s">
        <v>8790</v>
      </c>
      <c r="H121" s="1882" t="s">
        <v>9315</v>
      </c>
      <c r="I121" s="1882" t="s">
        <v>9316</v>
      </c>
      <c r="J121" s="1882" t="s">
        <v>8539</v>
      </c>
      <c r="K121" s="1882"/>
      <c r="L121" s="1882"/>
      <c r="M121" s="1882"/>
      <c r="N121" s="1882" t="s">
        <v>8673</v>
      </c>
      <c r="O121" s="1882" t="s">
        <v>8797</v>
      </c>
      <c r="P121" s="1882" t="s">
        <v>9185</v>
      </c>
      <c r="Q121" s="520" t="s">
        <v>8512</v>
      </c>
      <c r="R121" s="1882"/>
      <c r="S121" s="1882" t="s">
        <v>9173</v>
      </c>
      <c r="T121" s="1882" t="s">
        <v>9186</v>
      </c>
      <c r="U121" s="1882" t="s">
        <v>9186</v>
      </c>
      <c r="V121" s="1882" t="s">
        <v>9186</v>
      </c>
      <c r="W121" s="1882" t="s">
        <v>9186</v>
      </c>
      <c r="X121" s="1882" t="s">
        <v>9186</v>
      </c>
      <c r="Y121" s="1882"/>
      <c r="Z121" s="1882"/>
      <c r="AA121" s="1882"/>
      <c r="AB121" s="1882"/>
      <c r="AC121" s="1882"/>
      <c r="AD121" s="1882"/>
      <c r="AE121" s="1882"/>
      <c r="AF121" s="1882"/>
      <c r="AG121" s="1882"/>
      <c r="AH121" s="1882">
        <v>0</v>
      </c>
      <c r="AI121" s="1882"/>
      <c r="AJ121" s="1882"/>
      <c r="AK121" s="1882"/>
      <c r="AL121" s="1882"/>
      <c r="AM121" s="1882"/>
      <c r="AN121" s="1882"/>
      <c r="AO121" s="1882"/>
      <c r="AP121" s="1882"/>
      <c r="AQ121" s="1882"/>
      <c r="AR121" s="1882"/>
      <c r="AS121" s="1882"/>
      <c r="AT121" s="1882"/>
      <c r="AU121" s="1882"/>
      <c r="AV121" s="1882"/>
      <c r="AW121" s="1882"/>
      <c r="AX121" s="1882"/>
      <c r="AY121" s="1882"/>
      <c r="AZ121" s="1882"/>
      <c r="BA121" s="1882"/>
      <c r="BB121" s="1882"/>
      <c r="BC121" s="1882"/>
      <c r="BD121" s="1882"/>
      <c r="BE121" s="1882"/>
      <c r="BF121" s="1882"/>
      <c r="BG121" s="1882"/>
      <c r="BH121" s="1882"/>
      <c r="BI121" s="1882"/>
      <c r="BJ121" s="1882"/>
      <c r="BK121" s="1882"/>
      <c r="BL121" s="1882"/>
      <c r="BM121" s="1882"/>
      <c r="BN121" s="1882"/>
      <c r="BO121" s="1882"/>
      <c r="BP121" s="520" t="s">
        <v>3514</v>
      </c>
      <c r="BQ121" s="692" t="s">
        <v>9188</v>
      </c>
      <c r="BR121" s="1882" t="s">
        <v>2459</v>
      </c>
      <c r="BS121" s="1882" t="s">
        <v>8513</v>
      </c>
      <c r="BT121" s="1882">
        <v>0</v>
      </c>
      <c r="BU121" s="1882" t="s">
        <v>8513</v>
      </c>
      <c r="BV121" s="1882">
        <v>0</v>
      </c>
      <c r="BW121" s="1882" t="s">
        <v>9188</v>
      </c>
      <c r="BX121" s="1882" t="s">
        <v>2459</v>
      </c>
      <c r="BY121" s="1882">
        <v>0</v>
      </c>
      <c r="BZ121" s="1882">
        <v>0</v>
      </c>
      <c r="CA121" s="1882">
        <v>0</v>
      </c>
      <c r="CB121" s="1882">
        <v>0</v>
      </c>
      <c r="CC121" s="1882" t="s">
        <v>9189</v>
      </c>
      <c r="CD121" s="1882" t="s">
        <v>2459</v>
      </c>
      <c r="CE121" s="1882">
        <v>0</v>
      </c>
      <c r="CF121" s="1882">
        <v>0</v>
      </c>
      <c r="CG121" s="1882">
        <v>0</v>
      </c>
      <c r="CH121" s="1882">
        <v>0</v>
      </c>
      <c r="CI121" s="1882" t="s">
        <v>9190</v>
      </c>
      <c r="CJ121" s="1882" t="s">
        <v>2459</v>
      </c>
      <c r="CK121" s="1882">
        <v>0</v>
      </c>
      <c r="CL121" s="1882">
        <v>0</v>
      </c>
      <c r="CM121" s="1882">
        <v>0</v>
      </c>
      <c r="CN121" s="1882">
        <v>0</v>
      </c>
      <c r="CP121" s="1882" t="s">
        <v>9317</v>
      </c>
    </row>
    <row r="122" spans="1:94">
      <c r="A122" s="1882" t="s">
        <v>8362</v>
      </c>
      <c r="B122" s="1882" t="s">
        <v>9318</v>
      </c>
      <c r="C122" s="1882" t="s">
        <v>8352</v>
      </c>
      <c r="D122" s="1882" t="s">
        <v>8584</v>
      </c>
      <c r="E122" s="1882" t="s">
        <v>8585</v>
      </c>
      <c r="F122" s="1882" t="s">
        <v>9156</v>
      </c>
      <c r="G122" s="1882" t="s">
        <v>8822</v>
      </c>
      <c r="H122" s="1882" t="s">
        <v>9319</v>
      </c>
      <c r="I122" s="1882" t="s">
        <v>9320</v>
      </c>
      <c r="J122" s="1882" t="s">
        <v>8539</v>
      </c>
      <c r="K122" s="1882"/>
      <c r="L122" s="1882"/>
      <c r="M122" s="1882"/>
      <c r="N122" s="1882" t="s">
        <v>8695</v>
      </c>
      <c r="O122" s="1882" t="s">
        <v>8591</v>
      </c>
      <c r="P122" s="1882" t="s">
        <v>9294</v>
      </c>
      <c r="Q122" s="520">
        <v>1</v>
      </c>
      <c r="R122" s="1882" t="s">
        <v>8549</v>
      </c>
      <c r="S122" s="1882">
        <v>8.1999999999999993</v>
      </c>
      <c r="T122" s="1882">
        <v>8.1999999999999993</v>
      </c>
      <c r="U122" s="1882">
        <v>8.1999999999999993</v>
      </c>
      <c r="V122" s="1882">
        <v>8.1999999999999993</v>
      </c>
      <c r="W122" s="1882">
        <v>8.1999999999999993</v>
      </c>
      <c r="X122" s="1882">
        <v>8.1999999999999993</v>
      </c>
      <c r="Y122" s="1882"/>
      <c r="Z122" s="1882"/>
      <c r="AA122" s="1882"/>
      <c r="AB122" s="1882"/>
      <c r="AC122" s="1882"/>
      <c r="AD122" s="1882"/>
      <c r="AE122" s="1882"/>
      <c r="AF122" s="1882"/>
      <c r="AG122" s="1882"/>
      <c r="AH122" s="1882">
        <v>0</v>
      </c>
      <c r="AI122" s="1882"/>
      <c r="AJ122" s="1882"/>
      <c r="AK122" s="1882"/>
      <c r="AL122" s="1882"/>
      <c r="AM122" s="1882"/>
      <c r="AN122" s="1882"/>
      <c r="AO122" s="1882"/>
      <c r="AP122" s="1882"/>
      <c r="AQ122" s="1882"/>
      <c r="AR122" s="1882"/>
      <c r="AS122" s="1882"/>
      <c r="AT122" s="1882"/>
      <c r="AU122" s="1882"/>
      <c r="AV122" s="1882"/>
      <c r="AW122" s="1882"/>
      <c r="AX122" s="1882"/>
      <c r="AY122" s="1882"/>
      <c r="AZ122" s="1882"/>
      <c r="BA122" s="1882"/>
      <c r="BB122" s="1882"/>
      <c r="BC122" s="1882"/>
      <c r="BD122" s="1882"/>
      <c r="BE122" s="1882"/>
      <c r="BF122" s="1882"/>
      <c r="BG122" s="1882"/>
      <c r="BH122" s="1882"/>
      <c r="BI122" s="1882"/>
      <c r="BJ122" s="1882"/>
      <c r="BK122" s="1882"/>
      <c r="BL122" s="1882"/>
      <c r="BM122" s="1882"/>
      <c r="BN122" s="1882"/>
      <c r="BO122" s="1882"/>
      <c r="BP122" s="520">
        <v>8.3000000000000007</v>
      </c>
      <c r="BQ122" s="690">
        <v>8.5</v>
      </c>
      <c r="BR122" s="1882" t="s">
        <v>2459</v>
      </c>
      <c r="BS122" s="1882" t="s">
        <v>8513</v>
      </c>
      <c r="BT122" s="1882">
        <v>0</v>
      </c>
      <c r="BU122" s="1882" t="s">
        <v>8513</v>
      </c>
      <c r="BV122" s="1882">
        <v>0</v>
      </c>
      <c r="BW122" s="1882">
        <v>8.5</v>
      </c>
      <c r="BX122" s="1882" t="s">
        <v>2459</v>
      </c>
      <c r="BY122" s="1882">
        <v>0</v>
      </c>
      <c r="BZ122" s="1882">
        <v>0</v>
      </c>
      <c r="CA122" s="1882">
        <v>0</v>
      </c>
      <c r="CB122" s="1882">
        <v>0</v>
      </c>
      <c r="CC122" s="1882">
        <v>8.6999999999999993</v>
      </c>
      <c r="CD122" s="1882" t="s">
        <v>2459</v>
      </c>
      <c r="CE122" s="1882">
        <v>0</v>
      </c>
      <c r="CF122" s="1882">
        <v>0</v>
      </c>
      <c r="CG122" s="1882">
        <v>0</v>
      </c>
      <c r="CH122" s="1882">
        <v>0</v>
      </c>
      <c r="CI122" s="1882">
        <v>8.6999999999999993</v>
      </c>
      <c r="CJ122" s="1882" t="s">
        <v>2459</v>
      </c>
      <c r="CK122" s="1882">
        <v>0</v>
      </c>
      <c r="CL122" s="1882">
        <v>0</v>
      </c>
      <c r="CM122" s="1882">
        <v>0</v>
      </c>
      <c r="CN122" s="1882">
        <v>0</v>
      </c>
      <c r="CP122" s="1882" t="s">
        <v>9321</v>
      </c>
    </row>
    <row r="123" spans="1:94">
      <c r="A123" s="1882" t="s">
        <v>8362</v>
      </c>
      <c r="B123" s="1882" t="s">
        <v>9322</v>
      </c>
      <c r="C123" s="1882" t="s">
        <v>8352</v>
      </c>
      <c r="D123" s="1882" t="s">
        <v>8584</v>
      </c>
      <c r="E123" s="1882" t="s">
        <v>8585</v>
      </c>
      <c r="F123" s="1882" t="s">
        <v>9156</v>
      </c>
      <c r="G123" s="1882" t="s">
        <v>8827</v>
      </c>
      <c r="H123" s="1882" t="s">
        <v>9323</v>
      </c>
      <c r="I123" s="1882" t="s">
        <v>9324</v>
      </c>
      <c r="J123" s="1882" t="s">
        <v>8508</v>
      </c>
      <c r="K123" s="1882" t="s">
        <v>8509</v>
      </c>
      <c r="L123" s="1882"/>
      <c r="M123" s="1882" t="s">
        <v>2460</v>
      </c>
      <c r="N123" s="1882" t="s">
        <v>8590</v>
      </c>
      <c r="O123" s="1882" t="s">
        <v>8591</v>
      </c>
      <c r="P123" s="1882" t="s">
        <v>8592</v>
      </c>
      <c r="Q123" s="520">
        <v>1</v>
      </c>
      <c r="R123" s="1882" t="s">
        <v>8549</v>
      </c>
      <c r="S123" s="1882">
        <v>89.4</v>
      </c>
      <c r="T123" s="1882">
        <v>90</v>
      </c>
      <c r="U123" s="1882">
        <v>90</v>
      </c>
      <c r="V123" s="1882">
        <v>90</v>
      </c>
      <c r="W123" s="1882">
        <v>90</v>
      </c>
      <c r="X123" s="1882">
        <v>90</v>
      </c>
      <c r="Y123" s="1882"/>
      <c r="Z123" s="1882"/>
      <c r="AA123" s="1882"/>
      <c r="AB123" s="1882"/>
      <c r="AC123" s="1882"/>
      <c r="AD123" s="1882"/>
      <c r="AE123" s="1882"/>
      <c r="AF123" s="1882"/>
      <c r="AG123" s="1882"/>
      <c r="AH123" s="1882">
        <v>0</v>
      </c>
      <c r="AI123" s="1882" t="s">
        <v>2459</v>
      </c>
      <c r="AJ123" s="1882" t="s">
        <v>2459</v>
      </c>
      <c r="AK123" s="1882" t="s">
        <v>2459</v>
      </c>
      <c r="AL123" s="1882" t="s">
        <v>2459</v>
      </c>
      <c r="AM123" s="1882" t="s">
        <v>2459</v>
      </c>
      <c r="AN123" s="1882" t="s">
        <v>8593</v>
      </c>
      <c r="AO123" s="1882" t="s">
        <v>8593</v>
      </c>
      <c r="AP123" s="1882" t="s">
        <v>8593</v>
      </c>
      <c r="AQ123" s="1882" t="s">
        <v>8593</v>
      </c>
      <c r="AR123" s="1882" t="s">
        <v>8593</v>
      </c>
      <c r="AS123" s="1882" t="s">
        <v>8593</v>
      </c>
      <c r="AT123" s="1882" t="s">
        <v>8593</v>
      </c>
      <c r="AU123" s="1882" t="s">
        <v>8593</v>
      </c>
      <c r="AV123" s="1882" t="s">
        <v>8593</v>
      </c>
      <c r="AW123" s="1882" t="s">
        <v>8593</v>
      </c>
      <c r="AX123" s="1882" t="s">
        <v>8593</v>
      </c>
      <c r="AY123" s="1882" t="s">
        <v>8593</v>
      </c>
      <c r="AZ123" s="1882" t="s">
        <v>8593</v>
      </c>
      <c r="BA123" s="1882" t="s">
        <v>8593</v>
      </c>
      <c r="BB123" s="1882" t="s">
        <v>8593</v>
      </c>
      <c r="BC123" s="1882" t="s">
        <v>8593</v>
      </c>
      <c r="BD123" s="1882" t="s">
        <v>8593</v>
      </c>
      <c r="BE123" s="1882" t="s">
        <v>8593</v>
      </c>
      <c r="BF123" s="1882" t="s">
        <v>8593</v>
      </c>
      <c r="BG123" s="1882" t="s">
        <v>8593</v>
      </c>
      <c r="BH123" s="1882" t="s">
        <v>8593</v>
      </c>
      <c r="BI123" s="1882"/>
      <c r="BJ123" s="1882"/>
      <c r="BK123" s="1882"/>
      <c r="BL123" s="1882" t="s">
        <v>8593</v>
      </c>
      <c r="BM123" s="1882"/>
      <c r="BN123" s="1882">
        <v>1</v>
      </c>
      <c r="BO123" s="1882" t="s">
        <v>8512</v>
      </c>
      <c r="BP123" s="520">
        <v>83.72</v>
      </c>
      <c r="BQ123" s="690">
        <v>83.64</v>
      </c>
      <c r="BR123" s="1882" t="s">
        <v>2460</v>
      </c>
      <c r="BS123" s="1882" t="s">
        <v>8513</v>
      </c>
      <c r="BT123" s="1882">
        <v>0</v>
      </c>
      <c r="BU123" s="1882" t="s">
        <v>8513</v>
      </c>
      <c r="BV123" s="1882">
        <v>0</v>
      </c>
      <c r="BW123" s="1882">
        <v>87.53</v>
      </c>
      <c r="BX123" s="1882" t="s">
        <v>2460</v>
      </c>
      <c r="BY123" s="1882">
        <v>0</v>
      </c>
      <c r="BZ123" s="1882">
        <v>0</v>
      </c>
      <c r="CA123" s="1882">
        <v>0</v>
      </c>
      <c r="CB123" s="1882">
        <v>0</v>
      </c>
      <c r="CC123" s="1882">
        <v>86.39</v>
      </c>
      <c r="CD123" s="1882" t="s">
        <v>2460</v>
      </c>
      <c r="CE123" s="1882">
        <v>0</v>
      </c>
      <c r="CF123" s="1882">
        <v>0</v>
      </c>
      <c r="CG123" s="1882">
        <v>0</v>
      </c>
      <c r="CH123" s="1882">
        <v>0</v>
      </c>
      <c r="CI123" s="1882">
        <v>85.9</v>
      </c>
      <c r="CJ123" s="1882" t="s">
        <v>2460</v>
      </c>
      <c r="CK123" s="1882">
        <v>0</v>
      </c>
      <c r="CL123" s="1882">
        <v>0</v>
      </c>
      <c r="CM123" s="1882">
        <v>0</v>
      </c>
      <c r="CN123" s="1882">
        <v>0</v>
      </c>
      <c r="CP123" s="1882" t="s">
        <v>9325</v>
      </c>
    </row>
    <row r="124" spans="1:94">
      <c r="A124" s="1882" t="s">
        <v>8362</v>
      </c>
      <c r="B124" s="1882" t="s">
        <v>9326</v>
      </c>
      <c r="C124" s="1882" t="s">
        <v>8352</v>
      </c>
      <c r="D124" s="1882" t="s">
        <v>8584</v>
      </c>
      <c r="E124" s="1882" t="s">
        <v>8585</v>
      </c>
      <c r="F124" s="1882" t="s">
        <v>9156</v>
      </c>
      <c r="G124" s="1882" t="s">
        <v>9327</v>
      </c>
      <c r="H124" s="1882" t="s">
        <v>9328</v>
      </c>
      <c r="I124" s="1882" t="s">
        <v>9329</v>
      </c>
      <c r="J124" s="1882" t="s">
        <v>8539</v>
      </c>
      <c r="K124" s="1882"/>
      <c r="L124" s="1882"/>
      <c r="M124" s="1882"/>
      <c r="N124" s="1882" t="s">
        <v>8695</v>
      </c>
      <c r="O124" s="1882" t="s">
        <v>732</v>
      </c>
      <c r="P124" s="1882" t="s">
        <v>8696</v>
      </c>
      <c r="Q124" s="520">
        <v>0</v>
      </c>
      <c r="R124" s="1882" t="s">
        <v>8549</v>
      </c>
      <c r="S124" s="1882">
        <v>32</v>
      </c>
      <c r="T124" s="1882">
        <v>32</v>
      </c>
      <c r="U124" s="1882">
        <v>32</v>
      </c>
      <c r="V124" s="1882">
        <v>32</v>
      </c>
      <c r="W124" s="1882">
        <v>32</v>
      </c>
      <c r="X124" s="1882">
        <v>32</v>
      </c>
      <c r="Y124" s="1882"/>
      <c r="Z124" s="1882"/>
      <c r="AA124" s="1882"/>
      <c r="AB124" s="1882"/>
      <c r="AC124" s="1882"/>
      <c r="AD124" s="1882"/>
      <c r="AE124" s="1882"/>
      <c r="AF124" s="1882"/>
      <c r="AG124" s="1882"/>
      <c r="AH124" s="1882">
        <v>0</v>
      </c>
      <c r="AI124" s="1882"/>
      <c r="AJ124" s="1882"/>
      <c r="AK124" s="1882"/>
      <c r="AL124" s="1882"/>
      <c r="AM124" s="1882"/>
      <c r="AN124" s="1882"/>
      <c r="AO124" s="1882"/>
      <c r="AP124" s="1882"/>
      <c r="AQ124" s="1882"/>
      <c r="AR124" s="1882"/>
      <c r="AS124" s="1882"/>
      <c r="AT124" s="1882"/>
      <c r="AU124" s="1882"/>
      <c r="AV124" s="1882"/>
      <c r="AW124" s="1882"/>
      <c r="AX124" s="1882"/>
      <c r="AY124" s="1882"/>
      <c r="AZ124" s="1882"/>
      <c r="BA124" s="1882"/>
      <c r="BB124" s="1882"/>
      <c r="BC124" s="1882"/>
      <c r="BD124" s="1882"/>
      <c r="BE124" s="1882"/>
      <c r="BF124" s="1882"/>
      <c r="BG124" s="1882"/>
      <c r="BH124" s="1882"/>
      <c r="BI124" s="1882"/>
      <c r="BJ124" s="1882"/>
      <c r="BK124" s="1882"/>
      <c r="BL124" s="1882"/>
      <c r="BM124" s="1882"/>
      <c r="BN124" s="1882"/>
      <c r="BO124" s="1882"/>
      <c r="BP124" s="520">
        <v>42</v>
      </c>
      <c r="BQ124" s="693">
        <v>49</v>
      </c>
      <c r="BR124" s="1882" t="s">
        <v>2459</v>
      </c>
      <c r="BS124" s="1882" t="s">
        <v>8513</v>
      </c>
      <c r="BT124" s="1882">
        <v>0</v>
      </c>
      <c r="BU124" s="1882" t="s">
        <v>8513</v>
      </c>
      <c r="BV124" s="1882">
        <v>0</v>
      </c>
      <c r="BW124" s="1882">
        <v>46</v>
      </c>
      <c r="BX124" s="1882" t="s">
        <v>2459</v>
      </c>
      <c r="BY124" s="1882">
        <v>0</v>
      </c>
      <c r="BZ124" s="1882">
        <v>0</v>
      </c>
      <c r="CA124" s="1882">
        <v>0</v>
      </c>
      <c r="CB124" s="1882">
        <v>0</v>
      </c>
      <c r="CC124" s="1882">
        <v>44</v>
      </c>
      <c r="CD124" s="1882" t="s">
        <v>2459</v>
      </c>
      <c r="CE124" s="1882">
        <v>0</v>
      </c>
      <c r="CF124" s="1882">
        <v>0</v>
      </c>
      <c r="CG124" s="1882">
        <v>0</v>
      </c>
      <c r="CH124" s="1882">
        <v>0</v>
      </c>
      <c r="CI124" s="1882">
        <v>43</v>
      </c>
      <c r="CJ124" s="1882" t="s">
        <v>2459</v>
      </c>
      <c r="CK124" s="1882">
        <v>0</v>
      </c>
      <c r="CL124" s="1882">
        <v>0</v>
      </c>
      <c r="CM124" s="1882">
        <v>0</v>
      </c>
      <c r="CN124" s="1882">
        <v>0</v>
      </c>
      <c r="CP124" s="1882" t="s">
        <v>9330</v>
      </c>
    </row>
    <row r="125" spans="1:94">
      <c r="A125" s="1882" t="s">
        <v>8362</v>
      </c>
      <c r="B125" s="1882" t="s">
        <v>9331</v>
      </c>
      <c r="C125" s="1882" t="s">
        <v>8352</v>
      </c>
      <c r="D125" s="1882" t="s">
        <v>8584</v>
      </c>
      <c r="E125" s="1882" t="s">
        <v>8585</v>
      </c>
      <c r="F125" s="1882" t="s">
        <v>9332</v>
      </c>
      <c r="G125" s="1882" t="s">
        <v>8832</v>
      </c>
      <c r="H125" s="1882" t="s">
        <v>9333</v>
      </c>
      <c r="I125" s="1882" t="s">
        <v>9334</v>
      </c>
      <c r="J125" s="1882" t="s">
        <v>8539</v>
      </c>
      <c r="K125" s="1882"/>
      <c r="L125" s="1882"/>
      <c r="M125" s="1882"/>
      <c r="N125" s="1882" t="s">
        <v>8599</v>
      </c>
      <c r="O125" s="1882" t="s">
        <v>8591</v>
      </c>
      <c r="P125" s="1882" t="s">
        <v>9294</v>
      </c>
      <c r="Q125" s="520">
        <v>1</v>
      </c>
      <c r="R125" s="1882" t="s">
        <v>8549</v>
      </c>
      <c r="S125" s="1882">
        <v>7.9</v>
      </c>
      <c r="T125" s="1882">
        <v>7.9</v>
      </c>
      <c r="U125" s="1882">
        <v>7.9</v>
      </c>
      <c r="V125" s="1882">
        <v>7.9</v>
      </c>
      <c r="W125" s="1882">
        <v>7.9</v>
      </c>
      <c r="X125" s="1882">
        <v>7.9</v>
      </c>
      <c r="Y125" s="1882"/>
      <c r="Z125" s="1882"/>
      <c r="AA125" s="1882"/>
      <c r="AB125" s="1882"/>
      <c r="AC125" s="1882"/>
      <c r="AD125" s="1882"/>
      <c r="AE125" s="1882"/>
      <c r="AF125" s="1882"/>
      <c r="AG125" s="1882"/>
      <c r="AH125" s="1882">
        <v>0</v>
      </c>
      <c r="AI125" s="1882"/>
      <c r="AJ125" s="1882"/>
      <c r="AK125" s="1882"/>
      <c r="AL125" s="1882"/>
      <c r="AM125" s="1882"/>
      <c r="AN125" s="1882"/>
      <c r="AO125" s="1882"/>
      <c r="AP125" s="1882"/>
      <c r="AQ125" s="1882"/>
      <c r="AR125" s="1882"/>
      <c r="AS125" s="1882"/>
      <c r="AT125" s="1882"/>
      <c r="AU125" s="1882"/>
      <c r="AV125" s="1882"/>
      <c r="AW125" s="1882"/>
      <c r="AX125" s="1882"/>
      <c r="AY125" s="1882"/>
      <c r="AZ125" s="1882"/>
      <c r="BA125" s="1882"/>
      <c r="BB125" s="1882"/>
      <c r="BC125" s="1882"/>
      <c r="BD125" s="1882"/>
      <c r="BE125" s="1882"/>
      <c r="BF125" s="1882"/>
      <c r="BG125" s="1882"/>
      <c r="BH125" s="1882"/>
      <c r="BI125" s="1882"/>
      <c r="BJ125" s="1882"/>
      <c r="BK125" s="1882"/>
      <c r="BL125" s="1882"/>
      <c r="BM125" s="1882"/>
      <c r="BN125" s="1882"/>
      <c r="BO125" s="1882"/>
      <c r="BP125" s="520">
        <v>8.1</v>
      </c>
      <c r="BQ125" s="690">
        <v>8.1999999999999993</v>
      </c>
      <c r="BR125" s="1882" t="s">
        <v>2459</v>
      </c>
      <c r="BS125" s="1882" t="s">
        <v>8513</v>
      </c>
      <c r="BT125" s="1882">
        <v>0</v>
      </c>
      <c r="BU125" s="1882" t="s">
        <v>8513</v>
      </c>
      <c r="BV125" s="1882">
        <v>0</v>
      </c>
      <c r="BW125" s="1882">
        <v>8.1999999999999993</v>
      </c>
      <c r="BX125" s="1882" t="s">
        <v>2459</v>
      </c>
      <c r="BY125" s="1882">
        <v>0</v>
      </c>
      <c r="BZ125" s="1882">
        <v>0</v>
      </c>
      <c r="CA125" s="1882">
        <v>0</v>
      </c>
      <c r="CB125" s="1882">
        <v>0</v>
      </c>
      <c r="CC125" s="1882">
        <v>8.1999999999999993</v>
      </c>
      <c r="CD125" s="1882" t="s">
        <v>2459</v>
      </c>
      <c r="CE125" s="1882">
        <v>0</v>
      </c>
      <c r="CF125" s="1882">
        <v>0</v>
      </c>
      <c r="CG125" s="1882">
        <v>0</v>
      </c>
      <c r="CH125" s="1882">
        <v>0</v>
      </c>
      <c r="CI125" s="1882">
        <v>8.1999999999999993</v>
      </c>
      <c r="CJ125" s="1882" t="s">
        <v>2459</v>
      </c>
      <c r="CK125" s="1882">
        <v>0</v>
      </c>
      <c r="CL125" s="1882">
        <v>0</v>
      </c>
      <c r="CM125" s="1882">
        <v>0</v>
      </c>
      <c r="CN125" s="1882">
        <v>0</v>
      </c>
      <c r="CP125" s="1882" t="s">
        <v>9335</v>
      </c>
    </row>
    <row r="126" spans="1:94">
      <c r="A126" s="1882" t="s">
        <v>8362</v>
      </c>
      <c r="B126" s="1882" t="s">
        <v>9336</v>
      </c>
      <c r="C126" s="1882" t="s">
        <v>8352</v>
      </c>
      <c r="D126" s="1882" t="s">
        <v>8584</v>
      </c>
      <c r="E126" s="1882" t="s">
        <v>8585</v>
      </c>
      <c r="F126" s="1882" t="s">
        <v>9332</v>
      </c>
      <c r="G126" s="1882" t="s">
        <v>8837</v>
      </c>
      <c r="H126" s="1882" t="s">
        <v>9337</v>
      </c>
      <c r="I126" s="1882" t="s">
        <v>9338</v>
      </c>
      <c r="J126" s="1882" t="s">
        <v>8539</v>
      </c>
      <c r="K126" s="1882"/>
      <c r="L126" s="1882"/>
      <c r="M126" s="1882"/>
      <c r="N126" s="1882" t="s">
        <v>8599</v>
      </c>
      <c r="O126" s="1882" t="s">
        <v>732</v>
      </c>
      <c r="P126" s="1882" t="s">
        <v>8696</v>
      </c>
      <c r="Q126" s="520">
        <v>0</v>
      </c>
      <c r="R126" s="1882" t="s">
        <v>8549</v>
      </c>
      <c r="S126" s="1882">
        <v>83</v>
      </c>
      <c r="T126" s="1882">
        <v>83</v>
      </c>
      <c r="U126" s="1882">
        <v>83</v>
      </c>
      <c r="V126" s="1882">
        <v>83</v>
      </c>
      <c r="W126" s="1882">
        <v>83</v>
      </c>
      <c r="X126" s="1882">
        <v>83</v>
      </c>
      <c r="Y126" s="1882"/>
      <c r="Z126" s="1882"/>
      <c r="AA126" s="1882"/>
      <c r="AB126" s="1882"/>
      <c r="AC126" s="1882"/>
      <c r="AD126" s="1882"/>
      <c r="AE126" s="1882"/>
      <c r="AF126" s="1882"/>
      <c r="AG126" s="1882"/>
      <c r="AH126" s="1882">
        <v>0</v>
      </c>
      <c r="AI126" s="1882"/>
      <c r="AJ126" s="1882"/>
      <c r="AK126" s="1882"/>
      <c r="AL126" s="1882"/>
      <c r="AM126" s="1882"/>
      <c r="AN126" s="1882"/>
      <c r="AO126" s="1882"/>
      <c r="AP126" s="1882"/>
      <c r="AQ126" s="1882"/>
      <c r="AR126" s="1882"/>
      <c r="AS126" s="1882"/>
      <c r="AT126" s="1882"/>
      <c r="AU126" s="1882"/>
      <c r="AV126" s="1882"/>
      <c r="AW126" s="1882"/>
      <c r="AX126" s="1882"/>
      <c r="AY126" s="1882"/>
      <c r="AZ126" s="1882"/>
      <c r="BA126" s="1882"/>
      <c r="BB126" s="1882"/>
      <c r="BC126" s="1882"/>
      <c r="BD126" s="1882"/>
      <c r="BE126" s="1882"/>
      <c r="BF126" s="1882"/>
      <c r="BG126" s="1882"/>
      <c r="BH126" s="1882"/>
      <c r="BI126" s="1882"/>
      <c r="BJ126" s="1882"/>
      <c r="BK126" s="1882"/>
      <c r="BL126" s="1882"/>
      <c r="BM126" s="1882"/>
      <c r="BN126" s="1882"/>
      <c r="BO126" s="1882"/>
      <c r="BP126" s="520">
        <v>78</v>
      </c>
      <c r="BQ126" s="693">
        <v>77</v>
      </c>
      <c r="BR126" s="1882" t="s">
        <v>2460</v>
      </c>
      <c r="BS126" s="1882" t="s">
        <v>8513</v>
      </c>
      <c r="BT126" s="1882">
        <v>0</v>
      </c>
      <c r="BU126" s="1882" t="s">
        <v>8513</v>
      </c>
      <c r="BV126" s="1882">
        <v>0</v>
      </c>
      <c r="BW126" s="1882">
        <v>84</v>
      </c>
      <c r="BX126" s="1882" t="s">
        <v>2459</v>
      </c>
      <c r="BY126" s="1882">
        <v>0</v>
      </c>
      <c r="BZ126" s="1882">
        <v>0</v>
      </c>
      <c r="CA126" s="1882">
        <v>0</v>
      </c>
      <c r="CB126" s="1882">
        <v>0</v>
      </c>
      <c r="CC126" s="1882">
        <v>78</v>
      </c>
      <c r="CD126" s="1882" t="s">
        <v>2460</v>
      </c>
      <c r="CE126" s="1882">
        <v>0</v>
      </c>
      <c r="CF126" s="1882">
        <v>0</v>
      </c>
      <c r="CG126" s="1882">
        <v>0</v>
      </c>
      <c r="CH126" s="1882">
        <v>0</v>
      </c>
      <c r="CI126" s="1882">
        <v>75</v>
      </c>
      <c r="CJ126" s="1882" t="s">
        <v>2460</v>
      </c>
      <c r="CK126" s="1882">
        <v>0</v>
      </c>
      <c r="CL126" s="1882">
        <v>0</v>
      </c>
      <c r="CM126" s="1882">
        <v>0</v>
      </c>
      <c r="CN126" s="1882">
        <v>0</v>
      </c>
      <c r="CP126" s="1882" t="s">
        <v>9339</v>
      </c>
    </row>
    <row r="127" spans="1:94">
      <c r="A127" s="1882" t="s">
        <v>8362</v>
      </c>
      <c r="B127" s="1882" t="s">
        <v>9340</v>
      </c>
      <c r="C127" s="1882" t="s">
        <v>8352</v>
      </c>
      <c r="D127" s="1882" t="s">
        <v>8584</v>
      </c>
      <c r="E127" s="1882" t="s">
        <v>8585</v>
      </c>
      <c r="F127" s="1882" t="s">
        <v>9332</v>
      </c>
      <c r="G127" s="1882" t="s">
        <v>9341</v>
      </c>
      <c r="H127" s="1882" t="s">
        <v>9342</v>
      </c>
      <c r="I127" s="1882" t="s">
        <v>9343</v>
      </c>
      <c r="J127" s="1882" t="s">
        <v>8539</v>
      </c>
      <c r="K127" s="1882"/>
      <c r="L127" s="1882"/>
      <c r="M127" s="1882"/>
      <c r="N127" s="1882" t="s">
        <v>8599</v>
      </c>
      <c r="O127" s="1882" t="s">
        <v>732</v>
      </c>
      <c r="P127" s="1882" t="s">
        <v>8696</v>
      </c>
      <c r="Q127" s="520">
        <v>0</v>
      </c>
      <c r="R127" s="1882" t="s">
        <v>8549</v>
      </c>
      <c r="S127" s="1882">
        <v>84</v>
      </c>
      <c r="T127" s="1882">
        <v>84</v>
      </c>
      <c r="U127" s="1882">
        <v>84</v>
      </c>
      <c r="V127" s="1882">
        <v>84</v>
      </c>
      <c r="W127" s="1882">
        <v>84</v>
      </c>
      <c r="X127" s="1882">
        <v>84</v>
      </c>
      <c r="Y127" s="1882"/>
      <c r="Z127" s="1882"/>
      <c r="AA127" s="1882"/>
      <c r="AB127" s="1882"/>
      <c r="AC127" s="1882"/>
      <c r="AD127" s="1882"/>
      <c r="AE127" s="1882"/>
      <c r="AF127" s="1882"/>
      <c r="AG127" s="1882"/>
      <c r="AH127" s="1882">
        <v>0</v>
      </c>
      <c r="AI127" s="1882"/>
      <c r="AJ127" s="1882"/>
      <c r="AK127" s="1882"/>
      <c r="AL127" s="1882"/>
      <c r="AM127" s="1882"/>
      <c r="AN127" s="1882"/>
      <c r="AO127" s="1882"/>
      <c r="AP127" s="1882"/>
      <c r="AQ127" s="1882"/>
      <c r="AR127" s="1882"/>
      <c r="AS127" s="1882"/>
      <c r="AT127" s="1882"/>
      <c r="AU127" s="1882"/>
      <c r="AV127" s="1882"/>
      <c r="AW127" s="1882"/>
      <c r="AX127" s="1882"/>
      <c r="AY127" s="1882"/>
      <c r="AZ127" s="1882"/>
      <c r="BA127" s="1882"/>
      <c r="BB127" s="1882"/>
      <c r="BC127" s="1882"/>
      <c r="BD127" s="1882"/>
      <c r="BE127" s="1882"/>
      <c r="BF127" s="1882"/>
      <c r="BG127" s="1882"/>
      <c r="BH127" s="1882"/>
      <c r="BI127" s="1882"/>
      <c r="BJ127" s="1882"/>
      <c r="BK127" s="1882"/>
      <c r="BL127" s="1882"/>
      <c r="BM127" s="1882"/>
      <c r="BN127" s="1882"/>
      <c r="BO127" s="1882"/>
      <c r="BP127" s="520">
        <v>81</v>
      </c>
      <c r="BQ127" s="693">
        <v>79</v>
      </c>
      <c r="BR127" s="1882" t="s">
        <v>2460</v>
      </c>
      <c r="BS127" s="1882" t="s">
        <v>8513</v>
      </c>
      <c r="BT127" s="1882">
        <v>0</v>
      </c>
      <c r="BU127" s="1882" t="s">
        <v>8513</v>
      </c>
      <c r="BV127" s="1882">
        <v>0</v>
      </c>
      <c r="BW127" s="1882">
        <v>84</v>
      </c>
      <c r="BX127" s="1882" t="s">
        <v>2459</v>
      </c>
      <c r="BY127" s="1882">
        <v>0</v>
      </c>
      <c r="BZ127" s="1882">
        <v>0</v>
      </c>
      <c r="CA127" s="1882">
        <v>0</v>
      </c>
      <c r="CB127" s="1882">
        <v>0</v>
      </c>
      <c r="CC127" s="1882">
        <v>78</v>
      </c>
      <c r="CD127" s="1882" t="s">
        <v>2460</v>
      </c>
      <c r="CE127" s="1882">
        <v>0</v>
      </c>
      <c r="CF127" s="1882">
        <v>0</v>
      </c>
      <c r="CG127" s="1882">
        <v>0</v>
      </c>
      <c r="CH127" s="1882">
        <v>0</v>
      </c>
      <c r="CI127" s="1882">
        <v>78</v>
      </c>
      <c r="CJ127" s="1882" t="s">
        <v>2460</v>
      </c>
      <c r="CK127" s="1882">
        <v>0</v>
      </c>
      <c r="CL127" s="1882">
        <v>0</v>
      </c>
      <c r="CM127" s="1882">
        <v>0</v>
      </c>
      <c r="CN127" s="1882">
        <v>0</v>
      </c>
      <c r="CP127" s="1882" t="s">
        <v>9344</v>
      </c>
    </row>
    <row r="128" spans="1:94">
      <c r="A128" s="1882" t="s">
        <v>8362</v>
      </c>
      <c r="B128" s="1882" t="s">
        <v>9345</v>
      </c>
      <c r="C128" s="1882" t="s">
        <v>8352</v>
      </c>
      <c r="D128" s="1882" t="s">
        <v>8584</v>
      </c>
      <c r="E128" s="1882" t="s">
        <v>8585</v>
      </c>
      <c r="F128" s="1882" t="s">
        <v>9332</v>
      </c>
      <c r="G128" s="1882" t="s">
        <v>9346</v>
      </c>
      <c r="H128" s="1882" t="s">
        <v>9347</v>
      </c>
      <c r="I128" s="1882" t="s">
        <v>9348</v>
      </c>
      <c r="J128" s="1882" t="s">
        <v>8539</v>
      </c>
      <c r="K128" s="1882"/>
      <c r="L128" s="1882"/>
      <c r="M128" s="1882"/>
      <c r="N128" s="1882" t="s">
        <v>8599</v>
      </c>
      <c r="O128" s="1882" t="s">
        <v>732</v>
      </c>
      <c r="P128" s="1882" t="s">
        <v>8696</v>
      </c>
      <c r="Q128" s="520">
        <v>0</v>
      </c>
      <c r="R128" s="1882" t="s">
        <v>8549</v>
      </c>
      <c r="S128" s="1882">
        <v>73</v>
      </c>
      <c r="T128" s="1882">
        <v>73</v>
      </c>
      <c r="U128" s="1882">
        <v>73</v>
      </c>
      <c r="V128" s="1882">
        <v>73</v>
      </c>
      <c r="W128" s="1882">
        <v>73</v>
      </c>
      <c r="X128" s="1882">
        <v>73</v>
      </c>
      <c r="Y128" s="1882"/>
      <c r="Z128" s="1882"/>
      <c r="AA128" s="1882"/>
      <c r="AB128" s="1882"/>
      <c r="AC128" s="1882"/>
      <c r="AD128" s="1882"/>
      <c r="AE128" s="1882"/>
      <c r="AF128" s="1882"/>
      <c r="AG128" s="1882"/>
      <c r="AH128" s="1882">
        <v>0</v>
      </c>
      <c r="AI128" s="1882"/>
      <c r="AJ128" s="1882"/>
      <c r="AK128" s="1882"/>
      <c r="AL128" s="1882"/>
      <c r="AM128" s="1882"/>
      <c r="AN128" s="1882"/>
      <c r="AO128" s="1882"/>
      <c r="AP128" s="1882"/>
      <c r="AQ128" s="1882"/>
      <c r="AR128" s="1882"/>
      <c r="AS128" s="1882"/>
      <c r="AT128" s="1882"/>
      <c r="AU128" s="1882"/>
      <c r="AV128" s="1882"/>
      <c r="AW128" s="1882"/>
      <c r="AX128" s="1882"/>
      <c r="AY128" s="1882"/>
      <c r="AZ128" s="1882"/>
      <c r="BA128" s="1882"/>
      <c r="BB128" s="1882"/>
      <c r="BC128" s="1882"/>
      <c r="BD128" s="1882"/>
      <c r="BE128" s="1882"/>
      <c r="BF128" s="1882"/>
      <c r="BG128" s="1882"/>
      <c r="BH128" s="1882"/>
      <c r="BI128" s="1882"/>
      <c r="BJ128" s="1882"/>
      <c r="BK128" s="1882"/>
      <c r="BL128" s="1882"/>
      <c r="BM128" s="1882"/>
      <c r="BN128" s="1882"/>
      <c r="BO128" s="1882"/>
      <c r="BP128" s="520">
        <v>73</v>
      </c>
      <c r="BQ128" s="693">
        <v>70</v>
      </c>
      <c r="BR128" s="1882" t="s">
        <v>2460</v>
      </c>
      <c r="BS128" s="1882" t="s">
        <v>8513</v>
      </c>
      <c r="BT128" s="1882">
        <v>0</v>
      </c>
      <c r="BU128" s="1882" t="s">
        <v>8513</v>
      </c>
      <c r="BV128" s="1882">
        <v>0</v>
      </c>
      <c r="BW128" s="1882">
        <v>67</v>
      </c>
      <c r="BX128" s="1882" t="s">
        <v>2460</v>
      </c>
      <c r="BY128" s="1882">
        <v>0</v>
      </c>
      <c r="BZ128" s="1882">
        <v>0</v>
      </c>
      <c r="CA128" s="1882">
        <v>0</v>
      </c>
      <c r="CB128" s="1882">
        <v>0</v>
      </c>
      <c r="CC128" s="1882">
        <v>71</v>
      </c>
      <c r="CD128" s="1882" t="s">
        <v>2460</v>
      </c>
      <c r="CE128" s="1882">
        <v>0</v>
      </c>
      <c r="CF128" s="1882">
        <v>0</v>
      </c>
      <c r="CG128" s="1882">
        <v>0</v>
      </c>
      <c r="CH128" s="1882">
        <v>0</v>
      </c>
      <c r="CI128" s="1882">
        <v>71</v>
      </c>
      <c r="CJ128" s="1882" t="s">
        <v>2460</v>
      </c>
      <c r="CK128" s="1882">
        <v>0</v>
      </c>
      <c r="CL128" s="1882">
        <v>0</v>
      </c>
      <c r="CM128" s="1882">
        <v>0</v>
      </c>
      <c r="CN128" s="1882">
        <v>0</v>
      </c>
      <c r="CP128" s="1882" t="s">
        <v>9349</v>
      </c>
    </row>
    <row r="129" spans="1:94">
      <c r="A129" s="1882" t="s">
        <v>8362</v>
      </c>
      <c r="B129" s="1882" t="s">
        <v>9350</v>
      </c>
      <c r="C129" s="1882" t="s">
        <v>8352</v>
      </c>
      <c r="D129" s="1882" t="s">
        <v>8584</v>
      </c>
      <c r="E129" s="1882" t="s">
        <v>8585</v>
      </c>
      <c r="F129" s="1882" t="s">
        <v>9170</v>
      </c>
      <c r="G129" s="1882" t="s">
        <v>8842</v>
      </c>
      <c r="H129" s="1882" t="s">
        <v>9351</v>
      </c>
      <c r="I129" s="1882" t="s">
        <v>9352</v>
      </c>
      <c r="J129" s="1882" t="s">
        <v>8539</v>
      </c>
      <c r="K129" s="1882"/>
      <c r="L129" s="1882"/>
      <c r="M129" s="1882"/>
      <c r="N129" s="1882" t="s">
        <v>8695</v>
      </c>
      <c r="O129" s="1882" t="s">
        <v>732</v>
      </c>
      <c r="P129" s="1882" t="s">
        <v>8696</v>
      </c>
      <c r="Q129" s="520">
        <v>0</v>
      </c>
      <c r="R129" s="1882" t="s">
        <v>8549</v>
      </c>
      <c r="S129" s="1882" t="s">
        <v>9173</v>
      </c>
      <c r="T129" s="1882" t="s">
        <v>9174</v>
      </c>
      <c r="U129" s="1882" t="s">
        <v>9174</v>
      </c>
      <c r="V129" s="1882" t="s">
        <v>9174</v>
      </c>
      <c r="W129" s="1882" t="s">
        <v>9174</v>
      </c>
      <c r="X129" s="1882" t="s">
        <v>9174</v>
      </c>
      <c r="Y129" s="1882"/>
      <c r="Z129" s="1882"/>
      <c r="AA129" s="1882"/>
      <c r="AB129" s="1882"/>
      <c r="AC129" s="1882"/>
      <c r="AD129" s="1882"/>
      <c r="AE129" s="1882"/>
      <c r="AF129" s="1882"/>
      <c r="AG129" s="1882"/>
      <c r="AH129" s="1882">
        <v>0</v>
      </c>
      <c r="AI129" s="1882"/>
      <c r="AJ129" s="1882"/>
      <c r="AK129" s="1882"/>
      <c r="AL129" s="1882"/>
      <c r="AM129" s="1882"/>
      <c r="AN129" s="1882"/>
      <c r="AO129" s="1882"/>
      <c r="AP129" s="1882"/>
      <c r="AQ129" s="1882"/>
      <c r="AR129" s="1882"/>
      <c r="AS129" s="1882"/>
      <c r="AT129" s="1882"/>
      <c r="AU129" s="1882"/>
      <c r="AV129" s="1882"/>
      <c r="AW129" s="1882"/>
      <c r="AX129" s="1882"/>
      <c r="AY129" s="1882"/>
      <c r="AZ129" s="1882"/>
      <c r="BA129" s="1882"/>
      <c r="BB129" s="1882"/>
      <c r="BC129" s="1882"/>
      <c r="BD129" s="1882"/>
      <c r="BE129" s="1882"/>
      <c r="BF129" s="1882"/>
      <c r="BG129" s="1882"/>
      <c r="BH129" s="1882"/>
      <c r="BI129" s="1882"/>
      <c r="BJ129" s="1882"/>
      <c r="BK129" s="1882"/>
      <c r="BL129" s="1882"/>
      <c r="BM129" s="1882"/>
      <c r="BN129" s="1882"/>
      <c r="BO129" s="1882"/>
      <c r="BP129" s="520">
        <v>91</v>
      </c>
      <c r="BQ129" s="692">
        <v>94</v>
      </c>
      <c r="BR129" s="1882" t="s">
        <v>8513</v>
      </c>
      <c r="BS129" s="1882" t="s">
        <v>8513</v>
      </c>
      <c r="BT129" s="1882">
        <v>0</v>
      </c>
      <c r="BU129" s="1882" t="s">
        <v>8513</v>
      </c>
      <c r="BV129" s="1882">
        <v>0</v>
      </c>
      <c r="BW129" s="1882">
        <v>94</v>
      </c>
      <c r="BX129" s="1882" t="s">
        <v>2451</v>
      </c>
      <c r="BY129" s="1882">
        <v>0</v>
      </c>
      <c r="BZ129" s="1882">
        <v>0</v>
      </c>
      <c r="CA129" s="1882">
        <v>0</v>
      </c>
      <c r="CB129" s="1882">
        <v>0</v>
      </c>
      <c r="CC129" s="1882">
        <v>94</v>
      </c>
      <c r="CD129" s="1882" t="s">
        <v>2459</v>
      </c>
      <c r="CE129" s="1882">
        <v>0</v>
      </c>
      <c r="CF129" s="1882">
        <v>0</v>
      </c>
      <c r="CG129" s="1882">
        <v>0</v>
      </c>
      <c r="CH129" s="1882">
        <v>0</v>
      </c>
      <c r="CI129" s="1882">
        <v>93</v>
      </c>
      <c r="CJ129" s="1882" t="s">
        <v>2460</v>
      </c>
      <c r="CK129" s="1882">
        <v>0</v>
      </c>
      <c r="CL129" s="1882">
        <v>0</v>
      </c>
      <c r="CM129" s="1882">
        <v>0</v>
      </c>
      <c r="CN129" s="1882">
        <v>0</v>
      </c>
      <c r="CP129" s="1882" t="s">
        <v>9353</v>
      </c>
    </row>
    <row r="130" spans="1:94">
      <c r="A130" s="1882" t="s">
        <v>8362</v>
      </c>
      <c r="B130" s="1882" t="s">
        <v>9354</v>
      </c>
      <c r="C130" s="1882" t="s">
        <v>8352</v>
      </c>
      <c r="D130" s="1882" t="s">
        <v>8584</v>
      </c>
      <c r="E130" s="1882" t="s">
        <v>8585</v>
      </c>
      <c r="F130" s="1882" t="s">
        <v>9310</v>
      </c>
      <c r="G130" s="1882" t="s">
        <v>9355</v>
      </c>
      <c r="H130" s="1882" t="s">
        <v>9356</v>
      </c>
      <c r="I130" s="1882" t="s">
        <v>9357</v>
      </c>
      <c r="J130" s="1882" t="s">
        <v>8539</v>
      </c>
      <c r="K130" s="1882"/>
      <c r="L130" s="1882"/>
      <c r="M130" s="1882"/>
      <c r="N130" s="1882" t="s">
        <v>8681</v>
      </c>
      <c r="O130" s="1882" t="s">
        <v>764</v>
      </c>
      <c r="P130" s="1882" t="s">
        <v>9180</v>
      </c>
      <c r="Q130" s="520">
        <v>0</v>
      </c>
      <c r="R130" s="1882" t="s">
        <v>8511</v>
      </c>
      <c r="S130" s="1882">
        <v>206</v>
      </c>
      <c r="T130" s="1882">
        <v>194</v>
      </c>
      <c r="U130" s="1882">
        <v>183</v>
      </c>
      <c r="V130" s="1882">
        <v>172</v>
      </c>
      <c r="W130" s="1882">
        <v>161</v>
      </c>
      <c r="X130" s="1882">
        <v>150</v>
      </c>
      <c r="Y130" s="1882"/>
      <c r="Z130" s="1882"/>
      <c r="AA130" s="1882"/>
      <c r="AB130" s="1882"/>
      <c r="AC130" s="1882"/>
      <c r="AD130" s="1882"/>
      <c r="AE130" s="1882"/>
      <c r="AF130" s="1882"/>
      <c r="AG130" s="1882"/>
      <c r="AH130" s="1882">
        <v>0</v>
      </c>
      <c r="AI130" s="1882"/>
      <c r="AJ130" s="1882"/>
      <c r="AK130" s="1882"/>
      <c r="AL130" s="1882"/>
      <c r="AM130" s="1882"/>
      <c r="AN130" s="1882"/>
      <c r="AO130" s="1882"/>
      <c r="AP130" s="1882"/>
      <c r="AQ130" s="1882"/>
      <c r="AR130" s="1882"/>
      <c r="AS130" s="1882"/>
      <c r="AT130" s="1882"/>
      <c r="AU130" s="1882"/>
      <c r="AV130" s="1882"/>
      <c r="AW130" s="1882"/>
      <c r="AX130" s="1882"/>
      <c r="AY130" s="1882"/>
      <c r="AZ130" s="1882"/>
      <c r="BA130" s="1882"/>
      <c r="BB130" s="1882"/>
      <c r="BC130" s="1882"/>
      <c r="BD130" s="1882"/>
      <c r="BE130" s="1882"/>
      <c r="BF130" s="1882"/>
      <c r="BG130" s="1882"/>
      <c r="BH130" s="1882"/>
      <c r="BI130" s="1882"/>
      <c r="BJ130" s="1882"/>
      <c r="BK130" s="1882"/>
      <c r="BL130" s="1882"/>
      <c r="BM130" s="1882"/>
      <c r="BN130" s="1882"/>
      <c r="BO130" s="1882"/>
      <c r="BP130" s="520">
        <v>213.6</v>
      </c>
      <c r="BQ130" s="693">
        <v>225.2</v>
      </c>
      <c r="BR130" s="1882" t="s">
        <v>2460</v>
      </c>
      <c r="BS130" s="1882" t="s">
        <v>8513</v>
      </c>
      <c r="BT130" s="1882">
        <v>0</v>
      </c>
      <c r="BU130" s="1882" t="s">
        <v>8513</v>
      </c>
      <c r="BV130" s="1882">
        <v>0</v>
      </c>
      <c r="BW130" s="1882">
        <v>187.7</v>
      </c>
      <c r="BX130" s="1882" t="s">
        <v>2460</v>
      </c>
      <c r="BY130" s="1882">
        <v>0</v>
      </c>
      <c r="BZ130" s="1882">
        <v>0</v>
      </c>
      <c r="CA130" s="1882">
        <v>0</v>
      </c>
      <c r="CB130" s="1882">
        <v>0</v>
      </c>
      <c r="CC130" s="1882">
        <v>164</v>
      </c>
      <c r="CD130" s="1882" t="s">
        <v>2459</v>
      </c>
      <c r="CE130" s="1882">
        <v>0</v>
      </c>
      <c r="CF130" s="1882">
        <v>0</v>
      </c>
      <c r="CG130" s="1882">
        <v>0</v>
      </c>
      <c r="CH130" s="1882">
        <v>0</v>
      </c>
      <c r="CI130" s="1882">
        <v>148</v>
      </c>
      <c r="CJ130" s="1882" t="s">
        <v>2459</v>
      </c>
      <c r="CK130" s="1882">
        <v>0</v>
      </c>
      <c r="CL130" s="1882">
        <v>0</v>
      </c>
      <c r="CM130" s="1882">
        <v>0</v>
      </c>
      <c r="CN130" s="1882">
        <v>0</v>
      </c>
      <c r="CP130" s="1882" t="s">
        <v>9358</v>
      </c>
    </row>
    <row r="131" spans="1:94" ht="25">
      <c r="A131" s="1882" t="s">
        <v>8362</v>
      </c>
      <c r="B131" s="1882" t="s">
        <v>9359</v>
      </c>
      <c r="C131" s="1882" t="s">
        <v>8352</v>
      </c>
      <c r="D131" s="1882" t="s">
        <v>8584</v>
      </c>
      <c r="E131" s="1882" t="s">
        <v>8585</v>
      </c>
      <c r="F131" s="1882" t="s">
        <v>9310</v>
      </c>
      <c r="G131" s="1882" t="s">
        <v>9360</v>
      </c>
      <c r="H131" s="1882" t="s">
        <v>9361</v>
      </c>
      <c r="I131" s="1882" t="s">
        <v>9362</v>
      </c>
      <c r="J131" s="1882" t="s">
        <v>8539</v>
      </c>
      <c r="K131" s="1882"/>
      <c r="L131" s="1882"/>
      <c r="M131" s="1882"/>
      <c r="N131" s="1882" t="s">
        <v>8673</v>
      </c>
      <c r="O131" s="1882" t="s">
        <v>8797</v>
      </c>
      <c r="P131" s="1882" t="s">
        <v>9185</v>
      </c>
      <c r="Q131" s="520" t="s">
        <v>8512</v>
      </c>
      <c r="R131" s="1882"/>
      <c r="S131" s="1882" t="s">
        <v>9173</v>
      </c>
      <c r="T131" s="1882" t="s">
        <v>9186</v>
      </c>
      <c r="U131" s="1882" t="s">
        <v>9186</v>
      </c>
      <c r="V131" s="1882" t="s">
        <v>9186</v>
      </c>
      <c r="W131" s="1882" t="s">
        <v>9186</v>
      </c>
      <c r="X131" s="1882" t="s">
        <v>9186</v>
      </c>
      <c r="Y131" s="1882"/>
      <c r="Z131" s="1882"/>
      <c r="AA131" s="1882"/>
      <c r="AB131" s="1882"/>
      <c r="AC131" s="1882"/>
      <c r="AD131" s="1882"/>
      <c r="AE131" s="1882"/>
      <c r="AF131" s="1882"/>
      <c r="AG131" s="1882"/>
      <c r="AH131" s="1882">
        <v>0</v>
      </c>
      <c r="AI131" s="1882"/>
      <c r="AJ131" s="1882"/>
      <c r="AK131" s="1882"/>
      <c r="AL131" s="1882"/>
      <c r="AM131" s="1882"/>
      <c r="AN131" s="1882"/>
      <c r="AO131" s="1882"/>
      <c r="AP131" s="1882"/>
      <c r="AQ131" s="1882"/>
      <c r="AR131" s="1882"/>
      <c r="AS131" s="1882"/>
      <c r="AT131" s="1882"/>
      <c r="AU131" s="1882"/>
      <c r="AV131" s="1882"/>
      <c r="AW131" s="1882"/>
      <c r="AX131" s="1882"/>
      <c r="AY131" s="1882"/>
      <c r="AZ131" s="1882"/>
      <c r="BA131" s="1882"/>
      <c r="BB131" s="1882"/>
      <c r="BC131" s="1882"/>
      <c r="BD131" s="1882"/>
      <c r="BE131" s="1882"/>
      <c r="BF131" s="1882"/>
      <c r="BG131" s="1882"/>
      <c r="BH131" s="1882"/>
      <c r="BI131" s="1882"/>
      <c r="BJ131" s="1882"/>
      <c r="BK131" s="1882"/>
      <c r="BL131" s="1882"/>
      <c r="BM131" s="1882"/>
      <c r="BN131" s="1882"/>
      <c r="BO131" s="1882"/>
      <c r="BP131" s="520" t="s">
        <v>3514</v>
      </c>
      <c r="BQ131" s="692" t="s">
        <v>9187</v>
      </c>
      <c r="BR131" s="1882" t="s">
        <v>2459</v>
      </c>
      <c r="BS131" s="1882" t="s">
        <v>8513</v>
      </c>
      <c r="BT131" s="1882">
        <v>0</v>
      </c>
      <c r="BU131" s="1882" t="s">
        <v>8513</v>
      </c>
      <c r="BV131" s="1882">
        <v>0</v>
      </c>
      <c r="BW131" s="1882" t="s">
        <v>9188</v>
      </c>
      <c r="BX131" s="1882" t="s">
        <v>2459</v>
      </c>
      <c r="BY131" s="1882">
        <v>0</v>
      </c>
      <c r="BZ131" s="1882">
        <v>0</v>
      </c>
      <c r="CA131" s="1882">
        <v>0</v>
      </c>
      <c r="CB131" s="1882">
        <v>0</v>
      </c>
      <c r="CC131" s="1882" t="s">
        <v>9189</v>
      </c>
      <c r="CD131" s="1882" t="s">
        <v>2459</v>
      </c>
      <c r="CE131" s="1882">
        <v>0</v>
      </c>
      <c r="CF131" s="1882">
        <v>0</v>
      </c>
      <c r="CG131" s="1882">
        <v>0</v>
      </c>
      <c r="CH131" s="1882">
        <v>0</v>
      </c>
      <c r="CI131" s="1882" t="s">
        <v>9190</v>
      </c>
      <c r="CJ131" s="1882" t="s">
        <v>2459</v>
      </c>
      <c r="CK131" s="1882">
        <v>0</v>
      </c>
      <c r="CL131" s="1882">
        <v>0</v>
      </c>
      <c r="CM131" s="1882">
        <v>0</v>
      </c>
      <c r="CN131" s="1882">
        <v>0</v>
      </c>
      <c r="CP131" s="1882" t="s">
        <v>9363</v>
      </c>
    </row>
    <row r="132" spans="1:94">
      <c r="A132" s="1882" t="s">
        <v>8362</v>
      </c>
      <c r="B132" s="1882" t="s">
        <v>9364</v>
      </c>
      <c r="C132" s="1882" t="s">
        <v>8352</v>
      </c>
      <c r="D132" s="1882" t="s">
        <v>8584</v>
      </c>
      <c r="E132" s="1882" t="s">
        <v>8585</v>
      </c>
      <c r="F132" s="1882" t="s">
        <v>9365</v>
      </c>
      <c r="G132" s="1882" t="s">
        <v>9366</v>
      </c>
      <c r="H132" s="1882" t="s">
        <v>9367</v>
      </c>
      <c r="I132" s="1882" t="s">
        <v>9368</v>
      </c>
      <c r="J132" s="1882" t="s">
        <v>8519</v>
      </c>
      <c r="K132" s="1882" t="s">
        <v>8509</v>
      </c>
      <c r="L132" s="1882"/>
      <c r="M132" s="1882" t="s">
        <v>2460</v>
      </c>
      <c r="N132" s="1882" t="s">
        <v>8599</v>
      </c>
      <c r="O132" s="1882" t="s">
        <v>49</v>
      </c>
      <c r="P132" s="1882" t="s">
        <v>9369</v>
      </c>
      <c r="Q132" s="520">
        <v>3</v>
      </c>
      <c r="R132" s="1882"/>
      <c r="S132" s="1882">
        <v>0</v>
      </c>
      <c r="T132" s="1882" t="s">
        <v>3504</v>
      </c>
      <c r="U132" s="1882" t="s">
        <v>3504</v>
      </c>
      <c r="V132" s="1882" t="s">
        <v>3504</v>
      </c>
      <c r="W132" s="1882" t="s">
        <v>3504</v>
      </c>
      <c r="X132" s="1882">
        <v>5.4930000000000003</v>
      </c>
      <c r="Y132" s="1882"/>
      <c r="Z132" s="1882"/>
      <c r="AA132" s="1882"/>
      <c r="AB132" s="1882"/>
      <c r="AC132" s="1882"/>
      <c r="AD132" s="1882" t="s">
        <v>2459</v>
      </c>
      <c r="AE132" s="1882"/>
      <c r="AF132" s="1882"/>
      <c r="AG132" s="1882"/>
      <c r="AH132" s="1882">
        <v>0</v>
      </c>
      <c r="AI132" s="1882"/>
      <c r="AJ132" s="1882"/>
      <c r="AK132" s="1882" t="s">
        <v>2459</v>
      </c>
      <c r="AL132" s="1882" t="s">
        <v>2459</v>
      </c>
      <c r="AM132" s="1882" t="s">
        <v>2459</v>
      </c>
      <c r="AN132" s="1882" t="s">
        <v>3504</v>
      </c>
      <c r="AO132" s="1882" t="s">
        <v>3504</v>
      </c>
      <c r="AP132" s="1882" t="s">
        <v>9287</v>
      </c>
      <c r="AQ132" s="1882" t="s">
        <v>9287</v>
      </c>
      <c r="AR132" s="1882" t="s">
        <v>9287</v>
      </c>
      <c r="AS132" s="1882" t="s">
        <v>3504</v>
      </c>
      <c r="AT132" s="1882" t="s">
        <v>3504</v>
      </c>
      <c r="AU132" s="1882" t="s">
        <v>9287</v>
      </c>
      <c r="AV132" s="1882" t="s">
        <v>9287</v>
      </c>
      <c r="AW132" s="1882" t="s">
        <v>9287</v>
      </c>
      <c r="AX132" s="1882"/>
      <c r="AY132" s="1882"/>
      <c r="AZ132" s="1882"/>
      <c r="BA132" s="1882"/>
      <c r="BB132" s="1882"/>
      <c r="BC132" s="1882"/>
      <c r="BD132" s="1882"/>
      <c r="BE132" s="1882"/>
      <c r="BF132" s="1882"/>
      <c r="BG132" s="1882"/>
      <c r="BH132" s="1882" t="s">
        <v>9370</v>
      </c>
      <c r="BI132" s="1882">
        <v>1.25</v>
      </c>
      <c r="BJ132" s="1882"/>
      <c r="BK132" s="1882"/>
      <c r="BL132" s="1882"/>
      <c r="BM132" s="1882"/>
      <c r="BN132" s="1882">
        <v>1</v>
      </c>
      <c r="BO132" s="1882" t="s">
        <v>8512</v>
      </c>
      <c r="BP132" s="520" t="s">
        <v>3514</v>
      </c>
      <c r="BQ132" s="692" t="s">
        <v>3514</v>
      </c>
      <c r="BR132" s="1882" t="s">
        <v>8513</v>
      </c>
      <c r="BS132" s="1882" t="s">
        <v>8513</v>
      </c>
      <c r="BT132" s="1882">
        <v>0</v>
      </c>
      <c r="BU132" s="1882" t="s">
        <v>8513</v>
      </c>
      <c r="BV132" s="1882">
        <v>0</v>
      </c>
      <c r="BW132" s="1882" t="s">
        <v>3514</v>
      </c>
      <c r="BX132" s="1882" t="s">
        <v>2451</v>
      </c>
      <c r="BY132" s="1882">
        <v>0</v>
      </c>
      <c r="BZ132" s="1882">
        <v>0</v>
      </c>
      <c r="CA132" s="1882">
        <v>0</v>
      </c>
      <c r="CB132" s="1882">
        <v>0</v>
      </c>
      <c r="CC132" s="1882" t="s">
        <v>9371</v>
      </c>
      <c r="CD132" s="1882" t="s">
        <v>2451</v>
      </c>
      <c r="CE132" s="1882">
        <v>0</v>
      </c>
      <c r="CF132" s="1882">
        <v>0</v>
      </c>
      <c r="CG132" s="1882">
        <v>0</v>
      </c>
      <c r="CH132" s="1882">
        <v>0</v>
      </c>
      <c r="CI132" s="1882" t="s">
        <v>2451</v>
      </c>
      <c r="CJ132" s="1882" t="s">
        <v>2460</v>
      </c>
      <c r="CK132" s="1882">
        <v>0</v>
      </c>
      <c r="CL132" s="1882">
        <v>0</v>
      </c>
      <c r="CM132" s="1882" t="s">
        <v>8384</v>
      </c>
      <c r="CN132" s="1882">
        <v>-0.13</v>
      </c>
      <c r="CP132" s="1882" t="s">
        <v>9372</v>
      </c>
    </row>
    <row r="133" spans="1:94">
      <c r="A133" s="1882" t="s">
        <v>9373</v>
      </c>
      <c r="B133" s="1882" t="s">
        <v>9374</v>
      </c>
      <c r="C133" s="1882" t="s">
        <v>8394</v>
      </c>
      <c r="D133" s="1882" t="s">
        <v>1626</v>
      </c>
      <c r="E133" s="1882" t="s">
        <v>8503</v>
      </c>
      <c r="F133" s="1882" t="s">
        <v>9375</v>
      </c>
      <c r="G133" s="1882" t="s">
        <v>7234</v>
      </c>
      <c r="H133" s="1882" t="s">
        <v>9376</v>
      </c>
      <c r="I133" s="1882" t="s">
        <v>9377</v>
      </c>
      <c r="J133" s="1882" t="s">
        <v>8508</v>
      </c>
      <c r="K133" s="1882" t="s">
        <v>8509</v>
      </c>
      <c r="L133" s="1882"/>
      <c r="M133" s="1882"/>
      <c r="N133" s="1882" t="s">
        <v>8569</v>
      </c>
      <c r="O133" s="1882" t="s">
        <v>764</v>
      </c>
      <c r="P133" s="1882" t="s">
        <v>8570</v>
      </c>
      <c r="Q133" s="520">
        <v>0</v>
      </c>
      <c r="R133" s="1882" t="s">
        <v>8511</v>
      </c>
      <c r="S133" s="1882">
        <v>342</v>
      </c>
      <c r="T133" s="1882">
        <v>342</v>
      </c>
      <c r="U133" s="1882">
        <v>342</v>
      </c>
      <c r="V133" s="1882">
        <v>342</v>
      </c>
      <c r="W133" s="1882">
        <v>342</v>
      </c>
      <c r="X133" s="1882">
        <v>342</v>
      </c>
      <c r="Y133" s="1882"/>
      <c r="Z133" s="1882"/>
      <c r="AA133" s="1882"/>
      <c r="AB133" s="1882"/>
      <c r="AC133" s="1882"/>
      <c r="AD133" s="1882"/>
      <c r="AE133" s="1882" t="s">
        <v>2459</v>
      </c>
      <c r="AF133" s="1882"/>
      <c r="AG133" s="1882"/>
      <c r="AH133" s="1882">
        <v>0</v>
      </c>
      <c r="AI133" s="1882"/>
      <c r="AJ133" s="1882"/>
      <c r="AK133" s="1882"/>
      <c r="AL133" s="1882"/>
      <c r="AM133" s="1882" t="s">
        <v>2459</v>
      </c>
      <c r="AN133" s="1882">
        <v>600</v>
      </c>
      <c r="AO133" s="1882">
        <v>600</v>
      </c>
      <c r="AP133" s="1882">
        <v>600</v>
      </c>
      <c r="AQ133" s="1882">
        <v>600</v>
      </c>
      <c r="AR133" s="1882">
        <v>600</v>
      </c>
      <c r="AS133" s="1882">
        <v>435</v>
      </c>
      <c r="AT133" s="1882">
        <v>435</v>
      </c>
      <c r="AU133" s="1882">
        <v>435</v>
      </c>
      <c r="AV133" s="1882">
        <v>435</v>
      </c>
      <c r="AW133" s="1882">
        <v>435</v>
      </c>
      <c r="AX133" s="1882">
        <v>250</v>
      </c>
      <c r="AY133" s="1882">
        <v>250</v>
      </c>
      <c r="AZ133" s="1882">
        <v>250</v>
      </c>
      <c r="BA133" s="1882">
        <v>250</v>
      </c>
      <c r="BB133" s="1882">
        <v>250</v>
      </c>
      <c r="BC133" s="1882">
        <v>100</v>
      </c>
      <c r="BD133" s="1882">
        <v>100</v>
      </c>
      <c r="BE133" s="1882">
        <v>100</v>
      </c>
      <c r="BF133" s="1882">
        <v>100</v>
      </c>
      <c r="BG133" s="1882">
        <v>100</v>
      </c>
      <c r="BH133" s="1882">
        <v>4.457E-3</v>
      </c>
      <c r="BI133" s="1882"/>
      <c r="BJ133" s="1882"/>
      <c r="BK133" s="1882"/>
      <c r="BL133" s="1882">
        <v>1.642E-3</v>
      </c>
      <c r="BM133" s="1882"/>
      <c r="BN133" s="1882">
        <v>1</v>
      </c>
      <c r="BO133" s="1882" t="s">
        <v>8512</v>
      </c>
      <c r="BP133" s="520">
        <v>294</v>
      </c>
      <c r="BQ133" s="693">
        <v>219</v>
      </c>
      <c r="BR133" s="1882" t="s">
        <v>2459</v>
      </c>
      <c r="BS133" s="1882" t="s">
        <v>8513</v>
      </c>
      <c r="BT133" s="1882">
        <v>0</v>
      </c>
      <c r="BU133" s="1882" t="s">
        <v>8513</v>
      </c>
      <c r="BV133" s="1882">
        <v>0</v>
      </c>
      <c r="BW133" s="1882">
        <v>298</v>
      </c>
      <c r="BX133" s="1882" t="s">
        <v>2459</v>
      </c>
      <c r="BY133" s="1882">
        <v>0</v>
      </c>
      <c r="BZ133" s="1882">
        <v>0</v>
      </c>
      <c r="CA133" s="1882">
        <v>0</v>
      </c>
      <c r="CB133" s="1882">
        <v>0</v>
      </c>
      <c r="CC133" s="1882">
        <v>347</v>
      </c>
      <c r="CD133" s="1882" t="s">
        <v>2451</v>
      </c>
      <c r="CE133" s="1882">
        <v>0</v>
      </c>
      <c r="CF133" s="1882">
        <v>0</v>
      </c>
      <c r="CG133" s="1882">
        <v>0</v>
      </c>
      <c r="CH133" s="1882">
        <v>0</v>
      </c>
      <c r="CI133" s="1882">
        <v>347</v>
      </c>
      <c r="CJ133" s="1882" t="s">
        <v>2460</v>
      </c>
      <c r="CK133" s="1882">
        <v>0</v>
      </c>
      <c r="CL133" s="1882">
        <v>0</v>
      </c>
      <c r="CM133" s="1882" t="s">
        <v>8388</v>
      </c>
      <c r="CN133" s="1882">
        <v>0</v>
      </c>
      <c r="CP133" s="1882" t="s">
        <v>9378</v>
      </c>
    </row>
    <row r="134" spans="1:94">
      <c r="A134" s="1882" t="s">
        <v>9373</v>
      </c>
      <c r="B134" s="1882" t="s">
        <v>9379</v>
      </c>
      <c r="C134" s="1882" t="s">
        <v>8394</v>
      </c>
      <c r="D134" s="1882" t="s">
        <v>1626</v>
      </c>
      <c r="E134" s="1882" t="s">
        <v>8503</v>
      </c>
      <c r="F134" s="1882" t="s">
        <v>9375</v>
      </c>
      <c r="G134" s="1882" t="s">
        <v>7235</v>
      </c>
      <c r="H134" s="1882" t="s">
        <v>9380</v>
      </c>
      <c r="I134" s="1882" t="s">
        <v>9381</v>
      </c>
      <c r="J134" s="1882" t="s">
        <v>8519</v>
      </c>
      <c r="K134" s="1882" t="s">
        <v>8509</v>
      </c>
      <c r="L134" s="1882"/>
      <c r="M134" s="1882"/>
      <c r="N134" s="1882" t="s">
        <v>8547</v>
      </c>
      <c r="O134" s="1882" t="s">
        <v>732</v>
      </c>
      <c r="P134" s="1882" t="s">
        <v>8548</v>
      </c>
      <c r="Q134" s="520">
        <v>2</v>
      </c>
      <c r="R134" s="1882" t="s">
        <v>8549</v>
      </c>
      <c r="S134" s="1882">
        <v>99.98</v>
      </c>
      <c r="T134" s="1882">
        <v>99.98</v>
      </c>
      <c r="U134" s="1882">
        <v>99.98</v>
      </c>
      <c r="V134" s="1882">
        <v>100</v>
      </c>
      <c r="W134" s="1882">
        <v>100</v>
      </c>
      <c r="X134" s="1882">
        <v>100</v>
      </c>
      <c r="Y134" s="1882" t="s">
        <v>2459</v>
      </c>
      <c r="Z134" s="1882"/>
      <c r="AA134" s="1882"/>
      <c r="AB134" s="1882"/>
      <c r="AC134" s="1882"/>
      <c r="AD134" s="1882"/>
      <c r="AE134" s="1882" t="s">
        <v>2459</v>
      </c>
      <c r="AF134" s="1882"/>
      <c r="AG134" s="1882"/>
      <c r="AH134" s="1882">
        <v>0</v>
      </c>
      <c r="AI134" s="1882" t="s">
        <v>2459</v>
      </c>
      <c r="AJ134" s="1882" t="s">
        <v>2459</v>
      </c>
      <c r="AK134" s="1882" t="s">
        <v>2459</v>
      </c>
      <c r="AL134" s="1882" t="s">
        <v>2459</v>
      </c>
      <c r="AM134" s="1882" t="s">
        <v>2459</v>
      </c>
      <c r="AN134" s="1882">
        <v>0</v>
      </c>
      <c r="AO134" s="1882">
        <v>0</v>
      </c>
      <c r="AP134" s="1882">
        <v>0</v>
      </c>
      <c r="AQ134" s="1882">
        <v>0</v>
      </c>
      <c r="AR134" s="1882">
        <v>0</v>
      </c>
      <c r="AS134" s="1882">
        <v>99.95</v>
      </c>
      <c r="AT134" s="1882">
        <v>99.95</v>
      </c>
      <c r="AU134" s="1882">
        <v>99.95</v>
      </c>
      <c r="AV134" s="1882">
        <v>99.95</v>
      </c>
      <c r="AW134" s="1882">
        <v>99.95</v>
      </c>
      <c r="AX134" s="1882"/>
      <c r="AY134" s="1882"/>
      <c r="AZ134" s="1882"/>
      <c r="BA134" s="1882"/>
      <c r="BB134" s="1882"/>
      <c r="BC134" s="1882"/>
      <c r="BD134" s="1882"/>
      <c r="BE134" s="1882"/>
      <c r="BF134" s="1882"/>
      <c r="BG134" s="1882"/>
      <c r="BH134" s="1882">
        <v>0.31941999999999998</v>
      </c>
      <c r="BI134" s="1882"/>
      <c r="BJ134" s="1882"/>
      <c r="BK134" s="1882"/>
      <c r="BL134" s="1882"/>
      <c r="BM134" s="1882"/>
      <c r="BN134" s="1882">
        <v>100</v>
      </c>
      <c r="BO134" s="1882" t="s">
        <v>8512</v>
      </c>
      <c r="BP134" s="520">
        <v>99.97</v>
      </c>
      <c r="BQ134" s="694">
        <v>99.94</v>
      </c>
      <c r="BR134" s="1882" t="s">
        <v>2460</v>
      </c>
      <c r="BS134" s="1882" t="s">
        <v>8513</v>
      </c>
      <c r="BT134" s="1882">
        <v>0</v>
      </c>
      <c r="BU134" s="1882" t="s">
        <v>8563</v>
      </c>
      <c r="BV134" s="1882">
        <v>-0.31941999999999998</v>
      </c>
      <c r="BW134" s="1882">
        <v>99.99</v>
      </c>
      <c r="BX134" s="1882" t="s">
        <v>2459</v>
      </c>
      <c r="BY134" s="1882">
        <v>0</v>
      </c>
      <c r="BZ134" s="1882">
        <v>0</v>
      </c>
      <c r="CA134" s="1882">
        <v>0</v>
      </c>
      <c r="CB134" s="1882">
        <v>0</v>
      </c>
      <c r="CC134" s="1882">
        <v>99.93</v>
      </c>
      <c r="CD134" s="1882" t="s">
        <v>2460</v>
      </c>
      <c r="CE134" s="1882">
        <v>0</v>
      </c>
      <c r="CF134" s="1882">
        <v>0</v>
      </c>
      <c r="CG134" s="1882" t="s">
        <v>8384</v>
      </c>
      <c r="CH134" s="1882">
        <v>-0.31940000000000002</v>
      </c>
      <c r="CI134" s="1882">
        <v>99.96</v>
      </c>
      <c r="CJ134" s="1882" t="s">
        <v>2459</v>
      </c>
      <c r="CK134" s="1882">
        <v>0</v>
      </c>
      <c r="CL134" s="1882">
        <v>0</v>
      </c>
      <c r="CM134" s="1882" t="s">
        <v>8388</v>
      </c>
      <c r="CN134" s="1882">
        <v>0</v>
      </c>
      <c r="CP134" s="1882" t="s">
        <v>9382</v>
      </c>
    </row>
    <row r="135" spans="1:94">
      <c r="A135" s="1882" t="s">
        <v>9373</v>
      </c>
      <c r="B135" s="1882" t="s">
        <v>9383</v>
      </c>
      <c r="C135" s="1882" t="s">
        <v>8394</v>
      </c>
      <c r="D135" s="1882" t="s">
        <v>1626</v>
      </c>
      <c r="E135" s="1882" t="s">
        <v>8503</v>
      </c>
      <c r="F135" s="1882" t="s">
        <v>9375</v>
      </c>
      <c r="G135" s="1882" t="s">
        <v>8233</v>
      </c>
      <c r="H135" s="1882" t="s">
        <v>9384</v>
      </c>
      <c r="I135" s="1882" t="s">
        <v>9385</v>
      </c>
      <c r="J135" s="1882" t="s">
        <v>8508</v>
      </c>
      <c r="K135" s="1882" t="s">
        <v>8509</v>
      </c>
      <c r="L135" s="1882"/>
      <c r="M135" s="1882"/>
      <c r="N135" s="1882" t="s">
        <v>8463</v>
      </c>
      <c r="O135" s="1882" t="s">
        <v>764</v>
      </c>
      <c r="P135" s="1882" t="s">
        <v>9386</v>
      </c>
      <c r="Q135" s="520">
        <v>3</v>
      </c>
      <c r="R135" s="1882" t="s">
        <v>8511</v>
      </c>
      <c r="S135" s="1882">
        <v>0.434</v>
      </c>
      <c r="T135" s="1882">
        <v>0.42899999999999999</v>
      </c>
      <c r="U135" s="1882">
        <v>0.42499999999999999</v>
      </c>
      <c r="V135" s="1882">
        <v>0.42099999999999999</v>
      </c>
      <c r="W135" s="1882">
        <v>0.41699999999999998</v>
      </c>
      <c r="X135" s="1882">
        <v>0.41299999999999998</v>
      </c>
      <c r="Y135" s="1882"/>
      <c r="Z135" s="1882" t="s">
        <v>2459</v>
      </c>
      <c r="AA135" s="1882"/>
      <c r="AB135" s="1882"/>
      <c r="AC135" s="1882"/>
      <c r="AD135" s="1882"/>
      <c r="AE135" s="1882" t="s">
        <v>2459</v>
      </c>
      <c r="AF135" s="1882"/>
      <c r="AG135" s="1882"/>
      <c r="AH135" s="1882">
        <v>0</v>
      </c>
      <c r="AI135" s="1882"/>
      <c r="AJ135" s="1882"/>
      <c r="AK135" s="1882"/>
      <c r="AL135" s="1882"/>
      <c r="AM135" s="1882" t="s">
        <v>2459</v>
      </c>
      <c r="AN135" s="1882">
        <v>0.505</v>
      </c>
      <c r="AO135" s="1882">
        <v>0.505</v>
      </c>
      <c r="AP135" s="1882">
        <v>0.505</v>
      </c>
      <c r="AQ135" s="1882">
        <v>0.505</v>
      </c>
      <c r="AR135" s="1882">
        <v>0.505</v>
      </c>
      <c r="AS135" s="1882">
        <v>0.42899999999999999</v>
      </c>
      <c r="AT135" s="1882">
        <v>0.42499999999999999</v>
      </c>
      <c r="AU135" s="1882">
        <v>0.42099999999999999</v>
      </c>
      <c r="AV135" s="1882">
        <v>0.41699999999999998</v>
      </c>
      <c r="AW135" s="1882">
        <v>0.41299999999999998</v>
      </c>
      <c r="AX135" s="1882">
        <v>0.42899999999999999</v>
      </c>
      <c r="AY135" s="1882">
        <v>0.42499999999999999</v>
      </c>
      <c r="AZ135" s="1882">
        <v>0.42099999999999999</v>
      </c>
      <c r="BA135" s="1882">
        <v>0.41699999999999998</v>
      </c>
      <c r="BB135" s="1882">
        <v>0.41299999999999998</v>
      </c>
      <c r="BC135" s="1882">
        <v>0.33700000000000002</v>
      </c>
      <c r="BD135" s="1882">
        <v>0.33700000000000002</v>
      </c>
      <c r="BE135" s="1882">
        <v>0.33700000000000002</v>
      </c>
      <c r="BF135" s="1882">
        <v>0.33700000000000002</v>
      </c>
      <c r="BG135" s="1882">
        <v>0.33700000000000002</v>
      </c>
      <c r="BH135" s="1882">
        <v>0.22655</v>
      </c>
      <c r="BI135" s="1882"/>
      <c r="BJ135" s="1882"/>
      <c r="BK135" s="1882"/>
      <c r="BL135" s="1882">
        <v>5.8854999999999998E-2</v>
      </c>
      <c r="BM135" s="1882"/>
      <c r="BN135" s="1882">
        <v>100</v>
      </c>
      <c r="BO135" s="1882" t="s">
        <v>9387</v>
      </c>
      <c r="BP135" s="520">
        <v>0.84099999999999997</v>
      </c>
      <c r="BQ135" s="704">
        <v>0.56999999999999995</v>
      </c>
      <c r="BR135" s="1882" t="s">
        <v>2460</v>
      </c>
      <c r="BS135" s="1882" t="s">
        <v>8513</v>
      </c>
      <c r="BT135" s="1882">
        <v>0</v>
      </c>
      <c r="BU135" s="1882" t="s">
        <v>8513</v>
      </c>
      <c r="BV135" s="1882">
        <v>0</v>
      </c>
      <c r="BW135" s="1882">
        <v>0.67</v>
      </c>
      <c r="BX135" s="1882" t="s">
        <v>2460</v>
      </c>
      <c r="BY135" s="1882">
        <v>0</v>
      </c>
      <c r="BZ135" s="1882">
        <v>0</v>
      </c>
      <c r="CA135" s="1882">
        <v>0</v>
      </c>
      <c r="CB135" s="1882">
        <v>0</v>
      </c>
      <c r="CC135" s="1882">
        <v>0.54900000000000004</v>
      </c>
      <c r="CD135" s="1882" t="s">
        <v>2460</v>
      </c>
      <c r="CE135" s="1882">
        <v>0</v>
      </c>
      <c r="CF135" s="1882">
        <v>0</v>
      </c>
      <c r="CG135" s="1882">
        <v>0</v>
      </c>
      <c r="CH135" s="1882">
        <v>0</v>
      </c>
      <c r="CI135" s="1882">
        <v>0.437</v>
      </c>
      <c r="CJ135" s="1882" t="s">
        <v>2460</v>
      </c>
      <c r="CK135" s="1882">
        <v>0</v>
      </c>
      <c r="CL135" s="1882">
        <v>0</v>
      </c>
      <c r="CM135" s="1882">
        <v>0</v>
      </c>
      <c r="CN135" s="1882">
        <v>0</v>
      </c>
      <c r="CP135" s="1882" t="s">
        <v>9388</v>
      </c>
    </row>
    <row r="136" spans="1:94">
      <c r="A136" s="1882" t="s">
        <v>9373</v>
      </c>
      <c r="B136" s="1882" t="s">
        <v>9389</v>
      </c>
      <c r="C136" s="1882" t="s">
        <v>8394</v>
      </c>
      <c r="D136" s="1882" t="s">
        <v>1626</v>
      </c>
      <c r="E136" s="1882" t="s">
        <v>8503</v>
      </c>
      <c r="F136" s="1882" t="s">
        <v>9375</v>
      </c>
      <c r="G136" s="1882" t="s">
        <v>8236</v>
      </c>
      <c r="H136" s="1882" t="s">
        <v>9390</v>
      </c>
      <c r="I136" s="1882" t="s">
        <v>9391</v>
      </c>
      <c r="J136" s="1882" t="s">
        <v>8539</v>
      </c>
      <c r="K136" s="1882"/>
      <c r="L136" s="1882"/>
      <c r="M136" s="1882"/>
      <c r="N136" s="1882" t="s">
        <v>8635</v>
      </c>
      <c r="O136" s="1882" t="s">
        <v>764</v>
      </c>
      <c r="P136" s="1882" t="s">
        <v>9392</v>
      </c>
      <c r="Q136" s="520">
        <v>0</v>
      </c>
      <c r="R136" s="1882" t="s">
        <v>8511</v>
      </c>
      <c r="S136" s="1882">
        <v>0</v>
      </c>
      <c r="T136" s="1882">
        <v>0</v>
      </c>
      <c r="U136" s="1882">
        <v>0</v>
      </c>
      <c r="V136" s="1882">
        <v>0</v>
      </c>
      <c r="W136" s="1882">
        <v>0</v>
      </c>
      <c r="X136" s="1882">
        <v>0</v>
      </c>
      <c r="Y136" s="1882"/>
      <c r="Z136" s="1882"/>
      <c r="AA136" s="1882"/>
      <c r="AB136" s="1882"/>
      <c r="AC136" s="1882"/>
      <c r="AD136" s="1882"/>
      <c r="AE136" s="1882"/>
      <c r="AF136" s="1882"/>
      <c r="AG136" s="1882"/>
      <c r="AH136" s="1882">
        <v>0</v>
      </c>
      <c r="AI136" s="1882"/>
      <c r="AJ136" s="1882"/>
      <c r="AK136" s="1882"/>
      <c r="AL136" s="1882"/>
      <c r="AM136" s="1882"/>
      <c r="AN136" s="1882"/>
      <c r="AO136" s="1882"/>
      <c r="AP136" s="1882"/>
      <c r="AQ136" s="1882"/>
      <c r="AR136" s="1882"/>
      <c r="AS136" s="1882"/>
      <c r="AT136" s="1882"/>
      <c r="AU136" s="1882"/>
      <c r="AV136" s="1882"/>
      <c r="AW136" s="1882"/>
      <c r="AX136" s="1882"/>
      <c r="AY136" s="1882"/>
      <c r="AZ136" s="1882"/>
      <c r="BA136" s="1882"/>
      <c r="BB136" s="1882"/>
      <c r="BC136" s="1882"/>
      <c r="BD136" s="1882"/>
      <c r="BE136" s="1882"/>
      <c r="BF136" s="1882"/>
      <c r="BG136" s="1882"/>
      <c r="BH136" s="1882"/>
      <c r="BI136" s="1882"/>
      <c r="BJ136" s="1882"/>
      <c r="BK136" s="1882"/>
      <c r="BL136" s="1882"/>
      <c r="BM136" s="1882"/>
      <c r="BN136" s="1882"/>
      <c r="BO136" s="1882"/>
      <c r="BP136" s="520">
        <v>0</v>
      </c>
      <c r="BQ136" s="693">
        <v>0</v>
      </c>
      <c r="BR136" s="1882" t="s">
        <v>2459</v>
      </c>
      <c r="BS136" s="1882" t="s">
        <v>8513</v>
      </c>
      <c r="BT136" s="1882">
        <v>0</v>
      </c>
      <c r="BU136" s="1882" t="s">
        <v>8513</v>
      </c>
      <c r="BV136" s="1882">
        <v>0</v>
      </c>
      <c r="BW136" s="1882">
        <v>0</v>
      </c>
      <c r="BX136" s="1882" t="s">
        <v>2459</v>
      </c>
      <c r="BY136" s="1882">
        <v>0</v>
      </c>
      <c r="BZ136" s="1882">
        <v>0</v>
      </c>
      <c r="CA136" s="1882">
        <v>0</v>
      </c>
      <c r="CB136" s="1882">
        <v>0</v>
      </c>
      <c r="CC136" s="1882">
        <v>0</v>
      </c>
      <c r="CD136" s="1882" t="s">
        <v>2459</v>
      </c>
      <c r="CE136" s="1882">
        <v>0</v>
      </c>
      <c r="CF136" s="1882">
        <v>0</v>
      </c>
      <c r="CG136" s="1882">
        <v>0</v>
      </c>
      <c r="CH136" s="1882">
        <v>0</v>
      </c>
      <c r="CI136" s="1882">
        <v>0</v>
      </c>
      <c r="CJ136" s="1882" t="s">
        <v>2459</v>
      </c>
      <c r="CK136" s="1882">
        <v>0</v>
      </c>
      <c r="CL136" s="1882">
        <v>0</v>
      </c>
      <c r="CM136" s="1882">
        <v>0</v>
      </c>
      <c r="CN136" s="1882">
        <v>0</v>
      </c>
      <c r="CP136" s="1882" t="s">
        <v>9393</v>
      </c>
    </row>
    <row r="137" spans="1:94">
      <c r="A137" s="1882" t="s">
        <v>9373</v>
      </c>
      <c r="B137" s="1882" t="s">
        <v>9394</v>
      </c>
      <c r="C137" s="1882" t="s">
        <v>8394</v>
      </c>
      <c r="D137" s="1882" t="s">
        <v>1626</v>
      </c>
      <c r="E137" s="1882" t="s">
        <v>8503</v>
      </c>
      <c r="F137" s="1882" t="s">
        <v>9395</v>
      </c>
      <c r="G137" s="1882" t="s">
        <v>7236</v>
      </c>
      <c r="H137" s="1882" t="s">
        <v>9396</v>
      </c>
      <c r="I137" s="1882" t="s">
        <v>9397</v>
      </c>
      <c r="J137" s="1882" t="s">
        <v>8508</v>
      </c>
      <c r="K137" s="1882" t="s">
        <v>8509</v>
      </c>
      <c r="L137" s="1882"/>
      <c r="M137" s="1882"/>
      <c r="N137" s="1882" t="s">
        <v>2444</v>
      </c>
      <c r="O137" s="1882" t="s">
        <v>764</v>
      </c>
      <c r="P137" s="1882" t="s">
        <v>8510</v>
      </c>
      <c r="Q137" s="520">
        <v>2</v>
      </c>
      <c r="R137" s="1882" t="s">
        <v>8511</v>
      </c>
      <c r="S137" s="1882">
        <v>30</v>
      </c>
      <c r="T137" s="1882">
        <v>30</v>
      </c>
      <c r="U137" s="1882">
        <v>29.95</v>
      </c>
      <c r="V137" s="1882">
        <v>29.9</v>
      </c>
      <c r="W137" s="1882">
        <v>29.85</v>
      </c>
      <c r="X137" s="1882">
        <v>29.8</v>
      </c>
      <c r="Y137" s="1882"/>
      <c r="Z137" s="1882"/>
      <c r="AA137" s="1882"/>
      <c r="AB137" s="1882"/>
      <c r="AC137" s="1882"/>
      <c r="AD137" s="1882"/>
      <c r="AE137" s="1882" t="s">
        <v>2459</v>
      </c>
      <c r="AF137" s="1882"/>
      <c r="AG137" s="1882"/>
      <c r="AH137" s="1882">
        <v>0</v>
      </c>
      <c r="AI137" s="1882"/>
      <c r="AJ137" s="1882"/>
      <c r="AK137" s="1882"/>
      <c r="AL137" s="1882"/>
      <c r="AM137" s="1882" t="s">
        <v>2459</v>
      </c>
      <c r="AN137" s="1882">
        <v>33.299999999999997</v>
      </c>
      <c r="AO137" s="1882">
        <v>33.25</v>
      </c>
      <c r="AP137" s="1882">
        <v>33.200000000000003</v>
      </c>
      <c r="AQ137" s="1882">
        <v>33.15</v>
      </c>
      <c r="AR137" s="1882">
        <v>33.1</v>
      </c>
      <c r="AS137" s="1882">
        <v>30</v>
      </c>
      <c r="AT137" s="1882">
        <v>29.95</v>
      </c>
      <c r="AU137" s="1882">
        <v>29.9</v>
      </c>
      <c r="AV137" s="1882">
        <v>29.85</v>
      </c>
      <c r="AW137" s="1882">
        <v>29.8</v>
      </c>
      <c r="AX137" s="1882">
        <v>30</v>
      </c>
      <c r="AY137" s="1882">
        <v>29.95</v>
      </c>
      <c r="AZ137" s="1882">
        <v>29.9</v>
      </c>
      <c r="BA137" s="1882">
        <v>29.85</v>
      </c>
      <c r="BB137" s="1882">
        <v>29.8</v>
      </c>
      <c r="BC137" s="1882">
        <v>17</v>
      </c>
      <c r="BD137" s="1882">
        <v>17</v>
      </c>
      <c r="BE137" s="1882">
        <v>17</v>
      </c>
      <c r="BF137" s="1882">
        <v>17</v>
      </c>
      <c r="BG137" s="1882">
        <v>17</v>
      </c>
      <c r="BH137" s="1882">
        <v>0.87121000000000004</v>
      </c>
      <c r="BI137" s="1882"/>
      <c r="BJ137" s="1882"/>
      <c r="BK137" s="1882"/>
      <c r="BL137" s="1882">
        <v>6.1060000000000003E-2</v>
      </c>
      <c r="BM137" s="1882"/>
      <c r="BN137" s="1882">
        <v>1</v>
      </c>
      <c r="BO137" s="1882" t="s">
        <v>8512</v>
      </c>
      <c r="BP137" s="520">
        <v>28.85</v>
      </c>
      <c r="BQ137" s="694">
        <v>28.23</v>
      </c>
      <c r="BR137" s="1882" t="s">
        <v>2459</v>
      </c>
      <c r="BS137" s="1882" t="s">
        <v>8513</v>
      </c>
      <c r="BT137" s="1882">
        <v>0</v>
      </c>
      <c r="BU137" s="1882" t="s">
        <v>8513</v>
      </c>
      <c r="BV137" s="1882">
        <v>0</v>
      </c>
      <c r="BW137" s="1882">
        <v>30.37</v>
      </c>
      <c r="BX137" s="1882" t="s">
        <v>2460</v>
      </c>
      <c r="BY137" s="1882">
        <v>0</v>
      </c>
      <c r="BZ137" s="1882">
        <v>0</v>
      </c>
      <c r="CA137" s="1882">
        <v>0</v>
      </c>
      <c r="CB137" s="1882">
        <v>0</v>
      </c>
      <c r="CC137" s="1882">
        <v>32.869999999999997</v>
      </c>
      <c r="CD137" s="1882" t="s">
        <v>2460</v>
      </c>
      <c r="CE137" s="1882">
        <v>0</v>
      </c>
      <c r="CF137" s="1882">
        <v>0</v>
      </c>
      <c r="CG137" s="1882">
        <v>0</v>
      </c>
      <c r="CH137" s="1882">
        <v>0</v>
      </c>
      <c r="CI137" s="1882">
        <v>28.12</v>
      </c>
      <c r="CJ137" s="1882" t="s">
        <v>2459</v>
      </c>
      <c r="CK137" s="1882">
        <v>0</v>
      </c>
      <c r="CL137" s="1882">
        <v>0</v>
      </c>
      <c r="CM137" s="1882">
        <v>0</v>
      </c>
      <c r="CN137" s="1882">
        <v>0</v>
      </c>
      <c r="CP137" s="1882" t="s">
        <v>9398</v>
      </c>
    </row>
    <row r="138" spans="1:94" ht="25">
      <c r="A138" s="1882" t="s">
        <v>9373</v>
      </c>
      <c r="B138" s="1882" t="s">
        <v>9399</v>
      </c>
      <c r="C138" s="1882" t="s">
        <v>8394</v>
      </c>
      <c r="D138" s="1882" t="s">
        <v>1626</v>
      </c>
      <c r="E138" s="1882" t="s">
        <v>8503</v>
      </c>
      <c r="F138" s="1882" t="s">
        <v>9400</v>
      </c>
      <c r="G138" s="1882" t="s">
        <v>8254</v>
      </c>
      <c r="H138" s="1882" t="s">
        <v>9401</v>
      </c>
      <c r="I138" s="1882" t="s">
        <v>9402</v>
      </c>
      <c r="J138" s="1882" t="s">
        <v>8508</v>
      </c>
      <c r="K138" s="1882" t="s">
        <v>8509</v>
      </c>
      <c r="L138" s="1882"/>
      <c r="M138" s="1882" t="s">
        <v>2460</v>
      </c>
      <c r="N138" s="1882" t="s">
        <v>2450</v>
      </c>
      <c r="O138" s="1882" t="s">
        <v>8607</v>
      </c>
      <c r="P138" s="1882" t="s">
        <v>9103</v>
      </c>
      <c r="Q138" s="520" t="s">
        <v>9104</v>
      </c>
      <c r="R138" s="1882" t="s">
        <v>8511</v>
      </c>
      <c r="S138" s="1882">
        <v>0.20833333333333334</v>
      </c>
      <c r="T138" s="1882">
        <v>0.20833333333333334</v>
      </c>
      <c r="U138" s="1882">
        <v>0.20833333333333334</v>
      </c>
      <c r="V138" s="1882">
        <v>0.20833333333333334</v>
      </c>
      <c r="W138" s="1882">
        <v>0.20833333333333334</v>
      </c>
      <c r="X138" s="1882">
        <v>0.20833333333333334</v>
      </c>
      <c r="Y138" s="1882"/>
      <c r="Z138" s="1882"/>
      <c r="AA138" s="1882" t="s">
        <v>2459</v>
      </c>
      <c r="AB138" s="1882"/>
      <c r="AC138" s="1882"/>
      <c r="AD138" s="1882"/>
      <c r="AE138" s="1882" t="s">
        <v>2459</v>
      </c>
      <c r="AF138" s="1882"/>
      <c r="AG138" s="1882"/>
      <c r="AH138" s="1882">
        <v>0</v>
      </c>
      <c r="AI138" s="1882"/>
      <c r="AJ138" s="1882"/>
      <c r="AK138" s="1882"/>
      <c r="AL138" s="1882"/>
      <c r="AM138" s="1882" t="s">
        <v>2459</v>
      </c>
      <c r="AN138" s="1882">
        <v>0.33333333333333331</v>
      </c>
      <c r="AO138" s="1882">
        <v>0.33333333333333331</v>
      </c>
      <c r="AP138" s="1882">
        <v>0.33333333333333331</v>
      </c>
      <c r="AQ138" s="1882">
        <v>0.33333333333333331</v>
      </c>
      <c r="AR138" s="1882">
        <v>0.33333333333333331</v>
      </c>
      <c r="AS138" s="1882">
        <v>0.25</v>
      </c>
      <c r="AT138" s="1882">
        <v>0.25</v>
      </c>
      <c r="AU138" s="1882">
        <v>0.25</v>
      </c>
      <c r="AV138" s="1882">
        <v>0.25</v>
      </c>
      <c r="AW138" s="1882">
        <v>0.25</v>
      </c>
      <c r="AX138" s="1882">
        <v>0.20833333333333334</v>
      </c>
      <c r="AY138" s="1882">
        <v>0.20833333333333334</v>
      </c>
      <c r="AZ138" s="1882">
        <v>0.20833333333333334</v>
      </c>
      <c r="BA138" s="1882">
        <v>0.20833333333333334</v>
      </c>
      <c r="BB138" s="1882">
        <v>0.20833333333333334</v>
      </c>
      <c r="BC138" s="1882">
        <v>0</v>
      </c>
      <c r="BD138" s="1882">
        <v>0</v>
      </c>
      <c r="BE138" s="1882">
        <v>0</v>
      </c>
      <c r="BF138" s="1882">
        <v>0</v>
      </c>
      <c r="BG138" s="1882">
        <v>0</v>
      </c>
      <c r="BH138" s="1882">
        <v>0.41865999999999998</v>
      </c>
      <c r="BI138" s="1882"/>
      <c r="BJ138" s="1882"/>
      <c r="BK138" s="1882"/>
      <c r="BL138" s="1882">
        <v>6.0435000000000003E-2</v>
      </c>
      <c r="BM138" s="1882"/>
      <c r="BN138" s="1882">
        <v>1</v>
      </c>
      <c r="BO138" s="1882" t="s">
        <v>8512</v>
      </c>
      <c r="BP138" s="520" t="s">
        <v>9403</v>
      </c>
      <c r="BQ138" s="703" t="s">
        <v>9404</v>
      </c>
      <c r="BR138" s="1882" t="s">
        <v>2459</v>
      </c>
      <c r="BS138" s="1882" t="s">
        <v>8513</v>
      </c>
      <c r="BT138" s="1882">
        <v>0</v>
      </c>
      <c r="BU138" s="1882" t="s">
        <v>8513</v>
      </c>
      <c r="BV138" s="1882">
        <v>0</v>
      </c>
      <c r="BW138" s="1882" t="s">
        <v>9405</v>
      </c>
      <c r="BX138" s="1882" t="s">
        <v>2459</v>
      </c>
      <c r="BY138" s="1882">
        <v>0</v>
      </c>
      <c r="BZ138" s="1882">
        <v>0</v>
      </c>
      <c r="CA138" s="1882">
        <v>0</v>
      </c>
      <c r="CB138" s="1882">
        <v>0</v>
      </c>
      <c r="CC138" s="1882" t="s">
        <v>9406</v>
      </c>
      <c r="CD138" s="1882" t="s">
        <v>2459</v>
      </c>
      <c r="CE138" s="1882">
        <v>0</v>
      </c>
      <c r="CF138" s="1882">
        <v>0</v>
      </c>
      <c r="CG138" s="1882">
        <v>0</v>
      </c>
      <c r="CH138" s="1882">
        <v>0</v>
      </c>
      <c r="CI138" s="1882" t="s">
        <v>9407</v>
      </c>
      <c r="CJ138" s="1882" t="s">
        <v>2459</v>
      </c>
      <c r="CK138" s="1882">
        <v>0</v>
      </c>
      <c r="CL138" s="1882">
        <v>0</v>
      </c>
      <c r="CM138" s="1882">
        <v>0</v>
      </c>
      <c r="CN138" s="1882">
        <v>0</v>
      </c>
      <c r="CP138" s="1882" t="s">
        <v>9408</v>
      </c>
    </row>
    <row r="139" spans="1:94">
      <c r="A139" s="1882" t="s">
        <v>9373</v>
      </c>
      <c r="B139" s="1882" t="s">
        <v>9409</v>
      </c>
      <c r="C139" s="1882" t="s">
        <v>8394</v>
      </c>
      <c r="D139" s="1882" t="s">
        <v>1626</v>
      </c>
      <c r="E139" s="1882" t="s">
        <v>8503</v>
      </c>
      <c r="F139" s="1882" t="s">
        <v>9410</v>
      </c>
      <c r="G139" s="1882" t="s">
        <v>8261</v>
      </c>
      <c r="H139" s="1882" t="s">
        <v>9411</v>
      </c>
      <c r="I139" s="1882" t="s">
        <v>9412</v>
      </c>
      <c r="J139" s="1882" t="s">
        <v>8519</v>
      </c>
      <c r="K139" s="1882" t="s">
        <v>8509</v>
      </c>
      <c r="L139" s="1882"/>
      <c r="M139" s="1882"/>
      <c r="N139" s="1882" t="s">
        <v>8666</v>
      </c>
      <c r="O139" s="1882" t="s">
        <v>732</v>
      </c>
      <c r="P139" s="1882" t="s">
        <v>9413</v>
      </c>
      <c r="Q139" s="520">
        <v>0</v>
      </c>
      <c r="R139" s="1882" t="s">
        <v>8549</v>
      </c>
      <c r="S139" s="1882" t="s">
        <v>3504</v>
      </c>
      <c r="T139" s="1882">
        <v>0</v>
      </c>
      <c r="U139" s="1882">
        <v>25</v>
      </c>
      <c r="V139" s="1882">
        <v>50</v>
      </c>
      <c r="W139" s="1882">
        <v>75</v>
      </c>
      <c r="X139" s="1882">
        <v>90</v>
      </c>
      <c r="Y139" s="1882"/>
      <c r="Z139" s="1882"/>
      <c r="AA139" s="1882"/>
      <c r="AB139" s="1882"/>
      <c r="AC139" s="1882"/>
      <c r="AD139" s="1882"/>
      <c r="AE139" s="1882"/>
      <c r="AF139" s="1882" t="s">
        <v>2459</v>
      </c>
      <c r="AG139" s="1882"/>
      <c r="AH139" s="1882">
        <v>0</v>
      </c>
      <c r="AI139" s="1882"/>
      <c r="AJ139" s="1882"/>
      <c r="AK139" s="1882"/>
      <c r="AL139" s="1882"/>
      <c r="AM139" s="1882" t="s">
        <v>2459</v>
      </c>
      <c r="AN139" s="1882"/>
      <c r="AO139" s="1882"/>
      <c r="AP139" s="1882"/>
      <c r="AQ139" s="1882"/>
      <c r="AR139" s="1882">
        <v>0</v>
      </c>
      <c r="AS139" s="1882"/>
      <c r="AT139" s="1882"/>
      <c r="AU139" s="1882"/>
      <c r="AV139" s="1882"/>
      <c r="AW139" s="1882">
        <v>90</v>
      </c>
      <c r="AX139" s="1882"/>
      <c r="AY139" s="1882"/>
      <c r="AZ139" s="1882"/>
      <c r="BA139" s="1882"/>
      <c r="BB139" s="1882"/>
      <c r="BC139" s="1882"/>
      <c r="BD139" s="1882"/>
      <c r="BE139" s="1882"/>
      <c r="BF139" s="1882"/>
      <c r="BG139" s="1882"/>
      <c r="BH139" s="1882">
        <v>4.4095000000000002E-2</v>
      </c>
      <c r="BI139" s="1882"/>
      <c r="BJ139" s="1882"/>
      <c r="BK139" s="1882"/>
      <c r="BL139" s="1882"/>
      <c r="BM139" s="1882"/>
      <c r="BN139" s="1882">
        <v>0.1</v>
      </c>
      <c r="BO139" s="1882" t="s">
        <v>9414</v>
      </c>
      <c r="BP139" s="520" t="s">
        <v>8401</v>
      </c>
      <c r="BQ139" s="693">
        <v>20</v>
      </c>
      <c r="BR139" s="1882" t="s">
        <v>2459</v>
      </c>
      <c r="BS139" s="1882" t="s">
        <v>8513</v>
      </c>
      <c r="BT139" s="1882">
        <v>0</v>
      </c>
      <c r="BU139" s="1882" t="s">
        <v>8513</v>
      </c>
      <c r="BV139" s="1882">
        <v>0</v>
      </c>
      <c r="BW139" s="1882">
        <v>40</v>
      </c>
      <c r="BX139" s="1882" t="s">
        <v>2459</v>
      </c>
      <c r="BY139" s="1882">
        <v>0</v>
      </c>
      <c r="BZ139" s="1882">
        <v>0</v>
      </c>
      <c r="CA139" s="1882">
        <v>0</v>
      </c>
      <c r="CB139" s="1882">
        <v>0</v>
      </c>
      <c r="CC139" s="1882">
        <v>60</v>
      </c>
      <c r="CD139" s="1882" t="s">
        <v>2459</v>
      </c>
      <c r="CE139" s="1882">
        <v>0</v>
      </c>
      <c r="CF139" s="1882">
        <v>0</v>
      </c>
      <c r="CG139" s="1882">
        <v>0</v>
      </c>
      <c r="CH139" s="1882">
        <v>0</v>
      </c>
      <c r="CI139" s="1882">
        <v>80</v>
      </c>
      <c r="CJ139" s="1882" t="s">
        <v>2459</v>
      </c>
      <c r="CK139" s="1882">
        <v>0</v>
      </c>
      <c r="CL139" s="1882">
        <v>0</v>
      </c>
      <c r="CM139" s="1882">
        <v>0</v>
      </c>
      <c r="CN139" s="1882">
        <v>0</v>
      </c>
      <c r="CP139" s="1882" t="s">
        <v>9415</v>
      </c>
    </row>
    <row r="140" spans="1:94" ht="25">
      <c r="A140" s="1882" t="s">
        <v>9373</v>
      </c>
      <c r="B140" s="1882" t="s">
        <v>9416</v>
      </c>
      <c r="C140" s="1882" t="s">
        <v>8394</v>
      </c>
      <c r="D140" s="1882" t="s">
        <v>1626</v>
      </c>
      <c r="E140" s="1882" t="s">
        <v>8503</v>
      </c>
      <c r="F140" s="1882" t="s">
        <v>9410</v>
      </c>
      <c r="G140" s="1882" t="s">
        <v>8264</v>
      </c>
      <c r="H140" s="1882" t="s">
        <v>9417</v>
      </c>
      <c r="I140" s="1882" t="s">
        <v>9418</v>
      </c>
      <c r="J140" s="1882" t="s">
        <v>8508</v>
      </c>
      <c r="K140" s="1882" t="s">
        <v>8509</v>
      </c>
      <c r="L140" s="1882"/>
      <c r="M140" s="1882" t="s">
        <v>2460</v>
      </c>
      <c r="N140" s="1882" t="s">
        <v>8673</v>
      </c>
      <c r="O140" s="1882" t="s">
        <v>8797</v>
      </c>
      <c r="P140" s="1882" t="s">
        <v>9419</v>
      </c>
      <c r="Q140" s="520" t="s">
        <v>8512</v>
      </c>
      <c r="R140" s="1882"/>
      <c r="S140" s="1882"/>
      <c r="T140" s="1882"/>
      <c r="U140" s="1882"/>
      <c r="V140" s="1882" t="s">
        <v>9420</v>
      </c>
      <c r="W140" s="1882"/>
      <c r="X140" s="1882"/>
      <c r="Y140" s="1882"/>
      <c r="Z140" s="1882"/>
      <c r="AA140" s="1882"/>
      <c r="AB140" s="1882"/>
      <c r="AC140" s="1882"/>
      <c r="AD140" s="1882"/>
      <c r="AE140" s="1882"/>
      <c r="AF140" s="1882" t="s">
        <v>2459</v>
      </c>
      <c r="AG140" s="1882"/>
      <c r="AH140" s="1882">
        <v>0</v>
      </c>
      <c r="AI140" s="1882"/>
      <c r="AJ140" s="1882"/>
      <c r="AK140" s="1882"/>
      <c r="AL140" s="1882"/>
      <c r="AM140" s="1882" t="s">
        <v>2459</v>
      </c>
      <c r="AN140" s="1882"/>
      <c r="AO140" s="1882"/>
      <c r="AP140" s="1882"/>
      <c r="AQ140" s="1882"/>
      <c r="AR140" s="1882" t="s">
        <v>9289</v>
      </c>
      <c r="AS140" s="1882"/>
      <c r="AT140" s="1882"/>
      <c r="AU140" s="1882"/>
      <c r="AV140" s="1882"/>
      <c r="AW140" s="1882"/>
      <c r="AX140" s="1882"/>
      <c r="AY140" s="1882"/>
      <c r="AZ140" s="1882"/>
      <c r="BA140" s="1882"/>
      <c r="BB140" s="1882"/>
      <c r="BC140" s="1882" t="s">
        <v>9289</v>
      </c>
      <c r="BD140" s="1882"/>
      <c r="BE140" s="1882"/>
      <c r="BF140" s="1882"/>
      <c r="BG140" s="1882"/>
      <c r="BH140" s="1882">
        <v>9.8379999999999995E-3</v>
      </c>
      <c r="BI140" s="1882"/>
      <c r="BJ140" s="1882"/>
      <c r="BK140" s="1882"/>
      <c r="BL140" s="1882">
        <v>7.1520000000000004E-3</v>
      </c>
      <c r="BM140" s="1882"/>
      <c r="BN140" s="1882">
        <v>1</v>
      </c>
      <c r="BO140" s="1882" t="s">
        <v>8512</v>
      </c>
      <c r="BP140" s="520" t="s">
        <v>8401</v>
      </c>
      <c r="BQ140" s="692" t="s">
        <v>9421</v>
      </c>
      <c r="BR140" s="1882" t="s">
        <v>2459</v>
      </c>
      <c r="BS140" s="1882" t="s">
        <v>8513</v>
      </c>
      <c r="BT140" s="1882">
        <v>0</v>
      </c>
      <c r="BU140" s="1882" t="s">
        <v>8513</v>
      </c>
      <c r="BV140" s="1882">
        <v>0</v>
      </c>
      <c r="BW140" s="1882" t="s">
        <v>9421</v>
      </c>
      <c r="BX140" s="1882" t="s">
        <v>2459</v>
      </c>
      <c r="BY140" s="1882">
        <v>0</v>
      </c>
      <c r="BZ140" s="1882">
        <v>0</v>
      </c>
      <c r="CA140" s="1882">
        <v>0</v>
      </c>
      <c r="CB140" s="1882">
        <v>0</v>
      </c>
      <c r="CC140" s="1882" t="s">
        <v>9422</v>
      </c>
      <c r="CD140" s="1882" t="s">
        <v>2459</v>
      </c>
      <c r="CE140" s="1882">
        <v>0</v>
      </c>
      <c r="CF140" s="1882">
        <v>0</v>
      </c>
      <c r="CG140" s="1882">
        <v>0</v>
      </c>
      <c r="CH140" s="1882">
        <v>0</v>
      </c>
      <c r="CI140" s="1882" t="s">
        <v>3514</v>
      </c>
      <c r="CJ140" s="1882" t="s">
        <v>2451</v>
      </c>
      <c r="CK140" s="1882">
        <v>0</v>
      </c>
      <c r="CL140" s="1882">
        <v>0</v>
      </c>
      <c r="CM140" s="1882">
        <v>0</v>
      </c>
      <c r="CN140" s="1882">
        <v>0</v>
      </c>
      <c r="CP140" s="1882" t="s">
        <v>9423</v>
      </c>
    </row>
    <row r="141" spans="1:94">
      <c r="A141" s="1882" t="s">
        <v>9373</v>
      </c>
      <c r="B141" s="1882" t="s">
        <v>9424</v>
      </c>
      <c r="C141" s="1882" t="s">
        <v>8394</v>
      </c>
      <c r="D141" s="1882" t="s">
        <v>1626</v>
      </c>
      <c r="E141" s="1882" t="s">
        <v>8503</v>
      </c>
      <c r="F141" s="1882" t="s">
        <v>9410</v>
      </c>
      <c r="G141" s="1882" t="s">
        <v>8267</v>
      </c>
      <c r="H141" s="1882" t="s">
        <v>9425</v>
      </c>
      <c r="I141" s="1882" t="s">
        <v>9426</v>
      </c>
      <c r="J141" s="1882" t="s">
        <v>8539</v>
      </c>
      <c r="K141" s="1882"/>
      <c r="L141" s="1882"/>
      <c r="M141" s="1882"/>
      <c r="N141" s="1882" t="s">
        <v>8681</v>
      </c>
      <c r="O141" s="1882" t="s">
        <v>732</v>
      </c>
      <c r="P141" s="1882" t="s">
        <v>9427</v>
      </c>
      <c r="Q141" s="520">
        <v>0</v>
      </c>
      <c r="R141" s="1882" t="s">
        <v>8549</v>
      </c>
      <c r="S141" s="1882">
        <v>0</v>
      </c>
      <c r="T141" s="1882">
        <v>2</v>
      </c>
      <c r="U141" s="1882">
        <v>4</v>
      </c>
      <c r="V141" s="1882">
        <v>6</v>
      </c>
      <c r="W141" s="1882">
        <v>8</v>
      </c>
      <c r="X141" s="1882">
        <v>10</v>
      </c>
      <c r="Y141" s="1882"/>
      <c r="Z141" s="1882"/>
      <c r="AA141" s="1882"/>
      <c r="AB141" s="1882"/>
      <c r="AC141" s="1882"/>
      <c r="AD141" s="1882"/>
      <c r="AE141" s="1882"/>
      <c r="AF141" s="1882"/>
      <c r="AG141" s="1882"/>
      <c r="AH141" s="1882">
        <v>0</v>
      </c>
      <c r="AI141" s="1882"/>
      <c r="AJ141" s="1882"/>
      <c r="AK141" s="1882"/>
      <c r="AL141" s="1882"/>
      <c r="AM141" s="1882"/>
      <c r="AN141" s="1882"/>
      <c r="AO141" s="1882"/>
      <c r="AP141" s="1882"/>
      <c r="AQ141" s="1882"/>
      <c r="AR141" s="1882"/>
      <c r="AS141" s="1882"/>
      <c r="AT141" s="1882"/>
      <c r="AU141" s="1882"/>
      <c r="AV141" s="1882"/>
      <c r="AW141" s="1882"/>
      <c r="AX141" s="1882"/>
      <c r="AY141" s="1882"/>
      <c r="AZ141" s="1882"/>
      <c r="BA141" s="1882"/>
      <c r="BB141" s="1882"/>
      <c r="BC141" s="1882"/>
      <c r="BD141" s="1882"/>
      <c r="BE141" s="1882"/>
      <c r="BF141" s="1882"/>
      <c r="BG141" s="1882"/>
      <c r="BH141" s="1882"/>
      <c r="BI141" s="1882"/>
      <c r="BJ141" s="1882"/>
      <c r="BK141" s="1882"/>
      <c r="BL141" s="1882"/>
      <c r="BM141" s="1882"/>
      <c r="BN141" s="1882"/>
      <c r="BO141" s="1882"/>
      <c r="BP141" s="520" t="s">
        <v>8401</v>
      </c>
      <c r="BQ141" s="693" t="s">
        <v>9428</v>
      </c>
      <c r="BR141" s="1882" t="s">
        <v>2459</v>
      </c>
      <c r="BS141" s="1882" t="s">
        <v>8513</v>
      </c>
      <c r="BT141" s="1882">
        <v>0</v>
      </c>
      <c r="BU141" s="1882" t="s">
        <v>8513</v>
      </c>
      <c r="BV141" s="1882">
        <v>0</v>
      </c>
      <c r="BW141" s="1882" t="s">
        <v>9428</v>
      </c>
      <c r="BX141" s="1882" t="s">
        <v>2459</v>
      </c>
      <c r="BY141" s="1882">
        <v>0</v>
      </c>
      <c r="BZ141" s="1882">
        <v>0</v>
      </c>
      <c r="CA141" s="1882">
        <v>0</v>
      </c>
      <c r="CB141" s="1882">
        <v>0</v>
      </c>
      <c r="CC141" s="1882" t="s">
        <v>9428</v>
      </c>
      <c r="CD141" s="1882" t="s">
        <v>2459</v>
      </c>
      <c r="CE141" s="1882">
        <v>0</v>
      </c>
      <c r="CF141" s="1882">
        <v>0</v>
      </c>
      <c r="CG141" s="1882">
        <v>0</v>
      </c>
      <c r="CH141" s="1882">
        <v>0</v>
      </c>
      <c r="CI141" s="1882" t="s">
        <v>9428</v>
      </c>
      <c r="CJ141" s="1882" t="s">
        <v>2459</v>
      </c>
      <c r="CK141" s="1882">
        <v>0</v>
      </c>
      <c r="CL141" s="1882">
        <v>0</v>
      </c>
      <c r="CM141" s="1882">
        <v>0</v>
      </c>
      <c r="CN141" s="1882">
        <v>0</v>
      </c>
      <c r="CP141" s="1882" t="s">
        <v>9429</v>
      </c>
    </row>
    <row r="142" spans="1:94">
      <c r="A142" s="1882" t="s">
        <v>9373</v>
      </c>
      <c r="B142" s="1882" t="s">
        <v>9430</v>
      </c>
      <c r="C142" s="1882" t="s">
        <v>8394</v>
      </c>
      <c r="D142" s="1882" t="s">
        <v>1626</v>
      </c>
      <c r="E142" s="1882" t="s">
        <v>8503</v>
      </c>
      <c r="F142" s="1882" t="s">
        <v>9431</v>
      </c>
      <c r="G142" s="1882" t="s">
        <v>8277</v>
      </c>
      <c r="H142" s="1882" t="s">
        <v>9432</v>
      </c>
      <c r="I142" s="1882" t="s">
        <v>9433</v>
      </c>
      <c r="J142" s="1882" t="s">
        <v>8539</v>
      </c>
      <c r="K142" s="1882"/>
      <c r="L142" s="1882"/>
      <c r="M142" s="1882"/>
      <c r="N142" s="1882" t="s">
        <v>9434</v>
      </c>
      <c r="O142" s="1882" t="s">
        <v>8797</v>
      </c>
      <c r="P142" s="1882" t="s">
        <v>9435</v>
      </c>
      <c r="Q142" s="520" t="s">
        <v>8512</v>
      </c>
      <c r="R142" s="1882"/>
      <c r="S142" s="1882" t="s">
        <v>9436</v>
      </c>
      <c r="T142" s="1882" t="s">
        <v>9436</v>
      </c>
      <c r="U142" s="1882" t="s">
        <v>9436</v>
      </c>
      <c r="V142" s="1882" t="s">
        <v>9436</v>
      </c>
      <c r="W142" s="1882" t="s">
        <v>9436</v>
      </c>
      <c r="X142" s="1882" t="s">
        <v>9436</v>
      </c>
      <c r="Y142" s="1882"/>
      <c r="Z142" s="1882"/>
      <c r="AA142" s="1882"/>
      <c r="AB142" s="1882"/>
      <c r="AC142" s="1882"/>
      <c r="AD142" s="1882"/>
      <c r="AE142" s="1882"/>
      <c r="AF142" s="1882"/>
      <c r="AG142" s="1882"/>
      <c r="AH142" s="1882">
        <v>0</v>
      </c>
      <c r="AI142" s="1882"/>
      <c r="AJ142" s="1882"/>
      <c r="AK142" s="1882"/>
      <c r="AL142" s="1882"/>
      <c r="AM142" s="1882"/>
      <c r="AN142" s="1882"/>
      <c r="AO142" s="1882"/>
      <c r="AP142" s="1882"/>
      <c r="AQ142" s="1882"/>
      <c r="AR142" s="1882"/>
      <c r="AS142" s="1882"/>
      <c r="AT142" s="1882"/>
      <c r="AU142" s="1882"/>
      <c r="AV142" s="1882"/>
      <c r="AW142" s="1882"/>
      <c r="AX142" s="1882"/>
      <c r="AY142" s="1882"/>
      <c r="AZ142" s="1882"/>
      <c r="BA142" s="1882"/>
      <c r="BB142" s="1882"/>
      <c r="BC142" s="1882"/>
      <c r="BD142" s="1882"/>
      <c r="BE142" s="1882"/>
      <c r="BF142" s="1882"/>
      <c r="BG142" s="1882"/>
      <c r="BH142" s="1882"/>
      <c r="BI142" s="1882"/>
      <c r="BJ142" s="1882"/>
      <c r="BK142" s="1882"/>
      <c r="BL142" s="1882"/>
      <c r="BM142" s="1882"/>
      <c r="BN142" s="1882"/>
      <c r="BO142" s="1882"/>
      <c r="BP142" s="520" t="s">
        <v>9436</v>
      </c>
      <c r="BQ142" s="692" t="s">
        <v>9436</v>
      </c>
      <c r="BR142" s="1882" t="s">
        <v>2459</v>
      </c>
      <c r="BS142" s="1882" t="s">
        <v>8513</v>
      </c>
      <c r="BT142" s="1882">
        <v>0</v>
      </c>
      <c r="BU142" s="1882" t="s">
        <v>8513</v>
      </c>
      <c r="BV142" s="1882">
        <v>0</v>
      </c>
      <c r="BW142" s="1882" t="s">
        <v>9436</v>
      </c>
      <c r="BX142" s="1882" t="s">
        <v>2459</v>
      </c>
      <c r="BY142" s="1882">
        <v>0</v>
      </c>
      <c r="BZ142" s="1882">
        <v>0</v>
      </c>
      <c r="CA142" s="1882">
        <v>0</v>
      </c>
      <c r="CB142" s="1882">
        <v>0</v>
      </c>
      <c r="CC142" s="1882" t="s">
        <v>9436</v>
      </c>
      <c r="CD142" s="1882" t="s">
        <v>2459</v>
      </c>
      <c r="CE142" s="1882">
        <v>0</v>
      </c>
      <c r="CF142" s="1882">
        <v>0</v>
      </c>
      <c r="CG142" s="1882">
        <v>0</v>
      </c>
      <c r="CH142" s="1882">
        <v>0</v>
      </c>
      <c r="CI142" s="1882" t="s">
        <v>9436</v>
      </c>
      <c r="CJ142" s="1882" t="s">
        <v>2459</v>
      </c>
      <c r="CK142" s="1882">
        <v>0</v>
      </c>
      <c r="CL142" s="1882">
        <v>0</v>
      </c>
      <c r="CM142" s="1882">
        <v>0</v>
      </c>
      <c r="CN142" s="1882">
        <v>0</v>
      </c>
      <c r="CP142" s="1882" t="s">
        <v>9437</v>
      </c>
    </row>
    <row r="143" spans="1:94">
      <c r="A143" s="1882" t="s">
        <v>9373</v>
      </c>
      <c r="B143" s="1882" t="s">
        <v>9438</v>
      </c>
      <c r="C143" s="1882" t="s">
        <v>8394</v>
      </c>
      <c r="D143" s="1882" t="s">
        <v>8584</v>
      </c>
      <c r="E143" s="1882" t="s">
        <v>8585</v>
      </c>
      <c r="F143" s="1882" t="s">
        <v>9400</v>
      </c>
      <c r="G143" s="1882" t="s">
        <v>7234</v>
      </c>
      <c r="H143" s="1882" t="s">
        <v>9439</v>
      </c>
      <c r="I143" s="1882" t="s">
        <v>9440</v>
      </c>
      <c r="J143" s="1882" t="s">
        <v>8508</v>
      </c>
      <c r="K143" s="1882" t="s">
        <v>8509</v>
      </c>
      <c r="L143" s="1882"/>
      <c r="M143" s="1882" t="s">
        <v>2460</v>
      </c>
      <c r="N143" s="1882" t="s">
        <v>8590</v>
      </c>
      <c r="O143" s="1882" t="s">
        <v>8797</v>
      </c>
      <c r="P143" s="1882" t="s">
        <v>8951</v>
      </c>
      <c r="Q143" s="520" t="s">
        <v>8512</v>
      </c>
      <c r="R143" s="1882" t="s">
        <v>8549</v>
      </c>
      <c r="S143" s="1882" t="s">
        <v>9441</v>
      </c>
      <c r="T143" s="1882" t="s">
        <v>9441</v>
      </c>
      <c r="U143" s="1882" t="s">
        <v>9441</v>
      </c>
      <c r="V143" s="1882" t="s">
        <v>9441</v>
      </c>
      <c r="W143" s="1882" t="s">
        <v>9441</v>
      </c>
      <c r="X143" s="1882" t="s">
        <v>9441</v>
      </c>
      <c r="Y143" s="1882"/>
      <c r="Z143" s="1882"/>
      <c r="AA143" s="1882"/>
      <c r="AB143" s="1882"/>
      <c r="AC143" s="1882"/>
      <c r="AD143" s="1882"/>
      <c r="AE143" s="1882"/>
      <c r="AF143" s="1882"/>
      <c r="AG143" s="1882"/>
      <c r="AH143" s="1882">
        <v>0</v>
      </c>
      <c r="AI143" s="1882" t="s">
        <v>2459</v>
      </c>
      <c r="AJ143" s="1882" t="s">
        <v>2459</v>
      </c>
      <c r="AK143" s="1882" t="s">
        <v>2459</v>
      </c>
      <c r="AL143" s="1882" t="s">
        <v>2459</v>
      </c>
      <c r="AM143" s="1882" t="s">
        <v>2459</v>
      </c>
      <c r="AN143" s="1882" t="s">
        <v>8593</v>
      </c>
      <c r="AO143" s="1882" t="s">
        <v>8593</v>
      </c>
      <c r="AP143" s="1882" t="s">
        <v>8593</v>
      </c>
      <c r="AQ143" s="1882" t="s">
        <v>8593</v>
      </c>
      <c r="AR143" s="1882" t="s">
        <v>8593</v>
      </c>
      <c r="AS143" s="1882" t="s">
        <v>8593</v>
      </c>
      <c r="AT143" s="1882" t="s">
        <v>8593</v>
      </c>
      <c r="AU143" s="1882" t="s">
        <v>8593</v>
      </c>
      <c r="AV143" s="1882" t="s">
        <v>8593</v>
      </c>
      <c r="AW143" s="1882" t="s">
        <v>8593</v>
      </c>
      <c r="AX143" s="1882" t="s">
        <v>8593</v>
      </c>
      <c r="AY143" s="1882" t="s">
        <v>8593</v>
      </c>
      <c r="AZ143" s="1882" t="s">
        <v>8593</v>
      </c>
      <c r="BA143" s="1882" t="s">
        <v>8593</v>
      </c>
      <c r="BB143" s="1882" t="s">
        <v>8593</v>
      </c>
      <c r="BC143" s="1882" t="s">
        <v>8593</v>
      </c>
      <c r="BD143" s="1882" t="s">
        <v>8593</v>
      </c>
      <c r="BE143" s="1882" t="s">
        <v>8593</v>
      </c>
      <c r="BF143" s="1882" t="s">
        <v>8593</v>
      </c>
      <c r="BG143" s="1882" t="s">
        <v>8593</v>
      </c>
      <c r="BH143" s="1882" t="s">
        <v>8593</v>
      </c>
      <c r="BI143" s="1882"/>
      <c r="BJ143" s="1882"/>
      <c r="BK143" s="1882"/>
      <c r="BL143" s="1882" t="s">
        <v>8593</v>
      </c>
      <c r="BM143" s="1882"/>
      <c r="BN143" s="1882">
        <v>1</v>
      </c>
      <c r="BO143" s="1882" t="s">
        <v>8512</v>
      </c>
      <c r="BP143" s="520" t="s">
        <v>8401</v>
      </c>
      <c r="BQ143" s="690">
        <v>89.5</v>
      </c>
      <c r="BR143" s="1882" t="s">
        <v>2459</v>
      </c>
      <c r="BS143" s="1882" t="s">
        <v>8513</v>
      </c>
      <c r="BT143" s="1882">
        <v>0</v>
      </c>
      <c r="BU143" s="1882" t="s">
        <v>8513</v>
      </c>
      <c r="BV143" s="1882">
        <v>0</v>
      </c>
      <c r="BW143" s="1882">
        <v>87.68</v>
      </c>
      <c r="BX143" s="1882" t="s">
        <v>2459</v>
      </c>
      <c r="BY143" s="1882">
        <v>0</v>
      </c>
      <c r="BZ143" s="1882">
        <v>0</v>
      </c>
      <c r="CA143" s="1882">
        <v>0</v>
      </c>
      <c r="CB143" s="1882">
        <v>0</v>
      </c>
      <c r="CC143" s="1882">
        <v>87.9</v>
      </c>
      <c r="CD143" s="1882" t="s">
        <v>2451</v>
      </c>
      <c r="CE143" s="1882">
        <v>0</v>
      </c>
      <c r="CF143" s="1882">
        <v>0</v>
      </c>
      <c r="CG143" s="1882">
        <v>0</v>
      </c>
      <c r="CH143" s="1882">
        <v>0</v>
      </c>
      <c r="CI143" s="1882">
        <v>89.1</v>
      </c>
      <c r="CJ143" s="1882" t="s">
        <v>2451</v>
      </c>
      <c r="CK143" s="1882">
        <v>0</v>
      </c>
      <c r="CL143" s="1882">
        <v>0</v>
      </c>
      <c r="CM143" s="1882">
        <v>0</v>
      </c>
      <c r="CN143" s="1882">
        <v>0</v>
      </c>
      <c r="CP143" s="1882" t="s">
        <v>9442</v>
      </c>
    </row>
    <row r="144" spans="1:94">
      <c r="A144" s="1882" t="s">
        <v>9373</v>
      </c>
      <c r="B144" s="1882" t="s">
        <v>9443</v>
      </c>
      <c r="C144" s="1882" t="s">
        <v>8394</v>
      </c>
      <c r="D144" s="1882" t="s">
        <v>8584</v>
      </c>
      <c r="E144" s="1882" t="s">
        <v>8585</v>
      </c>
      <c r="F144" s="1882" t="s">
        <v>9410</v>
      </c>
      <c r="G144" s="1882" t="s">
        <v>7236</v>
      </c>
      <c r="H144" s="1882" t="s">
        <v>9444</v>
      </c>
      <c r="I144" s="1882" t="s">
        <v>9445</v>
      </c>
      <c r="J144" s="1882" t="s">
        <v>8519</v>
      </c>
      <c r="K144" s="1882" t="s">
        <v>8509</v>
      </c>
      <c r="L144" s="1882"/>
      <c r="M144" s="1882"/>
      <c r="N144" s="1882" t="s">
        <v>8520</v>
      </c>
      <c r="O144" s="1882" t="s">
        <v>764</v>
      </c>
      <c r="P144" s="1882" t="s">
        <v>8938</v>
      </c>
      <c r="Q144" s="520">
        <v>2</v>
      </c>
      <c r="R144" s="1882" t="s">
        <v>8511</v>
      </c>
      <c r="S144" s="1882">
        <v>147.29</v>
      </c>
      <c r="T144" s="1882">
        <v>146.63</v>
      </c>
      <c r="U144" s="1882">
        <v>145.96</v>
      </c>
      <c r="V144" s="1882">
        <v>145.29</v>
      </c>
      <c r="W144" s="1882">
        <v>144.61000000000001</v>
      </c>
      <c r="X144" s="1882">
        <v>143.93</v>
      </c>
      <c r="Y144" s="1882"/>
      <c r="Z144" s="1882"/>
      <c r="AA144" s="1882"/>
      <c r="AB144" s="1882"/>
      <c r="AC144" s="1882"/>
      <c r="AD144" s="1882"/>
      <c r="AE144" s="1882"/>
      <c r="AF144" s="1882"/>
      <c r="AG144" s="1882"/>
      <c r="AH144" s="1882">
        <v>0</v>
      </c>
      <c r="AI144" s="1882"/>
      <c r="AJ144" s="1882"/>
      <c r="AK144" s="1882"/>
      <c r="AL144" s="1882"/>
      <c r="AM144" s="1882" t="s">
        <v>2459</v>
      </c>
      <c r="AN144" s="1882"/>
      <c r="AO144" s="1882"/>
      <c r="AP144" s="1882"/>
      <c r="AQ144" s="1882"/>
      <c r="AR144" s="1882">
        <v>148</v>
      </c>
      <c r="AS144" s="1882"/>
      <c r="AT144" s="1882"/>
      <c r="AU144" s="1882"/>
      <c r="AV144" s="1882"/>
      <c r="AW144" s="1882">
        <v>143.93</v>
      </c>
      <c r="AX144" s="1882"/>
      <c r="AY144" s="1882"/>
      <c r="AZ144" s="1882"/>
      <c r="BA144" s="1882"/>
      <c r="BB144" s="1882"/>
      <c r="BC144" s="1882"/>
      <c r="BD144" s="1882"/>
      <c r="BE144" s="1882"/>
      <c r="BF144" s="1882"/>
      <c r="BG144" s="1882"/>
      <c r="BH144" s="1882">
        <v>8.1243999999999997E-2</v>
      </c>
      <c r="BI144" s="1882"/>
      <c r="BJ144" s="1882"/>
      <c r="BK144" s="1882"/>
      <c r="BL144" s="1882"/>
      <c r="BM144" s="1882"/>
      <c r="BN144" s="1882">
        <v>100</v>
      </c>
      <c r="BO144" s="1882" t="s">
        <v>8884</v>
      </c>
      <c r="BP144" s="520">
        <v>145.55000000000001</v>
      </c>
      <c r="BQ144" s="694">
        <v>143.29</v>
      </c>
      <c r="BR144" s="1882" t="s">
        <v>2459</v>
      </c>
      <c r="BS144" s="1882" t="s">
        <v>8513</v>
      </c>
      <c r="BT144" s="1882">
        <v>0</v>
      </c>
      <c r="BU144" s="1882" t="s">
        <v>8513</v>
      </c>
      <c r="BV144" s="1882">
        <v>0</v>
      </c>
      <c r="BW144" s="1882">
        <v>145.1</v>
      </c>
      <c r="BX144" s="1882" t="s">
        <v>2459</v>
      </c>
      <c r="BY144" s="1882">
        <v>0</v>
      </c>
      <c r="BZ144" s="1882">
        <v>0</v>
      </c>
      <c r="CA144" s="1882">
        <v>0</v>
      </c>
      <c r="CB144" s="1882">
        <v>0</v>
      </c>
      <c r="CC144" s="1882">
        <v>147.54</v>
      </c>
      <c r="CD144" s="1882" t="s">
        <v>2451</v>
      </c>
      <c r="CE144" s="1882">
        <v>0</v>
      </c>
      <c r="CF144" s="1882">
        <v>0</v>
      </c>
      <c r="CG144" s="1882">
        <v>0</v>
      </c>
      <c r="CH144" s="1882">
        <v>0</v>
      </c>
      <c r="CI144" s="1882">
        <v>152.38999999999999</v>
      </c>
      <c r="CJ144" s="1882" t="s">
        <v>2451</v>
      </c>
      <c r="CK144" s="1882">
        <v>0</v>
      </c>
      <c r="CL144" s="1882">
        <v>0</v>
      </c>
      <c r="CM144" s="1882">
        <v>0</v>
      </c>
      <c r="CN144" s="1882">
        <v>0</v>
      </c>
      <c r="CP144" s="1882" t="s">
        <v>9446</v>
      </c>
    </row>
    <row r="145" spans="1:94">
      <c r="A145" s="1882" t="s">
        <v>9373</v>
      </c>
      <c r="B145" s="1882" t="s">
        <v>9447</v>
      </c>
      <c r="C145" s="1882" t="s">
        <v>8394</v>
      </c>
      <c r="D145" s="1882" t="s">
        <v>8584</v>
      </c>
      <c r="E145" s="1882" t="s">
        <v>8585</v>
      </c>
      <c r="F145" s="1882" t="s">
        <v>9448</v>
      </c>
      <c r="G145" s="1882" t="s">
        <v>8254</v>
      </c>
      <c r="H145" s="1882" t="s">
        <v>9449</v>
      </c>
      <c r="I145" s="1882" t="s">
        <v>9450</v>
      </c>
      <c r="J145" s="1882" t="s">
        <v>8539</v>
      </c>
      <c r="K145" s="1882"/>
      <c r="L145" s="1882"/>
      <c r="M145" s="1882"/>
      <c r="N145" s="1882" t="s">
        <v>8695</v>
      </c>
      <c r="O145" s="1882" t="s">
        <v>732</v>
      </c>
      <c r="P145" s="1882" t="s">
        <v>9451</v>
      </c>
      <c r="Q145" s="520">
        <v>0</v>
      </c>
      <c r="R145" s="1882" t="s">
        <v>8549</v>
      </c>
      <c r="S145" s="1882" t="s">
        <v>3504</v>
      </c>
      <c r="T145" s="1882">
        <v>70</v>
      </c>
      <c r="U145" s="1882">
        <v>70</v>
      </c>
      <c r="V145" s="1882">
        <v>70</v>
      </c>
      <c r="W145" s="1882">
        <v>70</v>
      </c>
      <c r="X145" s="1882">
        <v>70</v>
      </c>
      <c r="Y145" s="1882"/>
      <c r="Z145" s="1882"/>
      <c r="AA145" s="1882"/>
      <c r="AB145" s="1882"/>
      <c r="AC145" s="1882"/>
      <c r="AD145" s="1882"/>
      <c r="AE145" s="1882"/>
      <c r="AF145" s="1882"/>
      <c r="AG145" s="1882"/>
      <c r="AH145" s="1882">
        <v>0</v>
      </c>
      <c r="AI145" s="1882"/>
      <c r="AJ145" s="1882"/>
      <c r="AK145" s="1882"/>
      <c r="AL145" s="1882"/>
      <c r="AM145" s="1882"/>
      <c r="AN145" s="1882"/>
      <c r="AO145" s="1882"/>
      <c r="AP145" s="1882"/>
      <c r="AQ145" s="1882"/>
      <c r="AR145" s="1882"/>
      <c r="AS145" s="1882"/>
      <c r="AT145" s="1882"/>
      <c r="AU145" s="1882"/>
      <c r="AV145" s="1882"/>
      <c r="AW145" s="1882"/>
      <c r="AX145" s="1882"/>
      <c r="AY145" s="1882"/>
      <c r="AZ145" s="1882"/>
      <c r="BA145" s="1882"/>
      <c r="BB145" s="1882"/>
      <c r="BC145" s="1882"/>
      <c r="BD145" s="1882"/>
      <c r="BE145" s="1882"/>
      <c r="BF145" s="1882"/>
      <c r="BG145" s="1882"/>
      <c r="BH145" s="1882"/>
      <c r="BI145" s="1882"/>
      <c r="BJ145" s="1882"/>
      <c r="BK145" s="1882"/>
      <c r="BL145" s="1882"/>
      <c r="BM145" s="1882"/>
      <c r="BN145" s="1882"/>
      <c r="BO145" s="1882"/>
      <c r="BP145" s="520" t="s">
        <v>8401</v>
      </c>
      <c r="BQ145" s="693">
        <v>89</v>
      </c>
      <c r="BR145" s="1882" t="s">
        <v>2459</v>
      </c>
      <c r="BS145" s="1882" t="s">
        <v>8513</v>
      </c>
      <c r="BT145" s="1882">
        <v>0</v>
      </c>
      <c r="BU145" s="1882" t="s">
        <v>8513</v>
      </c>
      <c r="BV145" s="1882">
        <v>0</v>
      </c>
      <c r="BW145" s="1882">
        <v>85</v>
      </c>
      <c r="BX145" s="1882" t="s">
        <v>2459</v>
      </c>
      <c r="BY145" s="1882">
        <v>0</v>
      </c>
      <c r="BZ145" s="1882">
        <v>0</v>
      </c>
      <c r="CA145" s="1882">
        <v>0</v>
      </c>
      <c r="CB145" s="1882">
        <v>0</v>
      </c>
      <c r="CC145" s="1882">
        <v>91</v>
      </c>
      <c r="CD145" s="1882" t="s">
        <v>2459</v>
      </c>
      <c r="CE145" s="1882">
        <v>0</v>
      </c>
      <c r="CF145" s="1882">
        <v>0</v>
      </c>
      <c r="CG145" s="1882">
        <v>0</v>
      </c>
      <c r="CH145" s="1882">
        <v>0</v>
      </c>
      <c r="CI145" s="1882">
        <v>95</v>
      </c>
      <c r="CJ145" s="1882" t="s">
        <v>2459</v>
      </c>
      <c r="CK145" s="1882">
        <v>0</v>
      </c>
      <c r="CL145" s="1882">
        <v>0</v>
      </c>
      <c r="CM145" s="1882">
        <v>0</v>
      </c>
      <c r="CN145" s="1882">
        <v>0</v>
      </c>
      <c r="CP145" s="1882" t="s">
        <v>9452</v>
      </c>
    </row>
    <row r="146" spans="1:94">
      <c r="A146" s="1882" t="s">
        <v>9453</v>
      </c>
      <c r="B146" s="1882" t="s">
        <v>9454</v>
      </c>
      <c r="C146" s="1882" t="s">
        <v>8394</v>
      </c>
      <c r="D146" s="1882" t="s">
        <v>1626</v>
      </c>
      <c r="E146" s="1882" t="s">
        <v>8503</v>
      </c>
      <c r="F146" s="1882" t="s">
        <v>9455</v>
      </c>
      <c r="G146" s="1882" t="s">
        <v>7234</v>
      </c>
      <c r="H146" s="1882" t="s">
        <v>9456</v>
      </c>
      <c r="I146" s="1882" t="s">
        <v>9457</v>
      </c>
      <c r="J146" s="1882" t="s">
        <v>8519</v>
      </c>
      <c r="K146" s="1882" t="s">
        <v>8509</v>
      </c>
      <c r="L146" s="1882"/>
      <c r="M146" s="1882"/>
      <c r="N146" s="1882" t="s">
        <v>8463</v>
      </c>
      <c r="O146" s="1882" t="s">
        <v>764</v>
      </c>
      <c r="P146" s="1882" t="s">
        <v>8555</v>
      </c>
      <c r="Q146" s="520">
        <v>2</v>
      </c>
      <c r="R146" s="1882" t="s">
        <v>8511</v>
      </c>
      <c r="S146" s="1882">
        <v>1.25</v>
      </c>
      <c r="T146" s="1882">
        <v>1.25</v>
      </c>
      <c r="U146" s="1882">
        <v>1.24</v>
      </c>
      <c r="V146" s="1882">
        <v>1.23</v>
      </c>
      <c r="W146" s="1882">
        <v>1.23</v>
      </c>
      <c r="X146" s="1882">
        <v>1.23</v>
      </c>
      <c r="Y146" s="1882"/>
      <c r="Z146" s="1882" t="s">
        <v>2459</v>
      </c>
      <c r="AA146" s="1882"/>
      <c r="AB146" s="1882"/>
      <c r="AC146" s="1882"/>
      <c r="AD146" s="1882"/>
      <c r="AE146" s="1882" t="s">
        <v>2459</v>
      </c>
      <c r="AF146" s="1882"/>
      <c r="AG146" s="1882"/>
      <c r="AH146" s="1882">
        <v>0</v>
      </c>
      <c r="AI146" s="1882" t="s">
        <v>2459</v>
      </c>
      <c r="AJ146" s="1882" t="s">
        <v>2459</v>
      </c>
      <c r="AK146" s="1882" t="s">
        <v>2459</v>
      </c>
      <c r="AL146" s="1882" t="s">
        <v>2459</v>
      </c>
      <c r="AM146" s="1882" t="s">
        <v>2459</v>
      </c>
      <c r="AN146" s="1882">
        <v>2.56</v>
      </c>
      <c r="AO146" s="1882">
        <v>2.5499999999999998</v>
      </c>
      <c r="AP146" s="1882">
        <v>2.54</v>
      </c>
      <c r="AQ146" s="1882">
        <v>2.54</v>
      </c>
      <c r="AR146" s="1882">
        <v>2.54</v>
      </c>
      <c r="AS146" s="1882">
        <v>1.31</v>
      </c>
      <c r="AT146" s="1882">
        <v>1.3</v>
      </c>
      <c r="AU146" s="1882">
        <v>1.29</v>
      </c>
      <c r="AV146" s="1882">
        <v>1.29</v>
      </c>
      <c r="AW146" s="1882">
        <v>1.29</v>
      </c>
      <c r="AX146" s="1882"/>
      <c r="AY146" s="1882"/>
      <c r="AZ146" s="1882"/>
      <c r="BA146" s="1882"/>
      <c r="BB146" s="1882"/>
      <c r="BC146" s="1882"/>
      <c r="BD146" s="1882"/>
      <c r="BE146" s="1882"/>
      <c r="BF146" s="1882"/>
      <c r="BG146" s="1882"/>
      <c r="BH146" s="1882">
        <v>0.04</v>
      </c>
      <c r="BI146" s="1882"/>
      <c r="BJ146" s="1882"/>
      <c r="BK146" s="1882"/>
      <c r="BL146" s="1882"/>
      <c r="BM146" s="1882"/>
      <c r="BN146" s="1882">
        <v>1</v>
      </c>
      <c r="BO146" s="1882" t="s">
        <v>8512</v>
      </c>
      <c r="BP146" s="520">
        <v>0.56000000000000005</v>
      </c>
      <c r="BQ146" s="694">
        <v>0.73</v>
      </c>
      <c r="BR146" s="1882" t="s">
        <v>2459</v>
      </c>
      <c r="BS146" s="1882" t="s">
        <v>8513</v>
      </c>
      <c r="BT146" s="1882">
        <v>0</v>
      </c>
      <c r="BU146" s="1882" t="s">
        <v>8513</v>
      </c>
      <c r="BV146" s="1882">
        <v>0</v>
      </c>
      <c r="BW146" s="1882">
        <v>0.89</v>
      </c>
      <c r="BX146" s="1882" t="s">
        <v>2459</v>
      </c>
      <c r="BY146" s="1882">
        <v>0</v>
      </c>
      <c r="BZ146" s="1882">
        <v>0</v>
      </c>
      <c r="CA146" s="1882">
        <v>0</v>
      </c>
      <c r="CB146" s="1882">
        <v>0</v>
      </c>
      <c r="CC146" s="1882">
        <v>0.82</v>
      </c>
      <c r="CD146" s="1882" t="s">
        <v>2459</v>
      </c>
      <c r="CE146" s="1882">
        <v>0</v>
      </c>
      <c r="CF146" s="1882">
        <v>0</v>
      </c>
      <c r="CG146" s="1882">
        <v>0</v>
      </c>
      <c r="CH146" s="1882">
        <v>0</v>
      </c>
      <c r="CI146" s="1882">
        <v>0.71</v>
      </c>
      <c r="CJ146" s="1882" t="s">
        <v>2459</v>
      </c>
      <c r="CK146" s="1882">
        <v>0</v>
      </c>
      <c r="CL146" s="1882">
        <v>0</v>
      </c>
      <c r="CM146" s="1882">
        <v>0</v>
      </c>
      <c r="CN146" s="1882">
        <v>0</v>
      </c>
      <c r="CP146" s="1882" t="s">
        <v>9458</v>
      </c>
    </row>
    <row r="147" spans="1:94">
      <c r="A147" s="1882" t="s">
        <v>9453</v>
      </c>
      <c r="B147" s="1882" t="s">
        <v>9459</v>
      </c>
      <c r="C147" s="1882" t="s">
        <v>8394</v>
      </c>
      <c r="D147" s="1882" t="s">
        <v>1626</v>
      </c>
      <c r="E147" s="1882" t="s">
        <v>8503</v>
      </c>
      <c r="F147" s="1882" t="s">
        <v>9455</v>
      </c>
      <c r="G147" s="1882" t="s">
        <v>7235</v>
      </c>
      <c r="H147" s="1882" t="s">
        <v>9460</v>
      </c>
      <c r="I147" s="1882" t="s">
        <v>9461</v>
      </c>
      <c r="J147" s="1882" t="s">
        <v>8519</v>
      </c>
      <c r="K147" s="1882" t="s">
        <v>8509</v>
      </c>
      <c r="L147" s="1882"/>
      <c r="M147" s="1882"/>
      <c r="N147" s="1882" t="s">
        <v>8547</v>
      </c>
      <c r="O147" s="1882" t="s">
        <v>732</v>
      </c>
      <c r="P147" s="1882" t="s">
        <v>8548</v>
      </c>
      <c r="Q147" s="520">
        <v>2</v>
      </c>
      <c r="R147" s="1882" t="s">
        <v>8549</v>
      </c>
      <c r="S147" s="1882">
        <v>99.95</v>
      </c>
      <c r="T147" s="1882">
        <v>99.97</v>
      </c>
      <c r="U147" s="1882">
        <v>99.97</v>
      </c>
      <c r="V147" s="1882">
        <v>100</v>
      </c>
      <c r="W147" s="1882">
        <v>100</v>
      </c>
      <c r="X147" s="1882">
        <v>100</v>
      </c>
      <c r="Y147" s="1882" t="s">
        <v>2459</v>
      </c>
      <c r="Z147" s="1882"/>
      <c r="AA147" s="1882"/>
      <c r="AB147" s="1882"/>
      <c r="AC147" s="1882"/>
      <c r="AD147" s="1882"/>
      <c r="AE147" s="1882" t="s">
        <v>2459</v>
      </c>
      <c r="AF147" s="1882"/>
      <c r="AG147" s="1882"/>
      <c r="AH147" s="1882">
        <v>0</v>
      </c>
      <c r="AI147" s="1882" t="s">
        <v>2459</v>
      </c>
      <c r="AJ147" s="1882" t="s">
        <v>2459</v>
      </c>
      <c r="AK147" s="1882" t="s">
        <v>2459</v>
      </c>
      <c r="AL147" s="1882" t="s">
        <v>2459</v>
      </c>
      <c r="AM147" s="1882" t="s">
        <v>2459</v>
      </c>
      <c r="AN147" s="1882">
        <v>99.94</v>
      </c>
      <c r="AO147" s="1882">
        <v>99.94</v>
      </c>
      <c r="AP147" s="1882">
        <v>99.94</v>
      </c>
      <c r="AQ147" s="1882">
        <v>99.94</v>
      </c>
      <c r="AR147" s="1882">
        <v>99.94</v>
      </c>
      <c r="AS147" s="1882">
        <v>99.95</v>
      </c>
      <c r="AT147" s="1882">
        <v>99.95</v>
      </c>
      <c r="AU147" s="1882">
        <v>99.95</v>
      </c>
      <c r="AV147" s="1882">
        <v>99.95</v>
      </c>
      <c r="AW147" s="1882">
        <v>99.95</v>
      </c>
      <c r="AX147" s="1882"/>
      <c r="AY147" s="1882"/>
      <c r="AZ147" s="1882"/>
      <c r="BA147" s="1882"/>
      <c r="BB147" s="1882"/>
      <c r="BC147" s="1882"/>
      <c r="BD147" s="1882"/>
      <c r="BE147" s="1882"/>
      <c r="BF147" s="1882"/>
      <c r="BG147" s="1882"/>
      <c r="BH147" s="1882">
        <v>0.28399999999999997</v>
      </c>
      <c r="BI147" s="1882"/>
      <c r="BJ147" s="1882"/>
      <c r="BK147" s="1882"/>
      <c r="BL147" s="1882"/>
      <c r="BM147" s="1882"/>
      <c r="BN147" s="1882">
        <v>100</v>
      </c>
      <c r="BO147" s="1882" t="s">
        <v>8884</v>
      </c>
      <c r="BP147" s="520">
        <v>99.99</v>
      </c>
      <c r="BQ147" s="694">
        <v>100</v>
      </c>
      <c r="BR147" s="1882" t="s">
        <v>2459</v>
      </c>
      <c r="BS147" s="1882" t="s">
        <v>8513</v>
      </c>
      <c r="BT147" s="1882">
        <v>0</v>
      </c>
      <c r="BU147" s="1882" t="s">
        <v>8513</v>
      </c>
      <c r="BV147" s="1882">
        <v>0</v>
      </c>
      <c r="BW147" s="1882">
        <v>99.98</v>
      </c>
      <c r="BX147" s="1882" t="s">
        <v>2459</v>
      </c>
      <c r="BY147" s="1882">
        <v>0</v>
      </c>
      <c r="BZ147" s="1882">
        <v>0</v>
      </c>
      <c r="CA147" s="1882">
        <v>0</v>
      </c>
      <c r="CB147" s="1882">
        <v>0</v>
      </c>
      <c r="CC147" s="1882">
        <v>100</v>
      </c>
      <c r="CD147" s="1882" t="s">
        <v>2459</v>
      </c>
      <c r="CE147" s="1882">
        <v>0</v>
      </c>
      <c r="CF147" s="1882">
        <v>0</v>
      </c>
      <c r="CG147" s="1882">
        <v>0</v>
      </c>
      <c r="CH147" s="1882">
        <v>0</v>
      </c>
      <c r="CI147" s="1882">
        <v>100</v>
      </c>
      <c r="CJ147" s="1882" t="s">
        <v>2459</v>
      </c>
      <c r="CK147" s="1882">
        <v>0</v>
      </c>
      <c r="CL147" s="1882">
        <v>0</v>
      </c>
      <c r="CM147" s="1882">
        <v>0</v>
      </c>
      <c r="CN147" s="1882">
        <v>0</v>
      </c>
      <c r="CP147" s="1882" t="s">
        <v>9462</v>
      </c>
    </row>
    <row r="148" spans="1:94">
      <c r="A148" s="1882" t="s">
        <v>9453</v>
      </c>
      <c r="B148" s="1882" t="s">
        <v>9463</v>
      </c>
      <c r="C148" s="1882" t="s">
        <v>8394</v>
      </c>
      <c r="D148" s="1882" t="s">
        <v>1626</v>
      </c>
      <c r="E148" s="1882" t="s">
        <v>8503</v>
      </c>
      <c r="F148" s="1882" t="s">
        <v>9464</v>
      </c>
      <c r="G148" s="1882" t="s">
        <v>7236</v>
      </c>
      <c r="H148" s="1882" t="s">
        <v>9465</v>
      </c>
      <c r="I148" s="1882" t="s">
        <v>9466</v>
      </c>
      <c r="J148" s="1882" t="s">
        <v>8508</v>
      </c>
      <c r="K148" s="1882" t="s">
        <v>8509</v>
      </c>
      <c r="L148" s="1882"/>
      <c r="M148" s="1882"/>
      <c r="N148" s="1882" t="s">
        <v>2444</v>
      </c>
      <c r="O148" s="1882" t="s">
        <v>764</v>
      </c>
      <c r="P148" s="1882" t="s">
        <v>8510</v>
      </c>
      <c r="Q148" s="520">
        <v>2</v>
      </c>
      <c r="R148" s="1882" t="s">
        <v>8511</v>
      </c>
      <c r="S148" s="1882">
        <v>21.47</v>
      </c>
      <c r="T148" s="1882"/>
      <c r="U148" s="1882"/>
      <c r="V148" s="1882"/>
      <c r="W148" s="1882"/>
      <c r="X148" s="1882">
        <v>20</v>
      </c>
      <c r="Y148" s="1882"/>
      <c r="Z148" s="1882"/>
      <c r="AA148" s="1882"/>
      <c r="AB148" s="1882"/>
      <c r="AC148" s="1882"/>
      <c r="AD148" s="1882"/>
      <c r="AE148" s="1882" t="s">
        <v>2459</v>
      </c>
      <c r="AF148" s="1882"/>
      <c r="AG148" s="1882"/>
      <c r="AH148" s="1882">
        <v>0</v>
      </c>
      <c r="AI148" s="1882"/>
      <c r="AJ148" s="1882"/>
      <c r="AK148" s="1882"/>
      <c r="AL148" s="1882"/>
      <c r="AM148" s="1882" t="s">
        <v>2459</v>
      </c>
      <c r="AN148" s="1882"/>
      <c r="AO148" s="1882"/>
      <c r="AP148" s="1882"/>
      <c r="AQ148" s="1882"/>
      <c r="AR148" s="1882">
        <v>22</v>
      </c>
      <c r="AS148" s="1882"/>
      <c r="AT148" s="1882"/>
      <c r="AU148" s="1882"/>
      <c r="AV148" s="1882"/>
      <c r="AW148" s="1882">
        <v>20.100000000000001</v>
      </c>
      <c r="AX148" s="1882"/>
      <c r="AY148" s="1882"/>
      <c r="AZ148" s="1882"/>
      <c r="BA148" s="1882"/>
      <c r="BB148" s="1882">
        <v>19.899999999999999</v>
      </c>
      <c r="BC148" s="1882"/>
      <c r="BD148" s="1882"/>
      <c r="BE148" s="1882"/>
      <c r="BF148" s="1882"/>
      <c r="BG148" s="1882">
        <v>17</v>
      </c>
      <c r="BH148" s="1882">
        <v>0.1152</v>
      </c>
      <c r="BI148" s="1882"/>
      <c r="BJ148" s="1882"/>
      <c r="BK148" s="1882"/>
      <c r="BL148" s="1882">
        <v>3.8800000000000001E-2</v>
      </c>
      <c r="BM148" s="1882"/>
      <c r="BN148" s="1882">
        <v>10</v>
      </c>
      <c r="BO148" s="1882" t="s">
        <v>9467</v>
      </c>
      <c r="BP148" s="520">
        <v>20.88</v>
      </c>
      <c r="BQ148" s="694">
        <v>19.632999999999999</v>
      </c>
      <c r="BR148" s="1882" t="s">
        <v>8513</v>
      </c>
      <c r="BS148" s="1882" t="s">
        <v>8513</v>
      </c>
      <c r="BT148" s="1882">
        <v>0</v>
      </c>
      <c r="BU148" s="1882" t="s">
        <v>8513</v>
      </c>
      <c r="BV148" s="1882">
        <v>0</v>
      </c>
      <c r="BW148" s="1882">
        <v>19</v>
      </c>
      <c r="BX148" s="1882" t="s">
        <v>2451</v>
      </c>
      <c r="BY148" s="1882">
        <v>0</v>
      </c>
      <c r="BZ148" s="1882">
        <v>0</v>
      </c>
      <c r="CA148" s="1882">
        <v>0</v>
      </c>
      <c r="CB148" s="1882">
        <v>0</v>
      </c>
      <c r="CC148" s="1882">
        <v>19.11</v>
      </c>
      <c r="CD148" s="1882" t="s">
        <v>2451</v>
      </c>
      <c r="CE148" s="1882">
        <v>0</v>
      </c>
      <c r="CF148" s="1882">
        <v>0</v>
      </c>
      <c r="CG148" s="1882">
        <v>0</v>
      </c>
      <c r="CH148" s="1882">
        <v>0</v>
      </c>
      <c r="CI148" s="1882">
        <v>18.279320362470102</v>
      </c>
      <c r="CJ148" s="1882" t="s">
        <v>2451</v>
      </c>
      <c r="CK148" s="1882">
        <v>0</v>
      </c>
      <c r="CL148" s="1882">
        <v>0</v>
      </c>
      <c r="CM148" s="1882">
        <v>0</v>
      </c>
      <c r="CN148" s="1882">
        <v>0</v>
      </c>
      <c r="CP148" s="1882" t="s">
        <v>9468</v>
      </c>
    </row>
    <row r="149" spans="1:94">
      <c r="A149" s="1882" t="s">
        <v>9453</v>
      </c>
      <c r="B149" s="1882" t="s">
        <v>9469</v>
      </c>
      <c r="C149" s="1882" t="s">
        <v>8394</v>
      </c>
      <c r="D149" s="1882" t="s">
        <v>1626</v>
      </c>
      <c r="E149" s="1882" t="s">
        <v>8503</v>
      </c>
      <c r="F149" s="1882" t="s">
        <v>9464</v>
      </c>
      <c r="G149" s="1882" t="s">
        <v>7237</v>
      </c>
      <c r="H149" s="1882" t="s">
        <v>9470</v>
      </c>
      <c r="I149" s="1882" t="s">
        <v>9471</v>
      </c>
      <c r="J149" s="1882" t="s">
        <v>8508</v>
      </c>
      <c r="K149" s="1882" t="s">
        <v>8509</v>
      </c>
      <c r="L149" s="1882"/>
      <c r="M149" s="1882"/>
      <c r="N149" s="1882" t="s">
        <v>2450</v>
      </c>
      <c r="O149" s="1882" t="s">
        <v>764</v>
      </c>
      <c r="P149" s="1882" t="s">
        <v>9472</v>
      </c>
      <c r="Q149" s="520">
        <v>1</v>
      </c>
      <c r="R149" s="1882" t="s">
        <v>8549</v>
      </c>
      <c r="S149" s="1882"/>
      <c r="T149" s="1882"/>
      <c r="U149" s="1882"/>
      <c r="V149" s="1882"/>
      <c r="W149" s="1882"/>
      <c r="X149" s="1882">
        <v>12</v>
      </c>
      <c r="Y149" s="1882"/>
      <c r="Z149" s="1882"/>
      <c r="AA149" s="1882"/>
      <c r="AB149" s="1882"/>
      <c r="AC149" s="1882"/>
      <c r="AD149" s="1882"/>
      <c r="AE149" s="1882" t="s">
        <v>2459</v>
      </c>
      <c r="AF149" s="1882"/>
      <c r="AG149" s="1882"/>
      <c r="AH149" s="1882">
        <v>0</v>
      </c>
      <c r="AI149" s="1882"/>
      <c r="AJ149" s="1882"/>
      <c r="AK149" s="1882"/>
      <c r="AL149" s="1882"/>
      <c r="AM149" s="1882" t="s">
        <v>2459</v>
      </c>
      <c r="AN149" s="1882"/>
      <c r="AO149" s="1882"/>
      <c r="AP149" s="1882"/>
      <c r="AQ149" s="1882"/>
      <c r="AR149" s="1882">
        <v>0</v>
      </c>
      <c r="AS149" s="1882"/>
      <c r="AT149" s="1882"/>
      <c r="AU149" s="1882"/>
      <c r="AV149" s="1882"/>
      <c r="AW149" s="1882">
        <v>11.5</v>
      </c>
      <c r="AX149" s="1882"/>
      <c r="AY149" s="1882"/>
      <c r="AZ149" s="1882"/>
      <c r="BA149" s="1882"/>
      <c r="BB149" s="1882">
        <v>12.5</v>
      </c>
      <c r="BC149" s="1882"/>
      <c r="BD149" s="1882"/>
      <c r="BE149" s="1882"/>
      <c r="BF149" s="1882"/>
      <c r="BG149" s="1882">
        <v>18</v>
      </c>
      <c r="BH149" s="1882">
        <v>8.1799999999999998E-2</v>
      </c>
      <c r="BI149" s="1882"/>
      <c r="BJ149" s="1882"/>
      <c r="BK149" s="1882"/>
      <c r="BL149" s="1882">
        <v>0.18529999999999999</v>
      </c>
      <c r="BM149" s="1882"/>
      <c r="BN149" s="1882">
        <v>1</v>
      </c>
      <c r="BO149" s="1882" t="s">
        <v>8512</v>
      </c>
      <c r="BP149" s="520">
        <v>0</v>
      </c>
      <c r="BQ149" s="690">
        <v>0</v>
      </c>
      <c r="BR149" s="1882" t="s">
        <v>8513</v>
      </c>
      <c r="BS149" s="1882" t="s">
        <v>8513</v>
      </c>
      <c r="BT149" s="1882">
        <v>0</v>
      </c>
      <c r="BU149" s="1882" t="s">
        <v>8513</v>
      </c>
      <c r="BV149" s="1882">
        <v>0</v>
      </c>
      <c r="BW149" s="1882">
        <v>0</v>
      </c>
      <c r="BX149" s="1882" t="s">
        <v>2451</v>
      </c>
      <c r="BY149" s="1882">
        <v>0</v>
      </c>
      <c r="BZ149" s="1882">
        <v>0</v>
      </c>
      <c r="CA149" s="1882">
        <v>0</v>
      </c>
      <c r="CB149" s="1882">
        <v>0</v>
      </c>
      <c r="CC149" s="1882">
        <v>4.3</v>
      </c>
      <c r="CD149" s="1882" t="s">
        <v>2451</v>
      </c>
      <c r="CE149" s="1882">
        <v>0</v>
      </c>
      <c r="CF149" s="1882">
        <v>0</v>
      </c>
      <c r="CG149" s="1882">
        <v>0</v>
      </c>
      <c r="CH149" s="1882">
        <v>0</v>
      </c>
      <c r="CI149" s="1882">
        <v>4.3019999999999996</v>
      </c>
      <c r="CJ149" s="1882" t="s">
        <v>2451</v>
      </c>
      <c r="CK149" s="1882">
        <v>0</v>
      </c>
      <c r="CL149" s="1882">
        <v>0</v>
      </c>
      <c r="CM149" s="1882">
        <v>0</v>
      </c>
      <c r="CN149" s="1882">
        <v>0</v>
      </c>
      <c r="CP149" s="1882" t="s">
        <v>9473</v>
      </c>
    </row>
    <row r="150" spans="1:94">
      <c r="A150" s="1882" t="s">
        <v>9453</v>
      </c>
      <c r="B150" s="1882" t="s">
        <v>9474</v>
      </c>
      <c r="C150" s="1882" t="s">
        <v>8394</v>
      </c>
      <c r="D150" s="1882" t="s">
        <v>1626</v>
      </c>
      <c r="E150" s="1882" t="s">
        <v>8503</v>
      </c>
      <c r="F150" s="1882" t="s">
        <v>9464</v>
      </c>
      <c r="G150" s="1882" t="s">
        <v>8250</v>
      </c>
      <c r="H150" s="1882" t="s">
        <v>9475</v>
      </c>
      <c r="I150" s="1882" t="s">
        <v>9476</v>
      </c>
      <c r="J150" s="1882" t="s">
        <v>8519</v>
      </c>
      <c r="K150" s="1882" t="s">
        <v>8509</v>
      </c>
      <c r="L150" s="1882"/>
      <c r="M150" s="1882"/>
      <c r="N150" s="1882" t="s">
        <v>2450</v>
      </c>
      <c r="O150" s="1882" t="s">
        <v>8607</v>
      </c>
      <c r="P150" s="1882" t="s">
        <v>8608</v>
      </c>
      <c r="Q150" s="520">
        <v>1</v>
      </c>
      <c r="R150" s="1882" t="s">
        <v>8511</v>
      </c>
      <c r="S150" s="1882">
        <v>4.4000000000000004</v>
      </c>
      <c r="T150" s="1882">
        <v>4.4000000000000004</v>
      </c>
      <c r="U150" s="1882">
        <v>4.4000000000000004</v>
      </c>
      <c r="V150" s="1882">
        <v>4.4000000000000004</v>
      </c>
      <c r="W150" s="1882">
        <v>4.4000000000000004</v>
      </c>
      <c r="X150" s="1882">
        <v>4.4000000000000004</v>
      </c>
      <c r="Y150" s="1882"/>
      <c r="Z150" s="1882"/>
      <c r="AA150" s="1882" t="s">
        <v>2459</v>
      </c>
      <c r="AB150" s="1882"/>
      <c r="AC150" s="1882"/>
      <c r="AD150" s="1882"/>
      <c r="AE150" s="1882" t="s">
        <v>2459</v>
      </c>
      <c r="AF150" s="1882"/>
      <c r="AG150" s="1882"/>
      <c r="AH150" s="1882">
        <v>0</v>
      </c>
      <c r="AI150" s="1882" t="s">
        <v>2459</v>
      </c>
      <c r="AJ150" s="1882" t="s">
        <v>2459</v>
      </c>
      <c r="AK150" s="1882" t="s">
        <v>2459</v>
      </c>
      <c r="AL150" s="1882" t="s">
        <v>2459</v>
      </c>
      <c r="AM150" s="1882" t="s">
        <v>2459</v>
      </c>
      <c r="AN150" s="1882">
        <v>10.3</v>
      </c>
      <c r="AO150" s="1882">
        <v>10.3</v>
      </c>
      <c r="AP150" s="1882">
        <v>10.3</v>
      </c>
      <c r="AQ150" s="1882">
        <v>10.3</v>
      </c>
      <c r="AR150" s="1882">
        <v>10.3</v>
      </c>
      <c r="AS150" s="1882">
        <v>6.4</v>
      </c>
      <c r="AT150" s="1882">
        <v>6.4</v>
      </c>
      <c r="AU150" s="1882">
        <v>6.4</v>
      </c>
      <c r="AV150" s="1882">
        <v>6.4</v>
      </c>
      <c r="AW150" s="1882">
        <v>6.4</v>
      </c>
      <c r="AX150" s="1882"/>
      <c r="AY150" s="1882"/>
      <c r="AZ150" s="1882"/>
      <c r="BA150" s="1882"/>
      <c r="BB150" s="1882"/>
      <c r="BC150" s="1882"/>
      <c r="BD150" s="1882"/>
      <c r="BE150" s="1882"/>
      <c r="BF150" s="1882"/>
      <c r="BG150" s="1882"/>
      <c r="BH150" s="1882">
        <v>7.4999999999999997E-2</v>
      </c>
      <c r="BI150" s="1882"/>
      <c r="BJ150" s="1882"/>
      <c r="BK150" s="1882"/>
      <c r="BL150" s="1882"/>
      <c r="BM150" s="1882"/>
      <c r="BN150" s="1882">
        <v>1</v>
      </c>
      <c r="BO150" s="1882" t="s">
        <v>8512</v>
      </c>
      <c r="BP150" s="520">
        <v>2.2599999999999998</v>
      </c>
      <c r="BQ150" s="690">
        <v>2.54</v>
      </c>
      <c r="BR150" s="1882" t="s">
        <v>2459</v>
      </c>
      <c r="BS150" s="1882" t="s">
        <v>8513</v>
      </c>
      <c r="BT150" s="1882">
        <v>0</v>
      </c>
      <c r="BU150" s="1882" t="s">
        <v>8513</v>
      </c>
      <c r="BV150" s="1882">
        <v>0</v>
      </c>
      <c r="BW150" s="1882">
        <v>1.9</v>
      </c>
      <c r="BX150" s="1882" t="s">
        <v>2459</v>
      </c>
      <c r="BY150" s="1882">
        <v>0</v>
      </c>
      <c r="BZ150" s="1882">
        <v>0</v>
      </c>
      <c r="CA150" s="1882">
        <v>0</v>
      </c>
      <c r="CB150" s="1882">
        <v>0</v>
      </c>
      <c r="CC150" s="1882">
        <v>0.7</v>
      </c>
      <c r="CD150" s="1882" t="s">
        <v>2459</v>
      </c>
      <c r="CE150" s="1882">
        <v>0</v>
      </c>
      <c r="CF150" s="1882">
        <v>0</v>
      </c>
      <c r="CG150" s="1882">
        <v>0</v>
      </c>
      <c r="CH150" s="1882">
        <v>0</v>
      </c>
      <c r="CI150" s="1882">
        <v>0.66</v>
      </c>
      <c r="CJ150" s="1882" t="s">
        <v>2459</v>
      </c>
      <c r="CK150" s="1882">
        <v>0</v>
      </c>
      <c r="CL150" s="1882">
        <v>0</v>
      </c>
      <c r="CM150" s="1882">
        <v>0</v>
      </c>
      <c r="CN150" s="1882">
        <v>0</v>
      </c>
      <c r="CP150" s="1882" t="s">
        <v>9477</v>
      </c>
    </row>
    <row r="151" spans="1:94">
      <c r="A151" s="1882" t="s">
        <v>9453</v>
      </c>
      <c r="B151" s="1882" t="s">
        <v>9478</v>
      </c>
      <c r="C151" s="1882" t="s">
        <v>8394</v>
      </c>
      <c r="D151" s="1882" t="s">
        <v>1626</v>
      </c>
      <c r="E151" s="1882" t="s">
        <v>8503</v>
      </c>
      <c r="F151" s="1882" t="s">
        <v>9464</v>
      </c>
      <c r="G151" s="1882" t="s">
        <v>9019</v>
      </c>
      <c r="H151" s="1882" t="s">
        <v>9479</v>
      </c>
      <c r="I151" s="1882" t="s">
        <v>9480</v>
      </c>
      <c r="J151" s="1882" t="s">
        <v>8519</v>
      </c>
      <c r="K151" s="1882" t="s">
        <v>8509</v>
      </c>
      <c r="L151" s="1882"/>
      <c r="M151" s="1882" t="s">
        <v>2460</v>
      </c>
      <c r="N151" s="1882" t="s">
        <v>8569</v>
      </c>
      <c r="O151" s="1882" t="s">
        <v>8704</v>
      </c>
      <c r="P151" s="1882" t="s">
        <v>8856</v>
      </c>
      <c r="Q151" s="520" t="s">
        <v>8512</v>
      </c>
      <c r="R151" s="1882"/>
      <c r="S151" s="1882" t="s">
        <v>8706</v>
      </c>
      <c r="T151" s="1882" t="s">
        <v>8706</v>
      </c>
      <c r="U151" s="1882" t="s">
        <v>8706</v>
      </c>
      <c r="V151" s="1882" t="s">
        <v>8706</v>
      </c>
      <c r="W151" s="1882" t="s">
        <v>8706</v>
      </c>
      <c r="X151" s="1882" t="s">
        <v>8706</v>
      </c>
      <c r="Y151" s="1882"/>
      <c r="Z151" s="1882"/>
      <c r="AA151" s="1882"/>
      <c r="AB151" s="1882"/>
      <c r="AC151" s="1882"/>
      <c r="AD151" s="1882"/>
      <c r="AE151" s="1882" t="s">
        <v>2459</v>
      </c>
      <c r="AF151" s="1882"/>
      <c r="AG151" s="1882"/>
      <c r="AH151" s="1882">
        <v>10</v>
      </c>
      <c r="AI151" s="1882" t="s">
        <v>2459</v>
      </c>
      <c r="AJ151" s="1882" t="s">
        <v>2459</v>
      </c>
      <c r="AK151" s="1882" t="s">
        <v>2459</v>
      </c>
      <c r="AL151" s="1882" t="s">
        <v>2459</v>
      </c>
      <c r="AM151" s="1882" t="s">
        <v>2459</v>
      </c>
      <c r="AN151" s="1882" t="s">
        <v>8857</v>
      </c>
      <c r="AO151" s="1882" t="s">
        <v>8857</v>
      </c>
      <c r="AP151" s="1882" t="s">
        <v>8857</v>
      </c>
      <c r="AQ151" s="1882" t="s">
        <v>8857</v>
      </c>
      <c r="AR151" s="1882" t="s">
        <v>8857</v>
      </c>
      <c r="AS151" s="1882" t="s">
        <v>8858</v>
      </c>
      <c r="AT151" s="1882" t="s">
        <v>8858</v>
      </c>
      <c r="AU151" s="1882" t="s">
        <v>8858</v>
      </c>
      <c r="AV151" s="1882" t="s">
        <v>8858</v>
      </c>
      <c r="AW151" s="1882" t="s">
        <v>8858</v>
      </c>
      <c r="AX151" s="1882"/>
      <c r="AY151" s="1882"/>
      <c r="AZ151" s="1882"/>
      <c r="BA151" s="1882"/>
      <c r="BB151" s="1882"/>
      <c r="BC151" s="1882"/>
      <c r="BD151" s="1882"/>
      <c r="BE151" s="1882"/>
      <c r="BF151" s="1882"/>
      <c r="BG151" s="1882"/>
      <c r="BH151" s="1882">
        <v>0.22500000000000001</v>
      </c>
      <c r="BI151" s="1882"/>
      <c r="BJ151" s="1882"/>
      <c r="BK151" s="1882"/>
      <c r="BL151" s="1882"/>
      <c r="BM151" s="1882"/>
      <c r="BN151" s="1882">
        <v>1</v>
      </c>
      <c r="BO151" s="1882" t="s">
        <v>8512</v>
      </c>
      <c r="BP151" s="520" t="s">
        <v>8706</v>
      </c>
      <c r="BQ151" s="692" t="s">
        <v>8706</v>
      </c>
      <c r="BR151" s="1882" t="s">
        <v>2459</v>
      </c>
      <c r="BS151" s="1882" t="s">
        <v>8513</v>
      </c>
      <c r="BT151" s="1882">
        <v>0</v>
      </c>
      <c r="BU151" s="1882" t="s">
        <v>8513</v>
      </c>
      <c r="BV151" s="1882">
        <v>0</v>
      </c>
      <c r="BW151" s="1882" t="s">
        <v>8706</v>
      </c>
      <c r="BX151" s="1882" t="s">
        <v>2459</v>
      </c>
      <c r="BY151" s="1882">
        <v>0</v>
      </c>
      <c r="BZ151" s="1882">
        <v>0</v>
      </c>
      <c r="CA151" s="1882">
        <v>0</v>
      </c>
      <c r="CB151" s="1882">
        <v>0</v>
      </c>
      <c r="CC151" s="1882" t="s">
        <v>8706</v>
      </c>
      <c r="CD151" s="1882" t="s">
        <v>2459</v>
      </c>
      <c r="CE151" s="1882">
        <v>0</v>
      </c>
      <c r="CF151" s="1882">
        <v>0</v>
      </c>
      <c r="CG151" s="1882">
        <v>0</v>
      </c>
      <c r="CH151" s="1882">
        <v>0</v>
      </c>
      <c r="CI151" s="1882" t="s">
        <v>8706</v>
      </c>
      <c r="CJ151" s="1882" t="s">
        <v>2459</v>
      </c>
      <c r="CK151" s="1882">
        <v>0</v>
      </c>
      <c r="CL151" s="1882">
        <v>0</v>
      </c>
      <c r="CM151" s="1882">
        <v>0</v>
      </c>
      <c r="CN151" s="1882">
        <v>0</v>
      </c>
      <c r="CP151" s="1882" t="s">
        <v>9481</v>
      </c>
    </row>
    <row r="152" spans="1:94">
      <c r="A152" s="1882" t="s">
        <v>9453</v>
      </c>
      <c r="B152" s="1882" t="s">
        <v>9482</v>
      </c>
      <c r="C152" s="1882" t="s">
        <v>8394</v>
      </c>
      <c r="D152" s="1882" t="s">
        <v>1626</v>
      </c>
      <c r="E152" s="1882" t="s">
        <v>8503</v>
      </c>
      <c r="F152" s="1882" t="s">
        <v>9464</v>
      </c>
      <c r="G152" s="1882" t="s">
        <v>9483</v>
      </c>
      <c r="H152" s="1882" t="s">
        <v>9484</v>
      </c>
      <c r="I152" s="1882" t="s">
        <v>9485</v>
      </c>
      <c r="J152" s="1882" t="s">
        <v>8519</v>
      </c>
      <c r="K152" s="1882" t="s">
        <v>8509</v>
      </c>
      <c r="L152" s="1882"/>
      <c r="M152" s="1882"/>
      <c r="N152" s="1882" t="s">
        <v>8902</v>
      </c>
      <c r="O152" s="1882" t="s">
        <v>764</v>
      </c>
      <c r="P152" s="1882" t="s">
        <v>9486</v>
      </c>
      <c r="Q152" s="520">
        <v>0</v>
      </c>
      <c r="R152" s="1882" t="s">
        <v>8549</v>
      </c>
      <c r="S152" s="1882"/>
      <c r="T152" s="1882"/>
      <c r="U152" s="1882"/>
      <c r="V152" s="1882"/>
      <c r="W152" s="1882"/>
      <c r="X152" s="1882">
        <v>9300</v>
      </c>
      <c r="Y152" s="1882"/>
      <c r="Z152" s="1882"/>
      <c r="AA152" s="1882"/>
      <c r="AB152" s="1882"/>
      <c r="AC152" s="1882"/>
      <c r="AD152" s="1882"/>
      <c r="AE152" s="1882"/>
      <c r="AF152" s="1882"/>
      <c r="AG152" s="1882"/>
      <c r="AH152" s="1882">
        <v>0</v>
      </c>
      <c r="AI152" s="1882"/>
      <c r="AJ152" s="1882"/>
      <c r="AK152" s="1882"/>
      <c r="AL152" s="1882"/>
      <c r="AM152" s="1882" t="s">
        <v>2459</v>
      </c>
      <c r="AN152" s="1882"/>
      <c r="AO152" s="1882"/>
      <c r="AP152" s="1882"/>
      <c r="AQ152" s="1882"/>
      <c r="AR152" s="1882">
        <v>0</v>
      </c>
      <c r="AS152" s="1882"/>
      <c r="AT152" s="1882"/>
      <c r="AU152" s="1882"/>
      <c r="AV152" s="1882"/>
      <c r="AW152" s="1882">
        <v>9200</v>
      </c>
      <c r="AX152" s="1882"/>
      <c r="AY152" s="1882"/>
      <c r="AZ152" s="1882"/>
      <c r="BA152" s="1882"/>
      <c r="BB152" s="1882"/>
      <c r="BC152" s="1882"/>
      <c r="BD152" s="1882"/>
      <c r="BE152" s="1882"/>
      <c r="BF152" s="1882"/>
      <c r="BG152" s="1882"/>
      <c r="BH152" s="1882">
        <v>2.6599999999999999E-5</v>
      </c>
      <c r="BI152" s="1882"/>
      <c r="BJ152" s="1882"/>
      <c r="BK152" s="1882"/>
      <c r="BL152" s="1882"/>
      <c r="BM152" s="1882"/>
      <c r="BN152" s="1882">
        <v>1</v>
      </c>
      <c r="BO152" s="1882" t="s">
        <v>8512</v>
      </c>
      <c r="BP152" s="520">
        <v>2217</v>
      </c>
      <c r="BQ152" s="693">
        <v>2553</v>
      </c>
      <c r="BR152" s="1882" t="s">
        <v>8513</v>
      </c>
      <c r="BS152" s="1882" t="s">
        <v>8513</v>
      </c>
      <c r="BT152" s="1882">
        <v>0</v>
      </c>
      <c r="BU152" s="1882" t="s">
        <v>8513</v>
      </c>
      <c r="BV152" s="1882">
        <v>0</v>
      </c>
      <c r="BW152" s="1882">
        <v>4647</v>
      </c>
      <c r="BX152" s="1882" t="s">
        <v>2451</v>
      </c>
      <c r="BY152" s="1882">
        <v>0</v>
      </c>
      <c r="BZ152" s="1882">
        <v>0</v>
      </c>
      <c r="CA152" s="1882">
        <v>0</v>
      </c>
      <c r="CB152" s="1882">
        <v>0</v>
      </c>
      <c r="CC152" s="1882">
        <v>6298</v>
      </c>
      <c r="CD152" s="1882" t="s">
        <v>2451</v>
      </c>
      <c r="CE152" s="1882">
        <v>0</v>
      </c>
      <c r="CF152" s="1882">
        <v>0</v>
      </c>
      <c r="CG152" s="1882">
        <v>0</v>
      </c>
      <c r="CH152" s="1882">
        <v>0</v>
      </c>
      <c r="CI152" s="1882">
        <v>7872</v>
      </c>
      <c r="CJ152" s="1882" t="s">
        <v>2451</v>
      </c>
      <c r="CK152" s="1882">
        <v>0</v>
      </c>
      <c r="CL152" s="1882">
        <v>0</v>
      </c>
      <c r="CM152" s="1882">
        <v>0</v>
      </c>
      <c r="CN152" s="1882">
        <v>0</v>
      </c>
      <c r="CP152" s="1882" t="s">
        <v>9487</v>
      </c>
    </row>
    <row r="153" spans="1:94">
      <c r="A153" s="1882" t="s">
        <v>9453</v>
      </c>
      <c r="B153" s="1882" t="s">
        <v>9488</v>
      </c>
      <c r="C153" s="1882" t="s">
        <v>8394</v>
      </c>
      <c r="D153" s="1882" t="s">
        <v>1626</v>
      </c>
      <c r="E153" s="1882" t="s">
        <v>8503</v>
      </c>
      <c r="F153" s="1882" t="s">
        <v>9464</v>
      </c>
      <c r="G153" s="1882" t="s">
        <v>9489</v>
      </c>
      <c r="H153" s="1882" t="s">
        <v>9490</v>
      </c>
      <c r="I153" s="1882" t="s">
        <v>9491</v>
      </c>
      <c r="J153" s="1882" t="s">
        <v>8539</v>
      </c>
      <c r="K153" s="1882"/>
      <c r="L153" s="1882"/>
      <c r="M153" s="1882"/>
      <c r="N153" s="1882" t="s">
        <v>8520</v>
      </c>
      <c r="O153" s="1882" t="s">
        <v>764</v>
      </c>
      <c r="P153" s="1882" t="s">
        <v>8938</v>
      </c>
      <c r="Q153" s="520">
        <v>1</v>
      </c>
      <c r="R153" s="1882" t="s">
        <v>8511</v>
      </c>
      <c r="S153" s="1882">
        <v>142</v>
      </c>
      <c r="T153" s="1882">
        <v>142</v>
      </c>
      <c r="U153" s="1882"/>
      <c r="V153" s="1882"/>
      <c r="W153" s="1882"/>
      <c r="X153" s="1882">
        <v>140</v>
      </c>
      <c r="Y153" s="1882"/>
      <c r="Z153" s="1882"/>
      <c r="AA153" s="1882"/>
      <c r="AB153" s="1882"/>
      <c r="AC153" s="1882"/>
      <c r="AD153" s="1882"/>
      <c r="AE153" s="1882"/>
      <c r="AF153" s="1882"/>
      <c r="AG153" s="1882"/>
      <c r="AH153" s="1882">
        <v>0</v>
      </c>
      <c r="AI153" s="1882"/>
      <c r="AJ153" s="1882"/>
      <c r="AK153" s="1882"/>
      <c r="AL153" s="1882"/>
      <c r="AM153" s="1882"/>
      <c r="AN153" s="1882"/>
      <c r="AO153" s="1882"/>
      <c r="AP153" s="1882"/>
      <c r="AQ153" s="1882"/>
      <c r="AR153" s="1882"/>
      <c r="AS153" s="1882"/>
      <c r="AT153" s="1882"/>
      <c r="AU153" s="1882"/>
      <c r="AV153" s="1882"/>
      <c r="AW153" s="1882"/>
      <c r="AX153" s="1882"/>
      <c r="AY153" s="1882"/>
      <c r="AZ153" s="1882"/>
      <c r="BA153" s="1882"/>
      <c r="BB153" s="1882"/>
      <c r="BC153" s="1882"/>
      <c r="BD153" s="1882"/>
      <c r="BE153" s="1882"/>
      <c r="BF153" s="1882"/>
      <c r="BG153" s="1882"/>
      <c r="BH153" s="1882"/>
      <c r="BI153" s="1882"/>
      <c r="BJ153" s="1882"/>
      <c r="BK153" s="1882"/>
      <c r="BL153" s="1882"/>
      <c r="BM153" s="1882"/>
      <c r="BN153" s="1882"/>
      <c r="BO153" s="1882"/>
      <c r="BP153" s="520">
        <v>138.41900000000001</v>
      </c>
      <c r="BQ153" s="693">
        <v>133.57900000000001</v>
      </c>
      <c r="BR153" s="1882" t="s">
        <v>2459</v>
      </c>
      <c r="BS153" s="1882" t="s">
        <v>8513</v>
      </c>
      <c r="BT153" s="1882">
        <v>0</v>
      </c>
      <c r="BU153" s="1882" t="s">
        <v>8513</v>
      </c>
      <c r="BV153" s="1882">
        <v>0</v>
      </c>
      <c r="BW153" s="1882">
        <v>143.9</v>
      </c>
      <c r="BX153" s="1882" t="s">
        <v>2451</v>
      </c>
      <c r="BY153" s="1882">
        <v>0</v>
      </c>
      <c r="BZ153" s="1882">
        <v>0</v>
      </c>
      <c r="CA153" s="1882">
        <v>0</v>
      </c>
      <c r="CB153" s="1882">
        <v>0</v>
      </c>
      <c r="CC153" s="1882">
        <v>141</v>
      </c>
      <c r="CD153" s="1882" t="s">
        <v>2451</v>
      </c>
      <c r="CE153" s="1882">
        <v>0</v>
      </c>
      <c r="CF153" s="1882">
        <v>0</v>
      </c>
      <c r="CG153" s="1882">
        <v>0</v>
      </c>
      <c r="CH153" s="1882">
        <v>0</v>
      </c>
      <c r="CI153" s="1882">
        <v>151.33000000000001</v>
      </c>
      <c r="CJ153" s="1882" t="s">
        <v>2451</v>
      </c>
      <c r="CK153" s="1882">
        <v>0</v>
      </c>
      <c r="CL153" s="1882">
        <v>0</v>
      </c>
      <c r="CM153" s="1882">
        <v>0</v>
      </c>
      <c r="CN153" s="1882">
        <v>0</v>
      </c>
      <c r="CP153" s="1882" t="s">
        <v>9492</v>
      </c>
    </row>
    <row r="154" spans="1:94">
      <c r="A154" s="1882" t="s">
        <v>9453</v>
      </c>
      <c r="B154" s="1882" t="s">
        <v>9493</v>
      </c>
      <c r="C154" s="1882" t="s">
        <v>8394</v>
      </c>
      <c r="D154" s="1882" t="s">
        <v>1626</v>
      </c>
      <c r="E154" s="1882" t="s">
        <v>8503</v>
      </c>
      <c r="F154" s="1882" t="s">
        <v>9494</v>
      </c>
      <c r="G154" s="1882" t="s">
        <v>8254</v>
      </c>
      <c r="H154" s="1882" t="s">
        <v>9495</v>
      </c>
      <c r="I154" s="1882" t="s">
        <v>9496</v>
      </c>
      <c r="J154" s="1882" t="s">
        <v>8519</v>
      </c>
      <c r="K154" s="1882" t="s">
        <v>8509</v>
      </c>
      <c r="L154" s="1882"/>
      <c r="M154" s="1882"/>
      <c r="N154" s="1882" t="s">
        <v>2444</v>
      </c>
      <c r="O154" s="1882" t="s">
        <v>732</v>
      </c>
      <c r="P154" s="1882" t="s">
        <v>9497</v>
      </c>
      <c r="Q154" s="520">
        <v>1</v>
      </c>
      <c r="R154" s="1882" t="s">
        <v>8549</v>
      </c>
      <c r="S154" s="1882">
        <v>77</v>
      </c>
      <c r="T154" s="1882"/>
      <c r="U154" s="1882"/>
      <c r="V154" s="1882"/>
      <c r="W154" s="1882"/>
      <c r="X154" s="1882">
        <v>85</v>
      </c>
      <c r="Y154" s="1882"/>
      <c r="Z154" s="1882"/>
      <c r="AA154" s="1882"/>
      <c r="AB154" s="1882"/>
      <c r="AC154" s="1882"/>
      <c r="AD154" s="1882"/>
      <c r="AE154" s="1882" t="s">
        <v>2459</v>
      </c>
      <c r="AF154" s="1882"/>
      <c r="AG154" s="1882"/>
      <c r="AH154" s="1882">
        <v>0</v>
      </c>
      <c r="AI154" s="1882"/>
      <c r="AJ154" s="1882"/>
      <c r="AK154" s="1882"/>
      <c r="AL154" s="1882"/>
      <c r="AM154" s="1882" t="s">
        <v>2459</v>
      </c>
      <c r="AN154" s="1882"/>
      <c r="AO154" s="1882"/>
      <c r="AP154" s="1882"/>
      <c r="AQ154" s="1882"/>
      <c r="AR154" s="1882">
        <v>77</v>
      </c>
      <c r="AS154" s="1882"/>
      <c r="AT154" s="1882"/>
      <c r="AU154" s="1882"/>
      <c r="AV154" s="1882"/>
      <c r="AW154" s="1882">
        <v>84.5</v>
      </c>
      <c r="AX154" s="1882"/>
      <c r="AY154" s="1882"/>
      <c r="AZ154" s="1882"/>
      <c r="BA154" s="1882"/>
      <c r="BB154" s="1882"/>
      <c r="BC154" s="1882"/>
      <c r="BD154" s="1882"/>
      <c r="BE154" s="1882"/>
      <c r="BF154" s="1882"/>
      <c r="BG154" s="1882"/>
      <c r="BH154" s="1882">
        <v>1E-3</v>
      </c>
      <c r="BI154" s="1882"/>
      <c r="BJ154" s="1882"/>
      <c r="BK154" s="1882"/>
      <c r="BL154" s="1882"/>
      <c r="BM154" s="1882"/>
      <c r="BN154" s="1882">
        <v>1</v>
      </c>
      <c r="BO154" s="1882" t="s">
        <v>8512</v>
      </c>
      <c r="BP154" s="520">
        <v>54</v>
      </c>
      <c r="BQ154" s="690">
        <v>79.22</v>
      </c>
      <c r="BR154" s="1882" t="s">
        <v>8513</v>
      </c>
      <c r="BS154" s="1882" t="s">
        <v>8513</v>
      </c>
      <c r="BT154" s="1882">
        <v>0</v>
      </c>
      <c r="BU154" s="1882" t="s">
        <v>8513</v>
      </c>
      <c r="BV154" s="1882">
        <v>0</v>
      </c>
      <c r="BW154" s="1882">
        <v>80</v>
      </c>
      <c r="BX154" s="1882" t="s">
        <v>2451</v>
      </c>
      <c r="BY154" s="1882">
        <v>0</v>
      </c>
      <c r="BZ154" s="1882">
        <v>0</v>
      </c>
      <c r="CA154" s="1882">
        <v>0</v>
      </c>
      <c r="CB154" s="1882">
        <v>0</v>
      </c>
      <c r="CC154" s="1882">
        <v>62.4</v>
      </c>
      <c r="CD154" s="1882" t="s">
        <v>2451</v>
      </c>
      <c r="CE154" s="1882">
        <v>0</v>
      </c>
      <c r="CF154" s="1882">
        <v>0</v>
      </c>
      <c r="CG154" s="1882">
        <v>0</v>
      </c>
      <c r="CH154" s="1882">
        <v>0</v>
      </c>
      <c r="CI154" s="1882">
        <v>74</v>
      </c>
      <c r="CJ154" s="1882" t="s">
        <v>2451</v>
      </c>
      <c r="CK154" s="1882">
        <v>0</v>
      </c>
      <c r="CL154" s="1882">
        <v>0</v>
      </c>
      <c r="CM154" s="1882">
        <v>0</v>
      </c>
      <c r="CN154" s="1882">
        <v>0</v>
      </c>
      <c r="CP154" s="1882" t="s">
        <v>9498</v>
      </c>
    </row>
    <row r="155" spans="1:94">
      <c r="A155" s="1882" t="s">
        <v>9453</v>
      </c>
      <c r="B155" s="1882" t="s">
        <v>9499</v>
      </c>
      <c r="C155" s="1882" t="s">
        <v>8394</v>
      </c>
      <c r="D155" s="1882" t="s">
        <v>1626</v>
      </c>
      <c r="E155" s="1882" t="s">
        <v>8503</v>
      </c>
      <c r="F155" s="1882" t="s">
        <v>9500</v>
      </c>
      <c r="G155" s="1882" t="s">
        <v>8261</v>
      </c>
      <c r="H155" s="1882" t="s">
        <v>9501</v>
      </c>
      <c r="I155" s="1882" t="s">
        <v>9502</v>
      </c>
      <c r="J155" s="1882" t="s">
        <v>8539</v>
      </c>
      <c r="K155" s="1882"/>
      <c r="L155" s="1882"/>
      <c r="M155" s="1882"/>
      <c r="N155" s="1882" t="s">
        <v>8681</v>
      </c>
      <c r="O155" s="1882" t="s">
        <v>764</v>
      </c>
      <c r="P155" s="1882" t="s">
        <v>9503</v>
      </c>
      <c r="Q155" s="520">
        <v>2</v>
      </c>
      <c r="R155" s="1882" t="s">
        <v>8511</v>
      </c>
      <c r="S155" s="1882">
        <v>580</v>
      </c>
      <c r="T155" s="1882"/>
      <c r="U155" s="1882"/>
      <c r="V155" s="1882"/>
      <c r="W155" s="1882"/>
      <c r="X155" s="1882">
        <v>530</v>
      </c>
      <c r="Y155" s="1882"/>
      <c r="Z155" s="1882"/>
      <c r="AA155" s="1882"/>
      <c r="AB155" s="1882"/>
      <c r="AC155" s="1882"/>
      <c r="AD155" s="1882"/>
      <c r="AE155" s="1882"/>
      <c r="AF155" s="1882"/>
      <c r="AG155" s="1882"/>
      <c r="AH155" s="1882">
        <v>0</v>
      </c>
      <c r="AI155" s="1882"/>
      <c r="AJ155" s="1882"/>
      <c r="AK155" s="1882"/>
      <c r="AL155" s="1882"/>
      <c r="AM155" s="1882"/>
      <c r="AN155" s="1882"/>
      <c r="AO155" s="1882"/>
      <c r="AP155" s="1882"/>
      <c r="AQ155" s="1882"/>
      <c r="AR155" s="1882"/>
      <c r="AS155" s="1882"/>
      <c r="AT155" s="1882"/>
      <c r="AU155" s="1882"/>
      <c r="AV155" s="1882"/>
      <c r="AW155" s="1882"/>
      <c r="AX155" s="1882"/>
      <c r="AY155" s="1882"/>
      <c r="AZ155" s="1882"/>
      <c r="BA155" s="1882"/>
      <c r="BB155" s="1882"/>
      <c r="BC155" s="1882"/>
      <c r="BD155" s="1882"/>
      <c r="BE155" s="1882"/>
      <c r="BF155" s="1882"/>
      <c r="BG155" s="1882"/>
      <c r="BH155" s="1882"/>
      <c r="BI155" s="1882"/>
      <c r="BJ155" s="1882"/>
      <c r="BK155" s="1882"/>
      <c r="BL155" s="1882"/>
      <c r="BM155" s="1882"/>
      <c r="BN155" s="1882"/>
      <c r="BO155" s="1882"/>
      <c r="BP155" s="520">
        <v>592</v>
      </c>
      <c r="BQ155" s="694">
        <v>589.45000000000005</v>
      </c>
      <c r="BR155" s="1882" t="s">
        <v>8513</v>
      </c>
      <c r="BS155" s="1882" t="s">
        <v>8513</v>
      </c>
      <c r="BT155" s="1882">
        <v>0</v>
      </c>
      <c r="BU155" s="1882" t="s">
        <v>8513</v>
      </c>
      <c r="BV155" s="1882">
        <v>0</v>
      </c>
      <c r="BW155" s="1882">
        <v>650.25</v>
      </c>
      <c r="BX155" s="1882" t="s">
        <v>2451</v>
      </c>
      <c r="BY155" s="1882">
        <v>0</v>
      </c>
      <c r="BZ155" s="1882">
        <v>0</v>
      </c>
      <c r="CA155" s="1882">
        <v>0</v>
      </c>
      <c r="CB155" s="1882">
        <v>0</v>
      </c>
      <c r="CC155" s="1882">
        <v>604.92999999999995</v>
      </c>
      <c r="CD155" s="1882" t="s">
        <v>2451</v>
      </c>
      <c r="CE155" s="1882">
        <v>0</v>
      </c>
      <c r="CF155" s="1882">
        <v>0</v>
      </c>
      <c r="CG155" s="1882">
        <v>0</v>
      </c>
      <c r="CH155" s="1882">
        <v>0</v>
      </c>
      <c r="CI155" s="1882">
        <v>617.73384965962032</v>
      </c>
      <c r="CJ155" s="1882" t="s">
        <v>2451</v>
      </c>
      <c r="CK155" s="1882">
        <v>0</v>
      </c>
      <c r="CL155" s="1882">
        <v>0</v>
      </c>
      <c r="CM155" s="1882">
        <v>0</v>
      </c>
      <c r="CN155" s="1882">
        <v>0</v>
      </c>
      <c r="CP155" s="1882" t="s">
        <v>9504</v>
      </c>
    </row>
    <row r="156" spans="1:94" ht="25">
      <c r="A156" s="1882" t="s">
        <v>9453</v>
      </c>
      <c r="B156" s="1882" t="s">
        <v>9505</v>
      </c>
      <c r="C156" s="1882" t="s">
        <v>8394</v>
      </c>
      <c r="D156" s="1882" t="s">
        <v>1626</v>
      </c>
      <c r="E156" s="1882" t="s">
        <v>8503</v>
      </c>
      <c r="F156" s="1882" t="s">
        <v>9500</v>
      </c>
      <c r="G156" s="1882" t="s">
        <v>8264</v>
      </c>
      <c r="H156" s="1882" t="s">
        <v>9506</v>
      </c>
      <c r="I156" s="1882" t="s">
        <v>9507</v>
      </c>
      <c r="J156" s="1882" t="s">
        <v>8539</v>
      </c>
      <c r="K156" s="1882"/>
      <c r="L156" s="1882"/>
      <c r="M156" s="1882"/>
      <c r="N156" s="1882" t="s">
        <v>8673</v>
      </c>
      <c r="O156" s="1882" t="s">
        <v>8797</v>
      </c>
      <c r="P156" s="1882" t="s">
        <v>9508</v>
      </c>
      <c r="Q156" s="520" t="s">
        <v>8512</v>
      </c>
      <c r="R156" s="1882"/>
      <c r="S156" s="1882" t="s">
        <v>9509</v>
      </c>
      <c r="T156" s="1882" t="s">
        <v>9510</v>
      </c>
      <c r="U156" s="1882" t="s">
        <v>9510</v>
      </c>
      <c r="V156" s="1882" t="s">
        <v>9510</v>
      </c>
      <c r="W156" s="1882" t="s">
        <v>9510</v>
      </c>
      <c r="X156" s="1882" t="s">
        <v>9510</v>
      </c>
      <c r="Y156" s="1882"/>
      <c r="Z156" s="1882"/>
      <c r="AA156" s="1882"/>
      <c r="AB156" s="1882"/>
      <c r="AC156" s="1882"/>
      <c r="AD156" s="1882"/>
      <c r="AE156" s="1882"/>
      <c r="AF156" s="1882"/>
      <c r="AG156" s="1882"/>
      <c r="AH156" s="1882">
        <v>0</v>
      </c>
      <c r="AI156" s="1882"/>
      <c r="AJ156" s="1882"/>
      <c r="AK156" s="1882"/>
      <c r="AL156" s="1882"/>
      <c r="AM156" s="1882"/>
      <c r="AN156" s="1882"/>
      <c r="AO156" s="1882"/>
      <c r="AP156" s="1882"/>
      <c r="AQ156" s="1882"/>
      <c r="AR156" s="1882"/>
      <c r="AS156" s="1882"/>
      <c r="AT156" s="1882"/>
      <c r="AU156" s="1882"/>
      <c r="AV156" s="1882"/>
      <c r="AW156" s="1882"/>
      <c r="AX156" s="1882"/>
      <c r="AY156" s="1882"/>
      <c r="AZ156" s="1882"/>
      <c r="BA156" s="1882"/>
      <c r="BB156" s="1882"/>
      <c r="BC156" s="1882"/>
      <c r="BD156" s="1882"/>
      <c r="BE156" s="1882"/>
      <c r="BF156" s="1882"/>
      <c r="BG156" s="1882"/>
      <c r="BH156" s="1882"/>
      <c r="BI156" s="1882"/>
      <c r="BJ156" s="1882"/>
      <c r="BK156" s="1882"/>
      <c r="BL156" s="1882"/>
      <c r="BM156" s="1882"/>
      <c r="BN156" s="1882"/>
      <c r="BO156" s="1882"/>
      <c r="BP156" s="520" t="s">
        <v>3514</v>
      </c>
      <c r="BQ156" s="692" t="s">
        <v>9511</v>
      </c>
      <c r="BR156" s="1882" t="s">
        <v>8513</v>
      </c>
      <c r="BS156" s="1882" t="s">
        <v>8513</v>
      </c>
      <c r="BT156" s="1882">
        <v>0</v>
      </c>
      <c r="BU156" s="1882" t="s">
        <v>8513</v>
      </c>
      <c r="BV156" s="1882">
        <v>0</v>
      </c>
      <c r="BW156" s="1882" t="s">
        <v>9512</v>
      </c>
      <c r="BX156" s="1882" t="s">
        <v>2451</v>
      </c>
      <c r="BY156" s="1882">
        <v>0</v>
      </c>
      <c r="BZ156" s="1882">
        <v>0</v>
      </c>
      <c r="CA156" s="1882">
        <v>0</v>
      </c>
      <c r="CB156" s="1882">
        <v>0</v>
      </c>
      <c r="CC156" s="1882" t="s">
        <v>9512</v>
      </c>
      <c r="CD156" s="1882" t="s">
        <v>2451</v>
      </c>
      <c r="CE156" s="1882">
        <v>0</v>
      </c>
      <c r="CF156" s="1882">
        <v>0</v>
      </c>
      <c r="CG156" s="1882">
        <v>0</v>
      </c>
      <c r="CH156" s="1882">
        <v>0</v>
      </c>
      <c r="CI156" s="1882" t="s">
        <v>9512</v>
      </c>
      <c r="CJ156" s="1882" t="s">
        <v>2459</v>
      </c>
      <c r="CK156" s="1882">
        <v>0</v>
      </c>
      <c r="CL156" s="1882">
        <v>0</v>
      </c>
      <c r="CM156" s="1882">
        <v>0</v>
      </c>
      <c r="CN156" s="1882">
        <v>0</v>
      </c>
      <c r="CP156" s="1882" t="s">
        <v>9513</v>
      </c>
    </row>
    <row r="157" spans="1:94">
      <c r="A157" s="1882" t="s">
        <v>9453</v>
      </c>
      <c r="B157" s="1882" t="s">
        <v>9514</v>
      </c>
      <c r="C157" s="1882" t="s">
        <v>8394</v>
      </c>
      <c r="D157" s="1882" t="s">
        <v>1626</v>
      </c>
      <c r="E157" s="1882" t="s">
        <v>8503</v>
      </c>
      <c r="F157" s="1882" t="s">
        <v>9515</v>
      </c>
      <c r="G157" s="1882" t="s">
        <v>8277</v>
      </c>
      <c r="H157" s="1882" t="s">
        <v>9516</v>
      </c>
      <c r="I157" s="1882" t="s">
        <v>9517</v>
      </c>
      <c r="J157" s="1882" t="s">
        <v>8539</v>
      </c>
      <c r="K157" s="1882"/>
      <c r="L157" s="1882"/>
      <c r="M157" s="1882"/>
      <c r="N157" s="1882" t="s">
        <v>9518</v>
      </c>
      <c r="O157" s="1882" t="s">
        <v>764</v>
      </c>
      <c r="P157" s="1882" t="s">
        <v>9519</v>
      </c>
      <c r="Q157" s="520">
        <v>0</v>
      </c>
      <c r="R157" s="1882" t="s">
        <v>8549</v>
      </c>
      <c r="S157" s="1882">
        <v>84</v>
      </c>
      <c r="T157" s="1882"/>
      <c r="U157" s="1882"/>
      <c r="V157" s="1882"/>
      <c r="W157" s="1882"/>
      <c r="X157" s="1882">
        <v>175</v>
      </c>
      <c r="Y157" s="1882"/>
      <c r="Z157" s="1882"/>
      <c r="AA157" s="1882"/>
      <c r="AB157" s="1882"/>
      <c r="AC157" s="1882"/>
      <c r="AD157" s="1882"/>
      <c r="AE157" s="1882"/>
      <c r="AF157" s="1882"/>
      <c r="AG157" s="1882"/>
      <c r="AH157" s="1882">
        <v>0</v>
      </c>
      <c r="AI157" s="1882"/>
      <c r="AJ157" s="1882"/>
      <c r="AK157" s="1882"/>
      <c r="AL157" s="1882"/>
      <c r="AM157" s="1882"/>
      <c r="AN157" s="1882"/>
      <c r="AO157" s="1882"/>
      <c r="AP157" s="1882"/>
      <c r="AQ157" s="1882"/>
      <c r="AR157" s="1882"/>
      <c r="AS157" s="1882"/>
      <c r="AT157" s="1882"/>
      <c r="AU157" s="1882"/>
      <c r="AV157" s="1882"/>
      <c r="AW157" s="1882"/>
      <c r="AX157" s="1882"/>
      <c r="AY157" s="1882"/>
      <c r="AZ157" s="1882"/>
      <c r="BA157" s="1882"/>
      <c r="BB157" s="1882"/>
      <c r="BC157" s="1882"/>
      <c r="BD157" s="1882"/>
      <c r="BE157" s="1882"/>
      <c r="BF157" s="1882"/>
      <c r="BG157" s="1882"/>
      <c r="BH157" s="1882"/>
      <c r="BI157" s="1882"/>
      <c r="BJ157" s="1882"/>
      <c r="BK157" s="1882"/>
      <c r="BL157" s="1882"/>
      <c r="BM157" s="1882"/>
      <c r="BN157" s="1882"/>
      <c r="BO157" s="1882"/>
      <c r="BP157" s="520">
        <v>158</v>
      </c>
      <c r="BQ157" s="693">
        <v>201.5</v>
      </c>
      <c r="BR157" s="1882" t="s">
        <v>8513</v>
      </c>
      <c r="BS157" s="1882" t="s">
        <v>8513</v>
      </c>
      <c r="BT157" s="1882">
        <v>0</v>
      </c>
      <c r="BU157" s="1882" t="s">
        <v>8513</v>
      </c>
      <c r="BV157" s="1882">
        <v>0</v>
      </c>
      <c r="BW157" s="1882">
        <v>80</v>
      </c>
      <c r="BX157" s="1882" t="s">
        <v>2451</v>
      </c>
      <c r="BY157" s="1882">
        <v>0</v>
      </c>
      <c r="BZ157" s="1882">
        <v>0</v>
      </c>
      <c r="CA157" s="1882">
        <v>0</v>
      </c>
      <c r="CB157" s="1882">
        <v>0</v>
      </c>
      <c r="CC157" s="1882">
        <v>28</v>
      </c>
      <c r="CD157" s="1882" t="s">
        <v>2451</v>
      </c>
      <c r="CE157" s="1882">
        <v>0</v>
      </c>
      <c r="CF157" s="1882">
        <v>0</v>
      </c>
      <c r="CG157" s="1882">
        <v>0</v>
      </c>
      <c r="CH157" s="1882">
        <v>0</v>
      </c>
      <c r="CI157" s="1882">
        <v>44</v>
      </c>
      <c r="CJ157" s="1882" t="s">
        <v>2451</v>
      </c>
      <c r="CK157" s="1882">
        <v>0</v>
      </c>
      <c r="CL157" s="1882">
        <v>0</v>
      </c>
      <c r="CM157" s="1882">
        <v>0</v>
      </c>
      <c r="CN157" s="1882">
        <v>0</v>
      </c>
      <c r="CP157" s="1882" t="s">
        <v>9520</v>
      </c>
    </row>
    <row r="158" spans="1:94">
      <c r="A158" s="1882" t="s">
        <v>9453</v>
      </c>
      <c r="B158" s="1882" t="s">
        <v>9521</v>
      </c>
      <c r="C158" s="1882" t="s">
        <v>8394</v>
      </c>
      <c r="D158" s="1882" t="s">
        <v>8584</v>
      </c>
      <c r="E158" s="1882" t="s">
        <v>8585</v>
      </c>
      <c r="F158" s="1882" t="s">
        <v>9494</v>
      </c>
      <c r="G158" s="1882" t="s">
        <v>7234</v>
      </c>
      <c r="H158" s="1882" t="s">
        <v>9522</v>
      </c>
      <c r="I158" s="1882" t="s">
        <v>9440</v>
      </c>
      <c r="J158" s="1882" t="s">
        <v>8508</v>
      </c>
      <c r="K158" s="1882" t="s">
        <v>8509</v>
      </c>
      <c r="L158" s="1882"/>
      <c r="M158" s="1882" t="s">
        <v>2460</v>
      </c>
      <c r="N158" s="1882" t="s">
        <v>8590</v>
      </c>
      <c r="O158" s="1882" t="s">
        <v>8591</v>
      </c>
      <c r="P158" s="1882" t="s">
        <v>9523</v>
      </c>
      <c r="Q158" s="520">
        <v>1</v>
      </c>
      <c r="R158" s="1882" t="s">
        <v>8549</v>
      </c>
      <c r="S158" s="1882">
        <v>87</v>
      </c>
      <c r="T158" s="1882"/>
      <c r="U158" s="1882"/>
      <c r="V158" s="1882"/>
      <c r="W158" s="1882"/>
      <c r="X158" s="1882">
        <v>89</v>
      </c>
      <c r="Y158" s="1882"/>
      <c r="Z158" s="1882"/>
      <c r="AA158" s="1882"/>
      <c r="AB158" s="1882"/>
      <c r="AC158" s="1882"/>
      <c r="AD158" s="1882"/>
      <c r="AE158" s="1882"/>
      <c r="AF158" s="1882"/>
      <c r="AG158" s="1882"/>
      <c r="AH158" s="1882">
        <v>0</v>
      </c>
      <c r="AI158" s="1882"/>
      <c r="AJ158" s="1882"/>
      <c r="AK158" s="1882"/>
      <c r="AL158" s="1882"/>
      <c r="AM158" s="1882" t="s">
        <v>2459</v>
      </c>
      <c r="AN158" s="1882" t="s">
        <v>8593</v>
      </c>
      <c r="AO158" s="1882" t="s">
        <v>8593</v>
      </c>
      <c r="AP158" s="1882" t="s">
        <v>8593</v>
      </c>
      <c r="AQ158" s="1882" t="s">
        <v>8593</v>
      </c>
      <c r="AR158" s="1882" t="s">
        <v>8593</v>
      </c>
      <c r="AS158" s="1882" t="s">
        <v>8593</v>
      </c>
      <c r="AT158" s="1882" t="s">
        <v>8593</v>
      </c>
      <c r="AU158" s="1882" t="s">
        <v>8593</v>
      </c>
      <c r="AV158" s="1882" t="s">
        <v>8593</v>
      </c>
      <c r="AW158" s="1882" t="s">
        <v>8593</v>
      </c>
      <c r="AX158" s="1882" t="s">
        <v>8593</v>
      </c>
      <c r="AY158" s="1882" t="s">
        <v>8593</v>
      </c>
      <c r="AZ158" s="1882" t="s">
        <v>8593</v>
      </c>
      <c r="BA158" s="1882" t="s">
        <v>8593</v>
      </c>
      <c r="BB158" s="1882" t="s">
        <v>8593</v>
      </c>
      <c r="BC158" s="1882" t="s">
        <v>8593</v>
      </c>
      <c r="BD158" s="1882" t="s">
        <v>8593</v>
      </c>
      <c r="BE158" s="1882" t="s">
        <v>8593</v>
      </c>
      <c r="BF158" s="1882" t="s">
        <v>8593</v>
      </c>
      <c r="BG158" s="1882" t="s">
        <v>8593</v>
      </c>
      <c r="BH158" s="1882" t="s">
        <v>8593</v>
      </c>
      <c r="BI158" s="1882"/>
      <c r="BJ158" s="1882"/>
      <c r="BK158" s="1882"/>
      <c r="BL158" s="1882" t="s">
        <v>8593</v>
      </c>
      <c r="BM158" s="1882"/>
      <c r="BN158" s="1882">
        <v>1</v>
      </c>
      <c r="BO158" s="1882" t="s">
        <v>8512</v>
      </c>
      <c r="BP158" s="520">
        <v>87.5</v>
      </c>
      <c r="BQ158" s="690">
        <v>86.2</v>
      </c>
      <c r="BR158" s="1882" t="s">
        <v>8513</v>
      </c>
      <c r="BS158" s="1882" t="s">
        <v>8513</v>
      </c>
      <c r="BT158" s="1882">
        <v>0</v>
      </c>
      <c r="BU158" s="1882" t="s">
        <v>8513</v>
      </c>
      <c r="BV158" s="1882">
        <v>0</v>
      </c>
      <c r="BW158" s="1882">
        <v>86.49</v>
      </c>
      <c r="BX158" s="1882" t="s">
        <v>2451</v>
      </c>
      <c r="BY158" s="1882">
        <v>0</v>
      </c>
      <c r="BZ158" s="1882">
        <v>0</v>
      </c>
      <c r="CA158" s="1882">
        <v>0</v>
      </c>
      <c r="CB158" s="1882">
        <v>0</v>
      </c>
      <c r="CC158" s="1882">
        <v>87.6</v>
      </c>
      <c r="CD158" s="1882" t="s">
        <v>2451</v>
      </c>
      <c r="CE158" s="1882">
        <v>0</v>
      </c>
      <c r="CF158" s="1882">
        <v>0</v>
      </c>
      <c r="CG158" s="1882">
        <v>0</v>
      </c>
      <c r="CH158" s="1882">
        <v>0</v>
      </c>
      <c r="CI158" s="1882">
        <v>87.57</v>
      </c>
      <c r="CJ158" s="1882" t="s">
        <v>2451</v>
      </c>
      <c r="CK158" s="1882">
        <v>0</v>
      </c>
      <c r="CL158" s="1882">
        <v>0</v>
      </c>
      <c r="CM158" s="1882">
        <v>0</v>
      </c>
      <c r="CN158" s="1882">
        <v>0</v>
      </c>
      <c r="CP158" s="1882" t="s">
        <v>9524</v>
      </c>
    </row>
    <row r="159" spans="1:94">
      <c r="A159" s="1882" t="s">
        <v>9453</v>
      </c>
      <c r="B159" s="1882" t="s">
        <v>9525</v>
      </c>
      <c r="C159" s="1882" t="s">
        <v>8394</v>
      </c>
      <c r="D159" s="1882" t="s">
        <v>8584</v>
      </c>
      <c r="E159" s="1882" t="s">
        <v>8585</v>
      </c>
      <c r="F159" s="1882" t="s">
        <v>9494</v>
      </c>
      <c r="G159" s="1882" t="s">
        <v>7235</v>
      </c>
      <c r="H159" s="1882" t="s">
        <v>9526</v>
      </c>
      <c r="I159" s="1882" t="s">
        <v>9527</v>
      </c>
      <c r="J159" s="1882" t="s">
        <v>8519</v>
      </c>
      <c r="K159" s="1882" t="s">
        <v>8509</v>
      </c>
      <c r="L159" s="1882"/>
      <c r="M159" s="1882" t="s">
        <v>2460</v>
      </c>
      <c r="N159" s="1882" t="s">
        <v>8599</v>
      </c>
      <c r="O159" s="1882" t="s">
        <v>49</v>
      </c>
      <c r="P159" s="1882" t="s">
        <v>9369</v>
      </c>
      <c r="Q159" s="520">
        <v>2</v>
      </c>
      <c r="R159" s="1882"/>
      <c r="S159" s="1882">
        <v>0</v>
      </c>
      <c r="T159" s="1882" t="s">
        <v>3504</v>
      </c>
      <c r="U159" s="1882" t="s">
        <v>3504</v>
      </c>
      <c r="V159" s="1882" t="s">
        <v>3504</v>
      </c>
      <c r="W159" s="1882" t="s">
        <v>3504</v>
      </c>
      <c r="X159" s="1882">
        <v>1.18</v>
      </c>
      <c r="Y159" s="1882"/>
      <c r="Z159" s="1882"/>
      <c r="AA159" s="1882"/>
      <c r="AB159" s="1882"/>
      <c r="AC159" s="1882"/>
      <c r="AD159" s="1882" t="s">
        <v>2459</v>
      </c>
      <c r="AE159" s="1882"/>
      <c r="AF159" s="1882"/>
      <c r="AG159" s="1882"/>
      <c r="AH159" s="1882">
        <v>0</v>
      </c>
      <c r="AI159" s="1882" t="s">
        <v>2459</v>
      </c>
      <c r="AJ159" s="1882" t="s">
        <v>2459</v>
      </c>
      <c r="AK159" s="1882" t="s">
        <v>2459</v>
      </c>
      <c r="AL159" s="1882" t="s">
        <v>2459</v>
      </c>
      <c r="AM159" s="1882" t="s">
        <v>2459</v>
      </c>
      <c r="AN159" s="1882" t="s">
        <v>3504</v>
      </c>
      <c r="AO159" s="1882" t="s">
        <v>3504</v>
      </c>
      <c r="AP159" s="1882" t="s">
        <v>3504</v>
      </c>
      <c r="AQ159" s="1882" t="s">
        <v>3504</v>
      </c>
      <c r="AR159" s="1882">
        <v>0</v>
      </c>
      <c r="AS159" s="1882" t="s">
        <v>3504</v>
      </c>
      <c r="AT159" s="1882" t="s">
        <v>3504</v>
      </c>
      <c r="AU159" s="1882" t="s">
        <v>3504</v>
      </c>
      <c r="AV159" s="1882" t="s">
        <v>3504</v>
      </c>
      <c r="AW159" s="1882">
        <v>1.1000000000000001</v>
      </c>
      <c r="AX159" s="1882"/>
      <c r="AY159" s="1882"/>
      <c r="AZ159" s="1882"/>
      <c r="BA159" s="1882"/>
      <c r="BB159" s="1882"/>
      <c r="BC159" s="1882"/>
      <c r="BD159" s="1882"/>
      <c r="BE159" s="1882"/>
      <c r="BF159" s="1882"/>
      <c r="BG159" s="1882"/>
      <c r="BH159" s="1882">
        <v>0.05</v>
      </c>
      <c r="BI159" s="1882">
        <v>0.17</v>
      </c>
      <c r="BJ159" s="1882"/>
      <c r="BK159" s="1882"/>
      <c r="BL159" s="1882"/>
      <c r="BM159" s="1882"/>
      <c r="BN159" s="1882">
        <v>1</v>
      </c>
      <c r="BO159" s="1882" t="s">
        <v>8512</v>
      </c>
      <c r="BP159" s="520" t="s">
        <v>3514</v>
      </c>
      <c r="BQ159" s="692">
        <v>0.33600000000000002</v>
      </c>
      <c r="BR159" s="1882" t="s">
        <v>8513</v>
      </c>
      <c r="BS159" s="1882" t="s">
        <v>8513</v>
      </c>
      <c r="BT159" s="1882">
        <v>0</v>
      </c>
      <c r="BU159" s="1882" t="s">
        <v>8513</v>
      </c>
      <c r="BV159" s="1882">
        <v>0</v>
      </c>
      <c r="BW159" s="1882">
        <v>0.68300000000000005</v>
      </c>
      <c r="BX159" s="1882" t="s">
        <v>2451</v>
      </c>
      <c r="BY159" s="1882">
        <v>0</v>
      </c>
      <c r="BZ159" s="1882">
        <v>0</v>
      </c>
      <c r="CA159" s="1882">
        <v>0</v>
      </c>
      <c r="CB159" s="1882">
        <v>0</v>
      </c>
      <c r="CC159" s="1882">
        <v>1.08</v>
      </c>
      <c r="CD159" s="1882" t="s">
        <v>2451</v>
      </c>
      <c r="CE159" s="1882">
        <v>0</v>
      </c>
      <c r="CF159" s="1882">
        <v>0</v>
      </c>
      <c r="CG159" s="1882">
        <v>0</v>
      </c>
      <c r="CH159" s="1882">
        <v>0</v>
      </c>
      <c r="CI159" s="1882">
        <v>1.423</v>
      </c>
      <c r="CJ159" s="1882" t="s">
        <v>2451</v>
      </c>
      <c r="CK159" s="1882">
        <v>0</v>
      </c>
      <c r="CL159" s="1882">
        <v>0</v>
      </c>
      <c r="CM159" s="1882">
        <v>0</v>
      </c>
      <c r="CN159" s="1882">
        <v>0</v>
      </c>
      <c r="CP159" s="1882" t="s">
        <v>9528</v>
      </c>
    </row>
    <row r="160" spans="1:94">
      <c r="A160" s="1882" t="s">
        <v>9453</v>
      </c>
      <c r="B160" s="1882" t="s">
        <v>9529</v>
      </c>
      <c r="C160" s="1882" t="s">
        <v>8394</v>
      </c>
      <c r="D160" s="1882" t="s">
        <v>8584</v>
      </c>
      <c r="E160" s="1882" t="s">
        <v>8585</v>
      </c>
      <c r="F160" s="1882" t="s">
        <v>9530</v>
      </c>
      <c r="G160" s="1882" t="s">
        <v>7236</v>
      </c>
      <c r="H160" s="1882" t="s">
        <v>9531</v>
      </c>
      <c r="I160" s="1882" t="s">
        <v>9532</v>
      </c>
      <c r="J160" s="1882" t="s">
        <v>8539</v>
      </c>
      <c r="K160" s="1882"/>
      <c r="L160" s="1882"/>
      <c r="M160" s="1882"/>
      <c r="N160" s="1882" t="s">
        <v>8599</v>
      </c>
      <c r="O160" s="1882" t="s">
        <v>732</v>
      </c>
      <c r="P160" s="1882" t="s">
        <v>9533</v>
      </c>
      <c r="Q160" s="520">
        <v>2</v>
      </c>
      <c r="R160" s="1882" t="s">
        <v>8511</v>
      </c>
      <c r="S160" s="1882"/>
      <c r="T160" s="1882"/>
      <c r="U160" s="1882"/>
      <c r="V160" s="1882"/>
      <c r="W160" s="1882"/>
      <c r="X160" s="1882" t="s">
        <v>9534</v>
      </c>
      <c r="Y160" s="1882"/>
      <c r="Z160" s="1882"/>
      <c r="AA160" s="1882"/>
      <c r="AB160" s="1882"/>
      <c r="AC160" s="1882"/>
      <c r="AD160" s="1882"/>
      <c r="AE160" s="1882"/>
      <c r="AF160" s="1882"/>
      <c r="AG160" s="1882"/>
      <c r="AH160" s="1882">
        <v>0</v>
      </c>
      <c r="AI160" s="1882"/>
      <c r="AJ160" s="1882"/>
      <c r="AK160" s="1882"/>
      <c r="AL160" s="1882"/>
      <c r="AM160" s="1882"/>
      <c r="AN160" s="1882"/>
      <c r="AO160" s="1882"/>
      <c r="AP160" s="1882"/>
      <c r="AQ160" s="1882"/>
      <c r="AR160" s="1882"/>
      <c r="AS160" s="1882"/>
      <c r="AT160" s="1882"/>
      <c r="AU160" s="1882"/>
      <c r="AV160" s="1882"/>
      <c r="AW160" s="1882"/>
      <c r="AX160" s="1882"/>
      <c r="AY160" s="1882"/>
      <c r="AZ160" s="1882"/>
      <c r="BA160" s="1882"/>
      <c r="BB160" s="1882"/>
      <c r="BC160" s="1882"/>
      <c r="BD160" s="1882"/>
      <c r="BE160" s="1882"/>
      <c r="BF160" s="1882"/>
      <c r="BG160" s="1882"/>
      <c r="BH160" s="1882"/>
      <c r="BI160" s="1882"/>
      <c r="BJ160" s="1882"/>
      <c r="BK160" s="1882"/>
      <c r="BL160" s="1882"/>
      <c r="BM160" s="1882"/>
      <c r="BN160" s="1882"/>
      <c r="BO160" s="1882"/>
      <c r="BP160" s="520">
        <v>3.36</v>
      </c>
      <c r="BQ160" s="692">
        <v>3.71</v>
      </c>
      <c r="BR160" s="1882" t="s">
        <v>8513</v>
      </c>
      <c r="BS160" s="1882" t="s">
        <v>8513</v>
      </c>
      <c r="BT160" s="1882">
        <v>0</v>
      </c>
      <c r="BU160" s="1882" t="s">
        <v>8513</v>
      </c>
      <c r="BV160" s="1882">
        <v>0</v>
      </c>
      <c r="BW160" s="1882">
        <v>3.23</v>
      </c>
      <c r="BX160" s="1882" t="s">
        <v>2451</v>
      </c>
      <c r="BY160" s="1882">
        <v>0</v>
      </c>
      <c r="BZ160" s="1882">
        <v>0</v>
      </c>
      <c r="CA160" s="1882">
        <v>0</v>
      </c>
      <c r="CB160" s="1882">
        <v>0</v>
      </c>
      <c r="CC160" s="1882">
        <v>3.03</v>
      </c>
      <c r="CD160" s="1882" t="s">
        <v>2451</v>
      </c>
      <c r="CE160" s="1882">
        <v>0</v>
      </c>
      <c r="CF160" s="1882">
        <v>0</v>
      </c>
      <c r="CG160" s="1882">
        <v>0</v>
      </c>
      <c r="CH160" s="1882">
        <v>0</v>
      </c>
      <c r="CI160" s="1882">
        <v>3.25</v>
      </c>
      <c r="CJ160" s="1882" t="s">
        <v>2451</v>
      </c>
      <c r="CK160" s="1882">
        <v>0</v>
      </c>
      <c r="CL160" s="1882">
        <v>0</v>
      </c>
      <c r="CM160" s="1882">
        <v>0</v>
      </c>
      <c r="CN160" s="1882">
        <v>0</v>
      </c>
      <c r="CP160" s="1882" t="s">
        <v>9535</v>
      </c>
    </row>
    <row r="161" spans="1:94">
      <c r="A161" s="1882" t="s">
        <v>9536</v>
      </c>
      <c r="B161" s="1882" t="s">
        <v>9537</v>
      </c>
      <c r="C161" s="1882" t="s">
        <v>8394</v>
      </c>
      <c r="D161" s="1882" t="s">
        <v>1626</v>
      </c>
      <c r="E161" s="1882" t="s">
        <v>8503</v>
      </c>
      <c r="F161" s="1882" t="s">
        <v>9538</v>
      </c>
      <c r="G161" s="1882" t="s">
        <v>7234</v>
      </c>
      <c r="H161" s="1882" t="s">
        <v>9539</v>
      </c>
      <c r="I161" s="1882" t="s">
        <v>9540</v>
      </c>
      <c r="J161" s="1882" t="s">
        <v>8519</v>
      </c>
      <c r="K161" s="1882" t="s">
        <v>8509</v>
      </c>
      <c r="L161" s="1882"/>
      <c r="M161" s="1882" t="s">
        <v>2460</v>
      </c>
      <c r="N161" s="1882" t="s">
        <v>8527</v>
      </c>
      <c r="O161" s="1882" t="s">
        <v>8591</v>
      </c>
      <c r="P161" s="1882" t="s">
        <v>8643</v>
      </c>
      <c r="Q161" s="520">
        <v>0</v>
      </c>
      <c r="R161" s="1882" t="s">
        <v>8549</v>
      </c>
      <c r="S161" s="1882">
        <v>100</v>
      </c>
      <c r="T161" s="1882">
        <v>100</v>
      </c>
      <c r="U161" s="1882">
        <v>100</v>
      </c>
      <c r="V161" s="1882">
        <v>100</v>
      </c>
      <c r="W161" s="1882">
        <v>100</v>
      </c>
      <c r="X161" s="1882">
        <v>100</v>
      </c>
      <c r="Y161" s="1882"/>
      <c r="Z161" s="1882"/>
      <c r="AA161" s="1882"/>
      <c r="AB161" s="1882"/>
      <c r="AC161" s="1882"/>
      <c r="AD161" s="1882"/>
      <c r="AE161" s="1882"/>
      <c r="AF161" s="1882"/>
      <c r="AG161" s="1882"/>
      <c r="AH161" s="1882">
        <v>0</v>
      </c>
      <c r="AI161" s="1882" t="s">
        <v>2459</v>
      </c>
      <c r="AJ161" s="1882" t="s">
        <v>2459</v>
      </c>
      <c r="AK161" s="1882" t="s">
        <v>2459</v>
      </c>
      <c r="AL161" s="1882" t="s">
        <v>2459</v>
      </c>
      <c r="AM161" s="1882" t="s">
        <v>2459</v>
      </c>
      <c r="AN161" s="1882" t="s">
        <v>9541</v>
      </c>
      <c r="AO161" s="1882" t="s">
        <v>9541</v>
      </c>
      <c r="AP161" s="1882" t="s">
        <v>9541</v>
      </c>
      <c r="AQ161" s="1882" t="s">
        <v>9541</v>
      </c>
      <c r="AR161" s="1882" t="s">
        <v>9541</v>
      </c>
      <c r="AS161" s="1882">
        <v>98</v>
      </c>
      <c r="AT161" s="1882">
        <v>98</v>
      </c>
      <c r="AU161" s="1882">
        <v>98</v>
      </c>
      <c r="AV161" s="1882">
        <v>98</v>
      </c>
      <c r="AW161" s="1882">
        <v>98</v>
      </c>
      <c r="AX161" s="1882"/>
      <c r="AY161" s="1882"/>
      <c r="AZ161" s="1882"/>
      <c r="BA161" s="1882"/>
      <c r="BB161" s="1882"/>
      <c r="BC161" s="1882"/>
      <c r="BD161" s="1882"/>
      <c r="BE161" s="1882"/>
      <c r="BF161" s="1882"/>
      <c r="BG161" s="1882"/>
      <c r="BH161" s="1882">
        <v>0.2</v>
      </c>
      <c r="BI161" s="1882"/>
      <c r="BJ161" s="1882"/>
      <c r="BK161" s="1882"/>
      <c r="BL161" s="1882"/>
      <c r="BM161" s="1882"/>
      <c r="BN161" s="1882">
        <v>1</v>
      </c>
      <c r="BO161" s="1882" t="s">
        <v>8512</v>
      </c>
      <c r="BP161" s="520">
        <v>100</v>
      </c>
      <c r="BQ161" s="693">
        <v>100</v>
      </c>
      <c r="BR161" s="1882" t="s">
        <v>2459</v>
      </c>
      <c r="BS161" s="1882" t="s">
        <v>8513</v>
      </c>
      <c r="BT161" s="1882">
        <v>0</v>
      </c>
      <c r="BU161" s="1882" t="s">
        <v>8513</v>
      </c>
      <c r="BV161" s="1882">
        <v>0</v>
      </c>
      <c r="BW161" s="1882">
        <v>100</v>
      </c>
      <c r="BX161" s="1882" t="s">
        <v>2459</v>
      </c>
      <c r="BY161" s="1882">
        <v>0</v>
      </c>
      <c r="BZ161" s="1882">
        <v>0</v>
      </c>
      <c r="CA161" s="1882">
        <v>0</v>
      </c>
      <c r="CB161" s="1882">
        <v>0</v>
      </c>
      <c r="CC161" s="1882">
        <v>100</v>
      </c>
      <c r="CD161" s="1882" t="s">
        <v>2459</v>
      </c>
      <c r="CE161" s="1882">
        <v>0</v>
      </c>
      <c r="CF161" s="1882">
        <v>0</v>
      </c>
      <c r="CG161" s="1882">
        <v>0</v>
      </c>
      <c r="CH161" s="1882">
        <v>0</v>
      </c>
      <c r="CI161" s="1882">
        <v>100</v>
      </c>
      <c r="CJ161" s="1882" t="s">
        <v>2459</v>
      </c>
      <c r="CK161" s="1882">
        <v>0</v>
      </c>
      <c r="CL161" s="1882">
        <v>0</v>
      </c>
      <c r="CM161" s="1882">
        <v>0</v>
      </c>
      <c r="CN161" s="1882">
        <v>0</v>
      </c>
      <c r="CP161" s="1882" t="s">
        <v>9542</v>
      </c>
    </row>
    <row r="162" spans="1:94">
      <c r="A162" s="1882" t="s">
        <v>9536</v>
      </c>
      <c r="B162" s="1882" t="s">
        <v>9543</v>
      </c>
      <c r="C162" s="1882" t="s">
        <v>8394</v>
      </c>
      <c r="D162" s="1882" t="s">
        <v>1626</v>
      </c>
      <c r="E162" s="1882" t="s">
        <v>8503</v>
      </c>
      <c r="F162" s="1882" t="s">
        <v>9538</v>
      </c>
      <c r="G162" s="1882" t="s">
        <v>7235</v>
      </c>
      <c r="H162" s="1882" t="s">
        <v>9544</v>
      </c>
      <c r="I162" s="1882" t="s">
        <v>9545</v>
      </c>
      <c r="J162" s="1882" t="s">
        <v>8539</v>
      </c>
      <c r="K162" s="1882"/>
      <c r="L162" s="1882"/>
      <c r="M162" s="1882"/>
      <c r="N162" s="1882" t="s">
        <v>8527</v>
      </c>
      <c r="O162" s="1882" t="s">
        <v>8591</v>
      </c>
      <c r="P162" s="1882" t="s">
        <v>8643</v>
      </c>
      <c r="Q162" s="520">
        <v>0</v>
      </c>
      <c r="R162" s="1882" t="s">
        <v>8549</v>
      </c>
      <c r="S162" s="1882">
        <v>100</v>
      </c>
      <c r="T162" s="1882">
        <v>100</v>
      </c>
      <c r="U162" s="1882">
        <v>100</v>
      </c>
      <c r="V162" s="1882">
        <v>100</v>
      </c>
      <c r="W162" s="1882">
        <v>100</v>
      </c>
      <c r="X162" s="1882">
        <v>100</v>
      </c>
      <c r="Y162" s="1882"/>
      <c r="Z162" s="1882"/>
      <c r="AA162" s="1882"/>
      <c r="AB162" s="1882"/>
      <c r="AC162" s="1882"/>
      <c r="AD162" s="1882"/>
      <c r="AE162" s="1882"/>
      <c r="AF162" s="1882"/>
      <c r="AG162" s="1882"/>
      <c r="AH162" s="1882">
        <v>0</v>
      </c>
      <c r="AI162" s="1882"/>
      <c r="AJ162" s="1882"/>
      <c r="AK162" s="1882"/>
      <c r="AL162" s="1882"/>
      <c r="AM162" s="1882"/>
      <c r="AN162" s="1882"/>
      <c r="AO162" s="1882"/>
      <c r="AP162" s="1882"/>
      <c r="AQ162" s="1882"/>
      <c r="AR162" s="1882"/>
      <c r="AS162" s="1882"/>
      <c r="AT162" s="1882"/>
      <c r="AU162" s="1882"/>
      <c r="AV162" s="1882"/>
      <c r="AW162" s="1882"/>
      <c r="AX162" s="1882"/>
      <c r="AY162" s="1882"/>
      <c r="AZ162" s="1882"/>
      <c r="BA162" s="1882"/>
      <c r="BB162" s="1882"/>
      <c r="BC162" s="1882"/>
      <c r="BD162" s="1882"/>
      <c r="BE162" s="1882"/>
      <c r="BF162" s="1882"/>
      <c r="BG162" s="1882"/>
      <c r="BH162" s="1882"/>
      <c r="BI162" s="1882"/>
      <c r="BJ162" s="1882"/>
      <c r="BK162" s="1882"/>
      <c r="BL162" s="1882"/>
      <c r="BM162" s="1882"/>
      <c r="BN162" s="1882"/>
      <c r="BO162" s="1882"/>
      <c r="BP162" s="520">
        <v>100</v>
      </c>
      <c r="BQ162" s="692">
        <v>100</v>
      </c>
      <c r="BR162" s="1882" t="s">
        <v>2459</v>
      </c>
      <c r="BS162" s="1882" t="s">
        <v>8513</v>
      </c>
      <c r="BT162" s="1882">
        <v>0</v>
      </c>
      <c r="BU162" s="1882" t="s">
        <v>8513</v>
      </c>
      <c r="BV162" s="1882">
        <v>0</v>
      </c>
      <c r="BW162" s="1882">
        <v>100</v>
      </c>
      <c r="BX162" s="1882" t="s">
        <v>2459</v>
      </c>
      <c r="BY162" s="1882">
        <v>0</v>
      </c>
      <c r="BZ162" s="1882">
        <v>0</v>
      </c>
      <c r="CA162" s="1882">
        <v>0</v>
      </c>
      <c r="CB162" s="1882">
        <v>0</v>
      </c>
      <c r="CC162" s="1882">
        <v>100</v>
      </c>
      <c r="CD162" s="1882" t="s">
        <v>2459</v>
      </c>
      <c r="CE162" s="1882">
        <v>0</v>
      </c>
      <c r="CF162" s="1882">
        <v>0</v>
      </c>
      <c r="CG162" s="1882">
        <v>0</v>
      </c>
      <c r="CH162" s="1882">
        <v>0</v>
      </c>
      <c r="CI162" s="1882">
        <v>100</v>
      </c>
      <c r="CJ162" s="1882" t="s">
        <v>2459</v>
      </c>
      <c r="CK162" s="1882">
        <v>0</v>
      </c>
      <c r="CL162" s="1882">
        <v>0</v>
      </c>
      <c r="CM162" s="1882">
        <v>0</v>
      </c>
      <c r="CN162" s="1882">
        <v>0</v>
      </c>
      <c r="CP162" s="1882" t="s">
        <v>9546</v>
      </c>
    </row>
    <row r="163" spans="1:94">
      <c r="A163" s="1882" t="s">
        <v>9536</v>
      </c>
      <c r="B163" s="1882" t="s">
        <v>9547</v>
      </c>
      <c r="C163" s="1882" t="s">
        <v>8394</v>
      </c>
      <c r="D163" s="1882" t="s">
        <v>1626</v>
      </c>
      <c r="E163" s="1882" t="s">
        <v>8503</v>
      </c>
      <c r="F163" s="1882" t="s">
        <v>9538</v>
      </c>
      <c r="G163" s="1882" t="s">
        <v>8233</v>
      </c>
      <c r="H163" s="1882" t="s">
        <v>9548</v>
      </c>
      <c r="I163" s="1882" t="s">
        <v>9549</v>
      </c>
      <c r="J163" s="1882" t="s">
        <v>8508</v>
      </c>
      <c r="K163" s="1882" t="s">
        <v>8509</v>
      </c>
      <c r="L163" s="1882"/>
      <c r="M163" s="1882"/>
      <c r="N163" s="1882" t="s">
        <v>2450</v>
      </c>
      <c r="O163" s="1882" t="s">
        <v>8607</v>
      </c>
      <c r="P163" s="1882" t="s">
        <v>9006</v>
      </c>
      <c r="Q163" s="520">
        <v>2</v>
      </c>
      <c r="R163" s="1882" t="s">
        <v>8511</v>
      </c>
      <c r="S163" s="1882">
        <v>0.28999999999999998</v>
      </c>
      <c r="T163" s="1882">
        <v>0.26</v>
      </c>
      <c r="U163" s="1882">
        <v>0.23</v>
      </c>
      <c r="V163" s="1882">
        <v>0.2</v>
      </c>
      <c r="W163" s="1882">
        <v>0.2</v>
      </c>
      <c r="X163" s="1882">
        <v>0.2</v>
      </c>
      <c r="Y163" s="1882"/>
      <c r="Z163" s="1882"/>
      <c r="AA163" s="1882" t="s">
        <v>2459</v>
      </c>
      <c r="AB163" s="1882"/>
      <c r="AC163" s="1882"/>
      <c r="AD163" s="1882"/>
      <c r="AE163" s="1882" t="s">
        <v>2459</v>
      </c>
      <c r="AF163" s="1882"/>
      <c r="AG163" s="1882"/>
      <c r="AH163" s="1882">
        <v>0</v>
      </c>
      <c r="AI163" s="1882" t="s">
        <v>2459</v>
      </c>
      <c r="AJ163" s="1882" t="s">
        <v>2459</v>
      </c>
      <c r="AK163" s="1882" t="s">
        <v>2459</v>
      </c>
      <c r="AL163" s="1882" t="s">
        <v>2459</v>
      </c>
      <c r="AM163" s="1882" t="s">
        <v>2459</v>
      </c>
      <c r="AN163" s="1882">
        <v>0.46</v>
      </c>
      <c r="AO163" s="1882">
        <v>0.46</v>
      </c>
      <c r="AP163" s="1882">
        <v>0.37</v>
      </c>
      <c r="AQ163" s="1882">
        <v>0.37</v>
      </c>
      <c r="AR163" s="1882">
        <v>0.37</v>
      </c>
      <c r="AS163" s="1882">
        <v>0.28999999999999998</v>
      </c>
      <c r="AT163" s="1882">
        <v>0.28999999999999998</v>
      </c>
      <c r="AU163" s="1882">
        <v>0.2</v>
      </c>
      <c r="AV163" s="1882">
        <v>0.2</v>
      </c>
      <c r="AW163" s="1882">
        <v>0.2</v>
      </c>
      <c r="AX163" s="1882">
        <v>0.2</v>
      </c>
      <c r="AY163" s="1882">
        <v>0.2</v>
      </c>
      <c r="AZ163" s="1882">
        <v>0.2</v>
      </c>
      <c r="BA163" s="1882">
        <v>0.2</v>
      </c>
      <c r="BB163" s="1882">
        <v>0.2</v>
      </c>
      <c r="BC163" s="1882">
        <v>0</v>
      </c>
      <c r="BD163" s="1882">
        <v>0</v>
      </c>
      <c r="BE163" s="1882">
        <v>0</v>
      </c>
      <c r="BF163" s="1882">
        <v>0</v>
      </c>
      <c r="BG163" s="1882">
        <v>0</v>
      </c>
      <c r="BH163" s="1882">
        <v>2</v>
      </c>
      <c r="BI163" s="1882"/>
      <c r="BJ163" s="1882"/>
      <c r="BK163" s="1882"/>
      <c r="BL163" s="1882">
        <v>2</v>
      </c>
      <c r="BM163" s="1882"/>
      <c r="BN163" s="1882">
        <v>1</v>
      </c>
      <c r="BO163" s="1882" t="s">
        <v>8512</v>
      </c>
      <c r="BP163" s="520">
        <v>0.48</v>
      </c>
      <c r="BQ163" s="694">
        <v>0.1</v>
      </c>
      <c r="BR163" s="1882" t="s">
        <v>2459</v>
      </c>
      <c r="BS163" s="1882" t="s">
        <v>8513</v>
      </c>
      <c r="BT163" s="1882">
        <v>0</v>
      </c>
      <c r="BU163" s="1882" t="s">
        <v>8376</v>
      </c>
      <c r="BV163" s="1882">
        <v>0.2</v>
      </c>
      <c r="BW163" s="1882">
        <v>7.2999999999999995E-2</v>
      </c>
      <c r="BX163" s="1882" t="s">
        <v>2459</v>
      </c>
      <c r="BY163" s="1882">
        <v>0</v>
      </c>
      <c r="BZ163" s="1882">
        <v>0</v>
      </c>
      <c r="CA163" s="1882" t="s">
        <v>8376</v>
      </c>
      <c r="CB163" s="1882">
        <v>0.254</v>
      </c>
      <c r="CC163" s="1882">
        <v>0.05</v>
      </c>
      <c r="CD163" s="1882" t="s">
        <v>2459</v>
      </c>
      <c r="CE163" s="1882">
        <v>0</v>
      </c>
      <c r="CF163" s="1882">
        <v>0</v>
      </c>
      <c r="CG163" s="1882" t="s">
        <v>8376</v>
      </c>
      <c r="CH163" s="1882">
        <v>0.29239999999999999</v>
      </c>
      <c r="CI163" s="1882">
        <v>0.27</v>
      </c>
      <c r="CJ163" s="1882" t="s">
        <v>2460</v>
      </c>
      <c r="CK163" s="1882">
        <v>0</v>
      </c>
      <c r="CL163" s="1882">
        <v>0</v>
      </c>
      <c r="CM163" s="1882" t="s">
        <v>8384</v>
      </c>
      <c r="CN163" s="1882">
        <v>-0.13700000000000001</v>
      </c>
      <c r="CP163" s="1882" t="s">
        <v>9550</v>
      </c>
    </row>
    <row r="164" spans="1:94">
      <c r="A164" s="1882" t="s">
        <v>9536</v>
      </c>
      <c r="B164" s="1882" t="s">
        <v>9551</v>
      </c>
      <c r="C164" s="1882" t="s">
        <v>8394</v>
      </c>
      <c r="D164" s="1882" t="s">
        <v>1626</v>
      </c>
      <c r="E164" s="1882" t="s">
        <v>8503</v>
      </c>
      <c r="F164" s="1882" t="s">
        <v>9538</v>
      </c>
      <c r="G164" s="1882" t="s">
        <v>8236</v>
      </c>
      <c r="H164" s="1882" t="s">
        <v>9552</v>
      </c>
      <c r="I164" s="1882" t="s">
        <v>9553</v>
      </c>
      <c r="J164" s="1882" t="s">
        <v>8519</v>
      </c>
      <c r="K164" s="1882" t="s">
        <v>8509</v>
      </c>
      <c r="L164" s="1882"/>
      <c r="M164" s="1882"/>
      <c r="N164" s="1882" t="s">
        <v>8569</v>
      </c>
      <c r="O164" s="1882" t="s">
        <v>764</v>
      </c>
      <c r="P164" s="1882" t="s">
        <v>8570</v>
      </c>
      <c r="Q164" s="520">
        <v>0</v>
      </c>
      <c r="R164" s="1882" t="s">
        <v>8511</v>
      </c>
      <c r="S164" s="1882">
        <v>227</v>
      </c>
      <c r="T164" s="1882">
        <v>290</v>
      </c>
      <c r="U164" s="1882">
        <v>290</v>
      </c>
      <c r="V164" s="1882">
        <v>290</v>
      </c>
      <c r="W164" s="1882">
        <v>290</v>
      </c>
      <c r="X164" s="1882">
        <v>290</v>
      </c>
      <c r="Y164" s="1882"/>
      <c r="Z164" s="1882"/>
      <c r="AA164" s="1882"/>
      <c r="AB164" s="1882"/>
      <c r="AC164" s="1882"/>
      <c r="AD164" s="1882"/>
      <c r="AE164" s="1882" t="s">
        <v>2459</v>
      </c>
      <c r="AF164" s="1882"/>
      <c r="AG164" s="1882"/>
      <c r="AH164" s="1882">
        <v>0</v>
      </c>
      <c r="AI164" s="1882" t="s">
        <v>2459</v>
      </c>
      <c r="AJ164" s="1882" t="s">
        <v>2459</v>
      </c>
      <c r="AK164" s="1882" t="s">
        <v>2459</v>
      </c>
      <c r="AL164" s="1882" t="s">
        <v>2459</v>
      </c>
      <c r="AM164" s="1882" t="s">
        <v>2459</v>
      </c>
      <c r="AN164" s="1882">
        <v>470</v>
      </c>
      <c r="AO164" s="1882">
        <v>470</v>
      </c>
      <c r="AP164" s="1882">
        <v>470</v>
      </c>
      <c r="AQ164" s="1882">
        <v>470</v>
      </c>
      <c r="AR164" s="1882">
        <v>470</v>
      </c>
      <c r="AS164" s="1882">
        <v>345</v>
      </c>
      <c r="AT164" s="1882">
        <v>345</v>
      </c>
      <c r="AU164" s="1882">
        <v>345</v>
      </c>
      <c r="AV164" s="1882">
        <v>345</v>
      </c>
      <c r="AW164" s="1882">
        <v>345</v>
      </c>
      <c r="AX164" s="1882"/>
      <c r="AY164" s="1882"/>
      <c r="AZ164" s="1882"/>
      <c r="BA164" s="1882"/>
      <c r="BB164" s="1882"/>
      <c r="BC164" s="1882"/>
      <c r="BD164" s="1882"/>
      <c r="BE164" s="1882"/>
      <c r="BF164" s="1882"/>
      <c r="BG164" s="1882"/>
      <c r="BH164" s="1882">
        <v>3.0000000000000001E-3</v>
      </c>
      <c r="BI164" s="1882"/>
      <c r="BJ164" s="1882"/>
      <c r="BK164" s="1882"/>
      <c r="BL164" s="1882"/>
      <c r="BM164" s="1882"/>
      <c r="BN164" s="1882">
        <v>1</v>
      </c>
      <c r="BO164" s="1882" t="s">
        <v>8512</v>
      </c>
      <c r="BP164" s="520">
        <v>221</v>
      </c>
      <c r="BQ164" s="693">
        <v>212</v>
      </c>
      <c r="BR164" s="1882" t="s">
        <v>2459</v>
      </c>
      <c r="BS164" s="1882" t="s">
        <v>8513</v>
      </c>
      <c r="BT164" s="1882">
        <v>0</v>
      </c>
      <c r="BU164" s="1882" t="s">
        <v>8513</v>
      </c>
      <c r="BV164" s="1882">
        <v>0</v>
      </c>
      <c r="BW164" s="1882">
        <v>234</v>
      </c>
      <c r="BX164" s="1882" t="s">
        <v>2459</v>
      </c>
      <c r="BY164" s="1882">
        <v>0</v>
      </c>
      <c r="BZ164" s="1882">
        <v>0</v>
      </c>
      <c r="CA164" s="1882">
        <v>0</v>
      </c>
      <c r="CB164" s="1882">
        <v>0</v>
      </c>
      <c r="CC164" s="1882">
        <v>214</v>
      </c>
      <c r="CD164" s="1882" t="s">
        <v>2459</v>
      </c>
      <c r="CE164" s="1882">
        <v>0</v>
      </c>
      <c r="CF164" s="1882">
        <v>0</v>
      </c>
      <c r="CG164" s="1882">
        <v>0</v>
      </c>
      <c r="CH164" s="1882">
        <v>0</v>
      </c>
      <c r="CI164" s="1882">
        <v>255</v>
      </c>
      <c r="CJ164" s="1882" t="s">
        <v>2459</v>
      </c>
      <c r="CK164" s="1882">
        <v>0</v>
      </c>
      <c r="CL164" s="1882">
        <v>0</v>
      </c>
      <c r="CM164" s="1882">
        <v>0</v>
      </c>
      <c r="CN164" s="1882">
        <v>0</v>
      </c>
      <c r="CP164" s="1882" t="s">
        <v>9554</v>
      </c>
    </row>
    <row r="165" spans="1:94">
      <c r="A165" s="1882" t="s">
        <v>9536</v>
      </c>
      <c r="B165" s="1882" t="s">
        <v>9555</v>
      </c>
      <c r="C165" s="1882" t="s">
        <v>8394</v>
      </c>
      <c r="D165" s="1882" t="s">
        <v>1626</v>
      </c>
      <c r="E165" s="1882" t="s">
        <v>8503</v>
      </c>
      <c r="F165" s="1882" t="s">
        <v>9538</v>
      </c>
      <c r="G165" s="1882" t="s">
        <v>8239</v>
      </c>
      <c r="H165" s="1882" t="s">
        <v>9556</v>
      </c>
      <c r="I165" s="1882" t="s">
        <v>9557</v>
      </c>
      <c r="J165" s="1882" t="s">
        <v>8519</v>
      </c>
      <c r="K165" s="1882" t="s">
        <v>8509</v>
      </c>
      <c r="L165" s="1882"/>
      <c r="M165" s="1882"/>
      <c r="N165" s="1882" t="s">
        <v>8547</v>
      </c>
      <c r="O165" s="1882" t="s">
        <v>732</v>
      </c>
      <c r="P165" s="1882" t="s">
        <v>8548</v>
      </c>
      <c r="Q165" s="520">
        <v>2</v>
      </c>
      <c r="R165" s="1882" t="s">
        <v>8549</v>
      </c>
      <c r="S165" s="1882">
        <v>100</v>
      </c>
      <c r="T165" s="1882">
        <v>100</v>
      </c>
      <c r="U165" s="1882">
        <v>100</v>
      </c>
      <c r="V165" s="1882">
        <v>100</v>
      </c>
      <c r="W165" s="1882">
        <v>100</v>
      </c>
      <c r="X165" s="1882">
        <v>100</v>
      </c>
      <c r="Y165" s="1882" t="s">
        <v>2459</v>
      </c>
      <c r="Z165" s="1882"/>
      <c r="AA165" s="1882"/>
      <c r="AB165" s="1882"/>
      <c r="AC165" s="1882"/>
      <c r="AD165" s="1882"/>
      <c r="AE165" s="1882" t="s">
        <v>2459</v>
      </c>
      <c r="AF165" s="1882"/>
      <c r="AG165" s="1882"/>
      <c r="AH165" s="1882">
        <v>0</v>
      </c>
      <c r="AI165" s="1882" t="s">
        <v>2459</v>
      </c>
      <c r="AJ165" s="1882" t="s">
        <v>2459</v>
      </c>
      <c r="AK165" s="1882" t="s">
        <v>2459</v>
      </c>
      <c r="AL165" s="1882" t="s">
        <v>2459</v>
      </c>
      <c r="AM165" s="1882" t="s">
        <v>2459</v>
      </c>
      <c r="AN165" s="1882">
        <v>99.93</v>
      </c>
      <c r="AO165" s="1882">
        <v>99.93</v>
      </c>
      <c r="AP165" s="1882">
        <v>99.94</v>
      </c>
      <c r="AQ165" s="1882">
        <v>99.94</v>
      </c>
      <c r="AR165" s="1882">
        <v>99.94</v>
      </c>
      <c r="AS165" s="1882">
        <v>99.94</v>
      </c>
      <c r="AT165" s="1882">
        <v>99.94</v>
      </c>
      <c r="AU165" s="1882">
        <v>99.95</v>
      </c>
      <c r="AV165" s="1882">
        <v>99.95</v>
      </c>
      <c r="AW165" s="1882">
        <v>99.95</v>
      </c>
      <c r="AX165" s="1882"/>
      <c r="AY165" s="1882"/>
      <c r="AZ165" s="1882"/>
      <c r="BA165" s="1882"/>
      <c r="BB165" s="1882"/>
      <c r="BC165" s="1882"/>
      <c r="BD165" s="1882"/>
      <c r="BE165" s="1882"/>
      <c r="BF165" s="1882"/>
      <c r="BG165" s="1882"/>
      <c r="BH165" s="1882">
        <v>0.14000000000000001</v>
      </c>
      <c r="BI165" s="1882"/>
      <c r="BJ165" s="1882"/>
      <c r="BK165" s="1882"/>
      <c r="BL165" s="1882"/>
      <c r="BM165" s="1882"/>
      <c r="BN165" s="1882">
        <v>100</v>
      </c>
      <c r="BO165" s="1882" t="s">
        <v>8884</v>
      </c>
      <c r="BP165" s="520">
        <v>99.98</v>
      </c>
      <c r="BQ165" s="694">
        <v>99.95</v>
      </c>
      <c r="BR165" s="1882" t="s">
        <v>2460</v>
      </c>
      <c r="BS165" s="1882" t="s">
        <v>8513</v>
      </c>
      <c r="BT165" s="1882">
        <v>0</v>
      </c>
      <c r="BU165" s="1882" t="s">
        <v>8429</v>
      </c>
      <c r="BV165" s="1882">
        <v>0</v>
      </c>
      <c r="BW165" s="1882">
        <v>99.98</v>
      </c>
      <c r="BX165" s="1882" t="s">
        <v>2460</v>
      </c>
      <c r="BY165" s="1882">
        <v>0</v>
      </c>
      <c r="BZ165" s="1882">
        <v>0</v>
      </c>
      <c r="CA165" s="1882" t="s">
        <v>8429</v>
      </c>
      <c r="CB165" s="1882">
        <v>0</v>
      </c>
      <c r="CC165" s="1882">
        <v>99.98</v>
      </c>
      <c r="CD165" s="1882" t="s">
        <v>2460</v>
      </c>
      <c r="CE165" s="1882">
        <v>0</v>
      </c>
      <c r="CF165" s="1882">
        <v>0</v>
      </c>
      <c r="CG165" s="1882" t="s">
        <v>8388</v>
      </c>
      <c r="CH165" s="1882">
        <v>0</v>
      </c>
      <c r="CI165" s="1882">
        <v>99.97</v>
      </c>
      <c r="CJ165" s="1882" t="s">
        <v>2460</v>
      </c>
      <c r="CK165" s="1882">
        <v>0</v>
      </c>
      <c r="CL165" s="1882">
        <v>0</v>
      </c>
      <c r="CM165" s="1882" t="s">
        <v>8388</v>
      </c>
      <c r="CN165" s="1882">
        <v>0</v>
      </c>
      <c r="CP165" s="1882" t="s">
        <v>9558</v>
      </c>
    </row>
    <row r="166" spans="1:94">
      <c r="A166" s="1882" t="s">
        <v>9536</v>
      </c>
      <c r="B166" s="1882" t="s">
        <v>9559</v>
      </c>
      <c r="C166" s="1882" t="s">
        <v>8394</v>
      </c>
      <c r="D166" s="1882" t="s">
        <v>1626</v>
      </c>
      <c r="E166" s="1882" t="s">
        <v>8503</v>
      </c>
      <c r="F166" s="1882" t="s">
        <v>9538</v>
      </c>
      <c r="G166" s="1882" t="s">
        <v>8242</v>
      </c>
      <c r="H166" s="1882" t="s">
        <v>9560</v>
      </c>
      <c r="I166" s="1882" t="s">
        <v>9561</v>
      </c>
      <c r="J166" s="1882" t="s">
        <v>8508</v>
      </c>
      <c r="K166" s="1882" t="s">
        <v>8509</v>
      </c>
      <c r="L166" s="1882"/>
      <c r="M166" s="1882"/>
      <c r="N166" s="1882" t="s">
        <v>8463</v>
      </c>
      <c r="O166" s="1882" t="s">
        <v>764</v>
      </c>
      <c r="P166" s="1882" t="s">
        <v>8890</v>
      </c>
      <c r="Q166" s="520">
        <v>0</v>
      </c>
      <c r="R166" s="1882" t="s">
        <v>8511</v>
      </c>
      <c r="S166" s="1882">
        <v>350</v>
      </c>
      <c r="T166" s="1882">
        <v>350</v>
      </c>
      <c r="U166" s="1882">
        <v>350</v>
      </c>
      <c r="V166" s="1882">
        <v>350</v>
      </c>
      <c r="W166" s="1882">
        <v>350</v>
      </c>
      <c r="X166" s="1882">
        <v>350</v>
      </c>
      <c r="Y166" s="1882"/>
      <c r="Z166" s="1882" t="s">
        <v>2459</v>
      </c>
      <c r="AA166" s="1882"/>
      <c r="AB166" s="1882"/>
      <c r="AC166" s="1882"/>
      <c r="AD166" s="1882"/>
      <c r="AE166" s="1882" t="s">
        <v>2459</v>
      </c>
      <c r="AF166" s="1882"/>
      <c r="AG166" s="1882"/>
      <c r="AH166" s="1882">
        <v>0</v>
      </c>
      <c r="AI166" s="1882" t="s">
        <v>2459</v>
      </c>
      <c r="AJ166" s="1882" t="s">
        <v>2459</v>
      </c>
      <c r="AK166" s="1882" t="s">
        <v>2459</v>
      </c>
      <c r="AL166" s="1882" t="s">
        <v>2459</v>
      </c>
      <c r="AM166" s="1882" t="s">
        <v>2459</v>
      </c>
      <c r="AN166" s="1882">
        <v>500</v>
      </c>
      <c r="AO166" s="1882">
        <v>500</v>
      </c>
      <c r="AP166" s="1882">
        <v>500</v>
      </c>
      <c r="AQ166" s="1882">
        <v>500</v>
      </c>
      <c r="AR166" s="1882">
        <v>500</v>
      </c>
      <c r="AS166" s="1882">
        <v>375</v>
      </c>
      <c r="AT166" s="1882">
        <v>375</v>
      </c>
      <c r="AU166" s="1882">
        <v>375</v>
      </c>
      <c r="AV166" s="1882">
        <v>375</v>
      </c>
      <c r="AW166" s="1882">
        <v>375</v>
      </c>
      <c r="AX166" s="1882">
        <v>325</v>
      </c>
      <c r="AY166" s="1882">
        <v>325</v>
      </c>
      <c r="AZ166" s="1882">
        <v>325</v>
      </c>
      <c r="BA166" s="1882">
        <v>325</v>
      </c>
      <c r="BB166" s="1882">
        <v>325</v>
      </c>
      <c r="BC166" s="1882">
        <v>200</v>
      </c>
      <c r="BD166" s="1882">
        <v>200</v>
      </c>
      <c r="BE166" s="1882">
        <v>200</v>
      </c>
      <c r="BF166" s="1882">
        <v>200</v>
      </c>
      <c r="BG166" s="1882">
        <v>200</v>
      </c>
      <c r="BH166" s="1882">
        <v>1E-3</v>
      </c>
      <c r="BI166" s="1882"/>
      <c r="BJ166" s="1882"/>
      <c r="BK166" s="1882"/>
      <c r="BL166" s="1882">
        <v>4.95E-4</v>
      </c>
      <c r="BM166" s="1882"/>
      <c r="BN166" s="1882">
        <v>1</v>
      </c>
      <c r="BO166" s="1882" t="s">
        <v>8512</v>
      </c>
      <c r="BP166" s="520">
        <v>540</v>
      </c>
      <c r="BQ166" s="693">
        <v>419</v>
      </c>
      <c r="BR166" s="1882" t="s">
        <v>2460</v>
      </c>
      <c r="BS166" s="1882" t="s">
        <v>8513</v>
      </c>
      <c r="BT166" s="1882">
        <v>0</v>
      </c>
      <c r="BU166" s="1882" t="s">
        <v>8563</v>
      </c>
      <c r="BV166" s="1882">
        <v>-4.3999999999999997E-2</v>
      </c>
      <c r="BW166" s="1882">
        <v>375</v>
      </c>
      <c r="BX166" s="1882" t="s">
        <v>2460</v>
      </c>
      <c r="BY166" s="1882">
        <v>0</v>
      </c>
      <c r="BZ166" s="1882">
        <v>0</v>
      </c>
      <c r="CA166" s="1882" t="s">
        <v>8429</v>
      </c>
      <c r="CB166" s="1882">
        <v>0</v>
      </c>
      <c r="CC166" s="1882">
        <v>365</v>
      </c>
      <c r="CD166" s="1882" t="s">
        <v>2460</v>
      </c>
      <c r="CE166" s="1882">
        <v>0</v>
      </c>
      <c r="CF166" s="1882">
        <v>0</v>
      </c>
      <c r="CG166" s="1882" t="s">
        <v>8388</v>
      </c>
      <c r="CH166" s="1882">
        <v>0</v>
      </c>
      <c r="CI166" s="1882">
        <v>388</v>
      </c>
      <c r="CJ166" s="1882" t="s">
        <v>2460</v>
      </c>
      <c r="CK166" s="1882">
        <v>0</v>
      </c>
      <c r="CL166" s="1882">
        <v>0</v>
      </c>
      <c r="CM166" s="1882" t="s">
        <v>8384</v>
      </c>
      <c r="CN166" s="1882">
        <v>-1.2999999999999999E-2</v>
      </c>
      <c r="CP166" s="1882" t="s">
        <v>9562</v>
      </c>
    </row>
    <row r="167" spans="1:94">
      <c r="A167" s="1882" t="s">
        <v>9536</v>
      </c>
      <c r="B167" s="1882" t="s">
        <v>9563</v>
      </c>
      <c r="C167" s="1882" t="s">
        <v>8394</v>
      </c>
      <c r="D167" s="1882" t="s">
        <v>1626</v>
      </c>
      <c r="E167" s="1882" t="s">
        <v>8503</v>
      </c>
      <c r="F167" s="1882" t="s">
        <v>9538</v>
      </c>
      <c r="G167" s="1882" t="s">
        <v>9564</v>
      </c>
      <c r="H167" s="1882" t="s">
        <v>9565</v>
      </c>
      <c r="I167" s="1882" t="s">
        <v>9566</v>
      </c>
      <c r="J167" s="1882" t="s">
        <v>8519</v>
      </c>
      <c r="K167" s="1882" t="s">
        <v>8509</v>
      </c>
      <c r="L167" s="1882"/>
      <c r="M167" s="1882" t="s">
        <v>2460</v>
      </c>
      <c r="N167" s="1882" t="s">
        <v>8547</v>
      </c>
      <c r="O167" s="1882" t="s">
        <v>8797</v>
      </c>
      <c r="P167" s="1882" t="s">
        <v>9567</v>
      </c>
      <c r="Q167" s="520" t="s">
        <v>8512</v>
      </c>
      <c r="R167" s="1882"/>
      <c r="S167" s="1882" t="s">
        <v>9288</v>
      </c>
      <c r="T167" s="1882" t="s">
        <v>9288</v>
      </c>
      <c r="U167" s="1882" t="s">
        <v>9288</v>
      </c>
      <c r="V167" s="1882" t="s">
        <v>9288</v>
      </c>
      <c r="W167" s="1882" t="s">
        <v>9288</v>
      </c>
      <c r="X167" s="1882" t="s">
        <v>9288</v>
      </c>
      <c r="Y167" s="1882"/>
      <c r="Z167" s="1882"/>
      <c r="AA167" s="1882"/>
      <c r="AB167" s="1882"/>
      <c r="AC167" s="1882"/>
      <c r="AD167" s="1882" t="s">
        <v>2459</v>
      </c>
      <c r="AE167" s="1882" t="s">
        <v>2459</v>
      </c>
      <c r="AF167" s="1882"/>
      <c r="AG167" s="1882"/>
      <c r="AH167" s="1882">
        <v>0</v>
      </c>
      <c r="AI167" s="1882" t="s">
        <v>2459</v>
      </c>
      <c r="AJ167" s="1882" t="s">
        <v>2459</v>
      </c>
      <c r="AK167" s="1882" t="s">
        <v>2459</v>
      </c>
      <c r="AL167" s="1882" t="s">
        <v>2459</v>
      </c>
      <c r="AM167" s="1882" t="s">
        <v>2459</v>
      </c>
      <c r="AN167" s="1882"/>
      <c r="AO167" s="1882"/>
      <c r="AP167" s="1882"/>
      <c r="AQ167" s="1882"/>
      <c r="AR167" s="1882"/>
      <c r="AS167" s="1882" t="s">
        <v>9287</v>
      </c>
      <c r="AT167" s="1882" t="s">
        <v>9287</v>
      </c>
      <c r="AU167" s="1882" t="s">
        <v>9287</v>
      </c>
      <c r="AV167" s="1882" t="s">
        <v>9287</v>
      </c>
      <c r="AW167" s="1882" t="s">
        <v>9287</v>
      </c>
      <c r="AX167" s="1882"/>
      <c r="AY167" s="1882"/>
      <c r="AZ167" s="1882"/>
      <c r="BA167" s="1882"/>
      <c r="BB167" s="1882"/>
      <c r="BC167" s="1882"/>
      <c r="BD167" s="1882"/>
      <c r="BE167" s="1882"/>
      <c r="BF167" s="1882"/>
      <c r="BG167" s="1882"/>
      <c r="BH167" s="1882">
        <v>3</v>
      </c>
      <c r="BI167" s="1882"/>
      <c r="BJ167" s="1882"/>
      <c r="BK167" s="1882"/>
      <c r="BL167" s="1882"/>
      <c r="BM167" s="1882"/>
      <c r="BN167" s="1882">
        <v>1</v>
      </c>
      <c r="BO167" s="1882" t="s">
        <v>8512</v>
      </c>
      <c r="BP167" s="520" t="s">
        <v>8401</v>
      </c>
      <c r="BQ167" s="692" t="s">
        <v>9289</v>
      </c>
      <c r="BR167" s="1882" t="s">
        <v>2459</v>
      </c>
      <c r="BS167" s="1882" t="s">
        <v>8513</v>
      </c>
      <c r="BT167" s="1882">
        <v>0</v>
      </c>
      <c r="BU167" s="1882" t="s">
        <v>8513</v>
      </c>
      <c r="BV167" s="1882">
        <v>0</v>
      </c>
      <c r="BW167" s="1882" t="s">
        <v>9289</v>
      </c>
      <c r="BX167" s="1882" t="s">
        <v>2459</v>
      </c>
      <c r="BY167" s="1882">
        <v>0</v>
      </c>
      <c r="BZ167" s="1882">
        <v>0</v>
      </c>
      <c r="CA167" s="1882">
        <v>0</v>
      </c>
      <c r="CB167" s="1882">
        <v>0</v>
      </c>
      <c r="CC167" s="1882" t="s">
        <v>9289</v>
      </c>
      <c r="CD167" s="1882" t="s">
        <v>2459</v>
      </c>
      <c r="CE167" s="1882">
        <v>0</v>
      </c>
      <c r="CF167" s="1882">
        <v>0</v>
      </c>
      <c r="CG167" s="1882">
        <v>0</v>
      </c>
      <c r="CH167" s="1882">
        <v>0</v>
      </c>
      <c r="CI167" s="1882" t="s">
        <v>9289</v>
      </c>
      <c r="CJ167" s="1882" t="s">
        <v>2459</v>
      </c>
      <c r="CK167" s="1882">
        <v>0</v>
      </c>
      <c r="CL167" s="1882">
        <v>0</v>
      </c>
      <c r="CM167" s="1882">
        <v>0</v>
      </c>
      <c r="CN167" s="1882">
        <v>0</v>
      </c>
      <c r="CP167" s="1882" t="s">
        <v>9568</v>
      </c>
    </row>
    <row r="168" spans="1:94">
      <c r="A168" s="1882" t="s">
        <v>9536</v>
      </c>
      <c r="B168" s="1882" t="s">
        <v>9569</v>
      </c>
      <c r="C168" s="1882" t="s">
        <v>8394</v>
      </c>
      <c r="D168" s="1882" t="s">
        <v>1626</v>
      </c>
      <c r="E168" s="1882" t="s">
        <v>8503</v>
      </c>
      <c r="F168" s="1882" t="s">
        <v>9570</v>
      </c>
      <c r="G168" s="1882" t="s">
        <v>8254</v>
      </c>
      <c r="H168" s="1882" t="s">
        <v>9571</v>
      </c>
      <c r="I168" s="1882" t="s">
        <v>9572</v>
      </c>
      <c r="J168" s="1882" t="s">
        <v>8539</v>
      </c>
      <c r="K168" s="1882"/>
      <c r="L168" s="1882"/>
      <c r="M168" s="1882"/>
      <c r="N168" s="1882" t="s">
        <v>8635</v>
      </c>
      <c r="O168" s="1882" t="s">
        <v>764</v>
      </c>
      <c r="P168" s="1882" t="s">
        <v>9573</v>
      </c>
      <c r="Q168" s="520">
        <v>0</v>
      </c>
      <c r="R168" s="1882" t="s">
        <v>8511</v>
      </c>
      <c r="S168" s="1882">
        <v>1</v>
      </c>
      <c r="T168" s="1882">
        <v>1</v>
      </c>
      <c r="U168" s="1882">
        <v>1</v>
      </c>
      <c r="V168" s="1882">
        <v>1</v>
      </c>
      <c r="W168" s="1882">
        <v>1</v>
      </c>
      <c r="X168" s="1882">
        <v>1</v>
      </c>
      <c r="Y168" s="1882"/>
      <c r="Z168" s="1882"/>
      <c r="AA168" s="1882"/>
      <c r="AB168" s="1882"/>
      <c r="AC168" s="1882"/>
      <c r="AD168" s="1882"/>
      <c r="AE168" s="1882"/>
      <c r="AF168" s="1882"/>
      <c r="AG168" s="1882"/>
      <c r="AH168" s="1882">
        <v>0</v>
      </c>
      <c r="AI168" s="1882"/>
      <c r="AJ168" s="1882"/>
      <c r="AK168" s="1882"/>
      <c r="AL168" s="1882"/>
      <c r="AM168" s="1882"/>
      <c r="AN168" s="1882"/>
      <c r="AO168" s="1882"/>
      <c r="AP168" s="1882"/>
      <c r="AQ168" s="1882"/>
      <c r="AR168" s="1882"/>
      <c r="AS168" s="1882"/>
      <c r="AT168" s="1882"/>
      <c r="AU168" s="1882"/>
      <c r="AV168" s="1882"/>
      <c r="AW168" s="1882"/>
      <c r="AX168" s="1882"/>
      <c r="AY168" s="1882"/>
      <c r="AZ168" s="1882"/>
      <c r="BA168" s="1882"/>
      <c r="BB168" s="1882"/>
      <c r="BC168" s="1882"/>
      <c r="BD168" s="1882"/>
      <c r="BE168" s="1882"/>
      <c r="BF168" s="1882"/>
      <c r="BG168" s="1882"/>
      <c r="BH168" s="1882"/>
      <c r="BI168" s="1882"/>
      <c r="BJ168" s="1882"/>
      <c r="BK168" s="1882"/>
      <c r="BL168" s="1882"/>
      <c r="BM168" s="1882"/>
      <c r="BN168" s="1882"/>
      <c r="BO168" s="1882"/>
      <c r="BP168" s="520">
        <v>0</v>
      </c>
      <c r="BQ168" s="693">
        <v>0</v>
      </c>
      <c r="BR168" s="1882" t="s">
        <v>2459</v>
      </c>
      <c r="BS168" s="1882" t="s">
        <v>8513</v>
      </c>
      <c r="BT168" s="1882">
        <v>0</v>
      </c>
      <c r="BU168" s="1882" t="s">
        <v>8513</v>
      </c>
      <c r="BV168" s="1882">
        <v>0</v>
      </c>
      <c r="BW168" s="1882">
        <v>0</v>
      </c>
      <c r="BX168" s="1882" t="s">
        <v>2459</v>
      </c>
      <c r="BY168" s="1882">
        <v>0</v>
      </c>
      <c r="BZ168" s="1882">
        <v>0</v>
      </c>
      <c r="CA168" s="1882">
        <v>0</v>
      </c>
      <c r="CB168" s="1882">
        <v>0</v>
      </c>
      <c r="CC168" s="1882">
        <v>0</v>
      </c>
      <c r="CD168" s="1882" t="s">
        <v>2459</v>
      </c>
      <c r="CE168" s="1882">
        <v>0</v>
      </c>
      <c r="CF168" s="1882">
        <v>0</v>
      </c>
      <c r="CG168" s="1882">
        <v>0</v>
      </c>
      <c r="CH168" s="1882">
        <v>0</v>
      </c>
      <c r="CI168" s="1882">
        <v>0</v>
      </c>
      <c r="CJ168" s="1882" t="s">
        <v>2459</v>
      </c>
      <c r="CK168" s="1882">
        <v>0</v>
      </c>
      <c r="CL168" s="1882">
        <v>0</v>
      </c>
      <c r="CM168" s="1882">
        <v>0</v>
      </c>
      <c r="CN168" s="1882">
        <v>0</v>
      </c>
      <c r="CP168" s="1882" t="s">
        <v>9574</v>
      </c>
    </row>
    <row r="169" spans="1:94">
      <c r="A169" s="1882" t="s">
        <v>9536</v>
      </c>
      <c r="B169" s="1882" t="s">
        <v>9575</v>
      </c>
      <c r="C169" s="1882" t="s">
        <v>8394</v>
      </c>
      <c r="D169" s="1882" t="s">
        <v>1626</v>
      </c>
      <c r="E169" s="1882" t="s">
        <v>8503</v>
      </c>
      <c r="F169" s="1882" t="s">
        <v>9570</v>
      </c>
      <c r="G169" s="1882" t="s">
        <v>8257</v>
      </c>
      <c r="H169" s="1882" t="s">
        <v>9576</v>
      </c>
      <c r="I169" s="1882" t="s">
        <v>9577</v>
      </c>
      <c r="J169" s="1882" t="s">
        <v>8508</v>
      </c>
      <c r="K169" s="1882" t="s">
        <v>8509</v>
      </c>
      <c r="L169" s="1882"/>
      <c r="M169" s="1882"/>
      <c r="N169" s="1882" t="s">
        <v>4580</v>
      </c>
      <c r="O169" s="1882" t="s">
        <v>732</v>
      </c>
      <c r="P169" s="1882" t="s">
        <v>9578</v>
      </c>
      <c r="Q169" s="520">
        <v>0</v>
      </c>
      <c r="R169" s="1882" t="s">
        <v>8549</v>
      </c>
      <c r="S169" s="1882">
        <v>36</v>
      </c>
      <c r="T169" s="1882">
        <v>36</v>
      </c>
      <c r="U169" s="1882">
        <v>36</v>
      </c>
      <c r="V169" s="1882">
        <v>36</v>
      </c>
      <c r="W169" s="1882">
        <v>56</v>
      </c>
      <c r="X169" s="1882">
        <v>56</v>
      </c>
      <c r="Y169" s="1882"/>
      <c r="Z169" s="1882"/>
      <c r="AA169" s="1882"/>
      <c r="AB169" s="1882"/>
      <c r="AC169" s="1882"/>
      <c r="AD169" s="1882"/>
      <c r="AE169" s="1882" t="s">
        <v>2459</v>
      </c>
      <c r="AF169" s="1882"/>
      <c r="AG169" s="1882"/>
      <c r="AH169" s="1882">
        <v>0</v>
      </c>
      <c r="AI169" s="1882"/>
      <c r="AJ169" s="1882"/>
      <c r="AK169" s="1882"/>
      <c r="AL169" s="1882" t="s">
        <v>2459</v>
      </c>
      <c r="AM169" s="1882" t="s">
        <v>2459</v>
      </c>
      <c r="AN169" s="1882"/>
      <c r="AO169" s="1882"/>
      <c r="AP169" s="1882"/>
      <c r="AQ169" s="1882">
        <v>51</v>
      </c>
      <c r="AR169" s="1882">
        <v>51</v>
      </c>
      <c r="AS169" s="1882"/>
      <c r="AT169" s="1882"/>
      <c r="AU169" s="1882"/>
      <c r="AV169" s="1882">
        <v>56</v>
      </c>
      <c r="AW169" s="1882">
        <v>56</v>
      </c>
      <c r="AX169" s="1882"/>
      <c r="AY169" s="1882"/>
      <c r="AZ169" s="1882"/>
      <c r="BA169" s="1882">
        <v>56</v>
      </c>
      <c r="BB169" s="1882">
        <v>56</v>
      </c>
      <c r="BC169" s="1882"/>
      <c r="BD169" s="1882"/>
      <c r="BE169" s="1882"/>
      <c r="BF169" s="1882">
        <v>66</v>
      </c>
      <c r="BG169" s="1882">
        <v>66</v>
      </c>
      <c r="BH169" s="1882">
        <v>1.485E-2</v>
      </c>
      <c r="BI169" s="1882"/>
      <c r="BJ169" s="1882"/>
      <c r="BK169" s="1882"/>
      <c r="BL169" s="1882">
        <v>5.1999999999999998E-3</v>
      </c>
      <c r="BM169" s="1882"/>
      <c r="BN169" s="1882">
        <v>1</v>
      </c>
      <c r="BO169" s="1882" t="s">
        <v>8512</v>
      </c>
      <c r="BP169" s="520">
        <v>36</v>
      </c>
      <c r="BQ169" s="693">
        <v>36</v>
      </c>
      <c r="BR169" s="1882" t="s">
        <v>2459</v>
      </c>
      <c r="BS169" s="1882" t="s">
        <v>8513</v>
      </c>
      <c r="BT169" s="1882">
        <v>0</v>
      </c>
      <c r="BU169" s="1882" t="s">
        <v>8513</v>
      </c>
      <c r="BV169" s="1882">
        <v>0</v>
      </c>
      <c r="BW169" s="1882">
        <v>36</v>
      </c>
      <c r="BX169" s="1882" t="s">
        <v>2459</v>
      </c>
      <c r="BY169" s="1882">
        <v>0</v>
      </c>
      <c r="BZ169" s="1882">
        <v>0</v>
      </c>
      <c r="CA169" s="1882">
        <v>0</v>
      </c>
      <c r="CB169" s="1882">
        <v>0</v>
      </c>
      <c r="CC169" s="1882">
        <v>36</v>
      </c>
      <c r="CD169" s="1882" t="s">
        <v>2459</v>
      </c>
      <c r="CE169" s="1882">
        <v>0</v>
      </c>
      <c r="CF169" s="1882">
        <v>0</v>
      </c>
      <c r="CG169" s="1882">
        <v>0</v>
      </c>
      <c r="CH169" s="1882">
        <v>0</v>
      </c>
      <c r="CI169" s="1882">
        <v>56</v>
      </c>
      <c r="CJ169" s="1882" t="s">
        <v>2459</v>
      </c>
      <c r="CK169" s="1882">
        <v>0</v>
      </c>
      <c r="CL169" s="1882">
        <v>0</v>
      </c>
      <c r="CM169" s="1882">
        <v>0</v>
      </c>
      <c r="CN169" s="1882">
        <v>0</v>
      </c>
      <c r="CP169" s="1882" t="s">
        <v>9579</v>
      </c>
    </row>
    <row r="170" spans="1:94">
      <c r="A170" s="1882" t="s">
        <v>9536</v>
      </c>
      <c r="B170" s="1882" t="s">
        <v>9580</v>
      </c>
      <c r="C170" s="1882" t="s">
        <v>8394</v>
      </c>
      <c r="D170" s="1882" t="s">
        <v>1626</v>
      </c>
      <c r="E170" s="1882" t="s">
        <v>8503</v>
      </c>
      <c r="F170" s="1882" t="s">
        <v>9581</v>
      </c>
      <c r="G170" s="1882" t="s">
        <v>8277</v>
      </c>
      <c r="H170" s="1882" t="s">
        <v>9582</v>
      </c>
      <c r="I170" s="1882" t="s">
        <v>9583</v>
      </c>
      <c r="J170" s="1882" t="s">
        <v>8508</v>
      </c>
      <c r="K170" s="1882" t="s">
        <v>8509</v>
      </c>
      <c r="L170" s="1882"/>
      <c r="M170" s="1882"/>
      <c r="N170" s="1882" t="s">
        <v>2444</v>
      </c>
      <c r="O170" s="1882" t="s">
        <v>764</v>
      </c>
      <c r="P170" s="1882" t="s">
        <v>8510</v>
      </c>
      <c r="Q170" s="520">
        <v>2</v>
      </c>
      <c r="R170" s="1882" t="s">
        <v>8511</v>
      </c>
      <c r="S170" s="1882">
        <v>24.5</v>
      </c>
      <c r="T170" s="1882">
        <v>24.4</v>
      </c>
      <c r="U170" s="1882">
        <v>24.3</v>
      </c>
      <c r="V170" s="1882">
        <v>24.2</v>
      </c>
      <c r="W170" s="1882">
        <v>24.1</v>
      </c>
      <c r="X170" s="1882">
        <v>24</v>
      </c>
      <c r="Y170" s="1882"/>
      <c r="Z170" s="1882"/>
      <c r="AA170" s="1882"/>
      <c r="AB170" s="1882"/>
      <c r="AC170" s="1882"/>
      <c r="AD170" s="1882"/>
      <c r="AE170" s="1882" t="s">
        <v>2459</v>
      </c>
      <c r="AF170" s="1882"/>
      <c r="AG170" s="1882"/>
      <c r="AH170" s="1882">
        <v>0</v>
      </c>
      <c r="AI170" s="1882" t="s">
        <v>2459</v>
      </c>
      <c r="AJ170" s="1882" t="s">
        <v>2459</v>
      </c>
      <c r="AK170" s="1882" t="s">
        <v>2459</v>
      </c>
      <c r="AL170" s="1882" t="s">
        <v>2459</v>
      </c>
      <c r="AM170" s="1882" t="s">
        <v>2459</v>
      </c>
      <c r="AN170" s="1882">
        <v>27</v>
      </c>
      <c r="AO170" s="1882">
        <v>27</v>
      </c>
      <c r="AP170" s="1882">
        <v>27</v>
      </c>
      <c r="AQ170" s="1882">
        <v>27</v>
      </c>
      <c r="AR170" s="1882">
        <v>27</v>
      </c>
      <c r="AS170" s="1882">
        <v>24.9</v>
      </c>
      <c r="AT170" s="1882">
        <v>24.8</v>
      </c>
      <c r="AU170" s="1882">
        <v>24.7</v>
      </c>
      <c r="AV170" s="1882">
        <v>24.6</v>
      </c>
      <c r="AW170" s="1882">
        <v>24.5</v>
      </c>
      <c r="AX170" s="1882">
        <v>23.9</v>
      </c>
      <c r="AY170" s="1882">
        <v>23.8</v>
      </c>
      <c r="AZ170" s="1882">
        <v>23.7</v>
      </c>
      <c r="BA170" s="1882">
        <v>23.6</v>
      </c>
      <c r="BB170" s="1882">
        <v>23.5</v>
      </c>
      <c r="BC170" s="1882">
        <v>23.4</v>
      </c>
      <c r="BD170" s="1882">
        <v>23.3</v>
      </c>
      <c r="BE170" s="1882">
        <v>23.2</v>
      </c>
      <c r="BF170" s="1882">
        <v>23.1</v>
      </c>
      <c r="BG170" s="1882">
        <v>23</v>
      </c>
      <c r="BH170" s="1882">
        <v>0.2</v>
      </c>
      <c r="BI170" s="1882"/>
      <c r="BJ170" s="1882"/>
      <c r="BK170" s="1882"/>
      <c r="BL170" s="1882">
        <v>5.9400000000000001E-2</v>
      </c>
      <c r="BM170" s="1882"/>
      <c r="BN170" s="1882">
        <v>1</v>
      </c>
      <c r="BO170" s="1882" t="s">
        <v>8512</v>
      </c>
      <c r="BP170" s="520">
        <v>24.2</v>
      </c>
      <c r="BQ170" s="690">
        <v>24.17</v>
      </c>
      <c r="BR170" s="1882" t="s">
        <v>2459</v>
      </c>
      <c r="BS170" s="1882" t="s">
        <v>8513</v>
      </c>
      <c r="BT170" s="1882">
        <v>0</v>
      </c>
      <c r="BU170" s="1882" t="s">
        <v>8380</v>
      </c>
      <c r="BV170" s="1882">
        <v>0</v>
      </c>
      <c r="BW170" s="1882">
        <v>24.34</v>
      </c>
      <c r="BX170" s="1882" t="s">
        <v>2460</v>
      </c>
      <c r="BY170" s="1882">
        <v>0</v>
      </c>
      <c r="BZ170" s="1882">
        <v>0</v>
      </c>
      <c r="CA170" s="1882" t="s">
        <v>8429</v>
      </c>
      <c r="CB170" s="1882">
        <v>0</v>
      </c>
      <c r="CC170" s="1882">
        <v>24.2</v>
      </c>
      <c r="CD170" s="1882" t="s">
        <v>2459</v>
      </c>
      <c r="CE170" s="1882">
        <v>0</v>
      </c>
      <c r="CF170" s="1882">
        <v>0</v>
      </c>
      <c r="CG170" s="1882" t="s">
        <v>8380</v>
      </c>
      <c r="CH170" s="1882">
        <v>0</v>
      </c>
      <c r="CI170" s="1882">
        <v>24.1</v>
      </c>
      <c r="CJ170" s="1882" t="s">
        <v>2459</v>
      </c>
      <c r="CK170" s="1882">
        <v>0</v>
      </c>
      <c r="CL170" s="1882">
        <v>0</v>
      </c>
      <c r="CM170" s="1882">
        <v>0</v>
      </c>
      <c r="CN170" s="1882">
        <v>0</v>
      </c>
      <c r="CP170" s="1882" t="s">
        <v>9584</v>
      </c>
    </row>
    <row r="171" spans="1:94">
      <c r="A171" s="1882" t="s">
        <v>9536</v>
      </c>
      <c r="B171" s="1882" t="s">
        <v>9585</v>
      </c>
      <c r="C171" s="1882" t="s">
        <v>8394</v>
      </c>
      <c r="D171" s="1882" t="s">
        <v>1626</v>
      </c>
      <c r="E171" s="1882" t="s">
        <v>8503</v>
      </c>
      <c r="F171" s="1882" t="s">
        <v>9581</v>
      </c>
      <c r="G171" s="1882" t="s">
        <v>8280</v>
      </c>
      <c r="H171" s="1882" t="s">
        <v>9586</v>
      </c>
      <c r="I171" s="1882" t="s">
        <v>9587</v>
      </c>
      <c r="J171" s="1882" t="s">
        <v>8519</v>
      </c>
      <c r="K171" s="1882" t="s">
        <v>8509</v>
      </c>
      <c r="L171" s="1882"/>
      <c r="M171" s="1882"/>
      <c r="N171" s="1882" t="s">
        <v>8520</v>
      </c>
      <c r="O171" s="1882" t="s">
        <v>764</v>
      </c>
      <c r="P171" s="1882" t="s">
        <v>8938</v>
      </c>
      <c r="Q171" s="520">
        <v>1</v>
      </c>
      <c r="R171" s="1882" t="s">
        <v>8511</v>
      </c>
      <c r="S171" s="1882">
        <v>162.80000000000001</v>
      </c>
      <c r="T171" s="1882">
        <v>161.19999999999999</v>
      </c>
      <c r="U171" s="1882">
        <v>160</v>
      </c>
      <c r="V171" s="1882">
        <v>158.80000000000001</v>
      </c>
      <c r="W171" s="1882">
        <v>157.69999999999999</v>
      </c>
      <c r="X171" s="1882">
        <v>156.9</v>
      </c>
      <c r="Y171" s="1882"/>
      <c r="Z171" s="1882"/>
      <c r="AA171" s="1882"/>
      <c r="AB171" s="1882"/>
      <c r="AC171" s="1882"/>
      <c r="AD171" s="1882"/>
      <c r="AE171" s="1882"/>
      <c r="AF171" s="1882"/>
      <c r="AG171" s="1882"/>
      <c r="AH171" s="1882">
        <v>0</v>
      </c>
      <c r="AI171" s="1882" t="s">
        <v>2459</v>
      </c>
      <c r="AJ171" s="1882" t="s">
        <v>2459</v>
      </c>
      <c r="AK171" s="1882" t="s">
        <v>2459</v>
      </c>
      <c r="AL171" s="1882" t="s">
        <v>2459</v>
      </c>
      <c r="AM171" s="1882" t="s">
        <v>2459</v>
      </c>
      <c r="AN171" s="1882">
        <v>164.3</v>
      </c>
      <c r="AO171" s="1882">
        <v>163.1</v>
      </c>
      <c r="AP171" s="1882">
        <v>161.80000000000001</v>
      </c>
      <c r="AQ171" s="1882">
        <v>160.69999999999999</v>
      </c>
      <c r="AR171" s="1882">
        <v>159.9</v>
      </c>
      <c r="AS171" s="1882">
        <v>161.4</v>
      </c>
      <c r="AT171" s="1882">
        <v>160.19999999999999</v>
      </c>
      <c r="AU171" s="1882">
        <v>159</v>
      </c>
      <c r="AV171" s="1882">
        <v>157.9</v>
      </c>
      <c r="AW171" s="1882">
        <v>157.1</v>
      </c>
      <c r="AX171" s="1882"/>
      <c r="AY171" s="1882"/>
      <c r="AZ171" s="1882"/>
      <c r="BA171" s="1882"/>
      <c r="BB171" s="1882"/>
      <c r="BC171" s="1882"/>
      <c r="BD171" s="1882"/>
      <c r="BE171" s="1882"/>
      <c r="BF171" s="1882"/>
      <c r="BG171" s="1882"/>
      <c r="BH171" s="1882">
        <v>7.0699999999999999E-2</v>
      </c>
      <c r="BI171" s="1882"/>
      <c r="BJ171" s="1882"/>
      <c r="BK171" s="1882"/>
      <c r="BL171" s="1882"/>
      <c r="BM171" s="1882"/>
      <c r="BN171" s="1882">
        <v>1</v>
      </c>
      <c r="BO171" s="1882" t="s">
        <v>8512</v>
      </c>
      <c r="BP171" s="520">
        <v>161.1</v>
      </c>
      <c r="BQ171" s="690">
        <v>160.9</v>
      </c>
      <c r="BR171" s="1882" t="s">
        <v>2459</v>
      </c>
      <c r="BS171" s="1882" t="s">
        <v>8513</v>
      </c>
      <c r="BT171" s="1882">
        <v>0</v>
      </c>
      <c r="BU171" s="1882" t="s">
        <v>8513</v>
      </c>
      <c r="BV171" s="1882">
        <v>0</v>
      </c>
      <c r="BW171" s="1882">
        <v>159.72999999999999</v>
      </c>
      <c r="BX171" s="1882" t="s">
        <v>2459</v>
      </c>
      <c r="BY171" s="1882">
        <v>0</v>
      </c>
      <c r="BZ171" s="1882">
        <v>0</v>
      </c>
      <c r="CA171" s="1882">
        <v>0</v>
      </c>
      <c r="CB171" s="1882">
        <v>0</v>
      </c>
      <c r="CC171" s="1882">
        <v>158.80000000000001</v>
      </c>
      <c r="CD171" s="1882" t="s">
        <v>2459</v>
      </c>
      <c r="CE171" s="1882">
        <v>0</v>
      </c>
      <c r="CF171" s="1882">
        <v>0</v>
      </c>
      <c r="CG171" s="1882">
        <v>0</v>
      </c>
      <c r="CH171" s="1882">
        <v>0</v>
      </c>
      <c r="CI171" s="1882">
        <v>162.62</v>
      </c>
      <c r="CJ171" s="1882" t="s">
        <v>2459</v>
      </c>
      <c r="CK171" s="1882">
        <v>0</v>
      </c>
      <c r="CL171" s="1882">
        <v>0</v>
      </c>
      <c r="CM171" s="1882">
        <v>0</v>
      </c>
      <c r="CN171" s="1882">
        <v>0</v>
      </c>
      <c r="CP171" s="1882" t="s">
        <v>9588</v>
      </c>
    </row>
    <row r="172" spans="1:94">
      <c r="A172" s="1882" t="s">
        <v>9536</v>
      </c>
      <c r="B172" s="1882" t="s">
        <v>9589</v>
      </c>
      <c r="C172" s="1882" t="s">
        <v>8394</v>
      </c>
      <c r="D172" s="1882" t="s">
        <v>1626</v>
      </c>
      <c r="E172" s="1882" t="s">
        <v>8503</v>
      </c>
      <c r="F172" s="1882" t="s">
        <v>9581</v>
      </c>
      <c r="G172" s="1882" t="s">
        <v>8283</v>
      </c>
      <c r="H172" s="1882" t="s">
        <v>9590</v>
      </c>
      <c r="I172" s="1882" t="s">
        <v>9591</v>
      </c>
      <c r="J172" s="1882" t="s">
        <v>8539</v>
      </c>
      <c r="K172" s="1882"/>
      <c r="L172" s="1882"/>
      <c r="M172" s="1882"/>
      <c r="N172" s="1882" t="s">
        <v>9592</v>
      </c>
      <c r="O172" s="1882" t="s">
        <v>764</v>
      </c>
      <c r="P172" s="1882" t="s">
        <v>9593</v>
      </c>
      <c r="Q172" s="520">
        <v>0</v>
      </c>
      <c r="R172" s="1882" t="s">
        <v>8549</v>
      </c>
      <c r="S172" s="1882">
        <v>6221</v>
      </c>
      <c r="T172" s="1882">
        <v>8000</v>
      </c>
      <c r="U172" s="1882">
        <v>8500</v>
      </c>
      <c r="V172" s="1882">
        <v>9000</v>
      </c>
      <c r="W172" s="1882">
        <v>9500</v>
      </c>
      <c r="X172" s="1882" t="s">
        <v>9594</v>
      </c>
      <c r="Y172" s="1882"/>
      <c r="Z172" s="1882"/>
      <c r="AA172" s="1882"/>
      <c r="AB172" s="1882"/>
      <c r="AC172" s="1882"/>
      <c r="AD172" s="1882"/>
      <c r="AE172" s="1882"/>
      <c r="AF172" s="1882"/>
      <c r="AG172" s="1882"/>
      <c r="AH172" s="1882">
        <v>0</v>
      </c>
      <c r="AI172" s="1882"/>
      <c r="AJ172" s="1882"/>
      <c r="AK172" s="1882"/>
      <c r="AL172" s="1882"/>
      <c r="AM172" s="1882"/>
      <c r="AN172" s="1882"/>
      <c r="AO172" s="1882"/>
      <c r="AP172" s="1882"/>
      <c r="AQ172" s="1882"/>
      <c r="AR172" s="1882"/>
      <c r="AS172" s="1882"/>
      <c r="AT172" s="1882"/>
      <c r="AU172" s="1882"/>
      <c r="AV172" s="1882"/>
      <c r="AW172" s="1882"/>
      <c r="AX172" s="1882"/>
      <c r="AY172" s="1882"/>
      <c r="AZ172" s="1882"/>
      <c r="BA172" s="1882"/>
      <c r="BB172" s="1882"/>
      <c r="BC172" s="1882"/>
      <c r="BD172" s="1882"/>
      <c r="BE172" s="1882"/>
      <c r="BF172" s="1882"/>
      <c r="BG172" s="1882"/>
      <c r="BH172" s="1882"/>
      <c r="BI172" s="1882"/>
      <c r="BJ172" s="1882"/>
      <c r="BK172" s="1882"/>
      <c r="BL172" s="1882"/>
      <c r="BM172" s="1882"/>
      <c r="BN172" s="1882"/>
      <c r="BO172" s="1882"/>
      <c r="BP172" s="520">
        <v>7249</v>
      </c>
      <c r="BQ172" s="693">
        <v>13314</v>
      </c>
      <c r="BR172" s="1882" t="s">
        <v>2459</v>
      </c>
      <c r="BS172" s="1882" t="s">
        <v>8513</v>
      </c>
      <c r="BT172" s="1882">
        <v>0</v>
      </c>
      <c r="BU172" s="1882" t="s">
        <v>8513</v>
      </c>
      <c r="BV172" s="1882">
        <v>0</v>
      </c>
      <c r="BW172" s="1882">
        <v>10703</v>
      </c>
      <c r="BX172" s="1882" t="s">
        <v>2459</v>
      </c>
      <c r="BY172" s="1882">
        <v>0</v>
      </c>
      <c r="BZ172" s="1882">
        <v>0</v>
      </c>
      <c r="CA172" s="1882">
        <v>0</v>
      </c>
      <c r="CB172" s="1882">
        <v>0</v>
      </c>
      <c r="CC172" s="1882">
        <v>9551</v>
      </c>
      <c r="CD172" s="1882" t="s">
        <v>2459</v>
      </c>
      <c r="CE172" s="1882">
        <v>0</v>
      </c>
      <c r="CF172" s="1882">
        <v>0</v>
      </c>
      <c r="CG172" s="1882">
        <v>0</v>
      </c>
      <c r="CH172" s="1882">
        <v>0</v>
      </c>
      <c r="CI172" s="1882">
        <v>11798</v>
      </c>
      <c r="CJ172" s="1882" t="s">
        <v>2459</v>
      </c>
      <c r="CK172" s="1882">
        <v>0</v>
      </c>
      <c r="CL172" s="1882">
        <v>0</v>
      </c>
      <c r="CM172" s="1882">
        <v>0</v>
      </c>
      <c r="CN172" s="1882">
        <v>0</v>
      </c>
      <c r="CP172" s="1882" t="s">
        <v>9595</v>
      </c>
    </row>
    <row r="173" spans="1:94">
      <c r="A173" s="1882" t="s">
        <v>9536</v>
      </c>
      <c r="B173" s="1882" t="s">
        <v>9596</v>
      </c>
      <c r="C173" s="1882" t="s">
        <v>8394</v>
      </c>
      <c r="D173" s="1882" t="s">
        <v>1626</v>
      </c>
      <c r="E173" s="1882" t="s">
        <v>8503</v>
      </c>
      <c r="F173" s="1882" t="s">
        <v>9581</v>
      </c>
      <c r="G173" s="1882" t="s">
        <v>8286</v>
      </c>
      <c r="H173" s="1882" t="s">
        <v>9597</v>
      </c>
      <c r="I173" s="1882" t="s">
        <v>9598</v>
      </c>
      <c r="J173" s="1882" t="s">
        <v>8539</v>
      </c>
      <c r="K173" s="1882"/>
      <c r="L173" s="1882"/>
      <c r="M173" s="1882"/>
      <c r="N173" s="1882" t="s">
        <v>8681</v>
      </c>
      <c r="O173" s="1882" t="s">
        <v>764</v>
      </c>
      <c r="P173" s="1882" t="s">
        <v>9599</v>
      </c>
      <c r="Q173" s="520">
        <v>0</v>
      </c>
      <c r="R173" s="1882" t="s">
        <v>8511</v>
      </c>
      <c r="S173" s="1882">
        <v>529</v>
      </c>
      <c r="T173" s="1882">
        <v>525</v>
      </c>
      <c r="U173" s="1882">
        <v>525</v>
      </c>
      <c r="V173" s="1882">
        <v>525</v>
      </c>
      <c r="W173" s="1882">
        <v>525</v>
      </c>
      <c r="X173" s="1882">
        <v>525</v>
      </c>
      <c r="Y173" s="1882"/>
      <c r="Z173" s="1882"/>
      <c r="AA173" s="1882"/>
      <c r="AB173" s="1882"/>
      <c r="AC173" s="1882"/>
      <c r="AD173" s="1882"/>
      <c r="AE173" s="1882"/>
      <c r="AF173" s="1882"/>
      <c r="AG173" s="1882"/>
      <c r="AH173" s="1882">
        <v>0</v>
      </c>
      <c r="AI173" s="1882"/>
      <c r="AJ173" s="1882"/>
      <c r="AK173" s="1882"/>
      <c r="AL173" s="1882"/>
      <c r="AM173" s="1882"/>
      <c r="AN173" s="1882"/>
      <c r="AO173" s="1882"/>
      <c r="AP173" s="1882"/>
      <c r="AQ173" s="1882"/>
      <c r="AR173" s="1882"/>
      <c r="AS173" s="1882"/>
      <c r="AT173" s="1882"/>
      <c r="AU173" s="1882"/>
      <c r="AV173" s="1882"/>
      <c r="AW173" s="1882"/>
      <c r="AX173" s="1882"/>
      <c r="AY173" s="1882"/>
      <c r="AZ173" s="1882"/>
      <c r="BA173" s="1882"/>
      <c r="BB173" s="1882"/>
      <c r="BC173" s="1882"/>
      <c r="BD173" s="1882"/>
      <c r="BE173" s="1882"/>
      <c r="BF173" s="1882"/>
      <c r="BG173" s="1882"/>
      <c r="BH173" s="1882"/>
      <c r="BI173" s="1882"/>
      <c r="BJ173" s="1882"/>
      <c r="BK173" s="1882"/>
      <c r="BL173" s="1882"/>
      <c r="BM173" s="1882"/>
      <c r="BN173" s="1882"/>
      <c r="BO173" s="1882"/>
      <c r="BP173" s="520">
        <v>509</v>
      </c>
      <c r="BQ173" s="693">
        <v>470</v>
      </c>
      <c r="BR173" s="1882" t="s">
        <v>2459</v>
      </c>
      <c r="BS173" s="1882" t="s">
        <v>8513</v>
      </c>
      <c r="BT173" s="1882">
        <v>0</v>
      </c>
      <c r="BU173" s="1882" t="s">
        <v>8513</v>
      </c>
      <c r="BV173" s="1882">
        <v>0</v>
      </c>
      <c r="BW173" s="1882">
        <v>420</v>
      </c>
      <c r="BX173" s="1882" t="s">
        <v>2459</v>
      </c>
      <c r="BY173" s="1882">
        <v>0</v>
      </c>
      <c r="BZ173" s="1882">
        <v>0</v>
      </c>
      <c r="CA173" s="1882">
        <v>0</v>
      </c>
      <c r="CB173" s="1882">
        <v>0</v>
      </c>
      <c r="CC173" s="1882">
        <v>376</v>
      </c>
      <c r="CD173" s="1882" t="s">
        <v>2459</v>
      </c>
      <c r="CE173" s="1882">
        <v>0</v>
      </c>
      <c r="CF173" s="1882">
        <v>0</v>
      </c>
      <c r="CG173" s="1882">
        <v>0</v>
      </c>
      <c r="CH173" s="1882">
        <v>0</v>
      </c>
      <c r="CI173" s="1882">
        <v>91</v>
      </c>
      <c r="CJ173" s="1882" t="s">
        <v>2459</v>
      </c>
      <c r="CK173" s="1882">
        <v>0</v>
      </c>
      <c r="CL173" s="1882">
        <v>0</v>
      </c>
      <c r="CM173" s="1882">
        <v>0</v>
      </c>
      <c r="CN173" s="1882">
        <v>0</v>
      </c>
      <c r="CP173" s="1882" t="s">
        <v>9600</v>
      </c>
    </row>
    <row r="174" spans="1:94">
      <c r="A174" s="1882" t="s">
        <v>9536</v>
      </c>
      <c r="B174" s="1882" t="s">
        <v>9601</v>
      </c>
      <c r="C174" s="1882" t="s">
        <v>8394</v>
      </c>
      <c r="D174" s="1882" t="s">
        <v>1626</v>
      </c>
      <c r="E174" s="1882" t="s">
        <v>8503</v>
      </c>
      <c r="F174" s="1882" t="s">
        <v>9581</v>
      </c>
      <c r="G174" s="1882" t="s">
        <v>8289</v>
      </c>
      <c r="H174" s="1882" t="s">
        <v>9602</v>
      </c>
      <c r="I174" s="1882" t="s">
        <v>9603</v>
      </c>
      <c r="J174" s="1882" t="s">
        <v>8539</v>
      </c>
      <c r="K174" s="1882"/>
      <c r="L174" s="1882"/>
      <c r="M174" s="1882"/>
      <c r="N174" s="1882" t="s">
        <v>8760</v>
      </c>
      <c r="O174" s="1882" t="s">
        <v>764</v>
      </c>
      <c r="P174" s="1882" t="s">
        <v>9604</v>
      </c>
      <c r="Q174" s="520">
        <v>1</v>
      </c>
      <c r="R174" s="1882" t="s">
        <v>8511</v>
      </c>
      <c r="S174" s="1882">
        <v>0.3</v>
      </c>
      <c r="T174" s="1882">
        <v>0</v>
      </c>
      <c r="U174" s="1882">
        <v>0</v>
      </c>
      <c r="V174" s="1882">
        <v>0</v>
      </c>
      <c r="W174" s="1882">
        <v>0</v>
      </c>
      <c r="X174" s="1882">
        <v>0</v>
      </c>
      <c r="Y174" s="1882"/>
      <c r="Z174" s="1882"/>
      <c r="AA174" s="1882"/>
      <c r="AB174" s="1882"/>
      <c r="AC174" s="1882"/>
      <c r="AD174" s="1882"/>
      <c r="AE174" s="1882" t="s">
        <v>2459</v>
      </c>
      <c r="AF174" s="1882"/>
      <c r="AG174" s="1882"/>
      <c r="AH174" s="1882">
        <v>0</v>
      </c>
      <c r="AI174" s="1882"/>
      <c r="AJ174" s="1882"/>
      <c r="AK174" s="1882"/>
      <c r="AL174" s="1882"/>
      <c r="AM174" s="1882"/>
      <c r="AN174" s="1882"/>
      <c r="AO174" s="1882"/>
      <c r="AP174" s="1882"/>
      <c r="AQ174" s="1882"/>
      <c r="AR174" s="1882"/>
      <c r="AS174" s="1882"/>
      <c r="AT174" s="1882"/>
      <c r="AU174" s="1882"/>
      <c r="AV174" s="1882"/>
      <c r="AW174" s="1882"/>
      <c r="AX174" s="1882"/>
      <c r="AY174" s="1882"/>
      <c r="AZ174" s="1882"/>
      <c r="BA174" s="1882"/>
      <c r="BB174" s="1882"/>
      <c r="BC174" s="1882"/>
      <c r="BD174" s="1882"/>
      <c r="BE174" s="1882"/>
      <c r="BF174" s="1882"/>
      <c r="BG174" s="1882"/>
      <c r="BH174" s="1882"/>
      <c r="BI174" s="1882"/>
      <c r="BJ174" s="1882"/>
      <c r="BK174" s="1882"/>
      <c r="BL174" s="1882"/>
      <c r="BM174" s="1882"/>
      <c r="BN174" s="1882"/>
      <c r="BO174" s="1882"/>
      <c r="BP174" s="520">
        <v>0.3</v>
      </c>
      <c r="BQ174" s="690">
        <v>0.6</v>
      </c>
      <c r="BR174" s="1882" t="s">
        <v>2460</v>
      </c>
      <c r="BS174" s="1882" t="s">
        <v>8513</v>
      </c>
      <c r="BT174" s="1882">
        <v>0</v>
      </c>
      <c r="BU174" s="1882" t="s">
        <v>8513</v>
      </c>
      <c r="BV174" s="1882">
        <v>0</v>
      </c>
      <c r="BW174" s="1882">
        <v>0.3</v>
      </c>
      <c r="BX174" s="1882" t="s">
        <v>2460</v>
      </c>
      <c r="BY174" s="1882">
        <v>0</v>
      </c>
      <c r="BZ174" s="1882">
        <v>0</v>
      </c>
      <c r="CA174" s="1882">
        <v>0</v>
      </c>
      <c r="CB174" s="1882">
        <v>0</v>
      </c>
      <c r="CC174" s="1882">
        <v>0.6</v>
      </c>
      <c r="CD174" s="1882" t="s">
        <v>2460</v>
      </c>
      <c r="CE174" s="1882">
        <v>0</v>
      </c>
      <c r="CF174" s="1882">
        <v>0</v>
      </c>
      <c r="CG174" s="1882">
        <v>0</v>
      </c>
      <c r="CH174" s="1882">
        <v>0</v>
      </c>
      <c r="CI174" s="1882">
        <v>0</v>
      </c>
      <c r="CJ174" s="1882" t="s">
        <v>2459</v>
      </c>
      <c r="CK174" s="1882">
        <v>0</v>
      </c>
      <c r="CL174" s="1882">
        <v>0</v>
      </c>
      <c r="CM174" s="1882">
        <v>0</v>
      </c>
      <c r="CN174" s="1882">
        <v>0</v>
      </c>
      <c r="CP174" s="1882" t="s">
        <v>9605</v>
      </c>
    </row>
    <row r="175" spans="1:94">
      <c r="A175" s="1882" t="s">
        <v>9536</v>
      </c>
      <c r="B175" s="1882" t="s">
        <v>9606</v>
      </c>
      <c r="C175" s="1882" t="s">
        <v>8394</v>
      </c>
      <c r="D175" s="1882" t="s">
        <v>1626</v>
      </c>
      <c r="E175" s="1882" t="s">
        <v>8503</v>
      </c>
      <c r="F175" s="1882" t="s">
        <v>9581</v>
      </c>
      <c r="G175" s="1882" t="s">
        <v>9607</v>
      </c>
      <c r="H175" s="1882" t="s">
        <v>9608</v>
      </c>
      <c r="I175" s="1882" t="s">
        <v>9609</v>
      </c>
      <c r="J175" s="1882" t="s">
        <v>8539</v>
      </c>
      <c r="K175" s="1882"/>
      <c r="L175" s="1882"/>
      <c r="M175" s="1882"/>
      <c r="N175" s="1882" t="s">
        <v>8673</v>
      </c>
      <c r="O175" s="1882" t="s">
        <v>764</v>
      </c>
      <c r="P175" s="1882" t="s">
        <v>9610</v>
      </c>
      <c r="Q175" s="520">
        <v>0</v>
      </c>
      <c r="R175" s="1882" t="s">
        <v>8549</v>
      </c>
      <c r="S175" s="1882">
        <v>0</v>
      </c>
      <c r="T175" s="1882">
        <v>0</v>
      </c>
      <c r="U175" s="1882">
        <v>0</v>
      </c>
      <c r="V175" s="1882">
        <v>0</v>
      </c>
      <c r="W175" s="1882">
        <v>0</v>
      </c>
      <c r="X175" s="1882">
        <v>14</v>
      </c>
      <c r="Y175" s="1882"/>
      <c r="Z175" s="1882"/>
      <c r="AA175" s="1882"/>
      <c r="AB175" s="1882"/>
      <c r="AC175" s="1882"/>
      <c r="AD175" s="1882"/>
      <c r="AE175" s="1882"/>
      <c r="AF175" s="1882" t="s">
        <v>2459</v>
      </c>
      <c r="AG175" s="1882"/>
      <c r="AH175" s="1882">
        <v>0</v>
      </c>
      <c r="AI175" s="1882"/>
      <c r="AJ175" s="1882"/>
      <c r="AK175" s="1882"/>
      <c r="AL175" s="1882"/>
      <c r="AM175" s="1882"/>
      <c r="AN175" s="1882"/>
      <c r="AO175" s="1882"/>
      <c r="AP175" s="1882"/>
      <c r="AQ175" s="1882"/>
      <c r="AR175" s="1882"/>
      <c r="AS175" s="1882"/>
      <c r="AT175" s="1882"/>
      <c r="AU175" s="1882"/>
      <c r="AV175" s="1882"/>
      <c r="AW175" s="1882"/>
      <c r="AX175" s="1882"/>
      <c r="AY175" s="1882"/>
      <c r="AZ175" s="1882"/>
      <c r="BA175" s="1882"/>
      <c r="BB175" s="1882"/>
      <c r="BC175" s="1882"/>
      <c r="BD175" s="1882"/>
      <c r="BE175" s="1882"/>
      <c r="BF175" s="1882"/>
      <c r="BG175" s="1882"/>
      <c r="BH175" s="1882"/>
      <c r="BI175" s="1882"/>
      <c r="BJ175" s="1882"/>
      <c r="BK175" s="1882"/>
      <c r="BL175" s="1882"/>
      <c r="BM175" s="1882"/>
      <c r="BN175" s="1882"/>
      <c r="BO175" s="1882"/>
      <c r="BP175" s="520">
        <v>0</v>
      </c>
      <c r="BQ175" s="693">
        <v>0</v>
      </c>
      <c r="BR175" s="1882" t="s">
        <v>2459</v>
      </c>
      <c r="BS175" s="1882" t="s">
        <v>8513</v>
      </c>
      <c r="BT175" s="1882">
        <v>0</v>
      </c>
      <c r="BU175" s="1882" t="s">
        <v>8513</v>
      </c>
      <c r="BV175" s="1882">
        <v>0</v>
      </c>
      <c r="BW175" s="1882">
        <v>0</v>
      </c>
      <c r="BX175" s="1882" t="s">
        <v>2459</v>
      </c>
      <c r="BY175" s="1882">
        <v>0</v>
      </c>
      <c r="BZ175" s="1882">
        <v>0</v>
      </c>
      <c r="CA175" s="1882">
        <v>0</v>
      </c>
      <c r="CB175" s="1882">
        <v>0</v>
      </c>
      <c r="CC175" s="1882">
        <v>0</v>
      </c>
      <c r="CD175" s="1882" t="s">
        <v>2459</v>
      </c>
      <c r="CE175" s="1882">
        <v>0</v>
      </c>
      <c r="CF175" s="1882">
        <v>0</v>
      </c>
      <c r="CG175" s="1882">
        <v>0</v>
      </c>
      <c r="CH175" s="1882">
        <v>0</v>
      </c>
      <c r="CI175" s="1882">
        <v>0</v>
      </c>
      <c r="CJ175" s="1882" t="s">
        <v>2459</v>
      </c>
      <c r="CK175" s="1882">
        <v>0</v>
      </c>
      <c r="CL175" s="1882">
        <v>0</v>
      </c>
      <c r="CM175" s="1882">
        <v>0</v>
      </c>
      <c r="CN175" s="1882">
        <v>0</v>
      </c>
      <c r="CP175" s="1882" t="s">
        <v>9611</v>
      </c>
    </row>
    <row r="176" spans="1:94">
      <c r="A176" s="1882" t="s">
        <v>9536</v>
      </c>
      <c r="B176" s="1882" t="s">
        <v>9612</v>
      </c>
      <c r="C176" s="1882" t="s">
        <v>8394</v>
      </c>
      <c r="D176" s="1882" t="s">
        <v>8584</v>
      </c>
      <c r="E176" s="1882" t="s">
        <v>8585</v>
      </c>
      <c r="F176" s="1882" t="s">
        <v>9613</v>
      </c>
      <c r="G176" s="1882" t="s">
        <v>7236</v>
      </c>
      <c r="H176" s="1882" t="s">
        <v>9614</v>
      </c>
      <c r="I176" s="1882" t="s">
        <v>9615</v>
      </c>
      <c r="J176" s="1882" t="s">
        <v>8539</v>
      </c>
      <c r="K176" s="1882"/>
      <c r="L176" s="1882"/>
      <c r="M176" s="1882"/>
      <c r="N176" s="1882" t="s">
        <v>8599</v>
      </c>
      <c r="O176" s="1882" t="s">
        <v>764</v>
      </c>
      <c r="P176" s="1882" t="s">
        <v>9616</v>
      </c>
      <c r="Q176" s="520">
        <v>0</v>
      </c>
      <c r="R176" s="1882" t="s">
        <v>8549</v>
      </c>
      <c r="S176" s="1882">
        <v>2000</v>
      </c>
      <c r="T176" s="1882">
        <v>5000</v>
      </c>
      <c r="U176" s="1882">
        <v>5000</v>
      </c>
      <c r="V176" s="1882">
        <v>5000</v>
      </c>
      <c r="W176" s="1882">
        <v>5000</v>
      </c>
      <c r="X176" s="1882">
        <v>5000</v>
      </c>
      <c r="Y176" s="1882"/>
      <c r="Z176" s="1882"/>
      <c r="AA176" s="1882"/>
      <c r="AB176" s="1882"/>
      <c r="AC176" s="1882"/>
      <c r="AD176" s="1882"/>
      <c r="AE176" s="1882"/>
      <c r="AF176" s="1882"/>
      <c r="AG176" s="1882"/>
      <c r="AH176" s="1882">
        <v>0</v>
      </c>
      <c r="AI176" s="1882"/>
      <c r="AJ176" s="1882"/>
      <c r="AK176" s="1882"/>
      <c r="AL176" s="1882"/>
      <c r="AM176" s="1882"/>
      <c r="AN176" s="1882"/>
      <c r="AO176" s="1882"/>
      <c r="AP176" s="1882"/>
      <c r="AQ176" s="1882"/>
      <c r="AR176" s="1882"/>
      <c r="AS176" s="1882"/>
      <c r="AT176" s="1882"/>
      <c r="AU176" s="1882"/>
      <c r="AV176" s="1882"/>
      <c r="AW176" s="1882"/>
      <c r="AX176" s="1882"/>
      <c r="AY176" s="1882"/>
      <c r="AZ176" s="1882"/>
      <c r="BA176" s="1882"/>
      <c r="BB176" s="1882"/>
      <c r="BC176" s="1882"/>
      <c r="BD176" s="1882"/>
      <c r="BE176" s="1882"/>
      <c r="BF176" s="1882"/>
      <c r="BG176" s="1882"/>
      <c r="BH176" s="1882"/>
      <c r="BI176" s="1882"/>
      <c r="BJ176" s="1882"/>
      <c r="BK176" s="1882"/>
      <c r="BL176" s="1882"/>
      <c r="BM176" s="1882"/>
      <c r="BN176" s="1882"/>
      <c r="BO176" s="1882"/>
      <c r="BP176" s="520">
        <v>2851</v>
      </c>
      <c r="BQ176" s="693">
        <v>5686</v>
      </c>
      <c r="BR176" s="1882" t="s">
        <v>2459</v>
      </c>
      <c r="BS176" s="1882" t="s">
        <v>8513</v>
      </c>
      <c r="BT176" s="1882">
        <v>0</v>
      </c>
      <c r="BU176" s="1882" t="s">
        <v>8513</v>
      </c>
      <c r="BV176" s="1882">
        <v>0</v>
      </c>
      <c r="BW176" s="1882">
        <v>5809</v>
      </c>
      <c r="BX176" s="1882" t="s">
        <v>2459</v>
      </c>
      <c r="BY176" s="1882">
        <v>0</v>
      </c>
      <c r="BZ176" s="1882">
        <v>0</v>
      </c>
      <c r="CA176" s="1882">
        <v>0</v>
      </c>
      <c r="CB176" s="1882">
        <v>0</v>
      </c>
      <c r="CC176" s="1882">
        <v>8150</v>
      </c>
      <c r="CD176" s="1882" t="s">
        <v>2459</v>
      </c>
      <c r="CE176" s="1882">
        <v>0</v>
      </c>
      <c r="CF176" s="1882">
        <v>0</v>
      </c>
      <c r="CG176" s="1882">
        <v>0</v>
      </c>
      <c r="CH176" s="1882">
        <v>0</v>
      </c>
      <c r="CI176" s="1882">
        <v>10401</v>
      </c>
      <c r="CJ176" s="1882" t="s">
        <v>2459</v>
      </c>
      <c r="CK176" s="1882">
        <v>0</v>
      </c>
      <c r="CL176" s="1882">
        <v>0</v>
      </c>
      <c r="CM176" s="1882">
        <v>0</v>
      </c>
      <c r="CN176" s="1882">
        <v>0</v>
      </c>
      <c r="CP176" s="1882" t="s">
        <v>9617</v>
      </c>
    </row>
    <row r="177" spans="1:94">
      <c r="A177" s="1882" t="s">
        <v>9536</v>
      </c>
      <c r="B177" s="1882" t="s">
        <v>9618</v>
      </c>
      <c r="C177" s="1882" t="s">
        <v>8394</v>
      </c>
      <c r="D177" s="1882" t="s">
        <v>8584</v>
      </c>
      <c r="E177" s="1882" t="s">
        <v>8585</v>
      </c>
      <c r="F177" s="1882" t="s">
        <v>9613</v>
      </c>
      <c r="G177" s="1882" t="s">
        <v>7237</v>
      </c>
      <c r="H177" s="1882" t="s">
        <v>9619</v>
      </c>
      <c r="I177" s="1882" t="s">
        <v>9620</v>
      </c>
      <c r="J177" s="1882" t="s">
        <v>8539</v>
      </c>
      <c r="K177" s="1882"/>
      <c r="L177" s="1882"/>
      <c r="M177" s="1882"/>
      <c r="N177" s="1882" t="s">
        <v>8599</v>
      </c>
      <c r="O177" s="1882" t="s">
        <v>732</v>
      </c>
      <c r="P177" s="1882" t="s">
        <v>9621</v>
      </c>
      <c r="Q177" s="520">
        <v>2</v>
      </c>
      <c r="R177" s="1882" t="s">
        <v>8511</v>
      </c>
      <c r="S177" s="1882">
        <v>0.83</v>
      </c>
      <c r="T177" s="1882" t="s">
        <v>9622</v>
      </c>
      <c r="U177" s="1882" t="s">
        <v>9622</v>
      </c>
      <c r="V177" s="1882" t="s">
        <v>9622</v>
      </c>
      <c r="W177" s="1882" t="s">
        <v>9622</v>
      </c>
      <c r="X177" s="1882" t="s">
        <v>9622</v>
      </c>
      <c r="Y177" s="1882"/>
      <c r="Z177" s="1882"/>
      <c r="AA177" s="1882"/>
      <c r="AB177" s="1882"/>
      <c r="AC177" s="1882"/>
      <c r="AD177" s="1882"/>
      <c r="AE177" s="1882"/>
      <c r="AF177" s="1882"/>
      <c r="AG177" s="1882"/>
      <c r="AH177" s="1882">
        <v>0</v>
      </c>
      <c r="AI177" s="1882"/>
      <c r="AJ177" s="1882"/>
      <c r="AK177" s="1882"/>
      <c r="AL177" s="1882"/>
      <c r="AM177" s="1882"/>
      <c r="AN177" s="1882"/>
      <c r="AO177" s="1882"/>
      <c r="AP177" s="1882"/>
      <c r="AQ177" s="1882"/>
      <c r="AR177" s="1882"/>
      <c r="AS177" s="1882"/>
      <c r="AT177" s="1882"/>
      <c r="AU177" s="1882"/>
      <c r="AV177" s="1882"/>
      <c r="AW177" s="1882"/>
      <c r="AX177" s="1882"/>
      <c r="AY177" s="1882"/>
      <c r="AZ177" s="1882"/>
      <c r="BA177" s="1882"/>
      <c r="BB177" s="1882"/>
      <c r="BC177" s="1882"/>
      <c r="BD177" s="1882"/>
      <c r="BE177" s="1882"/>
      <c r="BF177" s="1882"/>
      <c r="BG177" s="1882"/>
      <c r="BH177" s="1882"/>
      <c r="BI177" s="1882"/>
      <c r="BJ177" s="1882"/>
      <c r="BK177" s="1882"/>
      <c r="BL177" s="1882"/>
      <c r="BM177" s="1882"/>
      <c r="BN177" s="1882"/>
      <c r="BO177" s="1882"/>
      <c r="BP177" s="520">
        <v>0.9</v>
      </c>
      <c r="BQ177" s="694">
        <v>0.75</v>
      </c>
      <c r="BR177" s="1882" t="s">
        <v>2459</v>
      </c>
      <c r="BS177" s="1882" t="s">
        <v>8513</v>
      </c>
      <c r="BT177" s="1882">
        <v>0</v>
      </c>
      <c r="BU177" s="1882" t="s">
        <v>8513</v>
      </c>
      <c r="BV177" s="1882">
        <v>0</v>
      </c>
      <c r="BW177" s="1882">
        <v>0.67</v>
      </c>
      <c r="BX177" s="1882" t="s">
        <v>2459</v>
      </c>
      <c r="BY177" s="1882">
        <v>0</v>
      </c>
      <c r="BZ177" s="1882">
        <v>0</v>
      </c>
      <c r="CA177" s="1882">
        <v>0</v>
      </c>
      <c r="CB177" s="1882">
        <v>0</v>
      </c>
      <c r="CC177" s="1882">
        <v>0.64</v>
      </c>
      <c r="CD177" s="1882" t="s">
        <v>2459</v>
      </c>
      <c r="CE177" s="1882">
        <v>0</v>
      </c>
      <c r="CF177" s="1882">
        <v>0</v>
      </c>
      <c r="CG177" s="1882">
        <v>0</v>
      </c>
      <c r="CH177" s="1882">
        <v>0</v>
      </c>
      <c r="CI177" s="1882">
        <v>1.01</v>
      </c>
      <c r="CJ177" s="1882" t="s">
        <v>2460</v>
      </c>
      <c r="CK177" s="1882">
        <v>0</v>
      </c>
      <c r="CL177" s="1882">
        <v>0</v>
      </c>
      <c r="CM177" s="1882">
        <v>0</v>
      </c>
      <c r="CN177" s="1882">
        <v>0</v>
      </c>
      <c r="CP177" s="1882" t="s">
        <v>9623</v>
      </c>
    </row>
    <row r="178" spans="1:94">
      <c r="A178" s="1882" t="s">
        <v>9536</v>
      </c>
      <c r="B178" s="1882" t="s">
        <v>9624</v>
      </c>
      <c r="C178" s="1882" t="s">
        <v>8394</v>
      </c>
      <c r="D178" s="1882" t="s">
        <v>8584</v>
      </c>
      <c r="E178" s="1882" t="s">
        <v>8585</v>
      </c>
      <c r="F178" s="1882" t="s">
        <v>9613</v>
      </c>
      <c r="G178" s="1882" t="s">
        <v>8250</v>
      </c>
      <c r="H178" s="1882" t="s">
        <v>9625</v>
      </c>
      <c r="I178" s="1882" t="s">
        <v>9626</v>
      </c>
      <c r="J178" s="1882" t="s">
        <v>8539</v>
      </c>
      <c r="K178" s="1882"/>
      <c r="L178" s="1882"/>
      <c r="M178" s="1882"/>
      <c r="N178" s="1882" t="s">
        <v>8599</v>
      </c>
      <c r="O178" s="1882" t="s">
        <v>732</v>
      </c>
      <c r="P178" s="1882" t="s">
        <v>8696</v>
      </c>
      <c r="Q178" s="520">
        <v>0</v>
      </c>
      <c r="R178" s="1882" t="s">
        <v>8511</v>
      </c>
      <c r="S178" s="1882">
        <v>17</v>
      </c>
      <c r="T178" s="1882" t="s">
        <v>9627</v>
      </c>
      <c r="U178" s="1882" t="s">
        <v>9627</v>
      </c>
      <c r="V178" s="1882" t="s">
        <v>9627</v>
      </c>
      <c r="W178" s="1882" t="s">
        <v>9627</v>
      </c>
      <c r="X178" s="1882" t="s">
        <v>9627</v>
      </c>
      <c r="Y178" s="1882"/>
      <c r="Z178" s="1882"/>
      <c r="AA178" s="1882"/>
      <c r="AB178" s="1882"/>
      <c r="AC178" s="1882"/>
      <c r="AD178" s="1882"/>
      <c r="AE178" s="1882"/>
      <c r="AF178" s="1882"/>
      <c r="AG178" s="1882"/>
      <c r="AH178" s="1882">
        <v>0</v>
      </c>
      <c r="AI178" s="1882"/>
      <c r="AJ178" s="1882"/>
      <c r="AK178" s="1882"/>
      <c r="AL178" s="1882"/>
      <c r="AM178" s="1882"/>
      <c r="AN178" s="1882"/>
      <c r="AO178" s="1882"/>
      <c r="AP178" s="1882"/>
      <c r="AQ178" s="1882"/>
      <c r="AR178" s="1882"/>
      <c r="AS178" s="1882"/>
      <c r="AT178" s="1882"/>
      <c r="AU178" s="1882"/>
      <c r="AV178" s="1882"/>
      <c r="AW178" s="1882"/>
      <c r="AX178" s="1882"/>
      <c r="AY178" s="1882"/>
      <c r="AZ178" s="1882"/>
      <c r="BA178" s="1882"/>
      <c r="BB178" s="1882"/>
      <c r="BC178" s="1882"/>
      <c r="BD178" s="1882"/>
      <c r="BE178" s="1882"/>
      <c r="BF178" s="1882"/>
      <c r="BG178" s="1882"/>
      <c r="BH178" s="1882"/>
      <c r="BI178" s="1882"/>
      <c r="BJ178" s="1882"/>
      <c r="BK178" s="1882"/>
      <c r="BL178" s="1882"/>
      <c r="BM178" s="1882"/>
      <c r="BN178" s="1882"/>
      <c r="BO178" s="1882"/>
      <c r="BP178" s="520">
        <v>9</v>
      </c>
      <c r="BQ178" s="693">
        <v>9</v>
      </c>
      <c r="BR178" s="1882" t="s">
        <v>2459</v>
      </c>
      <c r="BS178" s="1882" t="s">
        <v>8513</v>
      </c>
      <c r="BT178" s="1882">
        <v>0</v>
      </c>
      <c r="BU178" s="1882" t="s">
        <v>8513</v>
      </c>
      <c r="BV178" s="1882">
        <v>0</v>
      </c>
      <c r="BW178" s="1882">
        <v>6.3</v>
      </c>
      <c r="BX178" s="1882" t="s">
        <v>2459</v>
      </c>
      <c r="BY178" s="1882">
        <v>0</v>
      </c>
      <c r="BZ178" s="1882">
        <v>0</v>
      </c>
      <c r="CA178" s="1882">
        <v>0</v>
      </c>
      <c r="CB178" s="1882">
        <v>0</v>
      </c>
      <c r="CC178" s="1882">
        <v>9</v>
      </c>
      <c r="CD178" s="1882" t="s">
        <v>2459</v>
      </c>
      <c r="CE178" s="1882">
        <v>0</v>
      </c>
      <c r="CF178" s="1882">
        <v>0</v>
      </c>
      <c r="CG178" s="1882">
        <v>0</v>
      </c>
      <c r="CH178" s="1882">
        <v>0</v>
      </c>
      <c r="CI178" s="1882">
        <v>7.8</v>
      </c>
      <c r="CJ178" s="1882" t="s">
        <v>2459</v>
      </c>
      <c r="CK178" s="1882">
        <v>0</v>
      </c>
      <c r="CL178" s="1882">
        <v>0</v>
      </c>
      <c r="CM178" s="1882">
        <v>0</v>
      </c>
      <c r="CN178" s="1882">
        <v>0</v>
      </c>
      <c r="CP178" s="1882" t="s">
        <v>9628</v>
      </c>
    </row>
    <row r="179" spans="1:94">
      <c r="A179" s="1882" t="s">
        <v>9536</v>
      </c>
      <c r="B179" s="1882" t="s">
        <v>9629</v>
      </c>
      <c r="C179" s="1882" t="s">
        <v>8394</v>
      </c>
      <c r="D179" s="1882" t="s">
        <v>8584</v>
      </c>
      <c r="E179" s="1882" t="s">
        <v>8585</v>
      </c>
      <c r="F179" s="1882" t="s">
        <v>9630</v>
      </c>
      <c r="G179" s="1882" t="s">
        <v>8261</v>
      </c>
      <c r="H179" s="1882" t="s">
        <v>9631</v>
      </c>
      <c r="I179" s="1882" t="s">
        <v>9632</v>
      </c>
      <c r="J179" s="1882" t="s">
        <v>8539</v>
      </c>
      <c r="K179" s="1882"/>
      <c r="L179" s="1882"/>
      <c r="M179" s="1882"/>
      <c r="N179" s="1882" t="s">
        <v>8695</v>
      </c>
      <c r="O179" s="1882" t="s">
        <v>732</v>
      </c>
      <c r="P179" s="1882" t="s">
        <v>8696</v>
      </c>
      <c r="Q179" s="520">
        <v>1</v>
      </c>
      <c r="R179" s="1882" t="s">
        <v>8549</v>
      </c>
      <c r="S179" s="1882">
        <v>88</v>
      </c>
      <c r="T179" s="1882">
        <v>89</v>
      </c>
      <c r="U179" s="1882">
        <v>89.5</v>
      </c>
      <c r="V179" s="1882">
        <v>90</v>
      </c>
      <c r="W179" s="1882">
        <v>90</v>
      </c>
      <c r="X179" s="1882">
        <v>91</v>
      </c>
      <c r="Y179" s="1882"/>
      <c r="Z179" s="1882"/>
      <c r="AA179" s="1882"/>
      <c r="AB179" s="1882"/>
      <c r="AC179" s="1882"/>
      <c r="AD179" s="1882"/>
      <c r="AE179" s="1882"/>
      <c r="AF179" s="1882"/>
      <c r="AG179" s="1882"/>
      <c r="AH179" s="1882">
        <v>0</v>
      </c>
      <c r="AI179" s="1882"/>
      <c r="AJ179" s="1882"/>
      <c r="AK179" s="1882"/>
      <c r="AL179" s="1882"/>
      <c r="AM179" s="1882"/>
      <c r="AN179" s="1882"/>
      <c r="AO179" s="1882"/>
      <c r="AP179" s="1882"/>
      <c r="AQ179" s="1882"/>
      <c r="AR179" s="1882"/>
      <c r="AS179" s="1882"/>
      <c r="AT179" s="1882"/>
      <c r="AU179" s="1882"/>
      <c r="AV179" s="1882"/>
      <c r="AW179" s="1882"/>
      <c r="AX179" s="1882"/>
      <c r="AY179" s="1882"/>
      <c r="AZ179" s="1882"/>
      <c r="BA179" s="1882"/>
      <c r="BB179" s="1882"/>
      <c r="BC179" s="1882"/>
      <c r="BD179" s="1882"/>
      <c r="BE179" s="1882"/>
      <c r="BF179" s="1882"/>
      <c r="BG179" s="1882"/>
      <c r="BH179" s="1882"/>
      <c r="BI179" s="1882"/>
      <c r="BJ179" s="1882"/>
      <c r="BK179" s="1882"/>
      <c r="BL179" s="1882"/>
      <c r="BM179" s="1882"/>
      <c r="BN179" s="1882"/>
      <c r="BO179" s="1882"/>
      <c r="BP179" s="520">
        <v>89</v>
      </c>
      <c r="BQ179" s="690">
        <v>91.5</v>
      </c>
      <c r="BR179" s="1882" t="s">
        <v>2459</v>
      </c>
      <c r="BS179" s="1882" t="s">
        <v>8513</v>
      </c>
      <c r="BT179" s="1882">
        <v>0</v>
      </c>
      <c r="BU179" s="1882" t="s">
        <v>8513</v>
      </c>
      <c r="BV179" s="1882">
        <v>0</v>
      </c>
      <c r="BW179" s="1882">
        <v>92.3</v>
      </c>
      <c r="BX179" s="1882" t="s">
        <v>2459</v>
      </c>
      <c r="BY179" s="1882">
        <v>0</v>
      </c>
      <c r="BZ179" s="1882">
        <v>0</v>
      </c>
      <c r="CA179" s="1882">
        <v>0</v>
      </c>
      <c r="CB179" s="1882">
        <v>0</v>
      </c>
      <c r="CC179" s="1882">
        <v>92</v>
      </c>
      <c r="CD179" s="1882" t="s">
        <v>2459</v>
      </c>
      <c r="CE179" s="1882">
        <v>0</v>
      </c>
      <c r="CF179" s="1882">
        <v>0</v>
      </c>
      <c r="CG179" s="1882">
        <v>0</v>
      </c>
      <c r="CH179" s="1882">
        <v>0</v>
      </c>
      <c r="CI179" s="1882">
        <v>91.5</v>
      </c>
      <c r="CJ179" s="1882" t="s">
        <v>2459</v>
      </c>
      <c r="CK179" s="1882">
        <v>0</v>
      </c>
      <c r="CL179" s="1882">
        <v>0</v>
      </c>
      <c r="CM179" s="1882">
        <v>0</v>
      </c>
      <c r="CN179" s="1882">
        <v>0</v>
      </c>
      <c r="CP179" s="1882" t="s">
        <v>9633</v>
      </c>
    </row>
    <row r="180" spans="1:94">
      <c r="A180" s="1882" t="s">
        <v>9536</v>
      </c>
      <c r="B180" s="1882" t="s">
        <v>9634</v>
      </c>
      <c r="C180" s="1882" t="s">
        <v>8394</v>
      </c>
      <c r="D180" s="1882" t="s">
        <v>8584</v>
      </c>
      <c r="E180" s="1882" t="s">
        <v>8585</v>
      </c>
      <c r="F180" s="1882" t="s">
        <v>9630</v>
      </c>
      <c r="G180" s="1882" t="s">
        <v>8264</v>
      </c>
      <c r="H180" s="1882" t="s">
        <v>9635</v>
      </c>
      <c r="I180" s="1882" t="s">
        <v>9636</v>
      </c>
      <c r="J180" s="1882" t="s">
        <v>8508</v>
      </c>
      <c r="K180" s="1882" t="s">
        <v>8509</v>
      </c>
      <c r="L180" s="1882"/>
      <c r="M180" s="1882" t="s">
        <v>2460</v>
      </c>
      <c r="N180" s="1882" t="s">
        <v>8590</v>
      </c>
      <c r="O180" s="1882" t="s">
        <v>8591</v>
      </c>
      <c r="P180" s="1882" t="s">
        <v>8592</v>
      </c>
      <c r="Q180" s="520">
        <v>1</v>
      </c>
      <c r="R180" s="1882" t="s">
        <v>8549</v>
      </c>
      <c r="S180" s="1882">
        <v>85</v>
      </c>
      <c r="T180" s="1882">
        <v>85.6</v>
      </c>
      <c r="U180" s="1882">
        <v>86.2</v>
      </c>
      <c r="V180" s="1882">
        <v>86.8</v>
      </c>
      <c r="W180" s="1882">
        <v>87.4</v>
      </c>
      <c r="X180" s="1882">
        <v>88</v>
      </c>
      <c r="Y180" s="1882"/>
      <c r="Z180" s="1882"/>
      <c r="AA180" s="1882"/>
      <c r="AB180" s="1882"/>
      <c r="AC180" s="1882"/>
      <c r="AD180" s="1882"/>
      <c r="AE180" s="1882"/>
      <c r="AF180" s="1882"/>
      <c r="AG180" s="1882"/>
      <c r="AH180" s="1882">
        <v>0</v>
      </c>
      <c r="AI180" s="1882" t="s">
        <v>2459</v>
      </c>
      <c r="AJ180" s="1882" t="s">
        <v>2459</v>
      </c>
      <c r="AK180" s="1882" t="s">
        <v>2459</v>
      </c>
      <c r="AL180" s="1882" t="s">
        <v>2459</v>
      </c>
      <c r="AM180" s="1882" t="s">
        <v>2459</v>
      </c>
      <c r="AN180" s="1882" t="s">
        <v>8593</v>
      </c>
      <c r="AO180" s="1882" t="s">
        <v>8593</v>
      </c>
      <c r="AP180" s="1882" t="s">
        <v>8593</v>
      </c>
      <c r="AQ180" s="1882" t="s">
        <v>8593</v>
      </c>
      <c r="AR180" s="1882" t="s">
        <v>8593</v>
      </c>
      <c r="AS180" s="1882" t="s">
        <v>8593</v>
      </c>
      <c r="AT180" s="1882" t="s">
        <v>8593</v>
      </c>
      <c r="AU180" s="1882" t="s">
        <v>8593</v>
      </c>
      <c r="AV180" s="1882" t="s">
        <v>8593</v>
      </c>
      <c r="AW180" s="1882" t="s">
        <v>8593</v>
      </c>
      <c r="AX180" s="1882" t="s">
        <v>8593</v>
      </c>
      <c r="AY180" s="1882" t="s">
        <v>8593</v>
      </c>
      <c r="AZ180" s="1882" t="s">
        <v>8593</v>
      </c>
      <c r="BA180" s="1882" t="s">
        <v>8593</v>
      </c>
      <c r="BB180" s="1882" t="s">
        <v>8593</v>
      </c>
      <c r="BC180" s="1882" t="s">
        <v>8593</v>
      </c>
      <c r="BD180" s="1882" t="s">
        <v>8593</v>
      </c>
      <c r="BE180" s="1882" t="s">
        <v>8593</v>
      </c>
      <c r="BF180" s="1882" t="s">
        <v>8593</v>
      </c>
      <c r="BG180" s="1882" t="s">
        <v>8593</v>
      </c>
      <c r="BH180" s="1882" t="s">
        <v>8593</v>
      </c>
      <c r="BI180" s="1882"/>
      <c r="BJ180" s="1882"/>
      <c r="BK180" s="1882"/>
      <c r="BL180" s="1882" t="s">
        <v>8593</v>
      </c>
      <c r="BM180" s="1882"/>
      <c r="BN180" s="1882">
        <v>1</v>
      </c>
      <c r="BO180" s="1882" t="s">
        <v>8512</v>
      </c>
      <c r="BP180" s="520">
        <v>80.7</v>
      </c>
      <c r="BQ180" s="690">
        <v>80.8</v>
      </c>
      <c r="BR180" s="1882" t="s">
        <v>2460</v>
      </c>
      <c r="BS180" s="1882" t="s">
        <v>8513</v>
      </c>
      <c r="BT180" s="1882">
        <v>0</v>
      </c>
      <c r="BU180" s="1882" t="s">
        <v>8513</v>
      </c>
      <c r="BV180" s="1882">
        <v>0</v>
      </c>
      <c r="BW180" s="1882">
        <v>79.599999999999994</v>
      </c>
      <c r="BX180" s="1882" t="s">
        <v>2460</v>
      </c>
      <c r="BY180" s="1882">
        <v>0</v>
      </c>
      <c r="BZ180" s="1882">
        <v>0</v>
      </c>
      <c r="CA180" s="1882">
        <v>0</v>
      </c>
      <c r="CB180" s="1882">
        <v>0</v>
      </c>
      <c r="CC180" s="1882">
        <v>78.7</v>
      </c>
      <c r="CD180" s="1882" t="s">
        <v>2460</v>
      </c>
      <c r="CE180" s="1882">
        <v>0</v>
      </c>
      <c r="CF180" s="1882">
        <v>0</v>
      </c>
      <c r="CG180" s="1882">
        <v>0</v>
      </c>
      <c r="CH180" s="1882">
        <v>0</v>
      </c>
      <c r="CI180" s="1882">
        <v>80.5</v>
      </c>
      <c r="CJ180" s="1882" t="s">
        <v>2460</v>
      </c>
      <c r="CK180" s="1882">
        <v>0</v>
      </c>
      <c r="CL180" s="1882">
        <v>0</v>
      </c>
      <c r="CM180" s="1882">
        <v>0</v>
      </c>
      <c r="CN180" s="1882">
        <v>0</v>
      </c>
      <c r="CP180" s="1882" t="s">
        <v>9637</v>
      </c>
    </row>
    <row r="181" spans="1:94">
      <c r="A181" s="1882" t="s">
        <v>9536</v>
      </c>
      <c r="B181" s="1882" t="s">
        <v>9638</v>
      </c>
      <c r="C181" s="1882" t="s">
        <v>8394</v>
      </c>
      <c r="D181" s="1882" t="s">
        <v>8584</v>
      </c>
      <c r="E181" s="1882" t="s">
        <v>8585</v>
      </c>
      <c r="F181" s="1882" t="s">
        <v>9630</v>
      </c>
      <c r="G181" s="1882" t="s">
        <v>8267</v>
      </c>
      <c r="H181" s="1882" t="s">
        <v>9639</v>
      </c>
      <c r="I181" s="1882" t="s">
        <v>9640</v>
      </c>
      <c r="J181" s="1882" t="s">
        <v>8539</v>
      </c>
      <c r="K181" s="1882"/>
      <c r="L181" s="1882"/>
      <c r="M181" s="1882"/>
      <c r="N181" s="1882" t="s">
        <v>8695</v>
      </c>
      <c r="O181" s="1882" t="s">
        <v>764</v>
      </c>
      <c r="P181" s="1882" t="s">
        <v>9641</v>
      </c>
      <c r="Q181" s="520">
        <v>1</v>
      </c>
      <c r="R181" s="1882" t="s">
        <v>8511</v>
      </c>
      <c r="S181" s="1882">
        <v>7.6</v>
      </c>
      <c r="T181" s="1882">
        <v>7.4</v>
      </c>
      <c r="U181" s="1882">
        <v>7.2</v>
      </c>
      <c r="V181" s="1882">
        <v>7</v>
      </c>
      <c r="W181" s="1882">
        <v>6.8</v>
      </c>
      <c r="X181" s="1882">
        <v>6.6</v>
      </c>
      <c r="Y181" s="1882"/>
      <c r="Z181" s="1882"/>
      <c r="AA181" s="1882"/>
      <c r="AB181" s="1882"/>
      <c r="AC181" s="1882"/>
      <c r="AD181" s="1882"/>
      <c r="AE181" s="1882"/>
      <c r="AF181" s="1882"/>
      <c r="AG181" s="1882"/>
      <c r="AH181" s="1882">
        <v>0</v>
      </c>
      <c r="AI181" s="1882"/>
      <c r="AJ181" s="1882"/>
      <c r="AK181" s="1882"/>
      <c r="AL181" s="1882"/>
      <c r="AM181" s="1882"/>
      <c r="AN181" s="1882"/>
      <c r="AO181" s="1882"/>
      <c r="AP181" s="1882"/>
      <c r="AQ181" s="1882"/>
      <c r="AR181" s="1882"/>
      <c r="AS181" s="1882"/>
      <c r="AT181" s="1882"/>
      <c r="AU181" s="1882"/>
      <c r="AV181" s="1882"/>
      <c r="AW181" s="1882"/>
      <c r="AX181" s="1882"/>
      <c r="AY181" s="1882"/>
      <c r="AZ181" s="1882"/>
      <c r="BA181" s="1882"/>
      <c r="BB181" s="1882"/>
      <c r="BC181" s="1882"/>
      <c r="BD181" s="1882"/>
      <c r="BE181" s="1882"/>
      <c r="BF181" s="1882"/>
      <c r="BG181" s="1882"/>
      <c r="BH181" s="1882"/>
      <c r="BI181" s="1882"/>
      <c r="BJ181" s="1882"/>
      <c r="BK181" s="1882"/>
      <c r="BL181" s="1882"/>
      <c r="BM181" s="1882"/>
      <c r="BN181" s="1882"/>
      <c r="BO181" s="1882"/>
      <c r="BP181" s="520">
        <v>8.1</v>
      </c>
      <c r="BQ181" s="690">
        <v>10</v>
      </c>
      <c r="BR181" s="1882" t="s">
        <v>2460</v>
      </c>
      <c r="BS181" s="1882" t="s">
        <v>8513</v>
      </c>
      <c r="BT181" s="1882">
        <v>0</v>
      </c>
      <c r="BU181" s="1882" t="s">
        <v>8513</v>
      </c>
      <c r="BV181" s="1882">
        <v>0</v>
      </c>
      <c r="BW181" s="1882">
        <v>11.3</v>
      </c>
      <c r="BX181" s="1882" t="s">
        <v>2460</v>
      </c>
      <c r="BY181" s="1882">
        <v>0</v>
      </c>
      <c r="BZ181" s="1882">
        <v>0</v>
      </c>
      <c r="CA181" s="1882">
        <v>0</v>
      </c>
      <c r="CB181" s="1882">
        <v>0</v>
      </c>
      <c r="CC181" s="1882">
        <v>9.8000000000000007</v>
      </c>
      <c r="CD181" s="1882" t="s">
        <v>2460</v>
      </c>
      <c r="CE181" s="1882">
        <v>0</v>
      </c>
      <c r="CF181" s="1882">
        <v>0</v>
      </c>
      <c r="CG181" s="1882">
        <v>0</v>
      </c>
      <c r="CH181" s="1882">
        <v>0</v>
      </c>
      <c r="CI181" s="1882">
        <v>8</v>
      </c>
      <c r="CJ181" s="1882" t="s">
        <v>2460</v>
      </c>
      <c r="CK181" s="1882">
        <v>0</v>
      </c>
      <c r="CL181" s="1882">
        <v>0</v>
      </c>
      <c r="CM181" s="1882">
        <v>0</v>
      </c>
      <c r="CN181" s="1882">
        <v>0</v>
      </c>
      <c r="CP181" s="1882" t="s">
        <v>9642</v>
      </c>
    </row>
    <row r="182" spans="1:94">
      <c r="A182" s="1882" t="s">
        <v>9643</v>
      </c>
      <c r="B182" s="1882" t="s">
        <v>9644</v>
      </c>
      <c r="C182" s="1882" t="s">
        <v>8394</v>
      </c>
      <c r="D182" s="1882" t="s">
        <v>1626</v>
      </c>
      <c r="E182" s="1882" t="s">
        <v>8503</v>
      </c>
      <c r="F182" s="1882" t="s">
        <v>9645</v>
      </c>
      <c r="G182" s="1882" t="s">
        <v>7234</v>
      </c>
      <c r="H182" s="1882" t="s">
        <v>9646</v>
      </c>
      <c r="I182" s="1882" t="s">
        <v>9647</v>
      </c>
      <c r="J182" s="1882" t="s">
        <v>8508</v>
      </c>
      <c r="K182" s="1882" t="s">
        <v>8509</v>
      </c>
      <c r="L182" s="1882"/>
      <c r="M182" s="1882"/>
      <c r="N182" s="1882" t="s">
        <v>8695</v>
      </c>
      <c r="O182" s="1882" t="s">
        <v>8591</v>
      </c>
      <c r="P182" s="1882" t="s">
        <v>9648</v>
      </c>
      <c r="Q182" s="520">
        <v>1</v>
      </c>
      <c r="R182" s="1882" t="s">
        <v>8549</v>
      </c>
      <c r="S182" s="1882">
        <v>4.5999999999999996</v>
      </c>
      <c r="T182" s="1882">
        <v>4.5999999999999996</v>
      </c>
      <c r="U182" s="1882">
        <v>4.5999999999999996</v>
      </c>
      <c r="V182" s="1882">
        <v>4.5999999999999996</v>
      </c>
      <c r="W182" s="1882">
        <v>4.5999999999999996</v>
      </c>
      <c r="X182" s="1882">
        <v>4.5999999999999996</v>
      </c>
      <c r="Y182" s="1882"/>
      <c r="Z182" s="1882"/>
      <c r="AA182" s="1882"/>
      <c r="AB182" s="1882"/>
      <c r="AC182" s="1882"/>
      <c r="AD182" s="1882"/>
      <c r="AE182" s="1882"/>
      <c r="AF182" s="1882"/>
      <c r="AG182" s="1882"/>
      <c r="AH182" s="1882">
        <v>0</v>
      </c>
      <c r="AI182" s="1882"/>
      <c r="AJ182" s="1882" t="s">
        <v>2459</v>
      </c>
      <c r="AK182" s="1882" t="s">
        <v>2459</v>
      </c>
      <c r="AL182" s="1882" t="s">
        <v>2459</v>
      </c>
      <c r="AM182" s="1882" t="s">
        <v>2459</v>
      </c>
      <c r="AN182" s="1882"/>
      <c r="AO182" s="1882">
        <v>3.6</v>
      </c>
      <c r="AP182" s="1882">
        <v>3.6</v>
      </c>
      <c r="AQ182" s="1882">
        <v>3.6</v>
      </c>
      <c r="AR182" s="1882">
        <v>3.6</v>
      </c>
      <c r="AS182" s="1882"/>
      <c r="AT182" s="1882">
        <v>4.5</v>
      </c>
      <c r="AU182" s="1882">
        <v>4.5</v>
      </c>
      <c r="AV182" s="1882">
        <v>4.5</v>
      </c>
      <c r="AW182" s="1882">
        <v>4.5</v>
      </c>
      <c r="AX182" s="1882"/>
      <c r="AY182" s="1882">
        <v>4.7</v>
      </c>
      <c r="AZ182" s="1882">
        <v>4.7</v>
      </c>
      <c r="BA182" s="1882">
        <v>4.7</v>
      </c>
      <c r="BB182" s="1882">
        <v>4.7</v>
      </c>
      <c r="BC182" s="1882"/>
      <c r="BD182" s="1882">
        <v>5</v>
      </c>
      <c r="BE182" s="1882">
        <v>5</v>
      </c>
      <c r="BF182" s="1882">
        <v>5</v>
      </c>
      <c r="BG182" s="1882">
        <v>5</v>
      </c>
      <c r="BH182" s="1882">
        <v>1.6E-2</v>
      </c>
      <c r="BI182" s="1882"/>
      <c r="BJ182" s="1882"/>
      <c r="BK182" s="1882"/>
      <c r="BL182" s="1882">
        <v>1.6E-2</v>
      </c>
      <c r="BM182" s="1882"/>
      <c r="BN182" s="1882">
        <v>9</v>
      </c>
      <c r="BO182" s="1882" t="s">
        <v>9649</v>
      </c>
      <c r="BP182" s="520" t="s">
        <v>8513</v>
      </c>
      <c r="BQ182" s="690">
        <v>4.4000000000000004</v>
      </c>
      <c r="BR182" s="1882" t="s">
        <v>2460</v>
      </c>
      <c r="BS182" s="1882" t="s">
        <v>8513</v>
      </c>
      <c r="BT182" s="1882">
        <v>0</v>
      </c>
      <c r="BU182" s="1882" t="s">
        <v>8513</v>
      </c>
      <c r="BV182" s="1882">
        <v>0</v>
      </c>
      <c r="BW182" s="1882">
        <v>4.5</v>
      </c>
      <c r="BX182" s="1882" t="s">
        <v>2460</v>
      </c>
      <c r="BY182" s="1882">
        <v>0</v>
      </c>
      <c r="BZ182" s="1882">
        <v>0</v>
      </c>
      <c r="CA182" s="1882" t="s">
        <v>8429</v>
      </c>
      <c r="CB182" s="1882">
        <v>0</v>
      </c>
      <c r="CC182" s="1882">
        <v>4.5</v>
      </c>
      <c r="CD182" s="1882" t="s">
        <v>2460</v>
      </c>
      <c r="CE182" s="1882">
        <v>0</v>
      </c>
      <c r="CF182" s="1882">
        <v>0</v>
      </c>
      <c r="CG182" s="1882" t="s">
        <v>8388</v>
      </c>
      <c r="CH182" s="1882">
        <v>0</v>
      </c>
      <c r="CI182" s="1882">
        <v>4.5</v>
      </c>
      <c r="CJ182" s="1882" t="s">
        <v>2460</v>
      </c>
      <c r="CK182" s="1882">
        <v>0</v>
      </c>
      <c r="CL182" s="1882">
        <v>0</v>
      </c>
      <c r="CM182" s="1882" t="s">
        <v>8388</v>
      </c>
      <c r="CN182" s="1882">
        <v>0</v>
      </c>
      <c r="CP182" s="1882" t="s">
        <v>9650</v>
      </c>
    </row>
    <row r="183" spans="1:94">
      <c r="A183" s="1882" t="s">
        <v>9643</v>
      </c>
      <c r="B183" s="1882" t="s">
        <v>9651</v>
      </c>
      <c r="C183" s="1882" t="s">
        <v>8394</v>
      </c>
      <c r="D183" s="1882" t="s">
        <v>1626</v>
      </c>
      <c r="E183" s="1882" t="s">
        <v>8503</v>
      </c>
      <c r="F183" s="1882" t="s">
        <v>9652</v>
      </c>
      <c r="G183" s="1882" t="s">
        <v>7236</v>
      </c>
      <c r="H183" s="1882" t="s">
        <v>9653</v>
      </c>
      <c r="I183" s="1882" t="s">
        <v>9654</v>
      </c>
      <c r="J183" s="1882" t="s">
        <v>8508</v>
      </c>
      <c r="K183" s="1882" t="s">
        <v>8509</v>
      </c>
      <c r="L183" s="1882"/>
      <c r="M183" s="1882"/>
      <c r="N183" s="1882" t="s">
        <v>8695</v>
      </c>
      <c r="O183" s="1882" t="s">
        <v>8591</v>
      </c>
      <c r="P183" s="1882" t="s">
        <v>9648</v>
      </c>
      <c r="Q183" s="520">
        <v>1</v>
      </c>
      <c r="R183" s="1882" t="s">
        <v>8549</v>
      </c>
      <c r="S183" s="1882">
        <v>4.3</v>
      </c>
      <c r="T183" s="1882">
        <v>4.3</v>
      </c>
      <c r="U183" s="1882">
        <v>4.3</v>
      </c>
      <c r="V183" s="1882">
        <v>4.3</v>
      </c>
      <c r="W183" s="1882">
        <v>4.3</v>
      </c>
      <c r="X183" s="1882">
        <v>4.3</v>
      </c>
      <c r="Y183" s="1882"/>
      <c r="Z183" s="1882"/>
      <c r="AA183" s="1882"/>
      <c r="AB183" s="1882"/>
      <c r="AC183" s="1882"/>
      <c r="AD183" s="1882"/>
      <c r="AE183" s="1882"/>
      <c r="AF183" s="1882"/>
      <c r="AG183" s="1882"/>
      <c r="AH183" s="1882">
        <v>0</v>
      </c>
      <c r="AI183" s="1882"/>
      <c r="AJ183" s="1882" t="s">
        <v>2459</v>
      </c>
      <c r="AK183" s="1882" t="s">
        <v>2459</v>
      </c>
      <c r="AL183" s="1882" t="s">
        <v>2459</v>
      </c>
      <c r="AM183" s="1882" t="s">
        <v>2459</v>
      </c>
      <c r="AN183" s="1882"/>
      <c r="AO183" s="1882">
        <v>3.3</v>
      </c>
      <c r="AP183" s="1882">
        <v>3.3</v>
      </c>
      <c r="AQ183" s="1882">
        <v>3.3</v>
      </c>
      <c r="AR183" s="1882">
        <v>3.3</v>
      </c>
      <c r="AS183" s="1882"/>
      <c r="AT183" s="1882">
        <v>4.2</v>
      </c>
      <c r="AU183" s="1882">
        <v>4.2</v>
      </c>
      <c r="AV183" s="1882">
        <v>4.2</v>
      </c>
      <c r="AW183" s="1882">
        <v>4.2</v>
      </c>
      <c r="AX183" s="1882"/>
      <c r="AY183" s="1882">
        <v>4.4000000000000004</v>
      </c>
      <c r="AZ183" s="1882">
        <v>4.4000000000000004</v>
      </c>
      <c r="BA183" s="1882">
        <v>4.4000000000000004</v>
      </c>
      <c r="BB183" s="1882">
        <v>4.4000000000000004</v>
      </c>
      <c r="BC183" s="1882"/>
      <c r="BD183" s="1882">
        <v>5</v>
      </c>
      <c r="BE183" s="1882">
        <v>5</v>
      </c>
      <c r="BF183" s="1882">
        <v>5</v>
      </c>
      <c r="BG183" s="1882">
        <v>5</v>
      </c>
      <c r="BH183" s="1882">
        <v>3.1E-2</v>
      </c>
      <c r="BI183" s="1882"/>
      <c r="BJ183" s="1882"/>
      <c r="BK183" s="1882"/>
      <c r="BL183" s="1882">
        <v>3.1E-2</v>
      </c>
      <c r="BM183" s="1882"/>
      <c r="BN183" s="1882">
        <v>9</v>
      </c>
      <c r="BO183" s="1882" t="s">
        <v>9649</v>
      </c>
      <c r="BP183" s="520" t="s">
        <v>8513</v>
      </c>
      <c r="BQ183" s="690">
        <v>4.0999999999999996</v>
      </c>
      <c r="BR183" s="1882" t="s">
        <v>2460</v>
      </c>
      <c r="BS183" s="1882" t="s">
        <v>8513</v>
      </c>
      <c r="BT183" s="1882">
        <v>0</v>
      </c>
      <c r="BU183" s="1882" t="s">
        <v>8513</v>
      </c>
      <c r="BV183" s="1882">
        <v>0</v>
      </c>
      <c r="BW183" s="1882">
        <v>4.2</v>
      </c>
      <c r="BX183" s="1882" t="s">
        <v>2460</v>
      </c>
      <c r="BY183" s="1882">
        <v>0</v>
      </c>
      <c r="BZ183" s="1882">
        <v>0</v>
      </c>
      <c r="CA183" s="1882" t="s">
        <v>8429</v>
      </c>
      <c r="CB183" s="1882">
        <v>0</v>
      </c>
      <c r="CC183" s="1882">
        <v>4.2</v>
      </c>
      <c r="CD183" s="1882" t="s">
        <v>2460</v>
      </c>
      <c r="CE183" s="1882">
        <v>0</v>
      </c>
      <c r="CF183" s="1882">
        <v>0</v>
      </c>
      <c r="CG183" s="1882" t="s">
        <v>8388</v>
      </c>
      <c r="CH183" s="1882">
        <v>0</v>
      </c>
      <c r="CI183" s="1882">
        <v>4.2</v>
      </c>
      <c r="CJ183" s="1882" t="s">
        <v>2460</v>
      </c>
      <c r="CK183" s="1882">
        <v>0</v>
      </c>
      <c r="CL183" s="1882">
        <v>0</v>
      </c>
      <c r="CM183" s="1882" t="s">
        <v>8388</v>
      </c>
      <c r="CN183" s="1882">
        <v>0</v>
      </c>
      <c r="CP183" s="1882" t="s">
        <v>9655</v>
      </c>
    </row>
    <row r="184" spans="1:94">
      <c r="A184" s="1882" t="s">
        <v>9643</v>
      </c>
      <c r="B184" s="1882" t="s">
        <v>9656</v>
      </c>
      <c r="C184" s="1882" t="s">
        <v>8394</v>
      </c>
      <c r="D184" s="1882" t="s">
        <v>1626</v>
      </c>
      <c r="E184" s="1882" t="s">
        <v>8503</v>
      </c>
      <c r="F184" s="1882" t="s">
        <v>9657</v>
      </c>
      <c r="G184" s="1882" t="s">
        <v>8254</v>
      </c>
      <c r="H184" s="1882" t="s">
        <v>9658</v>
      </c>
      <c r="I184" s="1882" t="s">
        <v>9659</v>
      </c>
      <c r="J184" s="1882" t="s">
        <v>8508</v>
      </c>
      <c r="K184" s="1882" t="s">
        <v>8509</v>
      </c>
      <c r="L184" s="1882"/>
      <c r="M184" s="1882"/>
      <c r="N184" s="1882" t="s">
        <v>8695</v>
      </c>
      <c r="O184" s="1882" t="s">
        <v>8591</v>
      </c>
      <c r="P184" s="1882" t="s">
        <v>9648</v>
      </c>
      <c r="Q184" s="520">
        <v>1</v>
      </c>
      <c r="R184" s="1882" t="s">
        <v>8549</v>
      </c>
      <c r="S184" s="1882">
        <v>3.6</v>
      </c>
      <c r="T184" s="1882">
        <v>4</v>
      </c>
      <c r="U184" s="1882">
        <v>4</v>
      </c>
      <c r="V184" s="1882">
        <v>4</v>
      </c>
      <c r="W184" s="1882">
        <v>4</v>
      </c>
      <c r="X184" s="1882">
        <v>4</v>
      </c>
      <c r="Y184" s="1882"/>
      <c r="Z184" s="1882"/>
      <c r="AA184" s="1882"/>
      <c r="AB184" s="1882"/>
      <c r="AC184" s="1882"/>
      <c r="AD184" s="1882"/>
      <c r="AE184" s="1882"/>
      <c r="AF184" s="1882"/>
      <c r="AG184" s="1882"/>
      <c r="AH184" s="1882">
        <v>0</v>
      </c>
      <c r="AI184" s="1882"/>
      <c r="AJ184" s="1882" t="s">
        <v>2459</v>
      </c>
      <c r="AK184" s="1882" t="s">
        <v>2459</v>
      </c>
      <c r="AL184" s="1882" t="s">
        <v>2459</v>
      </c>
      <c r="AM184" s="1882" t="s">
        <v>2459</v>
      </c>
      <c r="AN184" s="1882"/>
      <c r="AO184" s="1882">
        <v>3</v>
      </c>
      <c r="AP184" s="1882">
        <v>3</v>
      </c>
      <c r="AQ184" s="1882">
        <v>3</v>
      </c>
      <c r="AR184" s="1882">
        <v>3</v>
      </c>
      <c r="AS184" s="1882"/>
      <c r="AT184" s="1882">
        <v>3.9</v>
      </c>
      <c r="AU184" s="1882">
        <v>3.9</v>
      </c>
      <c r="AV184" s="1882">
        <v>3.9</v>
      </c>
      <c r="AW184" s="1882">
        <v>3.9</v>
      </c>
      <c r="AX184" s="1882"/>
      <c r="AY184" s="1882">
        <v>4.0999999999999996</v>
      </c>
      <c r="AZ184" s="1882">
        <v>4.0999999999999996</v>
      </c>
      <c r="BA184" s="1882">
        <v>4.0999999999999996</v>
      </c>
      <c r="BB184" s="1882">
        <v>4.0999999999999996</v>
      </c>
      <c r="BC184" s="1882"/>
      <c r="BD184" s="1882">
        <v>5</v>
      </c>
      <c r="BE184" s="1882">
        <v>5</v>
      </c>
      <c r="BF184" s="1882">
        <v>5</v>
      </c>
      <c r="BG184" s="1882">
        <v>5</v>
      </c>
      <c r="BH184" s="1882">
        <v>3.6999999999999998E-2</v>
      </c>
      <c r="BI184" s="1882"/>
      <c r="BJ184" s="1882"/>
      <c r="BK184" s="1882"/>
      <c r="BL184" s="1882">
        <v>3.6999999999999998E-2</v>
      </c>
      <c r="BM184" s="1882"/>
      <c r="BN184" s="1882">
        <v>7</v>
      </c>
      <c r="BO184" s="1882" t="s">
        <v>9649</v>
      </c>
      <c r="BP184" s="520" t="s">
        <v>8513</v>
      </c>
      <c r="BQ184" s="690">
        <v>3.4</v>
      </c>
      <c r="BR184" s="1882" t="s">
        <v>2460</v>
      </c>
      <c r="BS184" s="1882" t="s">
        <v>8513</v>
      </c>
      <c r="BT184" s="1882">
        <v>0</v>
      </c>
      <c r="BU184" s="1882" t="s">
        <v>8513</v>
      </c>
      <c r="BV184" s="1882">
        <v>0</v>
      </c>
      <c r="BW184" s="1882">
        <v>3.8</v>
      </c>
      <c r="BX184" s="1882" t="s">
        <v>2460</v>
      </c>
      <c r="BY184" s="1882">
        <v>0</v>
      </c>
      <c r="BZ184" s="1882">
        <v>0</v>
      </c>
      <c r="CA184" s="1882" t="s">
        <v>8563</v>
      </c>
      <c r="CB184" s="1882">
        <v>-2.5899999999999996E-2</v>
      </c>
      <c r="CC184" s="1882">
        <v>3.8</v>
      </c>
      <c r="CD184" s="1882" t="s">
        <v>2460</v>
      </c>
      <c r="CE184" s="1882">
        <v>0</v>
      </c>
      <c r="CF184" s="1882">
        <v>0</v>
      </c>
      <c r="CG184" s="1882" t="s">
        <v>8384</v>
      </c>
      <c r="CH184" s="1882">
        <v>-2.5899999999999996E-2</v>
      </c>
      <c r="CI184" s="1882">
        <v>3.6</v>
      </c>
      <c r="CJ184" s="1882" t="s">
        <v>2460</v>
      </c>
      <c r="CK184" s="1882">
        <v>0</v>
      </c>
      <c r="CL184" s="1882">
        <v>0</v>
      </c>
      <c r="CM184" s="1882" t="s">
        <v>8384</v>
      </c>
      <c r="CN184" s="1882">
        <v>-7.7699999999999991E-2</v>
      </c>
      <c r="CP184" s="1882" t="s">
        <v>9660</v>
      </c>
    </row>
    <row r="185" spans="1:94">
      <c r="A185" s="1882" t="s">
        <v>9643</v>
      </c>
      <c r="B185" s="1882" t="s">
        <v>9661</v>
      </c>
      <c r="C185" s="1882" t="s">
        <v>8394</v>
      </c>
      <c r="D185" s="1882" t="s">
        <v>1626</v>
      </c>
      <c r="E185" s="1882" t="s">
        <v>8503</v>
      </c>
      <c r="F185" s="1882" t="s">
        <v>9657</v>
      </c>
      <c r="G185" s="1882" t="s">
        <v>8257</v>
      </c>
      <c r="H185" s="1882" t="s">
        <v>9662</v>
      </c>
      <c r="I185" s="1882" t="s">
        <v>9663</v>
      </c>
      <c r="J185" s="1882" t="s">
        <v>8508</v>
      </c>
      <c r="K185" s="1882" t="s">
        <v>8509</v>
      </c>
      <c r="L185" s="1882"/>
      <c r="M185" s="1882"/>
      <c r="N185" s="1882" t="s">
        <v>2444</v>
      </c>
      <c r="O185" s="1882" t="s">
        <v>764</v>
      </c>
      <c r="P185" s="1882" t="s">
        <v>8510</v>
      </c>
      <c r="Q185" s="520">
        <v>1</v>
      </c>
      <c r="R185" s="1882" t="s">
        <v>8511</v>
      </c>
      <c r="S185" s="1882">
        <v>93</v>
      </c>
      <c r="T185" s="1882">
        <v>91.8</v>
      </c>
      <c r="U185" s="1882">
        <v>90.9</v>
      </c>
      <c r="V185" s="1882">
        <v>90</v>
      </c>
      <c r="W185" s="1882">
        <v>89.1</v>
      </c>
      <c r="X185" s="1882">
        <v>88.1</v>
      </c>
      <c r="Y185" s="1882"/>
      <c r="Z185" s="1882"/>
      <c r="AA185" s="1882"/>
      <c r="AB185" s="1882"/>
      <c r="AC185" s="1882"/>
      <c r="AD185" s="1882"/>
      <c r="AE185" s="1882" t="s">
        <v>2459</v>
      </c>
      <c r="AF185" s="1882"/>
      <c r="AG185" s="1882"/>
      <c r="AH185" s="1882">
        <v>0</v>
      </c>
      <c r="AI185" s="1882" t="s">
        <v>2459</v>
      </c>
      <c r="AJ185" s="1882" t="s">
        <v>2459</v>
      </c>
      <c r="AK185" s="1882" t="s">
        <v>2459</v>
      </c>
      <c r="AL185" s="1882" t="s">
        <v>2459</v>
      </c>
      <c r="AM185" s="1882" t="s">
        <v>2459</v>
      </c>
      <c r="AN185" s="1882">
        <v>101</v>
      </c>
      <c r="AO185" s="1882">
        <v>100</v>
      </c>
      <c r="AP185" s="1882">
        <v>99</v>
      </c>
      <c r="AQ185" s="1882">
        <v>98</v>
      </c>
      <c r="AR185" s="1882">
        <v>96.9</v>
      </c>
      <c r="AS185" s="1882">
        <v>92.8</v>
      </c>
      <c r="AT185" s="1882">
        <v>91.9</v>
      </c>
      <c r="AU185" s="1882">
        <v>91</v>
      </c>
      <c r="AV185" s="1882">
        <v>90.1</v>
      </c>
      <c r="AW185" s="1882">
        <v>89.1</v>
      </c>
      <c r="AX185" s="1882">
        <v>90.8</v>
      </c>
      <c r="AY185" s="1882">
        <v>89.9</v>
      </c>
      <c r="AZ185" s="1882">
        <v>89</v>
      </c>
      <c r="BA185" s="1882">
        <v>88.1</v>
      </c>
      <c r="BB185" s="1882">
        <v>87.1</v>
      </c>
      <c r="BC185" s="1882">
        <v>85.8</v>
      </c>
      <c r="BD185" s="1882">
        <v>84.9</v>
      </c>
      <c r="BE185" s="1882">
        <v>84</v>
      </c>
      <c r="BF185" s="1882">
        <v>83.1</v>
      </c>
      <c r="BG185" s="1882">
        <v>82.1</v>
      </c>
      <c r="BH185" s="1882">
        <v>0.315</v>
      </c>
      <c r="BI185" s="1882"/>
      <c r="BJ185" s="1882"/>
      <c r="BK185" s="1882"/>
      <c r="BL185" s="1882">
        <v>0.315</v>
      </c>
      <c r="BM185" s="1882"/>
      <c r="BN185" s="1882">
        <v>1</v>
      </c>
      <c r="BO185" s="1882" t="s">
        <v>8512</v>
      </c>
      <c r="BP185" s="520">
        <v>92.45</v>
      </c>
      <c r="BQ185" s="690">
        <v>88.11</v>
      </c>
      <c r="BR185" s="1882" t="s">
        <v>2459</v>
      </c>
      <c r="BS185" s="1882" t="s">
        <v>8513</v>
      </c>
      <c r="BT185" s="1882">
        <v>0</v>
      </c>
      <c r="BU185" s="1882" t="s">
        <v>8376</v>
      </c>
      <c r="BV185" s="1882">
        <v>0.84626632607813057</v>
      </c>
      <c r="BW185" s="1882">
        <v>88.6</v>
      </c>
      <c r="BX185" s="1882" t="s">
        <v>2459</v>
      </c>
      <c r="BY185" s="1882">
        <v>0</v>
      </c>
      <c r="BZ185" s="1882">
        <v>0</v>
      </c>
      <c r="CA185" s="1882" t="s">
        <v>8376</v>
      </c>
      <c r="CB185" s="1882">
        <v>0.40899999999999997</v>
      </c>
      <c r="CC185" s="1882">
        <v>87.7</v>
      </c>
      <c r="CD185" s="1882" t="s">
        <v>2459</v>
      </c>
      <c r="CE185" s="1882">
        <v>0</v>
      </c>
      <c r="CF185" s="1882">
        <v>0</v>
      </c>
      <c r="CG185" s="1882" t="s">
        <v>8376</v>
      </c>
      <c r="CH185" s="1882">
        <v>0.189</v>
      </c>
      <c r="CI185" s="1882">
        <v>86.884250225089886</v>
      </c>
      <c r="CJ185" s="1882" t="s">
        <v>2459</v>
      </c>
      <c r="CK185" s="1882">
        <v>0</v>
      </c>
      <c r="CL185" s="1882">
        <v>0</v>
      </c>
      <c r="CM185" s="1882" t="s">
        <v>8376</v>
      </c>
      <c r="CN185" s="1882">
        <v>0.37799999999999639</v>
      </c>
      <c r="CP185" s="1882" t="s">
        <v>9664</v>
      </c>
    </row>
    <row r="186" spans="1:94">
      <c r="A186" s="1882" t="s">
        <v>9643</v>
      </c>
      <c r="B186" s="1882" t="s">
        <v>9665</v>
      </c>
      <c r="C186" s="1882" t="s">
        <v>8394</v>
      </c>
      <c r="D186" s="1882" t="s">
        <v>1626</v>
      </c>
      <c r="E186" s="1882" t="s">
        <v>8503</v>
      </c>
      <c r="F186" s="1882" t="s">
        <v>9666</v>
      </c>
      <c r="G186" s="1882" t="s">
        <v>8261</v>
      </c>
      <c r="H186" s="1882" t="s">
        <v>9667</v>
      </c>
      <c r="I186" s="1882" t="s">
        <v>9668</v>
      </c>
      <c r="J186" s="1882" t="s">
        <v>8508</v>
      </c>
      <c r="K186" s="1882" t="s">
        <v>8509</v>
      </c>
      <c r="L186" s="1882"/>
      <c r="M186" s="1882"/>
      <c r="N186" s="1882" t="s">
        <v>8695</v>
      </c>
      <c r="O186" s="1882" t="s">
        <v>8591</v>
      </c>
      <c r="P186" s="1882" t="s">
        <v>9648</v>
      </c>
      <c r="Q186" s="520">
        <v>1</v>
      </c>
      <c r="R186" s="1882" t="s">
        <v>8549</v>
      </c>
      <c r="S186" s="1882">
        <v>4.5</v>
      </c>
      <c r="T186" s="1882">
        <v>4.5</v>
      </c>
      <c r="U186" s="1882">
        <v>4.5</v>
      </c>
      <c r="V186" s="1882">
        <v>4.5</v>
      </c>
      <c r="W186" s="1882">
        <v>4.5</v>
      </c>
      <c r="X186" s="1882">
        <v>4.5</v>
      </c>
      <c r="Y186" s="1882"/>
      <c r="Z186" s="1882"/>
      <c r="AA186" s="1882"/>
      <c r="AB186" s="1882"/>
      <c r="AC186" s="1882"/>
      <c r="AD186" s="1882"/>
      <c r="AE186" s="1882"/>
      <c r="AF186" s="1882"/>
      <c r="AG186" s="1882"/>
      <c r="AH186" s="1882">
        <v>0</v>
      </c>
      <c r="AI186" s="1882"/>
      <c r="AJ186" s="1882" t="s">
        <v>2459</v>
      </c>
      <c r="AK186" s="1882" t="s">
        <v>2459</v>
      </c>
      <c r="AL186" s="1882" t="s">
        <v>2459</v>
      </c>
      <c r="AM186" s="1882" t="s">
        <v>2459</v>
      </c>
      <c r="AN186" s="1882"/>
      <c r="AO186" s="1882">
        <v>3.5</v>
      </c>
      <c r="AP186" s="1882">
        <v>3.5</v>
      </c>
      <c r="AQ186" s="1882">
        <v>3.5</v>
      </c>
      <c r="AR186" s="1882">
        <v>3.5</v>
      </c>
      <c r="AS186" s="1882"/>
      <c r="AT186" s="1882">
        <v>4.4000000000000004</v>
      </c>
      <c r="AU186" s="1882">
        <v>4.4000000000000004</v>
      </c>
      <c r="AV186" s="1882">
        <v>4.4000000000000004</v>
      </c>
      <c r="AW186" s="1882">
        <v>4.4000000000000004</v>
      </c>
      <c r="AX186" s="1882"/>
      <c r="AY186" s="1882">
        <v>4.5999999999999996</v>
      </c>
      <c r="AZ186" s="1882">
        <v>4.5999999999999996</v>
      </c>
      <c r="BA186" s="1882">
        <v>4.5999999999999996</v>
      </c>
      <c r="BB186" s="1882">
        <v>4.5999999999999996</v>
      </c>
      <c r="BC186" s="1882"/>
      <c r="BD186" s="1882">
        <v>5</v>
      </c>
      <c r="BE186" s="1882">
        <v>5</v>
      </c>
      <c r="BF186" s="1882">
        <v>5</v>
      </c>
      <c r="BG186" s="1882">
        <v>5</v>
      </c>
      <c r="BH186" s="1882">
        <v>8.0000000000000002E-3</v>
      </c>
      <c r="BI186" s="1882"/>
      <c r="BJ186" s="1882"/>
      <c r="BK186" s="1882"/>
      <c r="BL186" s="1882">
        <v>8.0000000000000002E-3</v>
      </c>
      <c r="BM186" s="1882"/>
      <c r="BN186" s="1882">
        <v>2</v>
      </c>
      <c r="BO186" s="1882" t="s">
        <v>9649</v>
      </c>
      <c r="BP186" s="520" t="s">
        <v>8513</v>
      </c>
      <c r="BQ186" s="690">
        <v>4.2</v>
      </c>
      <c r="BR186" s="1882" t="s">
        <v>2460</v>
      </c>
      <c r="BS186" s="1882" t="s">
        <v>8513</v>
      </c>
      <c r="BT186" s="1882">
        <v>0</v>
      </c>
      <c r="BU186" s="1882" t="s">
        <v>8513</v>
      </c>
      <c r="BV186" s="1882">
        <v>0</v>
      </c>
      <c r="BW186" s="1882">
        <v>4.3</v>
      </c>
      <c r="BX186" s="1882" t="s">
        <v>2460</v>
      </c>
      <c r="BY186" s="1882">
        <v>0</v>
      </c>
      <c r="BZ186" s="1882">
        <v>0</v>
      </c>
      <c r="CA186" s="1882" t="s">
        <v>8563</v>
      </c>
      <c r="CB186" s="1882">
        <v>-1.6000000000000001E-3</v>
      </c>
      <c r="CC186" s="1882">
        <v>4.3</v>
      </c>
      <c r="CD186" s="1882" t="s">
        <v>2460</v>
      </c>
      <c r="CE186" s="1882">
        <v>0</v>
      </c>
      <c r="CF186" s="1882">
        <v>0</v>
      </c>
      <c r="CG186" s="1882" t="s">
        <v>8384</v>
      </c>
      <c r="CH186" s="1882">
        <v>-1.6000000000000001E-3</v>
      </c>
      <c r="CI186" s="1882">
        <v>4.3</v>
      </c>
      <c r="CJ186" s="1882" t="s">
        <v>2460</v>
      </c>
      <c r="CK186" s="1882">
        <v>0</v>
      </c>
      <c r="CL186" s="1882">
        <v>0</v>
      </c>
      <c r="CM186" s="1882" t="s">
        <v>8384</v>
      </c>
      <c r="CN186" s="1882">
        <v>-1.6000000000000081E-3</v>
      </c>
      <c r="CP186" s="1882" t="s">
        <v>9669</v>
      </c>
    </row>
    <row r="187" spans="1:94">
      <c r="A187" s="1882" t="s">
        <v>9643</v>
      </c>
      <c r="B187" s="1882" t="s">
        <v>9670</v>
      </c>
      <c r="C187" s="1882" t="s">
        <v>8394</v>
      </c>
      <c r="D187" s="1882" t="s">
        <v>1626</v>
      </c>
      <c r="E187" s="1882" t="s">
        <v>8503</v>
      </c>
      <c r="F187" s="1882" t="s">
        <v>9666</v>
      </c>
      <c r="G187" s="1882" t="s">
        <v>8264</v>
      </c>
      <c r="H187" s="1882" t="s">
        <v>9671</v>
      </c>
      <c r="I187" s="1882" t="s">
        <v>9672</v>
      </c>
      <c r="J187" s="1882" t="s">
        <v>8508</v>
      </c>
      <c r="K187" s="1882" t="s">
        <v>8509</v>
      </c>
      <c r="L187" s="1882"/>
      <c r="M187" s="1882" t="s">
        <v>2460</v>
      </c>
      <c r="N187" s="1882" t="s">
        <v>8590</v>
      </c>
      <c r="O187" s="1882" t="s">
        <v>8591</v>
      </c>
      <c r="P187" s="1882" t="s">
        <v>8592</v>
      </c>
      <c r="Q187" s="520">
        <v>1</v>
      </c>
      <c r="R187" s="1882" t="s">
        <v>8549</v>
      </c>
      <c r="S187" s="1882">
        <v>78</v>
      </c>
      <c r="T187" s="1882"/>
      <c r="U187" s="1882"/>
      <c r="V187" s="1882"/>
      <c r="W187" s="1882"/>
      <c r="X187" s="1882" t="s">
        <v>9227</v>
      </c>
      <c r="Y187" s="1882"/>
      <c r="Z187" s="1882"/>
      <c r="AA187" s="1882"/>
      <c r="AB187" s="1882"/>
      <c r="AC187" s="1882"/>
      <c r="AD187" s="1882"/>
      <c r="AE187" s="1882"/>
      <c r="AF187" s="1882"/>
      <c r="AG187" s="1882"/>
      <c r="AH187" s="1882">
        <v>0</v>
      </c>
      <c r="AI187" s="1882" t="s">
        <v>2459</v>
      </c>
      <c r="AJ187" s="1882" t="s">
        <v>2459</v>
      </c>
      <c r="AK187" s="1882" t="s">
        <v>2459</v>
      </c>
      <c r="AL187" s="1882" t="s">
        <v>2459</v>
      </c>
      <c r="AM187" s="1882" t="s">
        <v>2459</v>
      </c>
      <c r="AN187" s="1882" t="s">
        <v>8593</v>
      </c>
      <c r="AO187" s="1882" t="s">
        <v>8593</v>
      </c>
      <c r="AP187" s="1882" t="s">
        <v>8593</v>
      </c>
      <c r="AQ187" s="1882" t="s">
        <v>8593</v>
      </c>
      <c r="AR187" s="1882" t="s">
        <v>8593</v>
      </c>
      <c r="AS187" s="1882" t="s">
        <v>8593</v>
      </c>
      <c r="AT187" s="1882" t="s">
        <v>8593</v>
      </c>
      <c r="AU187" s="1882" t="s">
        <v>8593</v>
      </c>
      <c r="AV187" s="1882" t="s">
        <v>8593</v>
      </c>
      <c r="AW187" s="1882" t="s">
        <v>8593</v>
      </c>
      <c r="AX187" s="1882" t="s">
        <v>8593</v>
      </c>
      <c r="AY187" s="1882" t="s">
        <v>8593</v>
      </c>
      <c r="AZ187" s="1882" t="s">
        <v>8593</v>
      </c>
      <c r="BA187" s="1882" t="s">
        <v>8593</v>
      </c>
      <c r="BB187" s="1882" t="s">
        <v>8593</v>
      </c>
      <c r="BC187" s="1882" t="s">
        <v>8593</v>
      </c>
      <c r="BD187" s="1882" t="s">
        <v>8593</v>
      </c>
      <c r="BE187" s="1882" t="s">
        <v>8593</v>
      </c>
      <c r="BF187" s="1882" t="s">
        <v>8593</v>
      </c>
      <c r="BG187" s="1882" t="s">
        <v>8593</v>
      </c>
      <c r="BH187" s="1882" t="s">
        <v>8593</v>
      </c>
      <c r="BI187" s="1882"/>
      <c r="BJ187" s="1882"/>
      <c r="BK187" s="1882"/>
      <c r="BL187" s="1882" t="s">
        <v>8593</v>
      </c>
      <c r="BM187" s="1882"/>
      <c r="BN187" s="1882">
        <v>1</v>
      </c>
      <c r="BO187" s="1882" t="s">
        <v>8512</v>
      </c>
      <c r="BP187" s="520" t="s">
        <v>8513</v>
      </c>
      <c r="BQ187" s="690">
        <v>81.95</v>
      </c>
      <c r="BR187" s="1882" t="s">
        <v>8513</v>
      </c>
      <c r="BS187" s="1882" t="s">
        <v>8513</v>
      </c>
      <c r="BT187" s="1882">
        <v>0</v>
      </c>
      <c r="BU187" s="1882" t="s">
        <v>8513</v>
      </c>
      <c r="BV187" s="1882">
        <v>0</v>
      </c>
      <c r="BW187" s="1882">
        <v>84.6</v>
      </c>
      <c r="BX187" s="1882" t="s">
        <v>2451</v>
      </c>
      <c r="BY187" s="1882">
        <v>0</v>
      </c>
      <c r="BZ187" s="1882">
        <v>0</v>
      </c>
      <c r="CA187" s="1882">
        <v>0</v>
      </c>
      <c r="CB187" s="1882">
        <v>0</v>
      </c>
      <c r="CC187" s="1882">
        <v>85.6</v>
      </c>
      <c r="CD187" s="1882" t="s">
        <v>2451</v>
      </c>
      <c r="CE187" s="1882">
        <v>0</v>
      </c>
      <c r="CF187" s="1882">
        <v>0</v>
      </c>
      <c r="CG187" s="1882">
        <v>0</v>
      </c>
      <c r="CH187" s="1882">
        <v>0</v>
      </c>
      <c r="CI187" s="1882">
        <v>85.4</v>
      </c>
      <c r="CJ187" s="1882" t="s">
        <v>2451</v>
      </c>
      <c r="CK187" s="1882">
        <v>0</v>
      </c>
      <c r="CL187" s="1882">
        <v>0</v>
      </c>
      <c r="CM187" s="1882">
        <v>0</v>
      </c>
      <c r="CN187" s="1882">
        <v>0</v>
      </c>
      <c r="CP187" s="1882" t="s">
        <v>9673</v>
      </c>
    </row>
    <row r="188" spans="1:94">
      <c r="A188" s="1882" t="s">
        <v>9643</v>
      </c>
      <c r="B188" s="1882" t="s">
        <v>9674</v>
      </c>
      <c r="C188" s="1882" t="s">
        <v>8394</v>
      </c>
      <c r="D188" s="1882" t="s">
        <v>1626</v>
      </c>
      <c r="E188" s="1882" t="s">
        <v>8503</v>
      </c>
      <c r="F188" s="1882" t="s">
        <v>9675</v>
      </c>
      <c r="G188" s="1882" t="s">
        <v>8277</v>
      </c>
      <c r="H188" s="1882" t="s">
        <v>9676</v>
      </c>
      <c r="I188" s="1882" t="s">
        <v>9677</v>
      </c>
      <c r="J188" s="1882" t="s">
        <v>8539</v>
      </c>
      <c r="K188" s="1882"/>
      <c r="L188" s="1882"/>
      <c r="M188" s="1882"/>
      <c r="N188" s="1882" t="s">
        <v>8599</v>
      </c>
      <c r="O188" s="1882" t="s">
        <v>732</v>
      </c>
      <c r="P188" s="1882" t="s">
        <v>8696</v>
      </c>
      <c r="Q188" s="520">
        <v>0</v>
      </c>
      <c r="R188" s="1882" t="s">
        <v>8549</v>
      </c>
      <c r="S188" s="1882">
        <v>72</v>
      </c>
      <c r="T188" s="1882"/>
      <c r="U188" s="1882"/>
      <c r="V188" s="1882"/>
      <c r="W188" s="1882"/>
      <c r="X188" s="1882" t="s">
        <v>9227</v>
      </c>
      <c r="Y188" s="1882"/>
      <c r="Z188" s="1882"/>
      <c r="AA188" s="1882"/>
      <c r="AB188" s="1882"/>
      <c r="AC188" s="1882"/>
      <c r="AD188" s="1882"/>
      <c r="AE188" s="1882"/>
      <c r="AF188" s="1882"/>
      <c r="AG188" s="1882"/>
      <c r="AH188" s="1882">
        <v>0</v>
      </c>
      <c r="AI188" s="1882"/>
      <c r="AJ188" s="1882"/>
      <c r="AK188" s="1882"/>
      <c r="AL188" s="1882"/>
      <c r="AM188" s="1882"/>
      <c r="AN188" s="1882"/>
      <c r="AO188" s="1882"/>
      <c r="AP188" s="1882"/>
      <c r="AQ188" s="1882"/>
      <c r="AR188" s="1882"/>
      <c r="AS188" s="1882"/>
      <c r="AT188" s="1882"/>
      <c r="AU188" s="1882"/>
      <c r="AV188" s="1882"/>
      <c r="AW188" s="1882"/>
      <c r="AX188" s="1882"/>
      <c r="AY188" s="1882"/>
      <c r="AZ188" s="1882"/>
      <c r="BA188" s="1882"/>
      <c r="BB188" s="1882"/>
      <c r="BC188" s="1882"/>
      <c r="BD188" s="1882"/>
      <c r="BE188" s="1882"/>
      <c r="BF188" s="1882"/>
      <c r="BG188" s="1882"/>
      <c r="BH188" s="1882"/>
      <c r="BI188" s="1882"/>
      <c r="BJ188" s="1882"/>
      <c r="BK188" s="1882"/>
      <c r="BL188" s="1882"/>
      <c r="BM188" s="1882"/>
      <c r="BN188" s="1882"/>
      <c r="BO188" s="1882"/>
      <c r="BP188" s="520">
        <v>72</v>
      </c>
      <c r="BQ188" s="693">
        <v>71</v>
      </c>
      <c r="BR188" s="1882" t="s">
        <v>8513</v>
      </c>
      <c r="BS188" s="1882" t="s">
        <v>8513</v>
      </c>
      <c r="BT188" s="1882">
        <v>0</v>
      </c>
      <c r="BU188" s="1882" t="s">
        <v>8513</v>
      </c>
      <c r="BV188" s="1882">
        <v>0</v>
      </c>
      <c r="BW188" s="1882">
        <v>0.74</v>
      </c>
      <c r="BX188" s="1882" t="s">
        <v>2451</v>
      </c>
      <c r="BY188" s="1882">
        <v>0</v>
      </c>
      <c r="BZ188" s="1882">
        <v>0</v>
      </c>
      <c r="CA188" s="1882">
        <v>0</v>
      </c>
      <c r="CB188" s="1882">
        <v>0</v>
      </c>
      <c r="CC188" s="1882">
        <v>71</v>
      </c>
      <c r="CD188" s="1882" t="s">
        <v>2451</v>
      </c>
      <c r="CE188" s="1882">
        <v>0</v>
      </c>
      <c r="CF188" s="1882">
        <v>0</v>
      </c>
      <c r="CG188" s="1882">
        <v>0</v>
      </c>
      <c r="CH188" s="1882">
        <v>0</v>
      </c>
      <c r="CI188" s="1882">
        <v>73</v>
      </c>
      <c r="CJ188" s="1882" t="s">
        <v>2451</v>
      </c>
      <c r="CK188" s="1882">
        <v>0</v>
      </c>
      <c r="CL188" s="1882">
        <v>0</v>
      </c>
      <c r="CM188" s="1882">
        <v>0</v>
      </c>
      <c r="CN188" s="1882">
        <v>0</v>
      </c>
      <c r="CP188" s="1882" t="s">
        <v>9678</v>
      </c>
    </row>
    <row r="189" spans="1:94">
      <c r="A189" s="1882" t="s">
        <v>9643</v>
      </c>
      <c r="B189" s="1882" t="s">
        <v>9679</v>
      </c>
      <c r="C189" s="1882" t="s">
        <v>8394</v>
      </c>
      <c r="D189" s="1882" t="s">
        <v>1626</v>
      </c>
      <c r="E189" s="1882" t="s">
        <v>8503</v>
      </c>
      <c r="F189" s="1882" t="s">
        <v>9680</v>
      </c>
      <c r="G189" s="1882" t="s">
        <v>8293</v>
      </c>
      <c r="H189" s="1882" t="s">
        <v>9681</v>
      </c>
      <c r="I189" s="1882" t="s">
        <v>9682</v>
      </c>
      <c r="J189" s="1882" t="s">
        <v>8508</v>
      </c>
      <c r="K189" s="1882" t="s">
        <v>8509</v>
      </c>
      <c r="L189" s="1882"/>
      <c r="M189" s="1882"/>
      <c r="N189" s="1882" t="s">
        <v>8695</v>
      </c>
      <c r="O189" s="1882" t="s">
        <v>8591</v>
      </c>
      <c r="P189" s="1882" t="s">
        <v>9648</v>
      </c>
      <c r="Q189" s="520">
        <v>1</v>
      </c>
      <c r="R189" s="1882" t="s">
        <v>8549</v>
      </c>
      <c r="S189" s="1882">
        <v>4.5</v>
      </c>
      <c r="T189" s="1882">
        <v>4.5</v>
      </c>
      <c r="U189" s="1882">
        <v>4.5</v>
      </c>
      <c r="V189" s="1882">
        <v>4.5</v>
      </c>
      <c r="W189" s="1882">
        <v>4.5</v>
      </c>
      <c r="X189" s="1882">
        <v>4.5</v>
      </c>
      <c r="Y189" s="1882"/>
      <c r="Z189" s="1882"/>
      <c r="AA189" s="1882"/>
      <c r="AB189" s="1882"/>
      <c r="AC189" s="1882"/>
      <c r="AD189" s="1882"/>
      <c r="AE189" s="1882"/>
      <c r="AF189" s="1882"/>
      <c r="AG189" s="1882"/>
      <c r="AH189" s="1882">
        <v>0</v>
      </c>
      <c r="AI189" s="1882"/>
      <c r="AJ189" s="1882" t="s">
        <v>2459</v>
      </c>
      <c r="AK189" s="1882" t="s">
        <v>2459</v>
      </c>
      <c r="AL189" s="1882" t="s">
        <v>2459</v>
      </c>
      <c r="AM189" s="1882" t="s">
        <v>2459</v>
      </c>
      <c r="AN189" s="1882"/>
      <c r="AO189" s="1882">
        <v>3.5</v>
      </c>
      <c r="AP189" s="1882">
        <v>3.5</v>
      </c>
      <c r="AQ189" s="1882">
        <v>3.5</v>
      </c>
      <c r="AR189" s="1882">
        <v>3.5</v>
      </c>
      <c r="AS189" s="1882"/>
      <c r="AT189" s="1882">
        <v>4.4000000000000004</v>
      </c>
      <c r="AU189" s="1882">
        <v>4.4000000000000004</v>
      </c>
      <c r="AV189" s="1882">
        <v>4.4000000000000004</v>
      </c>
      <c r="AW189" s="1882">
        <v>4.4000000000000004</v>
      </c>
      <c r="AX189" s="1882"/>
      <c r="AY189" s="1882">
        <v>4.5999999999999996</v>
      </c>
      <c r="AZ189" s="1882">
        <v>4.5999999999999996</v>
      </c>
      <c r="BA189" s="1882">
        <v>4.5999999999999996</v>
      </c>
      <c r="BB189" s="1882">
        <v>4.5999999999999996</v>
      </c>
      <c r="BC189" s="1882"/>
      <c r="BD189" s="1882">
        <v>5</v>
      </c>
      <c r="BE189" s="1882">
        <v>5</v>
      </c>
      <c r="BF189" s="1882">
        <v>5</v>
      </c>
      <c r="BG189" s="1882">
        <v>5</v>
      </c>
      <c r="BH189" s="1882">
        <v>2.7E-2</v>
      </c>
      <c r="BI189" s="1882"/>
      <c r="BJ189" s="1882"/>
      <c r="BK189" s="1882"/>
      <c r="BL189" s="1882">
        <v>2.7E-2</v>
      </c>
      <c r="BM189" s="1882"/>
      <c r="BN189" s="1882">
        <v>9</v>
      </c>
      <c r="BO189" s="1882" t="s">
        <v>9649</v>
      </c>
      <c r="BP189" s="520" t="s">
        <v>8513</v>
      </c>
      <c r="BQ189" s="690">
        <v>4.2</v>
      </c>
      <c r="BR189" s="1882" t="s">
        <v>2460</v>
      </c>
      <c r="BS189" s="1882" t="s">
        <v>8513</v>
      </c>
      <c r="BT189" s="1882">
        <v>0</v>
      </c>
      <c r="BU189" s="1882" t="s">
        <v>8513</v>
      </c>
      <c r="BV189" s="1882">
        <v>0</v>
      </c>
      <c r="BW189" s="1882">
        <v>4.2</v>
      </c>
      <c r="BX189" s="1882" t="s">
        <v>2460</v>
      </c>
      <c r="BY189" s="1882">
        <v>0</v>
      </c>
      <c r="BZ189" s="1882">
        <v>0</v>
      </c>
      <c r="CA189" s="1882" t="s">
        <v>8563</v>
      </c>
      <c r="CB189" s="1882">
        <v>-4.7699999999999999E-2</v>
      </c>
      <c r="CC189" s="1882">
        <v>4.3</v>
      </c>
      <c r="CD189" s="1882" t="s">
        <v>2460</v>
      </c>
      <c r="CE189" s="1882">
        <v>0</v>
      </c>
      <c r="CF189" s="1882">
        <v>0</v>
      </c>
      <c r="CG189" s="1882" t="s">
        <v>8384</v>
      </c>
      <c r="CH189" s="1882">
        <v>-2.4299999999999999E-2</v>
      </c>
      <c r="CI189" s="1882">
        <v>4.3</v>
      </c>
      <c r="CJ189" s="1882" t="s">
        <v>2460</v>
      </c>
      <c r="CK189" s="1882">
        <v>0</v>
      </c>
      <c r="CL189" s="1882">
        <v>0</v>
      </c>
      <c r="CM189" s="1882" t="s">
        <v>8384</v>
      </c>
      <c r="CN189" s="1882">
        <v>-2.4300000000000092E-2</v>
      </c>
      <c r="CP189" s="1882" t="s">
        <v>9683</v>
      </c>
    </row>
    <row r="190" spans="1:94">
      <c r="A190" s="1882" t="s">
        <v>9643</v>
      </c>
      <c r="B190" s="1882" t="s">
        <v>9684</v>
      </c>
      <c r="C190" s="1882" t="s">
        <v>8394</v>
      </c>
      <c r="D190" s="1882" t="s">
        <v>1626</v>
      </c>
      <c r="E190" s="1882" t="s">
        <v>8503</v>
      </c>
      <c r="F190" s="1882" t="s">
        <v>9680</v>
      </c>
      <c r="G190" s="1882" t="s">
        <v>8296</v>
      </c>
      <c r="H190" s="1882" t="s">
        <v>9685</v>
      </c>
      <c r="I190" s="1882" t="s">
        <v>9686</v>
      </c>
      <c r="J190" s="1882" t="s">
        <v>8508</v>
      </c>
      <c r="K190" s="1882" t="s">
        <v>8855</v>
      </c>
      <c r="L190" s="1882"/>
      <c r="M190" s="1882"/>
      <c r="N190" s="1882" t="s">
        <v>8613</v>
      </c>
      <c r="O190" s="1882" t="s">
        <v>764</v>
      </c>
      <c r="P190" s="1882" t="s">
        <v>9687</v>
      </c>
      <c r="Q190" s="520">
        <v>0</v>
      </c>
      <c r="R190" s="1882" t="s">
        <v>8511</v>
      </c>
      <c r="S190" s="1882">
        <v>60</v>
      </c>
      <c r="T190" s="1882">
        <v>60</v>
      </c>
      <c r="U190" s="1882">
        <v>60</v>
      </c>
      <c r="V190" s="1882">
        <v>60</v>
      </c>
      <c r="W190" s="1882">
        <v>60</v>
      </c>
      <c r="X190" s="1882">
        <v>60</v>
      </c>
      <c r="Y190" s="1882"/>
      <c r="Z190" s="1882"/>
      <c r="AA190" s="1882"/>
      <c r="AB190" s="1882"/>
      <c r="AC190" s="1882"/>
      <c r="AD190" s="1882"/>
      <c r="AE190" s="1882" t="s">
        <v>2459</v>
      </c>
      <c r="AF190" s="1882"/>
      <c r="AG190" s="1882"/>
      <c r="AH190" s="1882">
        <v>0</v>
      </c>
      <c r="AI190" s="1882" t="s">
        <v>2459</v>
      </c>
      <c r="AJ190" s="1882" t="s">
        <v>2459</v>
      </c>
      <c r="AK190" s="1882" t="s">
        <v>2459</v>
      </c>
      <c r="AL190" s="1882" t="s">
        <v>2459</v>
      </c>
      <c r="AM190" s="1882" t="s">
        <v>2459</v>
      </c>
      <c r="AN190" s="1882">
        <v>120</v>
      </c>
      <c r="AO190" s="1882">
        <v>120</v>
      </c>
      <c r="AP190" s="1882">
        <v>120</v>
      </c>
      <c r="AQ190" s="1882">
        <v>120</v>
      </c>
      <c r="AR190" s="1882">
        <v>120</v>
      </c>
      <c r="AS190" s="1882">
        <v>63</v>
      </c>
      <c r="AT190" s="1882">
        <v>63</v>
      </c>
      <c r="AU190" s="1882">
        <v>63</v>
      </c>
      <c r="AV190" s="1882">
        <v>63</v>
      </c>
      <c r="AW190" s="1882">
        <v>63</v>
      </c>
      <c r="AX190" s="1882">
        <v>57</v>
      </c>
      <c r="AY190" s="1882">
        <v>57</v>
      </c>
      <c r="AZ190" s="1882">
        <v>57</v>
      </c>
      <c r="BA190" s="1882">
        <v>57</v>
      </c>
      <c r="BB190" s="1882">
        <v>57</v>
      </c>
      <c r="BC190" s="1882">
        <v>0</v>
      </c>
      <c r="BD190" s="1882">
        <v>0</v>
      </c>
      <c r="BE190" s="1882">
        <v>0</v>
      </c>
      <c r="BF190" s="1882">
        <v>0</v>
      </c>
      <c r="BG190" s="1882">
        <v>0</v>
      </c>
      <c r="BH190" s="1882">
        <v>4.1599999999999997E-4</v>
      </c>
      <c r="BI190" s="1882"/>
      <c r="BJ190" s="1882"/>
      <c r="BK190" s="1882"/>
      <c r="BL190" s="1882">
        <v>4.1599999999999997E-4</v>
      </c>
      <c r="BM190" s="1882"/>
      <c r="BN190" s="1882">
        <v>1</v>
      </c>
      <c r="BO190" s="1882" t="s">
        <v>8512</v>
      </c>
      <c r="BP190" s="520">
        <v>60</v>
      </c>
      <c r="BQ190" s="693">
        <v>53</v>
      </c>
      <c r="BR190" s="1882" t="s">
        <v>2459</v>
      </c>
      <c r="BS190" s="1882" t="s">
        <v>8513</v>
      </c>
      <c r="BT190" s="1882">
        <v>0</v>
      </c>
      <c r="BU190" s="1882" t="s">
        <v>8376</v>
      </c>
      <c r="BV190" s="1882">
        <v>2E-3</v>
      </c>
      <c r="BW190" s="1882">
        <v>49</v>
      </c>
      <c r="BX190" s="1882" t="s">
        <v>2459</v>
      </c>
      <c r="BY190" s="1882">
        <v>0</v>
      </c>
      <c r="BZ190" s="1882">
        <v>0</v>
      </c>
      <c r="CA190" s="1882" t="s">
        <v>8376</v>
      </c>
      <c r="CB190" s="1882">
        <v>3.0000000000000001E-3</v>
      </c>
      <c r="CC190" s="1882">
        <v>47</v>
      </c>
      <c r="CD190" s="1882" t="s">
        <v>2459</v>
      </c>
      <c r="CE190" s="1882">
        <v>0</v>
      </c>
      <c r="CF190" s="1882">
        <v>0</v>
      </c>
      <c r="CG190" s="1882" t="s">
        <v>8376</v>
      </c>
      <c r="CH190" s="1882">
        <v>4.0000000000000001E-3</v>
      </c>
      <c r="CI190" s="1882">
        <v>47</v>
      </c>
      <c r="CJ190" s="1882" t="s">
        <v>2459</v>
      </c>
      <c r="CK190" s="1882">
        <v>0</v>
      </c>
      <c r="CL190" s="1882">
        <v>0</v>
      </c>
      <c r="CM190" s="1882" t="s">
        <v>8376</v>
      </c>
      <c r="CN190" s="1882">
        <v>4.1599999999999996E-3</v>
      </c>
      <c r="CP190" s="1882" t="s">
        <v>9688</v>
      </c>
    </row>
    <row r="191" spans="1:94">
      <c r="A191" s="1882" t="s">
        <v>9643</v>
      </c>
      <c r="B191" s="1882" t="s">
        <v>9689</v>
      </c>
      <c r="C191" s="1882" t="s">
        <v>8394</v>
      </c>
      <c r="D191" s="1882" t="s">
        <v>1626</v>
      </c>
      <c r="E191" s="1882" t="s">
        <v>8503</v>
      </c>
      <c r="F191" s="1882" t="s">
        <v>9690</v>
      </c>
      <c r="G191" s="1882" t="s">
        <v>8899</v>
      </c>
      <c r="H191" s="1882" t="s">
        <v>9691</v>
      </c>
      <c r="I191" s="1882" t="s">
        <v>9692</v>
      </c>
      <c r="J191" s="1882" t="s">
        <v>8508</v>
      </c>
      <c r="K191" s="1882" t="s">
        <v>8509</v>
      </c>
      <c r="L191" s="1882"/>
      <c r="M191" s="1882"/>
      <c r="N191" s="1882" t="s">
        <v>8695</v>
      </c>
      <c r="O191" s="1882" t="s">
        <v>8591</v>
      </c>
      <c r="P191" s="1882" t="s">
        <v>9648</v>
      </c>
      <c r="Q191" s="520">
        <v>1</v>
      </c>
      <c r="R191" s="1882" t="s">
        <v>8549</v>
      </c>
      <c r="S191" s="1882">
        <v>4.7</v>
      </c>
      <c r="T191" s="1882">
        <v>4.7</v>
      </c>
      <c r="U191" s="1882">
        <v>4.7</v>
      </c>
      <c r="V191" s="1882">
        <v>4.7</v>
      </c>
      <c r="W191" s="1882">
        <v>4.7</v>
      </c>
      <c r="X191" s="1882">
        <v>4.7</v>
      </c>
      <c r="Y191" s="1882"/>
      <c r="Z191" s="1882"/>
      <c r="AA191" s="1882"/>
      <c r="AB191" s="1882"/>
      <c r="AC191" s="1882"/>
      <c r="AD191" s="1882"/>
      <c r="AE191" s="1882"/>
      <c r="AF191" s="1882"/>
      <c r="AG191" s="1882"/>
      <c r="AH191" s="1882">
        <v>0</v>
      </c>
      <c r="AI191" s="1882"/>
      <c r="AJ191" s="1882" t="s">
        <v>2459</v>
      </c>
      <c r="AK191" s="1882" t="s">
        <v>2459</v>
      </c>
      <c r="AL191" s="1882" t="s">
        <v>2459</v>
      </c>
      <c r="AM191" s="1882" t="s">
        <v>2459</v>
      </c>
      <c r="AN191" s="1882"/>
      <c r="AO191" s="1882">
        <v>3.7</v>
      </c>
      <c r="AP191" s="1882">
        <v>3.7</v>
      </c>
      <c r="AQ191" s="1882">
        <v>3.7</v>
      </c>
      <c r="AR191" s="1882">
        <v>3.7</v>
      </c>
      <c r="AS191" s="1882"/>
      <c r="AT191" s="1882">
        <v>4.5999999999999996</v>
      </c>
      <c r="AU191" s="1882">
        <v>4.5999999999999996</v>
      </c>
      <c r="AV191" s="1882">
        <v>4.5999999999999996</v>
      </c>
      <c r="AW191" s="1882">
        <v>4.5999999999999996</v>
      </c>
      <c r="AX191" s="1882"/>
      <c r="AY191" s="1882">
        <v>4.8</v>
      </c>
      <c r="AZ191" s="1882">
        <v>4.8</v>
      </c>
      <c r="BA191" s="1882">
        <v>4.8</v>
      </c>
      <c r="BB191" s="1882">
        <v>4.8</v>
      </c>
      <c r="BC191" s="1882"/>
      <c r="BD191" s="1882">
        <v>5</v>
      </c>
      <c r="BE191" s="1882">
        <v>5</v>
      </c>
      <c r="BF191" s="1882">
        <v>5</v>
      </c>
      <c r="BG191" s="1882">
        <v>5</v>
      </c>
      <c r="BH191" s="1882">
        <v>6.0000000000000001E-3</v>
      </c>
      <c r="BI191" s="1882"/>
      <c r="BJ191" s="1882"/>
      <c r="BK191" s="1882"/>
      <c r="BL191" s="1882">
        <v>6.0000000000000001E-3</v>
      </c>
      <c r="BM191" s="1882"/>
      <c r="BN191" s="1882">
        <v>9</v>
      </c>
      <c r="BO191" s="1882" t="s">
        <v>9649</v>
      </c>
      <c r="BP191" s="520" t="s">
        <v>8513</v>
      </c>
      <c r="BQ191" s="690">
        <v>4.5999999999999996</v>
      </c>
      <c r="BR191" s="1882" t="s">
        <v>2460</v>
      </c>
      <c r="BS191" s="1882" t="s">
        <v>8513</v>
      </c>
      <c r="BT191" s="1882">
        <v>0</v>
      </c>
      <c r="BU191" s="1882" t="s">
        <v>8513</v>
      </c>
      <c r="BV191" s="1882">
        <v>0</v>
      </c>
      <c r="BW191" s="1882">
        <v>4.5999999999999996</v>
      </c>
      <c r="BX191" s="1882" t="s">
        <v>2460</v>
      </c>
      <c r="BY191" s="1882">
        <v>0</v>
      </c>
      <c r="BZ191" s="1882">
        <v>0</v>
      </c>
      <c r="CA191" s="1882" t="s">
        <v>8429</v>
      </c>
      <c r="CB191" s="1882">
        <v>0</v>
      </c>
      <c r="CC191" s="1882">
        <v>4.5999999999999996</v>
      </c>
      <c r="CD191" s="1882" t="s">
        <v>2460</v>
      </c>
      <c r="CE191" s="1882">
        <v>0</v>
      </c>
      <c r="CF191" s="1882">
        <v>0</v>
      </c>
      <c r="CG191" s="1882" t="s">
        <v>8380</v>
      </c>
      <c r="CH191" s="1882">
        <v>0</v>
      </c>
      <c r="CI191" s="1882">
        <v>4.5999999999999996</v>
      </c>
      <c r="CJ191" s="1882" t="s">
        <v>2460</v>
      </c>
      <c r="CK191" s="1882">
        <v>0</v>
      </c>
      <c r="CL191" s="1882">
        <v>0</v>
      </c>
      <c r="CM191" s="1882" t="s">
        <v>8388</v>
      </c>
      <c r="CN191" s="1882">
        <v>0</v>
      </c>
      <c r="CP191" s="1882" t="s">
        <v>9693</v>
      </c>
    </row>
    <row r="192" spans="1:94">
      <c r="A192" s="1882" t="s">
        <v>9643</v>
      </c>
      <c r="B192" s="1882" t="s">
        <v>9694</v>
      </c>
      <c r="C192" s="1882" t="s">
        <v>8394</v>
      </c>
      <c r="D192" s="1882" t="s">
        <v>1626</v>
      </c>
      <c r="E192" s="1882" t="s">
        <v>8503</v>
      </c>
      <c r="F192" s="1882" t="s">
        <v>9690</v>
      </c>
      <c r="G192" s="1882" t="s">
        <v>8935</v>
      </c>
      <c r="H192" s="1882" t="s">
        <v>9695</v>
      </c>
      <c r="I192" s="1882" t="s">
        <v>9696</v>
      </c>
      <c r="J192" s="1882" t="s">
        <v>8508</v>
      </c>
      <c r="K192" s="1882" t="s">
        <v>8509</v>
      </c>
      <c r="L192" s="1882"/>
      <c r="M192" s="1882"/>
      <c r="N192" s="1882" t="s">
        <v>2450</v>
      </c>
      <c r="O192" s="1882" t="s">
        <v>8607</v>
      </c>
      <c r="P192" s="1882" t="s">
        <v>8608</v>
      </c>
      <c r="Q192" s="520">
        <v>1</v>
      </c>
      <c r="R192" s="1882" t="s">
        <v>8511</v>
      </c>
      <c r="S192" s="1882">
        <v>13</v>
      </c>
      <c r="T192" s="1882">
        <v>12.7</v>
      </c>
      <c r="U192" s="1882">
        <v>12.3</v>
      </c>
      <c r="V192" s="1882">
        <v>12</v>
      </c>
      <c r="W192" s="1882">
        <v>12</v>
      </c>
      <c r="X192" s="1882">
        <v>12</v>
      </c>
      <c r="Y192" s="1882"/>
      <c r="Z192" s="1882"/>
      <c r="AA192" s="1882" t="s">
        <v>2459</v>
      </c>
      <c r="AB192" s="1882"/>
      <c r="AC192" s="1882"/>
      <c r="AD192" s="1882"/>
      <c r="AE192" s="1882" t="s">
        <v>2459</v>
      </c>
      <c r="AF192" s="1882"/>
      <c r="AG192" s="1882"/>
      <c r="AH192" s="1882">
        <v>0</v>
      </c>
      <c r="AI192" s="1882" t="s">
        <v>2459</v>
      </c>
      <c r="AJ192" s="1882" t="s">
        <v>2459</v>
      </c>
      <c r="AK192" s="1882" t="s">
        <v>2459</v>
      </c>
      <c r="AL192" s="1882" t="s">
        <v>2459</v>
      </c>
      <c r="AM192" s="1882" t="s">
        <v>2459</v>
      </c>
      <c r="AN192" s="1882">
        <v>20</v>
      </c>
      <c r="AO192" s="1882">
        <v>20</v>
      </c>
      <c r="AP192" s="1882">
        <v>22</v>
      </c>
      <c r="AQ192" s="1882">
        <v>22</v>
      </c>
      <c r="AR192" s="1882">
        <v>22</v>
      </c>
      <c r="AS192" s="1882">
        <v>13</v>
      </c>
      <c r="AT192" s="1882">
        <v>13</v>
      </c>
      <c r="AU192" s="1882">
        <v>12</v>
      </c>
      <c r="AV192" s="1882">
        <v>12</v>
      </c>
      <c r="AW192" s="1882">
        <v>12</v>
      </c>
      <c r="AX192" s="1882">
        <v>12</v>
      </c>
      <c r="AY192" s="1882">
        <v>12</v>
      </c>
      <c r="AZ192" s="1882">
        <v>12</v>
      </c>
      <c r="BA192" s="1882">
        <v>12</v>
      </c>
      <c r="BB192" s="1882">
        <v>12</v>
      </c>
      <c r="BC192" s="1882">
        <v>5</v>
      </c>
      <c r="BD192" s="1882">
        <v>5</v>
      </c>
      <c r="BE192" s="1882">
        <v>5</v>
      </c>
      <c r="BF192" s="1882">
        <v>5</v>
      </c>
      <c r="BG192" s="1882">
        <v>5</v>
      </c>
      <c r="BH192" s="1882">
        <v>0.13300000000000001</v>
      </c>
      <c r="BI192" s="1882"/>
      <c r="BJ192" s="1882"/>
      <c r="BK192" s="1882"/>
      <c r="BL192" s="1882">
        <v>0.13300000000000001</v>
      </c>
      <c r="BM192" s="1882"/>
      <c r="BN192" s="1882">
        <v>1</v>
      </c>
      <c r="BO192" s="1882" t="s">
        <v>8512</v>
      </c>
      <c r="BP192" s="520">
        <v>8</v>
      </c>
      <c r="BQ192" s="690">
        <v>32.049999999999997</v>
      </c>
      <c r="BR192" s="1882" t="s">
        <v>2460</v>
      </c>
      <c r="BS192" s="1882" t="s">
        <v>8513</v>
      </c>
      <c r="BT192" s="1882">
        <v>0</v>
      </c>
      <c r="BU192" s="1882" t="s">
        <v>8563</v>
      </c>
      <c r="BV192" s="1882">
        <v>-0.93184</v>
      </c>
      <c r="BW192" s="1882">
        <v>12.9</v>
      </c>
      <c r="BX192" s="1882" t="s">
        <v>2460</v>
      </c>
      <c r="BY192" s="1882">
        <v>0</v>
      </c>
      <c r="BZ192" s="1882">
        <v>0</v>
      </c>
      <c r="CA192" s="1882" t="s">
        <v>8429</v>
      </c>
      <c r="CB192" s="1882">
        <v>0</v>
      </c>
      <c r="CC192" s="1882">
        <v>44.6</v>
      </c>
      <c r="CD192" s="1882" t="s">
        <v>2460</v>
      </c>
      <c r="CE192" s="1882">
        <v>0</v>
      </c>
      <c r="CF192" s="1882">
        <v>0</v>
      </c>
      <c r="CG192" s="1882" t="s">
        <v>8384</v>
      </c>
      <c r="CH192" s="1882">
        <v>-1.331</v>
      </c>
      <c r="CI192" s="1882">
        <v>14.2</v>
      </c>
      <c r="CJ192" s="1882" t="s">
        <v>2460</v>
      </c>
      <c r="CK192" s="1882">
        <v>0</v>
      </c>
      <c r="CL192" s="1882">
        <v>0</v>
      </c>
      <c r="CM192" s="1882" t="s">
        <v>8384</v>
      </c>
      <c r="CN192" s="1882">
        <v>-0.2928639999999999</v>
      </c>
      <c r="CP192" s="1882" t="s">
        <v>9697</v>
      </c>
    </row>
    <row r="193" spans="1:94">
      <c r="A193" s="1882" t="s">
        <v>9643</v>
      </c>
      <c r="B193" s="1882" t="s">
        <v>9698</v>
      </c>
      <c r="C193" s="1882" t="s">
        <v>8394</v>
      </c>
      <c r="D193" s="1882" t="s">
        <v>1626</v>
      </c>
      <c r="E193" s="1882" t="s">
        <v>8503</v>
      </c>
      <c r="F193" s="1882" t="s">
        <v>9699</v>
      </c>
      <c r="G193" s="1882" t="s">
        <v>8907</v>
      </c>
      <c r="H193" s="1882" t="s">
        <v>9700</v>
      </c>
      <c r="I193" s="1882" t="s">
        <v>9701</v>
      </c>
      <c r="J193" s="1882" t="s">
        <v>8508</v>
      </c>
      <c r="K193" s="1882" t="s">
        <v>8509</v>
      </c>
      <c r="L193" s="1882"/>
      <c r="M193" s="1882"/>
      <c r="N193" s="1882" t="s">
        <v>8695</v>
      </c>
      <c r="O193" s="1882" t="s">
        <v>8591</v>
      </c>
      <c r="P193" s="1882" t="s">
        <v>9648</v>
      </c>
      <c r="Q193" s="520">
        <v>1</v>
      </c>
      <c r="R193" s="1882" t="s">
        <v>8549</v>
      </c>
      <c r="S193" s="1882">
        <v>4.0999999999999996</v>
      </c>
      <c r="T193" s="1882">
        <v>4.0999999999999996</v>
      </c>
      <c r="U193" s="1882">
        <v>4.0999999999999996</v>
      </c>
      <c r="V193" s="1882">
        <v>4.0999999999999996</v>
      </c>
      <c r="W193" s="1882">
        <v>4.0999999999999996</v>
      </c>
      <c r="X193" s="1882">
        <v>4.0999999999999996</v>
      </c>
      <c r="Y193" s="1882"/>
      <c r="Z193" s="1882"/>
      <c r="AA193" s="1882"/>
      <c r="AB193" s="1882"/>
      <c r="AC193" s="1882"/>
      <c r="AD193" s="1882"/>
      <c r="AE193" s="1882"/>
      <c r="AF193" s="1882"/>
      <c r="AG193" s="1882"/>
      <c r="AH193" s="1882">
        <v>0</v>
      </c>
      <c r="AI193" s="1882"/>
      <c r="AJ193" s="1882" t="s">
        <v>2459</v>
      </c>
      <c r="AK193" s="1882" t="s">
        <v>2459</v>
      </c>
      <c r="AL193" s="1882" t="s">
        <v>2459</v>
      </c>
      <c r="AM193" s="1882" t="s">
        <v>2459</v>
      </c>
      <c r="AN193" s="1882"/>
      <c r="AO193" s="1882">
        <v>3.1</v>
      </c>
      <c r="AP193" s="1882">
        <v>3.1</v>
      </c>
      <c r="AQ193" s="1882">
        <v>3.1</v>
      </c>
      <c r="AR193" s="1882">
        <v>3.1</v>
      </c>
      <c r="AS193" s="1882"/>
      <c r="AT193" s="1882">
        <v>4</v>
      </c>
      <c r="AU193" s="1882">
        <v>4</v>
      </c>
      <c r="AV193" s="1882">
        <v>4</v>
      </c>
      <c r="AW193" s="1882">
        <v>4</v>
      </c>
      <c r="AX193" s="1882"/>
      <c r="AY193" s="1882">
        <v>4.2</v>
      </c>
      <c r="AZ193" s="1882">
        <v>4.2</v>
      </c>
      <c r="BA193" s="1882">
        <v>4.2</v>
      </c>
      <c r="BB193" s="1882">
        <v>4.2</v>
      </c>
      <c r="BC193" s="1882"/>
      <c r="BD193" s="1882">
        <v>5</v>
      </c>
      <c r="BE193" s="1882">
        <v>5</v>
      </c>
      <c r="BF193" s="1882">
        <v>5</v>
      </c>
      <c r="BG193" s="1882">
        <v>5</v>
      </c>
      <c r="BH193" s="1882">
        <v>2.4E-2</v>
      </c>
      <c r="BI193" s="1882"/>
      <c r="BJ193" s="1882"/>
      <c r="BK193" s="1882"/>
      <c r="BL193" s="1882">
        <v>2.4E-2</v>
      </c>
      <c r="BM193" s="1882"/>
      <c r="BN193" s="1882">
        <v>9</v>
      </c>
      <c r="BO193" s="1882" t="s">
        <v>9649</v>
      </c>
      <c r="BP193" s="520" t="s">
        <v>8513</v>
      </c>
      <c r="BQ193" s="690">
        <v>4.2</v>
      </c>
      <c r="BR193" s="1882" t="s">
        <v>2459</v>
      </c>
      <c r="BS193" s="1882" t="s">
        <v>8513</v>
      </c>
      <c r="BT193" s="1882">
        <v>0</v>
      </c>
      <c r="BU193" s="1882" t="s">
        <v>8513</v>
      </c>
      <c r="BV193" s="1882">
        <v>0</v>
      </c>
      <c r="BW193" s="1882">
        <v>4.4000000000000004</v>
      </c>
      <c r="BX193" s="1882" t="s">
        <v>2459</v>
      </c>
      <c r="BY193" s="1882">
        <v>0</v>
      </c>
      <c r="BZ193" s="1882">
        <v>0</v>
      </c>
      <c r="CA193" s="1882" t="s">
        <v>8376</v>
      </c>
      <c r="CB193" s="1882">
        <v>4.3200000000000002E-2</v>
      </c>
      <c r="CC193" s="1882">
        <v>4.4000000000000004</v>
      </c>
      <c r="CD193" s="1882" t="s">
        <v>2459</v>
      </c>
      <c r="CE193" s="1882">
        <v>0</v>
      </c>
      <c r="CF193" s="1882">
        <v>0</v>
      </c>
      <c r="CG193" s="1882" t="s">
        <v>8376</v>
      </c>
      <c r="CH193" s="1882">
        <v>4.3200000000000002E-2</v>
      </c>
      <c r="CI193" s="1882">
        <v>4.4000000000000004</v>
      </c>
      <c r="CJ193" s="1882" t="s">
        <v>2459</v>
      </c>
      <c r="CK193" s="1882">
        <v>0</v>
      </c>
      <c r="CL193" s="1882">
        <v>0</v>
      </c>
      <c r="CM193" s="1882" t="s">
        <v>8376</v>
      </c>
      <c r="CN193" s="1882">
        <v>4.3200000000000273E-2</v>
      </c>
      <c r="CP193" s="1882" t="s">
        <v>9702</v>
      </c>
    </row>
    <row r="194" spans="1:94">
      <c r="A194" s="1882" t="s">
        <v>9643</v>
      </c>
      <c r="B194" s="1882" t="s">
        <v>9703</v>
      </c>
      <c r="C194" s="1882" t="s">
        <v>8394</v>
      </c>
      <c r="D194" s="1882" t="s">
        <v>1626</v>
      </c>
      <c r="E194" s="1882" t="s">
        <v>8503</v>
      </c>
      <c r="F194" s="1882" t="s">
        <v>9699</v>
      </c>
      <c r="G194" s="1882" t="s">
        <v>8913</v>
      </c>
      <c r="H194" s="1882" t="s">
        <v>9704</v>
      </c>
      <c r="I194" s="1882" t="s">
        <v>9705</v>
      </c>
      <c r="J194" s="1882" t="s">
        <v>8519</v>
      </c>
      <c r="K194" s="1882" t="s">
        <v>8509</v>
      </c>
      <c r="L194" s="1882"/>
      <c r="M194" s="1882" t="s">
        <v>2460</v>
      </c>
      <c r="N194" s="1882" t="s">
        <v>8527</v>
      </c>
      <c r="O194" s="1882" t="s">
        <v>764</v>
      </c>
      <c r="P194" s="1882" t="s">
        <v>8510</v>
      </c>
      <c r="Q194" s="520">
        <v>0</v>
      </c>
      <c r="R194" s="1882" t="s">
        <v>8511</v>
      </c>
      <c r="S194" s="1882">
        <v>0</v>
      </c>
      <c r="T194" s="1882">
        <v>0</v>
      </c>
      <c r="U194" s="1882">
        <v>0</v>
      </c>
      <c r="V194" s="1882">
        <v>0</v>
      </c>
      <c r="W194" s="1882">
        <v>0</v>
      </c>
      <c r="X194" s="1882">
        <v>0</v>
      </c>
      <c r="Y194" s="1882"/>
      <c r="Z194" s="1882"/>
      <c r="AA194" s="1882"/>
      <c r="AB194" s="1882"/>
      <c r="AC194" s="1882"/>
      <c r="AD194" s="1882"/>
      <c r="AE194" s="1882"/>
      <c r="AF194" s="1882"/>
      <c r="AG194" s="1882"/>
      <c r="AH194" s="1882">
        <v>0</v>
      </c>
      <c r="AI194" s="1882" t="s">
        <v>2459</v>
      </c>
      <c r="AJ194" s="1882" t="s">
        <v>2459</v>
      </c>
      <c r="AK194" s="1882" t="s">
        <v>2459</v>
      </c>
      <c r="AL194" s="1882" t="s">
        <v>2459</v>
      </c>
      <c r="AM194" s="1882" t="s">
        <v>2459</v>
      </c>
      <c r="AN194" s="1882" t="s">
        <v>9706</v>
      </c>
      <c r="AO194" s="1882" t="s">
        <v>9706</v>
      </c>
      <c r="AP194" s="1882" t="s">
        <v>9706</v>
      </c>
      <c r="AQ194" s="1882" t="s">
        <v>9706</v>
      </c>
      <c r="AR194" s="1882" t="s">
        <v>9706</v>
      </c>
      <c r="AS194" s="1882">
        <v>0</v>
      </c>
      <c r="AT194" s="1882">
        <v>0</v>
      </c>
      <c r="AU194" s="1882">
        <v>0</v>
      </c>
      <c r="AV194" s="1882">
        <v>0</v>
      </c>
      <c r="AW194" s="1882">
        <v>0</v>
      </c>
      <c r="AX194" s="1882"/>
      <c r="AY194" s="1882"/>
      <c r="AZ194" s="1882"/>
      <c r="BA194" s="1882"/>
      <c r="BB194" s="1882"/>
      <c r="BC194" s="1882"/>
      <c r="BD194" s="1882"/>
      <c r="BE194" s="1882"/>
      <c r="BF194" s="1882"/>
      <c r="BG194" s="1882"/>
      <c r="BH194" s="1882">
        <v>0.504</v>
      </c>
      <c r="BI194" s="1882"/>
      <c r="BJ194" s="1882"/>
      <c r="BK194" s="1882"/>
      <c r="BL194" s="1882"/>
      <c r="BM194" s="1882"/>
      <c r="BN194" s="1882">
        <v>1</v>
      </c>
      <c r="BO194" s="1882" t="s">
        <v>8512</v>
      </c>
      <c r="BP194" s="520" t="s">
        <v>8513</v>
      </c>
      <c r="BQ194" s="693">
        <v>0</v>
      </c>
      <c r="BR194" s="1882" t="s">
        <v>2459</v>
      </c>
      <c r="BS194" s="1882" t="s">
        <v>8513</v>
      </c>
      <c r="BT194" s="1882">
        <v>0</v>
      </c>
      <c r="BU194" s="1882" t="s">
        <v>8513</v>
      </c>
      <c r="BV194" s="1882">
        <v>0</v>
      </c>
      <c r="BW194" s="1882">
        <v>0</v>
      </c>
      <c r="BX194" s="1882" t="s">
        <v>2459</v>
      </c>
      <c r="BY194" s="1882">
        <v>0</v>
      </c>
      <c r="BZ194" s="1882">
        <v>0</v>
      </c>
      <c r="CA194" s="1882">
        <v>0</v>
      </c>
      <c r="CB194" s="1882">
        <v>0</v>
      </c>
      <c r="CC194" s="1882">
        <v>0</v>
      </c>
      <c r="CD194" s="1882" t="s">
        <v>2459</v>
      </c>
      <c r="CE194" s="1882">
        <v>0</v>
      </c>
      <c r="CF194" s="1882">
        <v>0</v>
      </c>
      <c r="CG194" s="1882">
        <v>0</v>
      </c>
      <c r="CH194" s="1882">
        <v>0</v>
      </c>
      <c r="CI194" s="1882">
        <v>0</v>
      </c>
      <c r="CJ194" s="1882" t="s">
        <v>2459</v>
      </c>
      <c r="CK194" s="1882">
        <v>0</v>
      </c>
      <c r="CL194" s="1882">
        <v>0</v>
      </c>
      <c r="CM194" s="1882">
        <v>0</v>
      </c>
      <c r="CN194" s="1882">
        <v>0</v>
      </c>
      <c r="CP194" s="1882" t="s">
        <v>9707</v>
      </c>
    </row>
    <row r="195" spans="1:94">
      <c r="A195" s="1882" t="s">
        <v>9643</v>
      </c>
      <c r="B195" s="1882" t="s">
        <v>9708</v>
      </c>
      <c r="C195" s="1882" t="s">
        <v>8394</v>
      </c>
      <c r="D195" s="1882" t="s">
        <v>1626</v>
      </c>
      <c r="E195" s="1882" t="s">
        <v>8503</v>
      </c>
      <c r="F195" s="1882" t="s">
        <v>9709</v>
      </c>
      <c r="G195" s="1882" t="s">
        <v>8942</v>
      </c>
      <c r="H195" s="1882" t="s">
        <v>9710</v>
      </c>
      <c r="I195" s="1882" t="s">
        <v>9711</v>
      </c>
      <c r="J195" s="1882" t="s">
        <v>8519</v>
      </c>
      <c r="K195" s="1882" t="s">
        <v>8509</v>
      </c>
      <c r="L195" s="1882"/>
      <c r="M195" s="1882"/>
      <c r="N195" s="1882" t="s">
        <v>8547</v>
      </c>
      <c r="O195" s="1882" t="s">
        <v>732</v>
      </c>
      <c r="P195" s="1882" t="s">
        <v>8548</v>
      </c>
      <c r="Q195" s="520">
        <v>2</v>
      </c>
      <c r="R195" s="1882" t="s">
        <v>8549</v>
      </c>
      <c r="S195" s="1882">
        <v>100</v>
      </c>
      <c r="T195" s="1882">
        <v>100</v>
      </c>
      <c r="U195" s="1882">
        <v>100</v>
      </c>
      <c r="V195" s="1882">
        <v>100</v>
      </c>
      <c r="W195" s="1882">
        <v>100</v>
      </c>
      <c r="X195" s="1882">
        <v>100</v>
      </c>
      <c r="Y195" s="1882" t="s">
        <v>2459</v>
      </c>
      <c r="Z195" s="1882"/>
      <c r="AA195" s="1882"/>
      <c r="AB195" s="1882"/>
      <c r="AC195" s="1882"/>
      <c r="AD195" s="1882"/>
      <c r="AE195" s="1882" t="s">
        <v>2459</v>
      </c>
      <c r="AF195" s="1882"/>
      <c r="AG195" s="1882"/>
      <c r="AH195" s="1882">
        <v>0</v>
      </c>
      <c r="AI195" s="1882" t="s">
        <v>2459</v>
      </c>
      <c r="AJ195" s="1882" t="s">
        <v>2459</v>
      </c>
      <c r="AK195" s="1882" t="s">
        <v>2459</v>
      </c>
      <c r="AL195" s="1882" t="s">
        <v>2459</v>
      </c>
      <c r="AM195" s="1882" t="s">
        <v>2459</v>
      </c>
      <c r="AN195" s="1882">
        <v>99.94</v>
      </c>
      <c r="AO195" s="1882">
        <v>99.94</v>
      </c>
      <c r="AP195" s="1882">
        <v>99.94</v>
      </c>
      <c r="AQ195" s="1882">
        <v>99.94</v>
      </c>
      <c r="AR195" s="1882">
        <v>99.94</v>
      </c>
      <c r="AS195" s="1882">
        <v>99.95</v>
      </c>
      <c r="AT195" s="1882">
        <v>99.95</v>
      </c>
      <c r="AU195" s="1882">
        <v>99.95</v>
      </c>
      <c r="AV195" s="1882">
        <v>99.95</v>
      </c>
      <c r="AW195" s="1882">
        <v>99.95</v>
      </c>
      <c r="AX195" s="1882"/>
      <c r="AY195" s="1882"/>
      <c r="AZ195" s="1882"/>
      <c r="BA195" s="1882"/>
      <c r="BB195" s="1882"/>
      <c r="BC195" s="1882"/>
      <c r="BD195" s="1882"/>
      <c r="BE195" s="1882"/>
      <c r="BF195" s="1882"/>
      <c r="BG195" s="1882"/>
      <c r="BH195" s="1882">
        <v>0.28399999999999997</v>
      </c>
      <c r="BI195" s="1882"/>
      <c r="BJ195" s="1882"/>
      <c r="BK195" s="1882"/>
      <c r="BL195" s="1882"/>
      <c r="BM195" s="1882"/>
      <c r="BN195" s="1882">
        <v>100</v>
      </c>
      <c r="BO195" s="1882" t="s">
        <v>8884</v>
      </c>
      <c r="BP195" s="520">
        <v>99.96</v>
      </c>
      <c r="BQ195" s="694">
        <v>99.96</v>
      </c>
      <c r="BR195" s="1882" t="s">
        <v>2460</v>
      </c>
      <c r="BS195" s="1882" t="s">
        <v>8513</v>
      </c>
      <c r="BT195" s="1882">
        <v>0</v>
      </c>
      <c r="BU195" s="1882" t="s">
        <v>8429</v>
      </c>
      <c r="BV195" s="1882">
        <v>0</v>
      </c>
      <c r="BW195" s="1882">
        <v>99.95</v>
      </c>
      <c r="BX195" s="1882" t="s">
        <v>2460</v>
      </c>
      <c r="BY195" s="1882">
        <v>0</v>
      </c>
      <c r="BZ195" s="1882">
        <v>0</v>
      </c>
      <c r="CA195" s="1882" t="s">
        <v>8429</v>
      </c>
      <c r="CB195" s="1882">
        <v>0</v>
      </c>
      <c r="CC195" s="1882">
        <v>99.95</v>
      </c>
      <c r="CD195" s="1882" t="s">
        <v>2460</v>
      </c>
      <c r="CE195" s="1882">
        <v>0</v>
      </c>
      <c r="CF195" s="1882">
        <v>0</v>
      </c>
      <c r="CG195" s="1882" t="s">
        <v>8388</v>
      </c>
      <c r="CH195" s="1882">
        <v>0</v>
      </c>
      <c r="CI195" s="1882">
        <v>99.98</v>
      </c>
      <c r="CJ195" s="1882" t="s">
        <v>2460</v>
      </c>
      <c r="CK195" s="1882">
        <v>0</v>
      </c>
      <c r="CL195" s="1882">
        <v>0</v>
      </c>
      <c r="CM195" s="1882" t="s">
        <v>8388</v>
      </c>
      <c r="CN195" s="1882">
        <v>0</v>
      </c>
      <c r="CP195" s="1882" t="s">
        <v>9712</v>
      </c>
    </row>
    <row r="196" spans="1:94">
      <c r="A196" s="1882" t="s">
        <v>9643</v>
      </c>
      <c r="B196" s="1882" t="s">
        <v>9713</v>
      </c>
      <c r="C196" s="1882" t="s">
        <v>8394</v>
      </c>
      <c r="D196" s="1882" t="s">
        <v>1626</v>
      </c>
      <c r="E196" s="1882" t="s">
        <v>8503</v>
      </c>
      <c r="F196" s="1882" t="s">
        <v>9714</v>
      </c>
      <c r="G196" s="1882" t="s">
        <v>8948</v>
      </c>
      <c r="H196" s="1882" t="s">
        <v>9715</v>
      </c>
      <c r="I196" s="1882" t="s">
        <v>9716</v>
      </c>
      <c r="J196" s="1882" t="s">
        <v>8539</v>
      </c>
      <c r="K196" s="1882"/>
      <c r="L196" s="1882"/>
      <c r="M196" s="1882"/>
      <c r="N196" s="1882" t="s">
        <v>8673</v>
      </c>
      <c r="O196" s="1882" t="s">
        <v>764</v>
      </c>
      <c r="P196" s="1882" t="s">
        <v>9717</v>
      </c>
      <c r="Q196" s="520">
        <v>0</v>
      </c>
      <c r="R196" s="1882" t="s">
        <v>8511</v>
      </c>
      <c r="S196" s="1882">
        <v>0</v>
      </c>
      <c r="T196" s="1882">
        <v>0</v>
      </c>
      <c r="U196" s="1882">
        <v>0</v>
      </c>
      <c r="V196" s="1882">
        <v>0</v>
      </c>
      <c r="W196" s="1882">
        <v>0</v>
      </c>
      <c r="X196" s="1882">
        <v>0</v>
      </c>
      <c r="Y196" s="1882"/>
      <c r="Z196" s="1882"/>
      <c r="AA196" s="1882"/>
      <c r="AB196" s="1882"/>
      <c r="AC196" s="1882"/>
      <c r="AD196" s="1882"/>
      <c r="AE196" s="1882" t="s">
        <v>2459</v>
      </c>
      <c r="AF196" s="1882"/>
      <c r="AG196" s="1882"/>
      <c r="AH196" s="1882">
        <v>0</v>
      </c>
      <c r="AI196" s="1882"/>
      <c r="AJ196" s="1882"/>
      <c r="AK196" s="1882"/>
      <c r="AL196" s="1882"/>
      <c r="AM196" s="1882"/>
      <c r="AN196" s="1882"/>
      <c r="AO196" s="1882"/>
      <c r="AP196" s="1882"/>
      <c r="AQ196" s="1882"/>
      <c r="AR196" s="1882"/>
      <c r="AS196" s="1882"/>
      <c r="AT196" s="1882"/>
      <c r="AU196" s="1882"/>
      <c r="AV196" s="1882"/>
      <c r="AW196" s="1882"/>
      <c r="AX196" s="1882"/>
      <c r="AY196" s="1882"/>
      <c r="AZ196" s="1882"/>
      <c r="BA196" s="1882"/>
      <c r="BB196" s="1882"/>
      <c r="BC196" s="1882"/>
      <c r="BD196" s="1882"/>
      <c r="BE196" s="1882"/>
      <c r="BF196" s="1882"/>
      <c r="BG196" s="1882"/>
      <c r="BH196" s="1882"/>
      <c r="BI196" s="1882"/>
      <c r="BJ196" s="1882"/>
      <c r="BK196" s="1882"/>
      <c r="BL196" s="1882"/>
      <c r="BM196" s="1882"/>
      <c r="BN196" s="1882"/>
      <c r="BO196" s="1882"/>
      <c r="BP196" s="520" t="s">
        <v>8513</v>
      </c>
      <c r="BQ196" s="693">
        <v>25</v>
      </c>
      <c r="BR196" s="1882" t="s">
        <v>2460</v>
      </c>
      <c r="BS196" s="1882" t="s">
        <v>8513</v>
      </c>
      <c r="BT196" s="1882">
        <v>0</v>
      </c>
      <c r="BU196" s="1882" t="s">
        <v>8513</v>
      </c>
      <c r="BV196" s="1882">
        <v>0</v>
      </c>
      <c r="BW196" s="1882">
        <v>5</v>
      </c>
      <c r="BX196" s="1882" t="s">
        <v>2460</v>
      </c>
      <c r="BY196" s="1882">
        <v>0</v>
      </c>
      <c r="BZ196" s="1882">
        <v>0</v>
      </c>
      <c r="CA196" s="1882">
        <v>0</v>
      </c>
      <c r="CB196" s="1882">
        <v>0</v>
      </c>
      <c r="CC196" s="1882">
        <v>215</v>
      </c>
      <c r="CD196" s="1882" t="s">
        <v>2460</v>
      </c>
      <c r="CE196" s="1882">
        <v>0</v>
      </c>
      <c r="CF196" s="1882">
        <v>0</v>
      </c>
      <c r="CG196" s="1882">
        <v>0</v>
      </c>
      <c r="CH196" s="1882">
        <v>0</v>
      </c>
      <c r="CI196" s="1882">
        <v>11</v>
      </c>
      <c r="CJ196" s="1882" t="s">
        <v>2460</v>
      </c>
      <c r="CK196" s="1882">
        <v>0</v>
      </c>
      <c r="CL196" s="1882">
        <v>0</v>
      </c>
      <c r="CM196" s="1882">
        <v>0</v>
      </c>
      <c r="CN196" s="1882">
        <v>0</v>
      </c>
      <c r="CP196" s="1882" t="s">
        <v>9718</v>
      </c>
    </row>
    <row r="197" spans="1:94">
      <c r="A197" s="1882" t="s">
        <v>9643</v>
      </c>
      <c r="B197" s="1882" t="s">
        <v>9719</v>
      </c>
      <c r="C197" s="1882" t="s">
        <v>8394</v>
      </c>
      <c r="D197" s="1882" t="s">
        <v>1626</v>
      </c>
      <c r="E197" s="1882" t="s">
        <v>8503</v>
      </c>
      <c r="F197" s="1882" t="s">
        <v>9714</v>
      </c>
      <c r="G197" s="1882" t="s">
        <v>8955</v>
      </c>
      <c r="H197" s="1882" t="s">
        <v>9720</v>
      </c>
      <c r="I197" s="1882" t="s">
        <v>9721</v>
      </c>
      <c r="J197" s="1882" t="s">
        <v>8539</v>
      </c>
      <c r="K197" s="1882"/>
      <c r="L197" s="1882"/>
      <c r="M197" s="1882"/>
      <c r="N197" s="1882" t="s">
        <v>8673</v>
      </c>
      <c r="O197" s="1882" t="s">
        <v>764</v>
      </c>
      <c r="P197" s="1882" t="s">
        <v>9722</v>
      </c>
      <c r="Q197" s="520">
        <v>0</v>
      </c>
      <c r="R197" s="1882" t="s">
        <v>8511</v>
      </c>
      <c r="S197" s="1882">
        <v>0</v>
      </c>
      <c r="T197" s="1882">
        <v>0</v>
      </c>
      <c r="U197" s="1882">
        <v>0</v>
      </c>
      <c r="V197" s="1882">
        <v>0</v>
      </c>
      <c r="W197" s="1882">
        <v>0</v>
      </c>
      <c r="X197" s="1882">
        <v>0</v>
      </c>
      <c r="Y197" s="1882"/>
      <c r="Z197" s="1882"/>
      <c r="AA197" s="1882"/>
      <c r="AB197" s="1882"/>
      <c r="AC197" s="1882"/>
      <c r="AD197" s="1882"/>
      <c r="AE197" s="1882" t="s">
        <v>2459</v>
      </c>
      <c r="AF197" s="1882"/>
      <c r="AG197" s="1882"/>
      <c r="AH197" s="1882">
        <v>0</v>
      </c>
      <c r="AI197" s="1882"/>
      <c r="AJ197" s="1882"/>
      <c r="AK197" s="1882"/>
      <c r="AL197" s="1882"/>
      <c r="AM197" s="1882"/>
      <c r="AN197" s="1882"/>
      <c r="AO197" s="1882"/>
      <c r="AP197" s="1882"/>
      <c r="AQ197" s="1882"/>
      <c r="AR197" s="1882"/>
      <c r="AS197" s="1882"/>
      <c r="AT197" s="1882"/>
      <c r="AU197" s="1882"/>
      <c r="AV197" s="1882"/>
      <c r="AW197" s="1882"/>
      <c r="AX197" s="1882"/>
      <c r="AY197" s="1882"/>
      <c r="AZ197" s="1882"/>
      <c r="BA197" s="1882"/>
      <c r="BB197" s="1882"/>
      <c r="BC197" s="1882"/>
      <c r="BD197" s="1882"/>
      <c r="BE197" s="1882"/>
      <c r="BF197" s="1882"/>
      <c r="BG197" s="1882"/>
      <c r="BH197" s="1882"/>
      <c r="BI197" s="1882"/>
      <c r="BJ197" s="1882"/>
      <c r="BK197" s="1882"/>
      <c r="BL197" s="1882"/>
      <c r="BM197" s="1882"/>
      <c r="BN197" s="1882"/>
      <c r="BO197" s="1882"/>
      <c r="BP197" s="520" t="s">
        <v>8513</v>
      </c>
      <c r="BQ197" s="693">
        <v>0</v>
      </c>
      <c r="BR197" s="1882" t="s">
        <v>2459</v>
      </c>
      <c r="BS197" s="1882" t="s">
        <v>8513</v>
      </c>
      <c r="BT197" s="1882">
        <v>0</v>
      </c>
      <c r="BU197" s="1882" t="s">
        <v>8513</v>
      </c>
      <c r="BV197" s="1882">
        <v>0</v>
      </c>
      <c r="BW197" s="1882">
        <v>2</v>
      </c>
      <c r="BX197" s="1882" t="s">
        <v>2460</v>
      </c>
      <c r="BY197" s="1882">
        <v>0</v>
      </c>
      <c r="BZ197" s="1882">
        <v>0</v>
      </c>
      <c r="CA197" s="1882">
        <v>0</v>
      </c>
      <c r="CB197" s="1882">
        <v>0</v>
      </c>
      <c r="CC197" s="1882">
        <v>1</v>
      </c>
      <c r="CD197" s="1882" t="s">
        <v>2460</v>
      </c>
      <c r="CE197" s="1882">
        <v>0</v>
      </c>
      <c r="CF197" s="1882">
        <v>0</v>
      </c>
      <c r="CG197" s="1882">
        <v>0</v>
      </c>
      <c r="CH197" s="1882">
        <v>0</v>
      </c>
      <c r="CI197" s="1882">
        <v>1</v>
      </c>
      <c r="CJ197" s="1882" t="s">
        <v>2460</v>
      </c>
      <c r="CK197" s="1882">
        <v>0</v>
      </c>
      <c r="CL197" s="1882">
        <v>0</v>
      </c>
      <c r="CM197" s="1882">
        <v>0</v>
      </c>
      <c r="CN197" s="1882">
        <v>0</v>
      </c>
      <c r="CP197" s="1882" t="s">
        <v>9723</v>
      </c>
    </row>
    <row r="198" spans="1:94">
      <c r="A198" s="1882" t="s">
        <v>9643</v>
      </c>
      <c r="B198" s="1882" t="s">
        <v>9724</v>
      </c>
      <c r="C198" s="1882" t="s">
        <v>8394</v>
      </c>
      <c r="D198" s="1882" t="s">
        <v>1626</v>
      </c>
      <c r="E198" s="1882" t="s">
        <v>8503</v>
      </c>
      <c r="F198" s="1882" t="s">
        <v>9725</v>
      </c>
      <c r="G198" s="1882" t="s">
        <v>8967</v>
      </c>
      <c r="H198" s="1882" t="s">
        <v>9726</v>
      </c>
      <c r="I198" s="1882" t="s">
        <v>9727</v>
      </c>
      <c r="J198" s="1882" t="s">
        <v>8539</v>
      </c>
      <c r="K198" s="1882"/>
      <c r="L198" s="1882"/>
      <c r="M198" s="1882"/>
      <c r="N198" s="1882" t="s">
        <v>9434</v>
      </c>
      <c r="O198" s="1882" t="s">
        <v>764</v>
      </c>
      <c r="P198" s="1882" t="s">
        <v>9728</v>
      </c>
      <c r="Q198" s="520">
        <v>0</v>
      </c>
      <c r="R198" s="1882" t="s">
        <v>8511</v>
      </c>
      <c r="S198" s="1882">
        <v>0</v>
      </c>
      <c r="T198" s="1882">
        <v>0</v>
      </c>
      <c r="U198" s="1882">
        <v>0</v>
      </c>
      <c r="V198" s="1882">
        <v>0</v>
      </c>
      <c r="W198" s="1882">
        <v>0</v>
      </c>
      <c r="X198" s="1882">
        <v>0</v>
      </c>
      <c r="Y198" s="1882"/>
      <c r="Z198" s="1882"/>
      <c r="AA198" s="1882"/>
      <c r="AB198" s="1882"/>
      <c r="AC198" s="1882"/>
      <c r="AD198" s="1882"/>
      <c r="AE198" s="1882"/>
      <c r="AF198" s="1882"/>
      <c r="AG198" s="1882"/>
      <c r="AH198" s="1882">
        <v>0</v>
      </c>
      <c r="AI198" s="1882"/>
      <c r="AJ198" s="1882"/>
      <c r="AK198" s="1882"/>
      <c r="AL198" s="1882"/>
      <c r="AM198" s="1882"/>
      <c r="AN198" s="1882"/>
      <c r="AO198" s="1882"/>
      <c r="AP198" s="1882"/>
      <c r="AQ198" s="1882"/>
      <c r="AR198" s="1882"/>
      <c r="AS198" s="1882"/>
      <c r="AT198" s="1882"/>
      <c r="AU198" s="1882"/>
      <c r="AV198" s="1882"/>
      <c r="AW198" s="1882"/>
      <c r="AX198" s="1882"/>
      <c r="AY198" s="1882"/>
      <c r="AZ198" s="1882"/>
      <c r="BA198" s="1882"/>
      <c r="BB198" s="1882"/>
      <c r="BC198" s="1882"/>
      <c r="BD198" s="1882"/>
      <c r="BE198" s="1882"/>
      <c r="BF198" s="1882"/>
      <c r="BG198" s="1882"/>
      <c r="BH198" s="1882"/>
      <c r="BI198" s="1882"/>
      <c r="BJ198" s="1882"/>
      <c r="BK198" s="1882"/>
      <c r="BL198" s="1882"/>
      <c r="BM198" s="1882"/>
      <c r="BN198" s="1882"/>
      <c r="BO198" s="1882"/>
      <c r="BP198" s="520" t="s">
        <v>8513</v>
      </c>
      <c r="BQ198" s="693">
        <v>0</v>
      </c>
      <c r="BR198" s="1882" t="s">
        <v>2459</v>
      </c>
      <c r="BS198" s="1882" t="s">
        <v>8513</v>
      </c>
      <c r="BT198" s="1882">
        <v>0</v>
      </c>
      <c r="BU198" s="1882" t="s">
        <v>8513</v>
      </c>
      <c r="BV198" s="1882">
        <v>0</v>
      </c>
      <c r="BW198" s="1882">
        <v>0</v>
      </c>
      <c r="BX198" s="1882" t="s">
        <v>2459</v>
      </c>
      <c r="BY198" s="1882">
        <v>0</v>
      </c>
      <c r="BZ198" s="1882">
        <v>0</v>
      </c>
      <c r="CA198" s="1882">
        <v>0</v>
      </c>
      <c r="CB198" s="1882">
        <v>0</v>
      </c>
      <c r="CC198" s="1882">
        <v>0</v>
      </c>
      <c r="CD198" s="1882" t="s">
        <v>2459</v>
      </c>
      <c r="CE198" s="1882">
        <v>0</v>
      </c>
      <c r="CF198" s="1882">
        <v>0</v>
      </c>
      <c r="CG198" s="1882">
        <v>0</v>
      </c>
      <c r="CH198" s="1882">
        <v>0</v>
      </c>
      <c r="CI198" s="1882">
        <v>0</v>
      </c>
      <c r="CJ198" s="1882" t="s">
        <v>2459</v>
      </c>
      <c r="CK198" s="1882">
        <v>0</v>
      </c>
      <c r="CL198" s="1882">
        <v>0</v>
      </c>
      <c r="CM198" s="1882">
        <v>0</v>
      </c>
      <c r="CN198" s="1882">
        <v>0</v>
      </c>
      <c r="CP198" s="1882" t="s">
        <v>9729</v>
      </c>
    </row>
    <row r="199" spans="1:94">
      <c r="A199" s="1882" t="s">
        <v>9643</v>
      </c>
      <c r="B199" s="1882" t="s">
        <v>9730</v>
      </c>
      <c r="C199" s="1882" t="s">
        <v>8394</v>
      </c>
      <c r="D199" s="1882" t="s">
        <v>1626</v>
      </c>
      <c r="E199" s="1882" t="s">
        <v>8503</v>
      </c>
      <c r="F199" s="1882" t="s">
        <v>9731</v>
      </c>
      <c r="G199" s="1882" t="s">
        <v>8974</v>
      </c>
      <c r="H199" s="1882" t="s">
        <v>9732</v>
      </c>
      <c r="I199" s="1882" t="s">
        <v>9733</v>
      </c>
      <c r="J199" s="1882" t="s">
        <v>8539</v>
      </c>
      <c r="K199" s="1882"/>
      <c r="L199" s="1882"/>
      <c r="M199" s="1882"/>
      <c r="N199" s="1882" t="s">
        <v>4596</v>
      </c>
      <c r="O199" s="1882" t="s">
        <v>764</v>
      </c>
      <c r="P199" s="1882" t="s">
        <v>9734</v>
      </c>
      <c r="Q199" s="520">
        <v>0</v>
      </c>
      <c r="R199" s="1882" t="s">
        <v>8511</v>
      </c>
      <c r="S199" s="1882">
        <v>0</v>
      </c>
      <c r="T199" s="1882">
        <v>0</v>
      </c>
      <c r="U199" s="1882">
        <v>0</v>
      </c>
      <c r="V199" s="1882">
        <v>0</v>
      </c>
      <c r="W199" s="1882">
        <v>0</v>
      </c>
      <c r="X199" s="1882">
        <v>0</v>
      </c>
      <c r="Y199" s="1882"/>
      <c r="Z199" s="1882"/>
      <c r="AA199" s="1882"/>
      <c r="AB199" s="1882"/>
      <c r="AC199" s="1882"/>
      <c r="AD199" s="1882"/>
      <c r="AE199" s="1882"/>
      <c r="AF199" s="1882"/>
      <c r="AG199" s="1882"/>
      <c r="AH199" s="1882">
        <v>0</v>
      </c>
      <c r="AI199" s="1882"/>
      <c r="AJ199" s="1882"/>
      <c r="AK199" s="1882"/>
      <c r="AL199" s="1882"/>
      <c r="AM199" s="1882"/>
      <c r="AN199" s="1882"/>
      <c r="AO199" s="1882"/>
      <c r="AP199" s="1882"/>
      <c r="AQ199" s="1882"/>
      <c r="AR199" s="1882"/>
      <c r="AS199" s="1882"/>
      <c r="AT199" s="1882"/>
      <c r="AU199" s="1882"/>
      <c r="AV199" s="1882"/>
      <c r="AW199" s="1882"/>
      <c r="AX199" s="1882"/>
      <c r="AY199" s="1882"/>
      <c r="AZ199" s="1882"/>
      <c r="BA199" s="1882"/>
      <c r="BB199" s="1882"/>
      <c r="BC199" s="1882"/>
      <c r="BD199" s="1882"/>
      <c r="BE199" s="1882"/>
      <c r="BF199" s="1882"/>
      <c r="BG199" s="1882"/>
      <c r="BH199" s="1882"/>
      <c r="BI199" s="1882"/>
      <c r="BJ199" s="1882"/>
      <c r="BK199" s="1882"/>
      <c r="BL199" s="1882"/>
      <c r="BM199" s="1882"/>
      <c r="BN199" s="1882"/>
      <c r="BO199" s="1882"/>
      <c r="BP199" s="520" t="s">
        <v>8513</v>
      </c>
      <c r="BQ199" s="693">
        <v>0</v>
      </c>
      <c r="BR199" s="1882" t="s">
        <v>2459</v>
      </c>
      <c r="BS199" s="1882" t="s">
        <v>8513</v>
      </c>
      <c r="BT199" s="1882">
        <v>0</v>
      </c>
      <c r="BU199" s="1882" t="s">
        <v>8513</v>
      </c>
      <c r="BV199" s="1882">
        <v>0</v>
      </c>
      <c r="BW199" s="1882">
        <v>0</v>
      </c>
      <c r="BX199" s="1882" t="s">
        <v>2459</v>
      </c>
      <c r="BY199" s="1882">
        <v>0</v>
      </c>
      <c r="BZ199" s="1882">
        <v>0</v>
      </c>
      <c r="CA199" s="1882">
        <v>0</v>
      </c>
      <c r="CB199" s="1882">
        <v>0</v>
      </c>
      <c r="CC199" s="1882">
        <v>0</v>
      </c>
      <c r="CD199" s="1882" t="s">
        <v>2459</v>
      </c>
      <c r="CE199" s="1882">
        <v>0</v>
      </c>
      <c r="CF199" s="1882">
        <v>0</v>
      </c>
      <c r="CG199" s="1882">
        <v>0</v>
      </c>
      <c r="CH199" s="1882">
        <v>0</v>
      </c>
      <c r="CI199" s="1882">
        <v>0</v>
      </c>
      <c r="CJ199" s="1882" t="s">
        <v>2459</v>
      </c>
      <c r="CK199" s="1882">
        <v>0</v>
      </c>
      <c r="CL199" s="1882">
        <v>0</v>
      </c>
      <c r="CM199" s="1882">
        <v>0</v>
      </c>
      <c r="CN199" s="1882">
        <v>0</v>
      </c>
      <c r="CP199" s="1882" t="s">
        <v>9735</v>
      </c>
    </row>
    <row r="200" spans="1:94">
      <c r="A200" s="1882" t="s">
        <v>9643</v>
      </c>
      <c r="B200" s="1882" t="s">
        <v>9736</v>
      </c>
      <c r="C200" s="1882" t="s">
        <v>8394</v>
      </c>
      <c r="D200" s="1882" t="s">
        <v>1626</v>
      </c>
      <c r="E200" s="1882" t="s">
        <v>8503</v>
      </c>
      <c r="F200" s="1882" t="s">
        <v>9737</v>
      </c>
      <c r="G200" s="1882" t="s">
        <v>9738</v>
      </c>
      <c r="H200" s="1882" t="s">
        <v>9739</v>
      </c>
      <c r="I200" s="1882" t="s">
        <v>9740</v>
      </c>
      <c r="J200" s="1882" t="s">
        <v>8539</v>
      </c>
      <c r="K200" s="1882"/>
      <c r="L200" s="1882"/>
      <c r="M200" s="1882"/>
      <c r="N200" s="1882" t="s">
        <v>8673</v>
      </c>
      <c r="O200" s="1882" t="s">
        <v>764</v>
      </c>
      <c r="P200" s="1882" t="s">
        <v>9741</v>
      </c>
      <c r="Q200" s="520">
        <v>0</v>
      </c>
      <c r="R200" s="1882" t="s">
        <v>8511</v>
      </c>
      <c r="S200" s="1882">
        <v>0</v>
      </c>
      <c r="T200" s="1882">
        <v>0</v>
      </c>
      <c r="U200" s="1882">
        <v>0</v>
      </c>
      <c r="V200" s="1882">
        <v>0</v>
      </c>
      <c r="W200" s="1882">
        <v>0</v>
      </c>
      <c r="X200" s="1882">
        <v>0</v>
      </c>
      <c r="Y200" s="1882"/>
      <c r="Z200" s="1882"/>
      <c r="AA200" s="1882"/>
      <c r="AB200" s="1882"/>
      <c r="AC200" s="1882"/>
      <c r="AD200" s="1882"/>
      <c r="AE200" s="1882"/>
      <c r="AF200" s="1882" t="s">
        <v>2459</v>
      </c>
      <c r="AG200" s="1882"/>
      <c r="AH200" s="1882">
        <v>0</v>
      </c>
      <c r="AI200" s="1882"/>
      <c r="AJ200" s="1882"/>
      <c r="AK200" s="1882"/>
      <c r="AL200" s="1882"/>
      <c r="AM200" s="1882"/>
      <c r="AN200" s="1882"/>
      <c r="AO200" s="1882"/>
      <c r="AP200" s="1882"/>
      <c r="AQ200" s="1882"/>
      <c r="AR200" s="1882"/>
      <c r="AS200" s="1882"/>
      <c r="AT200" s="1882"/>
      <c r="AU200" s="1882"/>
      <c r="AV200" s="1882"/>
      <c r="AW200" s="1882"/>
      <c r="AX200" s="1882"/>
      <c r="AY200" s="1882"/>
      <c r="AZ200" s="1882"/>
      <c r="BA200" s="1882"/>
      <c r="BB200" s="1882"/>
      <c r="BC200" s="1882"/>
      <c r="BD200" s="1882"/>
      <c r="BE200" s="1882"/>
      <c r="BF200" s="1882"/>
      <c r="BG200" s="1882"/>
      <c r="BH200" s="1882"/>
      <c r="BI200" s="1882"/>
      <c r="BJ200" s="1882"/>
      <c r="BK200" s="1882"/>
      <c r="BL200" s="1882"/>
      <c r="BM200" s="1882"/>
      <c r="BN200" s="1882"/>
      <c r="BO200" s="1882"/>
      <c r="BP200" s="520" t="s">
        <v>8513</v>
      </c>
      <c r="BQ200" s="693">
        <v>0</v>
      </c>
      <c r="BR200" s="1882" t="s">
        <v>2459</v>
      </c>
      <c r="BS200" s="1882" t="s">
        <v>8513</v>
      </c>
      <c r="BT200" s="1882">
        <v>0</v>
      </c>
      <c r="BU200" s="1882" t="s">
        <v>8513</v>
      </c>
      <c r="BV200" s="1882">
        <v>0</v>
      </c>
      <c r="BW200" s="1882">
        <v>1</v>
      </c>
      <c r="BX200" s="1882" t="s">
        <v>2460</v>
      </c>
      <c r="BY200" s="1882">
        <v>0</v>
      </c>
      <c r="BZ200" s="1882">
        <v>0</v>
      </c>
      <c r="CA200" s="1882">
        <v>0</v>
      </c>
      <c r="CB200" s="1882">
        <v>0</v>
      </c>
      <c r="CC200" s="1882">
        <v>0</v>
      </c>
      <c r="CD200" s="1882" t="s">
        <v>2459</v>
      </c>
      <c r="CE200" s="1882">
        <v>0</v>
      </c>
      <c r="CF200" s="1882">
        <v>0</v>
      </c>
      <c r="CG200" s="1882">
        <v>0</v>
      </c>
      <c r="CH200" s="1882">
        <v>0</v>
      </c>
      <c r="CI200" s="1882">
        <v>1</v>
      </c>
      <c r="CJ200" s="1882" t="s">
        <v>2460</v>
      </c>
      <c r="CK200" s="1882">
        <v>0</v>
      </c>
      <c r="CL200" s="1882">
        <v>0</v>
      </c>
      <c r="CM200" s="1882">
        <v>0</v>
      </c>
      <c r="CN200" s="1882">
        <v>0</v>
      </c>
      <c r="CP200" s="1882" t="s">
        <v>9742</v>
      </c>
    </row>
    <row r="201" spans="1:94">
      <c r="A201" s="1882" t="s">
        <v>9643</v>
      </c>
      <c r="B201" s="1882" t="s">
        <v>9743</v>
      </c>
      <c r="C201" s="1882" t="s">
        <v>8394</v>
      </c>
      <c r="D201" s="1882" t="s">
        <v>1626</v>
      </c>
      <c r="E201" s="1882" t="s">
        <v>8503</v>
      </c>
      <c r="F201" s="1882" t="s">
        <v>9744</v>
      </c>
      <c r="G201" s="1882" t="s">
        <v>6771</v>
      </c>
      <c r="H201" s="1882" t="s">
        <v>9745</v>
      </c>
      <c r="I201" s="1882" t="s">
        <v>9746</v>
      </c>
      <c r="J201" s="1882" t="s">
        <v>8508</v>
      </c>
      <c r="K201" s="1882" t="s">
        <v>8855</v>
      </c>
      <c r="L201" s="1882"/>
      <c r="M201" s="1882"/>
      <c r="N201" s="1882" t="s">
        <v>8463</v>
      </c>
      <c r="O201" s="1882" t="s">
        <v>764</v>
      </c>
      <c r="P201" s="1882" t="s">
        <v>8555</v>
      </c>
      <c r="Q201" s="520">
        <v>2</v>
      </c>
      <c r="R201" s="1882" t="s">
        <v>8511</v>
      </c>
      <c r="S201" s="1882">
        <v>1.17</v>
      </c>
      <c r="T201" s="1882">
        <v>0.97</v>
      </c>
      <c r="U201" s="1882">
        <v>0.78</v>
      </c>
      <c r="V201" s="1882">
        <v>0.57999999999999996</v>
      </c>
      <c r="W201" s="1882">
        <v>0.57999999999999996</v>
      </c>
      <c r="X201" s="1882">
        <v>0.57999999999999996</v>
      </c>
      <c r="Y201" s="1882"/>
      <c r="Z201" s="1882" t="s">
        <v>2459</v>
      </c>
      <c r="AA201" s="1882"/>
      <c r="AB201" s="1882"/>
      <c r="AC201" s="1882"/>
      <c r="AD201" s="1882"/>
      <c r="AE201" s="1882" t="s">
        <v>2459</v>
      </c>
      <c r="AF201" s="1882"/>
      <c r="AG201" s="1882"/>
      <c r="AH201" s="1882">
        <v>0</v>
      </c>
      <c r="AI201" s="1882" t="s">
        <v>2459</v>
      </c>
      <c r="AJ201" s="1882" t="s">
        <v>2459</v>
      </c>
      <c r="AK201" s="1882" t="s">
        <v>2459</v>
      </c>
      <c r="AL201" s="1882" t="s">
        <v>2459</v>
      </c>
      <c r="AM201" s="1882" t="s">
        <v>2459</v>
      </c>
      <c r="AN201" s="1882">
        <v>1.71</v>
      </c>
      <c r="AO201" s="1882">
        <v>1.71</v>
      </c>
      <c r="AP201" s="1882">
        <v>1.1200000000000001</v>
      </c>
      <c r="AQ201" s="1882">
        <v>1.1200000000000001</v>
      </c>
      <c r="AR201" s="1882">
        <v>1.1200000000000001</v>
      </c>
      <c r="AS201" s="1882">
        <v>1.17</v>
      </c>
      <c r="AT201" s="1882">
        <v>1.17</v>
      </c>
      <c r="AU201" s="1882">
        <v>0.57999999999999996</v>
      </c>
      <c r="AV201" s="1882">
        <v>0.57999999999999996</v>
      </c>
      <c r="AW201" s="1882">
        <v>0.57999999999999996</v>
      </c>
      <c r="AX201" s="1882">
        <v>0.57999999999999996</v>
      </c>
      <c r="AY201" s="1882">
        <v>0.57999999999999996</v>
      </c>
      <c r="AZ201" s="1882">
        <v>0.57999999999999996</v>
      </c>
      <c r="BA201" s="1882">
        <v>0.57999999999999996</v>
      </c>
      <c r="BB201" s="1882">
        <v>0.57999999999999996</v>
      </c>
      <c r="BC201" s="1882">
        <v>0.04</v>
      </c>
      <c r="BD201" s="1882">
        <v>0.04</v>
      </c>
      <c r="BE201" s="1882">
        <v>0.04</v>
      </c>
      <c r="BF201" s="1882">
        <v>0.04</v>
      </c>
      <c r="BG201" s="1882">
        <v>0.04</v>
      </c>
      <c r="BH201" s="1882">
        <v>1.4999999999999999E-2</v>
      </c>
      <c r="BI201" s="1882"/>
      <c r="BJ201" s="1882"/>
      <c r="BK201" s="1882"/>
      <c r="BL201" s="1882">
        <v>1.4999999999999999E-2</v>
      </c>
      <c r="BM201" s="1882"/>
      <c r="BN201" s="1882">
        <v>100</v>
      </c>
      <c r="BO201" s="1882" t="s">
        <v>9387</v>
      </c>
      <c r="BP201" s="520">
        <v>1.19</v>
      </c>
      <c r="BQ201" s="694">
        <v>0.98</v>
      </c>
      <c r="BR201" s="1882" t="s">
        <v>2460</v>
      </c>
      <c r="BS201" s="1882" t="s">
        <v>8513</v>
      </c>
      <c r="BT201" s="1882">
        <v>0</v>
      </c>
      <c r="BU201" s="1882" t="s">
        <v>8429</v>
      </c>
      <c r="BV201" s="1882">
        <v>0</v>
      </c>
      <c r="BW201" s="1882">
        <v>0.96</v>
      </c>
      <c r="BX201" s="1882" t="s">
        <v>2460</v>
      </c>
      <c r="BY201" s="1882">
        <v>0</v>
      </c>
      <c r="BZ201" s="1882">
        <v>0</v>
      </c>
      <c r="CA201" s="1882" t="s">
        <v>8429</v>
      </c>
      <c r="CB201" s="1882">
        <v>0</v>
      </c>
      <c r="CC201" s="1882">
        <v>0.82</v>
      </c>
      <c r="CD201" s="1882" t="s">
        <v>2460</v>
      </c>
      <c r="CE201" s="1882">
        <v>0</v>
      </c>
      <c r="CF201" s="1882">
        <v>0</v>
      </c>
      <c r="CG201" s="1882" t="s">
        <v>8384</v>
      </c>
      <c r="CH201" s="1882">
        <v>-0.35799999999999998</v>
      </c>
      <c r="CI201" s="1882">
        <v>0.59</v>
      </c>
      <c r="CJ201" s="1882" t="s">
        <v>2460</v>
      </c>
      <c r="CK201" s="1882">
        <v>0</v>
      </c>
      <c r="CL201" s="1882">
        <v>0</v>
      </c>
      <c r="CM201" s="1882" t="s">
        <v>8384</v>
      </c>
      <c r="CN201" s="1882">
        <v>-1.4999999999999999E-2</v>
      </c>
      <c r="CP201" s="1882" t="s">
        <v>9747</v>
      </c>
    </row>
    <row r="202" spans="1:94">
      <c r="A202" s="1882" t="s">
        <v>9643</v>
      </c>
      <c r="B202" s="1882" t="s">
        <v>9748</v>
      </c>
      <c r="C202" s="1882" t="s">
        <v>8394</v>
      </c>
      <c r="D202" s="1882" t="s">
        <v>1626</v>
      </c>
      <c r="E202" s="1882" t="s">
        <v>8503</v>
      </c>
      <c r="F202" s="1882" t="s">
        <v>9744</v>
      </c>
      <c r="G202" s="1882" t="s">
        <v>6772</v>
      </c>
      <c r="H202" s="1882" t="s">
        <v>9749</v>
      </c>
      <c r="I202" s="1882" t="s">
        <v>9750</v>
      </c>
      <c r="J202" s="1882" t="s">
        <v>8519</v>
      </c>
      <c r="K202" s="1882" t="s">
        <v>8855</v>
      </c>
      <c r="L202" s="1882"/>
      <c r="M202" s="1882" t="s">
        <v>2460</v>
      </c>
      <c r="N202" s="1882" t="s">
        <v>8569</v>
      </c>
      <c r="O202" s="1882" t="s">
        <v>8704</v>
      </c>
      <c r="P202" s="1882" t="s">
        <v>8856</v>
      </c>
      <c r="Q202" s="520" t="s">
        <v>8512</v>
      </c>
      <c r="R202" s="1882"/>
      <c r="S202" s="1882" t="s">
        <v>8706</v>
      </c>
      <c r="T202" s="1882" t="s">
        <v>8706</v>
      </c>
      <c r="U202" s="1882" t="s">
        <v>8706</v>
      </c>
      <c r="V202" s="1882" t="s">
        <v>8706</v>
      </c>
      <c r="W202" s="1882" t="s">
        <v>8706</v>
      </c>
      <c r="X202" s="1882" t="s">
        <v>8706</v>
      </c>
      <c r="Y202" s="1882"/>
      <c r="Z202" s="1882"/>
      <c r="AA202" s="1882"/>
      <c r="AB202" s="1882"/>
      <c r="AC202" s="1882"/>
      <c r="AD202" s="1882"/>
      <c r="AE202" s="1882" t="s">
        <v>2459</v>
      </c>
      <c r="AF202" s="1882"/>
      <c r="AG202" s="1882"/>
      <c r="AH202" s="1882">
        <v>4</v>
      </c>
      <c r="AI202" s="1882" t="s">
        <v>2459</v>
      </c>
      <c r="AJ202" s="1882" t="s">
        <v>2459</v>
      </c>
      <c r="AK202" s="1882" t="s">
        <v>2459</v>
      </c>
      <c r="AL202" s="1882" t="s">
        <v>2459</v>
      </c>
      <c r="AM202" s="1882" t="s">
        <v>2459</v>
      </c>
      <c r="AN202" s="1882" t="s">
        <v>9751</v>
      </c>
      <c r="AO202" s="1882" t="s">
        <v>9751</v>
      </c>
      <c r="AP202" s="1882" t="s">
        <v>9751</v>
      </c>
      <c r="AQ202" s="1882" t="s">
        <v>9751</v>
      </c>
      <c r="AR202" s="1882" t="s">
        <v>9751</v>
      </c>
      <c r="AS202" s="1882" t="s">
        <v>9751</v>
      </c>
      <c r="AT202" s="1882" t="s">
        <v>9751</v>
      </c>
      <c r="AU202" s="1882" t="s">
        <v>9751</v>
      </c>
      <c r="AV202" s="1882" t="s">
        <v>9751</v>
      </c>
      <c r="AW202" s="1882" t="s">
        <v>9751</v>
      </c>
      <c r="AX202" s="1882"/>
      <c r="AY202" s="1882"/>
      <c r="AZ202" s="1882"/>
      <c r="BA202" s="1882"/>
      <c r="BB202" s="1882"/>
      <c r="BC202" s="1882"/>
      <c r="BD202" s="1882"/>
      <c r="BE202" s="1882"/>
      <c r="BF202" s="1882"/>
      <c r="BG202" s="1882"/>
      <c r="BH202" s="1882">
        <v>4</v>
      </c>
      <c r="BI202" s="1882"/>
      <c r="BJ202" s="1882"/>
      <c r="BK202" s="1882"/>
      <c r="BL202" s="1882"/>
      <c r="BM202" s="1882"/>
      <c r="BN202" s="1882">
        <v>1</v>
      </c>
      <c r="BO202" s="1882" t="s">
        <v>8512</v>
      </c>
      <c r="BP202" s="520" t="s">
        <v>8706</v>
      </c>
      <c r="BQ202" s="692" t="s">
        <v>8706</v>
      </c>
      <c r="BR202" s="1882" t="s">
        <v>2459</v>
      </c>
      <c r="BS202" s="1882" t="s">
        <v>8513</v>
      </c>
      <c r="BT202" s="1882">
        <v>0</v>
      </c>
      <c r="BU202" s="1882" t="s">
        <v>8513</v>
      </c>
      <c r="BV202" s="1882">
        <v>0</v>
      </c>
      <c r="BW202" s="1882" t="s">
        <v>8706</v>
      </c>
      <c r="BX202" s="1882" t="s">
        <v>2459</v>
      </c>
      <c r="BY202" s="1882">
        <v>0</v>
      </c>
      <c r="BZ202" s="1882">
        <v>0</v>
      </c>
      <c r="CA202" s="1882">
        <v>0</v>
      </c>
      <c r="CB202" s="1882">
        <v>0</v>
      </c>
      <c r="CC202" s="1882" t="s">
        <v>8706</v>
      </c>
      <c r="CD202" s="1882" t="s">
        <v>2459</v>
      </c>
      <c r="CE202" s="1882">
        <v>0</v>
      </c>
      <c r="CF202" s="1882">
        <v>0</v>
      </c>
      <c r="CG202" s="1882">
        <v>0</v>
      </c>
      <c r="CH202" s="1882">
        <v>0</v>
      </c>
      <c r="CI202" s="1882" t="s">
        <v>8706</v>
      </c>
      <c r="CJ202" s="1882" t="s">
        <v>2459</v>
      </c>
      <c r="CK202" s="1882">
        <v>0</v>
      </c>
      <c r="CL202" s="1882">
        <v>0</v>
      </c>
      <c r="CM202" s="1882">
        <v>0</v>
      </c>
      <c r="CN202" s="1882">
        <v>0</v>
      </c>
      <c r="CP202" s="1882" t="s">
        <v>9752</v>
      </c>
    </row>
    <row r="203" spans="1:94">
      <c r="A203" s="1882" t="s">
        <v>9643</v>
      </c>
      <c r="B203" s="1882" t="s">
        <v>9753</v>
      </c>
      <c r="C203" s="1882" t="s">
        <v>8394</v>
      </c>
      <c r="D203" s="1882" t="s">
        <v>1626</v>
      </c>
      <c r="E203" s="1882" t="s">
        <v>8503</v>
      </c>
      <c r="F203" s="1882" t="s">
        <v>9744</v>
      </c>
      <c r="G203" s="1882" t="s">
        <v>9754</v>
      </c>
      <c r="H203" s="1882" t="s">
        <v>9755</v>
      </c>
      <c r="I203" s="1882" t="s">
        <v>9756</v>
      </c>
      <c r="J203" s="1882" t="s">
        <v>8539</v>
      </c>
      <c r="K203" s="1882"/>
      <c r="L203" s="1882"/>
      <c r="M203" s="1882"/>
      <c r="N203" s="1882" t="s">
        <v>4580</v>
      </c>
      <c r="O203" s="1882" t="s">
        <v>764</v>
      </c>
      <c r="P203" s="1882" t="s">
        <v>9757</v>
      </c>
      <c r="Q203" s="520">
        <v>0</v>
      </c>
      <c r="R203" s="1882" t="s">
        <v>8511</v>
      </c>
      <c r="S203" s="1882">
        <v>55</v>
      </c>
      <c r="T203" s="1882"/>
      <c r="U203" s="1882"/>
      <c r="V203" s="1882"/>
      <c r="W203" s="1882"/>
      <c r="X203" s="1882">
        <v>0</v>
      </c>
      <c r="Y203" s="1882"/>
      <c r="Z203" s="1882"/>
      <c r="AA203" s="1882"/>
      <c r="AB203" s="1882"/>
      <c r="AC203" s="1882"/>
      <c r="AD203" s="1882"/>
      <c r="AE203" s="1882" t="s">
        <v>2459</v>
      </c>
      <c r="AF203" s="1882"/>
      <c r="AG203" s="1882"/>
      <c r="AH203" s="1882">
        <v>0</v>
      </c>
      <c r="AI203" s="1882"/>
      <c r="AJ203" s="1882"/>
      <c r="AK203" s="1882"/>
      <c r="AL203" s="1882"/>
      <c r="AM203" s="1882"/>
      <c r="AN203" s="1882"/>
      <c r="AO203" s="1882"/>
      <c r="AP203" s="1882"/>
      <c r="AQ203" s="1882"/>
      <c r="AR203" s="1882"/>
      <c r="AS203" s="1882"/>
      <c r="AT203" s="1882"/>
      <c r="AU203" s="1882"/>
      <c r="AV203" s="1882"/>
      <c r="AW203" s="1882"/>
      <c r="AX203" s="1882"/>
      <c r="AY203" s="1882"/>
      <c r="AZ203" s="1882"/>
      <c r="BA203" s="1882"/>
      <c r="BB203" s="1882"/>
      <c r="BC203" s="1882"/>
      <c r="BD203" s="1882"/>
      <c r="BE203" s="1882"/>
      <c r="BF203" s="1882"/>
      <c r="BG203" s="1882"/>
      <c r="BH203" s="1882"/>
      <c r="BI203" s="1882"/>
      <c r="BJ203" s="1882"/>
      <c r="BK203" s="1882"/>
      <c r="BL203" s="1882"/>
      <c r="BM203" s="1882"/>
      <c r="BN203" s="1882"/>
      <c r="BO203" s="1882"/>
      <c r="BP203" s="520" t="s">
        <v>8513</v>
      </c>
      <c r="BQ203" s="693">
        <v>55</v>
      </c>
      <c r="BR203" s="1882" t="s">
        <v>8513</v>
      </c>
      <c r="BS203" s="1882" t="s">
        <v>8513</v>
      </c>
      <c r="BT203" s="1882">
        <v>0</v>
      </c>
      <c r="BU203" s="1882" t="s">
        <v>8513</v>
      </c>
      <c r="BV203" s="1882">
        <v>0</v>
      </c>
      <c r="BW203" s="1882">
        <v>33</v>
      </c>
      <c r="BX203" s="1882" t="s">
        <v>2451</v>
      </c>
      <c r="BY203" s="1882">
        <v>0</v>
      </c>
      <c r="BZ203" s="1882">
        <v>0</v>
      </c>
      <c r="CA203" s="1882">
        <v>0</v>
      </c>
      <c r="CB203" s="1882">
        <v>0</v>
      </c>
      <c r="CC203" s="1882">
        <v>7</v>
      </c>
      <c r="CD203" s="1882" t="s">
        <v>2451</v>
      </c>
      <c r="CE203" s="1882">
        <v>0</v>
      </c>
      <c r="CF203" s="1882">
        <v>0</v>
      </c>
      <c r="CG203" s="1882">
        <v>0</v>
      </c>
      <c r="CH203" s="1882">
        <v>0</v>
      </c>
      <c r="CI203" s="1882">
        <v>2</v>
      </c>
      <c r="CJ203" s="1882" t="s">
        <v>2451</v>
      </c>
      <c r="CK203" s="1882">
        <v>0</v>
      </c>
      <c r="CL203" s="1882">
        <v>0</v>
      </c>
      <c r="CM203" s="1882">
        <v>0</v>
      </c>
      <c r="CN203" s="1882">
        <v>0</v>
      </c>
      <c r="CP203" s="1882" t="s">
        <v>9758</v>
      </c>
    </row>
    <row r="204" spans="1:94">
      <c r="A204" s="1882" t="s">
        <v>9643</v>
      </c>
      <c r="B204" s="1882" t="s">
        <v>9759</v>
      </c>
      <c r="C204" s="1882" t="s">
        <v>8394</v>
      </c>
      <c r="D204" s="1882" t="s">
        <v>1626</v>
      </c>
      <c r="E204" s="1882" t="s">
        <v>8503</v>
      </c>
      <c r="F204" s="1882" t="s">
        <v>9744</v>
      </c>
      <c r="G204" s="1882" t="s">
        <v>9760</v>
      </c>
      <c r="H204" s="1882" t="s">
        <v>9761</v>
      </c>
      <c r="I204" s="1882" t="s">
        <v>9762</v>
      </c>
      <c r="J204" s="1882" t="s">
        <v>8519</v>
      </c>
      <c r="K204" s="1882" t="s">
        <v>8855</v>
      </c>
      <c r="L204" s="1882"/>
      <c r="M204" s="1882"/>
      <c r="N204" s="1882" t="s">
        <v>8569</v>
      </c>
      <c r="O204" s="1882" t="s">
        <v>764</v>
      </c>
      <c r="P204" s="1882" t="s">
        <v>8570</v>
      </c>
      <c r="Q204" s="520">
        <v>0</v>
      </c>
      <c r="R204" s="1882" t="s">
        <v>8511</v>
      </c>
      <c r="S204" s="1882">
        <v>2429</v>
      </c>
      <c r="T204" s="1882">
        <v>2429</v>
      </c>
      <c r="U204" s="1882">
        <v>2429</v>
      </c>
      <c r="V204" s="1882">
        <v>2429</v>
      </c>
      <c r="W204" s="1882">
        <v>2429</v>
      </c>
      <c r="X204" s="1882">
        <v>2429</v>
      </c>
      <c r="Y204" s="1882"/>
      <c r="Z204" s="1882"/>
      <c r="AA204" s="1882"/>
      <c r="AB204" s="1882"/>
      <c r="AC204" s="1882"/>
      <c r="AD204" s="1882"/>
      <c r="AE204" s="1882" t="s">
        <v>2459</v>
      </c>
      <c r="AF204" s="1882"/>
      <c r="AG204" s="1882"/>
      <c r="AH204" s="1882">
        <v>0</v>
      </c>
      <c r="AI204" s="1882" t="s">
        <v>2459</v>
      </c>
      <c r="AJ204" s="1882" t="s">
        <v>2459</v>
      </c>
      <c r="AK204" s="1882" t="s">
        <v>2459</v>
      </c>
      <c r="AL204" s="1882" t="s">
        <v>2459</v>
      </c>
      <c r="AM204" s="1882" t="s">
        <v>2459</v>
      </c>
      <c r="AN204" s="1882">
        <v>4014</v>
      </c>
      <c r="AO204" s="1882">
        <v>4014</v>
      </c>
      <c r="AP204" s="1882">
        <v>4014</v>
      </c>
      <c r="AQ204" s="1882">
        <v>4014</v>
      </c>
      <c r="AR204" s="1882">
        <v>4014</v>
      </c>
      <c r="AS204" s="1882">
        <v>3048</v>
      </c>
      <c r="AT204" s="1882">
        <v>3048</v>
      </c>
      <c r="AU204" s="1882">
        <v>3048</v>
      </c>
      <c r="AV204" s="1882">
        <v>3048</v>
      </c>
      <c r="AW204" s="1882">
        <v>3048</v>
      </c>
      <c r="AX204" s="1882"/>
      <c r="AY204" s="1882"/>
      <c r="AZ204" s="1882"/>
      <c r="BA204" s="1882"/>
      <c r="BB204" s="1882"/>
      <c r="BC204" s="1882"/>
      <c r="BD204" s="1882"/>
      <c r="BE204" s="1882"/>
      <c r="BF204" s="1882"/>
      <c r="BG204" s="1882"/>
      <c r="BH204" s="1882">
        <v>7.1199999999999996E-4</v>
      </c>
      <c r="BI204" s="1882"/>
      <c r="BJ204" s="1882"/>
      <c r="BK204" s="1882"/>
      <c r="BL204" s="1882"/>
      <c r="BM204" s="1882"/>
      <c r="BN204" s="1882">
        <v>1</v>
      </c>
      <c r="BO204" s="1882" t="s">
        <v>8512</v>
      </c>
      <c r="BP204" s="520">
        <v>2372</v>
      </c>
      <c r="BQ204" s="693">
        <v>2307</v>
      </c>
      <c r="BR204" s="1882" t="s">
        <v>2459</v>
      </c>
      <c r="BS204" s="1882" t="s">
        <v>8513</v>
      </c>
      <c r="BT204" s="1882">
        <v>0</v>
      </c>
      <c r="BU204" s="1882" t="s">
        <v>8513</v>
      </c>
      <c r="BV204" s="1882">
        <v>0</v>
      </c>
      <c r="BW204" s="1882">
        <v>3032</v>
      </c>
      <c r="BX204" s="1882" t="s">
        <v>2460</v>
      </c>
      <c r="BY204" s="1882">
        <v>0</v>
      </c>
      <c r="BZ204" s="1882">
        <v>0</v>
      </c>
      <c r="CA204" s="1882" t="s">
        <v>8429</v>
      </c>
      <c r="CB204" s="1882">
        <v>0</v>
      </c>
      <c r="CC204" s="1882">
        <v>2747</v>
      </c>
      <c r="CD204" s="1882" t="s">
        <v>2460</v>
      </c>
      <c r="CE204" s="1882">
        <v>0</v>
      </c>
      <c r="CF204" s="1882">
        <v>0</v>
      </c>
      <c r="CG204" s="1882" t="s">
        <v>8388</v>
      </c>
      <c r="CH204" s="1882">
        <v>0</v>
      </c>
      <c r="CI204" s="1882">
        <v>2826</v>
      </c>
      <c r="CJ204" s="1882" t="s">
        <v>2460</v>
      </c>
      <c r="CK204" s="1882">
        <v>0</v>
      </c>
      <c r="CL204" s="1882">
        <v>0</v>
      </c>
      <c r="CM204" s="1882" t="s">
        <v>8388</v>
      </c>
      <c r="CN204" s="1882">
        <v>0</v>
      </c>
      <c r="CP204" s="1882" t="s">
        <v>9763</v>
      </c>
    </row>
    <row r="205" spans="1:94">
      <c r="A205" s="1882" t="s">
        <v>9643</v>
      </c>
      <c r="B205" s="1882" t="s">
        <v>9764</v>
      </c>
      <c r="C205" s="1882" t="s">
        <v>8394</v>
      </c>
      <c r="D205" s="1882" t="s">
        <v>1626</v>
      </c>
      <c r="E205" s="1882" t="s">
        <v>8503</v>
      </c>
      <c r="F205" s="1882" t="s">
        <v>9765</v>
      </c>
      <c r="G205" s="1882" t="s">
        <v>9766</v>
      </c>
      <c r="H205" s="1882" t="s">
        <v>9767</v>
      </c>
      <c r="I205" s="1882" t="s">
        <v>9768</v>
      </c>
      <c r="J205" s="1882" t="s">
        <v>8539</v>
      </c>
      <c r="K205" s="1882"/>
      <c r="L205" s="1882"/>
      <c r="M205" s="1882"/>
      <c r="N205" s="1882" t="s">
        <v>8681</v>
      </c>
      <c r="O205" s="1882" t="s">
        <v>764</v>
      </c>
      <c r="P205" s="1882" t="s">
        <v>9769</v>
      </c>
      <c r="Q205" s="520">
        <v>1</v>
      </c>
      <c r="R205" s="1882" t="s">
        <v>8511</v>
      </c>
      <c r="S205" s="1882">
        <v>39.4</v>
      </c>
      <c r="T205" s="1882"/>
      <c r="U205" s="1882"/>
      <c r="V205" s="1882"/>
      <c r="W205" s="1882"/>
      <c r="X205" s="1882">
        <v>37.700000000000003</v>
      </c>
      <c r="Y205" s="1882"/>
      <c r="Z205" s="1882"/>
      <c r="AA205" s="1882"/>
      <c r="AB205" s="1882"/>
      <c r="AC205" s="1882"/>
      <c r="AD205" s="1882"/>
      <c r="AE205" s="1882"/>
      <c r="AF205" s="1882"/>
      <c r="AG205" s="1882"/>
      <c r="AH205" s="1882">
        <v>0</v>
      </c>
      <c r="AI205" s="1882"/>
      <c r="AJ205" s="1882"/>
      <c r="AK205" s="1882"/>
      <c r="AL205" s="1882"/>
      <c r="AM205" s="1882"/>
      <c r="AN205" s="1882"/>
      <c r="AO205" s="1882"/>
      <c r="AP205" s="1882"/>
      <c r="AQ205" s="1882"/>
      <c r="AR205" s="1882"/>
      <c r="AS205" s="1882"/>
      <c r="AT205" s="1882"/>
      <c r="AU205" s="1882"/>
      <c r="AV205" s="1882"/>
      <c r="AW205" s="1882"/>
      <c r="AX205" s="1882"/>
      <c r="AY205" s="1882"/>
      <c r="AZ205" s="1882"/>
      <c r="BA205" s="1882"/>
      <c r="BB205" s="1882"/>
      <c r="BC205" s="1882"/>
      <c r="BD205" s="1882"/>
      <c r="BE205" s="1882"/>
      <c r="BF205" s="1882"/>
      <c r="BG205" s="1882"/>
      <c r="BH205" s="1882"/>
      <c r="BI205" s="1882"/>
      <c r="BJ205" s="1882"/>
      <c r="BK205" s="1882"/>
      <c r="BL205" s="1882"/>
      <c r="BM205" s="1882"/>
      <c r="BN205" s="1882"/>
      <c r="BO205" s="1882"/>
      <c r="BP205" s="520" t="s">
        <v>8513</v>
      </c>
      <c r="BQ205" s="690">
        <v>36.799999999999997</v>
      </c>
      <c r="BR205" s="1882" t="s">
        <v>8513</v>
      </c>
      <c r="BS205" s="1882" t="s">
        <v>8513</v>
      </c>
      <c r="BT205" s="1882">
        <v>0</v>
      </c>
      <c r="BU205" s="1882" t="s">
        <v>8513</v>
      </c>
      <c r="BV205" s="1882">
        <v>0</v>
      </c>
      <c r="BW205" s="1882">
        <v>37.200000000000003</v>
      </c>
      <c r="BX205" s="1882" t="s">
        <v>2451</v>
      </c>
      <c r="BY205" s="1882">
        <v>0</v>
      </c>
      <c r="BZ205" s="1882">
        <v>0</v>
      </c>
      <c r="CA205" s="1882">
        <v>0</v>
      </c>
      <c r="CB205" s="1882">
        <v>0</v>
      </c>
      <c r="CC205" s="1882">
        <v>37.200000000000003</v>
      </c>
      <c r="CD205" s="1882" t="s">
        <v>2451</v>
      </c>
      <c r="CE205" s="1882">
        <v>0</v>
      </c>
      <c r="CF205" s="1882">
        <v>0</v>
      </c>
      <c r="CG205" s="1882">
        <v>0</v>
      </c>
      <c r="CH205" s="1882">
        <v>0</v>
      </c>
      <c r="CI205" s="1882">
        <v>36.299999999999997</v>
      </c>
      <c r="CJ205" s="1882" t="s">
        <v>2451</v>
      </c>
      <c r="CK205" s="1882">
        <v>0</v>
      </c>
      <c r="CL205" s="1882">
        <v>0</v>
      </c>
      <c r="CM205" s="1882">
        <v>0</v>
      </c>
      <c r="CN205" s="1882">
        <v>0</v>
      </c>
      <c r="CP205" s="1882" t="s">
        <v>9770</v>
      </c>
    </row>
    <row r="206" spans="1:94">
      <c r="A206" s="1882" t="s">
        <v>9643</v>
      </c>
      <c r="B206" s="1882" t="s">
        <v>9771</v>
      </c>
      <c r="C206" s="1882" t="s">
        <v>8394</v>
      </c>
      <c r="D206" s="1882" t="s">
        <v>1626</v>
      </c>
      <c r="E206" s="1882" t="s">
        <v>8503</v>
      </c>
      <c r="F206" s="1882" t="s">
        <v>9765</v>
      </c>
      <c r="G206" s="1882" t="s">
        <v>9772</v>
      </c>
      <c r="H206" s="1882" t="s">
        <v>9773</v>
      </c>
      <c r="I206" s="1882" t="s">
        <v>9774</v>
      </c>
      <c r="J206" s="1882" t="s">
        <v>8539</v>
      </c>
      <c r="K206" s="1882"/>
      <c r="L206" s="1882"/>
      <c r="M206" s="1882"/>
      <c r="N206" s="1882" t="s">
        <v>8533</v>
      </c>
      <c r="O206" s="1882" t="s">
        <v>8540</v>
      </c>
      <c r="P206" s="1882" t="s">
        <v>9775</v>
      </c>
      <c r="Q206" s="520" t="s">
        <v>8540</v>
      </c>
      <c r="R206" s="1882"/>
      <c r="S206" s="1882" t="s">
        <v>8540</v>
      </c>
      <c r="T206" s="1882" t="s">
        <v>8540</v>
      </c>
      <c r="U206" s="1882" t="s">
        <v>8540</v>
      </c>
      <c r="V206" s="1882" t="s">
        <v>8540</v>
      </c>
      <c r="W206" s="1882" t="s">
        <v>8540</v>
      </c>
      <c r="X206" s="1882" t="s">
        <v>8540</v>
      </c>
      <c r="Y206" s="1882"/>
      <c r="Z206" s="1882"/>
      <c r="AA206" s="1882"/>
      <c r="AB206" s="1882"/>
      <c r="AC206" s="1882"/>
      <c r="AD206" s="1882"/>
      <c r="AE206" s="1882"/>
      <c r="AF206" s="1882"/>
      <c r="AG206" s="1882" t="s">
        <v>2459</v>
      </c>
      <c r="AH206" s="1882">
        <v>0</v>
      </c>
      <c r="AI206" s="1882"/>
      <c r="AJ206" s="1882"/>
      <c r="AK206" s="1882"/>
      <c r="AL206" s="1882"/>
      <c r="AM206" s="1882"/>
      <c r="AN206" s="1882"/>
      <c r="AO206" s="1882"/>
      <c r="AP206" s="1882"/>
      <c r="AQ206" s="1882"/>
      <c r="AR206" s="1882"/>
      <c r="AS206" s="1882"/>
      <c r="AT206" s="1882"/>
      <c r="AU206" s="1882"/>
      <c r="AV206" s="1882"/>
      <c r="AW206" s="1882"/>
      <c r="AX206" s="1882"/>
      <c r="AY206" s="1882"/>
      <c r="AZ206" s="1882"/>
      <c r="BA206" s="1882"/>
      <c r="BB206" s="1882"/>
      <c r="BC206" s="1882"/>
      <c r="BD206" s="1882"/>
      <c r="BE206" s="1882"/>
      <c r="BF206" s="1882"/>
      <c r="BG206" s="1882"/>
      <c r="BH206" s="1882"/>
      <c r="BI206" s="1882"/>
      <c r="BJ206" s="1882"/>
      <c r="BK206" s="1882"/>
      <c r="BL206" s="1882"/>
      <c r="BM206" s="1882"/>
      <c r="BN206" s="1882"/>
      <c r="BO206" s="1882"/>
      <c r="BP206" s="520" t="s">
        <v>8513</v>
      </c>
      <c r="BQ206" s="692" t="s">
        <v>8513</v>
      </c>
      <c r="BR206" s="1882" t="s">
        <v>8513</v>
      </c>
      <c r="BS206" s="1882" t="s">
        <v>8513</v>
      </c>
      <c r="BT206" s="1882">
        <v>0</v>
      </c>
      <c r="BU206" s="1882" t="s">
        <v>8513</v>
      </c>
      <c r="BV206" s="1882">
        <v>0</v>
      </c>
      <c r="BW206" s="1882">
        <v>-0.18</v>
      </c>
      <c r="BX206" s="1882" t="s">
        <v>2459</v>
      </c>
      <c r="BY206" s="1882">
        <v>0</v>
      </c>
      <c r="BZ206" s="1882">
        <v>0</v>
      </c>
      <c r="CA206" s="1882">
        <v>0</v>
      </c>
      <c r="CB206" s="1882">
        <v>0</v>
      </c>
      <c r="CC206" s="1882">
        <v>-0.24</v>
      </c>
      <c r="CD206" s="1882" t="s">
        <v>2459</v>
      </c>
      <c r="CE206" s="1882">
        <v>0</v>
      </c>
      <c r="CF206" s="1882">
        <v>0</v>
      </c>
      <c r="CG206" s="1882">
        <v>0</v>
      </c>
      <c r="CH206" s="1882">
        <v>0</v>
      </c>
      <c r="CI206" s="1882">
        <v>-9.9436040682389981E-2</v>
      </c>
      <c r="CJ206" s="1882" t="s">
        <v>2459</v>
      </c>
      <c r="CK206" s="1882">
        <v>0</v>
      </c>
      <c r="CL206" s="1882">
        <v>0</v>
      </c>
      <c r="CM206" s="1882">
        <v>0</v>
      </c>
      <c r="CN206" s="1882">
        <v>0</v>
      </c>
      <c r="CP206" s="1882" t="s">
        <v>9776</v>
      </c>
    </row>
    <row r="207" spans="1:94">
      <c r="A207" s="1882" t="s">
        <v>9643</v>
      </c>
      <c r="B207" s="1882" t="s">
        <v>9777</v>
      </c>
      <c r="C207" s="1882" t="s">
        <v>8394</v>
      </c>
      <c r="D207" s="1882" t="s">
        <v>8584</v>
      </c>
      <c r="E207" s="1882" t="s">
        <v>8585</v>
      </c>
      <c r="F207" s="1882" t="s">
        <v>9645</v>
      </c>
      <c r="G207" s="1882" t="s">
        <v>7234</v>
      </c>
      <c r="H207" s="1882" t="s">
        <v>9778</v>
      </c>
      <c r="I207" s="1882" t="s">
        <v>9647</v>
      </c>
      <c r="J207" s="1882" t="s">
        <v>8508</v>
      </c>
      <c r="K207" s="1882" t="s">
        <v>8509</v>
      </c>
      <c r="L207" s="1882"/>
      <c r="M207" s="1882"/>
      <c r="N207" s="1882" t="s">
        <v>8695</v>
      </c>
      <c r="O207" s="1882" t="s">
        <v>8591</v>
      </c>
      <c r="P207" s="1882" t="s">
        <v>9648</v>
      </c>
      <c r="Q207" s="520">
        <v>1</v>
      </c>
      <c r="R207" s="1882" t="s">
        <v>8549</v>
      </c>
      <c r="S207" s="1882">
        <v>4.5999999999999996</v>
      </c>
      <c r="T207" s="1882">
        <v>4.5999999999999996</v>
      </c>
      <c r="U207" s="1882">
        <v>4.5999999999999996</v>
      </c>
      <c r="V207" s="1882">
        <v>4.5999999999999996</v>
      </c>
      <c r="W207" s="1882">
        <v>4.5999999999999996</v>
      </c>
      <c r="X207" s="1882">
        <v>4.5999999999999996</v>
      </c>
      <c r="Y207" s="1882"/>
      <c r="Z207" s="1882"/>
      <c r="AA207" s="1882"/>
      <c r="AB207" s="1882"/>
      <c r="AC207" s="1882"/>
      <c r="AD207" s="1882"/>
      <c r="AE207" s="1882"/>
      <c r="AF207" s="1882"/>
      <c r="AG207" s="1882"/>
      <c r="AH207" s="1882">
        <v>0</v>
      </c>
      <c r="AI207" s="1882"/>
      <c r="AJ207" s="1882" t="s">
        <v>2459</v>
      </c>
      <c r="AK207" s="1882" t="s">
        <v>2459</v>
      </c>
      <c r="AL207" s="1882" t="s">
        <v>2459</v>
      </c>
      <c r="AM207" s="1882" t="s">
        <v>2459</v>
      </c>
      <c r="AN207" s="1882"/>
      <c r="AO207" s="1882">
        <v>3.6</v>
      </c>
      <c r="AP207" s="1882">
        <v>3.6</v>
      </c>
      <c r="AQ207" s="1882">
        <v>3.6</v>
      </c>
      <c r="AR207" s="1882">
        <v>3.6</v>
      </c>
      <c r="AS207" s="1882"/>
      <c r="AT207" s="1882">
        <v>4.5</v>
      </c>
      <c r="AU207" s="1882">
        <v>4.5</v>
      </c>
      <c r="AV207" s="1882">
        <v>4.5</v>
      </c>
      <c r="AW207" s="1882">
        <v>4.5</v>
      </c>
      <c r="AX207" s="1882"/>
      <c r="AY207" s="1882">
        <v>4.7</v>
      </c>
      <c r="AZ207" s="1882">
        <v>4.7</v>
      </c>
      <c r="BA207" s="1882">
        <v>4.7</v>
      </c>
      <c r="BB207" s="1882">
        <v>4.7</v>
      </c>
      <c r="BC207" s="1882"/>
      <c r="BD207" s="1882">
        <v>5</v>
      </c>
      <c r="BE207" s="1882">
        <v>5</v>
      </c>
      <c r="BF207" s="1882">
        <v>5</v>
      </c>
      <c r="BG207" s="1882">
        <v>5</v>
      </c>
      <c r="BH207" s="1882">
        <v>1.6E-2</v>
      </c>
      <c r="BI207" s="1882"/>
      <c r="BJ207" s="1882"/>
      <c r="BK207" s="1882"/>
      <c r="BL207" s="1882">
        <v>1.6E-2</v>
      </c>
      <c r="BM207" s="1882"/>
      <c r="BN207" s="1882">
        <v>1</v>
      </c>
      <c r="BO207" s="1882" t="s">
        <v>9649</v>
      </c>
      <c r="BP207" s="520" t="s">
        <v>8513</v>
      </c>
      <c r="BQ207" s="690">
        <v>4.4000000000000004</v>
      </c>
      <c r="BR207" s="1882" t="s">
        <v>2460</v>
      </c>
      <c r="BS207" s="1882" t="s">
        <v>8513</v>
      </c>
      <c r="BT207" s="1882">
        <v>0</v>
      </c>
      <c r="BU207" s="1882" t="s">
        <v>8513</v>
      </c>
      <c r="BV207" s="1882">
        <v>0</v>
      </c>
      <c r="BW207" s="1882">
        <v>4.5</v>
      </c>
      <c r="BX207" s="1882" t="s">
        <v>2460</v>
      </c>
      <c r="BY207" s="1882">
        <v>0</v>
      </c>
      <c r="BZ207" s="1882">
        <v>0</v>
      </c>
      <c r="CA207" s="1882" t="s">
        <v>8429</v>
      </c>
      <c r="CB207" s="1882">
        <v>0</v>
      </c>
      <c r="CC207" s="1882">
        <v>4.5</v>
      </c>
      <c r="CD207" s="1882" t="s">
        <v>2460</v>
      </c>
      <c r="CE207" s="1882">
        <v>0</v>
      </c>
      <c r="CF207" s="1882">
        <v>0</v>
      </c>
      <c r="CG207" s="1882" t="s">
        <v>8388</v>
      </c>
      <c r="CH207" s="1882">
        <v>0</v>
      </c>
      <c r="CI207" s="1882">
        <v>4.5</v>
      </c>
      <c r="CJ207" s="1882" t="s">
        <v>2460</v>
      </c>
      <c r="CK207" s="1882">
        <v>0</v>
      </c>
      <c r="CL207" s="1882">
        <v>0</v>
      </c>
      <c r="CM207" s="1882" t="s">
        <v>8388</v>
      </c>
      <c r="CN207" s="1882">
        <v>0</v>
      </c>
      <c r="CP207" s="1882" t="s">
        <v>9650</v>
      </c>
    </row>
    <row r="208" spans="1:94">
      <c r="A208" s="1882" t="s">
        <v>9643</v>
      </c>
      <c r="B208" s="1882" t="s">
        <v>9779</v>
      </c>
      <c r="C208" s="1882" t="s">
        <v>8394</v>
      </c>
      <c r="D208" s="1882" t="s">
        <v>8584</v>
      </c>
      <c r="E208" s="1882" t="s">
        <v>8585</v>
      </c>
      <c r="F208" s="1882" t="s">
        <v>9652</v>
      </c>
      <c r="G208" s="1882" t="s">
        <v>7236</v>
      </c>
      <c r="H208" s="1882" t="s">
        <v>9780</v>
      </c>
      <c r="I208" s="1882" t="s">
        <v>9654</v>
      </c>
      <c r="J208" s="1882" t="s">
        <v>8508</v>
      </c>
      <c r="K208" s="1882" t="s">
        <v>8509</v>
      </c>
      <c r="L208" s="1882"/>
      <c r="M208" s="1882"/>
      <c r="N208" s="1882" t="s">
        <v>8695</v>
      </c>
      <c r="O208" s="1882" t="s">
        <v>8591</v>
      </c>
      <c r="P208" s="1882" t="s">
        <v>9648</v>
      </c>
      <c r="Q208" s="520">
        <v>1</v>
      </c>
      <c r="R208" s="1882" t="s">
        <v>8549</v>
      </c>
      <c r="S208" s="1882">
        <v>4.3</v>
      </c>
      <c r="T208" s="1882">
        <v>4.3</v>
      </c>
      <c r="U208" s="1882">
        <v>4.3</v>
      </c>
      <c r="V208" s="1882">
        <v>4.3</v>
      </c>
      <c r="W208" s="1882">
        <v>4.3</v>
      </c>
      <c r="X208" s="1882">
        <v>4.3</v>
      </c>
      <c r="Y208" s="1882"/>
      <c r="Z208" s="1882"/>
      <c r="AA208" s="1882"/>
      <c r="AB208" s="1882"/>
      <c r="AC208" s="1882"/>
      <c r="AD208" s="1882"/>
      <c r="AE208" s="1882"/>
      <c r="AF208" s="1882"/>
      <c r="AG208" s="1882"/>
      <c r="AH208" s="1882">
        <v>0</v>
      </c>
      <c r="AI208" s="1882"/>
      <c r="AJ208" s="1882" t="s">
        <v>2459</v>
      </c>
      <c r="AK208" s="1882" t="s">
        <v>2459</v>
      </c>
      <c r="AL208" s="1882" t="s">
        <v>2459</v>
      </c>
      <c r="AM208" s="1882" t="s">
        <v>2459</v>
      </c>
      <c r="AN208" s="1882"/>
      <c r="AO208" s="1882">
        <v>3.3</v>
      </c>
      <c r="AP208" s="1882">
        <v>3.3</v>
      </c>
      <c r="AQ208" s="1882">
        <v>3.3</v>
      </c>
      <c r="AR208" s="1882">
        <v>3.3</v>
      </c>
      <c r="AS208" s="1882"/>
      <c r="AT208" s="1882">
        <v>4.2</v>
      </c>
      <c r="AU208" s="1882">
        <v>4.2</v>
      </c>
      <c r="AV208" s="1882">
        <v>4.2</v>
      </c>
      <c r="AW208" s="1882">
        <v>4.2</v>
      </c>
      <c r="AX208" s="1882"/>
      <c r="AY208" s="1882">
        <v>4.4000000000000004</v>
      </c>
      <c r="AZ208" s="1882">
        <v>4.4000000000000004</v>
      </c>
      <c r="BA208" s="1882">
        <v>4.4000000000000004</v>
      </c>
      <c r="BB208" s="1882">
        <v>4.4000000000000004</v>
      </c>
      <c r="BC208" s="1882"/>
      <c r="BD208" s="1882">
        <v>5</v>
      </c>
      <c r="BE208" s="1882">
        <v>5</v>
      </c>
      <c r="BF208" s="1882">
        <v>5</v>
      </c>
      <c r="BG208" s="1882">
        <v>5</v>
      </c>
      <c r="BH208" s="1882">
        <v>3.1E-2</v>
      </c>
      <c r="BI208" s="1882"/>
      <c r="BJ208" s="1882"/>
      <c r="BK208" s="1882"/>
      <c r="BL208" s="1882">
        <v>3.1E-2</v>
      </c>
      <c r="BM208" s="1882"/>
      <c r="BN208" s="1882">
        <v>1</v>
      </c>
      <c r="BO208" s="1882" t="s">
        <v>9649</v>
      </c>
      <c r="BP208" s="520" t="s">
        <v>8513</v>
      </c>
      <c r="BQ208" s="690">
        <v>4.0999999999999996</v>
      </c>
      <c r="BR208" s="1882" t="s">
        <v>2460</v>
      </c>
      <c r="BS208" s="1882" t="s">
        <v>8513</v>
      </c>
      <c r="BT208" s="1882">
        <v>0</v>
      </c>
      <c r="BU208" s="1882" t="s">
        <v>8513</v>
      </c>
      <c r="BV208" s="1882">
        <v>0</v>
      </c>
      <c r="BW208" s="1882">
        <v>4.2</v>
      </c>
      <c r="BX208" s="1882" t="s">
        <v>2460</v>
      </c>
      <c r="BY208" s="1882">
        <v>0</v>
      </c>
      <c r="BZ208" s="1882">
        <v>0</v>
      </c>
      <c r="CA208" s="1882" t="s">
        <v>8429</v>
      </c>
      <c r="CB208" s="1882">
        <v>0</v>
      </c>
      <c r="CC208" s="1882">
        <v>4.2</v>
      </c>
      <c r="CD208" s="1882" t="s">
        <v>2460</v>
      </c>
      <c r="CE208" s="1882">
        <v>0</v>
      </c>
      <c r="CF208" s="1882">
        <v>0</v>
      </c>
      <c r="CG208" s="1882" t="s">
        <v>8388</v>
      </c>
      <c r="CH208" s="1882">
        <v>0</v>
      </c>
      <c r="CI208" s="1882">
        <v>4.2</v>
      </c>
      <c r="CJ208" s="1882" t="s">
        <v>2460</v>
      </c>
      <c r="CK208" s="1882">
        <v>0</v>
      </c>
      <c r="CL208" s="1882">
        <v>0</v>
      </c>
      <c r="CM208" s="1882" t="s">
        <v>8388</v>
      </c>
      <c r="CN208" s="1882">
        <v>0</v>
      </c>
      <c r="CP208" s="1882" t="s">
        <v>9655</v>
      </c>
    </row>
    <row r="209" spans="1:94">
      <c r="A209" s="1882" t="s">
        <v>9643</v>
      </c>
      <c r="B209" s="1882" t="s">
        <v>9781</v>
      </c>
      <c r="C209" s="1882" t="s">
        <v>8394</v>
      </c>
      <c r="D209" s="1882" t="s">
        <v>8584</v>
      </c>
      <c r="E209" s="1882" t="s">
        <v>8585</v>
      </c>
      <c r="F209" s="1882" t="s">
        <v>9657</v>
      </c>
      <c r="G209" s="1882" t="s">
        <v>8254</v>
      </c>
      <c r="H209" s="1882" t="s">
        <v>9782</v>
      </c>
      <c r="I209" s="1882" t="s">
        <v>9659</v>
      </c>
      <c r="J209" s="1882" t="s">
        <v>8508</v>
      </c>
      <c r="K209" s="1882" t="s">
        <v>8509</v>
      </c>
      <c r="L209" s="1882"/>
      <c r="M209" s="1882"/>
      <c r="N209" s="1882" t="s">
        <v>8695</v>
      </c>
      <c r="O209" s="1882" t="s">
        <v>8591</v>
      </c>
      <c r="P209" s="1882" t="s">
        <v>9648</v>
      </c>
      <c r="Q209" s="520">
        <v>1</v>
      </c>
      <c r="R209" s="1882" t="s">
        <v>8549</v>
      </c>
      <c r="S209" s="1882">
        <v>3.6</v>
      </c>
      <c r="T209" s="1882">
        <v>4</v>
      </c>
      <c r="U209" s="1882">
        <v>4</v>
      </c>
      <c r="V209" s="1882">
        <v>4</v>
      </c>
      <c r="W209" s="1882">
        <v>4</v>
      </c>
      <c r="X209" s="1882">
        <v>4</v>
      </c>
      <c r="Y209" s="1882"/>
      <c r="Z209" s="1882"/>
      <c r="AA209" s="1882"/>
      <c r="AB209" s="1882"/>
      <c r="AC209" s="1882"/>
      <c r="AD209" s="1882"/>
      <c r="AE209" s="1882"/>
      <c r="AF209" s="1882"/>
      <c r="AG209" s="1882"/>
      <c r="AH209" s="1882">
        <v>0</v>
      </c>
      <c r="AI209" s="1882"/>
      <c r="AJ209" s="1882" t="s">
        <v>2459</v>
      </c>
      <c r="AK209" s="1882" t="s">
        <v>2459</v>
      </c>
      <c r="AL209" s="1882" t="s">
        <v>2459</v>
      </c>
      <c r="AM209" s="1882" t="s">
        <v>2459</v>
      </c>
      <c r="AN209" s="1882"/>
      <c r="AO209" s="1882">
        <v>3</v>
      </c>
      <c r="AP209" s="1882">
        <v>3</v>
      </c>
      <c r="AQ209" s="1882">
        <v>3</v>
      </c>
      <c r="AR209" s="1882">
        <v>3</v>
      </c>
      <c r="AS209" s="1882"/>
      <c r="AT209" s="1882">
        <v>3.9</v>
      </c>
      <c r="AU209" s="1882">
        <v>3.9</v>
      </c>
      <c r="AV209" s="1882">
        <v>3.9</v>
      </c>
      <c r="AW209" s="1882">
        <v>3.9</v>
      </c>
      <c r="AX209" s="1882"/>
      <c r="AY209" s="1882">
        <v>4.0999999999999996</v>
      </c>
      <c r="AZ209" s="1882">
        <v>4.0999999999999996</v>
      </c>
      <c r="BA209" s="1882">
        <v>4.0999999999999996</v>
      </c>
      <c r="BB209" s="1882">
        <v>4.0999999999999996</v>
      </c>
      <c r="BC209" s="1882"/>
      <c r="BD209" s="1882">
        <v>5</v>
      </c>
      <c r="BE209" s="1882">
        <v>5</v>
      </c>
      <c r="BF209" s="1882">
        <v>5</v>
      </c>
      <c r="BG209" s="1882">
        <v>5</v>
      </c>
      <c r="BH209" s="1882">
        <v>3.6999999999999998E-2</v>
      </c>
      <c r="BI209" s="1882"/>
      <c r="BJ209" s="1882"/>
      <c r="BK209" s="1882"/>
      <c r="BL209" s="1882">
        <v>3.6999999999999998E-2</v>
      </c>
      <c r="BM209" s="1882"/>
      <c r="BN209" s="1882">
        <v>3</v>
      </c>
      <c r="BO209" s="1882" t="s">
        <v>9649</v>
      </c>
      <c r="BP209" s="520" t="s">
        <v>8513</v>
      </c>
      <c r="BQ209" s="690">
        <v>3.4</v>
      </c>
      <c r="BR209" s="1882" t="s">
        <v>2460</v>
      </c>
      <c r="BS209" s="1882" t="s">
        <v>8513</v>
      </c>
      <c r="BT209" s="1882">
        <v>0</v>
      </c>
      <c r="BU209" s="1882" t="s">
        <v>8513</v>
      </c>
      <c r="BV209" s="1882">
        <v>0</v>
      </c>
      <c r="BW209" s="1882">
        <v>3.8</v>
      </c>
      <c r="BX209" s="1882" t="s">
        <v>2460</v>
      </c>
      <c r="BY209" s="1882">
        <v>0</v>
      </c>
      <c r="BZ209" s="1882">
        <v>0</v>
      </c>
      <c r="CA209" s="1882" t="s">
        <v>8563</v>
      </c>
      <c r="CB209" s="1882">
        <v>-1.1099999999999999E-2</v>
      </c>
      <c r="CC209" s="1882">
        <v>3.8</v>
      </c>
      <c r="CD209" s="1882" t="s">
        <v>2460</v>
      </c>
      <c r="CE209" s="1882">
        <v>0</v>
      </c>
      <c r="CF209" s="1882">
        <v>0</v>
      </c>
      <c r="CG209" s="1882" t="s">
        <v>8384</v>
      </c>
      <c r="CH209" s="1882">
        <v>-1.1099999999999999E-2</v>
      </c>
      <c r="CI209" s="1882">
        <v>3.6</v>
      </c>
      <c r="CJ209" s="1882" t="s">
        <v>2460</v>
      </c>
      <c r="CK209" s="1882">
        <v>0</v>
      </c>
      <c r="CL209" s="1882">
        <v>0</v>
      </c>
      <c r="CM209" s="1882" t="s">
        <v>8384</v>
      </c>
      <c r="CN209" s="1882">
        <v>-3.3299999999999996E-2</v>
      </c>
      <c r="CP209" s="1882" t="s">
        <v>9660</v>
      </c>
    </row>
    <row r="210" spans="1:94">
      <c r="A210" s="1882" t="s">
        <v>9643</v>
      </c>
      <c r="B210" s="1882" t="s">
        <v>9783</v>
      </c>
      <c r="C210" s="1882" t="s">
        <v>8394</v>
      </c>
      <c r="D210" s="1882" t="s">
        <v>8584</v>
      </c>
      <c r="E210" s="1882" t="s">
        <v>8585</v>
      </c>
      <c r="F210" s="1882" t="s">
        <v>9666</v>
      </c>
      <c r="G210" s="1882" t="s">
        <v>8261</v>
      </c>
      <c r="H210" s="1882" t="s">
        <v>9784</v>
      </c>
      <c r="I210" s="1882" t="s">
        <v>9668</v>
      </c>
      <c r="J210" s="1882" t="s">
        <v>8508</v>
      </c>
      <c r="K210" s="1882" t="s">
        <v>8509</v>
      </c>
      <c r="L210" s="1882"/>
      <c r="M210" s="1882"/>
      <c r="N210" s="1882" t="s">
        <v>8695</v>
      </c>
      <c r="O210" s="1882" t="s">
        <v>8591</v>
      </c>
      <c r="P210" s="1882" t="s">
        <v>9648</v>
      </c>
      <c r="Q210" s="520">
        <v>1</v>
      </c>
      <c r="R210" s="1882" t="s">
        <v>8549</v>
      </c>
      <c r="S210" s="1882">
        <v>4.5</v>
      </c>
      <c r="T210" s="1882">
        <v>4.5</v>
      </c>
      <c r="U210" s="1882">
        <v>4.5</v>
      </c>
      <c r="V210" s="1882">
        <v>4.5</v>
      </c>
      <c r="W210" s="1882">
        <v>4.5</v>
      </c>
      <c r="X210" s="1882">
        <v>4.5</v>
      </c>
      <c r="Y210" s="1882"/>
      <c r="Z210" s="1882"/>
      <c r="AA210" s="1882"/>
      <c r="AB210" s="1882"/>
      <c r="AC210" s="1882"/>
      <c r="AD210" s="1882"/>
      <c r="AE210" s="1882"/>
      <c r="AF210" s="1882"/>
      <c r="AG210" s="1882"/>
      <c r="AH210" s="1882">
        <v>0</v>
      </c>
      <c r="AI210" s="1882"/>
      <c r="AJ210" s="1882" t="s">
        <v>2459</v>
      </c>
      <c r="AK210" s="1882" t="s">
        <v>2459</v>
      </c>
      <c r="AL210" s="1882" t="s">
        <v>2459</v>
      </c>
      <c r="AM210" s="1882" t="s">
        <v>2459</v>
      </c>
      <c r="AN210" s="1882"/>
      <c r="AO210" s="1882">
        <v>3.5</v>
      </c>
      <c r="AP210" s="1882">
        <v>3.5</v>
      </c>
      <c r="AQ210" s="1882">
        <v>3.5</v>
      </c>
      <c r="AR210" s="1882">
        <v>3.5</v>
      </c>
      <c r="AS210" s="1882"/>
      <c r="AT210" s="1882">
        <v>4.4000000000000004</v>
      </c>
      <c r="AU210" s="1882">
        <v>4.4000000000000004</v>
      </c>
      <c r="AV210" s="1882">
        <v>4.4000000000000004</v>
      </c>
      <c r="AW210" s="1882">
        <v>4.4000000000000004</v>
      </c>
      <c r="AX210" s="1882"/>
      <c r="AY210" s="1882">
        <v>4.5999999999999996</v>
      </c>
      <c r="AZ210" s="1882">
        <v>4.5999999999999996</v>
      </c>
      <c r="BA210" s="1882">
        <v>4.5999999999999996</v>
      </c>
      <c r="BB210" s="1882">
        <v>4.5999999999999996</v>
      </c>
      <c r="BC210" s="1882"/>
      <c r="BD210" s="1882">
        <v>5</v>
      </c>
      <c r="BE210" s="1882">
        <v>5</v>
      </c>
      <c r="BF210" s="1882">
        <v>5</v>
      </c>
      <c r="BG210" s="1882">
        <v>5</v>
      </c>
      <c r="BH210" s="1882">
        <v>8.0000000000000002E-3</v>
      </c>
      <c r="BI210" s="1882"/>
      <c r="BJ210" s="1882"/>
      <c r="BK210" s="1882"/>
      <c r="BL210" s="1882">
        <v>8.0000000000000002E-3</v>
      </c>
      <c r="BM210" s="1882"/>
      <c r="BN210" s="1882">
        <v>8</v>
      </c>
      <c r="BO210" s="1882" t="s">
        <v>9649</v>
      </c>
      <c r="BP210" s="520" t="s">
        <v>8513</v>
      </c>
      <c r="BQ210" s="690">
        <v>4.2</v>
      </c>
      <c r="BR210" s="1882" t="s">
        <v>2460</v>
      </c>
      <c r="BS210" s="1882" t="s">
        <v>8513</v>
      </c>
      <c r="BT210" s="1882">
        <v>0</v>
      </c>
      <c r="BU210" s="1882" t="s">
        <v>8513</v>
      </c>
      <c r="BV210" s="1882">
        <v>0</v>
      </c>
      <c r="BW210" s="1882">
        <v>4.3</v>
      </c>
      <c r="BX210" s="1882" t="s">
        <v>2460</v>
      </c>
      <c r="BY210" s="1882">
        <v>0</v>
      </c>
      <c r="BZ210" s="1882">
        <v>0</v>
      </c>
      <c r="CA210" s="1882" t="s">
        <v>8563</v>
      </c>
      <c r="CB210" s="1882">
        <v>-6.4000000000000003E-3</v>
      </c>
      <c r="CC210" s="1882">
        <v>4.3</v>
      </c>
      <c r="CD210" s="1882" t="s">
        <v>2460</v>
      </c>
      <c r="CE210" s="1882">
        <v>0</v>
      </c>
      <c r="CF210" s="1882">
        <v>0</v>
      </c>
      <c r="CG210" s="1882" t="s">
        <v>8384</v>
      </c>
      <c r="CH210" s="1882">
        <v>-6.4000000000000003E-3</v>
      </c>
      <c r="CI210" s="1882">
        <v>4.3</v>
      </c>
      <c r="CJ210" s="1882" t="s">
        <v>2460</v>
      </c>
      <c r="CK210" s="1882">
        <v>0</v>
      </c>
      <c r="CL210" s="1882">
        <v>0</v>
      </c>
      <c r="CM210" s="1882" t="s">
        <v>8384</v>
      </c>
      <c r="CN210" s="1882">
        <v>-6.4000000000000324E-3</v>
      </c>
      <c r="CP210" s="1882" t="s">
        <v>9669</v>
      </c>
    </row>
    <row r="211" spans="1:94">
      <c r="A211" s="1882" t="s">
        <v>9643</v>
      </c>
      <c r="B211" s="1882" t="s">
        <v>9785</v>
      </c>
      <c r="C211" s="1882" t="s">
        <v>8394</v>
      </c>
      <c r="D211" s="1882" t="s">
        <v>8584</v>
      </c>
      <c r="E211" s="1882" t="s">
        <v>8585</v>
      </c>
      <c r="F211" s="1882" t="s">
        <v>9666</v>
      </c>
      <c r="G211" s="1882" t="s">
        <v>8264</v>
      </c>
      <c r="H211" s="1882" t="s">
        <v>9786</v>
      </c>
      <c r="I211" s="1882" t="s">
        <v>9672</v>
      </c>
      <c r="J211" s="1882" t="s">
        <v>8508</v>
      </c>
      <c r="K211" s="1882" t="s">
        <v>8509</v>
      </c>
      <c r="L211" s="1882"/>
      <c r="M211" s="1882" t="s">
        <v>2460</v>
      </c>
      <c r="N211" s="1882" t="s">
        <v>8590</v>
      </c>
      <c r="O211" s="1882" t="s">
        <v>8591</v>
      </c>
      <c r="P211" s="1882" t="s">
        <v>8592</v>
      </c>
      <c r="Q211" s="520">
        <v>1</v>
      </c>
      <c r="R211" s="1882" t="s">
        <v>8549</v>
      </c>
      <c r="S211" s="1882">
        <v>78</v>
      </c>
      <c r="T211" s="1882"/>
      <c r="U211" s="1882"/>
      <c r="V211" s="1882"/>
      <c r="W211" s="1882"/>
      <c r="X211" s="1882" t="s">
        <v>9227</v>
      </c>
      <c r="Y211" s="1882"/>
      <c r="Z211" s="1882"/>
      <c r="AA211" s="1882"/>
      <c r="AB211" s="1882"/>
      <c r="AC211" s="1882"/>
      <c r="AD211" s="1882"/>
      <c r="AE211" s="1882"/>
      <c r="AF211" s="1882"/>
      <c r="AG211" s="1882"/>
      <c r="AH211" s="1882">
        <v>0</v>
      </c>
      <c r="AI211" s="1882" t="s">
        <v>2459</v>
      </c>
      <c r="AJ211" s="1882" t="s">
        <v>2459</v>
      </c>
      <c r="AK211" s="1882" t="s">
        <v>2459</v>
      </c>
      <c r="AL211" s="1882" t="s">
        <v>2459</v>
      </c>
      <c r="AM211" s="1882" t="s">
        <v>2459</v>
      </c>
      <c r="AN211" s="1882" t="s">
        <v>8593</v>
      </c>
      <c r="AO211" s="1882" t="s">
        <v>8593</v>
      </c>
      <c r="AP211" s="1882" t="s">
        <v>8593</v>
      </c>
      <c r="AQ211" s="1882" t="s">
        <v>8593</v>
      </c>
      <c r="AR211" s="1882" t="s">
        <v>8593</v>
      </c>
      <c r="AS211" s="1882" t="s">
        <v>8593</v>
      </c>
      <c r="AT211" s="1882" t="s">
        <v>8593</v>
      </c>
      <c r="AU211" s="1882" t="s">
        <v>8593</v>
      </c>
      <c r="AV211" s="1882" t="s">
        <v>8593</v>
      </c>
      <c r="AW211" s="1882" t="s">
        <v>8593</v>
      </c>
      <c r="AX211" s="1882" t="s">
        <v>8593</v>
      </c>
      <c r="AY211" s="1882" t="s">
        <v>8593</v>
      </c>
      <c r="AZ211" s="1882" t="s">
        <v>8593</v>
      </c>
      <c r="BA211" s="1882" t="s">
        <v>8593</v>
      </c>
      <c r="BB211" s="1882" t="s">
        <v>8593</v>
      </c>
      <c r="BC211" s="1882" t="s">
        <v>8593</v>
      </c>
      <c r="BD211" s="1882" t="s">
        <v>8593</v>
      </c>
      <c r="BE211" s="1882" t="s">
        <v>8593</v>
      </c>
      <c r="BF211" s="1882" t="s">
        <v>8593</v>
      </c>
      <c r="BG211" s="1882" t="s">
        <v>8593</v>
      </c>
      <c r="BH211" s="1882" t="s">
        <v>8593</v>
      </c>
      <c r="BI211" s="1882"/>
      <c r="BJ211" s="1882"/>
      <c r="BK211" s="1882"/>
      <c r="BL211" s="1882" t="s">
        <v>8593</v>
      </c>
      <c r="BM211" s="1882"/>
      <c r="BN211" s="1882">
        <v>1</v>
      </c>
      <c r="BO211" s="1882" t="s">
        <v>8512</v>
      </c>
      <c r="BP211" s="520" t="s">
        <v>8513</v>
      </c>
      <c r="BQ211" s="690">
        <v>81.95</v>
      </c>
      <c r="BR211" s="1882" t="s">
        <v>8513</v>
      </c>
      <c r="BS211" s="1882" t="s">
        <v>8513</v>
      </c>
      <c r="BT211" s="1882">
        <v>0</v>
      </c>
      <c r="BU211" s="1882" t="s">
        <v>8513</v>
      </c>
      <c r="BV211" s="1882">
        <v>0</v>
      </c>
      <c r="BW211" s="1882">
        <v>84.6</v>
      </c>
      <c r="BX211" s="1882" t="s">
        <v>2451</v>
      </c>
      <c r="BY211" s="1882">
        <v>0</v>
      </c>
      <c r="BZ211" s="1882">
        <v>0</v>
      </c>
      <c r="CA211" s="1882">
        <v>0</v>
      </c>
      <c r="CB211" s="1882">
        <v>0</v>
      </c>
      <c r="CC211" s="1882">
        <v>85.6</v>
      </c>
      <c r="CD211" s="1882" t="s">
        <v>2451</v>
      </c>
      <c r="CE211" s="1882">
        <v>0</v>
      </c>
      <c r="CF211" s="1882">
        <v>0</v>
      </c>
      <c r="CG211" s="1882">
        <v>0</v>
      </c>
      <c r="CH211" s="1882">
        <v>0</v>
      </c>
      <c r="CI211" s="1882">
        <v>85.4</v>
      </c>
      <c r="CJ211" s="1882" t="s">
        <v>2451</v>
      </c>
      <c r="CK211" s="1882">
        <v>0</v>
      </c>
      <c r="CL211" s="1882">
        <v>0</v>
      </c>
      <c r="CM211" s="1882">
        <v>0</v>
      </c>
      <c r="CN211" s="1882">
        <v>0</v>
      </c>
      <c r="CP211" s="1882" t="s">
        <v>9673</v>
      </c>
    </row>
    <row r="212" spans="1:94">
      <c r="A212" s="1882" t="s">
        <v>9643</v>
      </c>
      <c r="B212" s="1882" t="s">
        <v>9787</v>
      </c>
      <c r="C212" s="1882" t="s">
        <v>8394</v>
      </c>
      <c r="D212" s="1882" t="s">
        <v>8584</v>
      </c>
      <c r="E212" s="1882" t="s">
        <v>8585</v>
      </c>
      <c r="F212" s="1882" t="s">
        <v>9675</v>
      </c>
      <c r="G212" s="1882" t="s">
        <v>8277</v>
      </c>
      <c r="H212" s="1882" t="s">
        <v>9788</v>
      </c>
      <c r="I212" s="1882" t="s">
        <v>9677</v>
      </c>
      <c r="J212" s="1882" t="s">
        <v>8539</v>
      </c>
      <c r="K212" s="1882"/>
      <c r="L212" s="1882"/>
      <c r="M212" s="1882"/>
      <c r="N212" s="1882" t="s">
        <v>8599</v>
      </c>
      <c r="O212" s="1882" t="s">
        <v>732</v>
      </c>
      <c r="P212" s="1882" t="s">
        <v>8696</v>
      </c>
      <c r="Q212" s="520">
        <v>0</v>
      </c>
      <c r="R212" s="1882" t="s">
        <v>8549</v>
      </c>
      <c r="S212" s="1882">
        <v>72</v>
      </c>
      <c r="T212" s="1882"/>
      <c r="U212" s="1882"/>
      <c r="V212" s="1882"/>
      <c r="W212" s="1882"/>
      <c r="X212" s="1882" t="s">
        <v>9227</v>
      </c>
      <c r="Y212" s="1882"/>
      <c r="Z212" s="1882"/>
      <c r="AA212" s="1882"/>
      <c r="AB212" s="1882"/>
      <c r="AC212" s="1882"/>
      <c r="AD212" s="1882"/>
      <c r="AE212" s="1882"/>
      <c r="AF212" s="1882"/>
      <c r="AG212" s="1882"/>
      <c r="AH212" s="1882">
        <v>0</v>
      </c>
      <c r="AI212" s="1882"/>
      <c r="AJ212" s="1882"/>
      <c r="AK212" s="1882"/>
      <c r="AL212" s="1882"/>
      <c r="AM212" s="1882"/>
      <c r="AN212" s="1882"/>
      <c r="AO212" s="1882"/>
      <c r="AP212" s="1882"/>
      <c r="AQ212" s="1882"/>
      <c r="AR212" s="1882"/>
      <c r="AS212" s="1882"/>
      <c r="AT212" s="1882"/>
      <c r="AU212" s="1882"/>
      <c r="AV212" s="1882"/>
      <c r="AW212" s="1882"/>
      <c r="AX212" s="1882"/>
      <c r="AY212" s="1882"/>
      <c r="AZ212" s="1882"/>
      <c r="BA212" s="1882"/>
      <c r="BB212" s="1882"/>
      <c r="BC212" s="1882"/>
      <c r="BD212" s="1882"/>
      <c r="BE212" s="1882"/>
      <c r="BF212" s="1882"/>
      <c r="BG212" s="1882"/>
      <c r="BH212" s="1882"/>
      <c r="BI212" s="1882"/>
      <c r="BJ212" s="1882"/>
      <c r="BK212" s="1882"/>
      <c r="BL212" s="1882"/>
      <c r="BM212" s="1882"/>
      <c r="BN212" s="1882"/>
      <c r="BO212" s="1882"/>
      <c r="BP212" s="520">
        <v>72</v>
      </c>
      <c r="BQ212" s="693">
        <v>71</v>
      </c>
      <c r="BR212" s="1882" t="s">
        <v>8513</v>
      </c>
      <c r="BS212" s="1882" t="s">
        <v>8513</v>
      </c>
      <c r="BT212" s="1882">
        <v>0</v>
      </c>
      <c r="BU212" s="1882" t="s">
        <v>8513</v>
      </c>
      <c r="BV212" s="1882">
        <v>0</v>
      </c>
      <c r="BW212" s="1882">
        <v>74</v>
      </c>
      <c r="BX212" s="1882" t="s">
        <v>2451</v>
      </c>
      <c r="BY212" s="1882">
        <v>0</v>
      </c>
      <c r="BZ212" s="1882">
        <v>0</v>
      </c>
      <c r="CA212" s="1882">
        <v>0</v>
      </c>
      <c r="CB212" s="1882">
        <v>0</v>
      </c>
      <c r="CC212" s="1882">
        <v>71</v>
      </c>
      <c r="CD212" s="1882" t="s">
        <v>2451</v>
      </c>
      <c r="CE212" s="1882">
        <v>0</v>
      </c>
      <c r="CF212" s="1882">
        <v>0</v>
      </c>
      <c r="CG212" s="1882">
        <v>0</v>
      </c>
      <c r="CH212" s="1882">
        <v>0</v>
      </c>
      <c r="CI212" s="1882">
        <v>73</v>
      </c>
      <c r="CJ212" s="1882" t="s">
        <v>2451</v>
      </c>
      <c r="CK212" s="1882">
        <v>0</v>
      </c>
      <c r="CL212" s="1882">
        <v>0</v>
      </c>
      <c r="CM212" s="1882">
        <v>0</v>
      </c>
      <c r="CN212" s="1882">
        <v>0</v>
      </c>
      <c r="CP212" s="1882" t="s">
        <v>9678</v>
      </c>
    </row>
    <row r="213" spans="1:94">
      <c r="A213" s="1882" t="s">
        <v>9643</v>
      </c>
      <c r="B213" s="1882" t="s">
        <v>9789</v>
      </c>
      <c r="C213" s="1882" t="s">
        <v>8394</v>
      </c>
      <c r="D213" s="1882" t="s">
        <v>8584</v>
      </c>
      <c r="E213" s="1882" t="s">
        <v>8585</v>
      </c>
      <c r="F213" s="1882" t="s">
        <v>9680</v>
      </c>
      <c r="G213" s="1882" t="s">
        <v>8293</v>
      </c>
      <c r="H213" s="1882" t="s">
        <v>9790</v>
      </c>
      <c r="I213" s="1882" t="s">
        <v>9682</v>
      </c>
      <c r="J213" s="1882" t="s">
        <v>8508</v>
      </c>
      <c r="K213" s="1882" t="s">
        <v>8509</v>
      </c>
      <c r="L213" s="1882"/>
      <c r="M213" s="1882"/>
      <c r="N213" s="1882" t="s">
        <v>8695</v>
      </c>
      <c r="O213" s="1882" t="s">
        <v>8591</v>
      </c>
      <c r="P213" s="1882" t="s">
        <v>9648</v>
      </c>
      <c r="Q213" s="520">
        <v>1</v>
      </c>
      <c r="R213" s="1882" t="s">
        <v>8549</v>
      </c>
      <c r="S213" s="1882">
        <v>4.5</v>
      </c>
      <c r="T213" s="1882">
        <v>4.5</v>
      </c>
      <c r="U213" s="1882">
        <v>4.5</v>
      </c>
      <c r="V213" s="1882">
        <v>4.5</v>
      </c>
      <c r="W213" s="1882">
        <v>4.5</v>
      </c>
      <c r="X213" s="1882">
        <v>4.5</v>
      </c>
      <c r="Y213" s="1882"/>
      <c r="Z213" s="1882"/>
      <c r="AA213" s="1882"/>
      <c r="AB213" s="1882"/>
      <c r="AC213" s="1882"/>
      <c r="AD213" s="1882"/>
      <c r="AE213" s="1882"/>
      <c r="AF213" s="1882"/>
      <c r="AG213" s="1882"/>
      <c r="AH213" s="1882">
        <v>0</v>
      </c>
      <c r="AI213" s="1882"/>
      <c r="AJ213" s="1882" t="s">
        <v>2459</v>
      </c>
      <c r="AK213" s="1882" t="s">
        <v>2459</v>
      </c>
      <c r="AL213" s="1882" t="s">
        <v>2459</v>
      </c>
      <c r="AM213" s="1882" t="s">
        <v>2459</v>
      </c>
      <c r="AN213" s="1882"/>
      <c r="AO213" s="1882">
        <v>3.5</v>
      </c>
      <c r="AP213" s="1882">
        <v>3.5</v>
      </c>
      <c r="AQ213" s="1882">
        <v>3.5</v>
      </c>
      <c r="AR213" s="1882">
        <v>3.5</v>
      </c>
      <c r="AS213" s="1882"/>
      <c r="AT213" s="1882">
        <v>4.4000000000000004</v>
      </c>
      <c r="AU213" s="1882">
        <v>4.4000000000000004</v>
      </c>
      <c r="AV213" s="1882">
        <v>4.4000000000000004</v>
      </c>
      <c r="AW213" s="1882">
        <v>4.4000000000000004</v>
      </c>
      <c r="AX213" s="1882"/>
      <c r="AY213" s="1882">
        <v>4.5999999999999996</v>
      </c>
      <c r="AZ213" s="1882">
        <v>4.5999999999999996</v>
      </c>
      <c r="BA213" s="1882">
        <v>4.5999999999999996</v>
      </c>
      <c r="BB213" s="1882">
        <v>4.5999999999999996</v>
      </c>
      <c r="BC213" s="1882"/>
      <c r="BD213" s="1882">
        <v>5</v>
      </c>
      <c r="BE213" s="1882">
        <v>5</v>
      </c>
      <c r="BF213" s="1882">
        <v>5</v>
      </c>
      <c r="BG213" s="1882">
        <v>5</v>
      </c>
      <c r="BH213" s="1882">
        <v>2.7E-2</v>
      </c>
      <c r="BI213" s="1882"/>
      <c r="BJ213" s="1882"/>
      <c r="BK213" s="1882"/>
      <c r="BL213" s="1882">
        <v>2.7E-2</v>
      </c>
      <c r="BM213" s="1882"/>
      <c r="BN213" s="1882">
        <v>1</v>
      </c>
      <c r="BO213" s="1882" t="s">
        <v>9649</v>
      </c>
      <c r="BP213" s="520" t="s">
        <v>8513</v>
      </c>
      <c r="BQ213" s="690">
        <v>4.2</v>
      </c>
      <c r="BR213" s="1882" t="s">
        <v>2460</v>
      </c>
      <c r="BS213" s="1882" t="s">
        <v>8513</v>
      </c>
      <c r="BT213" s="1882">
        <v>0</v>
      </c>
      <c r="BU213" s="1882" t="s">
        <v>8513</v>
      </c>
      <c r="BV213" s="1882">
        <v>0</v>
      </c>
      <c r="BW213" s="1882">
        <v>4.2</v>
      </c>
      <c r="BX213" s="1882" t="s">
        <v>2460</v>
      </c>
      <c r="BY213" s="1882">
        <v>0</v>
      </c>
      <c r="BZ213" s="1882">
        <v>0</v>
      </c>
      <c r="CA213" s="1882" t="s">
        <v>8563</v>
      </c>
      <c r="CB213" s="1882">
        <v>-5.3E-3</v>
      </c>
      <c r="CC213" s="1882">
        <v>4.3</v>
      </c>
      <c r="CD213" s="1882" t="s">
        <v>2460</v>
      </c>
      <c r="CE213" s="1882">
        <v>0</v>
      </c>
      <c r="CF213" s="1882">
        <v>0</v>
      </c>
      <c r="CG213" s="1882" t="s">
        <v>8384</v>
      </c>
      <c r="CH213" s="1882">
        <v>-2.7000000000000001E-3</v>
      </c>
      <c r="CI213" s="1882">
        <v>4.3</v>
      </c>
      <c r="CJ213" s="1882" t="s">
        <v>2460</v>
      </c>
      <c r="CK213" s="1882">
        <v>0</v>
      </c>
      <c r="CL213" s="1882">
        <v>0</v>
      </c>
      <c r="CM213" s="1882" t="s">
        <v>8384</v>
      </c>
      <c r="CN213" s="1882">
        <v>-2.7000000000000101E-3</v>
      </c>
      <c r="CP213" s="1882" t="s">
        <v>9683</v>
      </c>
    </row>
    <row r="214" spans="1:94">
      <c r="A214" s="1882" t="s">
        <v>9643</v>
      </c>
      <c r="B214" s="1882" t="s">
        <v>9791</v>
      </c>
      <c r="C214" s="1882" t="s">
        <v>8394</v>
      </c>
      <c r="D214" s="1882" t="s">
        <v>8584</v>
      </c>
      <c r="E214" s="1882" t="s">
        <v>8585</v>
      </c>
      <c r="F214" s="1882" t="s">
        <v>9690</v>
      </c>
      <c r="G214" s="1882" t="s">
        <v>8899</v>
      </c>
      <c r="H214" s="1882" t="s">
        <v>9792</v>
      </c>
      <c r="I214" s="1882" t="s">
        <v>9692</v>
      </c>
      <c r="J214" s="1882" t="s">
        <v>8508</v>
      </c>
      <c r="K214" s="1882" t="s">
        <v>8509</v>
      </c>
      <c r="L214" s="1882"/>
      <c r="M214" s="1882"/>
      <c r="N214" s="1882" t="s">
        <v>8695</v>
      </c>
      <c r="O214" s="1882" t="s">
        <v>8591</v>
      </c>
      <c r="P214" s="1882" t="s">
        <v>9648</v>
      </c>
      <c r="Q214" s="520">
        <v>1</v>
      </c>
      <c r="R214" s="1882" t="s">
        <v>8549</v>
      </c>
      <c r="S214" s="1882">
        <v>4.7</v>
      </c>
      <c r="T214" s="1882">
        <v>4.7</v>
      </c>
      <c r="U214" s="1882">
        <v>4.7</v>
      </c>
      <c r="V214" s="1882">
        <v>4.7</v>
      </c>
      <c r="W214" s="1882">
        <v>4.7</v>
      </c>
      <c r="X214" s="1882">
        <v>4.7</v>
      </c>
      <c r="Y214" s="1882"/>
      <c r="Z214" s="1882"/>
      <c r="AA214" s="1882"/>
      <c r="AB214" s="1882"/>
      <c r="AC214" s="1882"/>
      <c r="AD214" s="1882"/>
      <c r="AE214" s="1882"/>
      <c r="AF214" s="1882"/>
      <c r="AG214" s="1882"/>
      <c r="AH214" s="1882">
        <v>0</v>
      </c>
      <c r="AI214" s="1882"/>
      <c r="AJ214" s="1882" t="s">
        <v>2459</v>
      </c>
      <c r="AK214" s="1882" t="s">
        <v>2459</v>
      </c>
      <c r="AL214" s="1882" t="s">
        <v>2459</v>
      </c>
      <c r="AM214" s="1882" t="s">
        <v>2459</v>
      </c>
      <c r="AN214" s="1882"/>
      <c r="AO214" s="1882">
        <v>3.7</v>
      </c>
      <c r="AP214" s="1882">
        <v>3.7</v>
      </c>
      <c r="AQ214" s="1882">
        <v>3.7</v>
      </c>
      <c r="AR214" s="1882">
        <v>3.7</v>
      </c>
      <c r="AS214" s="1882"/>
      <c r="AT214" s="1882">
        <v>4.5999999999999996</v>
      </c>
      <c r="AU214" s="1882">
        <v>4.5999999999999996</v>
      </c>
      <c r="AV214" s="1882">
        <v>4.5999999999999996</v>
      </c>
      <c r="AW214" s="1882">
        <v>4.5999999999999996</v>
      </c>
      <c r="AX214" s="1882"/>
      <c r="AY214" s="1882">
        <v>4.8</v>
      </c>
      <c r="AZ214" s="1882">
        <v>4.8</v>
      </c>
      <c r="BA214" s="1882">
        <v>4.8</v>
      </c>
      <c r="BB214" s="1882">
        <v>4.8</v>
      </c>
      <c r="BC214" s="1882"/>
      <c r="BD214" s="1882">
        <v>5</v>
      </c>
      <c r="BE214" s="1882">
        <v>5</v>
      </c>
      <c r="BF214" s="1882">
        <v>5</v>
      </c>
      <c r="BG214" s="1882">
        <v>5</v>
      </c>
      <c r="BH214" s="1882">
        <v>6.0000000000000001E-3</v>
      </c>
      <c r="BI214" s="1882"/>
      <c r="BJ214" s="1882"/>
      <c r="BK214" s="1882"/>
      <c r="BL214" s="1882">
        <v>6.0000000000000001E-3</v>
      </c>
      <c r="BM214" s="1882"/>
      <c r="BN214" s="1882">
        <v>1</v>
      </c>
      <c r="BO214" s="1882" t="s">
        <v>9649</v>
      </c>
      <c r="BP214" s="520" t="s">
        <v>8513</v>
      </c>
      <c r="BQ214" s="690">
        <v>4.5999999999999996</v>
      </c>
      <c r="BR214" s="1882" t="s">
        <v>2460</v>
      </c>
      <c r="BS214" s="1882" t="s">
        <v>8513</v>
      </c>
      <c r="BT214" s="1882">
        <v>0</v>
      </c>
      <c r="BU214" s="1882" t="s">
        <v>8513</v>
      </c>
      <c r="BV214" s="1882">
        <v>0</v>
      </c>
      <c r="BW214" s="1882">
        <v>4.5999999999999996</v>
      </c>
      <c r="BX214" s="1882" t="s">
        <v>2460</v>
      </c>
      <c r="BY214" s="1882">
        <v>0</v>
      </c>
      <c r="BZ214" s="1882">
        <v>0</v>
      </c>
      <c r="CA214" s="1882" t="s">
        <v>8429</v>
      </c>
      <c r="CB214" s="1882">
        <v>0</v>
      </c>
      <c r="CC214" s="1882">
        <v>4.5999999999999996</v>
      </c>
      <c r="CD214" s="1882" t="s">
        <v>2460</v>
      </c>
      <c r="CE214" s="1882">
        <v>0</v>
      </c>
      <c r="CF214" s="1882">
        <v>0</v>
      </c>
      <c r="CG214" s="1882" t="s">
        <v>8380</v>
      </c>
      <c r="CH214" s="1882">
        <v>0</v>
      </c>
      <c r="CI214" s="1882">
        <v>4.5999999999999996</v>
      </c>
      <c r="CJ214" s="1882" t="s">
        <v>2460</v>
      </c>
      <c r="CK214" s="1882">
        <v>0</v>
      </c>
      <c r="CL214" s="1882">
        <v>0</v>
      </c>
      <c r="CM214" s="1882" t="s">
        <v>8388</v>
      </c>
      <c r="CN214" s="1882">
        <v>0</v>
      </c>
      <c r="CP214" s="1882" t="s">
        <v>9693</v>
      </c>
    </row>
    <row r="215" spans="1:94">
      <c r="A215" s="1882" t="s">
        <v>9643</v>
      </c>
      <c r="B215" s="1882" t="s">
        <v>9793</v>
      </c>
      <c r="C215" s="1882" t="s">
        <v>8394</v>
      </c>
      <c r="D215" s="1882" t="s">
        <v>8584</v>
      </c>
      <c r="E215" s="1882" t="s">
        <v>8585</v>
      </c>
      <c r="F215" s="1882" t="s">
        <v>9699</v>
      </c>
      <c r="G215" s="1882" t="s">
        <v>8907</v>
      </c>
      <c r="H215" s="1882" t="s">
        <v>9794</v>
      </c>
      <c r="I215" s="1882" t="s">
        <v>9701</v>
      </c>
      <c r="J215" s="1882" t="s">
        <v>8508</v>
      </c>
      <c r="K215" s="1882" t="s">
        <v>8509</v>
      </c>
      <c r="L215" s="1882"/>
      <c r="M215" s="1882"/>
      <c r="N215" s="1882" t="s">
        <v>8695</v>
      </c>
      <c r="O215" s="1882" t="s">
        <v>8591</v>
      </c>
      <c r="P215" s="1882" t="s">
        <v>9648</v>
      </c>
      <c r="Q215" s="520">
        <v>1</v>
      </c>
      <c r="R215" s="1882" t="s">
        <v>8549</v>
      </c>
      <c r="S215" s="1882">
        <v>4.0999999999999996</v>
      </c>
      <c r="T215" s="1882">
        <v>4.0999999999999996</v>
      </c>
      <c r="U215" s="1882">
        <v>4.0999999999999996</v>
      </c>
      <c r="V215" s="1882">
        <v>4.0999999999999996</v>
      </c>
      <c r="W215" s="1882">
        <v>4.0999999999999996</v>
      </c>
      <c r="X215" s="1882">
        <v>4.0999999999999996</v>
      </c>
      <c r="Y215" s="1882"/>
      <c r="Z215" s="1882"/>
      <c r="AA215" s="1882"/>
      <c r="AB215" s="1882"/>
      <c r="AC215" s="1882"/>
      <c r="AD215" s="1882"/>
      <c r="AE215" s="1882"/>
      <c r="AF215" s="1882"/>
      <c r="AG215" s="1882"/>
      <c r="AH215" s="1882">
        <v>0</v>
      </c>
      <c r="AI215" s="1882"/>
      <c r="AJ215" s="1882" t="s">
        <v>2459</v>
      </c>
      <c r="AK215" s="1882" t="s">
        <v>2459</v>
      </c>
      <c r="AL215" s="1882" t="s">
        <v>2459</v>
      </c>
      <c r="AM215" s="1882" t="s">
        <v>2459</v>
      </c>
      <c r="AN215" s="1882"/>
      <c r="AO215" s="1882">
        <v>3.1</v>
      </c>
      <c r="AP215" s="1882">
        <v>3.1</v>
      </c>
      <c r="AQ215" s="1882">
        <v>3.1</v>
      </c>
      <c r="AR215" s="1882">
        <v>3.1</v>
      </c>
      <c r="AS215" s="1882"/>
      <c r="AT215" s="1882">
        <v>4</v>
      </c>
      <c r="AU215" s="1882">
        <v>4</v>
      </c>
      <c r="AV215" s="1882">
        <v>4</v>
      </c>
      <c r="AW215" s="1882">
        <v>4</v>
      </c>
      <c r="AX215" s="1882"/>
      <c r="AY215" s="1882">
        <v>4.2</v>
      </c>
      <c r="AZ215" s="1882">
        <v>4.2</v>
      </c>
      <c r="BA215" s="1882">
        <v>4.2</v>
      </c>
      <c r="BB215" s="1882">
        <v>4.2</v>
      </c>
      <c r="BC215" s="1882"/>
      <c r="BD215" s="1882">
        <v>5</v>
      </c>
      <c r="BE215" s="1882">
        <v>5</v>
      </c>
      <c r="BF215" s="1882">
        <v>5</v>
      </c>
      <c r="BG215" s="1882">
        <v>5</v>
      </c>
      <c r="BH215" s="1882">
        <v>2.4E-2</v>
      </c>
      <c r="BI215" s="1882"/>
      <c r="BJ215" s="1882"/>
      <c r="BK215" s="1882"/>
      <c r="BL215" s="1882">
        <v>2.4E-2</v>
      </c>
      <c r="BM215" s="1882"/>
      <c r="BN215" s="1882">
        <v>1</v>
      </c>
      <c r="BO215" s="1882" t="s">
        <v>9649</v>
      </c>
      <c r="BP215" s="520" t="s">
        <v>8513</v>
      </c>
      <c r="BQ215" s="690">
        <v>4.2</v>
      </c>
      <c r="BR215" s="1882" t="s">
        <v>2459</v>
      </c>
      <c r="BS215" s="1882" t="s">
        <v>8513</v>
      </c>
      <c r="BT215" s="1882">
        <v>0</v>
      </c>
      <c r="BU215" s="1882" t="s">
        <v>8513</v>
      </c>
      <c r="BV215" s="1882">
        <v>0</v>
      </c>
      <c r="BW215" s="1882">
        <v>4.4000000000000004</v>
      </c>
      <c r="BX215" s="1882" t="s">
        <v>2459</v>
      </c>
      <c r="BY215" s="1882">
        <v>0</v>
      </c>
      <c r="BZ215" s="1882">
        <v>0</v>
      </c>
      <c r="CA215" s="1882" t="s">
        <v>8376</v>
      </c>
      <c r="CB215" s="1882">
        <v>4.8000000000000004E-3</v>
      </c>
      <c r="CC215" s="1882">
        <v>4.4000000000000004</v>
      </c>
      <c r="CD215" s="1882" t="s">
        <v>2459</v>
      </c>
      <c r="CE215" s="1882">
        <v>0</v>
      </c>
      <c r="CF215" s="1882">
        <v>0</v>
      </c>
      <c r="CG215" s="1882" t="s">
        <v>8376</v>
      </c>
      <c r="CH215" s="1882">
        <v>4.8000000000000004E-3</v>
      </c>
      <c r="CI215" s="1882">
        <v>4.4000000000000004</v>
      </c>
      <c r="CJ215" s="1882" t="s">
        <v>2459</v>
      </c>
      <c r="CK215" s="1882">
        <v>0</v>
      </c>
      <c r="CL215" s="1882">
        <v>0</v>
      </c>
      <c r="CM215" s="1882" t="s">
        <v>8376</v>
      </c>
      <c r="CN215" s="1882">
        <v>4.8000000000000299E-3</v>
      </c>
      <c r="CP215" s="1882" t="s">
        <v>9702</v>
      </c>
    </row>
    <row r="216" spans="1:94">
      <c r="A216" s="1882" t="s">
        <v>8375</v>
      </c>
      <c r="B216" s="1882" t="s">
        <v>9795</v>
      </c>
      <c r="C216" s="1882" t="s">
        <v>8352</v>
      </c>
      <c r="D216" s="1882" t="s">
        <v>1626</v>
      </c>
      <c r="E216" s="1882" t="s">
        <v>8503</v>
      </c>
      <c r="F216" s="1882" t="s">
        <v>9796</v>
      </c>
      <c r="G216" s="1882">
        <v>1</v>
      </c>
      <c r="H216" s="1882" t="s">
        <v>9797</v>
      </c>
      <c r="I216" s="1882" t="s">
        <v>9798</v>
      </c>
      <c r="J216" s="1882" t="s">
        <v>8519</v>
      </c>
      <c r="K216" s="1882" t="s">
        <v>8855</v>
      </c>
      <c r="L216" s="1882"/>
      <c r="M216" s="1882" t="s">
        <v>2460</v>
      </c>
      <c r="N216" s="1882" t="s">
        <v>8569</v>
      </c>
      <c r="O216" s="1882" t="s">
        <v>8704</v>
      </c>
      <c r="P216" s="1882" t="s">
        <v>8856</v>
      </c>
      <c r="Q216" s="520" t="s">
        <v>8512</v>
      </c>
      <c r="R216" s="1882"/>
      <c r="S216" s="1882" t="s">
        <v>3504</v>
      </c>
      <c r="T216" s="1882" t="s">
        <v>8706</v>
      </c>
      <c r="U216" s="1882" t="s">
        <v>8706</v>
      </c>
      <c r="V216" s="1882" t="s">
        <v>8706</v>
      </c>
      <c r="W216" s="1882" t="s">
        <v>8706</v>
      </c>
      <c r="X216" s="1882" t="s">
        <v>8706</v>
      </c>
      <c r="Y216" s="1882"/>
      <c r="Z216" s="1882"/>
      <c r="AA216" s="1882"/>
      <c r="AB216" s="1882"/>
      <c r="AC216" s="1882"/>
      <c r="AD216" s="1882"/>
      <c r="AE216" s="1882" t="s">
        <v>2459</v>
      </c>
      <c r="AF216" s="1882"/>
      <c r="AG216" s="1882"/>
      <c r="AH216" s="1882">
        <v>5</v>
      </c>
      <c r="AI216" s="1882" t="s">
        <v>2459</v>
      </c>
      <c r="AJ216" s="1882" t="s">
        <v>2459</v>
      </c>
      <c r="AK216" s="1882" t="s">
        <v>2459</v>
      </c>
      <c r="AL216" s="1882" t="s">
        <v>2459</v>
      </c>
      <c r="AM216" s="1882" t="s">
        <v>2459</v>
      </c>
      <c r="AN216" s="1882" t="s">
        <v>9751</v>
      </c>
      <c r="AO216" s="1882" t="s">
        <v>9751</v>
      </c>
      <c r="AP216" s="1882" t="s">
        <v>9751</v>
      </c>
      <c r="AQ216" s="1882" t="s">
        <v>9751</v>
      </c>
      <c r="AR216" s="1882" t="s">
        <v>9751</v>
      </c>
      <c r="AS216" s="1882" t="s">
        <v>9751</v>
      </c>
      <c r="AT216" s="1882" t="s">
        <v>9751</v>
      </c>
      <c r="AU216" s="1882" t="s">
        <v>9751</v>
      </c>
      <c r="AV216" s="1882" t="s">
        <v>9751</v>
      </c>
      <c r="AW216" s="1882" t="s">
        <v>9751</v>
      </c>
      <c r="AX216" s="1882"/>
      <c r="AY216" s="1882"/>
      <c r="AZ216" s="1882"/>
      <c r="BA216" s="1882"/>
      <c r="BB216" s="1882"/>
      <c r="BC216" s="1882"/>
      <c r="BD216" s="1882"/>
      <c r="BE216" s="1882"/>
      <c r="BF216" s="1882"/>
      <c r="BG216" s="1882"/>
      <c r="BH216" s="1882" t="s">
        <v>9751</v>
      </c>
      <c r="BI216" s="1882" t="s">
        <v>9751</v>
      </c>
      <c r="BJ216" s="1882" t="s">
        <v>9751</v>
      </c>
      <c r="BK216" s="1882" t="s">
        <v>9751</v>
      </c>
      <c r="BL216" s="1882"/>
      <c r="BM216" s="1882"/>
      <c r="BN216" s="1882">
        <v>1</v>
      </c>
      <c r="BO216" s="1882" t="s">
        <v>8512</v>
      </c>
      <c r="BP216" s="520" t="s">
        <v>3504</v>
      </c>
      <c r="BQ216" s="692" t="s">
        <v>8706</v>
      </c>
      <c r="BR216" s="1882" t="s">
        <v>2459</v>
      </c>
      <c r="BS216" s="1882" t="s">
        <v>8513</v>
      </c>
      <c r="BT216" s="1882">
        <v>0</v>
      </c>
      <c r="BU216" s="1882" t="s">
        <v>8513</v>
      </c>
      <c r="BV216" s="1882">
        <v>0</v>
      </c>
      <c r="BW216" s="1882" t="s">
        <v>8706</v>
      </c>
      <c r="BX216" s="1882" t="s">
        <v>2459</v>
      </c>
      <c r="BY216" s="1882">
        <v>0</v>
      </c>
      <c r="BZ216" s="1882">
        <v>0</v>
      </c>
      <c r="CA216" s="1882">
        <v>0</v>
      </c>
      <c r="CB216" s="1882">
        <v>0</v>
      </c>
      <c r="CC216" s="1882" t="s">
        <v>8706</v>
      </c>
      <c r="CD216" s="1882" t="s">
        <v>2459</v>
      </c>
      <c r="CE216" s="1882">
        <v>0</v>
      </c>
      <c r="CF216" s="1882">
        <v>0</v>
      </c>
      <c r="CG216" s="1882">
        <v>0</v>
      </c>
      <c r="CH216" s="1882">
        <v>0</v>
      </c>
      <c r="CI216" s="1882" t="s">
        <v>8706</v>
      </c>
      <c r="CJ216" s="1882" t="s">
        <v>2459</v>
      </c>
      <c r="CK216" s="1882">
        <v>0</v>
      </c>
      <c r="CL216" s="1882">
        <v>0</v>
      </c>
      <c r="CM216" s="1882">
        <v>0</v>
      </c>
      <c r="CN216" s="1882">
        <v>0</v>
      </c>
      <c r="CP216" s="1882" t="s">
        <v>9799</v>
      </c>
    </row>
    <row r="217" spans="1:94">
      <c r="A217" s="1882" t="s">
        <v>8375</v>
      </c>
      <c r="B217" s="1882" t="s">
        <v>9800</v>
      </c>
      <c r="C217" s="1882" t="s">
        <v>8352</v>
      </c>
      <c r="D217" s="1882" t="s">
        <v>1626</v>
      </c>
      <c r="E217" s="1882" t="s">
        <v>8503</v>
      </c>
      <c r="F217" s="1882" t="s">
        <v>9796</v>
      </c>
      <c r="G217" s="1882">
        <v>2</v>
      </c>
      <c r="H217" s="1882" t="s">
        <v>9801</v>
      </c>
      <c r="I217" s="1882" t="s">
        <v>9802</v>
      </c>
      <c r="J217" s="1882" t="s">
        <v>8519</v>
      </c>
      <c r="K217" s="1882" t="s">
        <v>8509</v>
      </c>
      <c r="L217" s="1882"/>
      <c r="M217" s="1882"/>
      <c r="N217" s="1882" t="s">
        <v>8635</v>
      </c>
      <c r="O217" s="1882" t="s">
        <v>764</v>
      </c>
      <c r="P217" s="1882" t="s">
        <v>9803</v>
      </c>
      <c r="Q217" s="520">
        <v>0</v>
      </c>
      <c r="R217" s="1882" t="s">
        <v>8511</v>
      </c>
      <c r="S217" s="1882">
        <v>0</v>
      </c>
      <c r="T217" s="1882">
        <v>0</v>
      </c>
      <c r="U217" s="1882">
        <v>0</v>
      </c>
      <c r="V217" s="1882">
        <v>0</v>
      </c>
      <c r="W217" s="1882">
        <v>0</v>
      </c>
      <c r="X217" s="1882">
        <v>0</v>
      </c>
      <c r="Y217" s="1882"/>
      <c r="Z217" s="1882"/>
      <c r="AA217" s="1882"/>
      <c r="AB217" s="1882"/>
      <c r="AC217" s="1882"/>
      <c r="AD217" s="1882"/>
      <c r="AE217" s="1882"/>
      <c r="AF217" s="1882"/>
      <c r="AG217" s="1882"/>
      <c r="AH217" s="1882">
        <v>0</v>
      </c>
      <c r="AI217" s="1882" t="s">
        <v>2459</v>
      </c>
      <c r="AJ217" s="1882" t="s">
        <v>2459</v>
      </c>
      <c r="AK217" s="1882" t="s">
        <v>2459</v>
      </c>
      <c r="AL217" s="1882" t="s">
        <v>2459</v>
      </c>
      <c r="AM217" s="1882" t="s">
        <v>2459</v>
      </c>
      <c r="AN217" s="1882">
        <v>1095338</v>
      </c>
      <c r="AO217" s="1882">
        <v>1095338</v>
      </c>
      <c r="AP217" s="1882">
        <v>1095338</v>
      </c>
      <c r="AQ217" s="1882">
        <v>1095338</v>
      </c>
      <c r="AR217" s="1882">
        <v>1095338</v>
      </c>
      <c r="AS217" s="1882">
        <v>0</v>
      </c>
      <c r="AT217" s="1882">
        <v>0</v>
      </c>
      <c r="AU217" s="1882">
        <v>0</v>
      </c>
      <c r="AV217" s="1882">
        <v>0</v>
      </c>
      <c r="AW217" s="1882">
        <v>0</v>
      </c>
      <c r="AX217" s="1882"/>
      <c r="AY217" s="1882"/>
      <c r="AZ217" s="1882"/>
      <c r="BA217" s="1882"/>
      <c r="BB217" s="1882"/>
      <c r="BC217" s="1882"/>
      <c r="BD217" s="1882"/>
      <c r="BE217" s="1882"/>
      <c r="BF217" s="1882"/>
      <c r="BG217" s="1882"/>
      <c r="BH217" s="1882">
        <v>1.484E-5</v>
      </c>
      <c r="BI217" s="1882"/>
      <c r="BJ217" s="1882"/>
      <c r="BK217" s="1882"/>
      <c r="BL217" s="1882"/>
      <c r="BM217" s="1882"/>
      <c r="BN217" s="1882">
        <v>1</v>
      </c>
      <c r="BO217" s="1882" t="s">
        <v>8512</v>
      </c>
      <c r="BP217" s="520">
        <v>0</v>
      </c>
      <c r="BQ217" s="693">
        <v>0</v>
      </c>
      <c r="BR217" s="1882" t="s">
        <v>2459</v>
      </c>
      <c r="BS217" s="1882" t="s">
        <v>8513</v>
      </c>
      <c r="BT217" s="1882">
        <v>0</v>
      </c>
      <c r="BU217" s="1882" t="s">
        <v>8513</v>
      </c>
      <c r="BV217" s="1882">
        <v>0</v>
      </c>
      <c r="BW217" s="1882">
        <v>0</v>
      </c>
      <c r="BX217" s="1882" t="s">
        <v>2459</v>
      </c>
      <c r="BY217" s="1882">
        <v>0</v>
      </c>
      <c r="BZ217" s="1882">
        <v>0</v>
      </c>
      <c r="CA217" s="1882">
        <v>0</v>
      </c>
      <c r="CB217" s="1882">
        <v>0</v>
      </c>
      <c r="CC217" s="1882">
        <v>0</v>
      </c>
      <c r="CD217" s="1882" t="s">
        <v>2459</v>
      </c>
      <c r="CE217" s="1882">
        <v>0</v>
      </c>
      <c r="CF217" s="1882">
        <v>0</v>
      </c>
      <c r="CG217" s="1882">
        <v>0</v>
      </c>
      <c r="CH217" s="1882">
        <v>0</v>
      </c>
      <c r="CI217" s="1882">
        <v>0</v>
      </c>
      <c r="CJ217" s="1882" t="s">
        <v>2459</v>
      </c>
      <c r="CK217" s="1882">
        <v>0</v>
      </c>
      <c r="CL217" s="1882">
        <v>0</v>
      </c>
      <c r="CM217" s="1882">
        <v>0</v>
      </c>
      <c r="CN217" s="1882">
        <v>0</v>
      </c>
      <c r="CP217" s="1882" t="s">
        <v>9804</v>
      </c>
    </row>
    <row r="218" spans="1:94">
      <c r="A218" s="1882" t="s">
        <v>8375</v>
      </c>
      <c r="B218" s="1882" t="s">
        <v>9805</v>
      </c>
      <c r="C218" s="1882" t="s">
        <v>8352</v>
      </c>
      <c r="D218" s="1882" t="s">
        <v>1626</v>
      </c>
      <c r="E218" s="1882" t="s">
        <v>8503</v>
      </c>
      <c r="F218" s="1882" t="s">
        <v>9796</v>
      </c>
      <c r="G218" s="1882">
        <v>3</v>
      </c>
      <c r="H218" s="1882" t="s">
        <v>9806</v>
      </c>
      <c r="I218" s="1882" t="s">
        <v>9807</v>
      </c>
      <c r="J218" s="1882" t="s">
        <v>8508</v>
      </c>
      <c r="K218" s="1882" t="s">
        <v>8509</v>
      </c>
      <c r="L218" s="1882"/>
      <c r="M218" s="1882"/>
      <c r="N218" s="1882" t="s">
        <v>2444</v>
      </c>
      <c r="O218" s="1882" t="s">
        <v>764</v>
      </c>
      <c r="P218" s="1882" t="s">
        <v>8510</v>
      </c>
      <c r="Q218" s="520">
        <v>1</v>
      </c>
      <c r="R218" s="1882" t="s">
        <v>8511</v>
      </c>
      <c r="S218" s="1882">
        <v>88</v>
      </c>
      <c r="T218" s="1882"/>
      <c r="U218" s="1882"/>
      <c r="V218" s="1882"/>
      <c r="W218" s="1882"/>
      <c r="X218" s="1882">
        <v>87</v>
      </c>
      <c r="Y218" s="1882"/>
      <c r="Z218" s="1882"/>
      <c r="AA218" s="1882"/>
      <c r="AB218" s="1882"/>
      <c r="AC218" s="1882"/>
      <c r="AD218" s="1882"/>
      <c r="AE218" s="1882" t="s">
        <v>2459</v>
      </c>
      <c r="AF218" s="1882"/>
      <c r="AG218" s="1882"/>
      <c r="AH218" s="1882">
        <v>0</v>
      </c>
      <c r="AI218" s="1882"/>
      <c r="AJ218" s="1882"/>
      <c r="AK218" s="1882"/>
      <c r="AL218" s="1882"/>
      <c r="AM218" s="1882" t="s">
        <v>2459</v>
      </c>
      <c r="AN218" s="1882"/>
      <c r="AO218" s="1882"/>
      <c r="AP218" s="1882"/>
      <c r="AQ218" s="1882"/>
      <c r="AR218" s="1882">
        <v>96</v>
      </c>
      <c r="AS218" s="1882"/>
      <c r="AT218" s="1882"/>
      <c r="AU218" s="1882"/>
      <c r="AV218" s="1882"/>
      <c r="AW218" s="1882">
        <v>87</v>
      </c>
      <c r="AX218" s="1882"/>
      <c r="AY218" s="1882"/>
      <c r="AZ218" s="1882"/>
      <c r="BA218" s="1882"/>
      <c r="BB218" s="1882">
        <v>85</v>
      </c>
      <c r="BC218" s="1882"/>
      <c r="BD218" s="1882"/>
      <c r="BE218" s="1882"/>
      <c r="BF218" s="1882"/>
      <c r="BG218" s="1882">
        <v>83.6</v>
      </c>
      <c r="BH218" s="1882">
        <v>0.13686799999999999</v>
      </c>
      <c r="BI218" s="1882"/>
      <c r="BJ218" s="1882"/>
      <c r="BK218" s="1882"/>
      <c r="BL218" s="1882">
        <v>0.109496</v>
      </c>
      <c r="BM218" s="1882"/>
      <c r="BN218" s="1882">
        <v>1</v>
      </c>
      <c r="BO218" s="1882" t="s">
        <v>8512</v>
      </c>
      <c r="BP218" s="520">
        <v>81.7</v>
      </c>
      <c r="BQ218" s="690">
        <v>83.9</v>
      </c>
      <c r="BR218" s="1882" t="s">
        <v>8513</v>
      </c>
      <c r="BS218" s="1882" t="s">
        <v>8513</v>
      </c>
      <c r="BT218" s="1882">
        <v>0</v>
      </c>
      <c r="BU218" s="1882" t="s">
        <v>8513</v>
      </c>
      <c r="BV218" s="1882">
        <v>0</v>
      </c>
      <c r="BW218" s="1882">
        <v>88.110156640835783</v>
      </c>
      <c r="BX218" s="1882" t="s">
        <v>2451</v>
      </c>
      <c r="BY218" s="1882">
        <v>0</v>
      </c>
      <c r="BZ218" s="1882">
        <v>0</v>
      </c>
      <c r="CA218" s="1882">
        <v>0</v>
      </c>
      <c r="CB218" s="1882">
        <v>0</v>
      </c>
      <c r="CC218" s="1882">
        <v>88.7</v>
      </c>
      <c r="CD218" s="1882" t="s">
        <v>2451</v>
      </c>
      <c r="CE218" s="1882">
        <v>0</v>
      </c>
      <c r="CF218" s="1882">
        <v>0</v>
      </c>
      <c r="CG218" s="1882">
        <v>0</v>
      </c>
      <c r="CH218" s="1882">
        <v>0</v>
      </c>
      <c r="CI218" s="1882">
        <v>101.8</v>
      </c>
      <c r="CJ218" s="1882" t="s">
        <v>2451</v>
      </c>
      <c r="CK218" s="1882">
        <v>0</v>
      </c>
      <c r="CL218" s="1882">
        <v>0</v>
      </c>
      <c r="CM218" s="1882">
        <v>0</v>
      </c>
      <c r="CN218" s="1882">
        <v>0</v>
      </c>
      <c r="CP218" s="1882" t="s">
        <v>9808</v>
      </c>
    </row>
    <row r="219" spans="1:94">
      <c r="A219" s="1882" t="s">
        <v>8375</v>
      </c>
      <c r="B219" s="1882" t="s">
        <v>9809</v>
      </c>
      <c r="C219" s="1882" t="s">
        <v>8352</v>
      </c>
      <c r="D219" s="1882" t="s">
        <v>1626</v>
      </c>
      <c r="E219" s="1882" t="s">
        <v>8503</v>
      </c>
      <c r="F219" s="1882" t="s">
        <v>9796</v>
      </c>
      <c r="G219" s="1882">
        <v>4</v>
      </c>
      <c r="H219" s="1882" t="s">
        <v>9810</v>
      </c>
      <c r="I219" s="1882" t="s">
        <v>9811</v>
      </c>
      <c r="J219" s="1882" t="s">
        <v>8519</v>
      </c>
      <c r="K219" s="1882" t="s">
        <v>8509</v>
      </c>
      <c r="L219" s="1882"/>
      <c r="M219" s="1882"/>
      <c r="N219" s="1882" t="s">
        <v>2450</v>
      </c>
      <c r="O219" s="1882" t="s">
        <v>8607</v>
      </c>
      <c r="P219" s="1882" t="s">
        <v>8608</v>
      </c>
      <c r="Q219" s="520">
        <v>0</v>
      </c>
      <c r="R219" s="1882" t="s">
        <v>8511</v>
      </c>
      <c r="S219" s="1882">
        <v>9</v>
      </c>
      <c r="T219" s="1882">
        <v>9</v>
      </c>
      <c r="U219" s="1882">
        <v>9</v>
      </c>
      <c r="V219" s="1882">
        <v>9</v>
      </c>
      <c r="W219" s="1882">
        <v>9</v>
      </c>
      <c r="X219" s="1882">
        <v>9</v>
      </c>
      <c r="Y219" s="1882"/>
      <c r="Z219" s="1882"/>
      <c r="AA219" s="1882" t="s">
        <v>2459</v>
      </c>
      <c r="AB219" s="1882"/>
      <c r="AC219" s="1882"/>
      <c r="AD219" s="1882"/>
      <c r="AE219" s="1882" t="s">
        <v>2459</v>
      </c>
      <c r="AF219" s="1882"/>
      <c r="AG219" s="1882"/>
      <c r="AH219" s="1882">
        <v>0</v>
      </c>
      <c r="AI219" s="1882" t="s">
        <v>2459</v>
      </c>
      <c r="AJ219" s="1882" t="s">
        <v>2459</v>
      </c>
      <c r="AK219" s="1882" t="s">
        <v>2459</v>
      </c>
      <c r="AL219" s="1882" t="s">
        <v>2459</v>
      </c>
      <c r="AM219" s="1882" t="s">
        <v>2459</v>
      </c>
      <c r="AN219" s="1882">
        <v>22</v>
      </c>
      <c r="AO219" s="1882">
        <v>22</v>
      </c>
      <c r="AP219" s="1882">
        <v>22</v>
      </c>
      <c r="AQ219" s="1882">
        <v>22</v>
      </c>
      <c r="AR219" s="1882">
        <v>22</v>
      </c>
      <c r="AS219" s="1882">
        <v>12</v>
      </c>
      <c r="AT219" s="1882">
        <v>12</v>
      </c>
      <c r="AU219" s="1882">
        <v>12</v>
      </c>
      <c r="AV219" s="1882">
        <v>12</v>
      </c>
      <c r="AW219" s="1882">
        <v>12</v>
      </c>
      <c r="AX219" s="1882"/>
      <c r="AY219" s="1882"/>
      <c r="AZ219" s="1882"/>
      <c r="BA219" s="1882"/>
      <c r="BB219" s="1882"/>
      <c r="BC219" s="1882"/>
      <c r="BD219" s="1882"/>
      <c r="BE219" s="1882"/>
      <c r="BF219" s="1882"/>
      <c r="BG219" s="1882"/>
      <c r="BH219" s="1882">
        <v>5.7403000000000003E-2</v>
      </c>
      <c r="BI219" s="1882"/>
      <c r="BJ219" s="1882"/>
      <c r="BK219" s="1882"/>
      <c r="BL219" s="1882"/>
      <c r="BM219" s="1882"/>
      <c r="BN219" s="1882">
        <v>1</v>
      </c>
      <c r="BO219" s="1882" t="s">
        <v>8512</v>
      </c>
      <c r="BP219" s="520">
        <v>6</v>
      </c>
      <c r="BQ219" s="693">
        <v>12</v>
      </c>
      <c r="BR219" s="1882" t="s">
        <v>2460</v>
      </c>
      <c r="BS219" s="1882" t="s">
        <v>8513</v>
      </c>
      <c r="BT219" s="1882">
        <v>0</v>
      </c>
      <c r="BU219" s="1882" t="s">
        <v>8429</v>
      </c>
      <c r="BV219" s="1882">
        <v>0</v>
      </c>
      <c r="BW219" s="1882">
        <v>7</v>
      </c>
      <c r="BX219" s="1882" t="s">
        <v>2459</v>
      </c>
      <c r="BY219" s="1882">
        <v>0</v>
      </c>
      <c r="BZ219" s="1882">
        <v>0</v>
      </c>
      <c r="CA219" s="1882">
        <v>0</v>
      </c>
      <c r="CB219" s="1882">
        <v>0</v>
      </c>
      <c r="CC219" s="1882">
        <v>16.899999999999999</v>
      </c>
      <c r="CD219" s="1882" t="s">
        <v>2460</v>
      </c>
      <c r="CE219" s="1882">
        <v>0</v>
      </c>
      <c r="CF219" s="1882">
        <v>0</v>
      </c>
      <c r="CG219" s="1882" t="s">
        <v>8384</v>
      </c>
      <c r="CH219" s="1882">
        <v>-0.29399999999999998</v>
      </c>
      <c r="CI219" s="1882">
        <v>7</v>
      </c>
      <c r="CJ219" s="1882" t="s">
        <v>2459</v>
      </c>
      <c r="CK219" s="1882">
        <v>0</v>
      </c>
      <c r="CL219" s="1882">
        <v>0</v>
      </c>
      <c r="CM219" s="1882">
        <v>0</v>
      </c>
      <c r="CN219" s="1882">
        <v>0</v>
      </c>
      <c r="CP219" s="1882" t="s">
        <v>9812</v>
      </c>
    </row>
    <row r="220" spans="1:94">
      <c r="A220" s="1882" t="s">
        <v>8375</v>
      </c>
      <c r="B220" s="1882" t="s">
        <v>9813</v>
      </c>
      <c r="C220" s="1882" t="s">
        <v>8352</v>
      </c>
      <c r="D220" s="1882" t="s">
        <v>1626</v>
      </c>
      <c r="E220" s="1882" t="s">
        <v>8503</v>
      </c>
      <c r="F220" s="1882" t="s">
        <v>9796</v>
      </c>
      <c r="G220" s="1882">
        <v>5</v>
      </c>
      <c r="H220" s="1882" t="s">
        <v>9814</v>
      </c>
      <c r="I220" s="1882" t="s">
        <v>9815</v>
      </c>
      <c r="J220" s="1882" t="s">
        <v>8519</v>
      </c>
      <c r="K220" s="1882" t="s">
        <v>8509</v>
      </c>
      <c r="L220" s="1882"/>
      <c r="M220" s="1882"/>
      <c r="N220" s="1882" t="s">
        <v>8547</v>
      </c>
      <c r="O220" s="1882" t="s">
        <v>732</v>
      </c>
      <c r="P220" s="1882" t="s">
        <v>8548</v>
      </c>
      <c r="Q220" s="520">
        <v>2</v>
      </c>
      <c r="R220" s="1882" t="s">
        <v>8549</v>
      </c>
      <c r="S220" s="1882">
        <v>99.94</v>
      </c>
      <c r="T220" s="1882">
        <v>99.95</v>
      </c>
      <c r="U220" s="1882">
        <v>99.95</v>
      </c>
      <c r="V220" s="1882">
        <v>100</v>
      </c>
      <c r="W220" s="1882">
        <v>100</v>
      </c>
      <c r="X220" s="1882">
        <v>100</v>
      </c>
      <c r="Y220" s="1882" t="s">
        <v>2459</v>
      </c>
      <c r="Z220" s="1882"/>
      <c r="AA220" s="1882"/>
      <c r="AB220" s="1882"/>
      <c r="AC220" s="1882"/>
      <c r="AD220" s="1882"/>
      <c r="AE220" s="1882" t="s">
        <v>2459</v>
      </c>
      <c r="AF220" s="1882"/>
      <c r="AG220" s="1882"/>
      <c r="AH220" s="1882">
        <v>0</v>
      </c>
      <c r="AI220" s="1882" t="s">
        <v>2459</v>
      </c>
      <c r="AJ220" s="1882" t="s">
        <v>2459</v>
      </c>
      <c r="AK220" s="1882" t="s">
        <v>2459</v>
      </c>
      <c r="AL220" s="1882" t="s">
        <v>2459</v>
      </c>
      <c r="AM220" s="1882" t="s">
        <v>2459</v>
      </c>
      <c r="AN220" s="1882">
        <v>99.91</v>
      </c>
      <c r="AO220" s="1882">
        <v>99.91</v>
      </c>
      <c r="AP220" s="1882">
        <v>99.93</v>
      </c>
      <c r="AQ220" s="1882">
        <v>99.93</v>
      </c>
      <c r="AR220" s="1882">
        <v>99.93</v>
      </c>
      <c r="AS220" s="1882">
        <v>99.93</v>
      </c>
      <c r="AT220" s="1882">
        <v>99.93</v>
      </c>
      <c r="AU220" s="1882">
        <v>99.95</v>
      </c>
      <c r="AV220" s="1882">
        <v>99.95</v>
      </c>
      <c r="AW220" s="1882">
        <v>99.95</v>
      </c>
      <c r="AX220" s="1882"/>
      <c r="AY220" s="1882"/>
      <c r="AZ220" s="1882"/>
      <c r="BA220" s="1882"/>
      <c r="BB220" s="1882"/>
      <c r="BC220" s="1882"/>
      <c r="BD220" s="1882"/>
      <c r="BE220" s="1882"/>
      <c r="BF220" s="1882"/>
      <c r="BG220" s="1882"/>
      <c r="BH220" s="1882">
        <v>0.21937499999999999</v>
      </c>
      <c r="BI220" s="1882"/>
      <c r="BJ220" s="1882"/>
      <c r="BK220" s="1882"/>
      <c r="BL220" s="1882"/>
      <c r="BM220" s="1882"/>
      <c r="BN220" s="1882">
        <v>100</v>
      </c>
      <c r="BO220" s="1882" t="s">
        <v>8884</v>
      </c>
      <c r="BP220" s="520">
        <v>99.97</v>
      </c>
      <c r="BQ220" s="694">
        <v>99.98</v>
      </c>
      <c r="BR220" s="1882" t="s">
        <v>2459</v>
      </c>
      <c r="BS220" s="1882" t="s">
        <v>8513</v>
      </c>
      <c r="BT220" s="1882">
        <v>0</v>
      </c>
      <c r="BU220" s="1882" t="s">
        <v>8513</v>
      </c>
      <c r="BV220" s="1882">
        <v>0</v>
      </c>
      <c r="BW220" s="1882">
        <v>99.96</v>
      </c>
      <c r="BX220" s="1882" t="s">
        <v>2459</v>
      </c>
      <c r="BY220" s="1882">
        <v>0</v>
      </c>
      <c r="BZ220" s="1882">
        <v>0</v>
      </c>
      <c r="CA220" s="1882">
        <v>0</v>
      </c>
      <c r="CB220" s="1882">
        <v>0</v>
      </c>
      <c r="CC220" s="1882">
        <v>99.96</v>
      </c>
      <c r="CD220" s="1882" t="s">
        <v>2460</v>
      </c>
      <c r="CE220" s="1882">
        <v>0</v>
      </c>
      <c r="CF220" s="1882">
        <v>0</v>
      </c>
      <c r="CG220" s="1882">
        <v>0</v>
      </c>
      <c r="CH220" s="1882">
        <v>0</v>
      </c>
      <c r="CI220" s="1882">
        <v>99.98</v>
      </c>
      <c r="CJ220" s="1882" t="s">
        <v>2460</v>
      </c>
      <c r="CK220" s="1882">
        <v>0</v>
      </c>
      <c r="CL220" s="1882">
        <v>0</v>
      </c>
      <c r="CM220" s="1882">
        <v>0</v>
      </c>
      <c r="CN220" s="1882">
        <v>0</v>
      </c>
      <c r="CP220" s="1882" t="s">
        <v>9816</v>
      </c>
    </row>
    <row r="221" spans="1:94">
      <c r="A221" s="1882" t="s">
        <v>8375</v>
      </c>
      <c r="B221" s="1882" t="s">
        <v>9817</v>
      </c>
      <c r="C221" s="1882" t="s">
        <v>8352</v>
      </c>
      <c r="D221" s="1882" t="s">
        <v>1626</v>
      </c>
      <c r="E221" s="1882" t="s">
        <v>8503</v>
      </c>
      <c r="F221" s="1882" t="s">
        <v>9796</v>
      </c>
      <c r="G221" s="1882" t="s">
        <v>2443</v>
      </c>
      <c r="H221" s="1882" t="s">
        <v>9818</v>
      </c>
      <c r="I221" s="1882" t="s">
        <v>9819</v>
      </c>
      <c r="J221" s="1882" t="s">
        <v>8519</v>
      </c>
      <c r="K221" s="1882" t="s">
        <v>8509</v>
      </c>
      <c r="L221" s="1882"/>
      <c r="M221" s="1882"/>
      <c r="N221" s="1882" t="s">
        <v>8463</v>
      </c>
      <c r="O221" s="1882" t="s">
        <v>764</v>
      </c>
      <c r="P221" s="1882" t="s">
        <v>8555</v>
      </c>
      <c r="Q221" s="520">
        <v>2</v>
      </c>
      <c r="R221" s="1882" t="s">
        <v>8511</v>
      </c>
      <c r="S221" s="1882">
        <v>0.9</v>
      </c>
      <c r="T221" s="1882">
        <v>0.87</v>
      </c>
      <c r="U221" s="1882">
        <v>0.85</v>
      </c>
      <c r="V221" s="1882">
        <v>0.82</v>
      </c>
      <c r="W221" s="1882">
        <v>0.82</v>
      </c>
      <c r="X221" s="1882">
        <v>0.82</v>
      </c>
      <c r="Y221" s="1882"/>
      <c r="Z221" s="1882" t="s">
        <v>2459</v>
      </c>
      <c r="AA221" s="1882"/>
      <c r="AB221" s="1882"/>
      <c r="AC221" s="1882"/>
      <c r="AD221" s="1882"/>
      <c r="AE221" s="1882" t="s">
        <v>2459</v>
      </c>
      <c r="AF221" s="1882"/>
      <c r="AG221" s="1882"/>
      <c r="AH221" s="1882">
        <v>0</v>
      </c>
      <c r="AI221" s="1882" t="s">
        <v>2459</v>
      </c>
      <c r="AJ221" s="1882" t="s">
        <v>2459</v>
      </c>
      <c r="AK221" s="1882" t="s">
        <v>2459</v>
      </c>
      <c r="AL221" s="1882" t="s">
        <v>2459</v>
      </c>
      <c r="AM221" s="1882" t="s">
        <v>2459</v>
      </c>
      <c r="AN221" s="1882">
        <v>1.21</v>
      </c>
      <c r="AO221" s="1882">
        <v>1.21</v>
      </c>
      <c r="AP221" s="1882">
        <v>1.17</v>
      </c>
      <c r="AQ221" s="1882">
        <v>1.17</v>
      </c>
      <c r="AR221" s="1882">
        <v>1.17</v>
      </c>
      <c r="AS221" s="1882">
        <v>0.9</v>
      </c>
      <c r="AT221" s="1882">
        <v>0.9</v>
      </c>
      <c r="AU221" s="1882">
        <v>0.86</v>
      </c>
      <c r="AV221" s="1882">
        <v>0.86</v>
      </c>
      <c r="AW221" s="1882">
        <v>0.86</v>
      </c>
      <c r="AX221" s="1882"/>
      <c r="AY221" s="1882"/>
      <c r="AZ221" s="1882"/>
      <c r="BA221" s="1882"/>
      <c r="BB221" s="1882"/>
      <c r="BC221" s="1882"/>
      <c r="BD221" s="1882"/>
      <c r="BE221" s="1882"/>
      <c r="BF221" s="1882"/>
      <c r="BG221" s="1882"/>
      <c r="BH221" s="1882">
        <v>0.55700000000000005</v>
      </c>
      <c r="BI221" s="1882"/>
      <c r="BJ221" s="1882"/>
      <c r="BK221" s="1882"/>
      <c r="BL221" s="1882"/>
      <c r="BM221" s="1882"/>
      <c r="BN221" s="1882">
        <v>1</v>
      </c>
      <c r="BO221" s="1882" t="s">
        <v>8512</v>
      </c>
      <c r="BP221" s="520">
        <v>0.57999999999999996</v>
      </c>
      <c r="BQ221" s="694">
        <v>0.8</v>
      </c>
      <c r="BR221" s="1882" t="s">
        <v>2459</v>
      </c>
      <c r="BS221" s="1882" t="s">
        <v>8513</v>
      </c>
      <c r="BT221" s="1882">
        <v>0</v>
      </c>
      <c r="BU221" s="1882" t="s">
        <v>8513</v>
      </c>
      <c r="BV221" s="1882">
        <v>0</v>
      </c>
      <c r="BW221" s="1882">
        <v>0.74</v>
      </c>
      <c r="BX221" s="1882" t="s">
        <v>2459</v>
      </c>
      <c r="BY221" s="1882">
        <v>0</v>
      </c>
      <c r="BZ221" s="1882">
        <v>0</v>
      </c>
      <c r="CA221" s="1882">
        <v>0</v>
      </c>
      <c r="CB221" s="1882">
        <v>0</v>
      </c>
      <c r="CC221" s="1882">
        <v>0.82</v>
      </c>
      <c r="CD221" s="1882" t="s">
        <v>2459</v>
      </c>
      <c r="CE221" s="1882">
        <v>0</v>
      </c>
      <c r="CF221" s="1882">
        <v>0</v>
      </c>
      <c r="CG221" s="1882">
        <v>0</v>
      </c>
      <c r="CH221" s="1882">
        <v>0</v>
      </c>
      <c r="CI221" s="1882">
        <v>0.68</v>
      </c>
      <c r="CJ221" s="1882" t="s">
        <v>2459</v>
      </c>
      <c r="CK221" s="1882">
        <v>0</v>
      </c>
      <c r="CL221" s="1882">
        <v>0</v>
      </c>
      <c r="CM221" s="1882">
        <v>0</v>
      </c>
      <c r="CN221" s="1882">
        <v>0</v>
      </c>
      <c r="CP221" s="1882" t="s">
        <v>9820</v>
      </c>
    </row>
    <row r="222" spans="1:94">
      <c r="A222" s="1882" t="s">
        <v>8375</v>
      </c>
      <c r="B222" s="1882" t="s">
        <v>9821</v>
      </c>
      <c r="C222" s="1882" t="s">
        <v>8352</v>
      </c>
      <c r="D222" s="1882" t="s">
        <v>1626</v>
      </c>
      <c r="E222" s="1882" t="s">
        <v>8503</v>
      </c>
      <c r="F222" s="1882" t="s">
        <v>9796</v>
      </c>
      <c r="G222" s="1882">
        <v>6</v>
      </c>
      <c r="H222" s="1882" t="s">
        <v>9822</v>
      </c>
      <c r="I222" s="1882" t="s">
        <v>9823</v>
      </c>
      <c r="J222" s="1882" t="s">
        <v>8519</v>
      </c>
      <c r="K222" s="1882" t="s">
        <v>8509</v>
      </c>
      <c r="L222" s="1882"/>
      <c r="M222" s="1882"/>
      <c r="N222" s="1882" t="s">
        <v>8613</v>
      </c>
      <c r="O222" s="1882" t="s">
        <v>764</v>
      </c>
      <c r="P222" s="1882" t="s">
        <v>9687</v>
      </c>
      <c r="Q222" s="520">
        <v>0</v>
      </c>
      <c r="R222" s="1882" t="s">
        <v>8511</v>
      </c>
      <c r="S222" s="1882">
        <v>257</v>
      </c>
      <c r="T222" s="1882">
        <v>257</v>
      </c>
      <c r="U222" s="1882">
        <v>257</v>
      </c>
      <c r="V222" s="1882">
        <v>257</v>
      </c>
      <c r="W222" s="1882">
        <v>257</v>
      </c>
      <c r="X222" s="1882">
        <v>257</v>
      </c>
      <c r="Y222" s="1882"/>
      <c r="Z222" s="1882"/>
      <c r="AA222" s="1882"/>
      <c r="AB222" s="1882"/>
      <c r="AC222" s="1882"/>
      <c r="AD222" s="1882"/>
      <c r="AE222" s="1882" t="s">
        <v>2459</v>
      </c>
      <c r="AF222" s="1882"/>
      <c r="AG222" s="1882"/>
      <c r="AH222" s="1882">
        <v>0</v>
      </c>
      <c r="AI222" s="1882" t="s">
        <v>2459</v>
      </c>
      <c r="AJ222" s="1882" t="s">
        <v>2459</v>
      </c>
      <c r="AK222" s="1882" t="s">
        <v>2459</v>
      </c>
      <c r="AL222" s="1882" t="s">
        <v>2459</v>
      </c>
      <c r="AM222" s="1882" t="s">
        <v>2459</v>
      </c>
      <c r="AN222" s="1882">
        <v>336</v>
      </c>
      <c r="AO222" s="1882">
        <v>336</v>
      </c>
      <c r="AP222" s="1882">
        <v>336</v>
      </c>
      <c r="AQ222" s="1882">
        <v>336</v>
      </c>
      <c r="AR222" s="1882">
        <v>336</v>
      </c>
      <c r="AS222" s="1882">
        <v>296</v>
      </c>
      <c r="AT222" s="1882">
        <v>296</v>
      </c>
      <c r="AU222" s="1882">
        <v>296</v>
      </c>
      <c r="AV222" s="1882">
        <v>296</v>
      </c>
      <c r="AW222" s="1882">
        <v>296</v>
      </c>
      <c r="AX222" s="1882"/>
      <c r="AY222" s="1882"/>
      <c r="AZ222" s="1882"/>
      <c r="BA222" s="1882"/>
      <c r="BB222" s="1882"/>
      <c r="BC222" s="1882"/>
      <c r="BD222" s="1882"/>
      <c r="BE222" s="1882"/>
      <c r="BF222" s="1882"/>
      <c r="BG222" s="1882"/>
      <c r="BH222" s="1882">
        <v>4.339E-3</v>
      </c>
      <c r="BI222" s="1882"/>
      <c r="BJ222" s="1882"/>
      <c r="BK222" s="1882"/>
      <c r="BL222" s="1882"/>
      <c r="BM222" s="1882"/>
      <c r="BN222" s="1882">
        <v>1</v>
      </c>
      <c r="BO222" s="1882" t="s">
        <v>8512</v>
      </c>
      <c r="BP222" s="520">
        <v>254</v>
      </c>
      <c r="BQ222" s="693">
        <v>288</v>
      </c>
      <c r="BR222" s="1882" t="s">
        <v>2460</v>
      </c>
      <c r="BS222" s="1882" t="s">
        <v>8513</v>
      </c>
      <c r="BT222" s="1882">
        <v>0</v>
      </c>
      <c r="BU222" s="1882" t="s">
        <v>8429</v>
      </c>
      <c r="BV222" s="1882">
        <v>0</v>
      </c>
      <c r="BW222" s="1882">
        <v>222</v>
      </c>
      <c r="BX222" s="1882" t="s">
        <v>2459</v>
      </c>
      <c r="BY222" s="1882">
        <v>0</v>
      </c>
      <c r="BZ222" s="1882">
        <v>0</v>
      </c>
      <c r="CA222" s="1882">
        <v>0</v>
      </c>
      <c r="CB222" s="1882">
        <v>0</v>
      </c>
      <c r="CC222" s="1882">
        <v>243</v>
      </c>
      <c r="CD222" s="1882" t="s">
        <v>2459</v>
      </c>
      <c r="CE222" s="1882">
        <v>0</v>
      </c>
      <c r="CF222" s="1882">
        <v>0</v>
      </c>
      <c r="CG222" s="1882">
        <v>0</v>
      </c>
      <c r="CH222" s="1882">
        <v>0</v>
      </c>
      <c r="CI222" s="1882">
        <v>209</v>
      </c>
      <c r="CJ222" s="1882" t="s">
        <v>2459</v>
      </c>
      <c r="CK222" s="1882">
        <v>0</v>
      </c>
      <c r="CL222" s="1882">
        <v>0</v>
      </c>
      <c r="CM222" s="1882">
        <v>0</v>
      </c>
      <c r="CN222" s="1882">
        <v>0</v>
      </c>
      <c r="CP222" s="1882" t="s">
        <v>9824</v>
      </c>
    </row>
    <row r="223" spans="1:94">
      <c r="A223" s="1882" t="s">
        <v>8375</v>
      </c>
      <c r="B223" s="1882" t="s">
        <v>9825</v>
      </c>
      <c r="C223" s="1882" t="s">
        <v>8352</v>
      </c>
      <c r="D223" s="1882" t="s">
        <v>1626</v>
      </c>
      <c r="E223" s="1882" t="s">
        <v>8503</v>
      </c>
      <c r="F223" s="1882" t="s">
        <v>9826</v>
      </c>
      <c r="G223" s="1882">
        <v>7</v>
      </c>
      <c r="H223" s="1882" t="s">
        <v>9827</v>
      </c>
      <c r="I223" s="1882" t="s">
        <v>9828</v>
      </c>
      <c r="J223" s="1882" t="s">
        <v>8539</v>
      </c>
      <c r="K223" s="1882"/>
      <c r="L223" s="1882"/>
      <c r="M223" s="1882"/>
      <c r="N223" s="1882" t="s">
        <v>8533</v>
      </c>
      <c r="O223" s="1882" t="s">
        <v>764</v>
      </c>
      <c r="P223" s="1882" t="s">
        <v>8510</v>
      </c>
      <c r="Q223" s="520">
        <v>2</v>
      </c>
      <c r="R223" s="1882" t="s">
        <v>8511</v>
      </c>
      <c r="S223" s="1882">
        <v>533.97</v>
      </c>
      <c r="T223" s="1882">
        <v>525.48</v>
      </c>
      <c r="U223" s="1882">
        <v>525.05999999999995</v>
      </c>
      <c r="V223" s="1882">
        <v>525.77</v>
      </c>
      <c r="W223" s="1882">
        <v>526.79</v>
      </c>
      <c r="X223" s="1882">
        <v>526.39</v>
      </c>
      <c r="Y223" s="1882"/>
      <c r="Z223" s="1882"/>
      <c r="AA223" s="1882"/>
      <c r="AB223" s="1882"/>
      <c r="AC223" s="1882"/>
      <c r="AD223" s="1882"/>
      <c r="AE223" s="1882"/>
      <c r="AF223" s="1882"/>
      <c r="AG223" s="1882"/>
      <c r="AH223" s="1882">
        <v>0</v>
      </c>
      <c r="AI223" s="1882"/>
      <c r="AJ223" s="1882"/>
      <c r="AK223" s="1882"/>
      <c r="AL223" s="1882"/>
      <c r="AM223" s="1882"/>
      <c r="AN223" s="1882"/>
      <c r="AO223" s="1882"/>
      <c r="AP223" s="1882"/>
      <c r="AQ223" s="1882"/>
      <c r="AR223" s="1882"/>
      <c r="AS223" s="1882"/>
      <c r="AT223" s="1882"/>
      <c r="AU223" s="1882"/>
      <c r="AV223" s="1882"/>
      <c r="AW223" s="1882"/>
      <c r="AX223" s="1882"/>
      <c r="AY223" s="1882"/>
      <c r="AZ223" s="1882"/>
      <c r="BA223" s="1882"/>
      <c r="BB223" s="1882"/>
      <c r="BC223" s="1882"/>
      <c r="BD223" s="1882"/>
      <c r="BE223" s="1882"/>
      <c r="BF223" s="1882"/>
      <c r="BG223" s="1882"/>
      <c r="BH223" s="1882"/>
      <c r="BI223" s="1882"/>
      <c r="BJ223" s="1882"/>
      <c r="BK223" s="1882"/>
      <c r="BL223" s="1882"/>
      <c r="BM223" s="1882"/>
      <c r="BN223" s="1882"/>
      <c r="BO223" s="1882"/>
      <c r="BP223" s="520">
        <v>524.24</v>
      </c>
      <c r="BQ223" s="694">
        <v>520.64</v>
      </c>
      <c r="BR223" s="1882" t="s">
        <v>2459</v>
      </c>
      <c r="BS223" s="1882" t="s">
        <v>8513</v>
      </c>
      <c r="BT223" s="1882">
        <v>0</v>
      </c>
      <c r="BU223" s="1882" t="s">
        <v>8513</v>
      </c>
      <c r="BV223" s="1882">
        <v>0</v>
      </c>
      <c r="BW223" s="1882">
        <v>532.28119807697828</v>
      </c>
      <c r="BX223" s="1882" t="s">
        <v>2460</v>
      </c>
      <c r="BY223" s="1882">
        <v>0</v>
      </c>
      <c r="BZ223" s="1882">
        <v>0</v>
      </c>
      <c r="CA223" s="1882">
        <v>0</v>
      </c>
      <c r="CB223" s="1882">
        <v>0</v>
      </c>
      <c r="CC223" s="1882">
        <v>541</v>
      </c>
      <c r="CD223" s="1882" t="s">
        <v>2460</v>
      </c>
      <c r="CE223" s="1882">
        <v>0</v>
      </c>
      <c r="CF223" s="1882">
        <v>0</v>
      </c>
      <c r="CG223" s="1882">
        <v>0</v>
      </c>
      <c r="CH223" s="1882">
        <v>0</v>
      </c>
      <c r="CI223" s="1882">
        <v>558.75</v>
      </c>
      <c r="CJ223" s="1882" t="s">
        <v>2460</v>
      </c>
      <c r="CK223" s="1882">
        <v>0</v>
      </c>
      <c r="CL223" s="1882">
        <v>0</v>
      </c>
      <c r="CM223" s="1882">
        <v>0</v>
      </c>
      <c r="CN223" s="1882">
        <v>0</v>
      </c>
      <c r="CP223" s="1882" t="s">
        <v>9829</v>
      </c>
    </row>
    <row r="224" spans="1:94">
      <c r="A224" s="1882" t="s">
        <v>8375</v>
      </c>
      <c r="B224" s="1882" t="s">
        <v>9830</v>
      </c>
      <c r="C224" s="1882" t="s">
        <v>8352</v>
      </c>
      <c r="D224" s="1882" t="s">
        <v>1626</v>
      </c>
      <c r="E224" s="1882" t="s">
        <v>8503</v>
      </c>
      <c r="F224" s="1882" t="s">
        <v>9831</v>
      </c>
      <c r="G224" s="1882">
        <v>8</v>
      </c>
      <c r="H224" s="1882" t="s">
        <v>9832</v>
      </c>
      <c r="I224" s="1882" t="s">
        <v>9833</v>
      </c>
      <c r="J224" s="1882" t="s">
        <v>8508</v>
      </c>
      <c r="K224" s="1882" t="s">
        <v>8509</v>
      </c>
      <c r="L224" s="1882"/>
      <c r="M224" s="1882"/>
      <c r="N224" s="1882" t="s">
        <v>8520</v>
      </c>
      <c r="O224" s="1882" t="s">
        <v>764</v>
      </c>
      <c r="P224" s="1882" t="s">
        <v>8938</v>
      </c>
      <c r="Q224" s="520">
        <v>1</v>
      </c>
      <c r="R224" s="1882" t="s">
        <v>8511</v>
      </c>
      <c r="S224" s="1882">
        <v>147.19999999999999</v>
      </c>
      <c r="T224" s="1882"/>
      <c r="U224" s="1882"/>
      <c r="V224" s="1882"/>
      <c r="W224" s="1882"/>
      <c r="X224" s="1882">
        <v>133.69999999999999</v>
      </c>
      <c r="Y224" s="1882"/>
      <c r="Z224" s="1882"/>
      <c r="AA224" s="1882"/>
      <c r="AB224" s="1882"/>
      <c r="AC224" s="1882"/>
      <c r="AD224" s="1882"/>
      <c r="AE224" s="1882"/>
      <c r="AF224" s="1882"/>
      <c r="AG224" s="1882"/>
      <c r="AH224" s="1882">
        <v>0</v>
      </c>
      <c r="AI224" s="1882"/>
      <c r="AJ224" s="1882"/>
      <c r="AK224" s="1882"/>
      <c r="AL224" s="1882"/>
      <c r="AM224" s="1882" t="s">
        <v>2459</v>
      </c>
      <c r="AN224" s="1882"/>
      <c r="AO224" s="1882"/>
      <c r="AP224" s="1882"/>
      <c r="AQ224" s="1882"/>
      <c r="AR224" s="1882">
        <v>135.69999999999999</v>
      </c>
      <c r="AS224" s="1882"/>
      <c r="AT224" s="1882"/>
      <c r="AU224" s="1882"/>
      <c r="AV224" s="1882"/>
      <c r="AW224" s="1882">
        <v>133.69999999999999</v>
      </c>
      <c r="AX224" s="1882"/>
      <c r="AY224" s="1882"/>
      <c r="AZ224" s="1882"/>
      <c r="BA224" s="1882"/>
      <c r="BB224" s="1882">
        <v>133.69999999999999</v>
      </c>
      <c r="BC224" s="1882"/>
      <c r="BD224" s="1882"/>
      <c r="BE224" s="1882"/>
      <c r="BF224" s="1882"/>
      <c r="BG224" s="1882">
        <v>131.69999999999999</v>
      </c>
      <c r="BH224" s="1882">
        <v>1.0969</v>
      </c>
      <c r="BI224" s="1882"/>
      <c r="BJ224" s="1882"/>
      <c r="BK224" s="1882"/>
      <c r="BL224" s="1882">
        <v>0.6875</v>
      </c>
      <c r="BM224" s="1882"/>
      <c r="BN224" s="1882">
        <v>1</v>
      </c>
      <c r="BO224" s="1882" t="s">
        <v>8512</v>
      </c>
      <c r="BP224" s="520">
        <v>134.80000000000001</v>
      </c>
      <c r="BQ224" s="690">
        <v>129.69999999999999</v>
      </c>
      <c r="BR224" s="1882" t="s">
        <v>8513</v>
      </c>
      <c r="BS224" s="1882" t="s">
        <v>8513</v>
      </c>
      <c r="BT224" s="1882">
        <v>0</v>
      </c>
      <c r="BU224" s="1882" t="s">
        <v>8513</v>
      </c>
      <c r="BV224" s="1882">
        <v>0</v>
      </c>
      <c r="BW224" s="1882">
        <v>131.29</v>
      </c>
      <c r="BX224" s="1882" t="s">
        <v>2451</v>
      </c>
      <c r="BY224" s="1882">
        <v>0</v>
      </c>
      <c r="BZ224" s="1882">
        <v>0</v>
      </c>
      <c r="CA224" s="1882">
        <v>0</v>
      </c>
      <c r="CB224" s="1882">
        <v>0</v>
      </c>
      <c r="CC224" s="1882">
        <v>128.9</v>
      </c>
      <c r="CD224" s="1882" t="s">
        <v>2459</v>
      </c>
      <c r="CE224" s="1882">
        <v>0</v>
      </c>
      <c r="CF224" s="1882">
        <v>0</v>
      </c>
      <c r="CG224" s="1882">
        <v>0</v>
      </c>
      <c r="CH224" s="1882">
        <v>0</v>
      </c>
      <c r="CI224" s="1882">
        <v>129.9</v>
      </c>
      <c r="CJ224" s="1882" t="s">
        <v>2451</v>
      </c>
      <c r="CK224" s="1882">
        <v>0</v>
      </c>
      <c r="CL224" s="1882">
        <v>0</v>
      </c>
      <c r="CM224" s="1882">
        <v>0</v>
      </c>
      <c r="CN224" s="1882">
        <v>0</v>
      </c>
      <c r="CP224" s="1882" t="s">
        <v>9834</v>
      </c>
    </row>
    <row r="225" spans="1:94">
      <c r="A225" s="1882" t="s">
        <v>8375</v>
      </c>
      <c r="B225" s="1882" t="s">
        <v>9835</v>
      </c>
      <c r="C225" s="1882" t="s">
        <v>8352</v>
      </c>
      <c r="D225" s="1882" t="s">
        <v>1627</v>
      </c>
      <c r="E225" s="1882" t="s">
        <v>8720</v>
      </c>
      <c r="F225" s="1882" t="s">
        <v>9836</v>
      </c>
      <c r="G225" s="1882">
        <v>1</v>
      </c>
      <c r="H225" s="1882" t="s">
        <v>9837</v>
      </c>
      <c r="I225" s="1882" t="s">
        <v>9838</v>
      </c>
      <c r="J225" s="1882" t="s">
        <v>8519</v>
      </c>
      <c r="K225" s="1882" t="s">
        <v>8855</v>
      </c>
      <c r="L225" s="1882"/>
      <c r="M225" s="1882" t="s">
        <v>2460</v>
      </c>
      <c r="N225" s="1882" t="s">
        <v>8787</v>
      </c>
      <c r="O225" s="1882" t="s">
        <v>8704</v>
      </c>
      <c r="P225" s="1882" t="s">
        <v>8856</v>
      </c>
      <c r="Q225" s="520" t="s">
        <v>8512</v>
      </c>
      <c r="R225" s="1882"/>
      <c r="S225" s="1882" t="s">
        <v>3504</v>
      </c>
      <c r="T225" s="1882" t="s">
        <v>8706</v>
      </c>
      <c r="U225" s="1882" t="s">
        <v>8706</v>
      </c>
      <c r="V225" s="1882" t="s">
        <v>8706</v>
      </c>
      <c r="W225" s="1882" t="s">
        <v>8706</v>
      </c>
      <c r="X225" s="1882" t="s">
        <v>8706</v>
      </c>
      <c r="Y225" s="1882"/>
      <c r="Z225" s="1882"/>
      <c r="AA225" s="1882"/>
      <c r="AB225" s="1882"/>
      <c r="AC225" s="1882"/>
      <c r="AD225" s="1882"/>
      <c r="AE225" s="1882" t="s">
        <v>2459</v>
      </c>
      <c r="AF225" s="1882"/>
      <c r="AG225" s="1882"/>
      <c r="AH225" s="1882">
        <v>3</v>
      </c>
      <c r="AI225" s="1882" t="s">
        <v>2459</v>
      </c>
      <c r="AJ225" s="1882" t="s">
        <v>2459</v>
      </c>
      <c r="AK225" s="1882" t="s">
        <v>2459</v>
      </c>
      <c r="AL225" s="1882" t="s">
        <v>2459</v>
      </c>
      <c r="AM225" s="1882" t="s">
        <v>2459</v>
      </c>
      <c r="AN225" s="1882" t="s">
        <v>9751</v>
      </c>
      <c r="AO225" s="1882" t="s">
        <v>9751</v>
      </c>
      <c r="AP225" s="1882" t="s">
        <v>9751</v>
      </c>
      <c r="AQ225" s="1882" t="s">
        <v>9751</v>
      </c>
      <c r="AR225" s="1882" t="s">
        <v>9751</v>
      </c>
      <c r="AS225" s="1882" t="s">
        <v>9751</v>
      </c>
      <c r="AT225" s="1882" t="s">
        <v>9751</v>
      </c>
      <c r="AU225" s="1882" t="s">
        <v>9751</v>
      </c>
      <c r="AV225" s="1882" t="s">
        <v>9751</v>
      </c>
      <c r="AW225" s="1882" t="s">
        <v>9751</v>
      </c>
      <c r="AX225" s="1882"/>
      <c r="AY225" s="1882"/>
      <c r="AZ225" s="1882"/>
      <c r="BA225" s="1882"/>
      <c r="BB225" s="1882"/>
      <c r="BC225" s="1882"/>
      <c r="BD225" s="1882"/>
      <c r="BE225" s="1882"/>
      <c r="BF225" s="1882"/>
      <c r="BG225" s="1882"/>
      <c r="BH225" s="1882">
        <v>5.6250000000000001E-2</v>
      </c>
      <c r="BI225" s="1882">
        <v>14.95</v>
      </c>
      <c r="BJ225" s="1882">
        <v>2.9599999999999998E-4</v>
      </c>
      <c r="BK225" s="1882"/>
      <c r="BL225" s="1882"/>
      <c r="BM225" s="1882"/>
      <c r="BN225" s="1882">
        <v>1</v>
      </c>
      <c r="BO225" s="1882" t="s">
        <v>8512</v>
      </c>
      <c r="BP225" s="520" t="s">
        <v>3504</v>
      </c>
      <c r="BQ225" s="692" t="s">
        <v>8706</v>
      </c>
      <c r="BR225" s="1882" t="s">
        <v>2459</v>
      </c>
      <c r="BS225" s="1882" t="s">
        <v>8513</v>
      </c>
      <c r="BT225" s="1882">
        <v>0</v>
      </c>
      <c r="BU225" s="1882" t="s">
        <v>8513</v>
      </c>
      <c r="BV225" s="1882">
        <v>0</v>
      </c>
      <c r="BW225" s="1882" t="s">
        <v>8706</v>
      </c>
      <c r="BX225" s="1882" t="s">
        <v>2459</v>
      </c>
      <c r="BY225" s="1882">
        <v>0</v>
      </c>
      <c r="BZ225" s="1882">
        <v>0</v>
      </c>
      <c r="CA225" s="1882">
        <v>0</v>
      </c>
      <c r="CB225" s="1882">
        <v>0</v>
      </c>
      <c r="CC225" s="1882" t="s">
        <v>8706</v>
      </c>
      <c r="CD225" s="1882" t="s">
        <v>2459</v>
      </c>
      <c r="CE225" s="1882">
        <v>0</v>
      </c>
      <c r="CF225" s="1882">
        <v>0</v>
      </c>
      <c r="CG225" s="1882">
        <v>0</v>
      </c>
      <c r="CH225" s="1882">
        <v>0</v>
      </c>
      <c r="CI225" s="1882" t="s">
        <v>8706</v>
      </c>
      <c r="CJ225" s="1882" t="s">
        <v>2459</v>
      </c>
      <c r="CK225" s="1882">
        <v>0</v>
      </c>
      <c r="CL225" s="1882">
        <v>0</v>
      </c>
      <c r="CM225" s="1882">
        <v>0</v>
      </c>
      <c r="CN225" s="1882">
        <v>0</v>
      </c>
      <c r="CP225" s="1882" t="s">
        <v>9839</v>
      </c>
    </row>
    <row r="226" spans="1:94">
      <c r="A226" s="1882" t="s">
        <v>8375</v>
      </c>
      <c r="B226" s="1882" t="s">
        <v>9840</v>
      </c>
      <c r="C226" s="1882" t="s">
        <v>8352</v>
      </c>
      <c r="D226" s="1882" t="s">
        <v>1627</v>
      </c>
      <c r="E226" s="1882" t="s">
        <v>8720</v>
      </c>
      <c r="F226" s="1882" t="s">
        <v>9836</v>
      </c>
      <c r="G226" s="1882" t="s">
        <v>2442</v>
      </c>
      <c r="H226" s="1882" t="s">
        <v>9841</v>
      </c>
      <c r="I226" s="1882" t="s">
        <v>9842</v>
      </c>
      <c r="J226" s="1882" t="s">
        <v>8519</v>
      </c>
      <c r="K226" s="1882" t="s">
        <v>8855</v>
      </c>
      <c r="L226" s="1882"/>
      <c r="M226" s="1882"/>
      <c r="N226" s="1882" t="s">
        <v>8760</v>
      </c>
      <c r="O226" s="1882" t="s">
        <v>764</v>
      </c>
      <c r="P226" s="1882" t="s">
        <v>8761</v>
      </c>
      <c r="Q226" s="520">
        <v>0</v>
      </c>
      <c r="R226" s="1882" t="s">
        <v>8511</v>
      </c>
      <c r="S226" s="1882">
        <v>348</v>
      </c>
      <c r="T226" s="1882">
        <v>285</v>
      </c>
      <c r="U226" s="1882">
        <v>221</v>
      </c>
      <c r="V226" s="1882">
        <v>158</v>
      </c>
      <c r="W226" s="1882">
        <v>158</v>
      </c>
      <c r="X226" s="1882">
        <v>158</v>
      </c>
      <c r="Y226" s="1882"/>
      <c r="Z226" s="1882"/>
      <c r="AA226" s="1882"/>
      <c r="AB226" s="1882" t="s">
        <v>2459</v>
      </c>
      <c r="AC226" s="1882"/>
      <c r="AD226" s="1882"/>
      <c r="AE226" s="1882" t="s">
        <v>2459</v>
      </c>
      <c r="AF226" s="1882"/>
      <c r="AG226" s="1882"/>
      <c r="AH226" s="1882">
        <v>0</v>
      </c>
      <c r="AI226" s="1882" t="s">
        <v>2459</v>
      </c>
      <c r="AJ226" s="1882" t="s">
        <v>2459</v>
      </c>
      <c r="AK226" s="1882" t="s">
        <v>2459</v>
      </c>
      <c r="AL226" s="1882" t="s">
        <v>2459</v>
      </c>
      <c r="AM226" s="1882" t="s">
        <v>2459</v>
      </c>
      <c r="AN226" s="1882">
        <v>453</v>
      </c>
      <c r="AO226" s="1882">
        <v>453</v>
      </c>
      <c r="AP226" s="1882">
        <v>280</v>
      </c>
      <c r="AQ226" s="1882">
        <v>280</v>
      </c>
      <c r="AR226" s="1882">
        <v>280</v>
      </c>
      <c r="AS226" s="1882">
        <v>348</v>
      </c>
      <c r="AT226" s="1882">
        <v>348</v>
      </c>
      <c r="AU226" s="1882">
        <v>175</v>
      </c>
      <c r="AV226" s="1882">
        <v>175</v>
      </c>
      <c r="AW226" s="1882">
        <v>175</v>
      </c>
      <c r="AX226" s="1882"/>
      <c r="AY226" s="1882"/>
      <c r="AZ226" s="1882"/>
      <c r="BA226" s="1882"/>
      <c r="BB226" s="1882"/>
      <c r="BC226" s="1882"/>
      <c r="BD226" s="1882"/>
      <c r="BE226" s="1882"/>
      <c r="BF226" s="1882"/>
      <c r="BG226" s="1882"/>
      <c r="BH226" s="1882">
        <v>2.0570999999999999E-2</v>
      </c>
      <c r="BI226" s="1882"/>
      <c r="BJ226" s="1882"/>
      <c r="BK226" s="1882"/>
      <c r="BL226" s="1882"/>
      <c r="BM226" s="1882"/>
      <c r="BN226" s="1882">
        <v>1</v>
      </c>
      <c r="BO226" s="1882" t="s">
        <v>8512</v>
      </c>
      <c r="BP226" s="520">
        <v>283</v>
      </c>
      <c r="BQ226" s="693">
        <v>160</v>
      </c>
      <c r="BR226" s="1882" t="s">
        <v>2459</v>
      </c>
      <c r="BS226" s="1882" t="s">
        <v>8513</v>
      </c>
      <c r="BT226" s="1882">
        <v>0</v>
      </c>
      <c r="BU226" s="1882" t="s">
        <v>8513</v>
      </c>
      <c r="BV226" s="1882">
        <v>0</v>
      </c>
      <c r="BW226" s="1882">
        <v>143</v>
      </c>
      <c r="BX226" s="1882" t="s">
        <v>2459</v>
      </c>
      <c r="BY226" s="1882">
        <v>0</v>
      </c>
      <c r="BZ226" s="1882">
        <v>0</v>
      </c>
      <c r="CA226" s="1882">
        <v>0</v>
      </c>
      <c r="CB226" s="1882">
        <v>0</v>
      </c>
      <c r="CC226" s="1882">
        <v>131</v>
      </c>
      <c r="CD226" s="1882" t="s">
        <v>2459</v>
      </c>
      <c r="CE226" s="1882">
        <v>0</v>
      </c>
      <c r="CF226" s="1882">
        <v>0</v>
      </c>
      <c r="CG226" s="1882">
        <v>0</v>
      </c>
      <c r="CH226" s="1882">
        <v>0</v>
      </c>
      <c r="CI226" s="1882">
        <v>144</v>
      </c>
      <c r="CJ226" s="1882" t="s">
        <v>2459</v>
      </c>
      <c r="CK226" s="1882">
        <v>0</v>
      </c>
      <c r="CL226" s="1882">
        <v>0</v>
      </c>
      <c r="CM226" s="1882">
        <v>0</v>
      </c>
      <c r="CN226" s="1882">
        <v>0</v>
      </c>
      <c r="CP226" s="1882" t="s">
        <v>9843</v>
      </c>
    </row>
    <row r="227" spans="1:94">
      <c r="A227" s="1882" t="s">
        <v>8375</v>
      </c>
      <c r="B227" s="1882" t="s">
        <v>9844</v>
      </c>
      <c r="C227" s="1882" t="s">
        <v>8352</v>
      </c>
      <c r="D227" s="1882" t="s">
        <v>1627</v>
      </c>
      <c r="E227" s="1882" t="s">
        <v>8720</v>
      </c>
      <c r="F227" s="1882" t="s">
        <v>9836</v>
      </c>
      <c r="G227" s="1882">
        <v>2</v>
      </c>
      <c r="H227" s="1882" t="s">
        <v>9845</v>
      </c>
      <c r="I227" s="1882" t="s">
        <v>9846</v>
      </c>
      <c r="J227" s="1882" t="s">
        <v>8508</v>
      </c>
      <c r="K227" s="1882" t="s">
        <v>8509</v>
      </c>
      <c r="L227" s="1882"/>
      <c r="M227" s="1882" t="s">
        <v>2460</v>
      </c>
      <c r="N227" s="1882" t="s">
        <v>8724</v>
      </c>
      <c r="O227" s="1882" t="s">
        <v>764</v>
      </c>
      <c r="P227" s="1882" t="s">
        <v>9847</v>
      </c>
      <c r="Q227" s="520">
        <v>0</v>
      </c>
      <c r="R227" s="1882" t="s">
        <v>8511</v>
      </c>
      <c r="S227" s="1882">
        <v>551</v>
      </c>
      <c r="T227" s="1882">
        <v>446</v>
      </c>
      <c r="U227" s="1882">
        <v>436</v>
      </c>
      <c r="V227" s="1882">
        <v>414</v>
      </c>
      <c r="W227" s="1882">
        <v>392</v>
      </c>
      <c r="X227" s="1882">
        <v>382</v>
      </c>
      <c r="Y227" s="1882"/>
      <c r="Z227" s="1882"/>
      <c r="AA227" s="1882"/>
      <c r="AB227" s="1882"/>
      <c r="AC227" s="1882" t="s">
        <v>2459</v>
      </c>
      <c r="AD227" s="1882"/>
      <c r="AE227" s="1882" t="s">
        <v>2459</v>
      </c>
      <c r="AF227" s="1882"/>
      <c r="AG227" s="1882"/>
      <c r="AH227" s="1882">
        <v>0</v>
      </c>
      <c r="AI227" s="1882"/>
      <c r="AJ227" s="1882"/>
      <c r="AK227" s="1882"/>
      <c r="AL227" s="1882"/>
      <c r="AM227" s="1882" t="s">
        <v>2459</v>
      </c>
      <c r="AN227" s="1882"/>
      <c r="AO227" s="1882"/>
      <c r="AP227" s="1882"/>
      <c r="AQ227" s="1882"/>
      <c r="AR227" s="1882">
        <v>2440</v>
      </c>
      <c r="AS227" s="1882"/>
      <c r="AT227" s="1882"/>
      <c r="AU227" s="1882"/>
      <c r="AV227" s="1882"/>
      <c r="AW227" s="1882">
        <v>2215</v>
      </c>
      <c r="AX227" s="1882"/>
      <c r="AY227" s="1882"/>
      <c r="AZ227" s="1882"/>
      <c r="BA227" s="1882"/>
      <c r="BB227" s="1882">
        <v>2000</v>
      </c>
      <c r="BC227" s="1882"/>
      <c r="BD227" s="1882"/>
      <c r="BE227" s="1882"/>
      <c r="BF227" s="1882"/>
      <c r="BG227" s="1882">
        <v>1700</v>
      </c>
      <c r="BH227" s="1882">
        <v>7.5259999999999994E-2</v>
      </c>
      <c r="BI227" s="1882"/>
      <c r="BJ227" s="1882"/>
      <c r="BK227" s="1882"/>
      <c r="BL227" s="1882">
        <v>7.2228000000000001E-2</v>
      </c>
      <c r="BM227" s="1882"/>
      <c r="BN227" s="1882">
        <v>1</v>
      </c>
      <c r="BO227" s="1882" t="s">
        <v>8512</v>
      </c>
      <c r="BP227" s="520">
        <v>487</v>
      </c>
      <c r="BQ227" s="693">
        <v>492</v>
      </c>
      <c r="BR227" s="1882" t="s">
        <v>2460</v>
      </c>
      <c r="BS227" s="1882" t="s">
        <v>8513</v>
      </c>
      <c r="BT227" s="1882">
        <v>0</v>
      </c>
      <c r="BU227" s="1882" t="s">
        <v>8513</v>
      </c>
      <c r="BV227" s="1882">
        <v>0</v>
      </c>
      <c r="BW227" s="1882">
        <v>448</v>
      </c>
      <c r="BX227" s="1882" t="s">
        <v>2460</v>
      </c>
      <c r="BY227" s="1882">
        <v>0</v>
      </c>
      <c r="BZ227" s="1882">
        <v>0</v>
      </c>
      <c r="CA227" s="1882">
        <v>0</v>
      </c>
      <c r="CB227" s="1882">
        <v>0</v>
      </c>
      <c r="CC227" s="1882">
        <v>401</v>
      </c>
      <c r="CD227" s="1882" t="s">
        <v>2459</v>
      </c>
      <c r="CE227" s="1882">
        <v>0</v>
      </c>
      <c r="CF227" s="1882">
        <v>0</v>
      </c>
      <c r="CG227" s="1882">
        <v>0</v>
      </c>
      <c r="CH227" s="1882">
        <v>0</v>
      </c>
      <c r="CI227" s="1882">
        <v>389</v>
      </c>
      <c r="CJ227" s="1882" t="s">
        <v>2459</v>
      </c>
      <c r="CK227" s="1882">
        <v>0</v>
      </c>
      <c r="CL227" s="1882">
        <v>0</v>
      </c>
      <c r="CM227" s="1882">
        <v>0</v>
      </c>
      <c r="CN227" s="1882">
        <v>0</v>
      </c>
      <c r="CP227" s="1882" t="s">
        <v>9848</v>
      </c>
    </row>
    <row r="228" spans="1:94">
      <c r="A228" s="1882" t="s">
        <v>8375</v>
      </c>
      <c r="B228" s="1882" t="s">
        <v>9849</v>
      </c>
      <c r="C228" s="1882" t="s">
        <v>8352</v>
      </c>
      <c r="D228" s="1882" t="s">
        <v>1627</v>
      </c>
      <c r="E228" s="1882" t="s">
        <v>8720</v>
      </c>
      <c r="F228" s="1882" t="s">
        <v>9836</v>
      </c>
      <c r="G228" s="1882">
        <v>3</v>
      </c>
      <c r="H228" s="1882" t="s">
        <v>9850</v>
      </c>
      <c r="I228" s="1882" t="s">
        <v>9851</v>
      </c>
      <c r="J228" s="1882" t="s">
        <v>8539</v>
      </c>
      <c r="K228" s="1882"/>
      <c r="L228" s="1882"/>
      <c r="M228" s="1882"/>
      <c r="N228" s="1882" t="s">
        <v>8724</v>
      </c>
      <c r="O228" s="1882" t="s">
        <v>764</v>
      </c>
      <c r="P228" s="1882" t="s">
        <v>9852</v>
      </c>
      <c r="Q228" s="520">
        <v>0</v>
      </c>
      <c r="R228" s="1882" t="s">
        <v>8511</v>
      </c>
      <c r="S228" s="1882">
        <v>9694</v>
      </c>
      <c r="T228" s="1882">
        <v>9694</v>
      </c>
      <c r="U228" s="1882">
        <v>9694</v>
      </c>
      <c r="V228" s="1882">
        <v>9694</v>
      </c>
      <c r="W228" s="1882">
        <v>9694</v>
      </c>
      <c r="X228" s="1882">
        <v>9694</v>
      </c>
      <c r="Y228" s="1882"/>
      <c r="Z228" s="1882"/>
      <c r="AA228" s="1882"/>
      <c r="AB228" s="1882"/>
      <c r="AC228" s="1882"/>
      <c r="AD228" s="1882"/>
      <c r="AE228" s="1882" t="s">
        <v>2459</v>
      </c>
      <c r="AF228" s="1882"/>
      <c r="AG228" s="1882"/>
      <c r="AH228" s="1882">
        <v>0</v>
      </c>
      <c r="AI228" s="1882"/>
      <c r="AJ228" s="1882"/>
      <c r="AK228" s="1882"/>
      <c r="AL228" s="1882"/>
      <c r="AM228" s="1882"/>
      <c r="AN228" s="1882"/>
      <c r="AO228" s="1882"/>
      <c r="AP228" s="1882"/>
      <c r="AQ228" s="1882"/>
      <c r="AR228" s="1882"/>
      <c r="AS228" s="1882"/>
      <c r="AT228" s="1882"/>
      <c r="AU228" s="1882"/>
      <c r="AV228" s="1882"/>
      <c r="AW228" s="1882"/>
      <c r="AX228" s="1882"/>
      <c r="AY228" s="1882"/>
      <c r="AZ228" s="1882"/>
      <c r="BA228" s="1882"/>
      <c r="BB228" s="1882"/>
      <c r="BC228" s="1882"/>
      <c r="BD228" s="1882"/>
      <c r="BE228" s="1882"/>
      <c r="BF228" s="1882"/>
      <c r="BG228" s="1882"/>
      <c r="BH228" s="1882"/>
      <c r="BI228" s="1882"/>
      <c r="BJ228" s="1882"/>
      <c r="BK228" s="1882"/>
      <c r="BL228" s="1882"/>
      <c r="BM228" s="1882"/>
      <c r="BN228" s="1882"/>
      <c r="BO228" s="1882"/>
      <c r="BP228" s="520">
        <v>9796</v>
      </c>
      <c r="BQ228" s="693">
        <v>8314</v>
      </c>
      <c r="BR228" s="1882" t="s">
        <v>2459</v>
      </c>
      <c r="BS228" s="1882" t="s">
        <v>8513</v>
      </c>
      <c r="BT228" s="1882">
        <v>0</v>
      </c>
      <c r="BU228" s="1882" t="s">
        <v>8513</v>
      </c>
      <c r="BV228" s="1882">
        <v>0</v>
      </c>
      <c r="BW228" s="1882">
        <v>8009</v>
      </c>
      <c r="BX228" s="1882" t="s">
        <v>2459</v>
      </c>
      <c r="BY228" s="1882">
        <v>0</v>
      </c>
      <c r="BZ228" s="1882">
        <v>0</v>
      </c>
      <c r="CA228" s="1882">
        <v>0</v>
      </c>
      <c r="CB228" s="1882">
        <v>0</v>
      </c>
      <c r="CC228" s="1882">
        <v>7106</v>
      </c>
      <c r="CD228" s="1882" t="s">
        <v>2459</v>
      </c>
      <c r="CE228" s="1882">
        <v>0</v>
      </c>
      <c r="CF228" s="1882">
        <v>0</v>
      </c>
      <c r="CG228" s="1882">
        <v>0</v>
      </c>
      <c r="CH228" s="1882">
        <v>0</v>
      </c>
      <c r="CI228" s="1882">
        <v>8255</v>
      </c>
      <c r="CJ228" s="1882" t="s">
        <v>2459</v>
      </c>
      <c r="CK228" s="1882">
        <v>0</v>
      </c>
      <c r="CL228" s="1882">
        <v>0</v>
      </c>
      <c r="CM228" s="1882">
        <v>0</v>
      </c>
      <c r="CN228" s="1882">
        <v>0</v>
      </c>
      <c r="CP228" s="1882" t="s">
        <v>9853</v>
      </c>
    </row>
    <row r="229" spans="1:94">
      <c r="A229" s="1882" t="s">
        <v>8375</v>
      </c>
      <c r="B229" s="1882" t="s">
        <v>9854</v>
      </c>
      <c r="C229" s="1882" t="s">
        <v>8352</v>
      </c>
      <c r="D229" s="1882" t="s">
        <v>1627</v>
      </c>
      <c r="E229" s="1882" t="s">
        <v>8720</v>
      </c>
      <c r="F229" s="1882" t="s">
        <v>9836</v>
      </c>
      <c r="G229" s="1882">
        <v>4</v>
      </c>
      <c r="H229" s="1882" t="s">
        <v>9855</v>
      </c>
      <c r="I229" s="1882" t="s">
        <v>9856</v>
      </c>
      <c r="J229" s="1882" t="s">
        <v>8519</v>
      </c>
      <c r="K229" s="1882" t="s">
        <v>8509</v>
      </c>
      <c r="L229" s="1882"/>
      <c r="M229" s="1882"/>
      <c r="N229" s="1882" t="s">
        <v>8724</v>
      </c>
      <c r="O229" s="1882" t="s">
        <v>764</v>
      </c>
      <c r="P229" s="1882" t="s">
        <v>9857</v>
      </c>
      <c r="Q229" s="520">
        <v>2</v>
      </c>
      <c r="R229" s="1882" t="s">
        <v>8511</v>
      </c>
      <c r="S229" s="1882">
        <v>0.57999999999999996</v>
      </c>
      <c r="T229" s="1882">
        <v>0.57999999999999996</v>
      </c>
      <c r="U229" s="1882">
        <v>0.57999999999999996</v>
      </c>
      <c r="V229" s="1882">
        <v>0.57999999999999996</v>
      </c>
      <c r="W229" s="1882">
        <v>0.57999999999999996</v>
      </c>
      <c r="X229" s="1882">
        <v>0.57999999999999996</v>
      </c>
      <c r="Y229" s="1882"/>
      <c r="Z229" s="1882"/>
      <c r="AA229" s="1882"/>
      <c r="AB229" s="1882"/>
      <c r="AC229" s="1882"/>
      <c r="AD229" s="1882"/>
      <c r="AE229" s="1882" t="s">
        <v>2459</v>
      </c>
      <c r="AF229" s="1882"/>
      <c r="AG229" s="1882"/>
      <c r="AH229" s="1882">
        <v>0</v>
      </c>
      <c r="AI229" s="1882" t="s">
        <v>2459</v>
      </c>
      <c r="AJ229" s="1882" t="s">
        <v>2459</v>
      </c>
      <c r="AK229" s="1882" t="s">
        <v>2459</v>
      </c>
      <c r="AL229" s="1882" t="s">
        <v>2459</v>
      </c>
      <c r="AM229" s="1882" t="s">
        <v>2459</v>
      </c>
      <c r="AN229" s="1882">
        <v>0.65</v>
      </c>
      <c r="AO229" s="1882">
        <v>0.65</v>
      </c>
      <c r="AP229" s="1882">
        <v>0.65</v>
      </c>
      <c r="AQ229" s="1882">
        <v>0.65</v>
      </c>
      <c r="AR229" s="1882">
        <v>0.65</v>
      </c>
      <c r="AS229" s="1882">
        <v>0.59</v>
      </c>
      <c r="AT229" s="1882">
        <v>0.59</v>
      </c>
      <c r="AU229" s="1882">
        <v>0.59</v>
      </c>
      <c r="AV229" s="1882">
        <v>0.59</v>
      </c>
      <c r="AW229" s="1882">
        <v>0.59</v>
      </c>
      <c r="AX229" s="1882"/>
      <c r="AY229" s="1882"/>
      <c r="AZ229" s="1882"/>
      <c r="BA229" s="1882"/>
      <c r="BB229" s="1882"/>
      <c r="BC229" s="1882"/>
      <c r="BD229" s="1882"/>
      <c r="BE229" s="1882"/>
      <c r="BF229" s="1882"/>
      <c r="BG229" s="1882"/>
      <c r="BH229" s="1882">
        <v>16.276</v>
      </c>
      <c r="BI229" s="1882"/>
      <c r="BJ229" s="1882"/>
      <c r="BK229" s="1882"/>
      <c r="BL229" s="1882"/>
      <c r="BM229" s="1882"/>
      <c r="BN229" s="1882">
        <v>1</v>
      </c>
      <c r="BO229" s="1882" t="s">
        <v>8512</v>
      </c>
      <c r="BP229" s="520">
        <v>0.55000000000000004</v>
      </c>
      <c r="BQ229" s="694">
        <v>0.56000000000000005</v>
      </c>
      <c r="BR229" s="1882" t="s">
        <v>2459</v>
      </c>
      <c r="BS229" s="1882" t="s">
        <v>8513</v>
      </c>
      <c r="BT229" s="1882">
        <v>0</v>
      </c>
      <c r="BU229" s="1882" t="s">
        <v>8513</v>
      </c>
      <c r="BV229" s="1882">
        <v>0</v>
      </c>
      <c r="BW229" s="1882">
        <v>0.55000000000000004</v>
      </c>
      <c r="BX229" s="1882" t="s">
        <v>2459</v>
      </c>
      <c r="BY229" s="1882">
        <v>0</v>
      </c>
      <c r="BZ229" s="1882">
        <v>0</v>
      </c>
      <c r="CA229" s="1882">
        <v>0</v>
      </c>
      <c r="CB229" s="1882">
        <v>0</v>
      </c>
      <c r="CC229" s="1882">
        <v>0.49</v>
      </c>
      <c r="CD229" s="1882" t="s">
        <v>2459</v>
      </c>
      <c r="CE229" s="1882">
        <v>0</v>
      </c>
      <c r="CF229" s="1882">
        <v>0</v>
      </c>
      <c r="CG229" s="1882">
        <v>0</v>
      </c>
      <c r="CH229" s="1882">
        <v>0</v>
      </c>
      <c r="CI229" s="1882">
        <v>0.52</v>
      </c>
      <c r="CJ229" s="1882" t="s">
        <v>2459</v>
      </c>
      <c r="CK229" s="1882">
        <v>0</v>
      </c>
      <c r="CL229" s="1882">
        <v>0</v>
      </c>
      <c r="CM229" s="1882">
        <v>0</v>
      </c>
      <c r="CN229" s="1882">
        <v>0</v>
      </c>
      <c r="CP229" s="1882" t="s">
        <v>9858</v>
      </c>
    </row>
    <row r="230" spans="1:94">
      <c r="A230" s="1882" t="s">
        <v>8375</v>
      </c>
      <c r="B230" s="1882" t="s">
        <v>9859</v>
      </c>
      <c r="C230" s="1882" t="s">
        <v>8352</v>
      </c>
      <c r="D230" s="1882" t="s">
        <v>1627</v>
      </c>
      <c r="E230" s="1882" t="s">
        <v>8720</v>
      </c>
      <c r="F230" s="1882" t="s">
        <v>9836</v>
      </c>
      <c r="G230" s="1882">
        <v>5</v>
      </c>
      <c r="H230" s="1882" t="s">
        <v>9860</v>
      </c>
      <c r="I230" s="1882" t="s">
        <v>9861</v>
      </c>
      <c r="J230" s="1882" t="s">
        <v>8519</v>
      </c>
      <c r="K230" s="1882" t="s">
        <v>8509</v>
      </c>
      <c r="L230" s="1882"/>
      <c r="M230" s="1882"/>
      <c r="N230" s="1882" t="s">
        <v>9862</v>
      </c>
      <c r="O230" s="1882" t="s">
        <v>764</v>
      </c>
      <c r="P230" s="1882" t="s">
        <v>9863</v>
      </c>
      <c r="Q230" s="520">
        <v>0</v>
      </c>
      <c r="R230" s="1882" t="s">
        <v>8511</v>
      </c>
      <c r="S230" s="1882" t="s">
        <v>3504</v>
      </c>
      <c r="T230" s="1882" t="s">
        <v>3504</v>
      </c>
      <c r="U230" s="1882" t="s">
        <v>3504</v>
      </c>
      <c r="V230" s="1882" t="s">
        <v>3504</v>
      </c>
      <c r="W230" s="1882">
        <v>0</v>
      </c>
      <c r="X230" s="1882">
        <v>0</v>
      </c>
      <c r="Y230" s="1882"/>
      <c r="Z230" s="1882"/>
      <c r="AA230" s="1882"/>
      <c r="AB230" s="1882"/>
      <c r="AC230" s="1882"/>
      <c r="AD230" s="1882" t="s">
        <v>2459</v>
      </c>
      <c r="AE230" s="1882" t="s">
        <v>2459</v>
      </c>
      <c r="AF230" s="1882"/>
      <c r="AG230" s="1882"/>
      <c r="AH230" s="1882">
        <v>0</v>
      </c>
      <c r="AI230" s="1882"/>
      <c r="AJ230" s="1882"/>
      <c r="AK230" s="1882"/>
      <c r="AL230" s="1882" t="s">
        <v>2459</v>
      </c>
      <c r="AM230" s="1882" t="s">
        <v>2459</v>
      </c>
      <c r="AN230" s="1882"/>
      <c r="AO230" s="1882"/>
      <c r="AP230" s="1882"/>
      <c r="AQ230" s="1882">
        <v>20</v>
      </c>
      <c r="AR230" s="1882">
        <v>20</v>
      </c>
      <c r="AS230" s="1882"/>
      <c r="AT230" s="1882"/>
      <c r="AU230" s="1882"/>
      <c r="AV230" s="1882">
        <v>0</v>
      </c>
      <c r="AW230" s="1882">
        <v>0</v>
      </c>
      <c r="AX230" s="1882"/>
      <c r="AY230" s="1882"/>
      <c r="AZ230" s="1882"/>
      <c r="BA230" s="1882"/>
      <c r="BB230" s="1882"/>
      <c r="BC230" s="1882"/>
      <c r="BD230" s="1882"/>
      <c r="BE230" s="1882"/>
      <c r="BF230" s="1882"/>
      <c r="BG230" s="1882"/>
      <c r="BH230" s="1882">
        <v>7.9000000000000001E-2</v>
      </c>
      <c r="BI230" s="1882"/>
      <c r="BJ230" s="1882"/>
      <c r="BK230" s="1882"/>
      <c r="BL230" s="1882"/>
      <c r="BM230" s="1882"/>
      <c r="BN230" s="1882">
        <v>1</v>
      </c>
      <c r="BO230" s="1882" t="s">
        <v>8512</v>
      </c>
      <c r="BP230" s="520" t="s">
        <v>3504</v>
      </c>
      <c r="BQ230" s="693" t="s">
        <v>3504</v>
      </c>
      <c r="BR230" s="1882" t="s">
        <v>8513</v>
      </c>
      <c r="BS230" s="1882" t="s">
        <v>8513</v>
      </c>
      <c r="BT230" s="1882">
        <v>0</v>
      </c>
      <c r="BU230" s="1882" t="s">
        <v>8513</v>
      </c>
      <c r="BV230" s="1882">
        <v>0</v>
      </c>
      <c r="BW230" s="1882" t="s">
        <v>3504</v>
      </c>
      <c r="BX230" s="1882" t="s">
        <v>2451</v>
      </c>
      <c r="BY230" s="1882">
        <v>0</v>
      </c>
      <c r="BZ230" s="1882">
        <v>0</v>
      </c>
      <c r="CA230" s="1882">
        <v>0</v>
      </c>
      <c r="CB230" s="1882">
        <v>0</v>
      </c>
      <c r="CC230" s="1882">
        <v>18</v>
      </c>
      <c r="CD230" s="1882" t="s">
        <v>2451</v>
      </c>
      <c r="CE230" s="1882">
        <v>0</v>
      </c>
      <c r="CF230" s="1882">
        <v>0</v>
      </c>
      <c r="CG230" s="1882">
        <v>0</v>
      </c>
      <c r="CH230" s="1882">
        <v>0</v>
      </c>
      <c r="CI230" s="1882">
        <v>54</v>
      </c>
      <c r="CJ230" s="1882" t="s">
        <v>2460</v>
      </c>
      <c r="CK230" s="1882">
        <v>0</v>
      </c>
      <c r="CL230" s="1882">
        <v>0</v>
      </c>
      <c r="CM230" s="1882" t="s">
        <v>8384</v>
      </c>
      <c r="CN230" s="1882">
        <v>-1.58</v>
      </c>
      <c r="CP230" s="1882" t="s">
        <v>9864</v>
      </c>
    </row>
    <row r="231" spans="1:94">
      <c r="A231" s="1882" t="s">
        <v>8375</v>
      </c>
      <c r="B231" s="1882" t="s">
        <v>9865</v>
      </c>
      <c r="C231" s="1882" t="s">
        <v>8352</v>
      </c>
      <c r="D231" s="1882" t="s">
        <v>1627</v>
      </c>
      <c r="E231" s="1882" t="s">
        <v>8720</v>
      </c>
      <c r="F231" s="1882" t="s">
        <v>9826</v>
      </c>
      <c r="G231" s="1882">
        <v>6</v>
      </c>
      <c r="H231" s="1882" t="s">
        <v>9866</v>
      </c>
      <c r="I231" s="1882" t="s">
        <v>9867</v>
      </c>
      <c r="J231" s="1882" t="s">
        <v>8519</v>
      </c>
      <c r="K231" s="1882" t="s">
        <v>8509</v>
      </c>
      <c r="L231" s="1882"/>
      <c r="M231" s="1882"/>
      <c r="N231" s="1882" t="s">
        <v>8673</v>
      </c>
      <c r="O231" s="1882" t="s">
        <v>732</v>
      </c>
      <c r="P231" s="1882" t="s">
        <v>9868</v>
      </c>
      <c r="Q231" s="520">
        <v>1</v>
      </c>
      <c r="R231" s="1882" t="s">
        <v>8549</v>
      </c>
      <c r="S231" s="1882">
        <v>98.6</v>
      </c>
      <c r="T231" s="1882">
        <v>100</v>
      </c>
      <c r="U231" s="1882">
        <v>100</v>
      </c>
      <c r="V231" s="1882">
        <v>100</v>
      </c>
      <c r="W231" s="1882">
        <v>100</v>
      </c>
      <c r="X231" s="1882">
        <v>100</v>
      </c>
      <c r="Y231" s="1882"/>
      <c r="Z231" s="1882"/>
      <c r="AA231" s="1882"/>
      <c r="AB231" s="1882"/>
      <c r="AC231" s="1882"/>
      <c r="AD231" s="1882"/>
      <c r="AE231" s="1882" t="s">
        <v>2459</v>
      </c>
      <c r="AF231" s="1882"/>
      <c r="AG231" s="1882"/>
      <c r="AH231" s="1882">
        <v>0</v>
      </c>
      <c r="AI231" s="1882" t="s">
        <v>2459</v>
      </c>
      <c r="AJ231" s="1882" t="s">
        <v>2459</v>
      </c>
      <c r="AK231" s="1882" t="s">
        <v>2459</v>
      </c>
      <c r="AL231" s="1882" t="s">
        <v>2459</v>
      </c>
      <c r="AM231" s="1882" t="s">
        <v>2459</v>
      </c>
      <c r="AN231" s="1882">
        <v>96.8</v>
      </c>
      <c r="AO231" s="1882">
        <v>96.8</v>
      </c>
      <c r="AP231" s="1882">
        <v>96.8</v>
      </c>
      <c r="AQ231" s="1882">
        <v>96.8</v>
      </c>
      <c r="AR231" s="1882">
        <v>96.8</v>
      </c>
      <c r="AS231" s="1882">
        <v>97.7</v>
      </c>
      <c r="AT231" s="1882">
        <v>97.7</v>
      </c>
      <c r="AU231" s="1882">
        <v>97.7</v>
      </c>
      <c r="AV231" s="1882">
        <v>97.7</v>
      </c>
      <c r="AW231" s="1882">
        <v>97.7</v>
      </c>
      <c r="AX231" s="1882"/>
      <c r="AY231" s="1882"/>
      <c r="AZ231" s="1882"/>
      <c r="BA231" s="1882"/>
      <c r="BB231" s="1882"/>
      <c r="BC231" s="1882"/>
      <c r="BD231" s="1882"/>
      <c r="BE231" s="1882"/>
      <c r="BF231" s="1882"/>
      <c r="BG231" s="1882"/>
      <c r="BH231" s="1882">
        <v>1.661</v>
      </c>
      <c r="BI231" s="1882"/>
      <c r="BJ231" s="1882"/>
      <c r="BK231" s="1882"/>
      <c r="BL231" s="1882"/>
      <c r="BM231" s="1882"/>
      <c r="BN231" s="1882">
        <v>10</v>
      </c>
      <c r="BO231" s="1882" t="s">
        <v>9869</v>
      </c>
      <c r="BP231" s="520">
        <v>99</v>
      </c>
      <c r="BQ231" s="690">
        <v>99.3</v>
      </c>
      <c r="BR231" s="1882" t="s">
        <v>2460</v>
      </c>
      <c r="BS231" s="1882" t="s">
        <v>8513</v>
      </c>
      <c r="BT231" s="1882">
        <v>0</v>
      </c>
      <c r="BU231" s="1882" t="s">
        <v>8429</v>
      </c>
      <c r="BV231" s="1882">
        <v>0</v>
      </c>
      <c r="BW231" s="1882">
        <v>99.32</v>
      </c>
      <c r="BX231" s="1882" t="s">
        <v>2460</v>
      </c>
      <c r="BY231" s="1882">
        <v>0</v>
      </c>
      <c r="BZ231" s="1882">
        <v>0</v>
      </c>
      <c r="CA231" s="1882" t="s">
        <v>8429</v>
      </c>
      <c r="CB231" s="1882">
        <v>0</v>
      </c>
      <c r="CC231" s="1882">
        <v>98.38</v>
      </c>
      <c r="CD231" s="1882" t="s">
        <v>2460</v>
      </c>
      <c r="CE231" s="1882">
        <v>0</v>
      </c>
      <c r="CF231" s="1882">
        <v>0</v>
      </c>
      <c r="CG231" s="1882">
        <v>0</v>
      </c>
      <c r="CH231" s="1882">
        <v>0</v>
      </c>
      <c r="CI231" s="1882">
        <v>99.7</v>
      </c>
      <c r="CJ231" s="1882" t="s">
        <v>2460</v>
      </c>
      <c r="CK231" s="1882">
        <v>0</v>
      </c>
      <c r="CL231" s="1882">
        <v>0</v>
      </c>
      <c r="CM231" s="1882" t="s">
        <v>8388</v>
      </c>
      <c r="CN231" s="1882">
        <v>0</v>
      </c>
      <c r="CP231" s="1882" t="s">
        <v>9870</v>
      </c>
    </row>
    <row r="232" spans="1:94">
      <c r="A232" s="1882" t="s">
        <v>8375</v>
      </c>
      <c r="B232" s="1882" t="s">
        <v>9871</v>
      </c>
      <c r="C232" s="1882" t="s">
        <v>8352</v>
      </c>
      <c r="D232" s="1882" t="s">
        <v>1627</v>
      </c>
      <c r="E232" s="1882" t="s">
        <v>8720</v>
      </c>
      <c r="F232" s="1882" t="s">
        <v>9826</v>
      </c>
      <c r="G232" s="1882">
        <v>7</v>
      </c>
      <c r="H232" s="1882" t="s">
        <v>9872</v>
      </c>
      <c r="I232" s="1882" t="s">
        <v>9873</v>
      </c>
      <c r="J232" s="1882" t="s">
        <v>8539</v>
      </c>
      <c r="K232" s="1882"/>
      <c r="L232" s="1882"/>
      <c r="M232" s="1882"/>
      <c r="N232" s="1882" t="s">
        <v>8681</v>
      </c>
      <c r="O232" s="1882" t="s">
        <v>732</v>
      </c>
      <c r="P232" s="1882" t="s">
        <v>9874</v>
      </c>
      <c r="Q232" s="520">
        <v>1</v>
      </c>
      <c r="R232" s="1882" t="s">
        <v>8549</v>
      </c>
      <c r="S232" s="1882">
        <v>14.5</v>
      </c>
      <c r="T232" s="1882"/>
      <c r="U232" s="1882"/>
      <c r="V232" s="1882"/>
      <c r="W232" s="1882"/>
      <c r="X232" s="1882">
        <v>16.5</v>
      </c>
      <c r="Y232" s="1882"/>
      <c r="Z232" s="1882"/>
      <c r="AA232" s="1882"/>
      <c r="AB232" s="1882"/>
      <c r="AC232" s="1882"/>
      <c r="AD232" s="1882"/>
      <c r="AE232" s="1882"/>
      <c r="AF232" s="1882"/>
      <c r="AG232" s="1882"/>
      <c r="AH232" s="1882">
        <v>0</v>
      </c>
      <c r="AI232" s="1882"/>
      <c r="AJ232" s="1882"/>
      <c r="AK232" s="1882"/>
      <c r="AL232" s="1882"/>
      <c r="AM232" s="1882"/>
      <c r="AN232" s="1882"/>
      <c r="AO232" s="1882"/>
      <c r="AP232" s="1882"/>
      <c r="AQ232" s="1882"/>
      <c r="AR232" s="1882"/>
      <c r="AS232" s="1882"/>
      <c r="AT232" s="1882"/>
      <c r="AU232" s="1882"/>
      <c r="AV232" s="1882"/>
      <c r="AW232" s="1882"/>
      <c r="AX232" s="1882"/>
      <c r="AY232" s="1882"/>
      <c r="AZ232" s="1882"/>
      <c r="BA232" s="1882"/>
      <c r="BB232" s="1882"/>
      <c r="BC232" s="1882"/>
      <c r="BD232" s="1882"/>
      <c r="BE232" s="1882"/>
      <c r="BF232" s="1882"/>
      <c r="BG232" s="1882"/>
      <c r="BH232" s="1882"/>
      <c r="BI232" s="1882"/>
      <c r="BJ232" s="1882"/>
      <c r="BK232" s="1882"/>
      <c r="BL232" s="1882"/>
      <c r="BM232" s="1882"/>
      <c r="BN232" s="1882"/>
      <c r="BO232" s="1882"/>
      <c r="BP232" s="520">
        <v>16</v>
      </c>
      <c r="BQ232" s="690">
        <v>17.3</v>
      </c>
      <c r="BR232" s="1882" t="s">
        <v>8513</v>
      </c>
      <c r="BS232" s="1882" t="s">
        <v>8513</v>
      </c>
      <c r="BT232" s="1882">
        <v>0</v>
      </c>
      <c r="BU232" s="1882" t="s">
        <v>8513</v>
      </c>
      <c r="BV232" s="1882">
        <v>0</v>
      </c>
      <c r="BW232" s="1882">
        <v>17.03</v>
      </c>
      <c r="BX232" s="1882" t="s">
        <v>2451</v>
      </c>
      <c r="BY232" s="1882">
        <v>0</v>
      </c>
      <c r="BZ232" s="1882">
        <v>0</v>
      </c>
      <c r="CA232" s="1882">
        <v>0</v>
      </c>
      <c r="CB232" s="1882">
        <v>0</v>
      </c>
      <c r="CC232" s="1882">
        <v>17.2</v>
      </c>
      <c r="CD232" s="1882" t="s">
        <v>2459</v>
      </c>
      <c r="CE232" s="1882">
        <v>0</v>
      </c>
      <c r="CF232" s="1882">
        <v>0</v>
      </c>
      <c r="CG232" s="1882">
        <v>0</v>
      </c>
      <c r="CH232" s="1882">
        <v>0</v>
      </c>
      <c r="CI232" s="1882">
        <v>15.8</v>
      </c>
      <c r="CJ232" s="1882" t="s">
        <v>2451</v>
      </c>
      <c r="CK232" s="1882">
        <v>0</v>
      </c>
      <c r="CL232" s="1882">
        <v>0</v>
      </c>
      <c r="CM232" s="1882">
        <v>0</v>
      </c>
      <c r="CN232" s="1882">
        <v>0</v>
      </c>
      <c r="CP232" s="1882" t="s">
        <v>9875</v>
      </c>
    </row>
    <row r="233" spans="1:94">
      <c r="A233" s="1882" t="s">
        <v>8375</v>
      </c>
      <c r="B233" s="1882" t="s">
        <v>9876</v>
      </c>
      <c r="C233" s="1882" t="s">
        <v>8352</v>
      </c>
      <c r="D233" s="1882" t="s">
        <v>1627</v>
      </c>
      <c r="E233" s="1882" t="s">
        <v>8720</v>
      </c>
      <c r="F233" s="1882" t="s">
        <v>9826</v>
      </c>
      <c r="G233" s="1882">
        <v>8</v>
      </c>
      <c r="H233" s="1882" t="s">
        <v>9877</v>
      </c>
      <c r="I233" s="1882" t="s">
        <v>9878</v>
      </c>
      <c r="J233" s="1882" t="s">
        <v>8508</v>
      </c>
      <c r="K233" s="1882" t="s">
        <v>8509</v>
      </c>
      <c r="L233" s="1882"/>
      <c r="M233" s="1882"/>
      <c r="N233" s="1882" t="s">
        <v>8673</v>
      </c>
      <c r="O233" s="1882" t="s">
        <v>764</v>
      </c>
      <c r="P233" s="1882" t="s">
        <v>9879</v>
      </c>
      <c r="Q233" s="520">
        <v>0</v>
      </c>
      <c r="R233" s="1882" t="s">
        <v>8549</v>
      </c>
      <c r="S233" s="1882"/>
      <c r="T233" s="1882">
        <v>54</v>
      </c>
      <c r="U233" s="1882">
        <v>54</v>
      </c>
      <c r="V233" s="1882">
        <v>54</v>
      </c>
      <c r="W233" s="1882">
        <v>54</v>
      </c>
      <c r="X233" s="1882">
        <v>54</v>
      </c>
      <c r="Y233" s="1882"/>
      <c r="Z233" s="1882"/>
      <c r="AA233" s="1882"/>
      <c r="AB233" s="1882"/>
      <c r="AC233" s="1882"/>
      <c r="AD233" s="1882"/>
      <c r="AE233" s="1882"/>
      <c r="AF233" s="1882"/>
      <c r="AG233" s="1882"/>
      <c r="AH233" s="1882">
        <v>0</v>
      </c>
      <c r="AI233" s="1882" t="s">
        <v>2459</v>
      </c>
      <c r="AJ233" s="1882" t="s">
        <v>2459</v>
      </c>
      <c r="AK233" s="1882" t="s">
        <v>2459</v>
      </c>
      <c r="AL233" s="1882" t="s">
        <v>2459</v>
      </c>
      <c r="AM233" s="1882" t="s">
        <v>2459</v>
      </c>
      <c r="AN233" s="1882">
        <v>42</v>
      </c>
      <c r="AO233" s="1882">
        <v>42</v>
      </c>
      <c r="AP233" s="1882">
        <v>42</v>
      </c>
      <c r="AQ233" s="1882">
        <v>42</v>
      </c>
      <c r="AR233" s="1882">
        <v>42</v>
      </c>
      <c r="AS233" s="1882">
        <v>48</v>
      </c>
      <c r="AT233" s="1882">
        <v>48</v>
      </c>
      <c r="AU233" s="1882">
        <v>48</v>
      </c>
      <c r="AV233" s="1882">
        <v>48</v>
      </c>
      <c r="AW233" s="1882">
        <v>48</v>
      </c>
      <c r="AX233" s="1882">
        <v>60</v>
      </c>
      <c r="AY233" s="1882">
        <v>60</v>
      </c>
      <c r="AZ233" s="1882">
        <v>60</v>
      </c>
      <c r="BA233" s="1882">
        <v>60</v>
      </c>
      <c r="BB233" s="1882">
        <v>60</v>
      </c>
      <c r="BC233" s="1882">
        <v>66</v>
      </c>
      <c r="BD233" s="1882">
        <v>66</v>
      </c>
      <c r="BE233" s="1882">
        <v>66</v>
      </c>
      <c r="BF233" s="1882">
        <v>66</v>
      </c>
      <c r="BG233" s="1882">
        <v>66</v>
      </c>
      <c r="BH233" s="1882">
        <v>0.29149999999999998</v>
      </c>
      <c r="BI233" s="1882"/>
      <c r="BJ233" s="1882"/>
      <c r="BK233" s="1882"/>
      <c r="BL233" s="1882">
        <v>0.24675</v>
      </c>
      <c r="BM233" s="1882"/>
      <c r="BN233" s="1882">
        <v>1</v>
      </c>
      <c r="BO233" s="1882" t="s">
        <v>8512</v>
      </c>
      <c r="BP233" s="520">
        <v>54</v>
      </c>
      <c r="BQ233" s="693">
        <v>43</v>
      </c>
      <c r="BR233" s="1882" t="s">
        <v>2460</v>
      </c>
      <c r="BS233" s="1882" t="s">
        <v>8513</v>
      </c>
      <c r="BT233" s="1882">
        <v>0</v>
      </c>
      <c r="BU233" s="1882" t="s">
        <v>8563</v>
      </c>
      <c r="BV233" s="1882">
        <v>-1.4575</v>
      </c>
      <c r="BW233" s="1882">
        <v>51</v>
      </c>
      <c r="BX233" s="1882" t="s">
        <v>2460</v>
      </c>
      <c r="BY233" s="1882">
        <v>0</v>
      </c>
      <c r="BZ233" s="1882">
        <v>0</v>
      </c>
      <c r="CA233" s="1882" t="s">
        <v>8429</v>
      </c>
      <c r="CB233" s="1882">
        <v>0</v>
      </c>
      <c r="CC233" s="1882">
        <v>53</v>
      </c>
      <c r="CD233" s="1882" t="s">
        <v>2460</v>
      </c>
      <c r="CE233" s="1882">
        <v>0</v>
      </c>
      <c r="CF233" s="1882">
        <v>0</v>
      </c>
      <c r="CG233" s="1882" t="s">
        <v>8388</v>
      </c>
      <c r="CH233" s="1882">
        <v>0</v>
      </c>
      <c r="CI233" s="1882">
        <v>57</v>
      </c>
      <c r="CJ233" s="1882" t="s">
        <v>2459</v>
      </c>
      <c r="CK233" s="1882">
        <v>0</v>
      </c>
      <c r="CL233" s="1882">
        <v>0</v>
      </c>
      <c r="CM233" s="1882">
        <v>0</v>
      </c>
      <c r="CN233" s="1882">
        <v>0</v>
      </c>
      <c r="CP233" s="1882" t="s">
        <v>9880</v>
      </c>
    </row>
    <row r="234" spans="1:94">
      <c r="A234" s="1882" t="s">
        <v>8375</v>
      </c>
      <c r="B234" s="1882" t="s">
        <v>9881</v>
      </c>
      <c r="C234" s="1882" t="s">
        <v>8352</v>
      </c>
      <c r="D234" s="1882" t="s">
        <v>1627</v>
      </c>
      <c r="E234" s="1882" t="s">
        <v>8720</v>
      </c>
      <c r="F234" s="1882" t="s">
        <v>9826</v>
      </c>
      <c r="G234" s="1882">
        <v>9</v>
      </c>
      <c r="H234" s="1882" t="s">
        <v>9882</v>
      </c>
      <c r="I234" s="1882" t="s">
        <v>9883</v>
      </c>
      <c r="J234" s="1882" t="s">
        <v>8508</v>
      </c>
      <c r="K234" s="1882" t="s">
        <v>8509</v>
      </c>
      <c r="L234" s="1882"/>
      <c r="M234" s="1882"/>
      <c r="N234" s="1882" t="s">
        <v>8673</v>
      </c>
      <c r="O234" s="1882" t="s">
        <v>764</v>
      </c>
      <c r="P234" s="1882" t="s">
        <v>9879</v>
      </c>
      <c r="Q234" s="520">
        <v>0</v>
      </c>
      <c r="R234" s="1882" t="s">
        <v>8549</v>
      </c>
      <c r="S234" s="1882"/>
      <c r="T234" s="1882">
        <v>0</v>
      </c>
      <c r="U234" s="1882">
        <v>0</v>
      </c>
      <c r="V234" s="1882">
        <v>0</v>
      </c>
      <c r="W234" s="1882">
        <v>0</v>
      </c>
      <c r="X234" s="1882">
        <v>7</v>
      </c>
      <c r="Y234" s="1882"/>
      <c r="Z234" s="1882"/>
      <c r="AA234" s="1882"/>
      <c r="AB234" s="1882"/>
      <c r="AC234" s="1882"/>
      <c r="AD234" s="1882" t="s">
        <v>2459</v>
      </c>
      <c r="AE234" s="1882"/>
      <c r="AF234" s="1882"/>
      <c r="AG234" s="1882"/>
      <c r="AH234" s="1882">
        <v>0</v>
      </c>
      <c r="AI234" s="1882" t="s">
        <v>2459</v>
      </c>
      <c r="AJ234" s="1882" t="s">
        <v>2459</v>
      </c>
      <c r="AK234" s="1882" t="s">
        <v>2459</v>
      </c>
      <c r="AL234" s="1882" t="s">
        <v>2459</v>
      </c>
      <c r="AM234" s="1882" t="s">
        <v>2459</v>
      </c>
      <c r="AN234" s="1882">
        <v>0</v>
      </c>
      <c r="AO234" s="1882">
        <v>0</v>
      </c>
      <c r="AP234" s="1882">
        <v>0</v>
      </c>
      <c r="AQ234" s="1882">
        <v>0</v>
      </c>
      <c r="AR234" s="1882">
        <v>0</v>
      </c>
      <c r="AS234" s="1882">
        <v>0</v>
      </c>
      <c r="AT234" s="1882">
        <v>0</v>
      </c>
      <c r="AU234" s="1882">
        <v>0</v>
      </c>
      <c r="AV234" s="1882">
        <v>0</v>
      </c>
      <c r="AW234" s="1882">
        <v>7</v>
      </c>
      <c r="AX234" s="1882">
        <v>0</v>
      </c>
      <c r="AY234" s="1882">
        <v>0</v>
      </c>
      <c r="AZ234" s="1882">
        <v>0</v>
      </c>
      <c r="BA234" s="1882">
        <v>0</v>
      </c>
      <c r="BB234" s="1882">
        <v>7</v>
      </c>
      <c r="BC234" s="1882">
        <v>7</v>
      </c>
      <c r="BD234" s="1882">
        <v>7</v>
      </c>
      <c r="BE234" s="1882">
        <v>7</v>
      </c>
      <c r="BF234" s="1882">
        <v>7</v>
      </c>
      <c r="BG234" s="1882">
        <v>7</v>
      </c>
      <c r="BH234" s="1882">
        <v>3.64</v>
      </c>
      <c r="BI234" s="1882"/>
      <c r="BJ234" s="1882"/>
      <c r="BK234" s="1882"/>
      <c r="BL234" s="1882">
        <v>0.24675</v>
      </c>
      <c r="BM234" s="1882"/>
      <c r="BN234" s="1882">
        <v>1</v>
      </c>
      <c r="BO234" s="1882" t="s">
        <v>8512</v>
      </c>
      <c r="BP234" s="520">
        <v>0</v>
      </c>
      <c r="BQ234" s="693">
        <v>0</v>
      </c>
      <c r="BR234" s="1882" t="s">
        <v>2459</v>
      </c>
      <c r="BS234" s="1882" t="s">
        <v>8513</v>
      </c>
      <c r="BT234" s="1882">
        <v>0</v>
      </c>
      <c r="BU234" s="1882" t="s">
        <v>8513</v>
      </c>
      <c r="BV234" s="1882">
        <v>0</v>
      </c>
      <c r="BW234" s="1882">
        <v>0</v>
      </c>
      <c r="BX234" s="1882" t="s">
        <v>2459</v>
      </c>
      <c r="BY234" s="1882">
        <v>0</v>
      </c>
      <c r="BZ234" s="1882">
        <v>0</v>
      </c>
      <c r="CA234" s="1882">
        <v>0</v>
      </c>
      <c r="CB234" s="1882">
        <v>0</v>
      </c>
      <c r="CC234" s="1882">
        <v>0</v>
      </c>
      <c r="CD234" s="1882" t="s">
        <v>2451</v>
      </c>
      <c r="CE234" s="1882">
        <v>0</v>
      </c>
      <c r="CF234" s="1882">
        <v>0</v>
      </c>
      <c r="CG234" s="1882">
        <v>0</v>
      </c>
      <c r="CH234" s="1882">
        <v>0</v>
      </c>
      <c r="CI234" s="1882">
        <v>5</v>
      </c>
      <c r="CJ234" s="1882" t="s">
        <v>2459</v>
      </c>
      <c r="CK234" s="1882">
        <v>0</v>
      </c>
      <c r="CL234" s="1882">
        <v>0</v>
      </c>
      <c r="CM234" s="1882" t="s">
        <v>8376</v>
      </c>
      <c r="CN234" s="1882">
        <v>1.234</v>
      </c>
      <c r="CP234" s="1882" t="s">
        <v>9884</v>
      </c>
    </row>
    <row r="235" spans="1:94">
      <c r="A235" s="1882" t="s">
        <v>8375</v>
      </c>
      <c r="B235" s="1882" t="s">
        <v>9885</v>
      </c>
      <c r="C235" s="1882" t="s">
        <v>8352</v>
      </c>
      <c r="D235" s="1882" t="s">
        <v>1627</v>
      </c>
      <c r="E235" s="1882" t="s">
        <v>8720</v>
      </c>
      <c r="F235" s="1882" t="s">
        <v>9826</v>
      </c>
      <c r="G235" s="1882">
        <v>10</v>
      </c>
      <c r="H235" s="1882" t="s">
        <v>9886</v>
      </c>
      <c r="I235" s="1882" t="s">
        <v>9887</v>
      </c>
      <c r="J235" s="1882" t="s">
        <v>8519</v>
      </c>
      <c r="K235" s="1882" t="s">
        <v>8855</v>
      </c>
      <c r="L235" s="1882"/>
      <c r="M235" s="1882"/>
      <c r="N235" s="1882" t="s">
        <v>8673</v>
      </c>
      <c r="O235" s="1882" t="s">
        <v>49</v>
      </c>
      <c r="P235" s="1882" t="s">
        <v>9888</v>
      </c>
      <c r="Q235" s="520">
        <v>1</v>
      </c>
      <c r="R235" s="1882"/>
      <c r="S235" s="1882" t="s">
        <v>3504</v>
      </c>
      <c r="T235" s="1882"/>
      <c r="U235" s="1882"/>
      <c r="V235" s="1882"/>
      <c r="W235" s="1882"/>
      <c r="X235" s="1882">
        <v>31.5</v>
      </c>
      <c r="Y235" s="1882"/>
      <c r="Z235" s="1882"/>
      <c r="AA235" s="1882"/>
      <c r="AB235" s="1882"/>
      <c r="AC235" s="1882"/>
      <c r="AD235" s="1882"/>
      <c r="AE235" s="1882"/>
      <c r="AF235" s="1882"/>
      <c r="AG235" s="1882"/>
      <c r="AH235" s="1882">
        <v>0</v>
      </c>
      <c r="AI235" s="1882"/>
      <c r="AJ235" s="1882"/>
      <c r="AK235" s="1882"/>
      <c r="AL235" s="1882"/>
      <c r="AM235" s="1882" t="s">
        <v>2459</v>
      </c>
      <c r="AN235" s="1882"/>
      <c r="AO235" s="1882"/>
      <c r="AP235" s="1882"/>
      <c r="AQ235" s="1882"/>
      <c r="AR235" s="1882">
        <v>0</v>
      </c>
      <c r="AS235" s="1882"/>
      <c r="AT235" s="1882"/>
      <c r="AU235" s="1882"/>
      <c r="AV235" s="1882"/>
      <c r="AW235" s="1882">
        <v>24.56</v>
      </c>
      <c r="AX235" s="1882"/>
      <c r="AY235" s="1882"/>
      <c r="AZ235" s="1882"/>
      <c r="BA235" s="1882"/>
      <c r="BB235" s="1882"/>
      <c r="BC235" s="1882"/>
      <c r="BD235" s="1882"/>
      <c r="BE235" s="1882"/>
      <c r="BF235" s="1882"/>
      <c r="BG235" s="1882"/>
      <c r="BH235" s="1882">
        <v>0.5</v>
      </c>
      <c r="BI235" s="1882"/>
      <c r="BJ235" s="1882"/>
      <c r="BK235" s="1882"/>
      <c r="BL235" s="1882"/>
      <c r="BM235" s="1882"/>
      <c r="BN235" s="1882">
        <v>1</v>
      </c>
      <c r="BO235" s="1882" t="s">
        <v>8512</v>
      </c>
      <c r="BP235" s="520" t="s">
        <v>3504</v>
      </c>
      <c r="BQ235" s="693" t="s">
        <v>3504</v>
      </c>
      <c r="BR235" s="1882" t="s">
        <v>8513</v>
      </c>
      <c r="BS235" s="1882" t="s">
        <v>8513</v>
      </c>
      <c r="BT235" s="1882">
        <v>0</v>
      </c>
      <c r="BU235" s="1882" t="s">
        <v>8513</v>
      </c>
      <c r="BV235" s="1882">
        <v>0</v>
      </c>
      <c r="BW235" s="1882" t="s">
        <v>3504</v>
      </c>
      <c r="BX235" s="1882" t="s">
        <v>2451</v>
      </c>
      <c r="BY235" s="1882">
        <v>0</v>
      </c>
      <c r="BZ235" s="1882">
        <v>0</v>
      </c>
      <c r="CA235" s="1882">
        <v>0</v>
      </c>
      <c r="CB235" s="1882">
        <v>0</v>
      </c>
      <c r="CC235" s="1882" t="s">
        <v>3504</v>
      </c>
      <c r="CD235" s="1882" t="s">
        <v>2451</v>
      </c>
      <c r="CE235" s="1882">
        <v>0</v>
      </c>
      <c r="CF235" s="1882">
        <v>0</v>
      </c>
      <c r="CG235" s="1882">
        <v>0</v>
      </c>
      <c r="CH235" s="1882">
        <v>0</v>
      </c>
      <c r="CI235" s="1882" t="s">
        <v>3504</v>
      </c>
      <c r="CJ235" s="1882" t="s">
        <v>2451</v>
      </c>
      <c r="CK235" s="1882">
        <v>0</v>
      </c>
      <c r="CL235" s="1882">
        <v>0</v>
      </c>
      <c r="CM235" s="1882">
        <v>0</v>
      </c>
      <c r="CN235" s="1882">
        <v>0</v>
      </c>
      <c r="CP235" s="1882" t="s">
        <v>9889</v>
      </c>
    </row>
    <row r="236" spans="1:94">
      <c r="A236" s="1882" t="s">
        <v>8375</v>
      </c>
      <c r="B236" s="1882" t="s">
        <v>9890</v>
      </c>
      <c r="C236" s="1882" t="s">
        <v>8352</v>
      </c>
      <c r="D236" s="1882" t="s">
        <v>1627</v>
      </c>
      <c r="E236" s="1882" t="s">
        <v>8720</v>
      </c>
      <c r="F236" s="1882" t="s">
        <v>9826</v>
      </c>
      <c r="G236" s="1882">
        <v>11</v>
      </c>
      <c r="H236" s="1882" t="s">
        <v>9891</v>
      </c>
      <c r="I236" s="1882" t="s">
        <v>9892</v>
      </c>
      <c r="J236" s="1882" t="s">
        <v>8539</v>
      </c>
      <c r="K236" s="1882"/>
      <c r="L236" s="1882"/>
      <c r="M236" s="1882"/>
      <c r="N236" s="1882" t="s">
        <v>8760</v>
      </c>
      <c r="O236" s="1882" t="s">
        <v>764</v>
      </c>
      <c r="P236" s="1882" t="s">
        <v>9893</v>
      </c>
      <c r="Q236" s="520">
        <v>0</v>
      </c>
      <c r="R236" s="1882" t="s">
        <v>8511</v>
      </c>
      <c r="S236" s="1882">
        <v>7</v>
      </c>
      <c r="T236" s="1882">
        <v>8</v>
      </c>
      <c r="U236" s="1882">
        <v>6</v>
      </c>
      <c r="V236" s="1882">
        <v>4</v>
      </c>
      <c r="W236" s="1882">
        <v>2</v>
      </c>
      <c r="X236" s="1882">
        <v>0</v>
      </c>
      <c r="Y236" s="1882"/>
      <c r="Z236" s="1882"/>
      <c r="AA236" s="1882"/>
      <c r="AB236" s="1882"/>
      <c r="AC236" s="1882"/>
      <c r="AD236" s="1882"/>
      <c r="AE236" s="1882" t="s">
        <v>2459</v>
      </c>
      <c r="AF236" s="1882"/>
      <c r="AG236" s="1882"/>
      <c r="AH236" s="1882">
        <v>0</v>
      </c>
      <c r="AI236" s="1882"/>
      <c r="AJ236" s="1882"/>
      <c r="AK236" s="1882"/>
      <c r="AL236" s="1882"/>
      <c r="AM236" s="1882"/>
      <c r="AN236" s="1882"/>
      <c r="AO236" s="1882"/>
      <c r="AP236" s="1882"/>
      <c r="AQ236" s="1882"/>
      <c r="AR236" s="1882"/>
      <c r="AS236" s="1882"/>
      <c r="AT236" s="1882"/>
      <c r="AU236" s="1882"/>
      <c r="AV236" s="1882"/>
      <c r="AW236" s="1882"/>
      <c r="AX236" s="1882"/>
      <c r="AY236" s="1882"/>
      <c r="AZ236" s="1882"/>
      <c r="BA236" s="1882"/>
      <c r="BB236" s="1882"/>
      <c r="BC236" s="1882"/>
      <c r="BD236" s="1882"/>
      <c r="BE236" s="1882"/>
      <c r="BF236" s="1882"/>
      <c r="BG236" s="1882"/>
      <c r="BH236" s="1882"/>
      <c r="BI236" s="1882"/>
      <c r="BJ236" s="1882"/>
      <c r="BK236" s="1882"/>
      <c r="BL236" s="1882"/>
      <c r="BM236" s="1882"/>
      <c r="BN236" s="1882"/>
      <c r="BO236" s="1882"/>
      <c r="BP236" s="520">
        <v>12</v>
      </c>
      <c r="BQ236" s="693">
        <v>7</v>
      </c>
      <c r="BR236" s="1882" t="s">
        <v>2459</v>
      </c>
      <c r="BS236" s="1882" t="s">
        <v>8513</v>
      </c>
      <c r="BT236" s="1882">
        <v>0</v>
      </c>
      <c r="BU236" s="1882" t="s">
        <v>8513</v>
      </c>
      <c r="BV236" s="1882">
        <v>0</v>
      </c>
      <c r="BW236" s="1882">
        <v>3</v>
      </c>
      <c r="BX236" s="1882" t="s">
        <v>2459</v>
      </c>
      <c r="BY236" s="1882">
        <v>0</v>
      </c>
      <c r="BZ236" s="1882">
        <v>0</v>
      </c>
      <c r="CA236" s="1882">
        <v>0</v>
      </c>
      <c r="CB236" s="1882">
        <v>0</v>
      </c>
      <c r="CC236" s="1882">
        <v>4</v>
      </c>
      <c r="CD236" s="1882" t="s">
        <v>2459</v>
      </c>
      <c r="CE236" s="1882">
        <v>0</v>
      </c>
      <c r="CF236" s="1882">
        <v>0</v>
      </c>
      <c r="CG236" s="1882">
        <v>0</v>
      </c>
      <c r="CH236" s="1882">
        <v>0</v>
      </c>
      <c r="CI236" s="1882">
        <v>7</v>
      </c>
      <c r="CJ236" s="1882" t="s">
        <v>2460</v>
      </c>
      <c r="CK236" s="1882">
        <v>0</v>
      </c>
      <c r="CL236" s="1882">
        <v>0</v>
      </c>
      <c r="CM236" s="1882">
        <v>0</v>
      </c>
      <c r="CN236" s="1882">
        <v>0</v>
      </c>
      <c r="CP236" s="1882" t="s">
        <v>9894</v>
      </c>
    </row>
    <row r="237" spans="1:94">
      <c r="A237" s="1882" t="s">
        <v>8375</v>
      </c>
      <c r="B237" s="1882" t="s">
        <v>9895</v>
      </c>
      <c r="C237" s="1882" t="s">
        <v>8352</v>
      </c>
      <c r="D237" s="1882" t="s">
        <v>1627</v>
      </c>
      <c r="E237" s="1882" t="s">
        <v>8720</v>
      </c>
      <c r="F237" s="1882" t="s">
        <v>9831</v>
      </c>
      <c r="G237" s="1882">
        <v>12</v>
      </c>
      <c r="H237" s="1882" t="s">
        <v>9896</v>
      </c>
      <c r="I237" s="1882" t="s">
        <v>9897</v>
      </c>
      <c r="J237" s="1882" t="s">
        <v>8539</v>
      </c>
      <c r="K237" s="1882"/>
      <c r="L237" s="1882"/>
      <c r="M237" s="1882"/>
      <c r="N237" s="1882" t="s">
        <v>9592</v>
      </c>
      <c r="O237" s="1882" t="s">
        <v>732</v>
      </c>
      <c r="P237" s="1882" t="s">
        <v>9898</v>
      </c>
      <c r="Q237" s="520">
        <v>0</v>
      </c>
      <c r="R237" s="1882" t="s">
        <v>8549</v>
      </c>
      <c r="S237" s="1882" t="s">
        <v>3504</v>
      </c>
      <c r="T237" s="1882">
        <v>77</v>
      </c>
      <c r="U237" s="1882">
        <v>78</v>
      </c>
      <c r="V237" s="1882">
        <v>78</v>
      </c>
      <c r="W237" s="1882">
        <v>79</v>
      </c>
      <c r="X237" s="1882">
        <v>80</v>
      </c>
      <c r="Y237" s="1882"/>
      <c r="Z237" s="1882"/>
      <c r="AA237" s="1882"/>
      <c r="AB237" s="1882"/>
      <c r="AC237" s="1882"/>
      <c r="AD237" s="1882"/>
      <c r="AE237" s="1882"/>
      <c r="AF237" s="1882"/>
      <c r="AG237" s="1882"/>
      <c r="AH237" s="1882">
        <v>0</v>
      </c>
      <c r="AI237" s="1882"/>
      <c r="AJ237" s="1882"/>
      <c r="AK237" s="1882"/>
      <c r="AL237" s="1882"/>
      <c r="AM237" s="1882"/>
      <c r="AN237" s="1882"/>
      <c r="AO237" s="1882"/>
      <c r="AP237" s="1882"/>
      <c r="AQ237" s="1882"/>
      <c r="AR237" s="1882"/>
      <c r="AS237" s="1882"/>
      <c r="AT237" s="1882"/>
      <c r="AU237" s="1882"/>
      <c r="AV237" s="1882"/>
      <c r="AW237" s="1882"/>
      <c r="AX237" s="1882"/>
      <c r="AY237" s="1882"/>
      <c r="AZ237" s="1882"/>
      <c r="BA237" s="1882"/>
      <c r="BB237" s="1882"/>
      <c r="BC237" s="1882"/>
      <c r="BD237" s="1882"/>
      <c r="BE237" s="1882"/>
      <c r="BF237" s="1882"/>
      <c r="BG237" s="1882"/>
      <c r="BH237" s="1882"/>
      <c r="BI237" s="1882"/>
      <c r="BJ237" s="1882"/>
      <c r="BK237" s="1882"/>
      <c r="BL237" s="1882"/>
      <c r="BM237" s="1882"/>
      <c r="BN237" s="1882"/>
      <c r="BO237" s="1882"/>
      <c r="BP237" s="520" t="s">
        <v>3504</v>
      </c>
      <c r="BQ237" s="693">
        <v>77</v>
      </c>
      <c r="BR237" s="1882" t="s">
        <v>8513</v>
      </c>
      <c r="BS237" s="1882" t="s">
        <v>8513</v>
      </c>
      <c r="BT237" s="1882">
        <v>0</v>
      </c>
      <c r="BU237" s="1882" t="s">
        <v>8513</v>
      </c>
      <c r="BV237" s="1882">
        <v>0</v>
      </c>
      <c r="BW237" s="1882">
        <v>79</v>
      </c>
      <c r="BX237" s="1882" t="s">
        <v>2459</v>
      </c>
      <c r="BY237" s="1882">
        <v>0</v>
      </c>
      <c r="BZ237" s="1882">
        <v>0</v>
      </c>
      <c r="CA237" s="1882">
        <v>0</v>
      </c>
      <c r="CB237" s="1882">
        <v>0</v>
      </c>
      <c r="CC237" s="1882">
        <v>82</v>
      </c>
      <c r="CD237" s="1882" t="s">
        <v>2459</v>
      </c>
      <c r="CE237" s="1882">
        <v>0</v>
      </c>
      <c r="CF237" s="1882">
        <v>0</v>
      </c>
      <c r="CG237" s="1882">
        <v>0</v>
      </c>
      <c r="CH237" s="1882">
        <v>0</v>
      </c>
      <c r="CI237" s="1882">
        <v>83</v>
      </c>
      <c r="CJ237" s="1882" t="s">
        <v>2459</v>
      </c>
      <c r="CK237" s="1882">
        <v>0</v>
      </c>
      <c r="CL237" s="1882">
        <v>0</v>
      </c>
      <c r="CM237" s="1882">
        <v>0</v>
      </c>
      <c r="CN237" s="1882">
        <v>0</v>
      </c>
      <c r="CP237" s="1882" t="s">
        <v>9899</v>
      </c>
    </row>
    <row r="238" spans="1:94">
      <c r="A238" s="1882" t="s">
        <v>8375</v>
      </c>
      <c r="B238" s="1882" t="s">
        <v>9900</v>
      </c>
      <c r="C238" s="1882" t="s">
        <v>8352</v>
      </c>
      <c r="D238" s="1882" t="s">
        <v>1627</v>
      </c>
      <c r="E238" s="1882" t="s">
        <v>8720</v>
      </c>
      <c r="F238" s="1882" t="s">
        <v>9901</v>
      </c>
      <c r="G238" s="1882">
        <v>13</v>
      </c>
      <c r="H238" s="1882" t="s">
        <v>9902</v>
      </c>
      <c r="I238" s="1882" t="s">
        <v>9903</v>
      </c>
      <c r="J238" s="1882" t="s">
        <v>8519</v>
      </c>
      <c r="K238" s="1882" t="s">
        <v>8855</v>
      </c>
      <c r="L238" s="1882"/>
      <c r="M238" s="1882" t="s">
        <v>2460</v>
      </c>
      <c r="N238" s="1882" t="s">
        <v>8673</v>
      </c>
      <c r="O238" s="1882" t="s">
        <v>8797</v>
      </c>
      <c r="P238" s="1882" t="s">
        <v>9904</v>
      </c>
      <c r="Q238" s="520" t="s">
        <v>8512</v>
      </c>
      <c r="R238" s="1882"/>
      <c r="S238" s="1882" t="s">
        <v>3504</v>
      </c>
      <c r="T238" s="1882"/>
      <c r="U238" s="1882"/>
      <c r="V238" s="1882"/>
      <c r="W238" s="1882" t="s">
        <v>8999</v>
      </c>
      <c r="X238" s="1882" t="s">
        <v>9289</v>
      </c>
      <c r="Y238" s="1882"/>
      <c r="Z238" s="1882"/>
      <c r="AA238" s="1882"/>
      <c r="AB238" s="1882"/>
      <c r="AC238" s="1882"/>
      <c r="AD238" s="1882" t="s">
        <v>2459</v>
      </c>
      <c r="AE238" s="1882"/>
      <c r="AF238" s="1882" t="s">
        <v>2459</v>
      </c>
      <c r="AG238" s="1882"/>
      <c r="AH238" s="1882">
        <v>0</v>
      </c>
      <c r="AI238" s="1882"/>
      <c r="AJ238" s="1882"/>
      <c r="AK238" s="1882"/>
      <c r="AL238" s="1882"/>
      <c r="AM238" s="1882" t="s">
        <v>2459</v>
      </c>
      <c r="AN238" s="1882"/>
      <c r="AO238" s="1882"/>
      <c r="AP238" s="1882"/>
      <c r="AQ238" s="1882"/>
      <c r="AR238" s="1882" t="s">
        <v>9905</v>
      </c>
      <c r="AS238" s="1882"/>
      <c r="AT238" s="1882"/>
      <c r="AU238" s="1882"/>
      <c r="AV238" s="1882"/>
      <c r="AW238" s="1882" t="s">
        <v>9905</v>
      </c>
      <c r="AX238" s="1882"/>
      <c r="AY238" s="1882"/>
      <c r="AZ238" s="1882"/>
      <c r="BA238" s="1882"/>
      <c r="BB238" s="1882"/>
      <c r="BC238" s="1882"/>
      <c r="BD238" s="1882"/>
      <c r="BE238" s="1882"/>
      <c r="BF238" s="1882"/>
      <c r="BG238" s="1882"/>
      <c r="BH238" s="1882">
        <v>31.207999999999998</v>
      </c>
      <c r="BI238" s="1882">
        <v>0.95</v>
      </c>
      <c r="BJ238" s="1882"/>
      <c r="BK238" s="1882"/>
      <c r="BL238" s="1882"/>
      <c r="BM238" s="1882"/>
      <c r="BN238" s="1882">
        <v>1</v>
      </c>
      <c r="BO238" s="1882" t="s">
        <v>8512</v>
      </c>
      <c r="BP238" s="520" t="s">
        <v>3504</v>
      </c>
      <c r="BQ238" s="692" t="s">
        <v>3504</v>
      </c>
      <c r="BR238" s="1882" t="s">
        <v>8513</v>
      </c>
      <c r="BS238" s="1882" t="s">
        <v>8513</v>
      </c>
      <c r="BT238" s="1882">
        <v>0</v>
      </c>
      <c r="BU238" s="1882" t="s">
        <v>8513</v>
      </c>
      <c r="BV238" s="1882">
        <v>0</v>
      </c>
      <c r="BW238" s="1882" t="s">
        <v>3504</v>
      </c>
      <c r="BX238" s="1882" t="s">
        <v>2451</v>
      </c>
      <c r="BY238" s="1882">
        <v>0</v>
      </c>
      <c r="BZ238" s="1882">
        <v>0</v>
      </c>
      <c r="CA238" s="1882">
        <v>0</v>
      </c>
      <c r="CB238" s="1882">
        <v>0</v>
      </c>
      <c r="CC238" s="1882" t="s">
        <v>3504</v>
      </c>
      <c r="CD238" s="1882" t="s">
        <v>2451</v>
      </c>
      <c r="CE238" s="1882">
        <v>0</v>
      </c>
      <c r="CF238" s="1882">
        <v>0</v>
      </c>
      <c r="CG238" s="1882">
        <v>0</v>
      </c>
      <c r="CH238" s="1882">
        <v>0</v>
      </c>
      <c r="CI238" s="1882" t="s">
        <v>3504</v>
      </c>
      <c r="CJ238" s="1882" t="s">
        <v>2451</v>
      </c>
      <c r="CK238" s="1882">
        <v>0</v>
      </c>
      <c r="CL238" s="1882">
        <v>0</v>
      </c>
      <c r="CM238" s="1882">
        <v>0</v>
      </c>
      <c r="CN238" s="1882">
        <v>0</v>
      </c>
      <c r="CP238" s="1882" t="s">
        <v>9906</v>
      </c>
    </row>
    <row r="239" spans="1:94">
      <c r="A239" s="1882" t="s">
        <v>8375</v>
      </c>
      <c r="B239" s="1882" t="s">
        <v>9907</v>
      </c>
      <c r="C239" s="1882" t="s">
        <v>8352</v>
      </c>
      <c r="D239" s="1882" t="s">
        <v>1627</v>
      </c>
      <c r="E239" s="1882" t="s">
        <v>8720</v>
      </c>
      <c r="F239" s="1882" t="s">
        <v>9901</v>
      </c>
      <c r="G239" s="1882">
        <v>14</v>
      </c>
      <c r="H239" s="1882" t="s">
        <v>9908</v>
      </c>
      <c r="I239" s="1882" t="s">
        <v>9909</v>
      </c>
      <c r="J239" s="1882" t="s">
        <v>8519</v>
      </c>
      <c r="K239" s="1882" t="s">
        <v>8855</v>
      </c>
      <c r="L239" s="1882"/>
      <c r="M239" s="1882" t="s">
        <v>2460</v>
      </c>
      <c r="N239" s="1882" t="s">
        <v>8673</v>
      </c>
      <c r="O239" s="1882" t="s">
        <v>8797</v>
      </c>
      <c r="P239" s="1882" t="s">
        <v>9904</v>
      </c>
      <c r="Q239" s="520" t="s">
        <v>8512</v>
      </c>
      <c r="R239" s="1882"/>
      <c r="S239" s="1882" t="s">
        <v>3504</v>
      </c>
      <c r="T239" s="1882"/>
      <c r="U239" s="1882"/>
      <c r="V239" s="1882"/>
      <c r="W239" s="1882" t="s">
        <v>8999</v>
      </c>
      <c r="X239" s="1882" t="s">
        <v>9289</v>
      </c>
      <c r="Y239" s="1882"/>
      <c r="Z239" s="1882"/>
      <c r="AA239" s="1882"/>
      <c r="AB239" s="1882"/>
      <c r="AC239" s="1882"/>
      <c r="AD239" s="1882" t="s">
        <v>2459</v>
      </c>
      <c r="AE239" s="1882"/>
      <c r="AF239" s="1882" t="s">
        <v>2459</v>
      </c>
      <c r="AG239" s="1882"/>
      <c r="AH239" s="1882">
        <v>0</v>
      </c>
      <c r="AI239" s="1882"/>
      <c r="AJ239" s="1882"/>
      <c r="AK239" s="1882"/>
      <c r="AL239" s="1882"/>
      <c r="AM239" s="1882" t="s">
        <v>2459</v>
      </c>
      <c r="AN239" s="1882"/>
      <c r="AO239" s="1882"/>
      <c r="AP239" s="1882"/>
      <c r="AQ239" s="1882"/>
      <c r="AR239" s="1882" t="s">
        <v>9905</v>
      </c>
      <c r="AS239" s="1882"/>
      <c r="AT239" s="1882"/>
      <c r="AU239" s="1882"/>
      <c r="AV239" s="1882"/>
      <c r="AW239" s="1882" t="s">
        <v>9905</v>
      </c>
      <c r="AX239" s="1882"/>
      <c r="AY239" s="1882"/>
      <c r="AZ239" s="1882"/>
      <c r="BA239" s="1882"/>
      <c r="BB239" s="1882"/>
      <c r="BC239" s="1882"/>
      <c r="BD239" s="1882"/>
      <c r="BE239" s="1882"/>
      <c r="BF239" s="1882"/>
      <c r="BG239" s="1882"/>
      <c r="BH239" s="1882">
        <v>21.696000000000002</v>
      </c>
      <c r="BI239" s="1882">
        <v>0.9</v>
      </c>
      <c r="BJ239" s="1882"/>
      <c r="BK239" s="1882"/>
      <c r="BL239" s="1882"/>
      <c r="BM239" s="1882"/>
      <c r="BN239" s="1882">
        <v>1</v>
      </c>
      <c r="BO239" s="1882" t="s">
        <v>8512</v>
      </c>
      <c r="BP239" s="520" t="s">
        <v>3504</v>
      </c>
      <c r="BQ239" s="692" t="s">
        <v>3504</v>
      </c>
      <c r="BR239" s="1882" t="s">
        <v>8513</v>
      </c>
      <c r="BS239" s="1882" t="s">
        <v>8513</v>
      </c>
      <c r="BT239" s="1882">
        <v>0</v>
      </c>
      <c r="BU239" s="1882" t="s">
        <v>8513</v>
      </c>
      <c r="BV239" s="1882">
        <v>0</v>
      </c>
      <c r="BW239" s="1882" t="s">
        <v>3504</v>
      </c>
      <c r="BX239" s="1882" t="s">
        <v>2451</v>
      </c>
      <c r="BY239" s="1882">
        <v>0</v>
      </c>
      <c r="BZ239" s="1882">
        <v>0</v>
      </c>
      <c r="CA239" s="1882">
        <v>0</v>
      </c>
      <c r="CB239" s="1882">
        <v>0</v>
      </c>
      <c r="CC239" s="1882" t="s">
        <v>3504</v>
      </c>
      <c r="CD239" s="1882" t="s">
        <v>2451</v>
      </c>
      <c r="CE239" s="1882">
        <v>0</v>
      </c>
      <c r="CF239" s="1882">
        <v>0</v>
      </c>
      <c r="CG239" s="1882">
        <v>0</v>
      </c>
      <c r="CH239" s="1882">
        <v>0</v>
      </c>
      <c r="CI239" s="1882" t="s">
        <v>3504</v>
      </c>
      <c r="CJ239" s="1882" t="s">
        <v>2451</v>
      </c>
      <c r="CK239" s="1882">
        <v>0</v>
      </c>
      <c r="CL239" s="1882">
        <v>0</v>
      </c>
      <c r="CM239" s="1882">
        <v>0</v>
      </c>
      <c r="CN239" s="1882">
        <v>0</v>
      </c>
      <c r="CP239" s="1882" t="s">
        <v>9910</v>
      </c>
    </row>
    <row r="240" spans="1:94">
      <c r="A240" s="1882" t="s">
        <v>8375</v>
      </c>
      <c r="B240" s="1882" t="s">
        <v>9911</v>
      </c>
      <c r="C240" s="1882" t="s">
        <v>8352</v>
      </c>
      <c r="D240" s="1882" t="s">
        <v>1627</v>
      </c>
      <c r="E240" s="1882" t="s">
        <v>8720</v>
      </c>
      <c r="F240" s="1882" t="s">
        <v>9901</v>
      </c>
      <c r="G240" s="1882">
        <v>15</v>
      </c>
      <c r="H240" s="1882" t="s">
        <v>9912</v>
      </c>
      <c r="I240" s="1882" t="s">
        <v>9913</v>
      </c>
      <c r="J240" s="1882" t="s">
        <v>8519</v>
      </c>
      <c r="K240" s="1882" t="s">
        <v>8855</v>
      </c>
      <c r="L240" s="1882"/>
      <c r="M240" s="1882"/>
      <c r="N240" s="1882" t="s">
        <v>909</v>
      </c>
      <c r="O240" s="1882" t="s">
        <v>764</v>
      </c>
      <c r="P240" s="1882" t="s">
        <v>9914</v>
      </c>
      <c r="Q240" s="520">
        <v>0</v>
      </c>
      <c r="R240" s="1882" t="s">
        <v>8549</v>
      </c>
      <c r="S240" s="1882" t="s">
        <v>3504</v>
      </c>
      <c r="T240" s="1882"/>
      <c r="U240" s="1882"/>
      <c r="V240" s="1882"/>
      <c r="W240" s="1882"/>
      <c r="X240" s="1882">
        <v>6000</v>
      </c>
      <c r="Y240" s="1882"/>
      <c r="Z240" s="1882"/>
      <c r="AA240" s="1882"/>
      <c r="AB240" s="1882"/>
      <c r="AC240" s="1882"/>
      <c r="AD240" s="1882" t="s">
        <v>2459</v>
      </c>
      <c r="AE240" s="1882"/>
      <c r="AF240" s="1882"/>
      <c r="AG240" s="1882"/>
      <c r="AH240" s="1882">
        <v>0</v>
      </c>
      <c r="AI240" s="1882"/>
      <c r="AJ240" s="1882"/>
      <c r="AK240" s="1882"/>
      <c r="AL240" s="1882"/>
      <c r="AM240" s="1882" t="s">
        <v>2459</v>
      </c>
      <c r="AN240" s="1882"/>
      <c r="AO240" s="1882"/>
      <c r="AP240" s="1882"/>
      <c r="AQ240" s="1882"/>
      <c r="AR240" s="1882">
        <v>0</v>
      </c>
      <c r="AS240" s="1882"/>
      <c r="AT240" s="1882"/>
      <c r="AU240" s="1882"/>
      <c r="AV240" s="1882"/>
      <c r="AW240" s="1882">
        <v>6000</v>
      </c>
      <c r="AX240" s="1882"/>
      <c r="AY240" s="1882"/>
      <c r="AZ240" s="1882"/>
      <c r="BA240" s="1882"/>
      <c r="BB240" s="1882"/>
      <c r="BC240" s="1882"/>
      <c r="BD240" s="1882"/>
      <c r="BE240" s="1882"/>
      <c r="BF240" s="1882"/>
      <c r="BG240" s="1882"/>
      <c r="BH240" s="1882">
        <v>1.8890000000000001E-3</v>
      </c>
      <c r="BI240" s="1882"/>
      <c r="BJ240" s="1882"/>
      <c r="BK240" s="1882"/>
      <c r="BL240" s="1882"/>
      <c r="BM240" s="1882"/>
      <c r="BN240" s="1882">
        <v>1</v>
      </c>
      <c r="BO240" s="1882" t="s">
        <v>8512</v>
      </c>
      <c r="BP240" s="520" t="s">
        <v>3504</v>
      </c>
      <c r="BQ240" s="693" t="s">
        <v>3504</v>
      </c>
      <c r="BR240" s="1882" t="s">
        <v>8513</v>
      </c>
      <c r="BS240" s="1882" t="s">
        <v>8513</v>
      </c>
      <c r="BT240" s="1882">
        <v>0</v>
      </c>
      <c r="BU240" s="1882" t="s">
        <v>8513</v>
      </c>
      <c r="BV240" s="1882">
        <v>0</v>
      </c>
      <c r="BW240" s="1882" t="s">
        <v>3504</v>
      </c>
      <c r="BX240" s="1882" t="s">
        <v>2451</v>
      </c>
      <c r="BY240" s="1882">
        <v>0</v>
      </c>
      <c r="BZ240" s="1882">
        <v>0</v>
      </c>
      <c r="CA240" s="1882">
        <v>0</v>
      </c>
      <c r="CB240" s="1882">
        <v>0</v>
      </c>
      <c r="CC240" s="1882" t="s">
        <v>3504</v>
      </c>
      <c r="CD240" s="1882" t="s">
        <v>2451</v>
      </c>
      <c r="CE240" s="1882">
        <v>0</v>
      </c>
      <c r="CF240" s="1882">
        <v>0</v>
      </c>
      <c r="CG240" s="1882">
        <v>0</v>
      </c>
      <c r="CH240" s="1882">
        <v>0</v>
      </c>
      <c r="CI240" s="1882" t="s">
        <v>3504</v>
      </c>
      <c r="CJ240" s="1882" t="s">
        <v>2451</v>
      </c>
      <c r="CK240" s="1882">
        <v>0</v>
      </c>
      <c r="CL240" s="1882">
        <v>0</v>
      </c>
      <c r="CM240" s="1882">
        <v>0</v>
      </c>
      <c r="CN240" s="1882">
        <v>0</v>
      </c>
      <c r="CP240" s="1882" t="s">
        <v>9915</v>
      </c>
    </row>
    <row r="241" spans="1:94">
      <c r="A241" s="1882" t="s">
        <v>8375</v>
      </c>
      <c r="B241" s="1882" t="s">
        <v>9916</v>
      </c>
      <c r="C241" s="1882" t="s">
        <v>8352</v>
      </c>
      <c r="D241" s="1882" t="s">
        <v>8584</v>
      </c>
      <c r="E241" s="1882" t="s">
        <v>8585</v>
      </c>
      <c r="F241" s="1882" t="s">
        <v>9917</v>
      </c>
      <c r="G241" s="1882">
        <v>1</v>
      </c>
      <c r="H241" s="1882" t="s">
        <v>9918</v>
      </c>
      <c r="I241" s="1882" t="s">
        <v>9919</v>
      </c>
      <c r="J241" s="1882" t="s">
        <v>8539</v>
      </c>
      <c r="K241" s="1882"/>
      <c r="L241" s="1882"/>
      <c r="M241" s="1882"/>
      <c r="N241" s="1882" t="s">
        <v>8695</v>
      </c>
      <c r="O241" s="1882" t="s">
        <v>732</v>
      </c>
      <c r="P241" s="1882" t="s">
        <v>9920</v>
      </c>
      <c r="Q241" s="520">
        <v>0</v>
      </c>
      <c r="R241" s="1882" t="s">
        <v>8549</v>
      </c>
      <c r="S241" s="1882">
        <v>80</v>
      </c>
      <c r="T241" s="1882" t="s">
        <v>9921</v>
      </c>
      <c r="U241" s="1882" t="s">
        <v>9921</v>
      </c>
      <c r="V241" s="1882" t="s">
        <v>9921</v>
      </c>
      <c r="W241" s="1882" t="s">
        <v>9921</v>
      </c>
      <c r="X241" s="1882" t="s">
        <v>9921</v>
      </c>
      <c r="Y241" s="1882"/>
      <c r="Z241" s="1882"/>
      <c r="AA241" s="1882"/>
      <c r="AB241" s="1882"/>
      <c r="AC241" s="1882"/>
      <c r="AD241" s="1882"/>
      <c r="AE241" s="1882"/>
      <c r="AF241" s="1882"/>
      <c r="AG241" s="1882"/>
      <c r="AH241" s="1882">
        <v>0</v>
      </c>
      <c r="AI241" s="1882"/>
      <c r="AJ241" s="1882"/>
      <c r="AK241" s="1882"/>
      <c r="AL241" s="1882"/>
      <c r="AM241" s="1882"/>
      <c r="AN241" s="1882"/>
      <c r="AO241" s="1882"/>
      <c r="AP241" s="1882"/>
      <c r="AQ241" s="1882"/>
      <c r="AR241" s="1882"/>
      <c r="AS241" s="1882"/>
      <c r="AT241" s="1882"/>
      <c r="AU241" s="1882"/>
      <c r="AV241" s="1882"/>
      <c r="AW241" s="1882"/>
      <c r="AX241" s="1882"/>
      <c r="AY241" s="1882"/>
      <c r="AZ241" s="1882"/>
      <c r="BA241" s="1882"/>
      <c r="BB241" s="1882"/>
      <c r="BC241" s="1882"/>
      <c r="BD241" s="1882"/>
      <c r="BE241" s="1882"/>
      <c r="BF241" s="1882"/>
      <c r="BG241" s="1882"/>
      <c r="BH241" s="1882"/>
      <c r="BI241" s="1882"/>
      <c r="BJ241" s="1882"/>
      <c r="BK241" s="1882"/>
      <c r="BL241" s="1882"/>
      <c r="BM241" s="1882"/>
      <c r="BN241" s="1882"/>
      <c r="BO241" s="1882"/>
      <c r="BP241" s="520" t="s">
        <v>3504</v>
      </c>
      <c r="BQ241" s="692">
        <v>67</v>
      </c>
      <c r="BR241" s="1882" t="s">
        <v>2460</v>
      </c>
      <c r="BS241" s="1882" t="s">
        <v>8513</v>
      </c>
      <c r="BT241" s="1882">
        <v>0</v>
      </c>
      <c r="BU241" s="1882" t="s">
        <v>8513</v>
      </c>
      <c r="BV241" s="1882">
        <v>0</v>
      </c>
      <c r="BW241" s="1882">
        <v>67</v>
      </c>
      <c r="BX241" s="1882" t="s">
        <v>2460</v>
      </c>
      <c r="BY241" s="1882">
        <v>0</v>
      </c>
      <c r="BZ241" s="1882">
        <v>0</v>
      </c>
      <c r="CA241" s="1882">
        <v>0</v>
      </c>
      <c r="CB241" s="1882">
        <v>0</v>
      </c>
      <c r="CC241" s="1882">
        <v>67</v>
      </c>
      <c r="CD241" s="1882" t="s">
        <v>2460</v>
      </c>
      <c r="CE241" s="1882">
        <v>0</v>
      </c>
      <c r="CF241" s="1882">
        <v>0</v>
      </c>
      <c r="CG241" s="1882">
        <v>0</v>
      </c>
      <c r="CH241" s="1882">
        <v>0</v>
      </c>
      <c r="CI241" s="1882">
        <v>65</v>
      </c>
      <c r="CJ241" s="1882" t="s">
        <v>2460</v>
      </c>
      <c r="CK241" s="1882">
        <v>0</v>
      </c>
      <c r="CL241" s="1882">
        <v>0</v>
      </c>
      <c r="CM241" s="1882">
        <v>0</v>
      </c>
      <c r="CN241" s="1882">
        <v>0</v>
      </c>
      <c r="CP241" s="1882" t="s">
        <v>9922</v>
      </c>
    </row>
    <row r="242" spans="1:94">
      <c r="A242" s="1882" t="s">
        <v>8375</v>
      </c>
      <c r="B242" s="1882" t="s">
        <v>9923</v>
      </c>
      <c r="C242" s="1882" t="s">
        <v>8352</v>
      </c>
      <c r="D242" s="1882" t="s">
        <v>8584</v>
      </c>
      <c r="E242" s="1882" t="s">
        <v>8585</v>
      </c>
      <c r="F242" s="1882" t="s">
        <v>9917</v>
      </c>
      <c r="G242" s="1882">
        <v>2</v>
      </c>
      <c r="H242" s="1882" t="s">
        <v>9924</v>
      </c>
      <c r="I242" s="1882" t="s">
        <v>9925</v>
      </c>
      <c r="J242" s="1882" t="s">
        <v>8539</v>
      </c>
      <c r="K242" s="1882"/>
      <c r="L242" s="1882"/>
      <c r="M242" s="1882"/>
      <c r="N242" s="1882" t="s">
        <v>8695</v>
      </c>
      <c r="O242" s="1882" t="s">
        <v>732</v>
      </c>
      <c r="P242" s="1882" t="s">
        <v>9926</v>
      </c>
      <c r="Q242" s="520">
        <v>0</v>
      </c>
      <c r="R242" s="1882" t="s">
        <v>8549</v>
      </c>
      <c r="S242" s="1882" t="s">
        <v>3504</v>
      </c>
      <c r="T242" s="1882">
        <v>66</v>
      </c>
      <c r="U242" s="1882" t="s">
        <v>9921</v>
      </c>
      <c r="V242" s="1882" t="s">
        <v>9921</v>
      </c>
      <c r="W242" s="1882" t="s">
        <v>9921</v>
      </c>
      <c r="X242" s="1882" t="s">
        <v>9921</v>
      </c>
      <c r="Y242" s="1882"/>
      <c r="Z242" s="1882"/>
      <c r="AA242" s="1882"/>
      <c r="AB242" s="1882"/>
      <c r="AC242" s="1882"/>
      <c r="AD242" s="1882"/>
      <c r="AE242" s="1882"/>
      <c r="AF242" s="1882"/>
      <c r="AG242" s="1882"/>
      <c r="AH242" s="1882">
        <v>0</v>
      </c>
      <c r="AI242" s="1882"/>
      <c r="AJ242" s="1882"/>
      <c r="AK242" s="1882"/>
      <c r="AL242" s="1882"/>
      <c r="AM242" s="1882"/>
      <c r="AN242" s="1882"/>
      <c r="AO242" s="1882"/>
      <c r="AP242" s="1882"/>
      <c r="AQ242" s="1882"/>
      <c r="AR242" s="1882"/>
      <c r="AS242" s="1882"/>
      <c r="AT242" s="1882"/>
      <c r="AU242" s="1882"/>
      <c r="AV242" s="1882"/>
      <c r="AW242" s="1882"/>
      <c r="AX242" s="1882"/>
      <c r="AY242" s="1882"/>
      <c r="AZ242" s="1882"/>
      <c r="BA242" s="1882"/>
      <c r="BB242" s="1882"/>
      <c r="BC242" s="1882"/>
      <c r="BD242" s="1882"/>
      <c r="BE242" s="1882"/>
      <c r="BF242" s="1882"/>
      <c r="BG242" s="1882"/>
      <c r="BH242" s="1882"/>
      <c r="BI242" s="1882"/>
      <c r="BJ242" s="1882"/>
      <c r="BK242" s="1882"/>
      <c r="BL242" s="1882"/>
      <c r="BM242" s="1882"/>
      <c r="BN242" s="1882"/>
      <c r="BO242" s="1882"/>
      <c r="BP242" s="520" t="s">
        <v>3504</v>
      </c>
      <c r="BQ242" s="692">
        <v>66</v>
      </c>
      <c r="BR242" s="1882" t="s">
        <v>8513</v>
      </c>
      <c r="BS242" s="1882" t="s">
        <v>8513</v>
      </c>
      <c r="BT242" s="1882">
        <v>0</v>
      </c>
      <c r="BU242" s="1882" t="s">
        <v>8513</v>
      </c>
      <c r="BV242" s="1882">
        <v>0</v>
      </c>
      <c r="BW242" s="1882">
        <v>66.2</v>
      </c>
      <c r="BX242" s="1882" t="s">
        <v>2459</v>
      </c>
      <c r="BY242" s="1882">
        <v>0</v>
      </c>
      <c r="BZ242" s="1882">
        <v>0</v>
      </c>
      <c r="CA242" s="1882">
        <v>0</v>
      </c>
      <c r="CB242" s="1882">
        <v>0</v>
      </c>
      <c r="CC242" s="1882">
        <v>64</v>
      </c>
      <c r="CD242" s="1882" t="s">
        <v>2460</v>
      </c>
      <c r="CE242" s="1882">
        <v>0</v>
      </c>
      <c r="CF242" s="1882">
        <v>0</v>
      </c>
      <c r="CG242" s="1882">
        <v>0</v>
      </c>
      <c r="CH242" s="1882">
        <v>0</v>
      </c>
      <c r="CI242" s="1882">
        <v>64</v>
      </c>
      <c r="CJ242" s="1882" t="s">
        <v>2460</v>
      </c>
      <c r="CK242" s="1882">
        <v>0</v>
      </c>
      <c r="CL242" s="1882">
        <v>0</v>
      </c>
      <c r="CM242" s="1882">
        <v>0</v>
      </c>
      <c r="CN242" s="1882">
        <v>0</v>
      </c>
      <c r="CP242" s="1882" t="s">
        <v>9927</v>
      </c>
    </row>
    <row r="243" spans="1:94">
      <c r="A243" s="1882" t="s">
        <v>8375</v>
      </c>
      <c r="B243" s="1882" t="s">
        <v>9928</v>
      </c>
      <c r="C243" s="1882" t="s">
        <v>8352</v>
      </c>
      <c r="D243" s="1882" t="s">
        <v>8584</v>
      </c>
      <c r="E243" s="1882" t="s">
        <v>8585</v>
      </c>
      <c r="F243" s="1882" t="s">
        <v>9831</v>
      </c>
      <c r="G243" s="1882">
        <v>3</v>
      </c>
      <c r="H243" s="1882" t="s">
        <v>9929</v>
      </c>
      <c r="I243" s="1882" t="s">
        <v>9930</v>
      </c>
      <c r="J243" s="1882" t="s">
        <v>8539</v>
      </c>
      <c r="K243" s="1882"/>
      <c r="L243" s="1882"/>
      <c r="M243" s="1882"/>
      <c r="N243" s="1882" t="s">
        <v>9592</v>
      </c>
      <c r="O243" s="1882" t="s">
        <v>732</v>
      </c>
      <c r="P243" s="1882" t="s">
        <v>9931</v>
      </c>
      <c r="Q243" s="520">
        <v>0</v>
      </c>
      <c r="R243" s="1882" t="s">
        <v>8549</v>
      </c>
      <c r="S243" s="1882" t="s">
        <v>3504</v>
      </c>
      <c r="T243" s="1882">
        <v>57</v>
      </c>
      <c r="U243" s="1882" t="s">
        <v>9921</v>
      </c>
      <c r="V243" s="1882" t="s">
        <v>9921</v>
      </c>
      <c r="W243" s="1882" t="s">
        <v>9921</v>
      </c>
      <c r="X243" s="1882" t="s">
        <v>9921</v>
      </c>
      <c r="Y243" s="1882"/>
      <c r="Z243" s="1882"/>
      <c r="AA243" s="1882"/>
      <c r="AB243" s="1882"/>
      <c r="AC243" s="1882"/>
      <c r="AD243" s="1882"/>
      <c r="AE243" s="1882"/>
      <c r="AF243" s="1882"/>
      <c r="AG243" s="1882"/>
      <c r="AH243" s="1882">
        <v>0</v>
      </c>
      <c r="AI243" s="1882"/>
      <c r="AJ243" s="1882"/>
      <c r="AK243" s="1882"/>
      <c r="AL243" s="1882"/>
      <c r="AM243" s="1882"/>
      <c r="AN243" s="1882"/>
      <c r="AO243" s="1882"/>
      <c r="AP243" s="1882"/>
      <c r="AQ243" s="1882"/>
      <c r="AR243" s="1882"/>
      <c r="AS243" s="1882"/>
      <c r="AT243" s="1882"/>
      <c r="AU243" s="1882"/>
      <c r="AV243" s="1882"/>
      <c r="AW243" s="1882"/>
      <c r="AX243" s="1882"/>
      <c r="AY243" s="1882"/>
      <c r="AZ243" s="1882"/>
      <c r="BA243" s="1882"/>
      <c r="BB243" s="1882"/>
      <c r="BC243" s="1882"/>
      <c r="BD243" s="1882"/>
      <c r="BE243" s="1882"/>
      <c r="BF243" s="1882"/>
      <c r="BG243" s="1882"/>
      <c r="BH243" s="1882"/>
      <c r="BI243" s="1882"/>
      <c r="BJ243" s="1882"/>
      <c r="BK243" s="1882"/>
      <c r="BL243" s="1882"/>
      <c r="BM243" s="1882"/>
      <c r="BN243" s="1882"/>
      <c r="BO243" s="1882"/>
      <c r="BP243" s="520" t="s">
        <v>3504</v>
      </c>
      <c r="BQ243" s="692">
        <v>57</v>
      </c>
      <c r="BR243" s="1882" t="s">
        <v>8513</v>
      </c>
      <c r="BS243" s="1882" t="s">
        <v>8513</v>
      </c>
      <c r="BT243" s="1882">
        <v>0</v>
      </c>
      <c r="BU243" s="1882" t="s">
        <v>8513</v>
      </c>
      <c r="BV243" s="1882">
        <v>0</v>
      </c>
      <c r="BW243" s="1882">
        <v>55.7</v>
      </c>
      <c r="BX243" s="1882" t="s">
        <v>2460</v>
      </c>
      <c r="BY243" s="1882">
        <v>0</v>
      </c>
      <c r="BZ243" s="1882">
        <v>0</v>
      </c>
      <c r="CA243" s="1882">
        <v>0</v>
      </c>
      <c r="CB243" s="1882">
        <v>0</v>
      </c>
      <c r="CC243" s="1882">
        <v>55</v>
      </c>
      <c r="CD243" s="1882" t="s">
        <v>2460</v>
      </c>
      <c r="CE243" s="1882">
        <v>0</v>
      </c>
      <c r="CF243" s="1882">
        <v>0</v>
      </c>
      <c r="CG243" s="1882">
        <v>0</v>
      </c>
      <c r="CH243" s="1882">
        <v>0</v>
      </c>
      <c r="CI243" s="1882">
        <v>55</v>
      </c>
      <c r="CJ243" s="1882" t="s">
        <v>2460</v>
      </c>
      <c r="CK243" s="1882">
        <v>0</v>
      </c>
      <c r="CL243" s="1882">
        <v>0</v>
      </c>
      <c r="CM243" s="1882">
        <v>0</v>
      </c>
      <c r="CN243" s="1882">
        <v>0</v>
      </c>
      <c r="CP243" s="1882" t="s">
        <v>9932</v>
      </c>
    </row>
    <row r="244" spans="1:94">
      <c r="A244" s="1882" t="s">
        <v>8375</v>
      </c>
      <c r="B244" s="1882" t="s">
        <v>9933</v>
      </c>
      <c r="C244" s="1882" t="s">
        <v>8352</v>
      </c>
      <c r="D244" s="1882" t="s">
        <v>8584</v>
      </c>
      <c r="E244" s="1882" t="s">
        <v>8585</v>
      </c>
      <c r="F244" s="1882" t="s">
        <v>9831</v>
      </c>
      <c r="G244" s="1882">
        <v>4</v>
      </c>
      <c r="H244" s="1882" t="s">
        <v>9934</v>
      </c>
      <c r="I244" s="1882" t="s">
        <v>9935</v>
      </c>
      <c r="J244" s="1882" t="s">
        <v>8539</v>
      </c>
      <c r="K244" s="1882"/>
      <c r="L244" s="1882"/>
      <c r="M244" s="1882"/>
      <c r="N244" s="1882" t="s">
        <v>9592</v>
      </c>
      <c r="O244" s="1882" t="s">
        <v>732</v>
      </c>
      <c r="P244" s="1882" t="s">
        <v>9936</v>
      </c>
      <c r="Q244" s="520">
        <v>0</v>
      </c>
      <c r="R244" s="1882" t="s">
        <v>8549</v>
      </c>
      <c r="S244" s="1882" t="s">
        <v>3504</v>
      </c>
      <c r="T244" s="1882">
        <v>60</v>
      </c>
      <c r="U244" s="1882" t="s">
        <v>9921</v>
      </c>
      <c r="V244" s="1882" t="s">
        <v>9921</v>
      </c>
      <c r="W244" s="1882" t="s">
        <v>9921</v>
      </c>
      <c r="X244" s="1882" t="s">
        <v>9921</v>
      </c>
      <c r="Y244" s="1882"/>
      <c r="Z244" s="1882"/>
      <c r="AA244" s="1882"/>
      <c r="AB244" s="1882"/>
      <c r="AC244" s="1882"/>
      <c r="AD244" s="1882"/>
      <c r="AE244" s="1882"/>
      <c r="AF244" s="1882"/>
      <c r="AG244" s="1882"/>
      <c r="AH244" s="1882">
        <v>0</v>
      </c>
      <c r="AI244" s="1882"/>
      <c r="AJ244" s="1882"/>
      <c r="AK244" s="1882"/>
      <c r="AL244" s="1882"/>
      <c r="AM244" s="1882"/>
      <c r="AN244" s="1882"/>
      <c r="AO244" s="1882"/>
      <c r="AP244" s="1882"/>
      <c r="AQ244" s="1882"/>
      <c r="AR244" s="1882"/>
      <c r="AS244" s="1882"/>
      <c r="AT244" s="1882"/>
      <c r="AU244" s="1882"/>
      <c r="AV244" s="1882"/>
      <c r="AW244" s="1882"/>
      <c r="AX244" s="1882"/>
      <c r="AY244" s="1882"/>
      <c r="AZ244" s="1882"/>
      <c r="BA244" s="1882"/>
      <c r="BB244" s="1882"/>
      <c r="BC244" s="1882"/>
      <c r="BD244" s="1882"/>
      <c r="BE244" s="1882"/>
      <c r="BF244" s="1882"/>
      <c r="BG244" s="1882"/>
      <c r="BH244" s="1882"/>
      <c r="BI244" s="1882"/>
      <c r="BJ244" s="1882"/>
      <c r="BK244" s="1882"/>
      <c r="BL244" s="1882"/>
      <c r="BM244" s="1882"/>
      <c r="BN244" s="1882"/>
      <c r="BO244" s="1882"/>
      <c r="BP244" s="520" t="s">
        <v>3504</v>
      </c>
      <c r="BQ244" s="692">
        <v>60</v>
      </c>
      <c r="BR244" s="1882" t="s">
        <v>8513</v>
      </c>
      <c r="BS244" s="1882" t="s">
        <v>8513</v>
      </c>
      <c r="BT244" s="1882">
        <v>0</v>
      </c>
      <c r="BU244" s="1882" t="s">
        <v>8513</v>
      </c>
      <c r="BV244" s="1882">
        <v>0</v>
      </c>
      <c r="BW244" s="1882">
        <v>56.5</v>
      </c>
      <c r="BX244" s="1882" t="s">
        <v>2460</v>
      </c>
      <c r="BY244" s="1882">
        <v>0</v>
      </c>
      <c r="BZ244" s="1882">
        <v>0</v>
      </c>
      <c r="CA244" s="1882">
        <v>0</v>
      </c>
      <c r="CB244" s="1882">
        <v>0</v>
      </c>
      <c r="CC244" s="1882">
        <v>55.6</v>
      </c>
      <c r="CD244" s="1882" t="s">
        <v>2460</v>
      </c>
      <c r="CE244" s="1882">
        <v>0</v>
      </c>
      <c r="CF244" s="1882">
        <v>0</v>
      </c>
      <c r="CG244" s="1882">
        <v>0</v>
      </c>
      <c r="CH244" s="1882">
        <v>0</v>
      </c>
      <c r="CI244" s="1882">
        <v>59</v>
      </c>
      <c r="CJ244" s="1882" t="s">
        <v>2459</v>
      </c>
      <c r="CK244" s="1882">
        <v>0</v>
      </c>
      <c r="CL244" s="1882">
        <v>0</v>
      </c>
      <c r="CM244" s="1882">
        <v>0</v>
      </c>
      <c r="CN244" s="1882">
        <v>0</v>
      </c>
      <c r="CP244" s="1882" t="s">
        <v>9937</v>
      </c>
    </row>
    <row r="245" spans="1:94">
      <c r="A245" s="1882" t="s">
        <v>8375</v>
      </c>
      <c r="B245" s="1882" t="s">
        <v>9938</v>
      </c>
      <c r="C245" s="1882" t="s">
        <v>8352</v>
      </c>
      <c r="D245" s="1882" t="s">
        <v>8584</v>
      </c>
      <c r="E245" s="1882" t="s">
        <v>8585</v>
      </c>
      <c r="F245" s="1882" t="s">
        <v>9831</v>
      </c>
      <c r="G245" s="1882">
        <v>5</v>
      </c>
      <c r="H245" s="1882" t="s">
        <v>9939</v>
      </c>
      <c r="I245" s="1882" t="s">
        <v>9940</v>
      </c>
      <c r="J245" s="1882" t="s">
        <v>8539</v>
      </c>
      <c r="K245" s="1882"/>
      <c r="L245" s="1882"/>
      <c r="M245" s="1882"/>
      <c r="N245" s="1882" t="s">
        <v>8599</v>
      </c>
      <c r="O245" s="1882" t="s">
        <v>764</v>
      </c>
      <c r="P245" s="1882" t="s">
        <v>9941</v>
      </c>
      <c r="Q245" s="520">
        <v>0</v>
      </c>
      <c r="R245" s="1882" t="s">
        <v>8511</v>
      </c>
      <c r="S245" s="1882">
        <v>49000</v>
      </c>
      <c r="T245" s="1882" t="s">
        <v>9942</v>
      </c>
      <c r="U245" s="1882" t="s">
        <v>9942</v>
      </c>
      <c r="V245" s="1882" t="s">
        <v>9942</v>
      </c>
      <c r="W245" s="1882" t="s">
        <v>9942</v>
      </c>
      <c r="X245" s="1882">
        <v>25000</v>
      </c>
      <c r="Y245" s="1882"/>
      <c r="Z245" s="1882"/>
      <c r="AA245" s="1882"/>
      <c r="AB245" s="1882"/>
      <c r="AC245" s="1882"/>
      <c r="AD245" s="1882"/>
      <c r="AE245" s="1882"/>
      <c r="AF245" s="1882"/>
      <c r="AG245" s="1882"/>
      <c r="AH245" s="1882">
        <v>0</v>
      </c>
      <c r="AI245" s="1882"/>
      <c r="AJ245" s="1882"/>
      <c r="AK245" s="1882"/>
      <c r="AL245" s="1882"/>
      <c r="AM245" s="1882"/>
      <c r="AN245" s="1882"/>
      <c r="AO245" s="1882"/>
      <c r="AP245" s="1882"/>
      <c r="AQ245" s="1882"/>
      <c r="AR245" s="1882"/>
      <c r="AS245" s="1882"/>
      <c r="AT245" s="1882"/>
      <c r="AU245" s="1882"/>
      <c r="AV245" s="1882"/>
      <c r="AW245" s="1882"/>
      <c r="AX245" s="1882"/>
      <c r="AY245" s="1882"/>
      <c r="AZ245" s="1882"/>
      <c r="BA245" s="1882"/>
      <c r="BB245" s="1882"/>
      <c r="BC245" s="1882"/>
      <c r="BD245" s="1882"/>
      <c r="BE245" s="1882"/>
      <c r="BF245" s="1882"/>
      <c r="BG245" s="1882"/>
      <c r="BH245" s="1882"/>
      <c r="BI245" s="1882"/>
      <c r="BJ245" s="1882"/>
      <c r="BK245" s="1882"/>
      <c r="BL245" s="1882"/>
      <c r="BM245" s="1882"/>
      <c r="BN245" s="1882"/>
      <c r="BO245" s="1882"/>
      <c r="BP245" s="520">
        <v>29326</v>
      </c>
      <c r="BQ245" s="693">
        <v>62726</v>
      </c>
      <c r="BR245" s="1882" t="s">
        <v>2460</v>
      </c>
      <c r="BS245" s="1882" t="s">
        <v>8513</v>
      </c>
      <c r="BT245" s="1882">
        <v>0</v>
      </c>
      <c r="BU245" s="1882" t="s">
        <v>8513</v>
      </c>
      <c r="BV245" s="1882">
        <v>0</v>
      </c>
      <c r="BW245" s="1882">
        <v>145962</v>
      </c>
      <c r="BX245" s="1882" t="s">
        <v>2460</v>
      </c>
      <c r="BY245" s="1882">
        <v>0</v>
      </c>
      <c r="BZ245" s="1882">
        <v>0</v>
      </c>
      <c r="CA245" s="1882">
        <v>0</v>
      </c>
      <c r="CB245" s="1882">
        <v>0</v>
      </c>
      <c r="CC245" s="1882">
        <v>181361</v>
      </c>
      <c r="CD245" s="1882" t="s">
        <v>2460</v>
      </c>
      <c r="CE245" s="1882">
        <v>0</v>
      </c>
      <c r="CF245" s="1882">
        <v>0</v>
      </c>
      <c r="CG245" s="1882">
        <v>0</v>
      </c>
      <c r="CH245" s="1882">
        <v>0</v>
      </c>
      <c r="CI245" s="1882">
        <v>131726</v>
      </c>
      <c r="CJ245" s="1882" t="s">
        <v>2460</v>
      </c>
      <c r="CK245" s="1882">
        <v>0</v>
      </c>
      <c r="CL245" s="1882">
        <v>0</v>
      </c>
      <c r="CM245" s="1882">
        <v>0</v>
      </c>
      <c r="CN245" s="1882">
        <v>0</v>
      </c>
      <c r="CP245" s="1882" t="s">
        <v>9943</v>
      </c>
    </row>
    <row r="246" spans="1:94">
      <c r="A246" s="1882" t="s">
        <v>8375</v>
      </c>
      <c r="B246" s="1882" t="s">
        <v>9944</v>
      </c>
      <c r="C246" s="1882" t="s">
        <v>8352</v>
      </c>
      <c r="D246" s="1882" t="s">
        <v>8584</v>
      </c>
      <c r="E246" s="1882" t="s">
        <v>8585</v>
      </c>
      <c r="F246" s="1882" t="s">
        <v>8941</v>
      </c>
      <c r="G246" s="1882">
        <v>6</v>
      </c>
      <c r="H246" s="1882" t="s">
        <v>9945</v>
      </c>
      <c r="I246" s="1882" t="s">
        <v>9946</v>
      </c>
      <c r="J246" s="1882" t="s">
        <v>8539</v>
      </c>
      <c r="K246" s="1882"/>
      <c r="L246" s="1882"/>
      <c r="M246" s="1882"/>
      <c r="N246" s="1882" t="s">
        <v>8599</v>
      </c>
      <c r="O246" s="1882" t="s">
        <v>764</v>
      </c>
      <c r="P246" s="1882" t="s">
        <v>9947</v>
      </c>
      <c r="Q246" s="520">
        <v>0</v>
      </c>
      <c r="R246" s="1882" t="s">
        <v>8549</v>
      </c>
      <c r="S246" s="1882">
        <v>105100</v>
      </c>
      <c r="T246" s="1882">
        <v>129500</v>
      </c>
      <c r="U246" s="1882">
        <v>149900</v>
      </c>
      <c r="V246" s="1882">
        <v>172300</v>
      </c>
      <c r="W246" s="1882">
        <v>194700</v>
      </c>
      <c r="X246" s="1882">
        <v>217100</v>
      </c>
      <c r="Y246" s="1882"/>
      <c r="Z246" s="1882"/>
      <c r="AA246" s="1882"/>
      <c r="AB246" s="1882"/>
      <c r="AC246" s="1882"/>
      <c r="AD246" s="1882"/>
      <c r="AE246" s="1882"/>
      <c r="AF246" s="1882"/>
      <c r="AG246" s="1882"/>
      <c r="AH246" s="1882">
        <v>0</v>
      </c>
      <c r="AI246" s="1882"/>
      <c r="AJ246" s="1882"/>
      <c r="AK246" s="1882"/>
      <c r="AL246" s="1882"/>
      <c r="AM246" s="1882"/>
      <c r="AN246" s="1882"/>
      <c r="AO246" s="1882"/>
      <c r="AP246" s="1882"/>
      <c r="AQ246" s="1882"/>
      <c r="AR246" s="1882"/>
      <c r="AS246" s="1882"/>
      <c r="AT246" s="1882"/>
      <c r="AU246" s="1882"/>
      <c r="AV246" s="1882"/>
      <c r="AW246" s="1882"/>
      <c r="AX246" s="1882"/>
      <c r="AY246" s="1882"/>
      <c r="AZ246" s="1882"/>
      <c r="BA246" s="1882"/>
      <c r="BB246" s="1882"/>
      <c r="BC246" s="1882"/>
      <c r="BD246" s="1882"/>
      <c r="BE246" s="1882"/>
      <c r="BF246" s="1882"/>
      <c r="BG246" s="1882"/>
      <c r="BH246" s="1882"/>
      <c r="BI246" s="1882"/>
      <c r="BJ246" s="1882"/>
      <c r="BK246" s="1882"/>
      <c r="BL246" s="1882"/>
      <c r="BM246" s="1882"/>
      <c r="BN246" s="1882"/>
      <c r="BO246" s="1882"/>
      <c r="BP246" s="520">
        <v>113210</v>
      </c>
      <c r="BQ246" s="693">
        <v>142040</v>
      </c>
      <c r="BR246" s="1882" t="s">
        <v>2459</v>
      </c>
      <c r="BS246" s="1882" t="s">
        <v>8513</v>
      </c>
      <c r="BT246" s="1882">
        <v>0</v>
      </c>
      <c r="BU246" s="1882" t="s">
        <v>8513</v>
      </c>
      <c r="BV246" s="1882">
        <v>0</v>
      </c>
      <c r="BW246" s="1882">
        <v>194726</v>
      </c>
      <c r="BX246" s="1882" t="s">
        <v>2459</v>
      </c>
      <c r="BY246" s="1882">
        <v>0</v>
      </c>
      <c r="BZ246" s="1882">
        <v>0</v>
      </c>
      <c r="CA246" s="1882">
        <v>0</v>
      </c>
      <c r="CB246" s="1882">
        <v>0</v>
      </c>
      <c r="CC246" s="1882">
        <v>229843</v>
      </c>
      <c r="CD246" s="1882" t="s">
        <v>2459</v>
      </c>
      <c r="CE246" s="1882">
        <v>0</v>
      </c>
      <c r="CF246" s="1882">
        <v>0</v>
      </c>
      <c r="CG246" s="1882">
        <v>0</v>
      </c>
      <c r="CH246" s="1882">
        <v>0</v>
      </c>
      <c r="CI246" s="1882">
        <v>269926</v>
      </c>
      <c r="CJ246" s="1882" t="s">
        <v>2459</v>
      </c>
      <c r="CK246" s="1882">
        <v>0</v>
      </c>
      <c r="CL246" s="1882">
        <v>0</v>
      </c>
      <c r="CM246" s="1882">
        <v>0</v>
      </c>
      <c r="CN246" s="1882">
        <v>0</v>
      </c>
      <c r="CP246" s="1882" t="s">
        <v>9948</v>
      </c>
    </row>
    <row r="247" spans="1:94">
      <c r="A247" s="1882" t="s">
        <v>8375</v>
      </c>
      <c r="B247" s="1882" t="s">
        <v>9949</v>
      </c>
      <c r="C247" s="1882" t="s">
        <v>8352</v>
      </c>
      <c r="D247" s="1882" t="s">
        <v>8584</v>
      </c>
      <c r="E247" s="1882" t="s">
        <v>8585</v>
      </c>
      <c r="F247" s="1882" t="s">
        <v>8941</v>
      </c>
      <c r="G247" s="1882">
        <v>7</v>
      </c>
      <c r="H247" s="1882" t="s">
        <v>9950</v>
      </c>
      <c r="I247" s="1882" t="s">
        <v>9951</v>
      </c>
      <c r="J247" s="1882" t="s">
        <v>8539</v>
      </c>
      <c r="K247" s="1882"/>
      <c r="L247" s="1882"/>
      <c r="M247" s="1882"/>
      <c r="N247" s="1882" t="s">
        <v>8599</v>
      </c>
      <c r="O247" s="1882" t="s">
        <v>732</v>
      </c>
      <c r="P247" s="1882" t="s">
        <v>9952</v>
      </c>
      <c r="Q247" s="520">
        <v>0</v>
      </c>
      <c r="R247" s="1882" t="s">
        <v>8549</v>
      </c>
      <c r="S247" s="1882" t="s">
        <v>3504</v>
      </c>
      <c r="T247" s="1882">
        <v>61</v>
      </c>
      <c r="U247" s="1882" t="s">
        <v>9921</v>
      </c>
      <c r="V247" s="1882" t="s">
        <v>9921</v>
      </c>
      <c r="W247" s="1882" t="s">
        <v>9921</v>
      </c>
      <c r="X247" s="1882" t="s">
        <v>9921</v>
      </c>
      <c r="Y247" s="1882"/>
      <c r="Z247" s="1882"/>
      <c r="AA247" s="1882"/>
      <c r="AB247" s="1882"/>
      <c r="AC247" s="1882"/>
      <c r="AD247" s="1882"/>
      <c r="AE247" s="1882"/>
      <c r="AF247" s="1882"/>
      <c r="AG247" s="1882"/>
      <c r="AH247" s="1882">
        <v>0</v>
      </c>
      <c r="AI247" s="1882"/>
      <c r="AJ247" s="1882"/>
      <c r="AK247" s="1882"/>
      <c r="AL247" s="1882"/>
      <c r="AM247" s="1882"/>
      <c r="AN247" s="1882"/>
      <c r="AO247" s="1882"/>
      <c r="AP247" s="1882"/>
      <c r="AQ247" s="1882"/>
      <c r="AR247" s="1882"/>
      <c r="AS247" s="1882"/>
      <c r="AT247" s="1882"/>
      <c r="AU247" s="1882"/>
      <c r="AV247" s="1882"/>
      <c r="AW247" s="1882"/>
      <c r="AX247" s="1882"/>
      <c r="AY247" s="1882"/>
      <c r="AZ247" s="1882"/>
      <c r="BA247" s="1882"/>
      <c r="BB247" s="1882"/>
      <c r="BC247" s="1882"/>
      <c r="BD247" s="1882"/>
      <c r="BE247" s="1882"/>
      <c r="BF247" s="1882"/>
      <c r="BG247" s="1882"/>
      <c r="BH247" s="1882"/>
      <c r="BI247" s="1882"/>
      <c r="BJ247" s="1882"/>
      <c r="BK247" s="1882"/>
      <c r="BL247" s="1882"/>
      <c r="BM247" s="1882"/>
      <c r="BN247" s="1882"/>
      <c r="BO247" s="1882"/>
      <c r="BP247" s="520" t="s">
        <v>3504</v>
      </c>
      <c r="BQ247" s="692">
        <v>61</v>
      </c>
      <c r="BR247" s="1882" t="s">
        <v>8513</v>
      </c>
      <c r="BS247" s="1882" t="s">
        <v>8513</v>
      </c>
      <c r="BT247" s="1882">
        <v>0</v>
      </c>
      <c r="BU247" s="1882" t="s">
        <v>8513</v>
      </c>
      <c r="BV247" s="1882">
        <v>0</v>
      </c>
      <c r="BW247" s="1882">
        <v>57.3</v>
      </c>
      <c r="BX247" s="1882" t="s">
        <v>2460</v>
      </c>
      <c r="BY247" s="1882">
        <v>0</v>
      </c>
      <c r="BZ247" s="1882">
        <v>0</v>
      </c>
      <c r="CA247" s="1882">
        <v>0</v>
      </c>
      <c r="CB247" s="1882">
        <v>0</v>
      </c>
      <c r="CC247" s="1882">
        <v>55.1</v>
      </c>
      <c r="CD247" s="1882" t="s">
        <v>2460</v>
      </c>
      <c r="CE247" s="1882">
        <v>0</v>
      </c>
      <c r="CF247" s="1882">
        <v>0</v>
      </c>
      <c r="CG247" s="1882">
        <v>0</v>
      </c>
      <c r="CH247" s="1882">
        <v>0</v>
      </c>
      <c r="CI247" s="1882">
        <v>60</v>
      </c>
      <c r="CJ247" s="1882" t="s">
        <v>2459</v>
      </c>
      <c r="CK247" s="1882">
        <v>0</v>
      </c>
      <c r="CL247" s="1882">
        <v>0</v>
      </c>
      <c r="CM247" s="1882">
        <v>0</v>
      </c>
      <c r="CN247" s="1882">
        <v>0</v>
      </c>
      <c r="CP247" s="1882" t="s">
        <v>9953</v>
      </c>
    </row>
    <row r="248" spans="1:94">
      <c r="A248" s="1882" t="s">
        <v>8375</v>
      </c>
      <c r="B248" s="1882" t="s">
        <v>9954</v>
      </c>
      <c r="C248" s="1882" t="s">
        <v>8352</v>
      </c>
      <c r="D248" s="1882" t="s">
        <v>8584</v>
      </c>
      <c r="E248" s="1882" t="s">
        <v>8585</v>
      </c>
      <c r="F248" s="1882" t="s">
        <v>8941</v>
      </c>
      <c r="G248" s="1882">
        <v>8</v>
      </c>
      <c r="H248" s="1882" t="s">
        <v>9955</v>
      </c>
      <c r="I248" s="1882" t="s">
        <v>9956</v>
      </c>
      <c r="J248" s="1882" t="s">
        <v>8508</v>
      </c>
      <c r="K248" s="1882" t="s">
        <v>8509</v>
      </c>
      <c r="L248" s="1882"/>
      <c r="M248" s="1882" t="s">
        <v>2460</v>
      </c>
      <c r="N248" s="1882" t="s">
        <v>8590</v>
      </c>
      <c r="O248" s="1882" t="s">
        <v>8591</v>
      </c>
      <c r="P248" s="1882" t="s">
        <v>8592</v>
      </c>
      <c r="Q248" s="520">
        <v>0</v>
      </c>
      <c r="R248" s="1882" t="s">
        <v>8549</v>
      </c>
      <c r="S248" s="1882">
        <v>72</v>
      </c>
      <c r="T248" s="1882" t="s">
        <v>8593</v>
      </c>
      <c r="U248" s="1882" t="s">
        <v>8593</v>
      </c>
      <c r="V248" s="1882" t="s">
        <v>8593</v>
      </c>
      <c r="W248" s="1882" t="s">
        <v>8593</v>
      </c>
      <c r="X248" s="1882" t="s">
        <v>8593</v>
      </c>
      <c r="Y248" s="1882"/>
      <c r="Z248" s="1882"/>
      <c r="AA248" s="1882"/>
      <c r="AB248" s="1882"/>
      <c r="AC248" s="1882"/>
      <c r="AD248" s="1882"/>
      <c r="AE248" s="1882"/>
      <c r="AF248" s="1882"/>
      <c r="AG248" s="1882"/>
      <c r="AH248" s="1882">
        <v>0</v>
      </c>
      <c r="AI248" s="1882" t="s">
        <v>2459</v>
      </c>
      <c r="AJ248" s="1882" t="s">
        <v>2459</v>
      </c>
      <c r="AK248" s="1882" t="s">
        <v>2459</v>
      </c>
      <c r="AL248" s="1882" t="s">
        <v>2459</v>
      </c>
      <c r="AM248" s="1882" t="s">
        <v>2459</v>
      </c>
      <c r="AN248" s="1882" t="s">
        <v>8593</v>
      </c>
      <c r="AO248" s="1882" t="s">
        <v>8593</v>
      </c>
      <c r="AP248" s="1882" t="s">
        <v>8593</v>
      </c>
      <c r="AQ248" s="1882" t="s">
        <v>8593</v>
      </c>
      <c r="AR248" s="1882" t="s">
        <v>8593</v>
      </c>
      <c r="AS248" s="1882" t="s">
        <v>8593</v>
      </c>
      <c r="AT248" s="1882" t="s">
        <v>8593</v>
      </c>
      <c r="AU248" s="1882" t="s">
        <v>8593</v>
      </c>
      <c r="AV248" s="1882" t="s">
        <v>8593</v>
      </c>
      <c r="AW248" s="1882" t="s">
        <v>8593</v>
      </c>
      <c r="AX248" s="1882" t="s">
        <v>8593</v>
      </c>
      <c r="AY248" s="1882" t="s">
        <v>8593</v>
      </c>
      <c r="AZ248" s="1882" t="s">
        <v>8593</v>
      </c>
      <c r="BA248" s="1882" t="s">
        <v>8593</v>
      </c>
      <c r="BB248" s="1882" t="s">
        <v>8593</v>
      </c>
      <c r="BC248" s="1882" t="s">
        <v>8593</v>
      </c>
      <c r="BD248" s="1882" t="s">
        <v>8593</v>
      </c>
      <c r="BE248" s="1882" t="s">
        <v>8593</v>
      </c>
      <c r="BF248" s="1882" t="s">
        <v>8593</v>
      </c>
      <c r="BG248" s="1882" t="s">
        <v>8593</v>
      </c>
      <c r="BH248" s="1882" t="s">
        <v>8593</v>
      </c>
      <c r="BI248" s="1882"/>
      <c r="BJ248" s="1882"/>
      <c r="BK248" s="1882"/>
      <c r="BL248" s="1882" t="s">
        <v>8593</v>
      </c>
      <c r="BM248" s="1882"/>
      <c r="BN248" s="1882">
        <v>1</v>
      </c>
      <c r="BO248" s="1882" t="s">
        <v>8512</v>
      </c>
      <c r="BP248" s="520">
        <v>72</v>
      </c>
      <c r="BQ248" s="705">
        <v>73</v>
      </c>
      <c r="BR248" s="1882" t="s">
        <v>8513</v>
      </c>
      <c r="BS248" s="1882" t="s">
        <v>8513</v>
      </c>
      <c r="BT248" s="1882">
        <v>0</v>
      </c>
      <c r="BU248" s="1882" t="s">
        <v>8513</v>
      </c>
      <c r="BV248" s="1882">
        <v>0</v>
      </c>
      <c r="BW248" s="1882">
        <v>78.13</v>
      </c>
      <c r="BX248" s="1882" t="s">
        <v>2451</v>
      </c>
      <c r="BY248" s="1882">
        <v>0</v>
      </c>
      <c r="BZ248" s="1882">
        <v>0</v>
      </c>
      <c r="CA248" s="1882">
        <v>0</v>
      </c>
      <c r="CB248" s="1882">
        <v>0</v>
      </c>
      <c r="CC248" s="1882">
        <v>79.33</v>
      </c>
      <c r="CD248" s="1882" t="s">
        <v>2451</v>
      </c>
      <c r="CE248" s="1882">
        <v>0</v>
      </c>
      <c r="CF248" s="1882">
        <v>0</v>
      </c>
      <c r="CG248" s="1882">
        <v>0</v>
      </c>
      <c r="CH248" s="1882">
        <v>0</v>
      </c>
      <c r="CI248" s="1882">
        <v>80</v>
      </c>
      <c r="CJ248" s="1882" t="s">
        <v>2451</v>
      </c>
      <c r="CK248" s="1882">
        <v>0</v>
      </c>
      <c r="CL248" s="1882">
        <v>0</v>
      </c>
      <c r="CM248" s="1882">
        <v>0</v>
      </c>
      <c r="CN248" s="1882">
        <v>0</v>
      </c>
      <c r="CP248" s="1882" t="s">
        <v>9957</v>
      </c>
    </row>
    <row r="249" spans="1:94">
      <c r="A249" s="1882" t="s">
        <v>9958</v>
      </c>
      <c r="B249" s="1882" t="s">
        <v>9959</v>
      </c>
      <c r="C249" s="1882" t="s">
        <v>8394</v>
      </c>
      <c r="D249" s="1882" t="s">
        <v>1626</v>
      </c>
      <c r="E249" s="1882" t="s">
        <v>8503</v>
      </c>
      <c r="F249" s="1882" t="s">
        <v>9960</v>
      </c>
      <c r="G249" s="1882">
        <v>1.1000000000000001</v>
      </c>
      <c r="H249" s="1882" t="s">
        <v>9961</v>
      </c>
      <c r="I249" s="1882" t="s">
        <v>9962</v>
      </c>
      <c r="J249" s="1882" t="s">
        <v>8519</v>
      </c>
      <c r="K249" s="1882" t="s">
        <v>8509</v>
      </c>
      <c r="L249" s="1882"/>
      <c r="M249" s="1882"/>
      <c r="N249" s="1882" t="s">
        <v>8547</v>
      </c>
      <c r="O249" s="1882" t="s">
        <v>732</v>
      </c>
      <c r="P249" s="1882" t="s">
        <v>8548</v>
      </c>
      <c r="Q249" s="520">
        <v>3</v>
      </c>
      <c r="R249" s="1882" t="s">
        <v>8549</v>
      </c>
      <c r="S249" s="1882">
        <v>99.97</v>
      </c>
      <c r="T249" s="1882">
        <v>99.97</v>
      </c>
      <c r="U249" s="1882">
        <v>99.97</v>
      </c>
      <c r="V249" s="1882">
        <v>100</v>
      </c>
      <c r="W249" s="1882">
        <v>100</v>
      </c>
      <c r="X249" s="1882">
        <v>100</v>
      </c>
      <c r="Y249" s="1882" t="s">
        <v>2459</v>
      </c>
      <c r="Z249" s="1882"/>
      <c r="AA249" s="1882"/>
      <c r="AB249" s="1882"/>
      <c r="AC249" s="1882"/>
      <c r="AD249" s="1882"/>
      <c r="AE249" s="1882" t="s">
        <v>2459</v>
      </c>
      <c r="AF249" s="1882"/>
      <c r="AG249" s="1882"/>
      <c r="AH249" s="1882">
        <v>0</v>
      </c>
      <c r="AI249" s="1882" t="s">
        <v>2459</v>
      </c>
      <c r="AJ249" s="1882" t="s">
        <v>2459</v>
      </c>
      <c r="AK249" s="1882" t="s">
        <v>2459</v>
      </c>
      <c r="AL249" s="1882" t="s">
        <v>2459</v>
      </c>
      <c r="AM249" s="1882" t="s">
        <v>2459</v>
      </c>
      <c r="AN249" s="1882">
        <v>99.92</v>
      </c>
      <c r="AO249" s="1882">
        <v>99.92</v>
      </c>
      <c r="AP249" s="1882">
        <v>99.92</v>
      </c>
      <c r="AQ249" s="1882">
        <v>99.92</v>
      </c>
      <c r="AR249" s="1882">
        <v>99.92</v>
      </c>
      <c r="AS249" s="1882">
        <v>99.95</v>
      </c>
      <c r="AT249" s="1882">
        <v>99.95</v>
      </c>
      <c r="AU249" s="1882">
        <v>99.95</v>
      </c>
      <c r="AV249" s="1882">
        <v>99.95</v>
      </c>
      <c r="AW249" s="1882">
        <v>99.95</v>
      </c>
      <c r="AX249" s="1882"/>
      <c r="AY249" s="1882"/>
      <c r="AZ249" s="1882"/>
      <c r="BA249" s="1882"/>
      <c r="BB249" s="1882"/>
      <c r="BC249" s="1882"/>
      <c r="BD249" s="1882"/>
      <c r="BE249" s="1882"/>
      <c r="BF249" s="1882"/>
      <c r="BG249" s="1882"/>
      <c r="BH249" s="1882">
        <v>5.3999999999999999E-2</v>
      </c>
      <c r="BI249" s="1882"/>
      <c r="BJ249" s="1882"/>
      <c r="BK249" s="1882"/>
      <c r="BL249" s="1882"/>
      <c r="BM249" s="1882"/>
      <c r="BN249" s="1882">
        <v>100</v>
      </c>
      <c r="BO249" s="1882" t="s">
        <v>8884</v>
      </c>
      <c r="BP249" s="520">
        <v>99.984899999999996</v>
      </c>
      <c r="BQ249" s="704">
        <v>99.883799999999994</v>
      </c>
      <c r="BR249" s="1882" t="s">
        <v>2460</v>
      </c>
      <c r="BS249" s="1882" t="s">
        <v>8513</v>
      </c>
      <c r="BT249" s="1882">
        <v>0</v>
      </c>
      <c r="BU249" s="1882" t="s">
        <v>8563</v>
      </c>
      <c r="BV249" s="1882">
        <v>-0.162000000000006</v>
      </c>
      <c r="BW249" s="1882">
        <v>99.981700000000004</v>
      </c>
      <c r="BX249" s="1882" t="s">
        <v>2459</v>
      </c>
      <c r="BY249" s="1882">
        <v>0</v>
      </c>
      <c r="BZ249" s="1882">
        <v>0</v>
      </c>
      <c r="CA249" s="1882">
        <v>0</v>
      </c>
      <c r="CB249" s="1882">
        <v>0</v>
      </c>
      <c r="CC249" s="1882">
        <v>99.942899999999995</v>
      </c>
      <c r="CD249" s="1882" t="s">
        <v>2460</v>
      </c>
      <c r="CE249" s="1882">
        <v>0</v>
      </c>
      <c r="CF249" s="1882">
        <v>0</v>
      </c>
      <c r="CG249" s="1882" t="s">
        <v>8384</v>
      </c>
      <c r="CH249" s="1882">
        <v>-3.8340000000044935E-2</v>
      </c>
      <c r="CI249" s="1882">
        <v>99.915000000000006</v>
      </c>
      <c r="CJ249" s="1882" t="s">
        <v>2460</v>
      </c>
      <c r="CK249" s="1882">
        <v>0</v>
      </c>
      <c r="CL249" s="1882">
        <v>0</v>
      </c>
      <c r="CM249" s="1882" t="s">
        <v>8384</v>
      </c>
      <c r="CN249" s="1882">
        <v>-0.16200000000000001</v>
      </c>
      <c r="CP249" s="1882" t="s">
        <v>9963</v>
      </c>
    </row>
    <row r="250" spans="1:94">
      <c r="A250" s="1882" t="s">
        <v>9958</v>
      </c>
      <c r="B250" s="1882" t="s">
        <v>9964</v>
      </c>
      <c r="C250" s="1882" t="s">
        <v>8394</v>
      </c>
      <c r="D250" s="1882" t="s">
        <v>1626</v>
      </c>
      <c r="E250" s="1882" t="s">
        <v>8503</v>
      </c>
      <c r="F250" s="1882" t="s">
        <v>9960</v>
      </c>
      <c r="G250" s="1882">
        <v>1.2</v>
      </c>
      <c r="H250" s="1882" t="s">
        <v>9965</v>
      </c>
      <c r="I250" s="1882" t="s">
        <v>9966</v>
      </c>
      <c r="J250" s="1882" t="s">
        <v>8508</v>
      </c>
      <c r="K250" s="1882" t="s">
        <v>8509</v>
      </c>
      <c r="L250" s="1882"/>
      <c r="M250" s="1882"/>
      <c r="N250" s="1882" t="s">
        <v>8463</v>
      </c>
      <c r="O250" s="1882" t="s">
        <v>764</v>
      </c>
      <c r="P250" s="1882" t="s">
        <v>9967</v>
      </c>
      <c r="Q250" s="520">
        <v>2</v>
      </c>
      <c r="R250" s="1882" t="s">
        <v>8511</v>
      </c>
      <c r="S250" s="1882">
        <v>1.83</v>
      </c>
      <c r="T250" s="1882">
        <v>1.63</v>
      </c>
      <c r="U250" s="1882">
        <v>1.43</v>
      </c>
      <c r="V250" s="1882">
        <v>1.23</v>
      </c>
      <c r="W250" s="1882">
        <v>1.23</v>
      </c>
      <c r="X250" s="1882">
        <v>1.23</v>
      </c>
      <c r="Y250" s="1882"/>
      <c r="Z250" s="1882" t="s">
        <v>2459</v>
      </c>
      <c r="AA250" s="1882"/>
      <c r="AB250" s="1882"/>
      <c r="AC250" s="1882"/>
      <c r="AD250" s="1882"/>
      <c r="AE250" s="1882" t="s">
        <v>2459</v>
      </c>
      <c r="AF250" s="1882"/>
      <c r="AG250" s="1882"/>
      <c r="AH250" s="1882">
        <v>0</v>
      </c>
      <c r="AI250" s="1882" t="s">
        <v>2459</v>
      </c>
      <c r="AJ250" s="1882" t="s">
        <v>2459</v>
      </c>
      <c r="AK250" s="1882" t="s">
        <v>2459</v>
      </c>
      <c r="AL250" s="1882" t="s">
        <v>2459</v>
      </c>
      <c r="AM250" s="1882" t="s">
        <v>2459</v>
      </c>
      <c r="AN250" s="1882">
        <v>2.63</v>
      </c>
      <c r="AO250" s="1882">
        <v>2.63</v>
      </c>
      <c r="AP250" s="1882">
        <v>2.0299999999999998</v>
      </c>
      <c r="AQ250" s="1882">
        <v>2.0299999999999998</v>
      </c>
      <c r="AR250" s="1882">
        <v>2.0299999999999998</v>
      </c>
      <c r="AS250" s="1882">
        <v>1.83</v>
      </c>
      <c r="AT250" s="1882">
        <v>1.83</v>
      </c>
      <c r="AU250" s="1882">
        <v>1.23</v>
      </c>
      <c r="AV250" s="1882">
        <v>1.23</v>
      </c>
      <c r="AW250" s="1882">
        <v>1.23</v>
      </c>
      <c r="AX250" s="1882">
        <v>1.23</v>
      </c>
      <c r="AY250" s="1882">
        <v>1.23</v>
      </c>
      <c r="AZ250" s="1882">
        <v>1.23</v>
      </c>
      <c r="BA250" s="1882">
        <v>1.23</v>
      </c>
      <c r="BB250" s="1882">
        <v>1.23</v>
      </c>
      <c r="BC250" s="1882">
        <v>0.53</v>
      </c>
      <c r="BD250" s="1882">
        <v>0.53</v>
      </c>
      <c r="BE250" s="1882">
        <v>0.53</v>
      </c>
      <c r="BF250" s="1882">
        <v>0.53</v>
      </c>
      <c r="BG250" s="1882">
        <v>0.53</v>
      </c>
      <c r="BH250" s="1882">
        <v>0.159</v>
      </c>
      <c r="BI250" s="1882"/>
      <c r="BJ250" s="1882"/>
      <c r="BK250" s="1882"/>
      <c r="BL250" s="1882">
        <v>0.121</v>
      </c>
      <c r="BM250" s="1882"/>
      <c r="BN250" s="1882">
        <v>10</v>
      </c>
      <c r="BO250" s="1882" t="s">
        <v>9968</v>
      </c>
      <c r="BP250" s="520">
        <v>1.51</v>
      </c>
      <c r="BQ250" s="694">
        <v>1.9576</v>
      </c>
      <c r="BR250" s="1882" t="s">
        <v>2460</v>
      </c>
      <c r="BS250" s="1882" t="s">
        <v>8513</v>
      </c>
      <c r="BT250" s="1882">
        <v>0</v>
      </c>
      <c r="BU250" s="1882" t="s">
        <v>8563</v>
      </c>
      <c r="BV250" s="1882">
        <v>-0.20288400000000001</v>
      </c>
      <c r="BW250" s="1882">
        <v>1.6608000000000001</v>
      </c>
      <c r="BX250" s="1882" t="s">
        <v>2460</v>
      </c>
      <c r="BY250" s="1882">
        <v>0</v>
      </c>
      <c r="BZ250" s="1882">
        <v>0</v>
      </c>
      <c r="CA250" s="1882" t="s">
        <v>8429</v>
      </c>
      <c r="CB250" s="1882">
        <v>0</v>
      </c>
      <c r="CC250" s="1882">
        <v>1.4159999999999999</v>
      </c>
      <c r="CD250" s="1882" t="s">
        <v>2460</v>
      </c>
      <c r="CE250" s="1882">
        <v>0</v>
      </c>
      <c r="CF250" s="1882">
        <v>0</v>
      </c>
      <c r="CG250" s="1882" t="s">
        <v>8384</v>
      </c>
      <c r="CH250" s="1882">
        <v>-0.29573999999999989</v>
      </c>
      <c r="CI250" s="1882">
        <v>1.51</v>
      </c>
      <c r="CJ250" s="1882" t="s">
        <v>2460</v>
      </c>
      <c r="CK250" s="1882">
        <v>0</v>
      </c>
      <c r="CL250" s="1882">
        <v>0</v>
      </c>
      <c r="CM250" s="1882" t="s">
        <v>8384</v>
      </c>
      <c r="CN250" s="1882">
        <v>-0.44519999999999998</v>
      </c>
      <c r="CP250" s="1882" t="s">
        <v>9969</v>
      </c>
    </row>
    <row r="251" spans="1:94">
      <c r="A251" s="1882" t="s">
        <v>9958</v>
      </c>
      <c r="B251" s="1882" t="s">
        <v>9970</v>
      </c>
      <c r="C251" s="1882" t="s">
        <v>8394</v>
      </c>
      <c r="D251" s="1882" t="s">
        <v>1626</v>
      </c>
      <c r="E251" s="1882" t="s">
        <v>8503</v>
      </c>
      <c r="F251" s="1882" t="s">
        <v>9971</v>
      </c>
      <c r="G251" s="1882">
        <v>2.1</v>
      </c>
      <c r="H251" s="1882" t="s">
        <v>9972</v>
      </c>
      <c r="I251" s="1882" t="s">
        <v>9973</v>
      </c>
      <c r="J251" s="1882" t="s">
        <v>8508</v>
      </c>
      <c r="K251" s="1882" t="s">
        <v>8509</v>
      </c>
      <c r="L251" s="1882"/>
      <c r="M251" s="1882"/>
      <c r="N251" s="1882" t="s">
        <v>2450</v>
      </c>
      <c r="O251" s="1882" t="s">
        <v>8607</v>
      </c>
      <c r="P251" s="1882" t="s">
        <v>8608</v>
      </c>
      <c r="Q251" s="520">
        <v>1</v>
      </c>
      <c r="R251" s="1882" t="s">
        <v>8511</v>
      </c>
      <c r="S251" s="1882">
        <v>10</v>
      </c>
      <c r="T251" s="1882">
        <v>10</v>
      </c>
      <c r="U251" s="1882">
        <v>10</v>
      </c>
      <c r="V251" s="1882">
        <v>10</v>
      </c>
      <c r="W251" s="1882">
        <v>10</v>
      </c>
      <c r="X251" s="1882">
        <v>10</v>
      </c>
      <c r="Y251" s="1882"/>
      <c r="Z251" s="1882"/>
      <c r="AA251" s="1882" t="s">
        <v>2459</v>
      </c>
      <c r="AB251" s="1882"/>
      <c r="AC251" s="1882"/>
      <c r="AD251" s="1882"/>
      <c r="AE251" s="1882" t="s">
        <v>2459</v>
      </c>
      <c r="AF251" s="1882"/>
      <c r="AG251" s="1882"/>
      <c r="AH251" s="1882">
        <v>0</v>
      </c>
      <c r="AI251" s="1882" t="s">
        <v>2459</v>
      </c>
      <c r="AJ251" s="1882" t="s">
        <v>2459</v>
      </c>
      <c r="AK251" s="1882" t="s">
        <v>2459</v>
      </c>
      <c r="AL251" s="1882" t="s">
        <v>2459</v>
      </c>
      <c r="AM251" s="1882" t="s">
        <v>2459</v>
      </c>
      <c r="AN251" s="1882">
        <v>14</v>
      </c>
      <c r="AO251" s="1882">
        <v>14</v>
      </c>
      <c r="AP251" s="1882">
        <v>14</v>
      </c>
      <c r="AQ251" s="1882">
        <v>14</v>
      </c>
      <c r="AR251" s="1882">
        <v>14</v>
      </c>
      <c r="AS251" s="1882">
        <v>12</v>
      </c>
      <c r="AT251" s="1882">
        <v>12</v>
      </c>
      <c r="AU251" s="1882">
        <v>12</v>
      </c>
      <c r="AV251" s="1882">
        <v>12</v>
      </c>
      <c r="AW251" s="1882">
        <v>12</v>
      </c>
      <c r="AX251" s="1882">
        <v>9</v>
      </c>
      <c r="AY251" s="1882">
        <v>9</v>
      </c>
      <c r="AZ251" s="1882">
        <v>9</v>
      </c>
      <c r="BA251" s="1882">
        <v>9</v>
      </c>
      <c r="BB251" s="1882">
        <v>9</v>
      </c>
      <c r="BC251" s="1882">
        <v>7</v>
      </c>
      <c r="BD251" s="1882">
        <v>7</v>
      </c>
      <c r="BE251" s="1882">
        <v>7</v>
      </c>
      <c r="BF251" s="1882">
        <v>7</v>
      </c>
      <c r="BG251" s="1882">
        <v>7</v>
      </c>
      <c r="BH251" s="1882">
        <v>0.45300000000000001</v>
      </c>
      <c r="BI251" s="1882"/>
      <c r="BJ251" s="1882"/>
      <c r="BK251" s="1882"/>
      <c r="BL251" s="1882">
        <v>0.45300000000000001</v>
      </c>
      <c r="BM251" s="1882"/>
      <c r="BN251" s="1882">
        <v>1</v>
      </c>
      <c r="BO251" s="1882" t="s">
        <v>8512</v>
      </c>
      <c r="BP251" s="520">
        <v>8.3000000000000007</v>
      </c>
      <c r="BQ251" s="690">
        <v>4.2333333333333334</v>
      </c>
      <c r="BR251" s="1882" t="s">
        <v>2459</v>
      </c>
      <c r="BS251" s="1882" t="s">
        <v>8513</v>
      </c>
      <c r="BT251" s="1882">
        <v>0</v>
      </c>
      <c r="BU251" s="1882" t="s">
        <v>8376</v>
      </c>
      <c r="BV251" s="1882">
        <v>0.90600000000000003</v>
      </c>
      <c r="BW251" s="1882">
        <v>5.1802000000000001</v>
      </c>
      <c r="BX251" s="1882" t="s">
        <v>2459</v>
      </c>
      <c r="BY251" s="1882">
        <v>0</v>
      </c>
      <c r="BZ251" s="1882">
        <v>0</v>
      </c>
      <c r="CA251" s="1882" t="s">
        <v>8376</v>
      </c>
      <c r="CB251" s="1882">
        <v>0.90600000000000003</v>
      </c>
      <c r="CC251" s="1882">
        <v>8.5319000000000003</v>
      </c>
      <c r="CD251" s="1882" t="s">
        <v>2459</v>
      </c>
      <c r="CE251" s="1882">
        <v>0</v>
      </c>
      <c r="CF251" s="1882">
        <v>0</v>
      </c>
      <c r="CG251" s="1882" t="s">
        <v>8376</v>
      </c>
      <c r="CH251" s="1882">
        <v>0.21204929999999989</v>
      </c>
      <c r="CI251" s="1882">
        <v>7.15</v>
      </c>
      <c r="CJ251" s="1882" t="s">
        <v>2459</v>
      </c>
      <c r="CK251" s="1882">
        <v>0</v>
      </c>
      <c r="CL251" s="1882">
        <v>0</v>
      </c>
      <c r="CM251" s="1882" t="s">
        <v>8376</v>
      </c>
      <c r="CN251" s="1882">
        <v>0.83809999999999996</v>
      </c>
      <c r="CP251" s="1882" t="s">
        <v>9974</v>
      </c>
    </row>
    <row r="252" spans="1:94">
      <c r="A252" s="1882" t="s">
        <v>9958</v>
      </c>
      <c r="B252" s="1882" t="s">
        <v>9975</v>
      </c>
      <c r="C252" s="1882" t="s">
        <v>8394</v>
      </c>
      <c r="D252" s="1882" t="s">
        <v>1626</v>
      </c>
      <c r="E252" s="1882" t="s">
        <v>8503</v>
      </c>
      <c r="F252" s="1882" t="s">
        <v>9971</v>
      </c>
      <c r="G252" s="1882">
        <v>2.2000000000000002</v>
      </c>
      <c r="H252" s="1882" t="s">
        <v>9976</v>
      </c>
      <c r="I252" s="1882" t="s">
        <v>9977</v>
      </c>
      <c r="J252" s="1882" t="s">
        <v>8519</v>
      </c>
      <c r="K252" s="1882" t="s">
        <v>8509</v>
      </c>
      <c r="L252" s="1882"/>
      <c r="M252" s="1882" t="s">
        <v>2460</v>
      </c>
      <c r="N252" s="1882" t="s">
        <v>8569</v>
      </c>
      <c r="O252" s="1882" t="s">
        <v>8704</v>
      </c>
      <c r="P252" s="1882" t="s">
        <v>8856</v>
      </c>
      <c r="Q252" s="520" t="s">
        <v>8512</v>
      </c>
      <c r="R252" s="1882"/>
      <c r="S252" s="1882" t="s">
        <v>8706</v>
      </c>
      <c r="T252" s="1882" t="s">
        <v>8706</v>
      </c>
      <c r="U252" s="1882" t="s">
        <v>8706</v>
      </c>
      <c r="V252" s="1882" t="s">
        <v>8706</v>
      </c>
      <c r="W252" s="1882" t="s">
        <v>8706</v>
      </c>
      <c r="X252" s="1882" t="s">
        <v>8706</v>
      </c>
      <c r="Y252" s="1882"/>
      <c r="Z252" s="1882"/>
      <c r="AA252" s="1882"/>
      <c r="AB252" s="1882"/>
      <c r="AC252" s="1882"/>
      <c r="AD252" s="1882"/>
      <c r="AE252" s="1882" t="s">
        <v>2459</v>
      </c>
      <c r="AF252" s="1882"/>
      <c r="AG252" s="1882"/>
      <c r="AH252" s="1882">
        <v>5</v>
      </c>
      <c r="AI252" s="1882" t="s">
        <v>2459</v>
      </c>
      <c r="AJ252" s="1882" t="s">
        <v>2459</v>
      </c>
      <c r="AK252" s="1882" t="s">
        <v>2459</v>
      </c>
      <c r="AL252" s="1882" t="s">
        <v>2459</v>
      </c>
      <c r="AM252" s="1882" t="s">
        <v>2459</v>
      </c>
      <c r="AN252" s="1882" t="s">
        <v>8857</v>
      </c>
      <c r="AO252" s="1882" t="s">
        <v>8857</v>
      </c>
      <c r="AP252" s="1882" t="s">
        <v>8857</v>
      </c>
      <c r="AQ252" s="1882" t="s">
        <v>8857</v>
      </c>
      <c r="AR252" s="1882" t="s">
        <v>8857</v>
      </c>
      <c r="AS252" s="1882" t="s">
        <v>8858</v>
      </c>
      <c r="AT252" s="1882" t="s">
        <v>8858</v>
      </c>
      <c r="AU252" s="1882" t="s">
        <v>8858</v>
      </c>
      <c r="AV252" s="1882" t="s">
        <v>8858</v>
      </c>
      <c r="AW252" s="1882" t="s">
        <v>8858</v>
      </c>
      <c r="AX252" s="1882"/>
      <c r="AY252" s="1882"/>
      <c r="AZ252" s="1882"/>
      <c r="BA252" s="1882"/>
      <c r="BB252" s="1882"/>
      <c r="BC252" s="1882"/>
      <c r="BD252" s="1882"/>
      <c r="BE252" s="1882"/>
      <c r="BF252" s="1882"/>
      <c r="BG252" s="1882"/>
      <c r="BH252" s="1882">
        <v>7.5999999999999998E-2</v>
      </c>
      <c r="BI252" s="1882">
        <v>0.379</v>
      </c>
      <c r="BJ252" s="1882"/>
      <c r="BK252" s="1882"/>
      <c r="BL252" s="1882"/>
      <c r="BM252" s="1882"/>
      <c r="BN252" s="1882">
        <v>1</v>
      </c>
      <c r="BO252" s="1882" t="s">
        <v>8512</v>
      </c>
      <c r="BP252" s="520" t="s">
        <v>8706</v>
      </c>
      <c r="BQ252" s="692" t="s">
        <v>8706</v>
      </c>
      <c r="BR252" s="1882" t="s">
        <v>2459</v>
      </c>
      <c r="BS252" s="1882" t="s">
        <v>8513</v>
      </c>
      <c r="BT252" s="1882">
        <v>0</v>
      </c>
      <c r="BU252" s="1882" t="s">
        <v>8513</v>
      </c>
      <c r="BV252" s="1882">
        <v>0</v>
      </c>
      <c r="BW252" s="1882" t="s">
        <v>8706</v>
      </c>
      <c r="BX252" s="1882" t="s">
        <v>2459</v>
      </c>
      <c r="BY252" s="1882">
        <v>0</v>
      </c>
      <c r="BZ252" s="1882">
        <v>0</v>
      </c>
      <c r="CA252" s="1882">
        <v>0</v>
      </c>
      <c r="CB252" s="1882">
        <v>0</v>
      </c>
      <c r="CC252" s="1882" t="s">
        <v>8706</v>
      </c>
      <c r="CD252" s="1882" t="s">
        <v>2459</v>
      </c>
      <c r="CE252" s="1882">
        <v>0</v>
      </c>
      <c r="CF252" s="1882">
        <v>0</v>
      </c>
      <c r="CG252" s="1882">
        <v>0</v>
      </c>
      <c r="CH252" s="1882">
        <v>0</v>
      </c>
      <c r="CI252" s="1882" t="s">
        <v>8706</v>
      </c>
      <c r="CJ252" s="1882" t="s">
        <v>2459</v>
      </c>
      <c r="CK252" s="1882">
        <v>0</v>
      </c>
      <c r="CL252" s="1882">
        <v>0</v>
      </c>
      <c r="CM252" s="1882">
        <v>0</v>
      </c>
      <c r="CN252" s="1882">
        <v>0</v>
      </c>
      <c r="CP252" s="1882" t="s">
        <v>9978</v>
      </c>
    </row>
    <row r="253" spans="1:94">
      <c r="A253" s="1882" t="s">
        <v>9958</v>
      </c>
      <c r="B253" s="1882" t="s">
        <v>9979</v>
      </c>
      <c r="C253" s="1882" t="s">
        <v>8394</v>
      </c>
      <c r="D253" s="1882" t="s">
        <v>1626</v>
      </c>
      <c r="E253" s="1882" t="s">
        <v>8503</v>
      </c>
      <c r="F253" s="1882" t="s">
        <v>9971</v>
      </c>
      <c r="G253" s="1882">
        <v>2.2999999999999998</v>
      </c>
      <c r="H253" s="1882" t="s">
        <v>9980</v>
      </c>
      <c r="I253" s="1882" t="s">
        <v>9981</v>
      </c>
      <c r="J253" s="1882" t="s">
        <v>8519</v>
      </c>
      <c r="K253" s="1882" t="s">
        <v>8509</v>
      </c>
      <c r="L253" s="1882"/>
      <c r="M253" s="1882" t="s">
        <v>2460</v>
      </c>
      <c r="N253" s="1882" t="s">
        <v>8569</v>
      </c>
      <c r="O253" s="1882" t="s">
        <v>8704</v>
      </c>
      <c r="P253" s="1882" t="s">
        <v>8856</v>
      </c>
      <c r="Q253" s="520" t="s">
        <v>8512</v>
      </c>
      <c r="R253" s="1882"/>
      <c r="S253" s="1882" t="s">
        <v>8706</v>
      </c>
      <c r="T253" s="1882" t="s">
        <v>8706</v>
      </c>
      <c r="U253" s="1882" t="s">
        <v>8706</v>
      </c>
      <c r="V253" s="1882" t="s">
        <v>8706</v>
      </c>
      <c r="W253" s="1882" t="s">
        <v>8706</v>
      </c>
      <c r="X253" s="1882" t="s">
        <v>8706</v>
      </c>
      <c r="Y253" s="1882"/>
      <c r="Z253" s="1882"/>
      <c r="AA253" s="1882"/>
      <c r="AB253" s="1882"/>
      <c r="AC253" s="1882"/>
      <c r="AD253" s="1882"/>
      <c r="AE253" s="1882" t="s">
        <v>2459</v>
      </c>
      <c r="AF253" s="1882"/>
      <c r="AG253" s="1882"/>
      <c r="AH253" s="1882">
        <v>5</v>
      </c>
      <c r="AI253" s="1882" t="s">
        <v>2459</v>
      </c>
      <c r="AJ253" s="1882" t="s">
        <v>2459</v>
      </c>
      <c r="AK253" s="1882" t="s">
        <v>2459</v>
      </c>
      <c r="AL253" s="1882" t="s">
        <v>2459</v>
      </c>
      <c r="AM253" s="1882" t="s">
        <v>2459</v>
      </c>
      <c r="AN253" s="1882" t="s">
        <v>8857</v>
      </c>
      <c r="AO253" s="1882" t="s">
        <v>8857</v>
      </c>
      <c r="AP253" s="1882" t="s">
        <v>8857</v>
      </c>
      <c r="AQ253" s="1882" t="s">
        <v>8857</v>
      </c>
      <c r="AR253" s="1882" t="s">
        <v>8857</v>
      </c>
      <c r="AS253" s="1882" t="s">
        <v>8858</v>
      </c>
      <c r="AT253" s="1882" t="s">
        <v>8858</v>
      </c>
      <c r="AU253" s="1882" t="s">
        <v>8858</v>
      </c>
      <c r="AV253" s="1882" t="s">
        <v>8858</v>
      </c>
      <c r="AW253" s="1882" t="s">
        <v>8858</v>
      </c>
      <c r="AX253" s="1882"/>
      <c r="AY253" s="1882"/>
      <c r="AZ253" s="1882"/>
      <c r="BA253" s="1882"/>
      <c r="BB253" s="1882"/>
      <c r="BC253" s="1882"/>
      <c r="BD253" s="1882"/>
      <c r="BE253" s="1882"/>
      <c r="BF253" s="1882"/>
      <c r="BG253" s="1882"/>
      <c r="BH253" s="1882">
        <v>9.7000000000000003E-2</v>
      </c>
      <c r="BI253" s="1882">
        <v>0.48699999999999999</v>
      </c>
      <c r="BJ253" s="1882"/>
      <c r="BK253" s="1882"/>
      <c r="BL253" s="1882"/>
      <c r="BM253" s="1882"/>
      <c r="BN253" s="1882">
        <v>1</v>
      </c>
      <c r="BO253" s="1882" t="s">
        <v>8512</v>
      </c>
      <c r="BP253" s="520" t="s">
        <v>8706</v>
      </c>
      <c r="BQ253" s="692" t="s">
        <v>8706</v>
      </c>
      <c r="BR253" s="1882" t="s">
        <v>2459</v>
      </c>
      <c r="BS253" s="1882" t="s">
        <v>8513</v>
      </c>
      <c r="BT253" s="1882">
        <v>0</v>
      </c>
      <c r="BU253" s="1882" t="s">
        <v>8513</v>
      </c>
      <c r="BV253" s="1882">
        <v>0</v>
      </c>
      <c r="BW253" s="1882" t="s">
        <v>8706</v>
      </c>
      <c r="BX253" s="1882" t="s">
        <v>2459</v>
      </c>
      <c r="BY253" s="1882">
        <v>0</v>
      </c>
      <c r="BZ253" s="1882">
        <v>0</v>
      </c>
      <c r="CA253" s="1882">
        <v>0</v>
      </c>
      <c r="CB253" s="1882">
        <v>0</v>
      </c>
      <c r="CC253" s="1882" t="s">
        <v>8706</v>
      </c>
      <c r="CD253" s="1882" t="s">
        <v>2459</v>
      </c>
      <c r="CE253" s="1882">
        <v>0</v>
      </c>
      <c r="CF253" s="1882">
        <v>0</v>
      </c>
      <c r="CG253" s="1882">
        <v>0</v>
      </c>
      <c r="CH253" s="1882">
        <v>0</v>
      </c>
      <c r="CI253" s="1882" t="s">
        <v>8706</v>
      </c>
      <c r="CJ253" s="1882" t="s">
        <v>2459</v>
      </c>
      <c r="CK253" s="1882">
        <v>0</v>
      </c>
      <c r="CL253" s="1882">
        <v>0</v>
      </c>
      <c r="CM253" s="1882">
        <v>0</v>
      </c>
      <c r="CN253" s="1882">
        <v>0</v>
      </c>
      <c r="CP253" s="1882" t="s">
        <v>9982</v>
      </c>
    </row>
    <row r="254" spans="1:94">
      <c r="A254" s="1882" t="s">
        <v>9958</v>
      </c>
      <c r="B254" s="1882" t="s">
        <v>9983</v>
      </c>
      <c r="C254" s="1882" t="s">
        <v>8394</v>
      </c>
      <c r="D254" s="1882" t="s">
        <v>1626</v>
      </c>
      <c r="E254" s="1882" t="s">
        <v>8503</v>
      </c>
      <c r="F254" s="1882" t="s">
        <v>9984</v>
      </c>
      <c r="G254" s="1882">
        <v>4.0999999999999996</v>
      </c>
      <c r="H254" s="1882" t="s">
        <v>9985</v>
      </c>
      <c r="I254" s="1882" t="s">
        <v>9986</v>
      </c>
      <c r="J254" s="1882" t="s">
        <v>8508</v>
      </c>
      <c r="K254" s="1882" t="s">
        <v>8509</v>
      </c>
      <c r="L254" s="1882"/>
      <c r="M254" s="1882"/>
      <c r="N254" s="1882" t="s">
        <v>2444</v>
      </c>
      <c r="O254" s="1882" t="s">
        <v>764</v>
      </c>
      <c r="P254" s="1882" t="s">
        <v>8510</v>
      </c>
      <c r="Q254" s="520">
        <v>1</v>
      </c>
      <c r="R254" s="1882" t="s">
        <v>8511</v>
      </c>
      <c r="S254" s="1882">
        <v>70.5</v>
      </c>
      <c r="T254" s="1882">
        <v>70.5</v>
      </c>
      <c r="U254" s="1882">
        <v>70.5</v>
      </c>
      <c r="V254" s="1882">
        <v>70.5</v>
      </c>
      <c r="W254" s="1882">
        <v>70.5</v>
      </c>
      <c r="X254" s="1882">
        <v>70.5</v>
      </c>
      <c r="Y254" s="1882"/>
      <c r="Z254" s="1882"/>
      <c r="AA254" s="1882"/>
      <c r="AB254" s="1882"/>
      <c r="AC254" s="1882"/>
      <c r="AD254" s="1882"/>
      <c r="AE254" s="1882" t="s">
        <v>2459</v>
      </c>
      <c r="AF254" s="1882"/>
      <c r="AG254" s="1882"/>
      <c r="AH254" s="1882">
        <v>0</v>
      </c>
      <c r="AI254" s="1882" t="s">
        <v>2459</v>
      </c>
      <c r="AJ254" s="1882" t="s">
        <v>2459</v>
      </c>
      <c r="AK254" s="1882" t="s">
        <v>2459</v>
      </c>
      <c r="AL254" s="1882" t="s">
        <v>2459</v>
      </c>
      <c r="AM254" s="1882" t="s">
        <v>2459</v>
      </c>
      <c r="AN254" s="1882">
        <v>80.599999999999994</v>
      </c>
      <c r="AO254" s="1882">
        <v>80.599999999999994</v>
      </c>
      <c r="AP254" s="1882">
        <v>80.599999999999994</v>
      </c>
      <c r="AQ254" s="1882">
        <v>80.599999999999994</v>
      </c>
      <c r="AR254" s="1882">
        <v>80.599999999999994</v>
      </c>
      <c r="AS254" s="1882">
        <v>73.3</v>
      </c>
      <c r="AT254" s="1882">
        <v>73.3</v>
      </c>
      <c r="AU254" s="1882">
        <v>73.3</v>
      </c>
      <c r="AV254" s="1882">
        <v>73.3</v>
      </c>
      <c r="AW254" s="1882">
        <v>73.3</v>
      </c>
      <c r="AX254" s="1882">
        <v>66.900000000000006</v>
      </c>
      <c r="AY254" s="1882">
        <v>66.900000000000006</v>
      </c>
      <c r="AZ254" s="1882">
        <v>66.900000000000006</v>
      </c>
      <c r="BA254" s="1882">
        <v>66.900000000000006</v>
      </c>
      <c r="BB254" s="1882">
        <v>66.900000000000006</v>
      </c>
      <c r="BC254" s="1882">
        <v>62.5</v>
      </c>
      <c r="BD254" s="1882">
        <v>62.5</v>
      </c>
      <c r="BE254" s="1882">
        <v>62.5</v>
      </c>
      <c r="BF254" s="1882">
        <v>62.5</v>
      </c>
      <c r="BG254" s="1882">
        <v>62.5</v>
      </c>
      <c r="BH254" s="1882">
        <v>0.36899999999999999</v>
      </c>
      <c r="BI254" s="1882"/>
      <c r="BJ254" s="1882"/>
      <c r="BK254" s="1882"/>
      <c r="BL254" s="1882">
        <v>0.183</v>
      </c>
      <c r="BM254" s="1882"/>
      <c r="BN254" s="1882">
        <v>1</v>
      </c>
      <c r="BO254" s="1882" t="s">
        <v>8512</v>
      </c>
      <c r="BP254" s="520">
        <v>69.2</v>
      </c>
      <c r="BQ254" s="690">
        <v>69.88</v>
      </c>
      <c r="BR254" s="1882" t="s">
        <v>2459</v>
      </c>
      <c r="BS254" s="1882" t="s">
        <v>8513</v>
      </c>
      <c r="BT254" s="1882">
        <v>0</v>
      </c>
      <c r="BU254" s="1882" t="s">
        <v>8380</v>
      </c>
      <c r="BV254" s="1882">
        <v>0</v>
      </c>
      <c r="BW254" s="1882">
        <v>69.849999999999994</v>
      </c>
      <c r="BX254" s="1882" t="s">
        <v>2459</v>
      </c>
      <c r="BY254" s="1882">
        <v>0</v>
      </c>
      <c r="BZ254" s="1882">
        <v>0</v>
      </c>
      <c r="CA254" s="1882" t="s">
        <v>8380</v>
      </c>
      <c r="CB254" s="1882">
        <v>0</v>
      </c>
      <c r="CC254" s="1882">
        <v>72.41</v>
      </c>
      <c r="CD254" s="1882" t="s">
        <v>2460</v>
      </c>
      <c r="CE254" s="1882">
        <v>0</v>
      </c>
      <c r="CF254" s="1882">
        <v>0</v>
      </c>
      <c r="CG254" s="1882" t="s">
        <v>8388</v>
      </c>
      <c r="CH254" s="1882">
        <v>0</v>
      </c>
      <c r="CI254" s="1882">
        <v>70.5</v>
      </c>
      <c r="CJ254" s="1882" t="s">
        <v>2459</v>
      </c>
      <c r="CK254" s="1882">
        <v>0</v>
      </c>
      <c r="CL254" s="1882">
        <v>0</v>
      </c>
      <c r="CM254" s="1882">
        <v>0</v>
      </c>
      <c r="CN254" s="1882">
        <v>0</v>
      </c>
      <c r="CP254" s="1882" t="s">
        <v>9987</v>
      </c>
    </row>
    <row r="255" spans="1:94">
      <c r="A255" s="1882" t="s">
        <v>9958</v>
      </c>
      <c r="B255" s="1882" t="s">
        <v>9988</v>
      </c>
      <c r="C255" s="1882" t="s">
        <v>8394</v>
      </c>
      <c r="D255" s="1882" t="s">
        <v>1626</v>
      </c>
      <c r="E255" s="1882" t="s">
        <v>8503</v>
      </c>
      <c r="F255" s="1882" t="s">
        <v>9984</v>
      </c>
      <c r="G255" s="1882">
        <v>4.2</v>
      </c>
      <c r="H255" s="1882" t="s">
        <v>9989</v>
      </c>
      <c r="I255" s="1882" t="s">
        <v>9990</v>
      </c>
      <c r="J255" s="1882" t="s">
        <v>8508</v>
      </c>
      <c r="K255" s="1882" t="s">
        <v>8509</v>
      </c>
      <c r="L255" s="1882"/>
      <c r="M255" s="1882"/>
      <c r="N255" s="1882" t="s">
        <v>2444</v>
      </c>
      <c r="O255" s="1882" t="s">
        <v>764</v>
      </c>
      <c r="P255" s="1882" t="s">
        <v>8510</v>
      </c>
      <c r="Q255" s="520">
        <v>1</v>
      </c>
      <c r="R255" s="1882" t="s">
        <v>8511</v>
      </c>
      <c r="S255" s="1882">
        <v>13.5</v>
      </c>
      <c r="T255" s="1882">
        <v>13.5</v>
      </c>
      <c r="U255" s="1882">
        <v>13.5</v>
      </c>
      <c r="V255" s="1882">
        <v>13.5</v>
      </c>
      <c r="W255" s="1882">
        <v>13.5</v>
      </c>
      <c r="X255" s="1882">
        <v>13.5</v>
      </c>
      <c r="Y255" s="1882"/>
      <c r="Z255" s="1882"/>
      <c r="AA255" s="1882"/>
      <c r="AB255" s="1882"/>
      <c r="AC255" s="1882"/>
      <c r="AD255" s="1882"/>
      <c r="AE255" s="1882" t="s">
        <v>2459</v>
      </c>
      <c r="AF255" s="1882"/>
      <c r="AG255" s="1882"/>
      <c r="AH255" s="1882">
        <v>0</v>
      </c>
      <c r="AI255" s="1882" t="s">
        <v>2459</v>
      </c>
      <c r="AJ255" s="1882" t="s">
        <v>2459</v>
      </c>
      <c r="AK255" s="1882" t="s">
        <v>2459</v>
      </c>
      <c r="AL255" s="1882" t="s">
        <v>2459</v>
      </c>
      <c r="AM255" s="1882" t="s">
        <v>2459</v>
      </c>
      <c r="AN255" s="1882">
        <v>15.4</v>
      </c>
      <c r="AO255" s="1882">
        <v>15.4</v>
      </c>
      <c r="AP255" s="1882">
        <v>15.4</v>
      </c>
      <c r="AQ255" s="1882">
        <v>15.4</v>
      </c>
      <c r="AR255" s="1882">
        <v>15.4</v>
      </c>
      <c r="AS255" s="1882">
        <v>14</v>
      </c>
      <c r="AT255" s="1882">
        <v>14</v>
      </c>
      <c r="AU255" s="1882">
        <v>14</v>
      </c>
      <c r="AV255" s="1882">
        <v>14</v>
      </c>
      <c r="AW255" s="1882">
        <v>14</v>
      </c>
      <c r="AX255" s="1882">
        <v>12.6</v>
      </c>
      <c r="AY255" s="1882">
        <v>12.6</v>
      </c>
      <c r="AZ255" s="1882">
        <v>12.6</v>
      </c>
      <c r="BA255" s="1882">
        <v>12.6</v>
      </c>
      <c r="BB255" s="1882">
        <v>12.6</v>
      </c>
      <c r="BC255" s="1882">
        <v>11.1</v>
      </c>
      <c r="BD255" s="1882">
        <v>11.1</v>
      </c>
      <c r="BE255" s="1882">
        <v>11.1</v>
      </c>
      <c r="BF255" s="1882">
        <v>11.1</v>
      </c>
      <c r="BG255" s="1882">
        <v>11.1</v>
      </c>
      <c r="BH255" s="1882">
        <v>0.30499999999999999</v>
      </c>
      <c r="BI255" s="1882"/>
      <c r="BJ255" s="1882"/>
      <c r="BK255" s="1882"/>
      <c r="BL255" s="1882">
        <v>0.152</v>
      </c>
      <c r="BM255" s="1882"/>
      <c r="BN255" s="1882">
        <v>1</v>
      </c>
      <c r="BO255" s="1882" t="s">
        <v>8512</v>
      </c>
      <c r="BP255" s="520">
        <v>13.5</v>
      </c>
      <c r="BQ255" s="690">
        <v>13.24</v>
      </c>
      <c r="BR255" s="1882" t="s">
        <v>2459</v>
      </c>
      <c r="BS255" s="1882" t="s">
        <v>8513</v>
      </c>
      <c r="BT255" s="1882">
        <v>0</v>
      </c>
      <c r="BU255" s="1882" t="s">
        <v>8380</v>
      </c>
      <c r="BV255" s="1882">
        <v>0</v>
      </c>
      <c r="BW255" s="1882">
        <v>14.32</v>
      </c>
      <c r="BX255" s="1882" t="s">
        <v>2460</v>
      </c>
      <c r="BY255" s="1882">
        <v>0</v>
      </c>
      <c r="BZ255" s="1882">
        <v>0</v>
      </c>
      <c r="CA255" s="1882" t="s">
        <v>8563</v>
      </c>
      <c r="CB255" s="1882">
        <v>-9.7600000000000006E-2</v>
      </c>
      <c r="CC255" s="1882">
        <v>14.39</v>
      </c>
      <c r="CD255" s="1882" t="s">
        <v>2460</v>
      </c>
      <c r="CE255" s="1882">
        <v>0</v>
      </c>
      <c r="CF255" s="1882">
        <v>0</v>
      </c>
      <c r="CG255" s="1882" t="s">
        <v>8384</v>
      </c>
      <c r="CH255" s="1882">
        <v>-0.11895000000000017</v>
      </c>
      <c r="CI255" s="1882">
        <v>13.2</v>
      </c>
      <c r="CJ255" s="1882" t="s">
        <v>2459</v>
      </c>
      <c r="CK255" s="1882">
        <v>0</v>
      </c>
      <c r="CL255" s="1882">
        <v>0</v>
      </c>
      <c r="CM255" s="1882" t="s">
        <v>8380</v>
      </c>
      <c r="CN255" s="1882">
        <v>0</v>
      </c>
      <c r="CP255" s="1882" t="s">
        <v>9991</v>
      </c>
    </row>
    <row r="256" spans="1:94">
      <c r="A256" s="1882" t="s">
        <v>9958</v>
      </c>
      <c r="B256" s="1882" t="s">
        <v>9992</v>
      </c>
      <c r="C256" s="1882" t="s">
        <v>8394</v>
      </c>
      <c r="D256" s="1882" t="s">
        <v>1626</v>
      </c>
      <c r="E256" s="1882" t="s">
        <v>8503</v>
      </c>
      <c r="F256" s="1882" t="s">
        <v>9984</v>
      </c>
      <c r="G256" s="1882">
        <v>4.3</v>
      </c>
      <c r="H256" s="1882" t="s">
        <v>9993</v>
      </c>
      <c r="I256" s="1882" t="s">
        <v>9994</v>
      </c>
      <c r="J256" s="1882" t="s">
        <v>8539</v>
      </c>
      <c r="K256" s="1882"/>
      <c r="L256" s="1882"/>
      <c r="M256" s="1882"/>
      <c r="N256" s="1882" t="s">
        <v>8520</v>
      </c>
      <c r="O256" s="1882" t="s">
        <v>764</v>
      </c>
      <c r="P256" s="1882" t="s">
        <v>8938</v>
      </c>
      <c r="Q256" s="520">
        <v>2</v>
      </c>
      <c r="R256" s="1882" t="s">
        <v>8511</v>
      </c>
      <c r="S256" s="1882">
        <v>131.44</v>
      </c>
      <c r="T256" s="1882">
        <v>130.79</v>
      </c>
      <c r="U256" s="1882">
        <v>130.15</v>
      </c>
      <c r="V256" s="1882">
        <v>129.52000000000001</v>
      </c>
      <c r="W256" s="1882">
        <v>128.91</v>
      </c>
      <c r="X256" s="1882">
        <v>128.31</v>
      </c>
      <c r="Y256" s="1882"/>
      <c r="Z256" s="1882"/>
      <c r="AA256" s="1882"/>
      <c r="AB256" s="1882"/>
      <c r="AC256" s="1882"/>
      <c r="AD256" s="1882"/>
      <c r="AE256" s="1882"/>
      <c r="AF256" s="1882"/>
      <c r="AG256" s="1882"/>
      <c r="AH256" s="1882">
        <v>0</v>
      </c>
      <c r="AI256" s="1882"/>
      <c r="AJ256" s="1882"/>
      <c r="AK256" s="1882"/>
      <c r="AL256" s="1882"/>
      <c r="AM256" s="1882"/>
      <c r="AN256" s="1882"/>
      <c r="AO256" s="1882"/>
      <c r="AP256" s="1882"/>
      <c r="AQ256" s="1882"/>
      <c r="AR256" s="1882"/>
      <c r="AS256" s="1882"/>
      <c r="AT256" s="1882"/>
      <c r="AU256" s="1882"/>
      <c r="AV256" s="1882"/>
      <c r="AW256" s="1882"/>
      <c r="AX256" s="1882"/>
      <c r="AY256" s="1882"/>
      <c r="AZ256" s="1882"/>
      <c r="BA256" s="1882"/>
      <c r="BB256" s="1882"/>
      <c r="BC256" s="1882"/>
      <c r="BD256" s="1882"/>
      <c r="BE256" s="1882"/>
      <c r="BF256" s="1882"/>
      <c r="BG256" s="1882"/>
      <c r="BH256" s="1882"/>
      <c r="BI256" s="1882"/>
      <c r="BJ256" s="1882"/>
      <c r="BK256" s="1882"/>
      <c r="BL256" s="1882"/>
      <c r="BM256" s="1882"/>
      <c r="BN256" s="1882"/>
      <c r="BO256" s="1882"/>
      <c r="BP256" s="520">
        <v>129.25</v>
      </c>
      <c r="BQ256" s="694">
        <v>129.59</v>
      </c>
      <c r="BR256" s="1882" t="s">
        <v>2459</v>
      </c>
      <c r="BS256" s="1882" t="s">
        <v>8513</v>
      </c>
      <c r="BT256" s="1882">
        <v>0</v>
      </c>
      <c r="BU256" s="1882" t="s">
        <v>8513</v>
      </c>
      <c r="BV256" s="1882">
        <v>0</v>
      </c>
      <c r="BW256" s="1882">
        <v>129.85</v>
      </c>
      <c r="BX256" s="1882" t="s">
        <v>2459</v>
      </c>
      <c r="BY256" s="1882">
        <v>0</v>
      </c>
      <c r="BZ256" s="1882">
        <v>0</v>
      </c>
      <c r="CA256" s="1882">
        <v>0</v>
      </c>
      <c r="CB256" s="1882">
        <v>0</v>
      </c>
      <c r="CC256" s="1882">
        <v>133.09</v>
      </c>
      <c r="CD256" s="1882" t="s">
        <v>2460</v>
      </c>
      <c r="CE256" s="1882">
        <v>0</v>
      </c>
      <c r="CF256" s="1882">
        <v>0</v>
      </c>
      <c r="CG256" s="1882">
        <v>0</v>
      </c>
      <c r="CH256" s="1882">
        <v>0</v>
      </c>
      <c r="CI256" s="1882">
        <v>136.41</v>
      </c>
      <c r="CJ256" s="1882" t="s">
        <v>2460</v>
      </c>
      <c r="CK256" s="1882">
        <v>0</v>
      </c>
      <c r="CL256" s="1882">
        <v>0</v>
      </c>
      <c r="CM256" s="1882">
        <v>0</v>
      </c>
      <c r="CN256" s="1882">
        <v>0</v>
      </c>
      <c r="CP256" s="1882" t="s">
        <v>9995</v>
      </c>
    </row>
    <row r="257" spans="1:94">
      <c r="A257" s="1882" t="s">
        <v>9958</v>
      </c>
      <c r="B257" s="1882" t="s">
        <v>9996</v>
      </c>
      <c r="C257" s="1882" t="s">
        <v>8394</v>
      </c>
      <c r="D257" s="1882" t="s">
        <v>1626</v>
      </c>
      <c r="E257" s="1882" t="s">
        <v>8503</v>
      </c>
      <c r="F257" s="1882" t="s">
        <v>9984</v>
      </c>
      <c r="G257" s="1882">
        <v>4.4000000000000004</v>
      </c>
      <c r="H257" s="1882" t="s">
        <v>9997</v>
      </c>
      <c r="I257" s="1882" t="s">
        <v>9998</v>
      </c>
      <c r="J257" s="1882" t="s">
        <v>8539</v>
      </c>
      <c r="K257" s="1882"/>
      <c r="L257" s="1882"/>
      <c r="M257" s="1882"/>
      <c r="N257" s="1882" t="s">
        <v>8666</v>
      </c>
      <c r="O257" s="1882" t="s">
        <v>764</v>
      </c>
      <c r="P257" s="1882" t="s">
        <v>9999</v>
      </c>
      <c r="Q257" s="520">
        <v>0</v>
      </c>
      <c r="R257" s="1882" t="s">
        <v>8549</v>
      </c>
      <c r="S257" s="1882">
        <v>66</v>
      </c>
      <c r="T257" s="1882">
        <v>76</v>
      </c>
      <c r="U257" s="1882">
        <v>91</v>
      </c>
      <c r="V257" s="1882">
        <v>106</v>
      </c>
      <c r="W257" s="1882">
        <v>116</v>
      </c>
      <c r="X257" s="1882">
        <v>116</v>
      </c>
      <c r="Y257" s="1882"/>
      <c r="Z257" s="1882"/>
      <c r="AA257" s="1882"/>
      <c r="AB257" s="1882"/>
      <c r="AC257" s="1882"/>
      <c r="AD257" s="1882"/>
      <c r="AE257" s="1882"/>
      <c r="AF257" s="1882" t="s">
        <v>2459</v>
      </c>
      <c r="AG257" s="1882"/>
      <c r="AH257" s="1882">
        <v>0</v>
      </c>
      <c r="AI257" s="1882"/>
      <c r="AJ257" s="1882"/>
      <c r="AK257" s="1882"/>
      <c r="AL257" s="1882"/>
      <c r="AM257" s="1882"/>
      <c r="AN257" s="1882"/>
      <c r="AO257" s="1882"/>
      <c r="AP257" s="1882"/>
      <c r="AQ257" s="1882"/>
      <c r="AR257" s="1882"/>
      <c r="AS257" s="1882"/>
      <c r="AT257" s="1882"/>
      <c r="AU257" s="1882"/>
      <c r="AV257" s="1882"/>
      <c r="AW257" s="1882"/>
      <c r="AX257" s="1882"/>
      <c r="AY257" s="1882"/>
      <c r="AZ257" s="1882"/>
      <c r="BA257" s="1882"/>
      <c r="BB257" s="1882"/>
      <c r="BC257" s="1882"/>
      <c r="BD257" s="1882"/>
      <c r="BE257" s="1882"/>
      <c r="BF257" s="1882"/>
      <c r="BG257" s="1882"/>
      <c r="BH257" s="1882"/>
      <c r="BI257" s="1882"/>
      <c r="BJ257" s="1882"/>
      <c r="BK257" s="1882"/>
      <c r="BL257" s="1882"/>
      <c r="BM257" s="1882"/>
      <c r="BN257" s="1882"/>
      <c r="BO257" s="1882"/>
      <c r="BP257" s="520">
        <v>65.2</v>
      </c>
      <c r="BQ257" s="693">
        <v>76.2</v>
      </c>
      <c r="BR257" s="1882" t="s">
        <v>2459</v>
      </c>
      <c r="BS257" s="1882" t="s">
        <v>8513</v>
      </c>
      <c r="BT257" s="1882">
        <v>0</v>
      </c>
      <c r="BU257" s="1882" t="s">
        <v>8513</v>
      </c>
      <c r="BV257" s="1882">
        <v>0</v>
      </c>
      <c r="BW257" s="1882">
        <v>91.6</v>
      </c>
      <c r="BX257" s="1882" t="s">
        <v>2459</v>
      </c>
      <c r="BY257" s="1882">
        <v>0</v>
      </c>
      <c r="BZ257" s="1882">
        <v>0</v>
      </c>
      <c r="CA257" s="1882">
        <v>0</v>
      </c>
      <c r="CB257" s="1882">
        <v>0</v>
      </c>
      <c r="CC257" s="1882">
        <v>119</v>
      </c>
      <c r="CD257" s="1882" t="s">
        <v>2459</v>
      </c>
      <c r="CE257" s="1882">
        <v>0</v>
      </c>
      <c r="CF257" s="1882">
        <v>0</v>
      </c>
      <c r="CG257" s="1882">
        <v>0</v>
      </c>
      <c r="CH257" s="1882">
        <v>0</v>
      </c>
      <c r="CI257" s="1882">
        <v>138</v>
      </c>
      <c r="CJ257" s="1882" t="s">
        <v>2459</v>
      </c>
      <c r="CK257" s="1882">
        <v>0</v>
      </c>
      <c r="CL257" s="1882">
        <v>0</v>
      </c>
      <c r="CM257" s="1882">
        <v>0</v>
      </c>
      <c r="CN257" s="1882">
        <v>0</v>
      </c>
      <c r="CP257" s="1882" t="s">
        <v>10000</v>
      </c>
    </row>
    <row r="258" spans="1:94">
      <c r="A258" s="1882" t="s">
        <v>9958</v>
      </c>
      <c r="B258" s="1882" t="s">
        <v>10001</v>
      </c>
      <c r="C258" s="1882" t="s">
        <v>8394</v>
      </c>
      <c r="D258" s="1882" t="s">
        <v>1626</v>
      </c>
      <c r="E258" s="1882" t="s">
        <v>8503</v>
      </c>
      <c r="F258" s="1882" t="s">
        <v>9984</v>
      </c>
      <c r="G258" s="1882">
        <v>4.5</v>
      </c>
      <c r="H258" s="1882" t="s">
        <v>10002</v>
      </c>
      <c r="I258" s="1882" t="s">
        <v>10003</v>
      </c>
      <c r="J258" s="1882" t="s">
        <v>8539</v>
      </c>
      <c r="K258" s="1882"/>
      <c r="L258" s="1882"/>
      <c r="M258" s="1882"/>
      <c r="N258" s="1882" t="s">
        <v>8681</v>
      </c>
      <c r="O258" s="1882" t="s">
        <v>764</v>
      </c>
      <c r="P258" s="1882" t="s">
        <v>10004</v>
      </c>
      <c r="Q258" s="520">
        <v>0</v>
      </c>
      <c r="R258" s="1882" t="s">
        <v>8549</v>
      </c>
      <c r="S258" s="1882">
        <v>0</v>
      </c>
      <c r="T258" s="1882">
        <v>509</v>
      </c>
      <c r="U258" s="1882">
        <v>1320</v>
      </c>
      <c r="V258" s="1882">
        <v>2428</v>
      </c>
      <c r="W258" s="1882">
        <v>3742</v>
      </c>
      <c r="X258" s="1882">
        <v>5210</v>
      </c>
      <c r="Y258" s="1882"/>
      <c r="Z258" s="1882"/>
      <c r="AA258" s="1882"/>
      <c r="AB258" s="1882"/>
      <c r="AC258" s="1882"/>
      <c r="AD258" s="1882"/>
      <c r="AE258" s="1882"/>
      <c r="AF258" s="1882"/>
      <c r="AG258" s="1882"/>
      <c r="AH258" s="1882">
        <v>0</v>
      </c>
      <c r="AI258" s="1882"/>
      <c r="AJ258" s="1882"/>
      <c r="AK258" s="1882"/>
      <c r="AL258" s="1882"/>
      <c r="AM258" s="1882"/>
      <c r="AN258" s="1882"/>
      <c r="AO258" s="1882"/>
      <c r="AP258" s="1882"/>
      <c r="AQ258" s="1882"/>
      <c r="AR258" s="1882"/>
      <c r="AS258" s="1882"/>
      <c r="AT258" s="1882"/>
      <c r="AU258" s="1882"/>
      <c r="AV258" s="1882"/>
      <c r="AW258" s="1882"/>
      <c r="AX258" s="1882"/>
      <c r="AY258" s="1882"/>
      <c r="AZ258" s="1882"/>
      <c r="BA258" s="1882"/>
      <c r="BB258" s="1882"/>
      <c r="BC258" s="1882"/>
      <c r="BD258" s="1882"/>
      <c r="BE258" s="1882"/>
      <c r="BF258" s="1882"/>
      <c r="BG258" s="1882"/>
      <c r="BH258" s="1882"/>
      <c r="BI258" s="1882"/>
      <c r="BJ258" s="1882"/>
      <c r="BK258" s="1882"/>
      <c r="BL258" s="1882"/>
      <c r="BM258" s="1882"/>
      <c r="BN258" s="1882"/>
      <c r="BO258" s="1882"/>
      <c r="BP258" s="520" t="s">
        <v>10005</v>
      </c>
      <c r="BQ258" s="693">
        <v>178</v>
      </c>
      <c r="BR258" s="1882" t="s">
        <v>2460</v>
      </c>
      <c r="BS258" s="1882" t="s">
        <v>8513</v>
      </c>
      <c r="BT258" s="1882">
        <v>0</v>
      </c>
      <c r="BU258" s="1882" t="s">
        <v>8513</v>
      </c>
      <c r="BV258" s="1882">
        <v>0</v>
      </c>
      <c r="BW258" s="1882">
        <v>285</v>
      </c>
      <c r="BX258" s="1882" t="s">
        <v>2460</v>
      </c>
      <c r="BY258" s="1882">
        <v>0</v>
      </c>
      <c r="BZ258" s="1882">
        <v>0</v>
      </c>
      <c r="CA258" s="1882">
        <v>0</v>
      </c>
      <c r="CB258" s="1882">
        <v>0</v>
      </c>
      <c r="CC258" s="1882">
        <v>550</v>
      </c>
      <c r="CD258" s="1882" t="s">
        <v>2460</v>
      </c>
      <c r="CE258" s="1882">
        <v>0</v>
      </c>
      <c r="CF258" s="1882">
        <v>0</v>
      </c>
      <c r="CG258" s="1882">
        <v>0</v>
      </c>
      <c r="CH258" s="1882">
        <v>0</v>
      </c>
      <c r="CI258" s="1882">
        <v>635</v>
      </c>
      <c r="CJ258" s="1882" t="s">
        <v>2460</v>
      </c>
      <c r="CK258" s="1882">
        <v>0</v>
      </c>
      <c r="CL258" s="1882">
        <v>0</v>
      </c>
      <c r="CM258" s="1882">
        <v>0</v>
      </c>
      <c r="CN258" s="1882">
        <v>0</v>
      </c>
      <c r="CP258" s="1882" t="s">
        <v>10006</v>
      </c>
    </row>
    <row r="259" spans="1:94">
      <c r="A259" s="1882" t="s">
        <v>9958</v>
      </c>
      <c r="B259" s="1882" t="s">
        <v>10007</v>
      </c>
      <c r="C259" s="1882" t="s">
        <v>8394</v>
      </c>
      <c r="D259" s="1882" t="s">
        <v>1626</v>
      </c>
      <c r="E259" s="1882" t="s">
        <v>8503</v>
      </c>
      <c r="F259" s="1882" t="s">
        <v>10008</v>
      </c>
      <c r="G259" s="1882">
        <v>5.0999999999999996</v>
      </c>
      <c r="H259" s="1882" t="s">
        <v>10009</v>
      </c>
      <c r="I259" s="1882" t="s">
        <v>10010</v>
      </c>
      <c r="J259" s="1882" t="s">
        <v>8539</v>
      </c>
      <c r="K259" s="1882"/>
      <c r="L259" s="1882"/>
      <c r="M259" s="1882"/>
      <c r="N259" s="1882" t="s">
        <v>8599</v>
      </c>
      <c r="O259" s="1882" t="s">
        <v>732</v>
      </c>
      <c r="P259" s="1882" t="s">
        <v>10011</v>
      </c>
      <c r="Q259" s="520">
        <v>0</v>
      </c>
      <c r="R259" s="1882" t="s">
        <v>8549</v>
      </c>
      <c r="S259" s="1882">
        <v>87</v>
      </c>
      <c r="T259" s="1882">
        <v>90</v>
      </c>
      <c r="U259" s="1882">
        <v>90</v>
      </c>
      <c r="V259" s="1882">
        <v>90</v>
      </c>
      <c r="W259" s="1882">
        <v>90</v>
      </c>
      <c r="X259" s="1882">
        <v>90</v>
      </c>
      <c r="Y259" s="1882"/>
      <c r="Z259" s="1882"/>
      <c r="AA259" s="1882"/>
      <c r="AB259" s="1882"/>
      <c r="AC259" s="1882"/>
      <c r="AD259" s="1882"/>
      <c r="AE259" s="1882"/>
      <c r="AF259" s="1882"/>
      <c r="AG259" s="1882"/>
      <c r="AH259" s="1882">
        <v>0</v>
      </c>
      <c r="AI259" s="1882"/>
      <c r="AJ259" s="1882"/>
      <c r="AK259" s="1882"/>
      <c r="AL259" s="1882"/>
      <c r="AM259" s="1882"/>
      <c r="AN259" s="1882"/>
      <c r="AO259" s="1882"/>
      <c r="AP259" s="1882"/>
      <c r="AQ259" s="1882"/>
      <c r="AR259" s="1882"/>
      <c r="AS259" s="1882"/>
      <c r="AT259" s="1882"/>
      <c r="AU259" s="1882"/>
      <c r="AV259" s="1882"/>
      <c r="AW259" s="1882"/>
      <c r="AX259" s="1882"/>
      <c r="AY259" s="1882"/>
      <c r="AZ259" s="1882"/>
      <c r="BA259" s="1882"/>
      <c r="BB259" s="1882"/>
      <c r="BC259" s="1882"/>
      <c r="BD259" s="1882"/>
      <c r="BE259" s="1882"/>
      <c r="BF259" s="1882"/>
      <c r="BG259" s="1882"/>
      <c r="BH259" s="1882"/>
      <c r="BI259" s="1882"/>
      <c r="BJ259" s="1882"/>
      <c r="BK259" s="1882"/>
      <c r="BL259" s="1882"/>
      <c r="BM259" s="1882"/>
      <c r="BN259" s="1882"/>
      <c r="BO259" s="1882"/>
      <c r="BP259" s="520" t="s">
        <v>10012</v>
      </c>
      <c r="BQ259" s="693">
        <v>93</v>
      </c>
      <c r="BR259" s="1882" t="s">
        <v>2459</v>
      </c>
      <c r="BS259" s="1882" t="s">
        <v>8513</v>
      </c>
      <c r="BT259" s="1882">
        <v>0</v>
      </c>
      <c r="BU259" s="1882" t="s">
        <v>8513</v>
      </c>
      <c r="BV259" s="1882">
        <v>0</v>
      </c>
      <c r="BW259" s="1882">
        <v>91</v>
      </c>
      <c r="BX259" s="1882" t="s">
        <v>2459</v>
      </c>
      <c r="BY259" s="1882">
        <v>0</v>
      </c>
      <c r="BZ259" s="1882">
        <v>0</v>
      </c>
      <c r="CA259" s="1882">
        <v>0</v>
      </c>
      <c r="CB259" s="1882">
        <v>0</v>
      </c>
      <c r="CC259" s="1882">
        <v>94</v>
      </c>
      <c r="CD259" s="1882" t="s">
        <v>2459</v>
      </c>
      <c r="CE259" s="1882">
        <v>0</v>
      </c>
      <c r="CF259" s="1882">
        <v>0</v>
      </c>
      <c r="CG259" s="1882">
        <v>0</v>
      </c>
      <c r="CH259" s="1882">
        <v>0</v>
      </c>
      <c r="CI259" s="1882">
        <v>95</v>
      </c>
      <c r="CJ259" s="1882" t="s">
        <v>2459</v>
      </c>
      <c r="CK259" s="1882">
        <v>0</v>
      </c>
      <c r="CL259" s="1882">
        <v>0</v>
      </c>
      <c r="CM259" s="1882">
        <v>0</v>
      </c>
      <c r="CN259" s="1882">
        <v>0</v>
      </c>
      <c r="CP259" s="1882" t="s">
        <v>10013</v>
      </c>
    </row>
    <row r="260" spans="1:94">
      <c r="A260" s="1882" t="s">
        <v>9958</v>
      </c>
      <c r="B260" s="1882" t="s">
        <v>10014</v>
      </c>
      <c r="C260" s="1882" t="s">
        <v>8394</v>
      </c>
      <c r="D260" s="1882" t="s">
        <v>1626</v>
      </c>
      <c r="E260" s="1882" t="s">
        <v>8503</v>
      </c>
      <c r="F260" s="1882" t="s">
        <v>10008</v>
      </c>
      <c r="G260" s="1882">
        <v>5.2</v>
      </c>
      <c r="H260" s="1882" t="s">
        <v>10015</v>
      </c>
      <c r="I260" s="1882" t="s">
        <v>10016</v>
      </c>
      <c r="J260" s="1882" t="s">
        <v>8539</v>
      </c>
      <c r="K260" s="1882"/>
      <c r="L260" s="1882"/>
      <c r="M260" s="1882"/>
      <c r="N260" s="1882" t="s">
        <v>8599</v>
      </c>
      <c r="O260" s="1882" t="s">
        <v>764</v>
      </c>
      <c r="P260" s="1882" t="s">
        <v>10017</v>
      </c>
      <c r="Q260" s="520">
        <v>0</v>
      </c>
      <c r="R260" s="1882" t="s">
        <v>8549</v>
      </c>
      <c r="S260" s="1882">
        <v>17000</v>
      </c>
      <c r="T260" s="1882">
        <v>19600</v>
      </c>
      <c r="U260" s="1882">
        <v>22200</v>
      </c>
      <c r="V260" s="1882">
        <v>24800</v>
      </c>
      <c r="W260" s="1882">
        <v>27400</v>
      </c>
      <c r="X260" s="1882">
        <v>30000</v>
      </c>
      <c r="Y260" s="1882"/>
      <c r="Z260" s="1882"/>
      <c r="AA260" s="1882"/>
      <c r="AB260" s="1882"/>
      <c r="AC260" s="1882"/>
      <c r="AD260" s="1882"/>
      <c r="AE260" s="1882"/>
      <c r="AF260" s="1882"/>
      <c r="AG260" s="1882"/>
      <c r="AH260" s="1882">
        <v>0</v>
      </c>
      <c r="AI260" s="1882"/>
      <c r="AJ260" s="1882"/>
      <c r="AK260" s="1882"/>
      <c r="AL260" s="1882"/>
      <c r="AM260" s="1882"/>
      <c r="AN260" s="1882"/>
      <c r="AO260" s="1882"/>
      <c r="AP260" s="1882"/>
      <c r="AQ260" s="1882"/>
      <c r="AR260" s="1882"/>
      <c r="AS260" s="1882"/>
      <c r="AT260" s="1882"/>
      <c r="AU260" s="1882"/>
      <c r="AV260" s="1882"/>
      <c r="AW260" s="1882"/>
      <c r="AX260" s="1882"/>
      <c r="AY260" s="1882"/>
      <c r="AZ260" s="1882"/>
      <c r="BA260" s="1882"/>
      <c r="BB260" s="1882"/>
      <c r="BC260" s="1882"/>
      <c r="BD260" s="1882"/>
      <c r="BE260" s="1882"/>
      <c r="BF260" s="1882"/>
      <c r="BG260" s="1882"/>
      <c r="BH260" s="1882"/>
      <c r="BI260" s="1882"/>
      <c r="BJ260" s="1882"/>
      <c r="BK260" s="1882"/>
      <c r="BL260" s="1882"/>
      <c r="BM260" s="1882"/>
      <c r="BN260" s="1882"/>
      <c r="BO260" s="1882"/>
      <c r="BP260" s="520">
        <v>17866</v>
      </c>
      <c r="BQ260" s="693">
        <v>19621</v>
      </c>
      <c r="BR260" s="1882" t="s">
        <v>2459</v>
      </c>
      <c r="BS260" s="1882" t="s">
        <v>8513</v>
      </c>
      <c r="BT260" s="1882">
        <v>0</v>
      </c>
      <c r="BU260" s="1882" t="s">
        <v>8513</v>
      </c>
      <c r="BV260" s="1882">
        <v>0</v>
      </c>
      <c r="BW260" s="1882">
        <v>23895</v>
      </c>
      <c r="BX260" s="1882" t="s">
        <v>2459</v>
      </c>
      <c r="BY260" s="1882">
        <v>0</v>
      </c>
      <c r="BZ260" s="1882">
        <v>0</v>
      </c>
      <c r="CA260" s="1882">
        <v>0</v>
      </c>
      <c r="CB260" s="1882">
        <v>0</v>
      </c>
      <c r="CC260" s="1882">
        <v>29036</v>
      </c>
      <c r="CD260" s="1882" t="s">
        <v>2459</v>
      </c>
      <c r="CE260" s="1882">
        <v>0</v>
      </c>
      <c r="CF260" s="1882">
        <v>0</v>
      </c>
      <c r="CG260" s="1882">
        <v>0</v>
      </c>
      <c r="CH260" s="1882">
        <v>0</v>
      </c>
      <c r="CI260" s="1882">
        <v>30838</v>
      </c>
      <c r="CJ260" s="1882" t="s">
        <v>2459</v>
      </c>
      <c r="CK260" s="1882">
        <v>0</v>
      </c>
      <c r="CL260" s="1882">
        <v>0</v>
      </c>
      <c r="CM260" s="1882">
        <v>0</v>
      </c>
      <c r="CN260" s="1882">
        <v>0</v>
      </c>
      <c r="CP260" s="1882" t="s">
        <v>10018</v>
      </c>
    </row>
    <row r="261" spans="1:94">
      <c r="A261" s="1882" t="s">
        <v>9958</v>
      </c>
      <c r="B261" s="1882" t="s">
        <v>10019</v>
      </c>
      <c r="C261" s="1882" t="s">
        <v>8394</v>
      </c>
      <c r="D261" s="1882" t="s">
        <v>8584</v>
      </c>
      <c r="E261" s="1882" t="s">
        <v>8585</v>
      </c>
      <c r="F261" s="1882" t="s">
        <v>10020</v>
      </c>
      <c r="G261" s="1882">
        <v>3.1</v>
      </c>
      <c r="H261" s="1882" t="s">
        <v>10021</v>
      </c>
      <c r="I261" s="1882" t="s">
        <v>10022</v>
      </c>
      <c r="J261" s="1882" t="s">
        <v>8508</v>
      </c>
      <c r="K261" s="1882" t="s">
        <v>8509</v>
      </c>
      <c r="L261" s="1882"/>
      <c r="M261" s="1882" t="s">
        <v>2460</v>
      </c>
      <c r="N261" s="1882" t="s">
        <v>8590</v>
      </c>
      <c r="O261" s="1882" t="s">
        <v>8591</v>
      </c>
      <c r="P261" s="1882" t="s">
        <v>8592</v>
      </c>
      <c r="Q261" s="520">
        <v>1</v>
      </c>
      <c r="R261" s="1882" t="s">
        <v>8549</v>
      </c>
      <c r="S261" s="1882">
        <v>88</v>
      </c>
      <c r="T261" s="1882">
        <v>89</v>
      </c>
      <c r="U261" s="1882">
        <v>90</v>
      </c>
      <c r="V261" s="1882">
        <v>90</v>
      </c>
      <c r="W261" s="1882">
        <v>90</v>
      </c>
      <c r="X261" s="1882">
        <v>90</v>
      </c>
      <c r="Y261" s="1882"/>
      <c r="Z261" s="1882"/>
      <c r="AA261" s="1882"/>
      <c r="AB261" s="1882"/>
      <c r="AC261" s="1882"/>
      <c r="AD261" s="1882"/>
      <c r="AE261" s="1882"/>
      <c r="AF261" s="1882"/>
      <c r="AG261" s="1882"/>
      <c r="AH261" s="1882">
        <v>0</v>
      </c>
      <c r="AI261" s="1882" t="s">
        <v>2459</v>
      </c>
      <c r="AJ261" s="1882" t="s">
        <v>2459</v>
      </c>
      <c r="AK261" s="1882" t="s">
        <v>2459</v>
      </c>
      <c r="AL261" s="1882" t="s">
        <v>2459</v>
      </c>
      <c r="AM261" s="1882" t="s">
        <v>2459</v>
      </c>
      <c r="AN261" s="1882" t="s">
        <v>8593</v>
      </c>
      <c r="AO261" s="1882" t="s">
        <v>8593</v>
      </c>
      <c r="AP261" s="1882" t="s">
        <v>8593</v>
      </c>
      <c r="AQ261" s="1882" t="s">
        <v>8593</v>
      </c>
      <c r="AR261" s="1882" t="s">
        <v>8593</v>
      </c>
      <c r="AS261" s="1882" t="s">
        <v>8593</v>
      </c>
      <c r="AT261" s="1882" t="s">
        <v>8593</v>
      </c>
      <c r="AU261" s="1882" t="s">
        <v>8593</v>
      </c>
      <c r="AV261" s="1882" t="s">
        <v>8593</v>
      </c>
      <c r="AW261" s="1882" t="s">
        <v>8593</v>
      </c>
      <c r="AX261" s="1882" t="s">
        <v>8593</v>
      </c>
      <c r="AY261" s="1882" t="s">
        <v>8593</v>
      </c>
      <c r="AZ261" s="1882" t="s">
        <v>8593</v>
      </c>
      <c r="BA261" s="1882" t="s">
        <v>8593</v>
      </c>
      <c r="BB261" s="1882" t="s">
        <v>8593</v>
      </c>
      <c r="BC261" s="1882" t="s">
        <v>8593</v>
      </c>
      <c r="BD261" s="1882" t="s">
        <v>8593</v>
      </c>
      <c r="BE261" s="1882" t="s">
        <v>8593</v>
      </c>
      <c r="BF261" s="1882" t="s">
        <v>8593</v>
      </c>
      <c r="BG261" s="1882" t="s">
        <v>8593</v>
      </c>
      <c r="BH261" s="1882" t="s">
        <v>8593</v>
      </c>
      <c r="BI261" s="1882"/>
      <c r="BJ261" s="1882"/>
      <c r="BK261" s="1882"/>
      <c r="BL261" s="1882" t="s">
        <v>8593</v>
      </c>
      <c r="BM261" s="1882"/>
      <c r="BN261" s="1882">
        <v>1</v>
      </c>
      <c r="BO261" s="1882" t="s">
        <v>8512</v>
      </c>
      <c r="BP261" s="520">
        <v>85</v>
      </c>
      <c r="BQ261" s="690">
        <v>86.3</v>
      </c>
      <c r="BR261" s="1882" t="s">
        <v>2460</v>
      </c>
      <c r="BS261" s="1882" t="s">
        <v>8513</v>
      </c>
      <c r="BT261" s="1882">
        <v>0</v>
      </c>
      <c r="BU261" s="1882" t="s">
        <v>8513</v>
      </c>
      <c r="BV261" s="1882">
        <v>0</v>
      </c>
      <c r="BW261" s="1882">
        <v>84.4</v>
      </c>
      <c r="BX261" s="1882" t="s">
        <v>2460</v>
      </c>
      <c r="BY261" s="1882">
        <v>0</v>
      </c>
      <c r="BZ261" s="1882">
        <v>0</v>
      </c>
      <c r="CA261" s="1882">
        <v>0</v>
      </c>
      <c r="CB261" s="1882">
        <v>0</v>
      </c>
      <c r="CC261" s="1882">
        <v>87.03</v>
      </c>
      <c r="CD261" s="1882" t="s">
        <v>2460</v>
      </c>
      <c r="CE261" s="1882">
        <v>0</v>
      </c>
      <c r="CF261" s="1882">
        <v>0</v>
      </c>
      <c r="CG261" s="1882">
        <v>0</v>
      </c>
      <c r="CH261" s="1882">
        <v>0</v>
      </c>
      <c r="CI261" s="1882">
        <v>86.4</v>
      </c>
      <c r="CJ261" s="1882" t="s">
        <v>2460</v>
      </c>
      <c r="CK261" s="1882">
        <v>0</v>
      </c>
      <c r="CL261" s="1882">
        <v>0</v>
      </c>
      <c r="CM261" s="1882">
        <v>0</v>
      </c>
      <c r="CN261" s="1882">
        <v>0</v>
      </c>
      <c r="CP261" s="1882" t="s">
        <v>10023</v>
      </c>
    </row>
    <row r="262" spans="1:94">
      <c r="A262" s="1882" t="s">
        <v>9958</v>
      </c>
      <c r="B262" s="1882" t="s">
        <v>10024</v>
      </c>
      <c r="C262" s="1882" t="s">
        <v>8394</v>
      </c>
      <c r="D262" s="1882" t="s">
        <v>8584</v>
      </c>
      <c r="E262" s="1882" t="s">
        <v>8585</v>
      </c>
      <c r="F262" s="1882" t="s">
        <v>10020</v>
      </c>
      <c r="G262" s="1882">
        <v>3.2</v>
      </c>
      <c r="H262" s="1882" t="s">
        <v>10025</v>
      </c>
      <c r="I262" s="1882" t="s">
        <v>10026</v>
      </c>
      <c r="J262" s="1882" t="s">
        <v>8539</v>
      </c>
      <c r="K262" s="1882"/>
      <c r="L262" s="1882"/>
      <c r="M262" s="1882"/>
      <c r="N262" s="1882" t="s">
        <v>8695</v>
      </c>
      <c r="O262" s="1882" t="s">
        <v>732</v>
      </c>
      <c r="P262" s="1882" t="s">
        <v>8696</v>
      </c>
      <c r="Q262" s="520">
        <v>0</v>
      </c>
      <c r="R262" s="1882" t="s">
        <v>8549</v>
      </c>
      <c r="S262" s="1882">
        <v>96</v>
      </c>
      <c r="T262" s="1882">
        <v>98</v>
      </c>
      <c r="U262" s="1882">
        <v>98</v>
      </c>
      <c r="V262" s="1882">
        <v>98</v>
      </c>
      <c r="W262" s="1882">
        <v>98</v>
      </c>
      <c r="X262" s="1882">
        <v>98</v>
      </c>
      <c r="Y262" s="1882"/>
      <c r="Z262" s="1882"/>
      <c r="AA262" s="1882"/>
      <c r="AB262" s="1882"/>
      <c r="AC262" s="1882"/>
      <c r="AD262" s="1882"/>
      <c r="AE262" s="1882"/>
      <c r="AF262" s="1882"/>
      <c r="AG262" s="1882"/>
      <c r="AH262" s="1882">
        <v>0</v>
      </c>
      <c r="AI262" s="1882"/>
      <c r="AJ262" s="1882"/>
      <c r="AK262" s="1882"/>
      <c r="AL262" s="1882"/>
      <c r="AM262" s="1882"/>
      <c r="AN262" s="1882"/>
      <c r="AO262" s="1882"/>
      <c r="AP262" s="1882"/>
      <c r="AQ262" s="1882"/>
      <c r="AR262" s="1882"/>
      <c r="AS262" s="1882"/>
      <c r="AT262" s="1882"/>
      <c r="AU262" s="1882"/>
      <c r="AV262" s="1882"/>
      <c r="AW262" s="1882"/>
      <c r="AX262" s="1882"/>
      <c r="AY262" s="1882"/>
      <c r="AZ262" s="1882"/>
      <c r="BA262" s="1882"/>
      <c r="BB262" s="1882"/>
      <c r="BC262" s="1882"/>
      <c r="BD262" s="1882"/>
      <c r="BE262" s="1882"/>
      <c r="BF262" s="1882"/>
      <c r="BG262" s="1882"/>
      <c r="BH262" s="1882"/>
      <c r="BI262" s="1882"/>
      <c r="BJ262" s="1882"/>
      <c r="BK262" s="1882"/>
      <c r="BL262" s="1882"/>
      <c r="BM262" s="1882"/>
      <c r="BN262" s="1882"/>
      <c r="BO262" s="1882"/>
      <c r="BP262" s="520" t="s">
        <v>10012</v>
      </c>
      <c r="BQ262" s="693">
        <v>98</v>
      </c>
      <c r="BR262" s="1882" t="s">
        <v>2459</v>
      </c>
      <c r="BS262" s="1882" t="s">
        <v>8513</v>
      </c>
      <c r="BT262" s="1882">
        <v>0</v>
      </c>
      <c r="BU262" s="1882" t="s">
        <v>8513</v>
      </c>
      <c r="BV262" s="1882">
        <v>0</v>
      </c>
      <c r="BW262" s="1882">
        <v>99</v>
      </c>
      <c r="BX262" s="1882" t="s">
        <v>2459</v>
      </c>
      <c r="BY262" s="1882">
        <v>0</v>
      </c>
      <c r="BZ262" s="1882">
        <v>0</v>
      </c>
      <c r="CA262" s="1882">
        <v>0</v>
      </c>
      <c r="CB262" s="1882">
        <v>0</v>
      </c>
      <c r="CC262" s="1882">
        <v>97</v>
      </c>
      <c r="CD262" s="1882" t="s">
        <v>2460</v>
      </c>
      <c r="CE262" s="1882">
        <v>0</v>
      </c>
      <c r="CF262" s="1882">
        <v>0</v>
      </c>
      <c r="CG262" s="1882">
        <v>0</v>
      </c>
      <c r="CH262" s="1882">
        <v>0</v>
      </c>
      <c r="CI262" s="1882">
        <v>98</v>
      </c>
      <c r="CJ262" s="1882" t="s">
        <v>2459</v>
      </c>
      <c r="CK262" s="1882">
        <v>0</v>
      </c>
      <c r="CL262" s="1882">
        <v>0</v>
      </c>
      <c r="CM262" s="1882">
        <v>0</v>
      </c>
      <c r="CN262" s="1882">
        <v>0</v>
      </c>
      <c r="CP262" s="1882" t="s">
        <v>10027</v>
      </c>
    </row>
    <row r="263" spans="1:94">
      <c r="A263" s="1882" t="s">
        <v>9958</v>
      </c>
      <c r="B263" s="1882" t="s">
        <v>10028</v>
      </c>
      <c r="C263" s="1882" t="s">
        <v>8394</v>
      </c>
      <c r="D263" s="1882" t="s">
        <v>8584</v>
      </c>
      <c r="E263" s="1882" t="s">
        <v>8585</v>
      </c>
      <c r="F263" s="1882" t="s">
        <v>10020</v>
      </c>
      <c r="G263" s="1882">
        <v>3.3</v>
      </c>
      <c r="H263" s="1882" t="s">
        <v>10029</v>
      </c>
      <c r="I263" s="1882" t="s">
        <v>10030</v>
      </c>
      <c r="J263" s="1882" t="s">
        <v>8539</v>
      </c>
      <c r="K263" s="1882"/>
      <c r="L263" s="1882"/>
      <c r="M263" s="1882"/>
      <c r="N263" s="1882" t="s">
        <v>9592</v>
      </c>
      <c r="O263" s="1882" t="s">
        <v>764</v>
      </c>
      <c r="P263" s="1882" t="s">
        <v>10031</v>
      </c>
      <c r="Q263" s="520">
        <v>0</v>
      </c>
      <c r="R263" s="1882" t="s">
        <v>8549</v>
      </c>
      <c r="S263" s="1882">
        <v>300</v>
      </c>
      <c r="T263" s="1882">
        <v>400</v>
      </c>
      <c r="U263" s="1882">
        <v>400</v>
      </c>
      <c r="V263" s="1882">
        <v>400</v>
      </c>
      <c r="W263" s="1882">
        <v>400</v>
      </c>
      <c r="X263" s="1882">
        <v>400</v>
      </c>
      <c r="Y263" s="1882"/>
      <c r="Z263" s="1882"/>
      <c r="AA263" s="1882"/>
      <c r="AB263" s="1882"/>
      <c r="AC263" s="1882"/>
      <c r="AD263" s="1882"/>
      <c r="AE263" s="1882"/>
      <c r="AF263" s="1882"/>
      <c r="AG263" s="1882"/>
      <c r="AH263" s="1882">
        <v>0</v>
      </c>
      <c r="AI263" s="1882"/>
      <c r="AJ263" s="1882"/>
      <c r="AK263" s="1882"/>
      <c r="AL263" s="1882"/>
      <c r="AM263" s="1882"/>
      <c r="AN263" s="1882"/>
      <c r="AO263" s="1882"/>
      <c r="AP263" s="1882"/>
      <c r="AQ263" s="1882"/>
      <c r="AR263" s="1882"/>
      <c r="AS263" s="1882"/>
      <c r="AT263" s="1882"/>
      <c r="AU263" s="1882"/>
      <c r="AV263" s="1882"/>
      <c r="AW263" s="1882"/>
      <c r="AX263" s="1882"/>
      <c r="AY263" s="1882"/>
      <c r="AZ263" s="1882"/>
      <c r="BA263" s="1882"/>
      <c r="BB263" s="1882"/>
      <c r="BC263" s="1882"/>
      <c r="BD263" s="1882"/>
      <c r="BE263" s="1882"/>
      <c r="BF263" s="1882"/>
      <c r="BG263" s="1882"/>
      <c r="BH263" s="1882"/>
      <c r="BI263" s="1882"/>
      <c r="BJ263" s="1882"/>
      <c r="BK263" s="1882"/>
      <c r="BL263" s="1882"/>
      <c r="BM263" s="1882"/>
      <c r="BN263" s="1882"/>
      <c r="BO263" s="1882"/>
      <c r="BP263" s="520" t="s">
        <v>10012</v>
      </c>
      <c r="BQ263" s="693">
        <v>256.5</v>
      </c>
      <c r="BR263" s="1882" t="s">
        <v>2460</v>
      </c>
      <c r="BS263" s="1882" t="s">
        <v>8513</v>
      </c>
      <c r="BT263" s="1882">
        <v>0</v>
      </c>
      <c r="BU263" s="1882" t="s">
        <v>8513</v>
      </c>
      <c r="BV263" s="1882">
        <v>0</v>
      </c>
      <c r="BW263" s="1882">
        <v>222</v>
      </c>
      <c r="BX263" s="1882" t="s">
        <v>2460</v>
      </c>
      <c r="BY263" s="1882">
        <v>0</v>
      </c>
      <c r="BZ263" s="1882">
        <v>0</v>
      </c>
      <c r="CA263" s="1882">
        <v>0</v>
      </c>
      <c r="CB263" s="1882">
        <v>0</v>
      </c>
      <c r="CC263" s="1882">
        <v>425</v>
      </c>
      <c r="CD263" s="1882" t="s">
        <v>2459</v>
      </c>
      <c r="CE263" s="1882">
        <v>0</v>
      </c>
      <c r="CF263" s="1882">
        <v>0</v>
      </c>
      <c r="CG263" s="1882">
        <v>0</v>
      </c>
      <c r="CH263" s="1882">
        <v>0</v>
      </c>
      <c r="CI263" s="1882">
        <v>749</v>
      </c>
      <c r="CJ263" s="1882" t="s">
        <v>2459</v>
      </c>
      <c r="CK263" s="1882">
        <v>0</v>
      </c>
      <c r="CL263" s="1882">
        <v>0</v>
      </c>
      <c r="CM263" s="1882">
        <v>0</v>
      </c>
      <c r="CN263" s="1882">
        <v>0</v>
      </c>
      <c r="CP263" s="1882" t="s">
        <v>10032</v>
      </c>
    </row>
    <row r="264" spans="1:94">
      <c r="A264" s="1882" t="s">
        <v>8365</v>
      </c>
      <c r="B264" s="1882" t="s">
        <v>10033</v>
      </c>
      <c r="C264" s="1882" t="s">
        <v>8352</v>
      </c>
      <c r="D264" s="1882" t="s">
        <v>1626</v>
      </c>
      <c r="E264" s="1882" t="s">
        <v>8503</v>
      </c>
      <c r="F264" s="1882" t="s">
        <v>10034</v>
      </c>
      <c r="G264" s="1882" t="s">
        <v>8505</v>
      </c>
      <c r="H264" s="1882" t="s">
        <v>10035</v>
      </c>
      <c r="I264" s="1882" t="s">
        <v>10036</v>
      </c>
      <c r="J264" s="1882" t="s">
        <v>8508</v>
      </c>
      <c r="K264" s="1882" t="s">
        <v>8509</v>
      </c>
      <c r="L264" s="1882" t="s">
        <v>2459</v>
      </c>
      <c r="M264" s="1882"/>
      <c r="N264" s="1882" t="s">
        <v>8463</v>
      </c>
      <c r="O264" s="1882" t="s">
        <v>764</v>
      </c>
      <c r="P264" s="1882" t="s">
        <v>10037</v>
      </c>
      <c r="Q264" s="520">
        <v>0</v>
      </c>
      <c r="R264" s="1882" t="s">
        <v>8511</v>
      </c>
      <c r="S264" s="1882">
        <v>13000</v>
      </c>
      <c r="T264" s="1882">
        <v>11900</v>
      </c>
      <c r="U264" s="1882">
        <v>10995</v>
      </c>
      <c r="V264" s="1882">
        <v>9992</v>
      </c>
      <c r="W264" s="1882">
        <v>9992</v>
      </c>
      <c r="X264" s="1882">
        <v>9992</v>
      </c>
      <c r="Y264" s="1882"/>
      <c r="Z264" s="1882" t="s">
        <v>2459</v>
      </c>
      <c r="AA264" s="1882"/>
      <c r="AB264" s="1882"/>
      <c r="AC264" s="1882"/>
      <c r="AD264" s="1882"/>
      <c r="AE264" s="1882" t="s">
        <v>2459</v>
      </c>
      <c r="AF264" s="1882"/>
      <c r="AG264" s="1882"/>
      <c r="AH264" s="1882">
        <v>0</v>
      </c>
      <c r="AI264" s="1882" t="s">
        <v>2459</v>
      </c>
      <c r="AJ264" s="1882" t="s">
        <v>2459</v>
      </c>
      <c r="AK264" s="1882" t="s">
        <v>2459</v>
      </c>
      <c r="AL264" s="1882" t="s">
        <v>2459</v>
      </c>
      <c r="AM264" s="1882" t="s">
        <v>2459</v>
      </c>
      <c r="AN264" s="1882">
        <v>999999</v>
      </c>
      <c r="AO264" s="1882">
        <v>999999</v>
      </c>
      <c r="AP264" s="1882">
        <v>999999</v>
      </c>
      <c r="AQ264" s="1882">
        <v>999999</v>
      </c>
      <c r="AR264" s="1882">
        <v>999999</v>
      </c>
      <c r="AS264" s="1882">
        <v>11900</v>
      </c>
      <c r="AT264" s="1882">
        <v>11800</v>
      </c>
      <c r="AU264" s="1882">
        <v>9992</v>
      </c>
      <c r="AV264" s="1882">
        <v>9992</v>
      </c>
      <c r="AW264" s="1882">
        <v>9992</v>
      </c>
      <c r="AX264" s="1882">
        <v>9992</v>
      </c>
      <c r="AY264" s="1882">
        <v>9992</v>
      </c>
      <c r="AZ264" s="1882">
        <v>9992</v>
      </c>
      <c r="BA264" s="1882">
        <v>9992</v>
      </c>
      <c r="BB264" s="1882">
        <v>9992</v>
      </c>
      <c r="BC264" s="1882">
        <v>0</v>
      </c>
      <c r="BD264" s="1882">
        <v>0</v>
      </c>
      <c r="BE264" s="1882">
        <v>0</v>
      </c>
      <c r="BF264" s="1882">
        <v>0</v>
      </c>
      <c r="BG264" s="1882">
        <v>0</v>
      </c>
      <c r="BH264" s="1882">
        <v>8.9999999999999998E-4</v>
      </c>
      <c r="BI264" s="1882"/>
      <c r="BJ264" s="1882"/>
      <c r="BK264" s="1882"/>
      <c r="BL264" s="1882">
        <v>8.9999999999999998E-4</v>
      </c>
      <c r="BM264" s="1882"/>
      <c r="BN264" s="1882">
        <v>1</v>
      </c>
      <c r="BO264" s="1882" t="s">
        <v>8512</v>
      </c>
      <c r="BP264" s="520">
        <v>14339</v>
      </c>
      <c r="BQ264" s="693">
        <v>13941</v>
      </c>
      <c r="BR264" s="1882" t="s">
        <v>2460</v>
      </c>
      <c r="BS264" s="1882" t="s">
        <v>8563</v>
      </c>
      <c r="BT264" s="1882">
        <v>-1.8369</v>
      </c>
      <c r="BU264" s="1882" t="s">
        <v>8513</v>
      </c>
      <c r="BV264" s="1882">
        <v>0</v>
      </c>
      <c r="BW264" s="1882">
        <v>14461</v>
      </c>
      <c r="BX264" s="1882" t="s">
        <v>2460</v>
      </c>
      <c r="BY264" s="1882" t="s">
        <v>8563</v>
      </c>
      <c r="BZ264" s="1882">
        <v>-2.3948999999999998</v>
      </c>
      <c r="CA264" s="1882">
        <v>0</v>
      </c>
      <c r="CB264" s="1882">
        <v>0</v>
      </c>
      <c r="CC264" s="1882">
        <v>12687</v>
      </c>
      <c r="CD264" s="1882" t="s">
        <v>2460</v>
      </c>
      <c r="CE264" s="1882" t="s">
        <v>8384</v>
      </c>
      <c r="CF264" s="1882">
        <v>-2.4255</v>
      </c>
      <c r="CG264" s="1882">
        <v>0</v>
      </c>
      <c r="CH264" s="1882">
        <v>0</v>
      </c>
      <c r="CI264" s="1882" t="s">
        <v>8513</v>
      </c>
      <c r="CJ264" s="1882" t="s">
        <v>8513</v>
      </c>
      <c r="CK264" s="1882" t="s">
        <v>8513</v>
      </c>
      <c r="CL264" s="1882">
        <v>0</v>
      </c>
      <c r="CM264" s="1882" t="s">
        <v>8513</v>
      </c>
      <c r="CN264" s="1882">
        <v>0</v>
      </c>
      <c r="CP264" s="1882" t="s">
        <v>10038</v>
      </c>
    </row>
    <row r="265" spans="1:94">
      <c r="A265" s="1882" t="s">
        <v>8365</v>
      </c>
      <c r="B265" s="1882" t="s">
        <v>10039</v>
      </c>
      <c r="C265" s="1882" t="s">
        <v>8352</v>
      </c>
      <c r="D265" s="1882" t="s">
        <v>1626</v>
      </c>
      <c r="E265" s="1882" t="s">
        <v>8503</v>
      </c>
      <c r="F265" s="1882" t="s">
        <v>10034</v>
      </c>
      <c r="G265" s="1882" t="s">
        <v>8516</v>
      </c>
      <c r="H265" s="1882" t="s">
        <v>10040</v>
      </c>
      <c r="I265" s="1882" t="s">
        <v>10041</v>
      </c>
      <c r="J265" s="1882" t="s">
        <v>8519</v>
      </c>
      <c r="K265" s="1882" t="s">
        <v>8509</v>
      </c>
      <c r="L265" s="1882" t="s">
        <v>2459</v>
      </c>
      <c r="M265" s="1882"/>
      <c r="N265" s="1882" t="s">
        <v>8547</v>
      </c>
      <c r="O265" s="1882" t="s">
        <v>732</v>
      </c>
      <c r="P265" s="1882" t="s">
        <v>8548</v>
      </c>
      <c r="Q265" s="520">
        <v>3</v>
      </c>
      <c r="R265" s="1882" t="s">
        <v>8549</v>
      </c>
      <c r="S265" s="1882">
        <v>99.95</v>
      </c>
      <c r="T265" s="1882">
        <v>99.97</v>
      </c>
      <c r="U265" s="1882">
        <v>99.97</v>
      </c>
      <c r="V265" s="1882">
        <v>100</v>
      </c>
      <c r="W265" s="1882">
        <v>100</v>
      </c>
      <c r="X265" s="1882">
        <v>100</v>
      </c>
      <c r="Y265" s="1882" t="s">
        <v>2459</v>
      </c>
      <c r="Z265" s="1882"/>
      <c r="AA265" s="1882"/>
      <c r="AB265" s="1882"/>
      <c r="AC265" s="1882"/>
      <c r="AD265" s="1882"/>
      <c r="AE265" s="1882" t="s">
        <v>2459</v>
      </c>
      <c r="AF265" s="1882"/>
      <c r="AG265" s="1882"/>
      <c r="AH265" s="1882">
        <v>0</v>
      </c>
      <c r="AI265" s="1882" t="s">
        <v>2459</v>
      </c>
      <c r="AJ265" s="1882" t="s">
        <v>2459</v>
      </c>
      <c r="AK265" s="1882" t="s">
        <v>2459</v>
      </c>
      <c r="AL265" s="1882" t="s">
        <v>2459</v>
      </c>
      <c r="AM265" s="1882" t="s">
        <v>2459</v>
      </c>
      <c r="AN265" s="1882">
        <v>99.91</v>
      </c>
      <c r="AO265" s="1882">
        <v>99.91</v>
      </c>
      <c r="AP265" s="1882">
        <v>99.91</v>
      </c>
      <c r="AQ265" s="1882">
        <v>99.91</v>
      </c>
      <c r="AR265" s="1882">
        <v>99.91</v>
      </c>
      <c r="AS265" s="1882">
        <v>99.944999999999993</v>
      </c>
      <c r="AT265" s="1882">
        <v>99.944999999999993</v>
      </c>
      <c r="AU265" s="1882">
        <v>99.95</v>
      </c>
      <c r="AV265" s="1882">
        <v>99.95</v>
      </c>
      <c r="AW265" s="1882">
        <v>99.95</v>
      </c>
      <c r="AX265" s="1882"/>
      <c r="AY265" s="1882"/>
      <c r="AZ265" s="1882"/>
      <c r="BA265" s="1882"/>
      <c r="BB265" s="1882"/>
      <c r="BC265" s="1882"/>
      <c r="BD265" s="1882"/>
      <c r="BE265" s="1882"/>
      <c r="BF265" s="1882"/>
      <c r="BG265" s="1882"/>
      <c r="BH265" s="1882">
        <v>1.7174</v>
      </c>
      <c r="BI265" s="1882"/>
      <c r="BJ265" s="1882"/>
      <c r="BK265" s="1882"/>
      <c r="BL265" s="1882"/>
      <c r="BM265" s="1882"/>
      <c r="BN265" s="1882">
        <v>100</v>
      </c>
      <c r="BO265" s="1882" t="s">
        <v>8884</v>
      </c>
      <c r="BP265" s="520">
        <v>99.94</v>
      </c>
      <c r="BQ265" s="704">
        <v>99.962000000000003</v>
      </c>
      <c r="BR265" s="1882" t="s">
        <v>2460</v>
      </c>
      <c r="BS265" s="1882" t="s">
        <v>8429</v>
      </c>
      <c r="BT265" s="1882">
        <v>0</v>
      </c>
      <c r="BU265" s="1882" t="s">
        <v>8513</v>
      </c>
      <c r="BV265" s="1882">
        <v>0</v>
      </c>
      <c r="BW265" s="1882">
        <v>99.944000000000003</v>
      </c>
      <c r="BX265" s="1882" t="s">
        <v>2460</v>
      </c>
      <c r="BY265" s="1882" t="s">
        <v>8563</v>
      </c>
      <c r="BZ265" s="1882">
        <v>-0.17169999999837984</v>
      </c>
      <c r="CA265" s="1882">
        <v>0</v>
      </c>
      <c r="CB265" s="1882">
        <v>0</v>
      </c>
      <c r="CC265" s="1882">
        <v>99.96</v>
      </c>
      <c r="CD265" s="1882" t="s">
        <v>2460</v>
      </c>
      <c r="CE265" s="1882" t="s">
        <v>8388</v>
      </c>
      <c r="CF265" s="1882">
        <v>0</v>
      </c>
      <c r="CG265" s="1882">
        <v>0</v>
      </c>
      <c r="CH265" s="1882">
        <v>0</v>
      </c>
      <c r="CI265" s="1882" t="s">
        <v>8513</v>
      </c>
      <c r="CJ265" s="1882" t="s">
        <v>8513</v>
      </c>
      <c r="CK265" s="1882" t="s">
        <v>8513</v>
      </c>
      <c r="CL265" s="1882">
        <v>0</v>
      </c>
      <c r="CM265" s="1882" t="s">
        <v>8513</v>
      </c>
      <c r="CN265" s="1882">
        <v>0</v>
      </c>
      <c r="CP265" s="1882" t="s">
        <v>10042</v>
      </c>
    </row>
    <row r="266" spans="1:94">
      <c r="A266" s="1882" t="s">
        <v>8365</v>
      </c>
      <c r="B266" s="1882" t="s">
        <v>10043</v>
      </c>
      <c r="C266" s="1882" t="s">
        <v>8352</v>
      </c>
      <c r="D266" s="1882" t="s">
        <v>1626</v>
      </c>
      <c r="E266" s="1882" t="s">
        <v>8503</v>
      </c>
      <c r="F266" s="1882" t="s">
        <v>10034</v>
      </c>
      <c r="G266" s="1882" t="s">
        <v>8524</v>
      </c>
      <c r="H266" s="1882" t="s">
        <v>10044</v>
      </c>
      <c r="I266" s="1882" t="s">
        <v>10045</v>
      </c>
      <c r="J266" s="1882" t="s">
        <v>8519</v>
      </c>
      <c r="K266" s="1882" t="s">
        <v>8855</v>
      </c>
      <c r="L266" s="1882"/>
      <c r="M266" s="1882" t="s">
        <v>2460</v>
      </c>
      <c r="N266" s="1882" t="s">
        <v>8569</v>
      </c>
      <c r="O266" s="1882" t="s">
        <v>764</v>
      </c>
      <c r="P266" s="1882" t="s">
        <v>10046</v>
      </c>
      <c r="Q266" s="520">
        <v>0</v>
      </c>
      <c r="R266" s="1882" t="s">
        <v>8511</v>
      </c>
      <c r="S266" s="1882" t="s">
        <v>8706</v>
      </c>
      <c r="T266" s="1882" t="s">
        <v>10047</v>
      </c>
      <c r="U266" s="1882" t="s">
        <v>10047</v>
      </c>
      <c r="V266" s="1882" t="s">
        <v>10047</v>
      </c>
      <c r="W266" s="1882" t="s">
        <v>10048</v>
      </c>
      <c r="X266" s="1882" t="s">
        <v>10048</v>
      </c>
      <c r="Y266" s="1882"/>
      <c r="Z266" s="1882"/>
      <c r="AA266" s="1882"/>
      <c r="AB266" s="1882"/>
      <c r="AC266" s="1882"/>
      <c r="AD266" s="1882"/>
      <c r="AE266" s="1882" t="s">
        <v>2459</v>
      </c>
      <c r="AF266" s="1882"/>
      <c r="AG266" s="1882"/>
      <c r="AH266" s="1882">
        <v>0</v>
      </c>
      <c r="AI266" s="1882" t="s">
        <v>2459</v>
      </c>
      <c r="AJ266" s="1882" t="s">
        <v>2459</v>
      </c>
      <c r="AK266" s="1882" t="s">
        <v>2459</v>
      </c>
      <c r="AL266" s="1882" t="s">
        <v>2459</v>
      </c>
      <c r="AM266" s="1882" t="s">
        <v>2459</v>
      </c>
      <c r="AN266" s="1882">
        <v>999999</v>
      </c>
      <c r="AO266" s="1882">
        <v>999999</v>
      </c>
      <c r="AP266" s="1882">
        <v>999999</v>
      </c>
      <c r="AQ266" s="1882">
        <v>999999</v>
      </c>
      <c r="AR266" s="1882">
        <v>999999</v>
      </c>
      <c r="AS266" s="1882">
        <v>8</v>
      </c>
      <c r="AT266" s="1882">
        <v>8</v>
      </c>
      <c r="AU266" s="1882">
        <v>8</v>
      </c>
      <c r="AV266" s="1882">
        <v>6</v>
      </c>
      <c r="AW266" s="1882">
        <v>6</v>
      </c>
      <c r="AX266" s="1882"/>
      <c r="AY266" s="1882"/>
      <c r="AZ266" s="1882"/>
      <c r="BA266" s="1882"/>
      <c r="BB266" s="1882"/>
      <c r="BC266" s="1882"/>
      <c r="BD266" s="1882"/>
      <c r="BE266" s="1882"/>
      <c r="BF266" s="1882"/>
      <c r="BG266" s="1882"/>
      <c r="BH266" s="1882">
        <v>0.46300000000000002</v>
      </c>
      <c r="BI266" s="1882"/>
      <c r="BJ266" s="1882"/>
      <c r="BK266" s="1882"/>
      <c r="BL266" s="1882"/>
      <c r="BM266" s="1882"/>
      <c r="BN266" s="1882">
        <v>1</v>
      </c>
      <c r="BO266" s="1882" t="s">
        <v>8512</v>
      </c>
      <c r="BP266" s="520">
        <v>13</v>
      </c>
      <c r="BQ266" s="692">
        <v>5</v>
      </c>
      <c r="BR266" s="1882" t="s">
        <v>2459</v>
      </c>
      <c r="BS266" s="1882" t="s">
        <v>8513</v>
      </c>
      <c r="BT266" s="1882">
        <v>0</v>
      </c>
      <c r="BU266" s="1882" t="s">
        <v>8513</v>
      </c>
      <c r="BV266" s="1882">
        <v>0</v>
      </c>
      <c r="BW266" s="1882">
        <v>5</v>
      </c>
      <c r="BX266" s="1882" t="s">
        <v>2459</v>
      </c>
      <c r="BY266" s="1882">
        <v>0</v>
      </c>
      <c r="BZ266" s="1882">
        <v>0</v>
      </c>
      <c r="CA266" s="1882">
        <v>0</v>
      </c>
      <c r="CB266" s="1882">
        <v>0</v>
      </c>
      <c r="CC266" s="1882">
        <v>8</v>
      </c>
      <c r="CD266" s="1882" t="s">
        <v>2460</v>
      </c>
      <c r="CF266" s="1882">
        <v>0</v>
      </c>
      <c r="CG266" s="1882" t="s">
        <v>8384</v>
      </c>
      <c r="CH266" s="1882">
        <v>-0.46300000000000002</v>
      </c>
      <c r="CI266" s="1882" t="s">
        <v>8513</v>
      </c>
      <c r="CJ266" s="1882" t="s">
        <v>8513</v>
      </c>
      <c r="CK266" s="1882" t="s">
        <v>8513</v>
      </c>
      <c r="CL266" s="1882">
        <v>0</v>
      </c>
      <c r="CM266" s="1882" t="s">
        <v>8513</v>
      </c>
      <c r="CN266" s="1882">
        <v>0</v>
      </c>
      <c r="CP266" s="1882" t="s">
        <v>10049</v>
      </c>
    </row>
    <row r="267" spans="1:94">
      <c r="A267" s="1882" t="s">
        <v>8365</v>
      </c>
      <c r="B267" s="1882" t="s">
        <v>10050</v>
      </c>
      <c r="C267" s="1882" t="s">
        <v>8352</v>
      </c>
      <c r="D267" s="1882" t="s">
        <v>1626</v>
      </c>
      <c r="E267" s="1882" t="s">
        <v>8503</v>
      </c>
      <c r="F267" s="1882" t="s">
        <v>10034</v>
      </c>
      <c r="G267" s="1882" t="s">
        <v>8530</v>
      </c>
      <c r="H267" s="1882" t="s">
        <v>10051</v>
      </c>
      <c r="I267" s="1882" t="s">
        <v>10052</v>
      </c>
      <c r="J267" s="1882" t="s">
        <v>8508</v>
      </c>
      <c r="K267" s="1882" t="s">
        <v>8509</v>
      </c>
      <c r="L267" s="1882" t="s">
        <v>2459</v>
      </c>
      <c r="M267" s="1882" t="s">
        <v>2460</v>
      </c>
      <c r="N267" s="1882" t="s">
        <v>10053</v>
      </c>
      <c r="O267" s="1882" t="s">
        <v>764</v>
      </c>
      <c r="P267" s="1882" t="s">
        <v>10054</v>
      </c>
      <c r="Q267" s="520">
        <v>0</v>
      </c>
      <c r="R267" s="1882" t="s">
        <v>8549</v>
      </c>
      <c r="S267" s="1882"/>
      <c r="T267" s="1882"/>
      <c r="U267" s="1882"/>
      <c r="V267" s="1882"/>
      <c r="W267" s="1882">
        <v>12</v>
      </c>
      <c r="X267" s="1882"/>
      <c r="Y267" s="1882"/>
      <c r="Z267" s="1882"/>
      <c r="AA267" s="1882"/>
      <c r="AB267" s="1882"/>
      <c r="AC267" s="1882"/>
      <c r="AD267" s="1882"/>
      <c r="AE267" s="1882"/>
      <c r="AF267" s="1882" t="s">
        <v>2459</v>
      </c>
      <c r="AG267" s="1882"/>
      <c r="AH267" s="1882">
        <v>0</v>
      </c>
      <c r="AI267" s="1882"/>
      <c r="AJ267" s="1882"/>
      <c r="AK267" s="1882"/>
      <c r="AL267" s="1882" t="s">
        <v>2459</v>
      </c>
      <c r="AM267" s="1882"/>
      <c r="AN267" s="1882"/>
      <c r="AO267" s="1882"/>
      <c r="AP267" s="1882"/>
      <c r="AQ267" s="1882">
        <v>0</v>
      </c>
      <c r="AR267" s="1882"/>
      <c r="AS267" s="1882"/>
      <c r="AT267" s="1882"/>
      <c r="AU267" s="1882"/>
      <c r="AV267" s="1882">
        <v>12</v>
      </c>
      <c r="AW267" s="1882"/>
      <c r="AX267" s="1882"/>
      <c r="AY267" s="1882"/>
      <c r="AZ267" s="1882"/>
      <c r="BA267" s="1882">
        <v>12</v>
      </c>
      <c r="BB267" s="1882"/>
      <c r="BC267" s="1882"/>
      <c r="BD267" s="1882"/>
      <c r="BE267" s="1882"/>
      <c r="BF267" s="1882">
        <v>21</v>
      </c>
      <c r="BG267" s="1882"/>
      <c r="BH267" s="1882">
        <v>1.03</v>
      </c>
      <c r="BI267" s="1882"/>
      <c r="BJ267" s="1882"/>
      <c r="BK267" s="1882"/>
      <c r="BL267" s="1882">
        <v>1.03</v>
      </c>
      <c r="BM267" s="1882"/>
      <c r="BN267" s="1882">
        <v>1</v>
      </c>
      <c r="BO267" s="1882" t="s">
        <v>8512</v>
      </c>
      <c r="BP267" s="520">
        <v>0</v>
      </c>
      <c r="BQ267" s="693">
        <v>0</v>
      </c>
      <c r="BR267" s="1882" t="s">
        <v>8513</v>
      </c>
      <c r="BS267" s="1882" t="s">
        <v>8513</v>
      </c>
      <c r="BT267" s="1882">
        <v>0</v>
      </c>
      <c r="BU267" s="1882" t="s">
        <v>8513</v>
      </c>
      <c r="BV267" s="1882">
        <v>0</v>
      </c>
      <c r="BW267" s="1882">
        <v>0</v>
      </c>
      <c r="BX267" s="1882" t="s">
        <v>2451</v>
      </c>
      <c r="BY267" s="1882">
        <v>0</v>
      </c>
      <c r="BZ267" s="1882">
        <v>0</v>
      </c>
      <c r="CA267" s="1882">
        <v>0</v>
      </c>
      <c r="CB267" s="1882">
        <v>0</v>
      </c>
      <c r="CC267" s="1882">
        <v>0</v>
      </c>
      <c r="CD267" s="1882" t="s">
        <v>2451</v>
      </c>
      <c r="CE267" s="1882">
        <v>0</v>
      </c>
      <c r="CF267" s="1882">
        <v>0</v>
      </c>
      <c r="CG267" s="1882">
        <v>0</v>
      </c>
      <c r="CH267" s="1882">
        <v>0</v>
      </c>
      <c r="CI267" s="1882" t="s">
        <v>8513</v>
      </c>
      <c r="CJ267" s="1882" t="s">
        <v>8513</v>
      </c>
      <c r="CK267" s="1882" t="s">
        <v>8513</v>
      </c>
      <c r="CL267" s="1882">
        <v>0</v>
      </c>
      <c r="CM267" s="1882" t="s">
        <v>8513</v>
      </c>
      <c r="CN267" s="1882">
        <v>0</v>
      </c>
      <c r="CP267" s="1882" t="s">
        <v>10055</v>
      </c>
    </row>
    <row r="268" spans="1:94">
      <c r="A268" s="1882" t="s">
        <v>8365</v>
      </c>
      <c r="B268" s="1882" t="s">
        <v>10056</v>
      </c>
      <c r="C268" s="1882" t="s">
        <v>8352</v>
      </c>
      <c r="D268" s="1882" t="s">
        <v>1626</v>
      </c>
      <c r="E268" s="1882" t="s">
        <v>8503</v>
      </c>
      <c r="F268" s="1882" t="s">
        <v>10057</v>
      </c>
      <c r="G268" s="1882" t="s">
        <v>8544</v>
      </c>
      <c r="H268" s="1882" t="s">
        <v>10058</v>
      </c>
      <c r="I268" s="1882" t="s">
        <v>10059</v>
      </c>
      <c r="J268" s="1882" t="s">
        <v>8539</v>
      </c>
      <c r="K268" s="1882"/>
      <c r="L268" s="1882"/>
      <c r="M268" s="1882"/>
      <c r="N268" s="1882" t="s">
        <v>8533</v>
      </c>
      <c r="O268" s="1882" t="s">
        <v>764</v>
      </c>
      <c r="P268" s="1882" t="s">
        <v>8521</v>
      </c>
      <c r="Q268" s="520">
        <v>0</v>
      </c>
      <c r="R268" s="1882" t="s">
        <v>8511</v>
      </c>
      <c r="S268" s="1882">
        <v>229</v>
      </c>
      <c r="T268" s="1882">
        <v>225</v>
      </c>
      <c r="U268" s="1882">
        <v>222</v>
      </c>
      <c r="V268" s="1882">
        <v>219</v>
      </c>
      <c r="W268" s="1882">
        <v>216</v>
      </c>
      <c r="X268" s="1882">
        <v>213</v>
      </c>
      <c r="Y268" s="1882"/>
      <c r="Z268" s="1882"/>
      <c r="AA268" s="1882"/>
      <c r="AB268" s="1882"/>
      <c r="AC268" s="1882"/>
      <c r="AD268" s="1882"/>
      <c r="AE268" s="1882"/>
      <c r="AF268" s="1882"/>
      <c r="AG268" s="1882"/>
      <c r="AH268" s="1882">
        <v>0</v>
      </c>
      <c r="AI268" s="1882"/>
      <c r="AJ268" s="1882"/>
      <c r="AK268" s="1882"/>
      <c r="AL268" s="1882"/>
      <c r="AM268" s="1882"/>
      <c r="AN268" s="1882"/>
      <c r="AO268" s="1882"/>
      <c r="AP268" s="1882"/>
      <c r="AQ268" s="1882"/>
      <c r="AR268" s="1882"/>
      <c r="AS268" s="1882"/>
      <c r="AT268" s="1882"/>
      <c r="AU268" s="1882"/>
      <c r="AV268" s="1882"/>
      <c r="AW268" s="1882"/>
      <c r="AX268" s="1882"/>
      <c r="AY268" s="1882"/>
      <c r="AZ268" s="1882"/>
      <c r="BA268" s="1882"/>
      <c r="BB268" s="1882"/>
      <c r="BC268" s="1882"/>
      <c r="BD268" s="1882"/>
      <c r="BE268" s="1882"/>
      <c r="BF268" s="1882"/>
      <c r="BG268" s="1882"/>
      <c r="BH268" s="1882"/>
      <c r="BI268" s="1882"/>
      <c r="BJ268" s="1882"/>
      <c r="BK268" s="1882"/>
      <c r="BL268" s="1882"/>
      <c r="BM268" s="1882"/>
      <c r="BN268" s="1882"/>
      <c r="BO268" s="1882"/>
      <c r="BP268" s="520">
        <v>230</v>
      </c>
      <c r="BQ268" s="693">
        <v>237</v>
      </c>
      <c r="BR268" s="1882" t="s">
        <v>2460</v>
      </c>
      <c r="BS268" s="1882" t="s">
        <v>8513</v>
      </c>
      <c r="BT268" s="1882">
        <v>0</v>
      </c>
      <c r="BU268" s="1882" t="s">
        <v>8513</v>
      </c>
      <c r="BV268" s="1882">
        <v>0</v>
      </c>
      <c r="BW268" s="1882">
        <v>236</v>
      </c>
      <c r="BX268" s="1882" t="s">
        <v>2460</v>
      </c>
      <c r="BY268" s="1882">
        <v>0</v>
      </c>
      <c r="BZ268" s="1882">
        <v>0</v>
      </c>
      <c r="CA268" s="1882">
        <v>0</v>
      </c>
      <c r="CB268" s="1882">
        <v>0</v>
      </c>
      <c r="CC268" s="1882">
        <v>235</v>
      </c>
      <c r="CD268" s="1882" t="s">
        <v>2460</v>
      </c>
      <c r="CE268" s="1882">
        <v>0</v>
      </c>
      <c r="CF268" s="1882">
        <v>0</v>
      </c>
      <c r="CG268" s="1882">
        <v>0</v>
      </c>
      <c r="CH268" s="1882">
        <v>0</v>
      </c>
      <c r="CI268" s="1882" t="s">
        <v>8513</v>
      </c>
      <c r="CJ268" s="1882" t="s">
        <v>8513</v>
      </c>
      <c r="CK268" s="1882" t="s">
        <v>8513</v>
      </c>
      <c r="CL268" s="1882">
        <v>0</v>
      </c>
      <c r="CM268" s="1882" t="s">
        <v>8513</v>
      </c>
      <c r="CN268" s="1882">
        <v>0</v>
      </c>
      <c r="CP268" s="1882" t="s">
        <v>10060</v>
      </c>
    </row>
    <row r="269" spans="1:94">
      <c r="A269" s="1882" t="s">
        <v>8365</v>
      </c>
      <c r="B269" s="1882" t="s">
        <v>10061</v>
      </c>
      <c r="C269" s="1882" t="s">
        <v>8352</v>
      </c>
      <c r="D269" s="1882" t="s">
        <v>1626</v>
      </c>
      <c r="E269" s="1882" t="s">
        <v>8503</v>
      </c>
      <c r="F269" s="1882" t="s">
        <v>10057</v>
      </c>
      <c r="G269" s="1882" t="s">
        <v>8552</v>
      </c>
      <c r="H269" s="1882" t="s">
        <v>10062</v>
      </c>
      <c r="I269" s="1882" t="s">
        <v>10063</v>
      </c>
      <c r="J269" s="1882" t="s">
        <v>8508</v>
      </c>
      <c r="K269" s="1882" t="s">
        <v>8509</v>
      </c>
      <c r="L269" s="1882" t="s">
        <v>2459</v>
      </c>
      <c r="M269" s="1882" t="s">
        <v>2460</v>
      </c>
      <c r="N269" s="1882" t="s">
        <v>2444</v>
      </c>
      <c r="O269" s="1882" t="s">
        <v>764</v>
      </c>
      <c r="P269" s="1882" t="s">
        <v>8510</v>
      </c>
      <c r="Q269" s="520">
        <v>0</v>
      </c>
      <c r="R269" s="1882" t="s">
        <v>8511</v>
      </c>
      <c r="S269" s="1882">
        <v>450</v>
      </c>
      <c r="T269" s="1882">
        <v>444</v>
      </c>
      <c r="U269" s="1882">
        <v>439</v>
      </c>
      <c r="V269" s="1882">
        <v>434</v>
      </c>
      <c r="W269" s="1882">
        <v>429</v>
      </c>
      <c r="X269" s="1882">
        <v>424</v>
      </c>
      <c r="Y269" s="1882"/>
      <c r="Z269" s="1882"/>
      <c r="AA269" s="1882"/>
      <c r="AB269" s="1882"/>
      <c r="AC269" s="1882"/>
      <c r="AD269" s="1882"/>
      <c r="AE269" s="1882" t="s">
        <v>2459</v>
      </c>
      <c r="AF269" s="1882"/>
      <c r="AG269" s="1882"/>
      <c r="AH269" s="1882">
        <v>0</v>
      </c>
      <c r="AI269" s="1882" t="s">
        <v>2459</v>
      </c>
      <c r="AJ269" s="1882" t="s">
        <v>2459</v>
      </c>
      <c r="AK269" s="1882" t="s">
        <v>2459</v>
      </c>
      <c r="AL269" s="1882" t="s">
        <v>2459</v>
      </c>
      <c r="AM269" s="1882" t="s">
        <v>2459</v>
      </c>
      <c r="AN269" s="1882">
        <v>999999</v>
      </c>
      <c r="AO269" s="1882">
        <v>999999</v>
      </c>
      <c r="AP269" s="1882">
        <v>999999</v>
      </c>
      <c r="AQ269" s="1882">
        <v>999999</v>
      </c>
      <c r="AR269" s="1882">
        <v>999999</v>
      </c>
      <c r="AS269" s="1882">
        <v>444</v>
      </c>
      <c r="AT269" s="1882">
        <v>439</v>
      </c>
      <c r="AU269" s="1882">
        <v>434</v>
      </c>
      <c r="AV269" s="1882">
        <v>429</v>
      </c>
      <c r="AW269" s="1882">
        <v>424</v>
      </c>
      <c r="AX269" s="1882">
        <v>444</v>
      </c>
      <c r="AY269" s="1882">
        <v>439</v>
      </c>
      <c r="AZ269" s="1882">
        <v>434</v>
      </c>
      <c r="BA269" s="1882">
        <v>429</v>
      </c>
      <c r="BB269" s="1882">
        <v>424</v>
      </c>
      <c r="BC269" s="1882">
        <v>0</v>
      </c>
      <c r="BD269" s="1882">
        <v>0</v>
      </c>
      <c r="BE269" s="1882">
        <v>0</v>
      </c>
      <c r="BF269" s="1882">
        <v>0</v>
      </c>
      <c r="BG269" s="1882">
        <v>0</v>
      </c>
      <c r="BH269" s="1882">
        <v>0.123</v>
      </c>
      <c r="BI269" s="1882">
        <v>0.2</v>
      </c>
      <c r="BJ269" s="1882"/>
      <c r="BK269" s="1882"/>
      <c r="BL269" s="1882">
        <v>0.123</v>
      </c>
      <c r="BM269" s="1882"/>
      <c r="BN269" s="1882">
        <v>1</v>
      </c>
      <c r="BO269" s="1882" t="s">
        <v>8512</v>
      </c>
      <c r="BP269" s="520">
        <v>444</v>
      </c>
      <c r="BQ269" s="693">
        <v>434</v>
      </c>
      <c r="BR269" s="1882" t="s">
        <v>2459</v>
      </c>
      <c r="BS269" s="1882" t="s">
        <v>8376</v>
      </c>
      <c r="BT269" s="1882">
        <v>1.107</v>
      </c>
      <c r="BU269" s="1882" t="s">
        <v>8513</v>
      </c>
      <c r="BV269" s="1882">
        <v>0</v>
      </c>
      <c r="BW269" s="1882">
        <v>432</v>
      </c>
      <c r="BX269" s="1882" t="s">
        <v>2459</v>
      </c>
      <c r="BY269" s="1882">
        <v>0</v>
      </c>
      <c r="BZ269" s="1882">
        <v>0</v>
      </c>
      <c r="CA269" s="1882">
        <v>0</v>
      </c>
      <c r="CB269" s="1882">
        <v>0</v>
      </c>
      <c r="CC269" s="1882">
        <v>443</v>
      </c>
      <c r="CD269" s="1882" t="s">
        <v>2460</v>
      </c>
      <c r="CE269" s="1882" t="s">
        <v>8384</v>
      </c>
      <c r="CF269" s="1882">
        <v>-1.722</v>
      </c>
      <c r="CG269" s="1882">
        <v>0</v>
      </c>
      <c r="CH269" s="1882">
        <v>0</v>
      </c>
      <c r="CI269" s="1882" t="s">
        <v>8513</v>
      </c>
      <c r="CJ269" s="1882" t="s">
        <v>8513</v>
      </c>
      <c r="CK269" s="1882" t="s">
        <v>8513</v>
      </c>
      <c r="CL269" s="1882">
        <v>0</v>
      </c>
      <c r="CM269" s="1882" t="s">
        <v>8513</v>
      </c>
      <c r="CN269" s="1882">
        <v>0</v>
      </c>
      <c r="CP269" s="1882" t="s">
        <v>10064</v>
      </c>
    </row>
    <row r="270" spans="1:94">
      <c r="A270" s="1882" t="s">
        <v>8365</v>
      </c>
      <c r="B270" s="1882" t="s">
        <v>10065</v>
      </c>
      <c r="C270" s="1882" t="s">
        <v>8352</v>
      </c>
      <c r="D270" s="1882" t="s">
        <v>1626</v>
      </c>
      <c r="E270" s="1882" t="s">
        <v>8503</v>
      </c>
      <c r="F270" s="1882" t="s">
        <v>10057</v>
      </c>
      <c r="G270" s="1882" t="s">
        <v>9085</v>
      </c>
      <c r="H270" s="1882" t="s">
        <v>10066</v>
      </c>
      <c r="I270" s="1882" t="s">
        <v>10067</v>
      </c>
      <c r="J270" s="1882" t="s">
        <v>8508</v>
      </c>
      <c r="K270" s="1882" t="s">
        <v>8509</v>
      </c>
      <c r="L270" s="1882" t="s">
        <v>2459</v>
      </c>
      <c r="M270" s="1882"/>
      <c r="N270" s="1882" t="s">
        <v>2444</v>
      </c>
      <c r="O270" s="1882" t="s">
        <v>732</v>
      </c>
      <c r="P270" s="1882" t="s">
        <v>10068</v>
      </c>
      <c r="Q270" s="520">
        <v>0</v>
      </c>
      <c r="R270" s="1882" t="s">
        <v>8549</v>
      </c>
      <c r="S270" s="1882">
        <v>50</v>
      </c>
      <c r="T270" s="1882">
        <v>70</v>
      </c>
      <c r="U270" s="1882">
        <v>80</v>
      </c>
      <c r="V270" s="1882">
        <v>90</v>
      </c>
      <c r="W270" s="1882">
        <v>95</v>
      </c>
      <c r="X270" s="1882">
        <v>100</v>
      </c>
      <c r="Y270" s="1882"/>
      <c r="Z270" s="1882"/>
      <c r="AA270" s="1882"/>
      <c r="AB270" s="1882"/>
      <c r="AC270" s="1882"/>
      <c r="AD270" s="1882"/>
      <c r="AE270" s="1882" t="s">
        <v>2459</v>
      </c>
      <c r="AF270" s="1882"/>
      <c r="AG270" s="1882"/>
      <c r="AH270" s="1882">
        <v>0</v>
      </c>
      <c r="AI270" s="1882" t="s">
        <v>2459</v>
      </c>
      <c r="AJ270" s="1882" t="s">
        <v>2459</v>
      </c>
      <c r="AK270" s="1882" t="s">
        <v>2459</v>
      </c>
      <c r="AL270" s="1882" t="s">
        <v>2459</v>
      </c>
      <c r="AM270" s="1882" t="s">
        <v>2459</v>
      </c>
      <c r="AN270" s="1882">
        <v>0</v>
      </c>
      <c r="AO270" s="1882">
        <v>0</v>
      </c>
      <c r="AP270" s="1882">
        <v>0</v>
      </c>
      <c r="AQ270" s="1882">
        <v>0</v>
      </c>
      <c r="AR270" s="1882">
        <v>0</v>
      </c>
      <c r="AS270" s="1882">
        <v>60</v>
      </c>
      <c r="AT270" s="1882">
        <v>70</v>
      </c>
      <c r="AU270" s="1882">
        <v>80</v>
      </c>
      <c r="AV270" s="1882">
        <v>85</v>
      </c>
      <c r="AW270" s="1882">
        <v>90</v>
      </c>
      <c r="AX270" s="1882">
        <v>70</v>
      </c>
      <c r="AY270" s="1882">
        <v>80</v>
      </c>
      <c r="AZ270" s="1882">
        <v>90</v>
      </c>
      <c r="BA270" s="1882">
        <v>95</v>
      </c>
      <c r="BB270" s="1882">
        <v>100</v>
      </c>
      <c r="BC270" s="1882">
        <v>100</v>
      </c>
      <c r="BD270" s="1882">
        <v>100</v>
      </c>
      <c r="BE270" s="1882">
        <v>100</v>
      </c>
      <c r="BF270" s="1882">
        <v>100</v>
      </c>
      <c r="BG270" s="1882">
        <v>100</v>
      </c>
      <c r="BH270" s="1882">
        <v>2.4663000000000001E-2</v>
      </c>
      <c r="BI270" s="1882"/>
      <c r="BJ270" s="1882"/>
      <c r="BK270" s="1882"/>
      <c r="BL270" s="1882">
        <v>2.4663000000000001E-2</v>
      </c>
      <c r="BM270" s="1882"/>
      <c r="BN270" s="1882">
        <v>1</v>
      </c>
      <c r="BO270" s="1882" t="s">
        <v>8512</v>
      </c>
      <c r="BP270" s="520">
        <v>43.6</v>
      </c>
      <c r="BQ270" s="693">
        <v>53</v>
      </c>
      <c r="BR270" s="1882" t="s">
        <v>2460</v>
      </c>
      <c r="BS270" s="1882" t="s">
        <v>8563</v>
      </c>
      <c r="BT270" s="1882">
        <v>-0.17264099999999999</v>
      </c>
      <c r="BU270" s="1882" t="s">
        <v>8513</v>
      </c>
      <c r="BV270" s="1882">
        <v>0</v>
      </c>
      <c r="BW270" s="1882">
        <v>33</v>
      </c>
      <c r="BX270" s="1882" t="s">
        <v>2460</v>
      </c>
      <c r="BY270" s="1882" t="s">
        <v>8563</v>
      </c>
      <c r="BZ270" s="1882">
        <v>-0.91253099999999998</v>
      </c>
      <c r="CA270" s="1882">
        <v>0</v>
      </c>
      <c r="CB270" s="1882">
        <v>0</v>
      </c>
      <c r="CC270" s="1882">
        <v>23</v>
      </c>
      <c r="CD270" s="1882" t="s">
        <v>2460</v>
      </c>
      <c r="CE270" s="1882" t="s">
        <v>8384</v>
      </c>
      <c r="CF270" s="1882">
        <v>-1.405791</v>
      </c>
      <c r="CG270" s="1882">
        <v>0</v>
      </c>
      <c r="CH270" s="1882">
        <v>0</v>
      </c>
      <c r="CI270" s="1882" t="s">
        <v>8513</v>
      </c>
      <c r="CJ270" s="1882" t="s">
        <v>8513</v>
      </c>
      <c r="CK270" s="1882" t="s">
        <v>8513</v>
      </c>
      <c r="CL270" s="1882">
        <v>0</v>
      </c>
      <c r="CM270" s="1882" t="s">
        <v>8513</v>
      </c>
      <c r="CN270" s="1882">
        <v>0</v>
      </c>
      <c r="CP270" s="1882" t="s">
        <v>10069</v>
      </c>
    </row>
    <row r="271" spans="1:94">
      <c r="A271" s="1882" t="s">
        <v>8365</v>
      </c>
      <c r="B271" s="1882" t="s">
        <v>10070</v>
      </c>
      <c r="C271" s="1882" t="s">
        <v>8352</v>
      </c>
      <c r="D271" s="1882" t="s">
        <v>1626</v>
      </c>
      <c r="E271" s="1882" t="s">
        <v>8503</v>
      </c>
      <c r="F271" s="1882" t="s">
        <v>10057</v>
      </c>
      <c r="G271" s="1882" t="s">
        <v>10071</v>
      </c>
      <c r="H271" s="1882" t="s">
        <v>10072</v>
      </c>
      <c r="I271" s="1882" t="s">
        <v>10073</v>
      </c>
      <c r="J271" s="1882" t="s">
        <v>8508</v>
      </c>
      <c r="K271" s="1882" t="s">
        <v>8509</v>
      </c>
      <c r="L271" s="1882" t="s">
        <v>2459</v>
      </c>
      <c r="M271" s="1882" t="s">
        <v>2460</v>
      </c>
      <c r="N271" s="1882" t="s">
        <v>2450</v>
      </c>
      <c r="O271" s="1882" t="s">
        <v>8607</v>
      </c>
      <c r="P271" s="1882" t="s">
        <v>8608</v>
      </c>
      <c r="Q271" s="520">
        <v>2</v>
      </c>
      <c r="R271" s="1882" t="s">
        <v>8511</v>
      </c>
      <c r="S271" s="1882">
        <v>15</v>
      </c>
      <c r="T271" s="1882">
        <v>13.6</v>
      </c>
      <c r="U271" s="1882">
        <v>12.2</v>
      </c>
      <c r="V271" s="1882">
        <v>10.8</v>
      </c>
      <c r="W271" s="1882">
        <v>9.4</v>
      </c>
      <c r="X271" s="1882">
        <v>8</v>
      </c>
      <c r="Y271" s="1882"/>
      <c r="Z271" s="1882"/>
      <c r="AA271" s="1882" t="s">
        <v>2459</v>
      </c>
      <c r="AB271" s="1882"/>
      <c r="AC271" s="1882"/>
      <c r="AD271" s="1882"/>
      <c r="AE271" s="1882" t="s">
        <v>2459</v>
      </c>
      <c r="AF271" s="1882"/>
      <c r="AG271" s="1882"/>
      <c r="AH271" s="1882">
        <v>0</v>
      </c>
      <c r="AI271" s="1882" t="s">
        <v>2459</v>
      </c>
      <c r="AJ271" s="1882" t="s">
        <v>2459</v>
      </c>
      <c r="AK271" s="1882" t="s">
        <v>2459</v>
      </c>
      <c r="AL271" s="1882" t="s">
        <v>2459</v>
      </c>
      <c r="AM271" s="1882" t="s">
        <v>2459</v>
      </c>
      <c r="AN271" s="1882">
        <v>999999.99</v>
      </c>
      <c r="AO271" s="1882">
        <v>999999.99</v>
      </c>
      <c r="AP271" s="1882">
        <v>999999.99</v>
      </c>
      <c r="AQ271" s="1882">
        <v>999999.99</v>
      </c>
      <c r="AR271" s="1882">
        <v>999999.99</v>
      </c>
      <c r="AS271" s="1882">
        <v>14.5</v>
      </c>
      <c r="AT271" s="1882">
        <v>14</v>
      </c>
      <c r="AU271" s="1882">
        <v>12</v>
      </c>
      <c r="AV271" s="1882">
        <v>12</v>
      </c>
      <c r="AW271" s="1882">
        <v>12</v>
      </c>
      <c r="AX271" s="1882">
        <v>12</v>
      </c>
      <c r="AY271" s="1882">
        <v>12</v>
      </c>
      <c r="AZ271" s="1882">
        <v>10.8</v>
      </c>
      <c r="BA271" s="1882">
        <v>9.4</v>
      </c>
      <c r="BB271" s="1882">
        <v>8</v>
      </c>
      <c r="BC271" s="1882">
        <v>0</v>
      </c>
      <c r="BD271" s="1882">
        <v>0</v>
      </c>
      <c r="BE271" s="1882">
        <v>0</v>
      </c>
      <c r="BF271" s="1882">
        <v>0</v>
      </c>
      <c r="BG271" s="1882">
        <v>0</v>
      </c>
      <c r="BH271" s="1882">
        <v>1.1000000000000001</v>
      </c>
      <c r="BI271" s="1882"/>
      <c r="BJ271" s="1882"/>
      <c r="BK271" s="1882"/>
      <c r="BL271" s="1882">
        <v>1.1000000000000001</v>
      </c>
      <c r="BM271" s="1882"/>
      <c r="BN271" s="1882">
        <v>1</v>
      </c>
      <c r="BO271" s="1882" t="s">
        <v>8512</v>
      </c>
      <c r="BP271" s="520">
        <v>9.9</v>
      </c>
      <c r="BQ271" s="694">
        <v>11.17</v>
      </c>
      <c r="BR271" s="1882" t="s">
        <v>2459</v>
      </c>
      <c r="BS271" s="1882"/>
      <c r="BT271" s="1882">
        <v>0</v>
      </c>
      <c r="BU271" s="1882" t="s">
        <v>8513</v>
      </c>
      <c r="BV271" s="1882">
        <v>0</v>
      </c>
      <c r="BW271" s="1882">
        <v>10.130000000000001</v>
      </c>
      <c r="BX271" s="1882" t="s">
        <v>2459</v>
      </c>
      <c r="BY271" s="1882" t="s">
        <v>8376</v>
      </c>
      <c r="BZ271" s="1882">
        <v>2.0569999999999995</v>
      </c>
      <c r="CA271" s="1882">
        <v>0</v>
      </c>
      <c r="CB271" s="1882">
        <v>0</v>
      </c>
      <c r="CC271" s="1882">
        <v>34.29</v>
      </c>
      <c r="CD271" s="1882" t="s">
        <v>2460</v>
      </c>
      <c r="CE271" s="1882" t="s">
        <v>8384</v>
      </c>
      <c r="CF271" s="1882">
        <v>-23.716000000000001</v>
      </c>
      <c r="CG271" s="1882">
        <v>0</v>
      </c>
      <c r="CH271" s="1882">
        <v>0</v>
      </c>
      <c r="CI271" s="1882" t="s">
        <v>8513</v>
      </c>
      <c r="CJ271" s="1882" t="s">
        <v>8513</v>
      </c>
      <c r="CK271" s="1882" t="s">
        <v>8513</v>
      </c>
      <c r="CL271" s="1882">
        <v>0</v>
      </c>
      <c r="CM271" s="1882" t="s">
        <v>8513</v>
      </c>
      <c r="CN271" s="1882">
        <v>0</v>
      </c>
      <c r="CP271" s="1882" t="s">
        <v>10074</v>
      </c>
    </row>
    <row r="272" spans="1:94">
      <c r="A272" s="1882" t="s">
        <v>8365</v>
      </c>
      <c r="B272" s="1882" t="s">
        <v>10075</v>
      </c>
      <c r="C272" s="1882" t="s">
        <v>8352</v>
      </c>
      <c r="D272" s="1882" t="s">
        <v>1626</v>
      </c>
      <c r="E272" s="1882" t="s">
        <v>8503</v>
      </c>
      <c r="F272" s="1882" t="s">
        <v>10057</v>
      </c>
      <c r="G272" s="1882" t="s">
        <v>10076</v>
      </c>
      <c r="H272" s="1882" t="s">
        <v>10077</v>
      </c>
      <c r="I272" s="1882" t="s">
        <v>10078</v>
      </c>
      <c r="J272" s="1882" t="s">
        <v>8508</v>
      </c>
      <c r="K272" s="1882" t="s">
        <v>8509</v>
      </c>
      <c r="L272" s="1882"/>
      <c r="M272" s="1882"/>
      <c r="N272" s="1882" t="s">
        <v>4580</v>
      </c>
      <c r="O272" s="1882" t="s">
        <v>732</v>
      </c>
      <c r="P272" s="1882" t="s">
        <v>10079</v>
      </c>
      <c r="Q272" s="520">
        <v>1</v>
      </c>
      <c r="R272" s="1882" t="s">
        <v>8549</v>
      </c>
      <c r="S272" s="1882">
        <v>77</v>
      </c>
      <c r="T272" s="1882"/>
      <c r="U272" s="1882"/>
      <c r="V272" s="1882"/>
      <c r="W272" s="1882"/>
      <c r="X272" s="1882">
        <v>77.7</v>
      </c>
      <c r="Y272" s="1882"/>
      <c r="Z272" s="1882"/>
      <c r="AA272" s="1882"/>
      <c r="AB272" s="1882"/>
      <c r="AC272" s="1882"/>
      <c r="AD272" s="1882"/>
      <c r="AE272" s="1882" t="s">
        <v>2459</v>
      </c>
      <c r="AF272" s="1882"/>
      <c r="AG272" s="1882"/>
      <c r="AH272" s="1882">
        <v>0</v>
      </c>
      <c r="AI272" s="1882"/>
      <c r="AJ272" s="1882"/>
      <c r="AK272" s="1882"/>
      <c r="AL272" s="1882"/>
      <c r="AM272" s="1882" t="s">
        <v>2459</v>
      </c>
      <c r="AN272" s="1882"/>
      <c r="AO272" s="1882"/>
      <c r="AP272" s="1882"/>
      <c r="AQ272" s="1882"/>
      <c r="AR272" s="1882">
        <v>0</v>
      </c>
      <c r="AS272" s="1882"/>
      <c r="AT272" s="1882"/>
      <c r="AU272" s="1882"/>
      <c r="AV272" s="1882"/>
      <c r="AW272" s="1882">
        <v>77.7</v>
      </c>
      <c r="AX272" s="1882"/>
      <c r="AY272" s="1882"/>
      <c r="AZ272" s="1882"/>
      <c r="BA272" s="1882"/>
      <c r="BB272" s="1882">
        <v>77.7</v>
      </c>
      <c r="BC272" s="1882"/>
      <c r="BD272" s="1882"/>
      <c r="BE272" s="1882"/>
      <c r="BF272" s="1882"/>
      <c r="BG272" s="1882">
        <v>100</v>
      </c>
      <c r="BH272" s="1882">
        <v>1.77</v>
      </c>
      <c r="BI272" s="1882"/>
      <c r="BJ272" s="1882"/>
      <c r="BK272" s="1882"/>
      <c r="BL272" s="1882">
        <v>1.77</v>
      </c>
      <c r="BM272" s="1882"/>
      <c r="BN272" s="1882">
        <v>1</v>
      </c>
      <c r="BO272" s="1882" t="s">
        <v>8512</v>
      </c>
      <c r="BP272" s="520">
        <v>77.099999999999994</v>
      </c>
      <c r="BQ272" s="690">
        <v>77</v>
      </c>
      <c r="BR272" s="1882" t="s">
        <v>8513</v>
      </c>
      <c r="BS272" s="1882" t="s">
        <v>8513</v>
      </c>
      <c r="BT272" s="1882">
        <v>0</v>
      </c>
      <c r="BU272" s="1882" t="s">
        <v>8513</v>
      </c>
      <c r="BV272" s="1882">
        <v>0</v>
      </c>
      <c r="BW272" s="1882">
        <v>77</v>
      </c>
      <c r="BX272" s="1882" t="s">
        <v>2451</v>
      </c>
      <c r="BY272" s="1882">
        <v>0</v>
      </c>
      <c r="BZ272" s="1882">
        <v>0</v>
      </c>
      <c r="CA272" s="1882">
        <v>0</v>
      </c>
      <c r="CB272" s="1882">
        <v>0</v>
      </c>
      <c r="CC272" s="1882">
        <v>77.400000000000006</v>
      </c>
      <c r="CD272" s="1882" t="s">
        <v>2451</v>
      </c>
      <c r="CE272" s="1882">
        <v>0</v>
      </c>
      <c r="CF272" s="1882">
        <v>0</v>
      </c>
      <c r="CG272" s="1882">
        <v>0</v>
      </c>
      <c r="CH272" s="1882">
        <v>0</v>
      </c>
      <c r="CI272" s="1882" t="s">
        <v>8513</v>
      </c>
      <c r="CJ272" s="1882" t="s">
        <v>8513</v>
      </c>
      <c r="CK272" s="1882" t="s">
        <v>8513</v>
      </c>
      <c r="CL272" s="1882">
        <v>0</v>
      </c>
      <c r="CM272" s="1882" t="s">
        <v>8513</v>
      </c>
      <c r="CN272" s="1882">
        <v>0</v>
      </c>
      <c r="CP272" s="1882" t="s">
        <v>10080</v>
      </c>
    </row>
    <row r="273" spans="1:94">
      <c r="A273" s="1882" t="s">
        <v>8365</v>
      </c>
      <c r="B273" s="1882" t="s">
        <v>10081</v>
      </c>
      <c r="C273" s="1882" t="s">
        <v>8352</v>
      </c>
      <c r="D273" s="1882" t="s">
        <v>1626</v>
      </c>
      <c r="E273" s="1882" t="s">
        <v>8503</v>
      </c>
      <c r="F273" s="1882" t="s">
        <v>10057</v>
      </c>
      <c r="G273" s="1882" t="s">
        <v>10082</v>
      </c>
      <c r="H273" s="1882" t="s">
        <v>10083</v>
      </c>
      <c r="I273" s="1882" t="s">
        <v>10084</v>
      </c>
      <c r="J273" s="1882" t="s">
        <v>8519</v>
      </c>
      <c r="K273" s="1882" t="s">
        <v>8855</v>
      </c>
      <c r="L273" s="1882"/>
      <c r="M273" s="1882" t="s">
        <v>2460</v>
      </c>
      <c r="N273" s="1882" t="s">
        <v>8569</v>
      </c>
      <c r="O273" s="1882" t="s">
        <v>764</v>
      </c>
      <c r="P273" s="1882" t="s">
        <v>8570</v>
      </c>
      <c r="Q273" s="520">
        <v>0</v>
      </c>
      <c r="R273" s="1882" t="s">
        <v>8511</v>
      </c>
      <c r="S273" s="1882" t="s">
        <v>8706</v>
      </c>
      <c r="T273" s="1882" t="s">
        <v>10085</v>
      </c>
      <c r="U273" s="1882" t="s">
        <v>10085</v>
      </c>
      <c r="V273" s="1882" t="s">
        <v>10085</v>
      </c>
      <c r="W273" s="1882" t="s">
        <v>10085</v>
      </c>
      <c r="X273" s="1882" t="s">
        <v>10085</v>
      </c>
      <c r="Y273" s="1882"/>
      <c r="Z273" s="1882"/>
      <c r="AA273" s="1882"/>
      <c r="AB273" s="1882"/>
      <c r="AC273" s="1882"/>
      <c r="AD273" s="1882"/>
      <c r="AE273" s="1882" t="s">
        <v>2459</v>
      </c>
      <c r="AF273" s="1882"/>
      <c r="AG273" s="1882"/>
      <c r="AH273" s="1882">
        <v>0</v>
      </c>
      <c r="AI273" s="1882" t="s">
        <v>2459</v>
      </c>
      <c r="AJ273" s="1882" t="s">
        <v>2459</v>
      </c>
      <c r="AK273" s="1882" t="s">
        <v>2459</v>
      </c>
      <c r="AL273" s="1882" t="s">
        <v>2459</v>
      </c>
      <c r="AM273" s="1882" t="s">
        <v>2459</v>
      </c>
      <c r="AN273" s="1882">
        <v>999999</v>
      </c>
      <c r="AO273" s="1882">
        <v>999999</v>
      </c>
      <c r="AP273" s="1882">
        <v>999999</v>
      </c>
      <c r="AQ273" s="1882">
        <v>999999</v>
      </c>
      <c r="AR273" s="1882">
        <v>999999</v>
      </c>
      <c r="AS273" s="1882">
        <v>6905</v>
      </c>
      <c r="AT273" s="1882">
        <v>6905</v>
      </c>
      <c r="AU273" s="1882">
        <v>6905</v>
      </c>
      <c r="AV273" s="1882">
        <v>6905</v>
      </c>
      <c r="AW273" s="1882">
        <v>6905</v>
      </c>
      <c r="AX273" s="1882"/>
      <c r="AY273" s="1882"/>
      <c r="AZ273" s="1882"/>
      <c r="BA273" s="1882"/>
      <c r="BB273" s="1882"/>
      <c r="BC273" s="1882"/>
      <c r="BD273" s="1882"/>
      <c r="BE273" s="1882"/>
      <c r="BF273" s="1882"/>
      <c r="BG273" s="1882"/>
      <c r="BH273" s="1882">
        <v>2.307E-3</v>
      </c>
      <c r="BI273" s="1882"/>
      <c r="BJ273" s="1882"/>
      <c r="BK273" s="1882"/>
      <c r="BL273" s="1882"/>
      <c r="BM273" s="1882"/>
      <c r="BN273" s="1882">
        <v>1</v>
      </c>
      <c r="BO273" s="1882" t="s">
        <v>8512</v>
      </c>
      <c r="BP273" s="520">
        <v>6253</v>
      </c>
      <c r="BQ273" s="693">
        <v>4784</v>
      </c>
      <c r="BR273" s="1882" t="s">
        <v>2459</v>
      </c>
      <c r="BS273" s="1882" t="s">
        <v>8513</v>
      </c>
      <c r="BT273" s="1882">
        <v>0</v>
      </c>
      <c r="BU273" s="1882" t="s">
        <v>8513</v>
      </c>
      <c r="BV273" s="1882">
        <v>0</v>
      </c>
      <c r="BW273" s="1882">
        <v>5173</v>
      </c>
      <c r="BX273" s="1882" t="s">
        <v>2459</v>
      </c>
      <c r="BY273" s="1882">
        <v>0</v>
      </c>
      <c r="BZ273" s="1882">
        <v>0</v>
      </c>
      <c r="CA273" s="1882">
        <v>0</v>
      </c>
      <c r="CB273" s="1882">
        <v>0</v>
      </c>
      <c r="CC273" s="1882">
        <v>5825</v>
      </c>
      <c r="CD273" s="1882" t="s">
        <v>2459</v>
      </c>
      <c r="CE273" s="1882">
        <v>0</v>
      </c>
      <c r="CF273" s="1882">
        <v>0</v>
      </c>
      <c r="CG273" s="1882">
        <v>0</v>
      </c>
      <c r="CH273" s="1882">
        <v>0</v>
      </c>
      <c r="CI273" s="1882" t="s">
        <v>8513</v>
      </c>
      <c r="CJ273" s="1882" t="s">
        <v>8513</v>
      </c>
      <c r="CK273" s="1882" t="s">
        <v>8513</v>
      </c>
      <c r="CL273" s="1882">
        <v>0</v>
      </c>
      <c r="CM273" s="1882" t="s">
        <v>8513</v>
      </c>
      <c r="CN273" s="1882">
        <v>0</v>
      </c>
      <c r="CP273" s="1882" t="s">
        <v>10086</v>
      </c>
    </row>
    <row r="274" spans="1:94">
      <c r="A274" s="1882" t="s">
        <v>8365</v>
      </c>
      <c r="B274" s="1882" t="s">
        <v>10087</v>
      </c>
      <c r="C274" s="1882" t="s">
        <v>8352</v>
      </c>
      <c r="D274" s="1882" t="s">
        <v>1626</v>
      </c>
      <c r="E274" s="1882" t="s">
        <v>8503</v>
      </c>
      <c r="F274" s="1882" t="s">
        <v>10057</v>
      </c>
      <c r="G274" s="1882" t="s">
        <v>10088</v>
      </c>
      <c r="H274" s="1882" t="s">
        <v>10089</v>
      </c>
      <c r="I274" s="1882" t="s">
        <v>10090</v>
      </c>
      <c r="J274" s="1882" t="s">
        <v>8508</v>
      </c>
      <c r="K274" s="1882" t="s">
        <v>8509</v>
      </c>
      <c r="L274" s="1882" t="s">
        <v>2459</v>
      </c>
      <c r="M274" s="1882"/>
      <c r="N274" s="1882" t="s">
        <v>8613</v>
      </c>
      <c r="O274" s="1882" t="s">
        <v>764</v>
      </c>
      <c r="P274" s="1882" t="s">
        <v>10091</v>
      </c>
      <c r="Q274" s="520">
        <v>0</v>
      </c>
      <c r="R274" s="1882" t="s">
        <v>8511</v>
      </c>
      <c r="S274" s="1882">
        <v>300</v>
      </c>
      <c r="T274" s="1882">
        <v>250</v>
      </c>
      <c r="U274" s="1882">
        <v>250</v>
      </c>
      <c r="V274" s="1882">
        <v>250</v>
      </c>
      <c r="W274" s="1882">
        <v>250</v>
      </c>
      <c r="X274" s="1882">
        <v>250</v>
      </c>
      <c r="Y274" s="1882"/>
      <c r="Z274" s="1882"/>
      <c r="AA274" s="1882"/>
      <c r="AB274" s="1882"/>
      <c r="AC274" s="1882"/>
      <c r="AD274" s="1882"/>
      <c r="AE274" s="1882" t="s">
        <v>2459</v>
      </c>
      <c r="AF274" s="1882"/>
      <c r="AG274" s="1882"/>
      <c r="AH274" s="1882">
        <v>0</v>
      </c>
      <c r="AI274" s="1882" t="s">
        <v>2459</v>
      </c>
      <c r="AJ274" s="1882" t="s">
        <v>2459</v>
      </c>
      <c r="AK274" s="1882" t="s">
        <v>2459</v>
      </c>
      <c r="AL274" s="1882" t="s">
        <v>2459</v>
      </c>
      <c r="AM274" s="1882" t="s">
        <v>2459</v>
      </c>
      <c r="AN274" s="1882">
        <v>999999</v>
      </c>
      <c r="AO274" s="1882">
        <v>999999</v>
      </c>
      <c r="AP274" s="1882">
        <v>999999</v>
      </c>
      <c r="AQ274" s="1882">
        <v>999999</v>
      </c>
      <c r="AR274" s="1882">
        <v>999999</v>
      </c>
      <c r="AS274" s="1882">
        <v>250</v>
      </c>
      <c r="AT274" s="1882">
        <v>250</v>
      </c>
      <c r="AU274" s="1882">
        <v>250</v>
      </c>
      <c r="AV274" s="1882">
        <v>250</v>
      </c>
      <c r="AW274" s="1882">
        <v>250</v>
      </c>
      <c r="AX274" s="1882">
        <v>250</v>
      </c>
      <c r="AY274" s="1882">
        <v>250</v>
      </c>
      <c r="AZ274" s="1882">
        <v>250</v>
      </c>
      <c r="BA274" s="1882">
        <v>250</v>
      </c>
      <c r="BB274" s="1882">
        <v>250</v>
      </c>
      <c r="BC274" s="1882">
        <v>0</v>
      </c>
      <c r="BD274" s="1882">
        <v>0</v>
      </c>
      <c r="BE274" s="1882">
        <v>0</v>
      </c>
      <c r="BF274" s="1882">
        <v>0</v>
      </c>
      <c r="BG274" s="1882">
        <v>0</v>
      </c>
      <c r="BH274" s="1882">
        <v>7.9000000000000001E-4</v>
      </c>
      <c r="BI274" s="1882"/>
      <c r="BJ274" s="1882"/>
      <c r="BK274" s="1882"/>
      <c r="BL274" s="1882">
        <v>7.9000000000000001E-4</v>
      </c>
      <c r="BM274" s="1882"/>
      <c r="BN274" s="1882">
        <v>1</v>
      </c>
      <c r="BO274" s="1882" t="s">
        <v>8512</v>
      </c>
      <c r="BP274" s="520">
        <v>230</v>
      </c>
      <c r="BQ274" s="693">
        <v>162</v>
      </c>
      <c r="BR274" s="1882" t="s">
        <v>2459</v>
      </c>
      <c r="BS274" s="1882" t="s">
        <v>8376</v>
      </c>
      <c r="BT274" s="1882">
        <v>6.9519999999999998E-2</v>
      </c>
      <c r="BU274" s="1882" t="s">
        <v>8513</v>
      </c>
      <c r="BV274" s="1882">
        <v>0</v>
      </c>
      <c r="BW274" s="1882">
        <v>187</v>
      </c>
      <c r="BX274" s="1882" t="s">
        <v>2459</v>
      </c>
      <c r="BY274" s="1882" t="s">
        <v>8376</v>
      </c>
      <c r="BZ274" s="1882">
        <v>4.9770000000000002E-2</v>
      </c>
      <c r="CA274" s="1882">
        <v>0</v>
      </c>
      <c r="CB274" s="1882">
        <v>0</v>
      </c>
      <c r="CC274" s="1882">
        <v>204</v>
      </c>
      <c r="CD274" s="1882" t="s">
        <v>2459</v>
      </c>
      <c r="CE274" s="1882" t="s">
        <v>8376</v>
      </c>
      <c r="CF274" s="1882">
        <v>3.6339999999999997E-2</v>
      </c>
      <c r="CG274" s="1882">
        <v>0</v>
      </c>
      <c r="CH274" s="1882">
        <v>0</v>
      </c>
      <c r="CI274" s="1882" t="s">
        <v>8513</v>
      </c>
      <c r="CJ274" s="1882" t="s">
        <v>8513</v>
      </c>
      <c r="CK274" s="1882" t="s">
        <v>8513</v>
      </c>
      <c r="CL274" s="1882">
        <v>0</v>
      </c>
      <c r="CM274" s="1882" t="s">
        <v>8513</v>
      </c>
      <c r="CN274" s="1882">
        <v>0</v>
      </c>
      <c r="CP274" s="1882" t="s">
        <v>10092</v>
      </c>
    </row>
    <row r="275" spans="1:94">
      <c r="A275" s="1882" t="s">
        <v>8365</v>
      </c>
      <c r="B275" s="1882" t="s">
        <v>10093</v>
      </c>
      <c r="C275" s="1882" t="s">
        <v>8352</v>
      </c>
      <c r="D275" s="1882" t="s">
        <v>1626</v>
      </c>
      <c r="E275" s="1882" t="s">
        <v>8503</v>
      </c>
      <c r="F275" s="1882" t="s">
        <v>10057</v>
      </c>
      <c r="G275" s="1882" t="s">
        <v>10094</v>
      </c>
      <c r="H275" s="1882" t="s">
        <v>10095</v>
      </c>
      <c r="I275" s="1882" t="s">
        <v>10096</v>
      </c>
      <c r="J275" s="1882" t="s">
        <v>8508</v>
      </c>
      <c r="K275" s="1882" t="s">
        <v>8509</v>
      </c>
      <c r="L275" s="1882" t="s">
        <v>2459</v>
      </c>
      <c r="M275" s="1882" t="s">
        <v>2460</v>
      </c>
      <c r="N275" s="1882" t="s">
        <v>8635</v>
      </c>
      <c r="O275" s="1882" t="s">
        <v>764</v>
      </c>
      <c r="P275" s="1882" t="s">
        <v>10097</v>
      </c>
      <c r="Q275" s="520">
        <v>0</v>
      </c>
      <c r="R275" s="1882" t="s">
        <v>8511</v>
      </c>
      <c r="S275" s="1882">
        <v>0</v>
      </c>
      <c r="T275" s="1882">
        <v>0</v>
      </c>
      <c r="U275" s="1882">
        <v>0</v>
      </c>
      <c r="V275" s="1882">
        <v>0</v>
      </c>
      <c r="W275" s="1882">
        <v>0</v>
      </c>
      <c r="X275" s="1882">
        <v>0</v>
      </c>
      <c r="Y275" s="1882"/>
      <c r="Z275" s="1882"/>
      <c r="AA275" s="1882"/>
      <c r="AB275" s="1882"/>
      <c r="AC275" s="1882"/>
      <c r="AD275" s="1882"/>
      <c r="AE275" s="1882"/>
      <c r="AF275" s="1882"/>
      <c r="AG275" s="1882"/>
      <c r="AH275" s="1882">
        <v>0</v>
      </c>
      <c r="AI275" s="1882" t="s">
        <v>2459</v>
      </c>
      <c r="AJ275" s="1882" t="s">
        <v>2459</v>
      </c>
      <c r="AK275" s="1882" t="s">
        <v>2459</v>
      </c>
      <c r="AL275" s="1882" t="s">
        <v>2459</v>
      </c>
      <c r="AM275" s="1882" t="s">
        <v>2459</v>
      </c>
      <c r="AN275" s="1882">
        <v>999999</v>
      </c>
      <c r="AO275" s="1882">
        <v>999999</v>
      </c>
      <c r="AP275" s="1882">
        <v>999999</v>
      </c>
      <c r="AQ275" s="1882">
        <v>999999</v>
      </c>
      <c r="AR275" s="1882">
        <v>999999</v>
      </c>
      <c r="AS275" s="1882">
        <v>0</v>
      </c>
      <c r="AT275" s="1882">
        <v>0</v>
      </c>
      <c r="AU275" s="1882">
        <v>0</v>
      </c>
      <c r="AV275" s="1882">
        <v>0</v>
      </c>
      <c r="AW275" s="1882">
        <v>0</v>
      </c>
      <c r="AX275" s="1882">
        <v>0</v>
      </c>
      <c r="AY275" s="1882">
        <v>0</v>
      </c>
      <c r="AZ275" s="1882">
        <v>0</v>
      </c>
      <c r="BA275" s="1882">
        <v>0</v>
      </c>
      <c r="BB275" s="1882">
        <v>0</v>
      </c>
      <c r="BC275" s="1882">
        <v>0</v>
      </c>
      <c r="BD275" s="1882">
        <v>0</v>
      </c>
      <c r="BE275" s="1882">
        <v>0</v>
      </c>
      <c r="BF275" s="1882">
        <v>0</v>
      </c>
      <c r="BG275" s="1882">
        <v>0</v>
      </c>
      <c r="BH275" s="1882">
        <v>7.5</v>
      </c>
      <c r="BI275" s="1882">
        <v>18.75</v>
      </c>
      <c r="BJ275" s="1882"/>
      <c r="BK275" s="1882"/>
      <c r="BL275" s="1882">
        <v>1.36</v>
      </c>
      <c r="BM275" s="1882"/>
      <c r="BN275" s="1882">
        <v>1</v>
      </c>
      <c r="BO275" s="1882" t="s">
        <v>8512</v>
      </c>
      <c r="BP275" s="520">
        <v>0</v>
      </c>
      <c r="BQ275" s="693">
        <v>0</v>
      </c>
      <c r="BR275" s="1882" t="s">
        <v>2459</v>
      </c>
      <c r="BS275" s="1882" t="s">
        <v>8513</v>
      </c>
      <c r="BT275" s="1882">
        <v>0</v>
      </c>
      <c r="BU275" s="1882" t="s">
        <v>8513</v>
      </c>
      <c r="BV275" s="1882">
        <v>0</v>
      </c>
      <c r="BW275" s="1882">
        <v>0</v>
      </c>
      <c r="BX275" s="1882" t="s">
        <v>2459</v>
      </c>
      <c r="BY275" s="1882">
        <v>0</v>
      </c>
      <c r="BZ275" s="1882">
        <v>0</v>
      </c>
      <c r="CA275" s="1882">
        <v>0</v>
      </c>
      <c r="CB275" s="1882">
        <v>0</v>
      </c>
      <c r="CC275" s="1882">
        <v>0</v>
      </c>
      <c r="CD275" s="1882" t="s">
        <v>2459</v>
      </c>
      <c r="CE275" s="1882">
        <v>0</v>
      </c>
      <c r="CF275" s="1882">
        <v>0</v>
      </c>
      <c r="CG275" s="1882">
        <v>0</v>
      </c>
      <c r="CH275" s="1882">
        <v>0</v>
      </c>
      <c r="CI275" s="1882" t="s">
        <v>8513</v>
      </c>
      <c r="CJ275" s="1882" t="s">
        <v>8513</v>
      </c>
      <c r="CK275" s="1882" t="s">
        <v>8513</v>
      </c>
      <c r="CL275" s="1882">
        <v>0</v>
      </c>
      <c r="CM275" s="1882" t="s">
        <v>8513</v>
      </c>
      <c r="CN275" s="1882">
        <v>0</v>
      </c>
      <c r="CP275" s="1882" t="s">
        <v>10098</v>
      </c>
    </row>
    <row r="276" spans="1:94">
      <c r="A276" s="1882" t="s">
        <v>8365</v>
      </c>
      <c r="B276" s="1882" t="s">
        <v>10099</v>
      </c>
      <c r="C276" s="1882" t="s">
        <v>8352</v>
      </c>
      <c r="D276" s="1882" t="s">
        <v>1626</v>
      </c>
      <c r="E276" s="1882" t="s">
        <v>8503</v>
      </c>
      <c r="F276" s="1882" t="s">
        <v>10057</v>
      </c>
      <c r="G276" s="1882" t="s">
        <v>10100</v>
      </c>
      <c r="H276" s="1882" t="s">
        <v>10101</v>
      </c>
      <c r="I276" s="1882" t="s">
        <v>10102</v>
      </c>
      <c r="J276" s="1882" t="s">
        <v>8519</v>
      </c>
      <c r="K276" s="1882" t="s">
        <v>8509</v>
      </c>
      <c r="L276" s="1882"/>
      <c r="M276" s="1882" t="s">
        <v>2460</v>
      </c>
      <c r="N276" s="1882" t="s">
        <v>4580</v>
      </c>
      <c r="O276" s="1882" t="s">
        <v>8797</v>
      </c>
      <c r="P276" s="1882" t="s">
        <v>10103</v>
      </c>
      <c r="Q276" s="520" t="s">
        <v>8512</v>
      </c>
      <c r="R276" s="1882"/>
      <c r="S276" s="1882" t="s">
        <v>3504</v>
      </c>
      <c r="T276" s="1882"/>
      <c r="U276" s="1882"/>
      <c r="V276" s="1882"/>
      <c r="W276" s="1882" t="s">
        <v>10104</v>
      </c>
      <c r="X276" s="1882" t="s">
        <v>10105</v>
      </c>
      <c r="Y276" s="1882"/>
      <c r="Z276" s="1882"/>
      <c r="AA276" s="1882"/>
      <c r="AB276" s="1882"/>
      <c r="AC276" s="1882"/>
      <c r="AD276" s="1882" t="s">
        <v>2459</v>
      </c>
      <c r="AE276" s="1882" t="s">
        <v>2459</v>
      </c>
      <c r="AF276" s="1882"/>
      <c r="AG276" s="1882"/>
      <c r="AH276" s="1882">
        <v>0</v>
      </c>
      <c r="AI276" s="1882"/>
      <c r="AJ276" s="1882"/>
      <c r="AK276" s="1882"/>
      <c r="AL276" s="1882"/>
      <c r="AM276" s="1882" t="s">
        <v>2459</v>
      </c>
      <c r="AN276" s="1882"/>
      <c r="AO276" s="1882"/>
      <c r="AP276" s="1882"/>
      <c r="AQ276" s="1882"/>
      <c r="AR276" s="1882"/>
      <c r="AS276" s="1882"/>
      <c r="AT276" s="1882"/>
      <c r="AU276" s="1882"/>
      <c r="AV276" s="1882"/>
      <c r="AW276" s="1882"/>
      <c r="AX276" s="1882"/>
      <c r="AY276" s="1882"/>
      <c r="AZ276" s="1882"/>
      <c r="BA276" s="1882"/>
      <c r="BB276" s="1882"/>
      <c r="BC276" s="1882"/>
      <c r="BD276" s="1882"/>
      <c r="BE276" s="1882"/>
      <c r="BF276" s="1882"/>
      <c r="BG276" s="1882"/>
      <c r="BH276" s="1882" t="s">
        <v>9751</v>
      </c>
      <c r="BI276" s="1882" t="s">
        <v>9751</v>
      </c>
      <c r="BJ276" s="1882" t="s">
        <v>9751</v>
      </c>
      <c r="BK276" s="1882" t="s">
        <v>9751</v>
      </c>
      <c r="BL276" s="1882"/>
      <c r="BM276" s="1882"/>
      <c r="BN276" s="1882">
        <v>1</v>
      </c>
      <c r="BO276" s="1882" t="s">
        <v>8512</v>
      </c>
      <c r="BP276" s="520" t="s">
        <v>10106</v>
      </c>
      <c r="BQ276" s="692" t="s">
        <v>10106</v>
      </c>
      <c r="BR276" s="1882" t="s">
        <v>8513</v>
      </c>
      <c r="BS276" s="1882" t="s">
        <v>8513</v>
      </c>
      <c r="BT276" s="1882">
        <v>0</v>
      </c>
      <c r="BU276" s="1882" t="s">
        <v>8513</v>
      </c>
      <c r="BV276" s="1882">
        <v>0</v>
      </c>
      <c r="BW276" s="1882" t="s">
        <v>10107</v>
      </c>
      <c r="BX276" s="1882" t="s">
        <v>2451</v>
      </c>
      <c r="BY276" s="1882">
        <v>0</v>
      </c>
      <c r="BZ276" s="1882">
        <v>0</v>
      </c>
      <c r="CA276" s="1882">
        <v>0</v>
      </c>
      <c r="CB276" s="1882">
        <v>0</v>
      </c>
      <c r="CC276" s="1882" t="s">
        <v>10107</v>
      </c>
      <c r="CD276" s="1882" t="s">
        <v>2459</v>
      </c>
      <c r="CE276" s="1882">
        <v>0</v>
      </c>
      <c r="CF276" s="1882">
        <v>0</v>
      </c>
      <c r="CG276" s="1882">
        <v>0</v>
      </c>
      <c r="CH276" s="1882">
        <v>0</v>
      </c>
      <c r="CI276" s="1882" t="s">
        <v>8513</v>
      </c>
      <c r="CJ276" s="1882" t="s">
        <v>8513</v>
      </c>
      <c r="CK276" s="1882" t="s">
        <v>8513</v>
      </c>
      <c r="CL276" s="1882">
        <v>0</v>
      </c>
      <c r="CM276" s="1882" t="s">
        <v>8513</v>
      </c>
      <c r="CN276" s="1882">
        <v>0</v>
      </c>
      <c r="CP276" s="1882" t="s">
        <v>10108</v>
      </c>
    </row>
    <row r="277" spans="1:94">
      <c r="A277" s="1882" t="s">
        <v>8365</v>
      </c>
      <c r="B277" s="1882" t="s">
        <v>10109</v>
      </c>
      <c r="C277" s="1882" t="s">
        <v>8352</v>
      </c>
      <c r="D277" s="1882" t="s">
        <v>1626</v>
      </c>
      <c r="E277" s="1882" t="s">
        <v>8503</v>
      </c>
      <c r="F277" s="1882" t="s">
        <v>10057</v>
      </c>
      <c r="G277" s="1882" t="s">
        <v>10110</v>
      </c>
      <c r="H277" s="1882" t="s">
        <v>10111</v>
      </c>
      <c r="I277" s="1882" t="s">
        <v>10112</v>
      </c>
      <c r="J277" s="1882" t="s">
        <v>8519</v>
      </c>
      <c r="K277" s="1882" t="s">
        <v>8855</v>
      </c>
      <c r="L277" s="1882"/>
      <c r="M277" s="1882" t="s">
        <v>2460</v>
      </c>
      <c r="N277" s="1882" t="s">
        <v>4580</v>
      </c>
      <c r="O277" s="1882" t="s">
        <v>8797</v>
      </c>
      <c r="P277" s="1882" t="s">
        <v>10103</v>
      </c>
      <c r="Q277" s="520" t="s">
        <v>8512</v>
      </c>
      <c r="R277" s="1882"/>
      <c r="S277" s="1882" t="s">
        <v>3504</v>
      </c>
      <c r="T277" s="1882"/>
      <c r="U277" s="1882"/>
      <c r="V277" s="1882" t="s">
        <v>10104</v>
      </c>
      <c r="W277" s="1882"/>
      <c r="X277" s="1882" t="s">
        <v>10105</v>
      </c>
      <c r="Y277" s="1882"/>
      <c r="Z277" s="1882"/>
      <c r="AA277" s="1882"/>
      <c r="AB277" s="1882"/>
      <c r="AC277" s="1882"/>
      <c r="AD277" s="1882" t="s">
        <v>2459</v>
      </c>
      <c r="AE277" s="1882" t="s">
        <v>2459</v>
      </c>
      <c r="AF277" s="1882"/>
      <c r="AG277" s="1882"/>
      <c r="AH277" s="1882">
        <v>0</v>
      </c>
      <c r="AI277" s="1882"/>
      <c r="AJ277" s="1882"/>
      <c r="AK277" s="1882"/>
      <c r="AL277" s="1882"/>
      <c r="AM277" s="1882" t="s">
        <v>2459</v>
      </c>
      <c r="AN277" s="1882"/>
      <c r="AO277" s="1882"/>
      <c r="AP277" s="1882"/>
      <c r="AQ277" s="1882"/>
      <c r="AR277" s="1882"/>
      <c r="AS277" s="1882"/>
      <c r="AT277" s="1882"/>
      <c r="AU277" s="1882"/>
      <c r="AV277" s="1882"/>
      <c r="AW277" s="1882"/>
      <c r="AX277" s="1882"/>
      <c r="AY277" s="1882"/>
      <c r="AZ277" s="1882"/>
      <c r="BA277" s="1882"/>
      <c r="BB277" s="1882"/>
      <c r="BC277" s="1882"/>
      <c r="BD277" s="1882"/>
      <c r="BE277" s="1882"/>
      <c r="BF277" s="1882"/>
      <c r="BG277" s="1882"/>
      <c r="BH277" s="1882" t="s">
        <v>9751</v>
      </c>
      <c r="BI277" s="1882" t="s">
        <v>9751</v>
      </c>
      <c r="BJ277" s="1882" t="s">
        <v>9751</v>
      </c>
      <c r="BK277" s="1882" t="s">
        <v>9751</v>
      </c>
      <c r="BL277" s="1882"/>
      <c r="BM277" s="1882"/>
      <c r="BN277" s="1882">
        <v>1</v>
      </c>
      <c r="BO277" s="1882" t="s">
        <v>8512</v>
      </c>
      <c r="BP277" s="520" t="s">
        <v>10106</v>
      </c>
      <c r="BQ277" s="692" t="s">
        <v>10106</v>
      </c>
      <c r="BR277" s="1882" t="s">
        <v>8513</v>
      </c>
      <c r="BS277" s="1882" t="s">
        <v>8513</v>
      </c>
      <c r="BT277" s="1882">
        <v>0</v>
      </c>
      <c r="BU277" s="1882" t="s">
        <v>8513</v>
      </c>
      <c r="BV277" s="1882">
        <v>0</v>
      </c>
      <c r="BW277" s="1882" t="s">
        <v>10107</v>
      </c>
      <c r="BX277" s="1882" t="s">
        <v>2451</v>
      </c>
      <c r="BY277" s="1882">
        <v>0</v>
      </c>
      <c r="BZ277" s="1882">
        <v>0</v>
      </c>
      <c r="CA277" s="1882">
        <v>0</v>
      </c>
      <c r="CB277" s="1882">
        <v>0</v>
      </c>
      <c r="CC277" s="1882" t="s">
        <v>10107</v>
      </c>
      <c r="CD277" s="1882" t="s">
        <v>2459</v>
      </c>
      <c r="CE277" s="1882">
        <v>0</v>
      </c>
      <c r="CF277" s="1882">
        <v>0</v>
      </c>
      <c r="CG277" s="1882">
        <v>0</v>
      </c>
      <c r="CH277" s="1882">
        <v>0</v>
      </c>
      <c r="CI277" s="1882" t="s">
        <v>8513</v>
      </c>
      <c r="CJ277" s="1882" t="s">
        <v>8513</v>
      </c>
      <c r="CK277" s="1882" t="s">
        <v>8513</v>
      </c>
      <c r="CL277" s="1882">
        <v>0</v>
      </c>
      <c r="CM277" s="1882" t="s">
        <v>8513</v>
      </c>
      <c r="CN277" s="1882">
        <v>0</v>
      </c>
      <c r="CP277" s="1882" t="s">
        <v>10113</v>
      </c>
    </row>
    <row r="278" spans="1:94">
      <c r="A278" s="1882" t="s">
        <v>8365</v>
      </c>
      <c r="B278" s="1882" t="s">
        <v>10114</v>
      </c>
      <c r="C278" s="1882" t="s">
        <v>8352</v>
      </c>
      <c r="D278" s="1882" t="s">
        <v>1626</v>
      </c>
      <c r="E278" s="1882" t="s">
        <v>8503</v>
      </c>
      <c r="F278" s="1882" t="s">
        <v>10057</v>
      </c>
      <c r="G278" s="1882" t="s">
        <v>10115</v>
      </c>
      <c r="H278" s="1882" t="s">
        <v>10116</v>
      </c>
      <c r="I278" s="1882" t="s">
        <v>10117</v>
      </c>
      <c r="J278" s="1882" t="s">
        <v>8519</v>
      </c>
      <c r="K278" s="1882" t="s">
        <v>8509</v>
      </c>
      <c r="L278" s="1882"/>
      <c r="M278" s="1882" t="s">
        <v>2460</v>
      </c>
      <c r="N278" s="1882" t="s">
        <v>4580</v>
      </c>
      <c r="O278" s="1882" t="s">
        <v>8797</v>
      </c>
      <c r="P278" s="1882" t="s">
        <v>10103</v>
      </c>
      <c r="Q278" s="520" t="s">
        <v>8512</v>
      </c>
      <c r="R278" s="1882"/>
      <c r="S278" s="1882" t="s">
        <v>3504</v>
      </c>
      <c r="T278" s="1882"/>
      <c r="U278" s="1882"/>
      <c r="V278" s="1882" t="s">
        <v>10104</v>
      </c>
      <c r="W278" s="1882" t="s">
        <v>10118</v>
      </c>
      <c r="X278" s="1882" t="s">
        <v>10119</v>
      </c>
      <c r="Y278" s="1882"/>
      <c r="Z278" s="1882"/>
      <c r="AA278" s="1882"/>
      <c r="AB278" s="1882"/>
      <c r="AC278" s="1882"/>
      <c r="AD278" s="1882" t="s">
        <v>2459</v>
      </c>
      <c r="AE278" s="1882" t="s">
        <v>2459</v>
      </c>
      <c r="AF278" s="1882"/>
      <c r="AG278" s="1882"/>
      <c r="AH278" s="1882">
        <v>0</v>
      </c>
      <c r="AI278" s="1882"/>
      <c r="AJ278" s="1882"/>
      <c r="AK278" s="1882"/>
      <c r="AL278" s="1882" t="s">
        <v>2459</v>
      </c>
      <c r="AM278" s="1882" t="s">
        <v>2459</v>
      </c>
      <c r="AN278" s="1882"/>
      <c r="AO278" s="1882"/>
      <c r="AP278" s="1882"/>
      <c r="AQ278" s="1882"/>
      <c r="AR278" s="1882"/>
      <c r="AS278" s="1882"/>
      <c r="AT278" s="1882"/>
      <c r="AU278" s="1882"/>
      <c r="AV278" s="1882"/>
      <c r="AW278" s="1882"/>
      <c r="AX278" s="1882"/>
      <c r="AY278" s="1882"/>
      <c r="AZ278" s="1882"/>
      <c r="BA278" s="1882"/>
      <c r="BB278" s="1882"/>
      <c r="BC278" s="1882"/>
      <c r="BD278" s="1882"/>
      <c r="BE278" s="1882"/>
      <c r="BF278" s="1882"/>
      <c r="BG278" s="1882"/>
      <c r="BH278" s="1882">
        <v>2.63</v>
      </c>
      <c r="BI278" s="1882">
        <v>0.86</v>
      </c>
      <c r="BJ278" s="1882">
        <v>0.34</v>
      </c>
      <c r="BK278" s="1882"/>
      <c r="BL278" s="1882"/>
      <c r="BM278" s="1882"/>
      <c r="BN278" s="1882">
        <v>1</v>
      </c>
      <c r="BO278" s="1882" t="s">
        <v>8512</v>
      </c>
      <c r="BP278" s="520" t="s">
        <v>10106</v>
      </c>
      <c r="BQ278" s="692" t="s">
        <v>10106</v>
      </c>
      <c r="BR278" s="1882" t="s">
        <v>8513</v>
      </c>
      <c r="BS278" s="1882" t="s">
        <v>8513</v>
      </c>
      <c r="BT278" s="1882">
        <v>0</v>
      </c>
      <c r="BU278" s="1882" t="s">
        <v>8513</v>
      </c>
      <c r="BV278" s="1882">
        <v>0</v>
      </c>
      <c r="BW278" s="1882" t="s">
        <v>10107</v>
      </c>
      <c r="BX278" s="1882" t="s">
        <v>2451</v>
      </c>
      <c r="BY278" s="1882">
        <v>0</v>
      </c>
      <c r="BZ278" s="1882">
        <v>0</v>
      </c>
      <c r="CA278" s="1882">
        <v>0</v>
      </c>
      <c r="CB278" s="1882">
        <v>0</v>
      </c>
      <c r="CC278" s="1882" t="s">
        <v>10107</v>
      </c>
      <c r="CD278" s="1882" t="s">
        <v>2459</v>
      </c>
      <c r="CE278" s="1882">
        <v>0</v>
      </c>
      <c r="CF278" s="1882">
        <v>0</v>
      </c>
      <c r="CG278" s="1882">
        <v>0</v>
      </c>
      <c r="CH278" s="1882">
        <v>0</v>
      </c>
      <c r="CI278" s="1882" t="s">
        <v>8513</v>
      </c>
      <c r="CJ278" s="1882" t="s">
        <v>8513</v>
      </c>
      <c r="CK278" s="1882" t="s">
        <v>8513</v>
      </c>
      <c r="CL278" s="1882">
        <v>0</v>
      </c>
      <c r="CM278" s="1882" t="s">
        <v>8513</v>
      </c>
      <c r="CN278" s="1882">
        <v>0</v>
      </c>
      <c r="CP278" s="1882" t="s">
        <v>10120</v>
      </c>
    </row>
    <row r="279" spans="1:94">
      <c r="A279" s="1882" t="s">
        <v>8365</v>
      </c>
      <c r="B279" s="1882" t="s">
        <v>10121</v>
      </c>
      <c r="C279" s="1882" t="s">
        <v>8352</v>
      </c>
      <c r="D279" s="1882" t="s">
        <v>1626</v>
      </c>
      <c r="E279" s="1882" t="s">
        <v>8503</v>
      </c>
      <c r="F279" s="1882" t="s">
        <v>10057</v>
      </c>
      <c r="G279" s="1882" t="s">
        <v>10122</v>
      </c>
      <c r="H279" s="1882" t="s">
        <v>10123</v>
      </c>
      <c r="I279" s="1882" t="s">
        <v>10124</v>
      </c>
      <c r="J279" s="1882" t="s">
        <v>8519</v>
      </c>
      <c r="K279" s="1882" t="s">
        <v>8855</v>
      </c>
      <c r="L279" s="1882"/>
      <c r="M279" s="1882" t="s">
        <v>2460</v>
      </c>
      <c r="N279" s="1882" t="s">
        <v>4580</v>
      </c>
      <c r="O279" s="1882" t="s">
        <v>8797</v>
      </c>
      <c r="P279" s="1882" t="s">
        <v>10103</v>
      </c>
      <c r="Q279" s="520" t="s">
        <v>8512</v>
      </c>
      <c r="R279" s="1882"/>
      <c r="S279" s="1882" t="s">
        <v>3504</v>
      </c>
      <c r="T279" s="1882"/>
      <c r="U279" s="1882"/>
      <c r="V279" s="1882" t="s">
        <v>10104</v>
      </c>
      <c r="W279" s="1882" t="s">
        <v>10118</v>
      </c>
      <c r="X279" s="1882" t="s">
        <v>10119</v>
      </c>
      <c r="Y279" s="1882"/>
      <c r="Z279" s="1882"/>
      <c r="AA279" s="1882"/>
      <c r="AB279" s="1882"/>
      <c r="AC279" s="1882"/>
      <c r="AD279" s="1882" t="s">
        <v>2459</v>
      </c>
      <c r="AE279" s="1882" t="s">
        <v>2459</v>
      </c>
      <c r="AF279" s="1882"/>
      <c r="AG279" s="1882"/>
      <c r="AH279" s="1882">
        <v>0</v>
      </c>
      <c r="AI279" s="1882"/>
      <c r="AJ279" s="1882"/>
      <c r="AK279" s="1882"/>
      <c r="AL279" s="1882" t="s">
        <v>2459</v>
      </c>
      <c r="AM279" s="1882" t="s">
        <v>2459</v>
      </c>
      <c r="AN279" s="1882"/>
      <c r="AO279" s="1882"/>
      <c r="AP279" s="1882"/>
      <c r="AQ279" s="1882"/>
      <c r="AR279" s="1882"/>
      <c r="AS279" s="1882"/>
      <c r="AT279" s="1882"/>
      <c r="AU279" s="1882"/>
      <c r="AV279" s="1882"/>
      <c r="AW279" s="1882"/>
      <c r="AX279" s="1882"/>
      <c r="AY279" s="1882"/>
      <c r="AZ279" s="1882"/>
      <c r="BA279" s="1882"/>
      <c r="BB279" s="1882"/>
      <c r="BC279" s="1882"/>
      <c r="BD279" s="1882"/>
      <c r="BE279" s="1882"/>
      <c r="BF279" s="1882"/>
      <c r="BG279" s="1882"/>
      <c r="BH279" s="1882">
        <v>0.497</v>
      </c>
      <c r="BI279" s="1882">
        <v>0.16300000000000001</v>
      </c>
      <c r="BJ279" s="1882">
        <v>6.4000000000000001E-2</v>
      </c>
      <c r="BK279" s="1882"/>
      <c r="BL279" s="1882"/>
      <c r="BM279" s="1882"/>
      <c r="BN279" s="1882">
        <v>1</v>
      </c>
      <c r="BO279" s="1882" t="s">
        <v>8512</v>
      </c>
      <c r="BP279" s="520" t="s">
        <v>10106</v>
      </c>
      <c r="BQ279" s="692" t="s">
        <v>10106</v>
      </c>
      <c r="BR279" s="1882" t="s">
        <v>8513</v>
      </c>
      <c r="BS279" s="1882" t="s">
        <v>8513</v>
      </c>
      <c r="BT279" s="1882">
        <v>0</v>
      </c>
      <c r="BU279" s="1882" t="s">
        <v>8513</v>
      </c>
      <c r="BV279" s="1882">
        <v>0</v>
      </c>
      <c r="BW279" s="1882" t="s">
        <v>10107</v>
      </c>
      <c r="BX279" s="1882" t="s">
        <v>2451</v>
      </c>
      <c r="BY279" s="1882">
        <v>0</v>
      </c>
      <c r="BZ279" s="1882">
        <v>0</v>
      </c>
      <c r="CA279" s="1882">
        <v>0</v>
      </c>
      <c r="CB279" s="1882">
        <v>0</v>
      </c>
      <c r="CC279" s="1882" t="s">
        <v>10107</v>
      </c>
      <c r="CD279" s="1882" t="s">
        <v>2459</v>
      </c>
      <c r="CE279" s="1882">
        <v>0</v>
      </c>
      <c r="CF279" s="1882">
        <v>0</v>
      </c>
      <c r="CG279" s="1882">
        <v>0</v>
      </c>
      <c r="CH279" s="1882">
        <v>0</v>
      </c>
      <c r="CI279" s="1882" t="s">
        <v>8513</v>
      </c>
      <c r="CJ279" s="1882" t="s">
        <v>8513</v>
      </c>
      <c r="CK279" s="1882" t="s">
        <v>8513</v>
      </c>
      <c r="CL279" s="1882">
        <v>0</v>
      </c>
      <c r="CM279" s="1882" t="s">
        <v>8513</v>
      </c>
      <c r="CN279" s="1882">
        <v>0</v>
      </c>
      <c r="CP279" s="1882" t="s">
        <v>10125</v>
      </c>
    </row>
    <row r="280" spans="1:94">
      <c r="A280" s="1882" t="s">
        <v>8365</v>
      </c>
      <c r="B280" s="1882" t="s">
        <v>10126</v>
      </c>
      <c r="C280" s="1882" t="s">
        <v>8352</v>
      </c>
      <c r="D280" s="1882" t="s">
        <v>1626</v>
      </c>
      <c r="E280" s="1882" t="s">
        <v>8503</v>
      </c>
      <c r="F280" s="1882" t="s">
        <v>10057</v>
      </c>
      <c r="G280" s="1882" t="s">
        <v>10127</v>
      </c>
      <c r="H280" s="1882" t="s">
        <v>10128</v>
      </c>
      <c r="I280" s="1882" t="s">
        <v>10129</v>
      </c>
      <c r="J280" s="1882" t="s">
        <v>8519</v>
      </c>
      <c r="K280" s="1882" t="s">
        <v>8509</v>
      </c>
      <c r="L280" s="1882"/>
      <c r="M280" s="1882" t="s">
        <v>2460</v>
      </c>
      <c r="N280" s="1882" t="s">
        <v>4580</v>
      </c>
      <c r="O280" s="1882" t="s">
        <v>8797</v>
      </c>
      <c r="P280" s="1882" t="s">
        <v>9904</v>
      </c>
      <c r="Q280" s="520" t="s">
        <v>8512</v>
      </c>
      <c r="R280" s="1882"/>
      <c r="S280" s="1882" t="s">
        <v>3504</v>
      </c>
      <c r="T280" s="1882"/>
      <c r="U280" s="1882" t="s">
        <v>41</v>
      </c>
      <c r="V280" s="1882"/>
      <c r="W280" s="1882"/>
      <c r="X280" s="1882"/>
      <c r="Y280" s="1882"/>
      <c r="Z280" s="1882"/>
      <c r="AA280" s="1882"/>
      <c r="AB280" s="1882"/>
      <c r="AC280" s="1882"/>
      <c r="AD280" s="1882" t="s">
        <v>2459</v>
      </c>
      <c r="AE280" s="1882" t="s">
        <v>2459</v>
      </c>
      <c r="AF280" s="1882"/>
      <c r="AG280" s="1882"/>
      <c r="AH280" s="1882">
        <v>0</v>
      </c>
      <c r="AI280" s="1882"/>
      <c r="AJ280" s="1882" t="s">
        <v>2459</v>
      </c>
      <c r="AK280" s="1882" t="s">
        <v>2459</v>
      </c>
      <c r="AL280" s="1882" t="s">
        <v>2459</v>
      </c>
      <c r="AM280" s="1882" t="s">
        <v>2459</v>
      </c>
      <c r="AN280" s="1882"/>
      <c r="AO280" s="1882"/>
      <c r="AP280" s="1882"/>
      <c r="AQ280" s="1882"/>
      <c r="AR280" s="1882"/>
      <c r="AS280" s="1882"/>
      <c r="AT280" s="1882"/>
      <c r="AU280" s="1882"/>
      <c r="AV280" s="1882"/>
      <c r="AW280" s="1882"/>
      <c r="AX280" s="1882"/>
      <c r="AY280" s="1882"/>
      <c r="AZ280" s="1882"/>
      <c r="BA280" s="1882"/>
      <c r="BB280" s="1882"/>
      <c r="BC280" s="1882"/>
      <c r="BD280" s="1882"/>
      <c r="BE280" s="1882"/>
      <c r="BF280" s="1882"/>
      <c r="BG280" s="1882"/>
      <c r="BH280" s="1882">
        <v>2.0499999999999998</v>
      </c>
      <c r="BI280" s="1882"/>
      <c r="BJ280" s="1882"/>
      <c r="BK280" s="1882"/>
      <c r="BL280" s="1882"/>
      <c r="BM280" s="1882"/>
      <c r="BN280" s="1882">
        <v>1</v>
      </c>
      <c r="BO280" s="1882" t="s">
        <v>8512</v>
      </c>
      <c r="BP280" s="520" t="s">
        <v>10106</v>
      </c>
      <c r="BQ280" s="692" t="s">
        <v>10106</v>
      </c>
      <c r="BR280" s="1882" t="s">
        <v>8513</v>
      </c>
      <c r="BS280" s="1882" t="s">
        <v>8513</v>
      </c>
      <c r="BT280" s="1882">
        <v>0</v>
      </c>
      <c r="BU280" s="1882" t="s">
        <v>8513</v>
      </c>
      <c r="BV280" s="1882">
        <v>0</v>
      </c>
      <c r="BW280" s="1882" t="s">
        <v>10130</v>
      </c>
      <c r="BX280" s="1882" t="s">
        <v>2459</v>
      </c>
      <c r="BY280" s="1882">
        <v>0</v>
      </c>
      <c r="BZ280" s="1882">
        <v>0</v>
      </c>
      <c r="CA280" s="1882">
        <v>0</v>
      </c>
      <c r="CB280" s="1882">
        <v>0</v>
      </c>
      <c r="CC280" s="1882" t="s">
        <v>10130</v>
      </c>
      <c r="CD280" s="1882" t="s">
        <v>2459</v>
      </c>
      <c r="CE280" s="1882">
        <v>0</v>
      </c>
      <c r="CF280" s="1882">
        <v>0</v>
      </c>
      <c r="CG280" s="1882">
        <v>0</v>
      </c>
      <c r="CH280" s="1882">
        <v>0</v>
      </c>
      <c r="CI280" s="1882" t="s">
        <v>8513</v>
      </c>
      <c r="CJ280" s="1882" t="s">
        <v>8513</v>
      </c>
      <c r="CK280" s="1882" t="s">
        <v>8513</v>
      </c>
      <c r="CL280" s="1882">
        <v>0</v>
      </c>
      <c r="CM280" s="1882" t="s">
        <v>8513</v>
      </c>
      <c r="CN280" s="1882">
        <v>0</v>
      </c>
      <c r="CP280" s="1882" t="s">
        <v>10131</v>
      </c>
    </row>
    <row r="281" spans="1:94">
      <c r="A281" s="1882" t="s">
        <v>8365</v>
      </c>
      <c r="B281" s="1882" t="s">
        <v>10132</v>
      </c>
      <c r="C281" s="1882" t="s">
        <v>8352</v>
      </c>
      <c r="D281" s="1882" t="s">
        <v>1626</v>
      </c>
      <c r="E281" s="1882" t="s">
        <v>8503</v>
      </c>
      <c r="F281" s="1882" t="s">
        <v>10057</v>
      </c>
      <c r="G281" s="1882" t="s">
        <v>10133</v>
      </c>
      <c r="H281" s="1882" t="s">
        <v>10134</v>
      </c>
      <c r="I281" s="1882" t="s">
        <v>10135</v>
      </c>
      <c r="J281" s="1882" t="s">
        <v>8519</v>
      </c>
      <c r="K281" s="1882" t="s">
        <v>8855</v>
      </c>
      <c r="L281" s="1882"/>
      <c r="M281" s="1882" t="s">
        <v>2460</v>
      </c>
      <c r="N281" s="1882" t="s">
        <v>4580</v>
      </c>
      <c r="O281" s="1882" t="s">
        <v>8797</v>
      </c>
      <c r="P281" s="1882" t="s">
        <v>9904</v>
      </c>
      <c r="Q281" s="520" t="s">
        <v>8512</v>
      </c>
      <c r="R281" s="1882"/>
      <c r="S281" s="1882" t="s">
        <v>3504</v>
      </c>
      <c r="T281" s="1882"/>
      <c r="U281" s="1882" t="s">
        <v>41</v>
      </c>
      <c r="V281" s="1882"/>
      <c r="W281" s="1882"/>
      <c r="X281" s="1882"/>
      <c r="Y281" s="1882"/>
      <c r="Z281" s="1882"/>
      <c r="AA281" s="1882"/>
      <c r="AB281" s="1882"/>
      <c r="AC281" s="1882"/>
      <c r="AD281" s="1882" t="s">
        <v>2459</v>
      </c>
      <c r="AE281" s="1882" t="s">
        <v>2459</v>
      </c>
      <c r="AF281" s="1882"/>
      <c r="AG281" s="1882"/>
      <c r="AH281" s="1882">
        <v>0</v>
      </c>
      <c r="AI281" s="1882"/>
      <c r="AJ281" s="1882" t="s">
        <v>2459</v>
      </c>
      <c r="AK281" s="1882"/>
      <c r="AL281" s="1882"/>
      <c r="AM281" s="1882"/>
      <c r="AN281" s="1882"/>
      <c r="AO281" s="1882"/>
      <c r="AP281" s="1882"/>
      <c r="AQ281" s="1882"/>
      <c r="AR281" s="1882"/>
      <c r="AS281" s="1882"/>
      <c r="AT281" s="1882"/>
      <c r="AU281" s="1882"/>
      <c r="AV281" s="1882"/>
      <c r="AW281" s="1882"/>
      <c r="AX281" s="1882"/>
      <c r="AY281" s="1882"/>
      <c r="AZ281" s="1882"/>
      <c r="BA281" s="1882"/>
      <c r="BB281" s="1882"/>
      <c r="BC281" s="1882"/>
      <c r="BD281" s="1882"/>
      <c r="BE281" s="1882"/>
      <c r="BF281" s="1882"/>
      <c r="BG281" s="1882"/>
      <c r="BH281" s="1882">
        <v>38.6</v>
      </c>
      <c r="BI281" s="1882"/>
      <c r="BJ281" s="1882"/>
      <c r="BK281" s="1882"/>
      <c r="BL281" s="1882"/>
      <c r="BM281" s="1882"/>
      <c r="BN281" s="1882">
        <v>1</v>
      </c>
      <c r="BO281" s="1882" t="s">
        <v>8512</v>
      </c>
      <c r="BP281" s="520" t="s">
        <v>10106</v>
      </c>
      <c r="BQ281" s="692" t="s">
        <v>10106</v>
      </c>
      <c r="BR281" s="1882" t="s">
        <v>8513</v>
      </c>
      <c r="BS281" s="1882" t="s">
        <v>8513</v>
      </c>
      <c r="BT281" s="1882">
        <v>0</v>
      </c>
      <c r="BU281" s="1882" t="s">
        <v>8513</v>
      </c>
      <c r="BV281" s="1882">
        <v>0</v>
      </c>
      <c r="BW281" s="1882" t="s">
        <v>10130</v>
      </c>
      <c r="BX281" s="1882" t="s">
        <v>2459</v>
      </c>
      <c r="BY281" s="1882">
        <v>0</v>
      </c>
      <c r="BZ281" s="1882">
        <v>0</v>
      </c>
      <c r="CA281" s="1882">
        <v>0</v>
      </c>
      <c r="CB281" s="1882">
        <v>0</v>
      </c>
      <c r="CC281" s="1882" t="s">
        <v>10130</v>
      </c>
      <c r="CD281" s="1882" t="s">
        <v>2459</v>
      </c>
      <c r="CE281" s="1882">
        <v>0</v>
      </c>
      <c r="CF281" s="1882">
        <v>0</v>
      </c>
      <c r="CG281" s="1882">
        <v>0</v>
      </c>
      <c r="CH281" s="1882">
        <v>0</v>
      </c>
      <c r="CI281" s="1882" t="s">
        <v>8513</v>
      </c>
      <c r="CJ281" s="1882" t="s">
        <v>8513</v>
      </c>
      <c r="CK281" s="1882" t="s">
        <v>8513</v>
      </c>
      <c r="CL281" s="1882">
        <v>0</v>
      </c>
      <c r="CM281" s="1882" t="s">
        <v>8513</v>
      </c>
      <c r="CN281" s="1882">
        <v>0</v>
      </c>
      <c r="CP281" s="1882" t="s">
        <v>10136</v>
      </c>
    </row>
    <row r="282" spans="1:94">
      <c r="A282" s="1882" t="s">
        <v>8365</v>
      </c>
      <c r="B282" s="1882" t="s">
        <v>10137</v>
      </c>
      <c r="C282" s="1882" t="s">
        <v>8352</v>
      </c>
      <c r="D282" s="1882" t="s">
        <v>1626</v>
      </c>
      <c r="E282" s="1882" t="s">
        <v>8503</v>
      </c>
      <c r="F282" s="1882" t="s">
        <v>10138</v>
      </c>
      <c r="G282" s="1882" t="s">
        <v>8559</v>
      </c>
      <c r="H282" s="1882" t="s">
        <v>10139</v>
      </c>
      <c r="I282" s="1882" t="s">
        <v>10140</v>
      </c>
      <c r="J282" s="1882" t="s">
        <v>8508</v>
      </c>
      <c r="K282" s="1882" t="s">
        <v>8509</v>
      </c>
      <c r="L282" s="1882" t="s">
        <v>2459</v>
      </c>
      <c r="M282" s="1882"/>
      <c r="N282" s="1882" t="s">
        <v>8599</v>
      </c>
      <c r="O282" s="1882" t="s">
        <v>732</v>
      </c>
      <c r="P282" s="1882" t="s">
        <v>8696</v>
      </c>
      <c r="Q282" s="520">
        <v>0</v>
      </c>
      <c r="R282" s="1882" t="s">
        <v>8549</v>
      </c>
      <c r="S282" s="1882">
        <v>45</v>
      </c>
      <c r="T282" s="1882">
        <v>47</v>
      </c>
      <c r="U282" s="1882">
        <v>47</v>
      </c>
      <c r="V282" s="1882">
        <v>52</v>
      </c>
      <c r="W282" s="1882">
        <v>53</v>
      </c>
      <c r="X282" s="1882">
        <v>55</v>
      </c>
      <c r="Y282" s="1882"/>
      <c r="Z282" s="1882"/>
      <c r="AA282" s="1882"/>
      <c r="AB282" s="1882"/>
      <c r="AC282" s="1882"/>
      <c r="AD282" s="1882"/>
      <c r="AE282" s="1882"/>
      <c r="AF282" s="1882"/>
      <c r="AG282" s="1882"/>
      <c r="AH282" s="1882">
        <v>0</v>
      </c>
      <c r="AI282" s="1882" t="s">
        <v>2459</v>
      </c>
      <c r="AJ282" s="1882" t="s">
        <v>2459</v>
      </c>
      <c r="AK282" s="1882" t="s">
        <v>2459</v>
      </c>
      <c r="AL282" s="1882" t="s">
        <v>2459</v>
      </c>
      <c r="AM282" s="1882" t="s">
        <v>2459</v>
      </c>
      <c r="AN282" s="1882">
        <v>0</v>
      </c>
      <c r="AO282" s="1882">
        <v>0</v>
      </c>
      <c r="AP282" s="1882">
        <v>0</v>
      </c>
      <c r="AQ282" s="1882">
        <v>0</v>
      </c>
      <c r="AR282" s="1882">
        <v>0</v>
      </c>
      <c r="AS282" s="1882">
        <v>37</v>
      </c>
      <c r="AT282" s="1882">
        <v>37</v>
      </c>
      <c r="AU282" s="1882">
        <v>42</v>
      </c>
      <c r="AV282" s="1882">
        <v>43</v>
      </c>
      <c r="AW282" s="1882">
        <v>45</v>
      </c>
      <c r="AX282" s="1882">
        <v>57</v>
      </c>
      <c r="AY282" s="1882">
        <v>57</v>
      </c>
      <c r="AZ282" s="1882">
        <v>62</v>
      </c>
      <c r="BA282" s="1882">
        <v>63</v>
      </c>
      <c r="BB282" s="1882">
        <v>65</v>
      </c>
      <c r="BC282" s="1882">
        <v>100</v>
      </c>
      <c r="BD282" s="1882">
        <v>100</v>
      </c>
      <c r="BE282" s="1882">
        <v>100</v>
      </c>
      <c r="BF282" s="1882">
        <v>100</v>
      </c>
      <c r="BG282" s="1882">
        <v>100</v>
      </c>
      <c r="BH282" s="1882">
        <v>0.125</v>
      </c>
      <c r="BI282" s="1882"/>
      <c r="BJ282" s="1882"/>
      <c r="BK282" s="1882"/>
      <c r="BL282" s="1882">
        <v>0.125</v>
      </c>
      <c r="BM282" s="1882"/>
      <c r="BN282" s="1882">
        <v>1</v>
      </c>
      <c r="BO282" s="1882" t="s">
        <v>8512</v>
      </c>
      <c r="BP282" s="520">
        <v>51</v>
      </c>
      <c r="BQ282" s="693">
        <v>57.5</v>
      </c>
      <c r="BR282" s="1882" t="s">
        <v>2459</v>
      </c>
      <c r="BS282" s="1882" t="s">
        <v>8376</v>
      </c>
      <c r="BT282" s="1882">
        <v>0.125</v>
      </c>
      <c r="BU282" s="1882" t="s">
        <v>8513</v>
      </c>
      <c r="BV282" s="1882">
        <v>0</v>
      </c>
      <c r="BW282" s="1882">
        <v>58</v>
      </c>
      <c r="BX282" s="1882" t="s">
        <v>2459</v>
      </c>
      <c r="BY282" s="1882" t="s">
        <v>8376</v>
      </c>
      <c r="BZ282" s="1882">
        <v>0.125</v>
      </c>
      <c r="CA282" s="1882">
        <v>0</v>
      </c>
      <c r="CB282" s="1882">
        <v>0</v>
      </c>
      <c r="CC282" s="1882">
        <v>59</v>
      </c>
      <c r="CD282" s="1882" t="s">
        <v>2459</v>
      </c>
      <c r="CE282" s="1882" t="s">
        <v>8380</v>
      </c>
      <c r="CF282" s="1882">
        <v>0</v>
      </c>
      <c r="CG282" s="1882">
        <v>0</v>
      </c>
      <c r="CH282" s="1882">
        <v>0</v>
      </c>
      <c r="CI282" s="1882" t="s">
        <v>8513</v>
      </c>
      <c r="CJ282" s="1882" t="s">
        <v>8513</v>
      </c>
      <c r="CK282" s="1882" t="s">
        <v>8513</v>
      </c>
      <c r="CL282" s="1882">
        <v>0</v>
      </c>
      <c r="CM282" s="1882" t="s">
        <v>8513</v>
      </c>
      <c r="CN282" s="1882">
        <v>0</v>
      </c>
      <c r="CP282" s="1882" t="s">
        <v>10141</v>
      </c>
    </row>
    <row r="283" spans="1:94">
      <c r="A283" s="1882" t="s">
        <v>8365</v>
      </c>
      <c r="B283" s="1882" t="s">
        <v>10142</v>
      </c>
      <c r="C283" s="1882" t="s">
        <v>8352</v>
      </c>
      <c r="D283" s="1882" t="s">
        <v>1626</v>
      </c>
      <c r="E283" s="1882" t="s">
        <v>8503</v>
      </c>
      <c r="F283" s="1882" t="s">
        <v>10143</v>
      </c>
      <c r="G283" s="1882" t="s">
        <v>8640</v>
      </c>
      <c r="H283" s="1882" t="s">
        <v>10144</v>
      </c>
      <c r="I283" s="1882" t="s">
        <v>10145</v>
      </c>
      <c r="J283" s="1882" t="s">
        <v>8508</v>
      </c>
      <c r="K283" s="1882" t="s">
        <v>8509</v>
      </c>
      <c r="L283" s="1882"/>
      <c r="M283" s="1882"/>
      <c r="N283" s="1882" t="s">
        <v>8673</v>
      </c>
      <c r="O283" s="1882" t="s">
        <v>764</v>
      </c>
      <c r="P283" s="1882" t="s">
        <v>10146</v>
      </c>
      <c r="Q283" s="520">
        <v>0</v>
      </c>
      <c r="R283" s="1882" t="s">
        <v>8549</v>
      </c>
      <c r="S283" s="1882"/>
      <c r="T283" s="1882"/>
      <c r="U283" s="1882"/>
      <c r="V283" s="1882"/>
      <c r="W283" s="1882"/>
      <c r="X283" s="1882">
        <v>31</v>
      </c>
      <c r="Y283" s="1882"/>
      <c r="Z283" s="1882"/>
      <c r="AA283" s="1882"/>
      <c r="AB283" s="1882"/>
      <c r="AC283" s="1882"/>
      <c r="AD283" s="1882"/>
      <c r="AE283" s="1882"/>
      <c r="AF283" s="1882" t="s">
        <v>2459</v>
      </c>
      <c r="AG283" s="1882"/>
      <c r="AH283" s="1882">
        <v>0</v>
      </c>
      <c r="AI283" s="1882"/>
      <c r="AJ283" s="1882"/>
      <c r="AK283" s="1882"/>
      <c r="AL283" s="1882"/>
      <c r="AM283" s="1882" t="s">
        <v>2459</v>
      </c>
      <c r="AN283" s="1882"/>
      <c r="AO283" s="1882"/>
      <c r="AP283" s="1882"/>
      <c r="AQ283" s="1882"/>
      <c r="AR283" s="1882">
        <v>0</v>
      </c>
      <c r="AS283" s="1882"/>
      <c r="AT283" s="1882"/>
      <c r="AU283" s="1882"/>
      <c r="AV283" s="1882"/>
      <c r="AW283" s="1882">
        <v>31</v>
      </c>
      <c r="AX283" s="1882"/>
      <c r="AY283" s="1882"/>
      <c r="AZ283" s="1882"/>
      <c r="BA283" s="1882"/>
      <c r="BB283" s="1882">
        <v>31</v>
      </c>
      <c r="BC283" s="1882"/>
      <c r="BD283" s="1882"/>
      <c r="BE283" s="1882"/>
      <c r="BF283" s="1882"/>
      <c r="BG283" s="1882">
        <v>999999</v>
      </c>
      <c r="BH283" s="1882">
        <v>0.15</v>
      </c>
      <c r="BI283" s="1882"/>
      <c r="BJ283" s="1882"/>
      <c r="BK283" s="1882"/>
      <c r="BL283" s="1882">
        <v>0.15</v>
      </c>
      <c r="BM283" s="1882"/>
      <c r="BN283" s="1882">
        <v>1</v>
      </c>
      <c r="BO283" s="1882" t="s">
        <v>8512</v>
      </c>
      <c r="BP283" s="520">
        <v>0</v>
      </c>
      <c r="BQ283" s="693">
        <v>0</v>
      </c>
      <c r="BR283" s="1882" t="s">
        <v>8513</v>
      </c>
      <c r="BS283" s="1882" t="s">
        <v>8513</v>
      </c>
      <c r="BT283" s="1882">
        <v>0</v>
      </c>
      <c r="BU283" s="1882" t="s">
        <v>8513</v>
      </c>
      <c r="BV283" s="1882">
        <v>0</v>
      </c>
      <c r="BW283" s="1882">
        <v>7</v>
      </c>
      <c r="BX283" s="1882" t="s">
        <v>2451</v>
      </c>
      <c r="BY283" s="1882">
        <v>0</v>
      </c>
      <c r="BZ283" s="1882">
        <v>0</v>
      </c>
      <c r="CA283" s="1882">
        <v>0</v>
      </c>
      <c r="CB283" s="1882">
        <v>0</v>
      </c>
      <c r="CC283" s="1882">
        <v>3</v>
      </c>
      <c r="CD283" s="1882" t="s">
        <v>2451</v>
      </c>
      <c r="CE283" s="1882">
        <v>0</v>
      </c>
      <c r="CF283" s="1882">
        <v>0</v>
      </c>
      <c r="CG283" s="1882">
        <v>0</v>
      </c>
      <c r="CH283" s="1882">
        <v>0</v>
      </c>
      <c r="CI283" s="1882" t="s">
        <v>8513</v>
      </c>
      <c r="CJ283" s="1882" t="s">
        <v>8513</v>
      </c>
      <c r="CK283" s="1882" t="s">
        <v>8513</v>
      </c>
      <c r="CL283" s="1882">
        <v>0</v>
      </c>
      <c r="CM283" s="1882" t="s">
        <v>8513</v>
      </c>
      <c r="CN283" s="1882">
        <v>0</v>
      </c>
      <c r="CP283" s="1882" t="s">
        <v>10147</v>
      </c>
    </row>
    <row r="284" spans="1:94">
      <c r="A284" s="1882" t="s">
        <v>8365</v>
      </c>
      <c r="B284" s="1882" t="s">
        <v>10148</v>
      </c>
      <c r="C284" s="1882" t="s">
        <v>8352</v>
      </c>
      <c r="D284" s="1882" t="s">
        <v>1626</v>
      </c>
      <c r="E284" s="1882" t="s">
        <v>8503</v>
      </c>
      <c r="F284" s="1882" t="s">
        <v>10143</v>
      </c>
      <c r="G284" s="1882" t="s">
        <v>8646</v>
      </c>
      <c r="H284" s="1882" t="s">
        <v>10149</v>
      </c>
      <c r="I284" s="1882" t="s">
        <v>10150</v>
      </c>
      <c r="J284" s="1882" t="s">
        <v>8539</v>
      </c>
      <c r="K284" s="1882"/>
      <c r="L284" s="1882"/>
      <c r="M284" s="1882"/>
      <c r="N284" s="1882" t="s">
        <v>8673</v>
      </c>
      <c r="O284" s="1882" t="s">
        <v>732</v>
      </c>
      <c r="P284" s="1882" t="s">
        <v>10151</v>
      </c>
      <c r="Q284" s="520">
        <v>0</v>
      </c>
      <c r="R284" s="1882" t="s">
        <v>8549</v>
      </c>
      <c r="S284" s="1882" t="s">
        <v>8706</v>
      </c>
      <c r="T284" s="1882">
        <v>100</v>
      </c>
      <c r="U284" s="1882">
        <v>100</v>
      </c>
      <c r="V284" s="1882">
        <v>100</v>
      </c>
      <c r="W284" s="1882">
        <v>100</v>
      </c>
      <c r="X284" s="1882">
        <v>100</v>
      </c>
      <c r="Y284" s="1882"/>
      <c r="Z284" s="1882"/>
      <c r="AA284" s="1882"/>
      <c r="AB284" s="1882"/>
      <c r="AC284" s="1882"/>
      <c r="AD284" s="1882"/>
      <c r="AE284" s="1882"/>
      <c r="AF284" s="1882" t="s">
        <v>2459</v>
      </c>
      <c r="AG284" s="1882"/>
      <c r="AH284" s="1882">
        <v>0</v>
      </c>
      <c r="AI284" s="1882"/>
      <c r="AJ284" s="1882"/>
      <c r="AK284" s="1882"/>
      <c r="AL284" s="1882"/>
      <c r="AM284" s="1882"/>
      <c r="AN284" s="1882"/>
      <c r="AO284" s="1882"/>
      <c r="AP284" s="1882"/>
      <c r="AQ284" s="1882"/>
      <c r="AR284" s="1882"/>
      <c r="AS284" s="1882"/>
      <c r="AT284" s="1882"/>
      <c r="AU284" s="1882"/>
      <c r="AV284" s="1882"/>
      <c r="AW284" s="1882"/>
      <c r="AX284" s="1882"/>
      <c r="AY284" s="1882"/>
      <c r="AZ284" s="1882"/>
      <c r="BA284" s="1882"/>
      <c r="BB284" s="1882"/>
      <c r="BC284" s="1882"/>
      <c r="BD284" s="1882"/>
      <c r="BE284" s="1882"/>
      <c r="BF284" s="1882"/>
      <c r="BG284" s="1882"/>
      <c r="BH284" s="1882"/>
      <c r="BI284" s="1882"/>
      <c r="BJ284" s="1882"/>
      <c r="BK284" s="1882"/>
      <c r="BL284" s="1882"/>
      <c r="BM284" s="1882"/>
      <c r="BN284" s="1882"/>
      <c r="BO284" s="1882"/>
      <c r="BP284" s="520">
        <v>95.740000000000009</v>
      </c>
      <c r="BQ284" s="693">
        <v>97.508496246767137</v>
      </c>
      <c r="BR284" s="1882" t="s">
        <v>2460</v>
      </c>
      <c r="BS284" s="1882" t="s">
        <v>8513</v>
      </c>
      <c r="BT284" s="1882">
        <v>0</v>
      </c>
      <c r="BU284" s="1882" t="s">
        <v>8513</v>
      </c>
      <c r="BV284" s="1882">
        <v>0</v>
      </c>
      <c r="BW284" s="1882">
        <v>97.988160870777804</v>
      </c>
      <c r="BX284" s="1882" t="s">
        <v>2460</v>
      </c>
      <c r="BY284" s="1882">
        <v>0</v>
      </c>
      <c r="BZ284" s="1882">
        <v>0</v>
      </c>
      <c r="CA284" s="1882">
        <v>0</v>
      </c>
      <c r="CB284" s="1882">
        <v>0</v>
      </c>
      <c r="CC284" s="1882">
        <v>97.7</v>
      </c>
      <c r="CD284" s="1882" t="s">
        <v>2460</v>
      </c>
      <c r="CE284" s="1882">
        <v>0</v>
      </c>
      <c r="CF284" s="1882">
        <v>0</v>
      </c>
      <c r="CG284" s="1882">
        <v>0</v>
      </c>
      <c r="CH284" s="1882">
        <v>0</v>
      </c>
      <c r="CI284" s="1882" t="s">
        <v>8513</v>
      </c>
      <c r="CJ284" s="1882" t="s">
        <v>8513</v>
      </c>
      <c r="CK284" s="1882" t="s">
        <v>8513</v>
      </c>
      <c r="CL284" s="1882">
        <v>0</v>
      </c>
      <c r="CM284" s="1882" t="s">
        <v>8513</v>
      </c>
      <c r="CN284" s="1882">
        <v>0</v>
      </c>
      <c r="CP284" s="1882" t="s">
        <v>10152</v>
      </c>
    </row>
    <row r="285" spans="1:94">
      <c r="A285" s="1882" t="s">
        <v>8365</v>
      </c>
      <c r="B285" s="1882" t="s">
        <v>10153</v>
      </c>
      <c r="C285" s="1882" t="s">
        <v>8352</v>
      </c>
      <c r="D285" s="1882" t="s">
        <v>1626</v>
      </c>
      <c r="E285" s="1882" t="s">
        <v>8503</v>
      </c>
      <c r="F285" s="1882" t="s">
        <v>10143</v>
      </c>
      <c r="G285" s="1882" t="s">
        <v>8651</v>
      </c>
      <c r="H285" s="1882" t="s">
        <v>10154</v>
      </c>
      <c r="I285" s="1882" t="s">
        <v>10155</v>
      </c>
      <c r="J285" s="1882" t="s">
        <v>8539</v>
      </c>
      <c r="K285" s="1882"/>
      <c r="L285" s="1882"/>
      <c r="M285" s="1882"/>
      <c r="N285" s="1882" t="s">
        <v>8666</v>
      </c>
      <c r="O285" s="1882" t="s">
        <v>764</v>
      </c>
      <c r="P285" s="1882" t="s">
        <v>10156</v>
      </c>
      <c r="Q285" s="520">
        <v>0</v>
      </c>
      <c r="R285" s="1882" t="s">
        <v>8549</v>
      </c>
      <c r="S285" s="1882">
        <v>334</v>
      </c>
      <c r="T285" s="1882"/>
      <c r="U285" s="1882"/>
      <c r="V285" s="1882"/>
      <c r="W285" s="1882"/>
      <c r="X285" s="1882">
        <v>409</v>
      </c>
      <c r="Y285" s="1882"/>
      <c r="Z285" s="1882"/>
      <c r="AA285" s="1882"/>
      <c r="AB285" s="1882"/>
      <c r="AC285" s="1882"/>
      <c r="AD285" s="1882"/>
      <c r="AE285" s="1882"/>
      <c r="AF285" s="1882" t="s">
        <v>2459</v>
      </c>
      <c r="AG285" s="1882"/>
      <c r="AH285" s="1882">
        <v>0</v>
      </c>
      <c r="AI285" s="1882"/>
      <c r="AJ285" s="1882"/>
      <c r="AK285" s="1882"/>
      <c r="AL285" s="1882"/>
      <c r="AM285" s="1882"/>
      <c r="AN285" s="1882"/>
      <c r="AO285" s="1882"/>
      <c r="AP285" s="1882"/>
      <c r="AQ285" s="1882"/>
      <c r="AR285" s="1882"/>
      <c r="AS285" s="1882"/>
      <c r="AT285" s="1882"/>
      <c r="AU285" s="1882"/>
      <c r="AV285" s="1882"/>
      <c r="AW285" s="1882"/>
      <c r="AX285" s="1882"/>
      <c r="AY285" s="1882"/>
      <c r="AZ285" s="1882"/>
      <c r="BA285" s="1882"/>
      <c r="BB285" s="1882"/>
      <c r="BC285" s="1882"/>
      <c r="BD285" s="1882"/>
      <c r="BE285" s="1882"/>
      <c r="BF285" s="1882"/>
      <c r="BG285" s="1882"/>
      <c r="BH285" s="1882"/>
      <c r="BI285" s="1882"/>
      <c r="BJ285" s="1882"/>
      <c r="BK285" s="1882"/>
      <c r="BL285" s="1882"/>
      <c r="BM285" s="1882"/>
      <c r="BN285" s="1882"/>
      <c r="BO285" s="1882"/>
      <c r="BP285" s="520">
        <v>328</v>
      </c>
      <c r="BQ285" s="693">
        <v>322.89999999999998</v>
      </c>
      <c r="BR285" s="1882" t="s">
        <v>8513</v>
      </c>
      <c r="BS285" s="1882" t="s">
        <v>8513</v>
      </c>
      <c r="BT285" s="1882">
        <v>0</v>
      </c>
      <c r="BU285" s="1882" t="s">
        <v>8513</v>
      </c>
      <c r="BV285" s="1882">
        <v>0</v>
      </c>
      <c r="BW285" s="1882">
        <v>293</v>
      </c>
      <c r="BX285" s="1882" t="s">
        <v>2451</v>
      </c>
      <c r="BY285" s="1882">
        <v>0</v>
      </c>
      <c r="BZ285" s="1882">
        <v>0</v>
      </c>
      <c r="CA285" s="1882">
        <v>0</v>
      </c>
      <c r="CB285" s="1882">
        <v>0</v>
      </c>
      <c r="CC285" s="1882">
        <v>337</v>
      </c>
      <c r="CD285" s="1882" t="s">
        <v>2451</v>
      </c>
      <c r="CE285" s="1882">
        <v>0</v>
      </c>
      <c r="CF285" s="1882">
        <v>0</v>
      </c>
      <c r="CG285" s="1882">
        <v>0</v>
      </c>
      <c r="CH285" s="1882">
        <v>0</v>
      </c>
      <c r="CI285" s="1882" t="s">
        <v>8513</v>
      </c>
      <c r="CJ285" s="1882" t="s">
        <v>8513</v>
      </c>
      <c r="CK285" s="1882" t="s">
        <v>8513</v>
      </c>
      <c r="CL285" s="1882">
        <v>0</v>
      </c>
      <c r="CM285" s="1882" t="s">
        <v>8513</v>
      </c>
      <c r="CN285" s="1882">
        <v>0</v>
      </c>
      <c r="CP285" s="1882" t="s">
        <v>10157</v>
      </c>
    </row>
    <row r="286" spans="1:94">
      <c r="A286" s="1882" t="s">
        <v>8365</v>
      </c>
      <c r="B286" s="1882" t="s">
        <v>10158</v>
      </c>
      <c r="C286" s="1882" t="s">
        <v>8352</v>
      </c>
      <c r="D286" s="1882" t="s">
        <v>1626</v>
      </c>
      <c r="E286" s="1882" t="s">
        <v>8503</v>
      </c>
      <c r="F286" s="1882" t="s">
        <v>10143</v>
      </c>
      <c r="G286" s="1882" t="s">
        <v>8657</v>
      </c>
      <c r="H286" s="1882" t="s">
        <v>10159</v>
      </c>
      <c r="I286" s="1882" t="s">
        <v>10160</v>
      </c>
      <c r="J286" s="1882" t="s">
        <v>8539</v>
      </c>
      <c r="K286" s="1882"/>
      <c r="L286" s="1882"/>
      <c r="M286" s="1882"/>
      <c r="N286" s="1882" t="s">
        <v>8673</v>
      </c>
      <c r="O286" s="1882" t="s">
        <v>764</v>
      </c>
      <c r="P286" s="1882" t="s">
        <v>10161</v>
      </c>
      <c r="Q286" s="520">
        <v>0</v>
      </c>
      <c r="R286" s="1882"/>
      <c r="S286" s="1882"/>
      <c r="T286" s="1882"/>
      <c r="U286" s="1882"/>
      <c r="V286" s="1882"/>
      <c r="W286" s="1882" t="s">
        <v>8999</v>
      </c>
      <c r="X286" s="1882"/>
      <c r="Y286" s="1882"/>
      <c r="Z286" s="1882"/>
      <c r="AA286" s="1882"/>
      <c r="AB286" s="1882"/>
      <c r="AC286" s="1882"/>
      <c r="AD286" s="1882"/>
      <c r="AE286" s="1882"/>
      <c r="AF286" s="1882" t="s">
        <v>2459</v>
      </c>
      <c r="AG286" s="1882"/>
      <c r="AH286" s="1882">
        <v>0</v>
      </c>
      <c r="AI286" s="1882"/>
      <c r="AJ286" s="1882"/>
      <c r="AK286" s="1882"/>
      <c r="AL286" s="1882"/>
      <c r="AM286" s="1882"/>
      <c r="AN286" s="1882"/>
      <c r="AO286" s="1882"/>
      <c r="AP286" s="1882"/>
      <c r="AQ286" s="1882"/>
      <c r="AR286" s="1882"/>
      <c r="AS286" s="1882"/>
      <c r="AT286" s="1882"/>
      <c r="AU286" s="1882"/>
      <c r="AV286" s="1882"/>
      <c r="AW286" s="1882"/>
      <c r="AX286" s="1882"/>
      <c r="AY286" s="1882"/>
      <c r="AZ286" s="1882"/>
      <c r="BA286" s="1882"/>
      <c r="BB286" s="1882"/>
      <c r="BC286" s="1882"/>
      <c r="BD286" s="1882"/>
      <c r="BE286" s="1882"/>
      <c r="BF286" s="1882"/>
      <c r="BG286" s="1882"/>
      <c r="BH286" s="1882"/>
      <c r="BI286" s="1882"/>
      <c r="BJ286" s="1882"/>
      <c r="BK286" s="1882"/>
      <c r="BL286" s="1882"/>
      <c r="BM286" s="1882"/>
      <c r="BN286" s="1882"/>
      <c r="BO286" s="1882"/>
      <c r="BP286" s="520">
        <v>0</v>
      </c>
      <c r="BQ286" s="692">
        <v>0</v>
      </c>
      <c r="BR286" s="1882" t="s">
        <v>8513</v>
      </c>
      <c r="BS286" s="1882" t="s">
        <v>8513</v>
      </c>
      <c r="BT286" s="1882">
        <v>0</v>
      </c>
      <c r="BU286" s="1882" t="s">
        <v>8513</v>
      </c>
      <c r="BV286" s="1882">
        <v>0</v>
      </c>
      <c r="BW286" s="1882">
        <v>0</v>
      </c>
      <c r="BX286" s="1882" t="s">
        <v>2451</v>
      </c>
      <c r="BY286" s="1882">
        <v>0</v>
      </c>
      <c r="BZ286" s="1882">
        <v>0</v>
      </c>
      <c r="CA286" s="1882">
        <v>0</v>
      </c>
      <c r="CB286" s="1882">
        <v>0</v>
      </c>
      <c r="CC286" s="1882">
        <v>0</v>
      </c>
      <c r="CD286" s="1882" t="s">
        <v>2451</v>
      </c>
      <c r="CE286" s="1882">
        <v>0</v>
      </c>
      <c r="CF286" s="1882">
        <v>0</v>
      </c>
      <c r="CG286" s="1882">
        <v>0</v>
      </c>
      <c r="CH286" s="1882">
        <v>0</v>
      </c>
      <c r="CI286" s="1882" t="s">
        <v>8513</v>
      </c>
      <c r="CJ286" s="1882" t="s">
        <v>8513</v>
      </c>
      <c r="CK286" s="1882" t="s">
        <v>8513</v>
      </c>
      <c r="CL286" s="1882">
        <v>0</v>
      </c>
      <c r="CM286" s="1882" t="s">
        <v>8513</v>
      </c>
      <c r="CN286" s="1882">
        <v>0</v>
      </c>
      <c r="CP286" s="1882" t="s">
        <v>10162</v>
      </c>
    </row>
    <row r="287" spans="1:94">
      <c r="A287" s="1882" t="s">
        <v>8365</v>
      </c>
      <c r="B287" s="1882" t="s">
        <v>10163</v>
      </c>
      <c r="C287" s="1882" t="s">
        <v>8352</v>
      </c>
      <c r="D287" s="1882" t="s">
        <v>1626</v>
      </c>
      <c r="E287" s="1882" t="s">
        <v>8503</v>
      </c>
      <c r="F287" s="1882" t="s">
        <v>10164</v>
      </c>
      <c r="G287" s="1882" t="s">
        <v>8663</v>
      </c>
      <c r="H287" s="1882" t="s">
        <v>10165</v>
      </c>
      <c r="I287" s="1882" t="s">
        <v>10166</v>
      </c>
      <c r="J287" s="1882" t="s">
        <v>8508</v>
      </c>
      <c r="K287" s="1882" t="s">
        <v>8509</v>
      </c>
      <c r="L287" s="1882" t="s">
        <v>2459</v>
      </c>
      <c r="M287" s="1882"/>
      <c r="N287" s="1882" t="s">
        <v>8681</v>
      </c>
      <c r="O287" s="1882" t="s">
        <v>764</v>
      </c>
      <c r="P287" s="1882" t="s">
        <v>9180</v>
      </c>
      <c r="Q287" s="520">
        <v>3</v>
      </c>
      <c r="R287" s="1882" t="s">
        <v>8511</v>
      </c>
      <c r="S287" s="1882">
        <v>229</v>
      </c>
      <c r="T287" s="1882">
        <v>228</v>
      </c>
      <c r="U287" s="1882">
        <v>224</v>
      </c>
      <c r="V287" s="1882">
        <v>222</v>
      </c>
      <c r="W287" s="1882">
        <v>220</v>
      </c>
      <c r="X287" s="1882">
        <v>216</v>
      </c>
      <c r="Y287" s="1882"/>
      <c r="Z287" s="1882"/>
      <c r="AA287" s="1882"/>
      <c r="AB287" s="1882"/>
      <c r="AC287" s="1882"/>
      <c r="AD287" s="1882"/>
      <c r="AE287" s="1882"/>
      <c r="AF287" s="1882"/>
      <c r="AG287" s="1882"/>
      <c r="AH287" s="1882">
        <v>0</v>
      </c>
      <c r="AI287" s="1882" t="s">
        <v>2459</v>
      </c>
      <c r="AJ287" s="1882" t="s">
        <v>2459</v>
      </c>
      <c r="AK287" s="1882" t="s">
        <v>2459</v>
      </c>
      <c r="AL287" s="1882" t="s">
        <v>2459</v>
      </c>
      <c r="AM287" s="1882" t="s">
        <v>2459</v>
      </c>
      <c r="AN287" s="1882">
        <v>999999</v>
      </c>
      <c r="AO287" s="1882">
        <v>999999</v>
      </c>
      <c r="AP287" s="1882">
        <v>999999</v>
      </c>
      <c r="AQ287" s="1882">
        <v>999999</v>
      </c>
      <c r="AR287" s="1882">
        <v>999999</v>
      </c>
      <c r="AS287" s="1882">
        <v>228</v>
      </c>
      <c r="AT287" s="1882">
        <v>224</v>
      </c>
      <c r="AU287" s="1882">
        <v>222</v>
      </c>
      <c r="AV287" s="1882">
        <v>220</v>
      </c>
      <c r="AW287" s="1882">
        <v>216</v>
      </c>
      <c r="AX287" s="1882">
        <v>228</v>
      </c>
      <c r="AY287" s="1882">
        <v>224</v>
      </c>
      <c r="AZ287" s="1882">
        <v>222</v>
      </c>
      <c r="BA287" s="1882">
        <v>220</v>
      </c>
      <c r="BB287" s="1882">
        <v>216</v>
      </c>
      <c r="BC287" s="1882">
        <v>0</v>
      </c>
      <c r="BD287" s="1882">
        <v>0</v>
      </c>
      <c r="BE287" s="1882">
        <v>0</v>
      </c>
      <c r="BF287" s="1882">
        <v>0</v>
      </c>
      <c r="BG287" s="1882">
        <v>0</v>
      </c>
      <c r="BH287" s="1882">
        <v>1.4630000000000001E-2</v>
      </c>
      <c r="BI287" s="1882"/>
      <c r="BJ287" s="1882"/>
      <c r="BK287" s="1882"/>
      <c r="BL287" s="1882">
        <v>1.4630000000000001E-2</v>
      </c>
      <c r="BM287" s="1882"/>
      <c r="BN287" s="1882">
        <v>1</v>
      </c>
      <c r="BO287" s="1882" t="s">
        <v>8512</v>
      </c>
      <c r="BP287" s="520">
        <v>239.07913858581199</v>
      </c>
      <c r="BQ287" s="704">
        <v>246.63200000000001</v>
      </c>
      <c r="BR287" s="1882" t="s">
        <v>2460</v>
      </c>
      <c r="BS287" s="1882" t="s">
        <v>8563</v>
      </c>
      <c r="BT287" s="1882">
        <v>-0.27258616000000002</v>
      </c>
      <c r="BU287" s="1882" t="s">
        <v>8513</v>
      </c>
      <c r="BV287" s="1882">
        <v>0</v>
      </c>
      <c r="BW287" s="1882">
        <v>250</v>
      </c>
      <c r="BX287" s="1882" t="s">
        <v>2460</v>
      </c>
      <c r="BY287" s="1882" t="s">
        <v>8563</v>
      </c>
      <c r="BZ287" s="1882">
        <v>-0.38038</v>
      </c>
      <c r="CA287" s="1882">
        <v>0</v>
      </c>
      <c r="CB287" s="1882">
        <v>0</v>
      </c>
      <c r="CC287" s="1882">
        <v>256</v>
      </c>
      <c r="CD287" s="1882" t="s">
        <v>2460</v>
      </c>
      <c r="CE287" s="1882" t="s">
        <v>8384</v>
      </c>
      <c r="CF287" s="1882">
        <v>-0.49741999999999997</v>
      </c>
      <c r="CG287" s="1882">
        <v>0</v>
      </c>
      <c r="CH287" s="1882">
        <v>0</v>
      </c>
      <c r="CI287" s="1882" t="s">
        <v>8513</v>
      </c>
      <c r="CJ287" s="1882" t="s">
        <v>8513</v>
      </c>
      <c r="CK287" s="1882" t="s">
        <v>8513</v>
      </c>
      <c r="CL287" s="1882">
        <v>0</v>
      </c>
      <c r="CM287" s="1882" t="s">
        <v>8513</v>
      </c>
      <c r="CN287" s="1882">
        <v>0</v>
      </c>
      <c r="CP287" s="1882" t="s">
        <v>10167</v>
      </c>
    </row>
    <row r="288" spans="1:94">
      <c r="A288" s="1882" t="s">
        <v>8365</v>
      </c>
      <c r="B288" s="1882" t="s">
        <v>10168</v>
      </c>
      <c r="C288" s="1882" t="s">
        <v>8352</v>
      </c>
      <c r="D288" s="1882" t="s">
        <v>1626</v>
      </c>
      <c r="E288" s="1882" t="s">
        <v>8503</v>
      </c>
      <c r="F288" s="1882" t="s">
        <v>10169</v>
      </c>
      <c r="G288" s="1882" t="s">
        <v>8678</v>
      </c>
      <c r="H288" s="1882" t="s">
        <v>10170</v>
      </c>
      <c r="I288" s="1882" t="s">
        <v>10171</v>
      </c>
      <c r="J288" s="1882" t="s">
        <v>8539</v>
      </c>
      <c r="K288" s="1882"/>
      <c r="L288" s="1882"/>
      <c r="M288" s="1882"/>
      <c r="N288" s="1882" t="s">
        <v>9592</v>
      </c>
      <c r="O288" s="1882" t="s">
        <v>764</v>
      </c>
      <c r="P288" s="1882" t="s">
        <v>10172</v>
      </c>
      <c r="Q288" s="520">
        <v>0</v>
      </c>
      <c r="R288" s="1882"/>
      <c r="S288" s="1882">
        <v>75000</v>
      </c>
      <c r="T288" s="1882">
        <v>155000</v>
      </c>
      <c r="U288" s="1882">
        <v>160000</v>
      </c>
      <c r="V288" s="1882">
        <v>140000</v>
      </c>
      <c r="W288" s="1882">
        <v>120000</v>
      </c>
      <c r="X288" s="1882">
        <v>125000</v>
      </c>
      <c r="Y288" s="1882"/>
      <c r="Z288" s="1882"/>
      <c r="AA288" s="1882"/>
      <c r="AB288" s="1882"/>
      <c r="AC288" s="1882"/>
      <c r="AD288" s="1882"/>
      <c r="AE288" s="1882"/>
      <c r="AF288" s="1882"/>
      <c r="AG288" s="1882"/>
      <c r="AH288" s="1882">
        <v>0</v>
      </c>
      <c r="AI288" s="1882"/>
      <c r="AJ288" s="1882"/>
      <c r="AK288" s="1882"/>
      <c r="AL288" s="1882"/>
      <c r="AM288" s="1882"/>
      <c r="AN288" s="1882"/>
      <c r="AO288" s="1882"/>
      <c r="AP288" s="1882"/>
      <c r="AQ288" s="1882"/>
      <c r="AR288" s="1882"/>
      <c r="AS288" s="1882"/>
      <c r="AT288" s="1882"/>
      <c r="AU288" s="1882"/>
      <c r="AV288" s="1882"/>
      <c r="AW288" s="1882"/>
      <c r="AX288" s="1882"/>
      <c r="AY288" s="1882"/>
      <c r="AZ288" s="1882"/>
      <c r="BA288" s="1882"/>
      <c r="BB288" s="1882"/>
      <c r="BC288" s="1882"/>
      <c r="BD288" s="1882"/>
      <c r="BE288" s="1882"/>
      <c r="BF288" s="1882"/>
      <c r="BG288" s="1882"/>
      <c r="BH288" s="1882"/>
      <c r="BI288" s="1882"/>
      <c r="BJ288" s="1882"/>
      <c r="BK288" s="1882"/>
      <c r="BL288" s="1882"/>
      <c r="BM288" s="1882"/>
      <c r="BN288" s="1882"/>
      <c r="BO288" s="1882"/>
      <c r="BP288" s="520">
        <v>52127</v>
      </c>
      <c r="BQ288" s="693">
        <v>117728</v>
      </c>
      <c r="BR288" s="1882" t="s">
        <v>2460</v>
      </c>
      <c r="BS288" s="1882" t="s">
        <v>8513</v>
      </c>
      <c r="BT288" s="1882">
        <v>0</v>
      </c>
      <c r="BU288" s="1882" t="s">
        <v>8513</v>
      </c>
      <c r="BV288" s="1882">
        <v>0</v>
      </c>
      <c r="BW288" s="1882">
        <v>167024</v>
      </c>
      <c r="BX288" s="1882" t="s">
        <v>2459</v>
      </c>
      <c r="BY288" s="1882">
        <v>0</v>
      </c>
      <c r="BZ288" s="1882">
        <v>0</v>
      </c>
      <c r="CA288" s="1882">
        <v>0</v>
      </c>
      <c r="CB288" s="1882">
        <v>0</v>
      </c>
      <c r="CC288" s="1882">
        <v>200536</v>
      </c>
      <c r="CD288" s="1882" t="s">
        <v>2459</v>
      </c>
      <c r="CE288" s="1882">
        <v>0</v>
      </c>
      <c r="CF288" s="1882">
        <v>0</v>
      </c>
      <c r="CG288" s="1882">
        <v>0</v>
      </c>
      <c r="CH288" s="1882">
        <v>0</v>
      </c>
      <c r="CI288" s="1882" t="s">
        <v>8513</v>
      </c>
      <c r="CJ288" s="1882" t="s">
        <v>8513</v>
      </c>
      <c r="CK288" s="1882" t="s">
        <v>8513</v>
      </c>
      <c r="CL288" s="1882">
        <v>0</v>
      </c>
      <c r="CM288" s="1882" t="s">
        <v>8513</v>
      </c>
      <c r="CN288" s="1882">
        <v>0</v>
      </c>
      <c r="CP288" s="1882" t="s">
        <v>10173</v>
      </c>
    </row>
    <row r="289" spans="1:94">
      <c r="A289" s="1882" t="s">
        <v>8365</v>
      </c>
      <c r="B289" s="1882" t="s">
        <v>10174</v>
      </c>
      <c r="C289" s="1882" t="s">
        <v>8352</v>
      </c>
      <c r="D289" s="1882" t="s">
        <v>1627</v>
      </c>
      <c r="E289" s="1882" t="s">
        <v>8720</v>
      </c>
      <c r="F289" s="1882" t="s">
        <v>10175</v>
      </c>
      <c r="G289" s="1882" t="s">
        <v>9193</v>
      </c>
      <c r="H289" s="1882" t="s">
        <v>10176</v>
      </c>
      <c r="I289" s="1882" t="s">
        <v>10177</v>
      </c>
      <c r="J289" s="1882" t="s">
        <v>8508</v>
      </c>
      <c r="K289" s="1882" t="s">
        <v>8509</v>
      </c>
      <c r="L289" s="1882" t="s">
        <v>2459</v>
      </c>
      <c r="M289" s="1882" t="s">
        <v>2460</v>
      </c>
      <c r="N289" s="1882" t="s">
        <v>8724</v>
      </c>
      <c r="O289" s="1882" t="s">
        <v>764</v>
      </c>
      <c r="P289" s="1882" t="s">
        <v>9847</v>
      </c>
      <c r="Q289" s="520">
        <v>0</v>
      </c>
      <c r="R289" s="1882" t="s">
        <v>8511</v>
      </c>
      <c r="S289" s="1882">
        <v>1031</v>
      </c>
      <c r="T289" s="1882">
        <v>1014</v>
      </c>
      <c r="U289" s="1882">
        <v>989</v>
      </c>
      <c r="V289" s="1882">
        <v>960</v>
      </c>
      <c r="W289" s="1882">
        <v>927</v>
      </c>
      <c r="X289" s="1882">
        <v>892</v>
      </c>
      <c r="Y289" s="1882"/>
      <c r="Z289" s="1882"/>
      <c r="AA289" s="1882"/>
      <c r="AB289" s="1882"/>
      <c r="AC289" s="1882" t="s">
        <v>2459</v>
      </c>
      <c r="AD289" s="1882"/>
      <c r="AE289" s="1882" t="s">
        <v>2459</v>
      </c>
      <c r="AF289" s="1882"/>
      <c r="AG289" s="1882"/>
      <c r="AH289" s="1882">
        <v>0</v>
      </c>
      <c r="AI289" s="1882" t="s">
        <v>2459</v>
      </c>
      <c r="AJ289" s="1882" t="s">
        <v>2459</v>
      </c>
      <c r="AK289" s="1882" t="s">
        <v>2459</v>
      </c>
      <c r="AL289" s="1882" t="s">
        <v>2459</v>
      </c>
      <c r="AM289" s="1882" t="s">
        <v>2459</v>
      </c>
      <c r="AN289" s="1882">
        <v>999999</v>
      </c>
      <c r="AO289" s="1882">
        <v>999999</v>
      </c>
      <c r="AP289" s="1882">
        <v>999999</v>
      </c>
      <c r="AQ289" s="1882">
        <v>999999</v>
      </c>
      <c r="AR289" s="1882">
        <v>999999</v>
      </c>
      <c r="AS289" s="1882">
        <v>1014</v>
      </c>
      <c r="AT289" s="1882">
        <v>989</v>
      </c>
      <c r="AU289" s="1882">
        <v>960</v>
      </c>
      <c r="AV289" s="1882">
        <v>927</v>
      </c>
      <c r="AW289" s="1882">
        <v>892</v>
      </c>
      <c r="AX289" s="1882">
        <v>1014</v>
      </c>
      <c r="AY289" s="1882">
        <v>989</v>
      </c>
      <c r="AZ289" s="1882">
        <v>960</v>
      </c>
      <c r="BA289" s="1882">
        <v>927</v>
      </c>
      <c r="BB289" s="1882">
        <v>892</v>
      </c>
      <c r="BC289" s="1882">
        <v>0</v>
      </c>
      <c r="BD289" s="1882">
        <v>0</v>
      </c>
      <c r="BE289" s="1882">
        <v>0</v>
      </c>
      <c r="BF289" s="1882">
        <v>0</v>
      </c>
      <c r="BG289" s="1882">
        <v>0</v>
      </c>
      <c r="BH289" s="1882">
        <v>4.2819999999999997E-2</v>
      </c>
      <c r="BI289" s="1882"/>
      <c r="BJ289" s="1882"/>
      <c r="BK289" s="1882"/>
      <c r="BL289" s="1882">
        <v>4.2819999999999997E-2</v>
      </c>
      <c r="BM289" s="1882"/>
      <c r="BN289" s="1882">
        <v>1</v>
      </c>
      <c r="BO289" s="1882" t="s">
        <v>8512</v>
      </c>
      <c r="BP289" s="520">
        <v>1168</v>
      </c>
      <c r="BQ289" s="693">
        <v>809</v>
      </c>
      <c r="BR289" s="1882" t="s">
        <v>2459</v>
      </c>
      <c r="BS289" s="1882" t="s">
        <v>8376</v>
      </c>
      <c r="BT289" s="1882">
        <v>8.9922000000000004</v>
      </c>
      <c r="BU289" s="1882" t="s">
        <v>8513</v>
      </c>
      <c r="BV289" s="1882">
        <v>0</v>
      </c>
      <c r="BW289" s="1882">
        <v>901</v>
      </c>
      <c r="BX289" s="1882" t="s">
        <v>2459</v>
      </c>
      <c r="BY289" s="1882" t="s">
        <v>8376</v>
      </c>
      <c r="BZ289" s="1882">
        <v>3.5463520000000002</v>
      </c>
      <c r="CA289" s="1882">
        <v>0</v>
      </c>
      <c r="CB289" s="1882">
        <v>0</v>
      </c>
      <c r="CC289" s="1882">
        <v>662</v>
      </c>
      <c r="CD289" s="1882" t="s">
        <v>2459</v>
      </c>
      <c r="CE289" s="1882" t="s">
        <v>8376</v>
      </c>
      <c r="CF289" s="1882">
        <v>12.760359999999999</v>
      </c>
      <c r="CG289" s="1882">
        <v>0</v>
      </c>
      <c r="CH289" s="1882">
        <v>0</v>
      </c>
      <c r="CI289" s="1882" t="s">
        <v>8513</v>
      </c>
      <c r="CJ289" s="1882" t="s">
        <v>8513</v>
      </c>
      <c r="CK289" s="1882" t="s">
        <v>8513</v>
      </c>
      <c r="CL289" s="1882">
        <v>0</v>
      </c>
      <c r="CM289" s="1882" t="s">
        <v>8513</v>
      </c>
      <c r="CN289" s="1882">
        <v>0</v>
      </c>
      <c r="CP289" s="1882" t="s">
        <v>10178</v>
      </c>
    </row>
    <row r="290" spans="1:94">
      <c r="A290" s="1882" t="s">
        <v>8365</v>
      </c>
      <c r="B290" s="1882" t="s">
        <v>10179</v>
      </c>
      <c r="C290" s="1882" t="s">
        <v>8352</v>
      </c>
      <c r="D290" s="1882" t="s">
        <v>1627</v>
      </c>
      <c r="E290" s="1882" t="s">
        <v>8720</v>
      </c>
      <c r="F290" s="1882" t="s">
        <v>10175</v>
      </c>
      <c r="G290" s="1882" t="s">
        <v>8721</v>
      </c>
      <c r="H290" s="1882" t="s">
        <v>10180</v>
      </c>
      <c r="I290" s="1882" t="s">
        <v>10181</v>
      </c>
      <c r="J290" s="1882" t="s">
        <v>8508</v>
      </c>
      <c r="K290" s="1882" t="s">
        <v>8509</v>
      </c>
      <c r="L290" s="1882" t="s">
        <v>2459</v>
      </c>
      <c r="M290" s="1882" t="s">
        <v>2460</v>
      </c>
      <c r="N290" s="1882" t="s">
        <v>8724</v>
      </c>
      <c r="O290" s="1882" t="s">
        <v>764</v>
      </c>
      <c r="P290" s="1882" t="s">
        <v>9852</v>
      </c>
      <c r="Q290" s="520">
        <v>0</v>
      </c>
      <c r="R290" s="1882" t="s">
        <v>8511</v>
      </c>
      <c r="S290" s="1882">
        <v>7714</v>
      </c>
      <c r="T290" s="1882">
        <v>7639</v>
      </c>
      <c r="U290" s="1882">
        <v>7548</v>
      </c>
      <c r="V290" s="1882">
        <v>7447</v>
      </c>
      <c r="W290" s="1882">
        <v>7336</v>
      </c>
      <c r="X290" s="1882">
        <v>7220</v>
      </c>
      <c r="Y290" s="1882"/>
      <c r="Z290" s="1882"/>
      <c r="AA290" s="1882"/>
      <c r="AB290" s="1882"/>
      <c r="AC290" s="1882"/>
      <c r="AD290" s="1882"/>
      <c r="AE290" s="1882" t="s">
        <v>2459</v>
      </c>
      <c r="AF290" s="1882"/>
      <c r="AG290" s="1882"/>
      <c r="AH290" s="1882">
        <v>0</v>
      </c>
      <c r="AI290" s="1882" t="s">
        <v>2459</v>
      </c>
      <c r="AJ290" s="1882" t="s">
        <v>2459</v>
      </c>
      <c r="AK290" s="1882" t="s">
        <v>2459</v>
      </c>
      <c r="AL290" s="1882" t="s">
        <v>2459</v>
      </c>
      <c r="AM290" s="1882" t="s">
        <v>2459</v>
      </c>
      <c r="AN290" s="1882">
        <v>999999</v>
      </c>
      <c r="AO290" s="1882">
        <v>999999</v>
      </c>
      <c r="AP290" s="1882">
        <v>999999</v>
      </c>
      <c r="AQ290" s="1882">
        <v>999999</v>
      </c>
      <c r="AR290" s="1882">
        <v>999999</v>
      </c>
      <c r="AS290" s="1882">
        <v>7639</v>
      </c>
      <c r="AT290" s="1882">
        <v>7548</v>
      </c>
      <c r="AU290" s="1882">
        <v>7447</v>
      </c>
      <c r="AV290" s="1882">
        <v>7336</v>
      </c>
      <c r="AW290" s="1882">
        <v>7220</v>
      </c>
      <c r="AX290" s="1882">
        <v>7452</v>
      </c>
      <c r="AY290" s="1882">
        <v>7452</v>
      </c>
      <c r="AZ290" s="1882">
        <v>7447</v>
      </c>
      <c r="BA290" s="1882">
        <v>7336</v>
      </c>
      <c r="BB290" s="1882">
        <v>7220</v>
      </c>
      <c r="BC290" s="1882">
        <v>0</v>
      </c>
      <c r="BD290" s="1882">
        <v>0</v>
      </c>
      <c r="BE290" s="1882">
        <v>0</v>
      </c>
      <c r="BF290" s="1882">
        <v>0</v>
      </c>
      <c r="BG290" s="1882">
        <v>0</v>
      </c>
      <c r="BH290" s="1882">
        <v>1.9779000000000001E-2</v>
      </c>
      <c r="BI290" s="1882"/>
      <c r="BJ290" s="1882"/>
      <c r="BK290" s="1882"/>
      <c r="BL290" s="1882">
        <v>1.9779000000000001E-2</v>
      </c>
      <c r="BM290" s="1882"/>
      <c r="BN290" s="1882">
        <v>1</v>
      </c>
      <c r="BO290" s="1882" t="s">
        <v>8512</v>
      </c>
      <c r="BP290" s="520">
        <v>9896</v>
      </c>
      <c r="BQ290" s="693">
        <v>7163</v>
      </c>
      <c r="BR290" s="1882" t="s">
        <v>2459</v>
      </c>
      <c r="BS290" s="1882" t="s">
        <v>8376</v>
      </c>
      <c r="BT290" s="1882">
        <v>6.1314900000000003</v>
      </c>
      <c r="BU290" s="1882" t="s">
        <v>8513</v>
      </c>
      <c r="BV290" s="1882">
        <v>0</v>
      </c>
      <c r="BW290" s="1882">
        <v>5801</v>
      </c>
      <c r="BX290" s="1882" t="s">
        <v>2459</v>
      </c>
      <c r="BY290" s="1882" t="s">
        <v>8376</v>
      </c>
      <c r="BZ290" s="1882">
        <v>32.225189</v>
      </c>
      <c r="CA290" s="1882">
        <v>0</v>
      </c>
      <c r="CB290" s="1882">
        <v>0</v>
      </c>
      <c r="CC290" s="1882">
        <v>3763</v>
      </c>
      <c r="CD290" s="1882" t="s">
        <v>2459</v>
      </c>
      <c r="CE290" s="1882" t="s">
        <v>8376</v>
      </c>
      <c r="CF290" s="1882">
        <v>72.865836000000002</v>
      </c>
      <c r="CG290" s="1882">
        <v>0</v>
      </c>
      <c r="CH290" s="1882">
        <v>0</v>
      </c>
      <c r="CI290" s="1882" t="s">
        <v>8513</v>
      </c>
      <c r="CJ290" s="1882" t="s">
        <v>8513</v>
      </c>
      <c r="CK290" s="1882" t="s">
        <v>8513</v>
      </c>
      <c r="CL290" s="1882">
        <v>0</v>
      </c>
      <c r="CM290" s="1882" t="s">
        <v>8513</v>
      </c>
      <c r="CN290" s="1882">
        <v>0</v>
      </c>
      <c r="CP290" s="1882" t="s">
        <v>10182</v>
      </c>
    </row>
    <row r="291" spans="1:94">
      <c r="A291" s="1882" t="s">
        <v>8365</v>
      </c>
      <c r="B291" s="1882" t="s">
        <v>10183</v>
      </c>
      <c r="C291" s="1882" t="s">
        <v>8352</v>
      </c>
      <c r="D291" s="1882" t="s">
        <v>1627</v>
      </c>
      <c r="E291" s="1882" t="s">
        <v>8720</v>
      </c>
      <c r="F291" s="1882" t="s">
        <v>10175</v>
      </c>
      <c r="G291" s="1882" t="s">
        <v>8728</v>
      </c>
      <c r="H291" s="1882" t="s">
        <v>10184</v>
      </c>
      <c r="I291" s="1882" t="s">
        <v>10185</v>
      </c>
      <c r="J291" s="1882" t="s">
        <v>8508</v>
      </c>
      <c r="K291" s="1882" t="s">
        <v>8509</v>
      </c>
      <c r="L291" s="1882"/>
      <c r="M291" s="1882"/>
      <c r="N291" s="1882" t="s">
        <v>9518</v>
      </c>
      <c r="O291" s="1882" t="s">
        <v>764</v>
      </c>
      <c r="P291" s="1882" t="s">
        <v>10186</v>
      </c>
      <c r="Q291" s="520">
        <v>0</v>
      </c>
      <c r="R291" s="1882" t="s">
        <v>8549</v>
      </c>
      <c r="S291" s="1882">
        <v>7</v>
      </c>
      <c r="T291" s="1882"/>
      <c r="U291" s="1882"/>
      <c r="V291" s="1882"/>
      <c r="W291" s="1882"/>
      <c r="X291" s="1882">
        <v>21</v>
      </c>
      <c r="Y291" s="1882"/>
      <c r="Z291" s="1882"/>
      <c r="AA291" s="1882"/>
      <c r="AB291" s="1882"/>
      <c r="AC291" s="1882"/>
      <c r="AD291" s="1882"/>
      <c r="AE291" s="1882"/>
      <c r="AF291" s="1882"/>
      <c r="AG291" s="1882"/>
      <c r="AH291" s="1882">
        <v>0</v>
      </c>
      <c r="AI291" s="1882"/>
      <c r="AJ291" s="1882"/>
      <c r="AK291" s="1882"/>
      <c r="AL291" s="1882"/>
      <c r="AM291" s="1882" t="s">
        <v>2459</v>
      </c>
      <c r="AN291" s="1882"/>
      <c r="AO291" s="1882"/>
      <c r="AP291" s="1882"/>
      <c r="AQ291" s="1882"/>
      <c r="AR291" s="1882">
        <v>0</v>
      </c>
      <c r="AS291" s="1882"/>
      <c r="AT291" s="1882"/>
      <c r="AU291" s="1882"/>
      <c r="AV291" s="1882"/>
      <c r="AW291" s="1882">
        <v>21</v>
      </c>
      <c r="AX291" s="1882"/>
      <c r="AY291" s="1882"/>
      <c r="AZ291" s="1882"/>
      <c r="BA291" s="1882"/>
      <c r="BB291" s="1882">
        <v>21</v>
      </c>
      <c r="BC291" s="1882"/>
      <c r="BD291" s="1882"/>
      <c r="BE291" s="1882"/>
      <c r="BF291" s="1882"/>
      <c r="BG291" s="1882">
        <v>999999</v>
      </c>
      <c r="BH291" s="1882">
        <v>6.1171999999999997E-2</v>
      </c>
      <c r="BI291" s="1882"/>
      <c r="BJ291" s="1882"/>
      <c r="BK291" s="1882"/>
      <c r="BL291" s="1882">
        <v>6.1171999999999997E-2</v>
      </c>
      <c r="BM291" s="1882"/>
      <c r="BN291" s="1882">
        <v>1</v>
      </c>
      <c r="BO291" s="1882" t="s">
        <v>8512</v>
      </c>
      <c r="BP291" s="520">
        <v>0</v>
      </c>
      <c r="BQ291" s="693">
        <v>0</v>
      </c>
      <c r="BR291" s="1882" t="s">
        <v>8513</v>
      </c>
      <c r="BS291" s="1882" t="s">
        <v>8513</v>
      </c>
      <c r="BT291" s="1882">
        <v>0</v>
      </c>
      <c r="BU291" s="1882" t="s">
        <v>8513</v>
      </c>
      <c r="BV291" s="1882">
        <v>0</v>
      </c>
      <c r="BW291" s="1882">
        <v>0</v>
      </c>
      <c r="BX291" s="1882" t="s">
        <v>2451</v>
      </c>
      <c r="BY291" s="1882">
        <v>0</v>
      </c>
      <c r="BZ291" s="1882">
        <v>0</v>
      </c>
      <c r="CA291" s="1882">
        <v>0</v>
      </c>
      <c r="CB291" s="1882">
        <v>0</v>
      </c>
      <c r="CC291" s="1882">
        <v>8</v>
      </c>
      <c r="CD291" s="1882" t="s">
        <v>2451</v>
      </c>
      <c r="CE291" s="1882">
        <v>0</v>
      </c>
      <c r="CF291" s="1882">
        <v>0</v>
      </c>
      <c r="CG291" s="1882">
        <v>0</v>
      </c>
      <c r="CH291" s="1882">
        <v>0</v>
      </c>
      <c r="CI291" s="1882" t="s">
        <v>8513</v>
      </c>
      <c r="CJ291" s="1882" t="s">
        <v>8513</v>
      </c>
      <c r="CK291" s="1882" t="s">
        <v>8513</v>
      </c>
      <c r="CL291" s="1882">
        <v>0</v>
      </c>
      <c r="CM291" s="1882" t="s">
        <v>8513</v>
      </c>
      <c r="CN291" s="1882">
        <v>0</v>
      </c>
      <c r="CP291" s="1882" t="s">
        <v>10187</v>
      </c>
    </row>
    <row r="292" spans="1:94">
      <c r="A292" s="1882" t="s">
        <v>8365</v>
      </c>
      <c r="B292" s="1882" t="s">
        <v>10188</v>
      </c>
      <c r="C292" s="1882" t="s">
        <v>8352</v>
      </c>
      <c r="D292" s="1882" t="s">
        <v>1627</v>
      </c>
      <c r="E292" s="1882" t="s">
        <v>8720</v>
      </c>
      <c r="F292" s="1882" t="s">
        <v>10175</v>
      </c>
      <c r="G292" s="1882" t="s">
        <v>8734</v>
      </c>
      <c r="H292" s="1882" t="s">
        <v>10189</v>
      </c>
      <c r="I292" s="1882" t="s">
        <v>10190</v>
      </c>
      <c r="J292" s="1882" t="s">
        <v>8519</v>
      </c>
      <c r="K292" s="1882" t="s">
        <v>8855</v>
      </c>
      <c r="L292" s="1882"/>
      <c r="M292" s="1882"/>
      <c r="N292" s="1882" t="s">
        <v>8787</v>
      </c>
      <c r="O292" s="1882" t="s">
        <v>764</v>
      </c>
      <c r="P292" s="1882" t="s">
        <v>10191</v>
      </c>
      <c r="Q292" s="520">
        <v>0</v>
      </c>
      <c r="R292" s="1882" t="s">
        <v>8511</v>
      </c>
      <c r="S292" s="1882" t="s">
        <v>8858</v>
      </c>
      <c r="T292" s="1882" t="s">
        <v>10192</v>
      </c>
      <c r="U292" s="1882" t="s">
        <v>10193</v>
      </c>
      <c r="V292" s="1882" t="s">
        <v>10194</v>
      </c>
      <c r="W292" s="1882" t="s">
        <v>10195</v>
      </c>
      <c r="X292" s="1882" t="s">
        <v>10196</v>
      </c>
      <c r="Y292" s="1882"/>
      <c r="Z292" s="1882"/>
      <c r="AA292" s="1882"/>
      <c r="AB292" s="1882"/>
      <c r="AC292" s="1882"/>
      <c r="AD292" s="1882"/>
      <c r="AE292" s="1882" t="s">
        <v>2459</v>
      </c>
      <c r="AF292" s="1882"/>
      <c r="AG292" s="1882"/>
      <c r="AH292" s="1882">
        <v>0</v>
      </c>
      <c r="AI292" s="1882" t="s">
        <v>2459</v>
      </c>
      <c r="AJ292" s="1882" t="s">
        <v>2459</v>
      </c>
      <c r="AK292" s="1882" t="s">
        <v>2459</v>
      </c>
      <c r="AL292" s="1882" t="s">
        <v>2459</v>
      </c>
      <c r="AM292" s="1882" t="s">
        <v>2459</v>
      </c>
      <c r="AN292" s="1882">
        <v>999999</v>
      </c>
      <c r="AO292" s="1882">
        <v>999999</v>
      </c>
      <c r="AP292" s="1882">
        <v>999999</v>
      </c>
      <c r="AQ292" s="1882">
        <v>999999</v>
      </c>
      <c r="AR292" s="1882">
        <v>999999</v>
      </c>
      <c r="AS292" s="1882">
        <v>50470</v>
      </c>
      <c r="AT292" s="1882">
        <v>50078</v>
      </c>
      <c r="AU292" s="1882">
        <v>49685</v>
      </c>
      <c r="AV292" s="1882">
        <v>49293</v>
      </c>
      <c r="AW292" s="1882">
        <v>48900</v>
      </c>
      <c r="AX292" s="1882"/>
      <c r="AY292" s="1882"/>
      <c r="AZ292" s="1882"/>
      <c r="BA292" s="1882"/>
      <c r="BB292" s="1882"/>
      <c r="BC292" s="1882"/>
      <c r="BD292" s="1882"/>
      <c r="BE292" s="1882"/>
      <c r="BF292" s="1882"/>
      <c r="BG292" s="1882"/>
      <c r="BH292" s="1882">
        <v>2.0790000000000001E-3</v>
      </c>
      <c r="BI292" s="1882"/>
      <c r="BJ292" s="1882"/>
      <c r="BK292" s="1882"/>
      <c r="BL292" s="1882"/>
      <c r="BM292" s="1882"/>
      <c r="BN292" s="1882">
        <v>1</v>
      </c>
      <c r="BO292" s="1882" t="s">
        <v>8512</v>
      </c>
      <c r="BP292" s="520">
        <v>45920</v>
      </c>
      <c r="BQ292" s="693">
        <v>44107</v>
      </c>
      <c r="BR292" s="1882" t="s">
        <v>2459</v>
      </c>
      <c r="BS292" s="1882" t="s">
        <v>8513</v>
      </c>
      <c r="BT292" s="1882">
        <v>0</v>
      </c>
      <c r="BU292" s="1882" t="s">
        <v>8513</v>
      </c>
      <c r="BV292" s="1882">
        <v>0</v>
      </c>
      <c r="BW292" s="1882">
        <v>45240</v>
      </c>
      <c r="BX292" s="1882" t="s">
        <v>2459</v>
      </c>
      <c r="BY292" s="1882">
        <v>0</v>
      </c>
      <c r="BZ292" s="1882">
        <v>0</v>
      </c>
      <c r="CA292" s="1882">
        <v>0</v>
      </c>
      <c r="CB292" s="1882">
        <v>0</v>
      </c>
      <c r="CC292" s="1882">
        <v>45401</v>
      </c>
      <c r="CD292" s="1882" t="s">
        <v>2459</v>
      </c>
      <c r="CE292" s="1882">
        <v>0</v>
      </c>
      <c r="CF292" s="1882">
        <v>0</v>
      </c>
      <c r="CG292" s="1882">
        <v>0</v>
      </c>
      <c r="CH292" s="1882">
        <v>0</v>
      </c>
      <c r="CI292" s="1882" t="s">
        <v>8513</v>
      </c>
      <c r="CJ292" s="1882" t="s">
        <v>8513</v>
      </c>
      <c r="CK292" s="1882" t="s">
        <v>8513</v>
      </c>
      <c r="CL292" s="1882">
        <v>0</v>
      </c>
      <c r="CM292" s="1882" t="s">
        <v>8513</v>
      </c>
      <c r="CN292" s="1882">
        <v>0</v>
      </c>
      <c r="CP292" s="1882" t="s">
        <v>10197</v>
      </c>
    </row>
    <row r="293" spans="1:94">
      <c r="A293" s="1882" t="s">
        <v>8365</v>
      </c>
      <c r="B293" s="1882" t="s">
        <v>10198</v>
      </c>
      <c r="C293" s="1882" t="s">
        <v>8352</v>
      </c>
      <c r="D293" s="1882" t="s">
        <v>1627</v>
      </c>
      <c r="E293" s="1882" t="s">
        <v>8720</v>
      </c>
      <c r="F293" s="1882" t="s">
        <v>10175</v>
      </c>
      <c r="G293" s="1882" t="s">
        <v>10199</v>
      </c>
      <c r="H293" s="1882" t="s">
        <v>10200</v>
      </c>
      <c r="I293" s="1882" t="s">
        <v>10201</v>
      </c>
      <c r="J293" s="1882" t="s">
        <v>8539</v>
      </c>
      <c r="K293" s="1882"/>
      <c r="L293" s="1882"/>
      <c r="M293" s="1882"/>
      <c r="N293" s="1882" t="s">
        <v>8673</v>
      </c>
      <c r="O293" s="1882" t="s">
        <v>764</v>
      </c>
      <c r="P293" s="1882" t="s">
        <v>10202</v>
      </c>
      <c r="Q293" s="520">
        <v>0</v>
      </c>
      <c r="R293" s="1882" t="s">
        <v>8549</v>
      </c>
      <c r="S293" s="1882">
        <v>595</v>
      </c>
      <c r="T293" s="1882"/>
      <c r="U293" s="1882"/>
      <c r="V293" s="1882"/>
      <c r="W293" s="1882"/>
      <c r="X293" s="1882">
        <v>312</v>
      </c>
      <c r="Y293" s="1882"/>
      <c r="Z293" s="1882"/>
      <c r="AA293" s="1882"/>
      <c r="AB293" s="1882"/>
      <c r="AC293" s="1882"/>
      <c r="AD293" s="1882"/>
      <c r="AE293" s="1882"/>
      <c r="AF293" s="1882"/>
      <c r="AG293" s="1882"/>
      <c r="AH293" s="1882">
        <v>0</v>
      </c>
      <c r="AI293" s="1882"/>
      <c r="AJ293" s="1882"/>
      <c r="AK293" s="1882"/>
      <c r="AL293" s="1882"/>
      <c r="AM293" s="1882"/>
      <c r="AN293" s="1882"/>
      <c r="AO293" s="1882"/>
      <c r="AP293" s="1882"/>
      <c r="AQ293" s="1882"/>
      <c r="AR293" s="1882"/>
      <c r="AS293" s="1882"/>
      <c r="AT293" s="1882"/>
      <c r="AU293" s="1882"/>
      <c r="AV293" s="1882"/>
      <c r="AW293" s="1882"/>
      <c r="AX293" s="1882"/>
      <c r="AY293" s="1882"/>
      <c r="AZ293" s="1882"/>
      <c r="BA293" s="1882"/>
      <c r="BB293" s="1882"/>
      <c r="BC293" s="1882"/>
      <c r="BD293" s="1882"/>
      <c r="BE293" s="1882"/>
      <c r="BF293" s="1882"/>
      <c r="BG293" s="1882"/>
      <c r="BH293" s="1882"/>
      <c r="BI293" s="1882"/>
      <c r="BJ293" s="1882"/>
      <c r="BK293" s="1882"/>
      <c r="BL293" s="1882"/>
      <c r="BM293" s="1882"/>
      <c r="BN293" s="1882"/>
      <c r="BO293" s="1882"/>
      <c r="BP293" s="520">
        <v>0</v>
      </c>
      <c r="BQ293" s="693">
        <v>35</v>
      </c>
      <c r="BR293" s="1882" t="s">
        <v>8513</v>
      </c>
      <c r="BS293" s="1882" t="s">
        <v>8513</v>
      </c>
      <c r="BT293" s="1882">
        <v>0</v>
      </c>
      <c r="BU293" s="1882" t="s">
        <v>8513</v>
      </c>
      <c r="BV293" s="1882">
        <v>0</v>
      </c>
      <c r="BW293" s="1882">
        <v>14</v>
      </c>
      <c r="BX293" s="1882" t="s">
        <v>2451</v>
      </c>
      <c r="BY293" s="1882">
        <v>0</v>
      </c>
      <c r="BZ293" s="1882">
        <v>0</v>
      </c>
      <c r="CA293" s="1882">
        <v>0</v>
      </c>
      <c r="CB293" s="1882">
        <v>0</v>
      </c>
      <c r="CC293" s="1882">
        <v>32</v>
      </c>
      <c r="CD293" s="1882" t="s">
        <v>2451</v>
      </c>
      <c r="CE293" s="1882">
        <v>0</v>
      </c>
      <c r="CF293" s="1882">
        <v>0</v>
      </c>
      <c r="CG293" s="1882">
        <v>0</v>
      </c>
      <c r="CH293" s="1882">
        <v>0</v>
      </c>
      <c r="CI293" s="1882" t="s">
        <v>8513</v>
      </c>
      <c r="CJ293" s="1882" t="s">
        <v>8513</v>
      </c>
      <c r="CK293" s="1882" t="s">
        <v>8513</v>
      </c>
      <c r="CL293" s="1882">
        <v>0</v>
      </c>
      <c r="CM293" s="1882" t="s">
        <v>8513</v>
      </c>
      <c r="CN293" s="1882">
        <v>0</v>
      </c>
      <c r="CP293" s="1882" t="s">
        <v>10203</v>
      </c>
    </row>
    <row r="294" spans="1:94">
      <c r="A294" s="1882" t="s">
        <v>8365</v>
      </c>
      <c r="B294" s="1882" t="s">
        <v>10204</v>
      </c>
      <c r="C294" s="1882" t="s">
        <v>8352</v>
      </c>
      <c r="D294" s="1882" t="s">
        <v>1627</v>
      </c>
      <c r="E294" s="1882" t="s">
        <v>8720</v>
      </c>
      <c r="F294" s="1882" t="s">
        <v>10138</v>
      </c>
      <c r="G294" s="1882" t="s">
        <v>8741</v>
      </c>
      <c r="H294" s="1882" t="s">
        <v>10205</v>
      </c>
      <c r="I294" s="1882" t="s">
        <v>10206</v>
      </c>
      <c r="J294" s="1882" t="s">
        <v>8508</v>
      </c>
      <c r="K294" s="1882" t="s">
        <v>8509</v>
      </c>
      <c r="L294" s="1882" t="s">
        <v>2459</v>
      </c>
      <c r="M294" s="1882"/>
      <c r="N294" s="1882" t="s">
        <v>8599</v>
      </c>
      <c r="O294" s="1882" t="s">
        <v>732</v>
      </c>
      <c r="P294" s="1882" t="s">
        <v>8696</v>
      </c>
      <c r="Q294" s="520">
        <v>0</v>
      </c>
      <c r="R294" s="1882" t="s">
        <v>8549</v>
      </c>
      <c r="S294" s="1882">
        <v>45</v>
      </c>
      <c r="T294" s="1882">
        <v>47</v>
      </c>
      <c r="U294" s="1882">
        <v>47</v>
      </c>
      <c r="V294" s="1882">
        <v>52</v>
      </c>
      <c r="W294" s="1882">
        <v>53</v>
      </c>
      <c r="X294" s="1882">
        <v>55</v>
      </c>
      <c r="Y294" s="1882"/>
      <c r="Z294" s="1882"/>
      <c r="AA294" s="1882"/>
      <c r="AB294" s="1882"/>
      <c r="AC294" s="1882"/>
      <c r="AD294" s="1882"/>
      <c r="AE294" s="1882"/>
      <c r="AF294" s="1882"/>
      <c r="AG294" s="1882"/>
      <c r="AH294" s="1882">
        <v>0</v>
      </c>
      <c r="AI294" s="1882" t="s">
        <v>2459</v>
      </c>
      <c r="AJ294" s="1882" t="s">
        <v>2459</v>
      </c>
      <c r="AK294" s="1882" t="s">
        <v>2459</v>
      </c>
      <c r="AL294" s="1882" t="s">
        <v>2459</v>
      </c>
      <c r="AM294" s="1882" t="s">
        <v>2459</v>
      </c>
      <c r="AN294" s="1882">
        <v>0</v>
      </c>
      <c r="AO294" s="1882">
        <v>0</v>
      </c>
      <c r="AP294" s="1882">
        <v>0</v>
      </c>
      <c r="AQ294" s="1882">
        <v>0</v>
      </c>
      <c r="AR294" s="1882">
        <v>0</v>
      </c>
      <c r="AS294" s="1882">
        <v>37</v>
      </c>
      <c r="AT294" s="1882">
        <v>37</v>
      </c>
      <c r="AU294" s="1882">
        <v>42</v>
      </c>
      <c r="AV294" s="1882">
        <v>43</v>
      </c>
      <c r="AW294" s="1882">
        <v>45</v>
      </c>
      <c r="AX294" s="1882">
        <v>57</v>
      </c>
      <c r="AY294" s="1882">
        <v>57</v>
      </c>
      <c r="AZ294" s="1882">
        <v>62</v>
      </c>
      <c r="BA294" s="1882">
        <v>63</v>
      </c>
      <c r="BB294" s="1882">
        <v>65</v>
      </c>
      <c r="BC294" s="1882">
        <v>100</v>
      </c>
      <c r="BD294" s="1882">
        <v>100</v>
      </c>
      <c r="BE294" s="1882">
        <v>100</v>
      </c>
      <c r="BF294" s="1882">
        <v>100</v>
      </c>
      <c r="BG294" s="1882">
        <v>100</v>
      </c>
      <c r="BH294" s="1882">
        <v>0.125</v>
      </c>
      <c r="BI294" s="1882"/>
      <c r="BJ294" s="1882"/>
      <c r="BK294" s="1882"/>
      <c r="BL294" s="1882">
        <v>0.125</v>
      </c>
      <c r="BM294" s="1882"/>
      <c r="BN294" s="1882">
        <v>1</v>
      </c>
      <c r="BO294" s="1882" t="s">
        <v>8512</v>
      </c>
      <c r="BP294" s="520">
        <v>51</v>
      </c>
      <c r="BQ294" s="693">
        <v>57.5</v>
      </c>
      <c r="BR294" s="1882" t="s">
        <v>2459</v>
      </c>
      <c r="BS294" s="1882" t="s">
        <v>8376</v>
      </c>
      <c r="BT294" s="1882">
        <v>0.125</v>
      </c>
      <c r="BU294" s="1882" t="s">
        <v>8513</v>
      </c>
      <c r="BV294" s="1882">
        <v>0</v>
      </c>
      <c r="BW294" s="1882">
        <v>58</v>
      </c>
      <c r="BX294" s="1882" t="s">
        <v>2459</v>
      </c>
      <c r="BY294" s="1882" t="s">
        <v>8376</v>
      </c>
      <c r="BZ294" s="1882">
        <v>0.125</v>
      </c>
      <c r="CA294" s="1882">
        <v>0</v>
      </c>
      <c r="CB294" s="1882">
        <v>0</v>
      </c>
      <c r="CC294" s="1882">
        <v>59</v>
      </c>
      <c r="CD294" s="1882" t="s">
        <v>2459</v>
      </c>
      <c r="CE294" s="1882" t="s">
        <v>8380</v>
      </c>
      <c r="CF294" s="1882">
        <v>0</v>
      </c>
      <c r="CG294" s="1882">
        <v>0</v>
      </c>
      <c r="CH294" s="1882">
        <v>0</v>
      </c>
      <c r="CI294" s="1882" t="s">
        <v>8513</v>
      </c>
      <c r="CJ294" s="1882" t="s">
        <v>8513</v>
      </c>
      <c r="CK294" s="1882" t="s">
        <v>8513</v>
      </c>
      <c r="CL294" s="1882">
        <v>0</v>
      </c>
      <c r="CM294" s="1882" t="s">
        <v>8513</v>
      </c>
      <c r="CN294" s="1882">
        <v>0</v>
      </c>
      <c r="CP294" s="1882" t="s">
        <v>10207</v>
      </c>
    </row>
    <row r="295" spans="1:94">
      <c r="A295" s="1882" t="s">
        <v>8365</v>
      </c>
      <c r="B295" s="1882" t="s">
        <v>10208</v>
      </c>
      <c r="C295" s="1882" t="s">
        <v>8352</v>
      </c>
      <c r="D295" s="1882" t="s">
        <v>1627</v>
      </c>
      <c r="E295" s="1882" t="s">
        <v>8720</v>
      </c>
      <c r="F295" s="1882" t="s">
        <v>10143</v>
      </c>
      <c r="G295" s="1882" t="s">
        <v>8746</v>
      </c>
      <c r="H295" s="1882" t="s">
        <v>10209</v>
      </c>
      <c r="I295" s="1882" t="s">
        <v>10210</v>
      </c>
      <c r="J295" s="1882" t="s">
        <v>8508</v>
      </c>
      <c r="K295" s="1882" t="s">
        <v>8509</v>
      </c>
      <c r="L295" s="1882"/>
      <c r="M295" s="1882" t="s">
        <v>2460</v>
      </c>
      <c r="N295" s="1882" t="s">
        <v>8673</v>
      </c>
      <c r="O295" s="1882" t="s">
        <v>764</v>
      </c>
      <c r="P295" s="1882" t="s">
        <v>10211</v>
      </c>
      <c r="Q295" s="520">
        <v>0</v>
      </c>
      <c r="R295" s="1882" t="s">
        <v>8549</v>
      </c>
      <c r="S295" s="1882"/>
      <c r="T295" s="1882"/>
      <c r="U295" s="1882"/>
      <c r="V295" s="1882"/>
      <c r="W295" s="1882"/>
      <c r="X295" s="1882">
        <v>202</v>
      </c>
      <c r="Y295" s="1882"/>
      <c r="Z295" s="1882"/>
      <c r="AA295" s="1882"/>
      <c r="AB295" s="1882"/>
      <c r="AC295" s="1882"/>
      <c r="AD295" s="1882"/>
      <c r="AE295" s="1882"/>
      <c r="AF295" s="1882" t="s">
        <v>2459</v>
      </c>
      <c r="AG295" s="1882"/>
      <c r="AH295" s="1882">
        <v>0</v>
      </c>
      <c r="AI295" s="1882"/>
      <c r="AJ295" s="1882"/>
      <c r="AK295" s="1882"/>
      <c r="AL295" s="1882"/>
      <c r="AM295" s="1882" t="s">
        <v>2459</v>
      </c>
      <c r="AN295" s="1882"/>
      <c r="AO295" s="1882"/>
      <c r="AP295" s="1882"/>
      <c r="AQ295" s="1882"/>
      <c r="AR295" s="1882">
        <v>0</v>
      </c>
      <c r="AS295" s="1882"/>
      <c r="AT295" s="1882"/>
      <c r="AU295" s="1882"/>
      <c r="AV295" s="1882"/>
      <c r="AW295" s="1882">
        <v>202</v>
      </c>
      <c r="AX295" s="1882"/>
      <c r="AY295" s="1882"/>
      <c r="AZ295" s="1882"/>
      <c r="BA295" s="1882"/>
      <c r="BB295" s="1882">
        <v>202</v>
      </c>
      <c r="BC295" s="1882"/>
      <c r="BD295" s="1882"/>
      <c r="BE295" s="1882"/>
      <c r="BF295" s="1882"/>
      <c r="BG295" s="1882">
        <v>999999</v>
      </c>
      <c r="BH295" s="1882">
        <v>0.15</v>
      </c>
      <c r="BI295" s="1882"/>
      <c r="BJ295" s="1882"/>
      <c r="BK295" s="1882"/>
      <c r="BL295" s="1882">
        <v>0.15</v>
      </c>
      <c r="BM295" s="1882"/>
      <c r="BN295" s="1882">
        <v>1</v>
      </c>
      <c r="BO295" s="1882" t="s">
        <v>8512</v>
      </c>
      <c r="BP295" s="520">
        <v>0</v>
      </c>
      <c r="BQ295" s="693">
        <v>0</v>
      </c>
      <c r="BR295" s="1882" t="s">
        <v>8513</v>
      </c>
      <c r="BS295" s="1882" t="s">
        <v>8513</v>
      </c>
      <c r="BT295" s="1882">
        <v>0</v>
      </c>
      <c r="BU295" s="1882" t="s">
        <v>8513</v>
      </c>
      <c r="BV295" s="1882">
        <v>0</v>
      </c>
      <c r="BW295" s="1882">
        <v>8</v>
      </c>
      <c r="BX295" s="1882" t="s">
        <v>2451</v>
      </c>
      <c r="BY295" s="1882">
        <v>0</v>
      </c>
      <c r="BZ295" s="1882">
        <v>0</v>
      </c>
      <c r="CA295" s="1882">
        <v>0</v>
      </c>
      <c r="CB295" s="1882">
        <v>0</v>
      </c>
      <c r="CC295" s="1882">
        <v>16</v>
      </c>
      <c r="CD295" s="1882" t="s">
        <v>2451</v>
      </c>
      <c r="CE295" s="1882">
        <v>0</v>
      </c>
      <c r="CF295" s="1882">
        <v>0</v>
      </c>
      <c r="CG295" s="1882">
        <v>0</v>
      </c>
      <c r="CH295" s="1882">
        <v>0</v>
      </c>
      <c r="CI295" s="1882" t="s">
        <v>8513</v>
      </c>
      <c r="CJ295" s="1882" t="s">
        <v>8513</v>
      </c>
      <c r="CK295" s="1882" t="s">
        <v>8513</v>
      </c>
      <c r="CL295" s="1882">
        <v>0</v>
      </c>
      <c r="CM295" s="1882" t="s">
        <v>8513</v>
      </c>
      <c r="CN295" s="1882">
        <v>0</v>
      </c>
      <c r="CP295" s="1882" t="s">
        <v>10212</v>
      </c>
    </row>
    <row r="296" spans="1:94">
      <c r="A296" s="1882" t="s">
        <v>8365</v>
      </c>
      <c r="B296" s="1882" t="s">
        <v>10213</v>
      </c>
      <c r="C296" s="1882" t="s">
        <v>8352</v>
      </c>
      <c r="D296" s="1882" t="s">
        <v>1627</v>
      </c>
      <c r="E296" s="1882" t="s">
        <v>8720</v>
      </c>
      <c r="F296" s="1882" t="s">
        <v>10143</v>
      </c>
      <c r="G296" s="1882" t="s">
        <v>8752</v>
      </c>
      <c r="H296" s="1882" t="s">
        <v>10214</v>
      </c>
      <c r="I296" s="1882" t="s">
        <v>10215</v>
      </c>
      <c r="J296" s="1882" t="s">
        <v>8508</v>
      </c>
      <c r="K296" s="1882" t="s">
        <v>8509</v>
      </c>
      <c r="L296" s="1882" t="s">
        <v>2459</v>
      </c>
      <c r="M296" s="1882" t="s">
        <v>2460</v>
      </c>
      <c r="N296" s="1882" t="s">
        <v>8760</v>
      </c>
      <c r="O296" s="1882" t="s">
        <v>764</v>
      </c>
      <c r="P296" s="1882" t="s">
        <v>8761</v>
      </c>
      <c r="Q296" s="520">
        <v>0</v>
      </c>
      <c r="R296" s="1882" t="s">
        <v>8511</v>
      </c>
      <c r="S296" s="1882">
        <v>457</v>
      </c>
      <c r="T296" s="1882">
        <v>429</v>
      </c>
      <c r="U296" s="1882">
        <v>402</v>
      </c>
      <c r="V296" s="1882">
        <v>374</v>
      </c>
      <c r="W296" s="1882">
        <v>374</v>
      </c>
      <c r="X296" s="1882">
        <v>374</v>
      </c>
      <c r="Y296" s="1882"/>
      <c r="Z296" s="1882"/>
      <c r="AA296" s="1882"/>
      <c r="AB296" s="1882" t="s">
        <v>2459</v>
      </c>
      <c r="AC296" s="1882"/>
      <c r="AD296" s="1882"/>
      <c r="AE296" s="1882" t="s">
        <v>2459</v>
      </c>
      <c r="AF296" s="1882"/>
      <c r="AG296" s="1882"/>
      <c r="AH296" s="1882">
        <v>0</v>
      </c>
      <c r="AI296" s="1882" t="s">
        <v>2459</v>
      </c>
      <c r="AJ296" s="1882" t="s">
        <v>2459</v>
      </c>
      <c r="AK296" s="1882" t="s">
        <v>2459</v>
      </c>
      <c r="AL296" s="1882" t="s">
        <v>2459</v>
      </c>
      <c r="AM296" s="1882" t="s">
        <v>2459</v>
      </c>
      <c r="AN296" s="1882">
        <v>999999</v>
      </c>
      <c r="AO296" s="1882">
        <v>999999</v>
      </c>
      <c r="AP296" s="1882">
        <v>999999</v>
      </c>
      <c r="AQ296" s="1882">
        <v>999999</v>
      </c>
      <c r="AR296" s="1882">
        <v>999999</v>
      </c>
      <c r="AS296" s="1882">
        <v>457</v>
      </c>
      <c r="AT296" s="1882">
        <v>457</v>
      </c>
      <c r="AU296" s="1882">
        <v>374</v>
      </c>
      <c r="AV296" s="1882">
        <v>374</v>
      </c>
      <c r="AW296" s="1882">
        <v>374</v>
      </c>
      <c r="AX296" s="1882">
        <v>374</v>
      </c>
      <c r="AY296" s="1882">
        <v>374</v>
      </c>
      <c r="AZ296" s="1882">
        <v>374</v>
      </c>
      <c r="BA296" s="1882">
        <v>374</v>
      </c>
      <c r="BB296" s="1882">
        <v>374</v>
      </c>
      <c r="BC296" s="1882">
        <v>0</v>
      </c>
      <c r="BD296" s="1882">
        <v>0</v>
      </c>
      <c r="BE296" s="1882">
        <v>0</v>
      </c>
      <c r="BF296" s="1882">
        <v>0</v>
      </c>
      <c r="BG296" s="1882">
        <v>0</v>
      </c>
      <c r="BH296" s="1882">
        <v>5.3900000000000003E-2</v>
      </c>
      <c r="BI296" s="1882"/>
      <c r="BJ296" s="1882"/>
      <c r="BK296" s="1882"/>
      <c r="BL296" s="1882">
        <v>5.3900000000000003E-2</v>
      </c>
      <c r="BM296" s="1882"/>
      <c r="BN296" s="1882">
        <v>1</v>
      </c>
      <c r="BO296" s="1882" t="s">
        <v>8512</v>
      </c>
      <c r="BP296" s="520">
        <v>369</v>
      </c>
      <c r="BQ296" s="693">
        <v>293</v>
      </c>
      <c r="BR296" s="1882" t="s">
        <v>2459</v>
      </c>
      <c r="BS296" s="1882" t="s">
        <v>8376</v>
      </c>
      <c r="BT296" s="1882">
        <v>4.3658999999999999</v>
      </c>
      <c r="BU296" s="1882" t="s">
        <v>8513</v>
      </c>
      <c r="BV296" s="1882">
        <v>0</v>
      </c>
      <c r="BW296" s="1882">
        <v>301</v>
      </c>
      <c r="BX296" s="1882" t="s">
        <v>2459</v>
      </c>
      <c r="BY296" s="1882" t="s">
        <v>8376</v>
      </c>
      <c r="BZ296" s="1882">
        <v>3.9347000000000003</v>
      </c>
      <c r="CA296" s="1882">
        <v>0</v>
      </c>
      <c r="CB296" s="1882">
        <v>0</v>
      </c>
      <c r="CC296" s="1882">
        <v>327</v>
      </c>
      <c r="CD296" s="1882" t="s">
        <v>2459</v>
      </c>
      <c r="CE296" s="1882" t="s">
        <v>8376</v>
      </c>
      <c r="CF296" s="1882">
        <v>2.5333000000000001</v>
      </c>
      <c r="CG296" s="1882">
        <v>0</v>
      </c>
      <c r="CH296" s="1882">
        <v>0</v>
      </c>
      <c r="CI296" s="1882" t="s">
        <v>8513</v>
      </c>
      <c r="CJ296" s="1882" t="s">
        <v>8513</v>
      </c>
      <c r="CK296" s="1882" t="s">
        <v>8513</v>
      </c>
      <c r="CL296" s="1882">
        <v>0</v>
      </c>
      <c r="CM296" s="1882" t="s">
        <v>8513</v>
      </c>
      <c r="CN296" s="1882">
        <v>0</v>
      </c>
      <c r="CP296" s="1882" t="s">
        <v>10216</v>
      </c>
    </row>
    <row r="297" spans="1:94">
      <c r="A297" s="1882" t="s">
        <v>8365</v>
      </c>
      <c r="B297" s="1882" t="s">
        <v>10217</v>
      </c>
      <c r="C297" s="1882" t="s">
        <v>8352</v>
      </c>
      <c r="D297" s="1882" t="s">
        <v>1627</v>
      </c>
      <c r="E297" s="1882" t="s">
        <v>8720</v>
      </c>
      <c r="F297" s="1882" t="s">
        <v>10143</v>
      </c>
      <c r="G297" s="1882" t="s">
        <v>8757</v>
      </c>
      <c r="H297" s="1882" t="s">
        <v>10218</v>
      </c>
      <c r="I297" s="1882" t="s">
        <v>10219</v>
      </c>
      <c r="J297" s="1882" t="s">
        <v>8519</v>
      </c>
      <c r="K297" s="1882" t="s">
        <v>8855</v>
      </c>
      <c r="L297" s="1882"/>
      <c r="M297" s="1882" t="s">
        <v>2460</v>
      </c>
      <c r="N297" s="1882" t="s">
        <v>8673</v>
      </c>
      <c r="O297" s="1882" t="s">
        <v>732</v>
      </c>
      <c r="P297" s="1882" t="s">
        <v>9868</v>
      </c>
      <c r="Q297" s="520">
        <v>2</v>
      </c>
      <c r="R297" s="1882" t="s">
        <v>8549</v>
      </c>
      <c r="S297" s="1882" t="s">
        <v>8706</v>
      </c>
      <c r="T297" s="1882">
        <v>100</v>
      </c>
      <c r="U297" s="1882">
        <v>100</v>
      </c>
      <c r="V297" s="1882">
        <v>100</v>
      </c>
      <c r="W297" s="1882">
        <v>100</v>
      </c>
      <c r="X297" s="1882">
        <v>100</v>
      </c>
      <c r="Y297" s="1882"/>
      <c r="Z297" s="1882"/>
      <c r="AA297" s="1882"/>
      <c r="AB297" s="1882"/>
      <c r="AC297" s="1882"/>
      <c r="AD297" s="1882"/>
      <c r="AE297" s="1882" t="s">
        <v>2459</v>
      </c>
      <c r="AF297" s="1882" t="s">
        <v>2459</v>
      </c>
      <c r="AG297" s="1882"/>
      <c r="AH297" s="1882">
        <v>4</v>
      </c>
      <c r="AI297" s="1882" t="s">
        <v>2459</v>
      </c>
      <c r="AJ297" s="1882" t="s">
        <v>2459</v>
      </c>
      <c r="AK297" s="1882" t="s">
        <v>2459</v>
      </c>
      <c r="AL297" s="1882" t="s">
        <v>2459</v>
      </c>
      <c r="AM297" s="1882" t="s">
        <v>2459</v>
      </c>
      <c r="AN297" s="1882">
        <v>0</v>
      </c>
      <c r="AO297" s="1882">
        <v>0</v>
      </c>
      <c r="AP297" s="1882">
        <v>0</v>
      </c>
      <c r="AQ297" s="1882">
        <v>0</v>
      </c>
      <c r="AR297" s="1882">
        <v>0</v>
      </c>
      <c r="AS297" s="1882">
        <v>95.3</v>
      </c>
      <c r="AT297" s="1882">
        <v>95.3</v>
      </c>
      <c r="AU297" s="1882">
        <v>95.3</v>
      </c>
      <c r="AV297" s="1882">
        <v>95.3</v>
      </c>
      <c r="AW297" s="1882">
        <v>95.3</v>
      </c>
      <c r="AX297" s="1882"/>
      <c r="AY297" s="1882"/>
      <c r="AZ297" s="1882"/>
      <c r="BA297" s="1882"/>
      <c r="BB297" s="1882"/>
      <c r="BC297" s="1882"/>
      <c r="BD297" s="1882"/>
      <c r="BE297" s="1882"/>
      <c r="BF297" s="1882"/>
      <c r="BG297" s="1882"/>
      <c r="BH297" s="1882">
        <v>1.4</v>
      </c>
      <c r="BI297" s="1882"/>
      <c r="BJ297" s="1882"/>
      <c r="BK297" s="1882"/>
      <c r="BL297" s="1882"/>
      <c r="BM297" s="1882"/>
      <c r="BN297" s="1882">
        <v>1</v>
      </c>
      <c r="BO297" s="1882" t="s">
        <v>8512</v>
      </c>
      <c r="BP297" s="520">
        <v>95.740000000000009</v>
      </c>
      <c r="BQ297" s="694">
        <v>97.508496246767137</v>
      </c>
      <c r="BR297" s="1882" t="s">
        <v>2460</v>
      </c>
      <c r="BS297" s="1882" t="s">
        <v>8513</v>
      </c>
      <c r="BT297" s="1882">
        <v>0</v>
      </c>
      <c r="BU297" s="1882" t="s">
        <v>8429</v>
      </c>
      <c r="BV297" s="1882">
        <v>0</v>
      </c>
      <c r="BW297" s="1882">
        <v>97.988160870777804</v>
      </c>
      <c r="BX297" s="1882" t="s">
        <v>2460</v>
      </c>
      <c r="BY297" s="1882">
        <v>0</v>
      </c>
      <c r="BZ297" s="1882">
        <v>0</v>
      </c>
      <c r="CA297" s="1882" t="s">
        <v>8429</v>
      </c>
      <c r="CB297" s="1882">
        <v>0</v>
      </c>
      <c r="CC297" s="1882">
        <v>97.67</v>
      </c>
      <c r="CD297" s="1882" t="s">
        <v>2460</v>
      </c>
      <c r="CE297" s="1882">
        <v>0</v>
      </c>
      <c r="CF297" s="1882">
        <v>0</v>
      </c>
      <c r="CG297" s="1882" t="s">
        <v>8388</v>
      </c>
      <c r="CH297" s="1882">
        <v>0</v>
      </c>
      <c r="CI297" s="1882" t="s">
        <v>8513</v>
      </c>
      <c r="CJ297" s="1882" t="s">
        <v>8513</v>
      </c>
      <c r="CK297" s="1882" t="s">
        <v>8513</v>
      </c>
      <c r="CL297" s="1882">
        <v>0</v>
      </c>
      <c r="CM297" s="1882" t="s">
        <v>8513</v>
      </c>
      <c r="CN297" s="1882">
        <v>0</v>
      </c>
      <c r="CP297" s="1882" t="s">
        <v>10220</v>
      </c>
    </row>
    <row r="298" spans="1:94">
      <c r="A298" s="1882" t="s">
        <v>8365</v>
      </c>
      <c r="B298" s="1882" t="s">
        <v>10221</v>
      </c>
      <c r="C298" s="1882" t="s">
        <v>8352</v>
      </c>
      <c r="D298" s="1882" t="s">
        <v>1627</v>
      </c>
      <c r="E298" s="1882" t="s">
        <v>8720</v>
      </c>
      <c r="F298" s="1882" t="s">
        <v>10143</v>
      </c>
      <c r="G298" s="1882" t="s">
        <v>8764</v>
      </c>
      <c r="H298" s="1882" t="s">
        <v>10222</v>
      </c>
      <c r="I298" s="1882" t="s">
        <v>10223</v>
      </c>
      <c r="J298" s="1882" t="s">
        <v>8508</v>
      </c>
      <c r="K298" s="1882" t="s">
        <v>8509</v>
      </c>
      <c r="L298" s="1882"/>
      <c r="M298" s="1882"/>
      <c r="N298" s="1882" t="s">
        <v>8666</v>
      </c>
      <c r="O298" s="1882" t="s">
        <v>764</v>
      </c>
      <c r="P298" s="1882" t="s">
        <v>10156</v>
      </c>
      <c r="Q298" s="520">
        <v>0</v>
      </c>
      <c r="R298" s="1882" t="s">
        <v>8549</v>
      </c>
      <c r="S298" s="1882">
        <v>334</v>
      </c>
      <c r="T298" s="1882"/>
      <c r="U298" s="1882"/>
      <c r="V298" s="1882"/>
      <c r="W298" s="1882"/>
      <c r="X298" s="1882">
        <v>409</v>
      </c>
      <c r="Y298" s="1882"/>
      <c r="Z298" s="1882"/>
      <c r="AA298" s="1882"/>
      <c r="AB298" s="1882"/>
      <c r="AC298" s="1882"/>
      <c r="AD298" s="1882"/>
      <c r="AE298" s="1882"/>
      <c r="AF298" s="1882" t="s">
        <v>2459</v>
      </c>
      <c r="AG298" s="1882"/>
      <c r="AH298" s="1882">
        <v>0</v>
      </c>
      <c r="AI298" s="1882"/>
      <c r="AJ298" s="1882"/>
      <c r="AK298" s="1882"/>
      <c r="AL298" s="1882"/>
      <c r="AM298" s="1882" t="s">
        <v>2459</v>
      </c>
      <c r="AN298" s="1882"/>
      <c r="AO298" s="1882"/>
      <c r="AP298" s="1882"/>
      <c r="AQ298" s="1882"/>
      <c r="AR298" s="1882">
        <v>0</v>
      </c>
      <c r="AS298" s="1882"/>
      <c r="AT298" s="1882"/>
      <c r="AU298" s="1882"/>
      <c r="AV298" s="1882"/>
      <c r="AW298" s="1882">
        <v>409</v>
      </c>
      <c r="AX298" s="1882"/>
      <c r="AY298" s="1882"/>
      <c r="AZ298" s="1882"/>
      <c r="BA298" s="1882"/>
      <c r="BB298" s="1882">
        <v>409</v>
      </c>
      <c r="BC298" s="1882"/>
      <c r="BD298" s="1882"/>
      <c r="BE298" s="1882"/>
      <c r="BF298" s="1882"/>
      <c r="BG298" s="1882">
        <v>999999</v>
      </c>
      <c r="BH298" s="1882">
        <v>9.5600000000000004E-4</v>
      </c>
      <c r="BI298" s="1882"/>
      <c r="BJ298" s="1882"/>
      <c r="BK298" s="1882"/>
      <c r="BL298" s="1882">
        <v>9.5600000000000004E-4</v>
      </c>
      <c r="BM298" s="1882"/>
      <c r="BN298" s="1882">
        <v>1</v>
      </c>
      <c r="BO298" s="1882" t="s">
        <v>8512</v>
      </c>
      <c r="BP298" s="520">
        <v>328</v>
      </c>
      <c r="BQ298" s="693">
        <v>322.89999999999998</v>
      </c>
      <c r="BR298" s="1882" t="s">
        <v>8513</v>
      </c>
      <c r="BS298" s="1882" t="s">
        <v>8513</v>
      </c>
      <c r="BT298" s="1882">
        <v>0</v>
      </c>
      <c r="BU298" s="1882" t="s">
        <v>8513</v>
      </c>
      <c r="BV298" s="1882">
        <v>0</v>
      </c>
      <c r="BW298" s="1882">
        <v>293</v>
      </c>
      <c r="BX298" s="1882" t="s">
        <v>2451</v>
      </c>
      <c r="BY298" s="1882">
        <v>0</v>
      </c>
      <c r="BZ298" s="1882">
        <v>0</v>
      </c>
      <c r="CA298" s="1882">
        <v>0</v>
      </c>
      <c r="CB298" s="1882">
        <v>0</v>
      </c>
      <c r="CC298" s="1882">
        <v>337</v>
      </c>
      <c r="CD298" s="1882" t="s">
        <v>2451</v>
      </c>
      <c r="CE298" s="1882">
        <v>0</v>
      </c>
      <c r="CF298" s="1882">
        <v>0</v>
      </c>
      <c r="CG298" s="1882">
        <v>0</v>
      </c>
      <c r="CH298" s="1882">
        <v>0</v>
      </c>
      <c r="CI298" s="1882" t="s">
        <v>8513</v>
      </c>
      <c r="CJ298" s="1882" t="s">
        <v>8513</v>
      </c>
      <c r="CK298" s="1882" t="s">
        <v>8513</v>
      </c>
      <c r="CL298" s="1882">
        <v>0</v>
      </c>
      <c r="CM298" s="1882" t="s">
        <v>8513</v>
      </c>
      <c r="CN298" s="1882">
        <v>0</v>
      </c>
      <c r="CP298" s="1882" t="s">
        <v>10224</v>
      </c>
    </row>
    <row r="299" spans="1:94">
      <c r="A299" s="1882" t="s">
        <v>8365</v>
      </c>
      <c r="B299" s="1882" t="s">
        <v>10225</v>
      </c>
      <c r="C299" s="1882" t="s">
        <v>8352</v>
      </c>
      <c r="D299" s="1882" t="s">
        <v>1627</v>
      </c>
      <c r="E299" s="1882" t="s">
        <v>8720</v>
      </c>
      <c r="F299" s="1882" t="s">
        <v>10143</v>
      </c>
      <c r="G299" s="1882" t="s">
        <v>10226</v>
      </c>
      <c r="H299" s="1882" t="s">
        <v>10227</v>
      </c>
      <c r="I299" s="1882" t="s">
        <v>10228</v>
      </c>
      <c r="J299" s="1882" t="s">
        <v>10229</v>
      </c>
      <c r="K299" s="1882" t="s">
        <v>8509</v>
      </c>
      <c r="L299" s="1882"/>
      <c r="M299" s="1882"/>
      <c r="N299" s="1882" t="s">
        <v>8737</v>
      </c>
      <c r="O299" s="1882" t="s">
        <v>764</v>
      </c>
      <c r="P299" s="1882" t="s">
        <v>10230</v>
      </c>
      <c r="Q299" s="520">
        <v>0</v>
      </c>
      <c r="R299" s="1882" t="s">
        <v>8549</v>
      </c>
      <c r="S299" s="1882"/>
      <c r="T299" s="1882"/>
      <c r="U299" s="1882"/>
      <c r="V299" s="1882"/>
      <c r="W299" s="1882"/>
      <c r="X299" s="1882">
        <v>0</v>
      </c>
      <c r="Y299" s="1882"/>
      <c r="Z299" s="1882"/>
      <c r="AA299" s="1882"/>
      <c r="AB299" s="1882"/>
      <c r="AC299" s="1882"/>
      <c r="AD299" s="1882"/>
      <c r="AE299" s="1882"/>
      <c r="AF299" s="1882"/>
      <c r="AG299" s="1882"/>
      <c r="AH299" s="1882">
        <v>0</v>
      </c>
      <c r="AI299" s="1882"/>
      <c r="AJ299" s="1882"/>
      <c r="AK299" s="1882"/>
      <c r="AL299" s="1882"/>
      <c r="AM299" s="1882" t="s">
        <v>2459</v>
      </c>
      <c r="AN299" s="1882"/>
      <c r="AO299" s="1882"/>
      <c r="AP299" s="1882"/>
      <c r="AQ299" s="1882"/>
      <c r="AR299" s="1882"/>
      <c r="AS299" s="1882"/>
      <c r="AT299" s="1882"/>
      <c r="AU299" s="1882"/>
      <c r="AV299" s="1882"/>
      <c r="AW299" s="1882"/>
      <c r="AX299" s="1882"/>
      <c r="AY299" s="1882"/>
      <c r="AZ299" s="1882"/>
      <c r="BA299" s="1882"/>
      <c r="BB299" s="1882">
        <v>0</v>
      </c>
      <c r="BC299" s="1882"/>
      <c r="BD299" s="1882"/>
      <c r="BE299" s="1882"/>
      <c r="BF299" s="1882"/>
      <c r="BG299" s="1882">
        <v>999999</v>
      </c>
      <c r="BH299" s="1882"/>
      <c r="BI299" s="1882"/>
      <c r="BJ299" s="1882"/>
      <c r="BK299" s="1882"/>
      <c r="BL299" s="1882">
        <v>2.8546999999999999E-2</v>
      </c>
      <c r="BM299" s="1882"/>
      <c r="BN299" s="1882">
        <v>1</v>
      </c>
      <c r="BO299" s="1882" t="s">
        <v>8512</v>
      </c>
      <c r="BP299" s="520">
        <v>0</v>
      </c>
      <c r="BQ299" s="693">
        <v>0</v>
      </c>
      <c r="BR299" s="1882" t="s">
        <v>8513</v>
      </c>
      <c r="BS299" s="1882" t="s">
        <v>8513</v>
      </c>
      <c r="BT299" s="1882">
        <v>0</v>
      </c>
      <c r="BU299" s="1882" t="s">
        <v>8513</v>
      </c>
      <c r="BV299" s="1882">
        <v>0</v>
      </c>
      <c r="BW299" s="1882">
        <v>0</v>
      </c>
      <c r="BX299" s="1882" t="s">
        <v>2459</v>
      </c>
      <c r="BY299" s="1882">
        <v>0</v>
      </c>
      <c r="BZ299" s="1882">
        <v>0</v>
      </c>
      <c r="CA299" s="1882">
        <v>0</v>
      </c>
      <c r="CB299" s="1882">
        <v>0</v>
      </c>
      <c r="CC299" s="1882">
        <v>0</v>
      </c>
      <c r="CD299" s="1882" t="s">
        <v>2451</v>
      </c>
      <c r="CE299" s="1882">
        <v>0</v>
      </c>
      <c r="CF299" s="1882">
        <v>0</v>
      </c>
      <c r="CG299" s="1882">
        <v>0</v>
      </c>
      <c r="CH299" s="1882">
        <v>0</v>
      </c>
      <c r="CI299" s="1882" t="s">
        <v>8513</v>
      </c>
      <c r="CJ299" s="1882" t="s">
        <v>8513</v>
      </c>
      <c r="CK299" s="1882" t="s">
        <v>8513</v>
      </c>
      <c r="CL299" s="1882">
        <v>0</v>
      </c>
      <c r="CM299" s="1882" t="s">
        <v>8513</v>
      </c>
      <c r="CN299" s="1882">
        <v>0</v>
      </c>
      <c r="CP299" s="1882" t="s">
        <v>10231</v>
      </c>
    </row>
    <row r="300" spans="1:94">
      <c r="A300" s="1882" t="s">
        <v>8365</v>
      </c>
      <c r="B300" s="1882" t="s">
        <v>10232</v>
      </c>
      <c r="C300" s="1882" t="s">
        <v>8352</v>
      </c>
      <c r="D300" s="1882" t="s">
        <v>1627</v>
      </c>
      <c r="E300" s="1882" t="s">
        <v>8720</v>
      </c>
      <c r="F300" s="1882" t="s">
        <v>10143</v>
      </c>
      <c r="G300" s="1882" t="s">
        <v>10233</v>
      </c>
      <c r="H300" s="1882" t="s">
        <v>10234</v>
      </c>
      <c r="I300" s="1882" t="s">
        <v>10235</v>
      </c>
      <c r="J300" s="1882" t="s">
        <v>8539</v>
      </c>
      <c r="K300" s="1882"/>
      <c r="L300" s="1882"/>
      <c r="M300" s="1882"/>
      <c r="N300" s="1882" t="s">
        <v>8760</v>
      </c>
      <c r="O300" s="1882" t="s">
        <v>764</v>
      </c>
      <c r="P300" s="1882" t="s">
        <v>9893</v>
      </c>
      <c r="Q300" s="520">
        <v>0</v>
      </c>
      <c r="R300" s="1882" t="s">
        <v>8511</v>
      </c>
      <c r="S300" s="1882">
        <v>8</v>
      </c>
      <c r="T300" s="1882">
        <v>8</v>
      </c>
      <c r="U300" s="1882">
        <v>6</v>
      </c>
      <c r="V300" s="1882">
        <v>4</v>
      </c>
      <c r="W300" s="1882">
        <v>2</v>
      </c>
      <c r="X300" s="1882">
        <v>0</v>
      </c>
      <c r="Y300" s="1882"/>
      <c r="Z300" s="1882"/>
      <c r="AA300" s="1882"/>
      <c r="AB300" s="1882"/>
      <c r="AC300" s="1882"/>
      <c r="AD300" s="1882"/>
      <c r="AE300" s="1882" t="s">
        <v>2459</v>
      </c>
      <c r="AF300" s="1882"/>
      <c r="AG300" s="1882"/>
      <c r="AH300" s="1882">
        <v>0</v>
      </c>
      <c r="AI300" s="1882"/>
      <c r="AJ300" s="1882"/>
      <c r="AK300" s="1882"/>
      <c r="AL300" s="1882"/>
      <c r="AM300" s="1882"/>
      <c r="AN300" s="1882"/>
      <c r="AO300" s="1882"/>
      <c r="AP300" s="1882"/>
      <c r="AQ300" s="1882"/>
      <c r="AR300" s="1882"/>
      <c r="AS300" s="1882"/>
      <c r="AT300" s="1882"/>
      <c r="AU300" s="1882"/>
      <c r="AV300" s="1882"/>
      <c r="AW300" s="1882"/>
      <c r="AX300" s="1882"/>
      <c r="AY300" s="1882"/>
      <c r="AZ300" s="1882"/>
      <c r="BA300" s="1882"/>
      <c r="BB300" s="1882"/>
      <c r="BC300" s="1882"/>
      <c r="BD300" s="1882"/>
      <c r="BE300" s="1882"/>
      <c r="BF300" s="1882"/>
      <c r="BG300" s="1882"/>
      <c r="BH300" s="1882"/>
      <c r="BI300" s="1882"/>
      <c r="BJ300" s="1882"/>
      <c r="BK300" s="1882"/>
      <c r="BL300" s="1882"/>
      <c r="BM300" s="1882"/>
      <c r="BN300" s="1882"/>
      <c r="BO300" s="1882"/>
      <c r="BP300" s="520">
        <v>10</v>
      </c>
      <c r="BQ300" s="693">
        <v>2</v>
      </c>
      <c r="BR300" s="1882" t="s">
        <v>2459</v>
      </c>
      <c r="BS300" s="1882" t="s">
        <v>8513</v>
      </c>
      <c r="BT300" s="1882">
        <v>0</v>
      </c>
      <c r="BU300" s="1882" t="s">
        <v>8513</v>
      </c>
      <c r="BV300" s="1882">
        <v>0</v>
      </c>
      <c r="BW300" s="1882">
        <v>7</v>
      </c>
      <c r="BX300" s="1882" t="s">
        <v>2460</v>
      </c>
      <c r="BY300" s="1882">
        <v>0</v>
      </c>
      <c r="BZ300" s="1882">
        <v>0</v>
      </c>
      <c r="CA300" s="1882">
        <v>0</v>
      </c>
      <c r="CB300" s="1882">
        <v>0</v>
      </c>
      <c r="CC300" s="1882">
        <v>2</v>
      </c>
      <c r="CD300" s="1882" t="s">
        <v>2459</v>
      </c>
      <c r="CE300" s="1882">
        <v>0</v>
      </c>
      <c r="CF300" s="1882">
        <v>0</v>
      </c>
      <c r="CG300" s="1882">
        <v>0</v>
      </c>
      <c r="CH300" s="1882">
        <v>0</v>
      </c>
      <c r="CI300" s="1882" t="s">
        <v>8513</v>
      </c>
      <c r="CJ300" s="1882" t="s">
        <v>8513</v>
      </c>
      <c r="CK300" s="1882" t="s">
        <v>8513</v>
      </c>
      <c r="CL300" s="1882">
        <v>0</v>
      </c>
      <c r="CM300" s="1882" t="s">
        <v>8513</v>
      </c>
      <c r="CN300" s="1882">
        <v>0</v>
      </c>
      <c r="CP300" s="1882" t="s">
        <v>10236</v>
      </c>
    </row>
    <row r="301" spans="1:94" ht="25">
      <c r="A301" s="1882" t="s">
        <v>8365</v>
      </c>
      <c r="B301" s="1882" t="s">
        <v>10237</v>
      </c>
      <c r="C301" s="1882" t="s">
        <v>8352</v>
      </c>
      <c r="D301" s="1882" t="s">
        <v>1627</v>
      </c>
      <c r="E301" s="1882" t="s">
        <v>8720</v>
      </c>
      <c r="F301" s="1882" t="s">
        <v>10143</v>
      </c>
      <c r="G301" s="1882" t="s">
        <v>10238</v>
      </c>
      <c r="H301" s="1882" t="s">
        <v>10239</v>
      </c>
      <c r="I301" s="1882" t="s">
        <v>10240</v>
      </c>
      <c r="J301" s="1882" t="s">
        <v>8508</v>
      </c>
      <c r="K301" s="1882" t="s">
        <v>8509</v>
      </c>
      <c r="L301" s="1882"/>
      <c r="M301" s="1882"/>
      <c r="N301" s="1882" t="s">
        <v>8673</v>
      </c>
      <c r="O301" s="1882" t="s">
        <v>764</v>
      </c>
      <c r="P301" s="1882" t="s">
        <v>10241</v>
      </c>
      <c r="Q301" s="520">
        <v>0</v>
      </c>
      <c r="R301" s="1882" t="s">
        <v>8549</v>
      </c>
      <c r="S301" s="1882"/>
      <c r="T301" s="1882"/>
      <c r="U301" s="1882"/>
      <c r="V301" s="1882"/>
      <c r="W301" s="1882"/>
      <c r="X301" s="1882">
        <v>3</v>
      </c>
      <c r="Y301" s="1882"/>
      <c r="Z301" s="1882"/>
      <c r="AA301" s="1882"/>
      <c r="AB301" s="1882"/>
      <c r="AC301" s="1882"/>
      <c r="AD301" s="1882"/>
      <c r="AE301" s="1882" t="s">
        <v>2459</v>
      </c>
      <c r="AF301" s="1882" t="s">
        <v>2459</v>
      </c>
      <c r="AG301" s="1882"/>
      <c r="AH301" s="1882">
        <v>4</v>
      </c>
      <c r="AI301" s="1882"/>
      <c r="AJ301" s="1882"/>
      <c r="AK301" s="1882"/>
      <c r="AL301" s="1882"/>
      <c r="AM301" s="1882" t="s">
        <v>2459</v>
      </c>
      <c r="AN301" s="1882"/>
      <c r="AO301" s="1882"/>
      <c r="AP301" s="1882"/>
      <c r="AQ301" s="1882"/>
      <c r="AR301" s="1882">
        <v>0</v>
      </c>
      <c r="AS301" s="1882"/>
      <c r="AT301" s="1882"/>
      <c r="AU301" s="1882"/>
      <c r="AV301" s="1882"/>
      <c r="AW301" s="1882">
        <v>3</v>
      </c>
      <c r="AX301" s="1882"/>
      <c r="AY301" s="1882"/>
      <c r="AZ301" s="1882"/>
      <c r="BA301" s="1882"/>
      <c r="BB301" s="1882">
        <v>3</v>
      </c>
      <c r="BC301" s="1882"/>
      <c r="BD301" s="1882"/>
      <c r="BE301" s="1882"/>
      <c r="BF301" s="1882"/>
      <c r="BG301" s="1882">
        <v>999999</v>
      </c>
      <c r="BH301" s="1882">
        <v>2.4</v>
      </c>
      <c r="BI301" s="1882"/>
      <c r="BJ301" s="1882"/>
      <c r="BK301" s="1882"/>
      <c r="BL301" s="1882">
        <v>2.4</v>
      </c>
      <c r="BM301" s="1882"/>
      <c r="BN301" s="1882">
        <v>1</v>
      </c>
      <c r="BO301" s="1882" t="s">
        <v>8512</v>
      </c>
      <c r="BP301" s="520" t="s">
        <v>10242</v>
      </c>
      <c r="BQ301" s="693" t="s">
        <v>10242</v>
      </c>
      <c r="BR301" s="1882" t="s">
        <v>8513</v>
      </c>
      <c r="BS301" s="1882" t="s">
        <v>8513</v>
      </c>
      <c r="BT301" s="1882">
        <v>0</v>
      </c>
      <c r="BU301" s="1882" t="s">
        <v>8513</v>
      </c>
      <c r="BV301" s="1882">
        <v>0</v>
      </c>
      <c r="BW301" s="1882" t="s">
        <v>10243</v>
      </c>
      <c r="BX301" s="1882" t="s">
        <v>2451</v>
      </c>
      <c r="BY301" s="1882">
        <v>0</v>
      </c>
      <c r="BZ301" s="1882">
        <v>0</v>
      </c>
      <c r="CA301" s="1882">
        <v>0</v>
      </c>
      <c r="CB301" s="1882">
        <v>0</v>
      </c>
      <c r="CC301" s="1882">
        <v>0</v>
      </c>
      <c r="CD301" s="1882" t="s">
        <v>2451</v>
      </c>
      <c r="CE301" s="1882">
        <v>0</v>
      </c>
      <c r="CF301" s="1882">
        <v>0</v>
      </c>
      <c r="CG301" s="1882">
        <v>0</v>
      </c>
      <c r="CH301" s="1882">
        <v>0</v>
      </c>
      <c r="CI301" s="1882" t="s">
        <v>8513</v>
      </c>
      <c r="CJ301" s="1882" t="s">
        <v>8513</v>
      </c>
      <c r="CK301" s="1882" t="s">
        <v>8513</v>
      </c>
      <c r="CL301" s="1882">
        <v>0</v>
      </c>
      <c r="CM301" s="1882" t="s">
        <v>8513</v>
      </c>
      <c r="CN301" s="1882">
        <v>0</v>
      </c>
      <c r="CP301" s="1882" t="s">
        <v>10244</v>
      </c>
    </row>
    <row r="302" spans="1:94">
      <c r="A302" s="1882" t="s">
        <v>8365</v>
      </c>
      <c r="B302" s="1882" t="s">
        <v>10245</v>
      </c>
      <c r="C302" s="1882" t="s">
        <v>8352</v>
      </c>
      <c r="D302" s="1882" t="s">
        <v>1627</v>
      </c>
      <c r="E302" s="1882" t="s">
        <v>8720</v>
      </c>
      <c r="F302" s="1882" t="s">
        <v>10143</v>
      </c>
      <c r="G302" s="1882" t="s">
        <v>10246</v>
      </c>
      <c r="H302" s="1882" t="s">
        <v>10247</v>
      </c>
      <c r="I302" s="1882" t="s">
        <v>10248</v>
      </c>
      <c r="J302" s="1882" t="s">
        <v>8539</v>
      </c>
      <c r="K302" s="1882"/>
      <c r="L302" s="1882"/>
      <c r="M302" s="1882"/>
      <c r="N302" s="1882" t="s">
        <v>8760</v>
      </c>
      <c r="O302" s="1882" t="s">
        <v>764</v>
      </c>
      <c r="P302" s="1882" t="s">
        <v>10249</v>
      </c>
      <c r="Q302" s="520">
        <v>0</v>
      </c>
      <c r="R302" s="1882" t="s">
        <v>8511</v>
      </c>
      <c r="S302" s="1882">
        <v>246</v>
      </c>
      <c r="T302" s="1882">
        <v>225</v>
      </c>
      <c r="U302" s="1882">
        <v>203</v>
      </c>
      <c r="V302" s="1882">
        <v>182</v>
      </c>
      <c r="W302" s="1882">
        <v>182</v>
      </c>
      <c r="X302" s="1882">
        <v>182</v>
      </c>
      <c r="Y302" s="1882"/>
      <c r="Z302" s="1882"/>
      <c r="AA302" s="1882"/>
      <c r="AB302" s="1882"/>
      <c r="AC302" s="1882"/>
      <c r="AD302" s="1882"/>
      <c r="AE302" s="1882" t="s">
        <v>2459</v>
      </c>
      <c r="AF302" s="1882"/>
      <c r="AG302" s="1882"/>
      <c r="AH302" s="1882">
        <v>0</v>
      </c>
      <c r="AI302" s="1882"/>
      <c r="AJ302" s="1882"/>
      <c r="AK302" s="1882"/>
      <c r="AL302" s="1882"/>
      <c r="AM302" s="1882"/>
      <c r="AN302" s="1882"/>
      <c r="AO302" s="1882"/>
      <c r="AP302" s="1882"/>
      <c r="AQ302" s="1882"/>
      <c r="AR302" s="1882"/>
      <c r="AS302" s="1882"/>
      <c r="AT302" s="1882"/>
      <c r="AU302" s="1882"/>
      <c r="AV302" s="1882"/>
      <c r="AW302" s="1882"/>
      <c r="AX302" s="1882"/>
      <c r="AY302" s="1882"/>
      <c r="AZ302" s="1882"/>
      <c r="BA302" s="1882"/>
      <c r="BB302" s="1882"/>
      <c r="BC302" s="1882"/>
      <c r="BD302" s="1882"/>
      <c r="BE302" s="1882"/>
      <c r="BF302" s="1882"/>
      <c r="BG302" s="1882"/>
      <c r="BH302" s="1882"/>
      <c r="BI302" s="1882"/>
      <c r="BJ302" s="1882"/>
      <c r="BK302" s="1882"/>
      <c r="BL302" s="1882"/>
      <c r="BM302" s="1882"/>
      <c r="BN302" s="1882"/>
      <c r="BO302" s="1882"/>
      <c r="BP302" s="520">
        <v>200</v>
      </c>
      <c r="BQ302" s="693">
        <v>186</v>
      </c>
      <c r="BR302" s="1882" t="s">
        <v>2459</v>
      </c>
      <c r="BS302" s="1882" t="s">
        <v>8513</v>
      </c>
      <c r="BT302" s="1882">
        <v>0</v>
      </c>
      <c r="BU302" s="1882" t="s">
        <v>8513</v>
      </c>
      <c r="BV302" s="1882">
        <v>0</v>
      </c>
      <c r="BW302" s="1882">
        <v>239</v>
      </c>
      <c r="BX302" s="1882" t="s">
        <v>2460</v>
      </c>
      <c r="BY302" s="1882">
        <v>0</v>
      </c>
      <c r="BZ302" s="1882">
        <v>0</v>
      </c>
      <c r="CA302" s="1882">
        <v>0</v>
      </c>
      <c r="CB302" s="1882">
        <v>0</v>
      </c>
      <c r="CC302" s="1882">
        <v>157</v>
      </c>
      <c r="CD302" s="1882" t="s">
        <v>2459</v>
      </c>
      <c r="CE302" s="1882">
        <v>0</v>
      </c>
      <c r="CF302" s="1882">
        <v>0</v>
      </c>
      <c r="CG302" s="1882">
        <v>0</v>
      </c>
      <c r="CH302" s="1882">
        <v>0</v>
      </c>
      <c r="CI302" s="1882" t="s">
        <v>8513</v>
      </c>
      <c r="CJ302" s="1882" t="s">
        <v>8513</v>
      </c>
      <c r="CK302" s="1882" t="s">
        <v>8513</v>
      </c>
      <c r="CL302" s="1882">
        <v>0</v>
      </c>
      <c r="CM302" s="1882" t="s">
        <v>8513</v>
      </c>
      <c r="CN302" s="1882">
        <v>0</v>
      </c>
      <c r="CP302" s="1882" t="s">
        <v>10250</v>
      </c>
    </row>
    <row r="303" spans="1:94">
      <c r="A303" s="1882" t="s">
        <v>8365</v>
      </c>
      <c r="B303" s="1882" t="s">
        <v>10251</v>
      </c>
      <c r="C303" s="1882" t="s">
        <v>8352</v>
      </c>
      <c r="D303" s="1882" t="s">
        <v>1627</v>
      </c>
      <c r="E303" s="1882" t="s">
        <v>8720</v>
      </c>
      <c r="F303" s="1882" t="s">
        <v>10164</v>
      </c>
      <c r="G303" s="1882" t="s">
        <v>8769</v>
      </c>
      <c r="H303" s="1882" t="s">
        <v>10252</v>
      </c>
      <c r="I303" s="1882" t="s">
        <v>10253</v>
      </c>
      <c r="J303" s="1882" t="s">
        <v>8508</v>
      </c>
      <c r="K303" s="1882" t="s">
        <v>8509</v>
      </c>
      <c r="L303" s="1882" t="s">
        <v>2459</v>
      </c>
      <c r="M303" s="1882"/>
      <c r="N303" s="1882" t="s">
        <v>8681</v>
      </c>
      <c r="O303" s="1882" t="s">
        <v>764</v>
      </c>
      <c r="P303" s="1882" t="s">
        <v>9180</v>
      </c>
      <c r="Q303" s="520">
        <v>3</v>
      </c>
      <c r="R303" s="1882" t="s">
        <v>8511</v>
      </c>
      <c r="S303" s="1882"/>
      <c r="T303" s="1882">
        <v>217</v>
      </c>
      <c r="U303" s="1882">
        <v>215</v>
      </c>
      <c r="V303" s="1882">
        <v>209</v>
      </c>
      <c r="W303" s="1882">
        <v>208</v>
      </c>
      <c r="X303" s="1882">
        <v>212</v>
      </c>
      <c r="Y303" s="1882"/>
      <c r="Z303" s="1882"/>
      <c r="AA303" s="1882"/>
      <c r="AB303" s="1882"/>
      <c r="AC303" s="1882"/>
      <c r="AD303" s="1882"/>
      <c r="AE303" s="1882"/>
      <c r="AF303" s="1882"/>
      <c r="AG303" s="1882"/>
      <c r="AH303" s="1882">
        <v>0</v>
      </c>
      <c r="AI303" s="1882" t="s">
        <v>2459</v>
      </c>
      <c r="AJ303" s="1882" t="s">
        <v>2459</v>
      </c>
      <c r="AK303" s="1882" t="s">
        <v>2459</v>
      </c>
      <c r="AL303" s="1882" t="s">
        <v>2459</v>
      </c>
      <c r="AM303" s="1882" t="s">
        <v>2459</v>
      </c>
      <c r="AN303" s="1882">
        <v>999999</v>
      </c>
      <c r="AO303" s="1882">
        <v>999999</v>
      </c>
      <c r="AP303" s="1882">
        <v>999999</v>
      </c>
      <c r="AQ303" s="1882">
        <v>999999</v>
      </c>
      <c r="AR303" s="1882">
        <v>999999</v>
      </c>
      <c r="AS303" s="1882">
        <v>217</v>
      </c>
      <c r="AT303" s="1882">
        <v>215</v>
      </c>
      <c r="AU303" s="1882">
        <v>209</v>
      </c>
      <c r="AV303" s="1882">
        <v>208</v>
      </c>
      <c r="AW303" s="1882">
        <v>212</v>
      </c>
      <c r="AX303" s="1882">
        <v>217</v>
      </c>
      <c r="AY303" s="1882">
        <v>215</v>
      </c>
      <c r="AZ303" s="1882">
        <v>209</v>
      </c>
      <c r="BA303" s="1882">
        <v>208</v>
      </c>
      <c r="BB303" s="1882">
        <v>212</v>
      </c>
      <c r="BC303" s="1882">
        <v>0</v>
      </c>
      <c r="BD303" s="1882">
        <v>0</v>
      </c>
      <c r="BE303" s="1882">
        <v>0</v>
      </c>
      <c r="BF303" s="1882">
        <v>0</v>
      </c>
      <c r="BG303" s="1882">
        <v>0</v>
      </c>
      <c r="BH303" s="1882">
        <v>1.4630000000000001E-2</v>
      </c>
      <c r="BI303" s="1882"/>
      <c r="BJ303" s="1882"/>
      <c r="BK303" s="1882"/>
      <c r="BL303" s="1882">
        <v>1.4630000000000001E-2</v>
      </c>
      <c r="BM303" s="1882"/>
      <c r="BN303" s="1882">
        <v>1</v>
      </c>
      <c r="BO303" s="1882" t="s">
        <v>8512</v>
      </c>
      <c r="BP303" s="520">
        <v>227</v>
      </c>
      <c r="BQ303" s="704">
        <v>204</v>
      </c>
      <c r="BR303" s="1882" t="s">
        <v>2459</v>
      </c>
      <c r="BS303" s="1882" t="s">
        <v>8376</v>
      </c>
      <c r="BT303" s="1882">
        <v>0.15267868000000001</v>
      </c>
      <c r="BU303" s="1882" t="s">
        <v>8513</v>
      </c>
      <c r="BV303" s="1882">
        <v>0</v>
      </c>
      <c r="BW303" s="1882">
        <v>207</v>
      </c>
      <c r="BX303" s="1882" t="s">
        <v>2459</v>
      </c>
      <c r="BY303" s="1882" t="s">
        <v>8376</v>
      </c>
      <c r="BZ303" s="1882">
        <v>0.16250999999999999</v>
      </c>
      <c r="CA303" s="1882">
        <v>0</v>
      </c>
      <c r="CB303" s="1882">
        <v>0</v>
      </c>
      <c r="CC303" s="1882">
        <v>206</v>
      </c>
      <c r="CD303" s="1882" t="s">
        <v>2459</v>
      </c>
      <c r="CE303" s="1882" t="s">
        <v>8376</v>
      </c>
      <c r="CF303" s="1882">
        <v>4.3889999999999998E-2</v>
      </c>
      <c r="CG303" s="1882">
        <v>0</v>
      </c>
      <c r="CH303" s="1882">
        <v>0</v>
      </c>
      <c r="CI303" s="1882" t="s">
        <v>8513</v>
      </c>
      <c r="CJ303" s="1882" t="s">
        <v>8513</v>
      </c>
      <c r="CK303" s="1882" t="s">
        <v>8513</v>
      </c>
      <c r="CL303" s="1882">
        <v>0</v>
      </c>
      <c r="CM303" s="1882" t="s">
        <v>8513</v>
      </c>
      <c r="CN303" s="1882">
        <v>0</v>
      </c>
      <c r="CP303" s="1882" t="s">
        <v>10254</v>
      </c>
    </row>
    <row r="304" spans="1:94">
      <c r="A304" s="1882" t="s">
        <v>8365</v>
      </c>
      <c r="B304" s="1882" t="s">
        <v>10255</v>
      </c>
      <c r="C304" s="1882" t="s">
        <v>8352</v>
      </c>
      <c r="D304" s="1882" t="s">
        <v>1627</v>
      </c>
      <c r="E304" s="1882" t="s">
        <v>8720</v>
      </c>
      <c r="F304" s="1882" t="s">
        <v>10169</v>
      </c>
      <c r="G304" s="1882" t="s">
        <v>8779</v>
      </c>
      <c r="H304" s="1882" t="s">
        <v>10256</v>
      </c>
      <c r="I304" s="1882" t="s">
        <v>10257</v>
      </c>
      <c r="J304" s="1882" t="s">
        <v>8539</v>
      </c>
      <c r="K304" s="1882"/>
      <c r="L304" s="1882"/>
      <c r="M304" s="1882"/>
      <c r="N304" s="1882" t="s">
        <v>9592</v>
      </c>
      <c r="O304" s="1882" t="s">
        <v>764</v>
      </c>
      <c r="P304" s="1882" t="s">
        <v>10172</v>
      </c>
      <c r="Q304" s="520">
        <v>0</v>
      </c>
      <c r="R304" s="1882"/>
      <c r="S304" s="1882">
        <v>75000</v>
      </c>
      <c r="T304" s="1882">
        <v>155000</v>
      </c>
      <c r="U304" s="1882">
        <v>160000</v>
      </c>
      <c r="V304" s="1882">
        <v>140000</v>
      </c>
      <c r="W304" s="1882">
        <v>120000</v>
      </c>
      <c r="X304" s="1882">
        <v>125000</v>
      </c>
      <c r="Y304" s="1882"/>
      <c r="Z304" s="1882"/>
      <c r="AA304" s="1882"/>
      <c r="AB304" s="1882"/>
      <c r="AC304" s="1882"/>
      <c r="AD304" s="1882"/>
      <c r="AE304" s="1882"/>
      <c r="AF304" s="1882"/>
      <c r="AG304" s="1882"/>
      <c r="AH304" s="1882">
        <v>0</v>
      </c>
      <c r="AI304" s="1882"/>
      <c r="AJ304" s="1882"/>
      <c r="AK304" s="1882"/>
      <c r="AL304" s="1882"/>
      <c r="AM304" s="1882"/>
      <c r="AN304" s="1882"/>
      <c r="AO304" s="1882"/>
      <c r="AP304" s="1882"/>
      <c r="AQ304" s="1882"/>
      <c r="AR304" s="1882"/>
      <c r="AS304" s="1882"/>
      <c r="AT304" s="1882"/>
      <c r="AU304" s="1882"/>
      <c r="AV304" s="1882"/>
      <c r="AW304" s="1882"/>
      <c r="AX304" s="1882"/>
      <c r="AY304" s="1882"/>
      <c r="AZ304" s="1882"/>
      <c r="BA304" s="1882"/>
      <c r="BB304" s="1882"/>
      <c r="BC304" s="1882"/>
      <c r="BD304" s="1882"/>
      <c r="BE304" s="1882"/>
      <c r="BF304" s="1882"/>
      <c r="BG304" s="1882"/>
      <c r="BH304" s="1882"/>
      <c r="BI304" s="1882"/>
      <c r="BJ304" s="1882"/>
      <c r="BK304" s="1882"/>
      <c r="BL304" s="1882"/>
      <c r="BM304" s="1882"/>
      <c r="BN304" s="1882"/>
      <c r="BO304" s="1882"/>
      <c r="BP304" s="520">
        <v>52127</v>
      </c>
      <c r="BQ304" s="693">
        <v>117728</v>
      </c>
      <c r="BR304" s="1882" t="s">
        <v>2460</v>
      </c>
      <c r="BS304" s="1882" t="s">
        <v>8513</v>
      </c>
      <c r="BT304" s="1882">
        <v>0</v>
      </c>
      <c r="BU304" s="1882" t="s">
        <v>8513</v>
      </c>
      <c r="BV304" s="1882">
        <v>0</v>
      </c>
      <c r="BW304" s="1882">
        <v>167024</v>
      </c>
      <c r="BX304" s="1882" t="s">
        <v>2459</v>
      </c>
      <c r="BY304" s="1882">
        <v>0</v>
      </c>
      <c r="BZ304" s="1882">
        <v>0</v>
      </c>
      <c r="CA304" s="1882">
        <v>0</v>
      </c>
      <c r="CB304" s="1882">
        <v>0</v>
      </c>
      <c r="CC304" s="1882">
        <v>200536</v>
      </c>
      <c r="CD304" s="1882" t="s">
        <v>2459</v>
      </c>
      <c r="CE304" s="1882">
        <v>0</v>
      </c>
      <c r="CF304" s="1882">
        <v>0</v>
      </c>
      <c r="CG304" s="1882">
        <v>0</v>
      </c>
      <c r="CH304" s="1882">
        <v>0</v>
      </c>
      <c r="CI304" s="1882" t="s">
        <v>8513</v>
      </c>
      <c r="CJ304" s="1882" t="s">
        <v>8513</v>
      </c>
      <c r="CK304" s="1882" t="s">
        <v>8513</v>
      </c>
      <c r="CL304" s="1882">
        <v>0</v>
      </c>
      <c r="CM304" s="1882" t="s">
        <v>8513</v>
      </c>
      <c r="CN304" s="1882">
        <v>0</v>
      </c>
      <c r="CP304" s="1882" t="s">
        <v>10258</v>
      </c>
    </row>
    <row r="305" spans="1:94">
      <c r="A305" s="1882" t="s">
        <v>8365</v>
      </c>
      <c r="B305" s="1882" t="s">
        <v>10259</v>
      </c>
      <c r="C305" s="1882" t="s">
        <v>8352</v>
      </c>
      <c r="D305" s="1882" t="s">
        <v>8584</v>
      </c>
      <c r="E305" s="1882" t="s">
        <v>8585</v>
      </c>
      <c r="F305" s="1882" t="s">
        <v>10260</v>
      </c>
      <c r="G305" s="1882" t="s">
        <v>8587</v>
      </c>
      <c r="H305" s="1882" t="s">
        <v>10261</v>
      </c>
      <c r="I305" s="1882" t="s">
        <v>10262</v>
      </c>
      <c r="J305" s="1882" t="s">
        <v>8539</v>
      </c>
      <c r="K305" s="1882"/>
      <c r="L305" s="1882"/>
      <c r="M305" s="1882"/>
      <c r="N305" s="1882" t="s">
        <v>8695</v>
      </c>
      <c r="O305" s="1882" t="s">
        <v>8797</v>
      </c>
      <c r="P305" s="1882" t="s">
        <v>10263</v>
      </c>
      <c r="Q305" s="520" t="s">
        <v>8512</v>
      </c>
      <c r="R305" s="1882" t="s">
        <v>8549</v>
      </c>
      <c r="S305" s="1882" t="s">
        <v>10264</v>
      </c>
      <c r="T305" s="1882" t="s">
        <v>10264</v>
      </c>
      <c r="U305" s="1882" t="s">
        <v>10264</v>
      </c>
      <c r="V305" s="1882" t="s">
        <v>9441</v>
      </c>
      <c r="W305" s="1882" t="s">
        <v>9441</v>
      </c>
      <c r="X305" s="1882" t="s">
        <v>9441</v>
      </c>
      <c r="Y305" s="1882"/>
      <c r="Z305" s="1882"/>
      <c r="AA305" s="1882"/>
      <c r="AB305" s="1882"/>
      <c r="AC305" s="1882"/>
      <c r="AD305" s="1882"/>
      <c r="AE305" s="1882"/>
      <c r="AF305" s="1882"/>
      <c r="AG305" s="1882"/>
      <c r="AH305" s="1882">
        <v>0</v>
      </c>
      <c r="AI305" s="1882"/>
      <c r="AJ305" s="1882"/>
      <c r="AK305" s="1882"/>
      <c r="AL305" s="1882"/>
      <c r="AM305" s="1882"/>
      <c r="AN305" s="1882"/>
      <c r="AO305" s="1882"/>
      <c r="AP305" s="1882"/>
      <c r="AQ305" s="1882"/>
      <c r="AR305" s="1882"/>
      <c r="AS305" s="1882"/>
      <c r="AT305" s="1882"/>
      <c r="AU305" s="1882"/>
      <c r="AV305" s="1882"/>
      <c r="AW305" s="1882"/>
      <c r="AX305" s="1882"/>
      <c r="AY305" s="1882"/>
      <c r="AZ305" s="1882"/>
      <c r="BA305" s="1882"/>
      <c r="BB305" s="1882"/>
      <c r="BC305" s="1882"/>
      <c r="BD305" s="1882"/>
      <c r="BE305" s="1882"/>
      <c r="BF305" s="1882"/>
      <c r="BG305" s="1882"/>
      <c r="BH305" s="1882"/>
      <c r="BI305" s="1882"/>
      <c r="BJ305" s="1882"/>
      <c r="BK305" s="1882"/>
      <c r="BL305" s="1882"/>
      <c r="BM305" s="1882"/>
      <c r="BN305" s="1882"/>
      <c r="BO305" s="1882"/>
      <c r="BP305" s="520" t="s">
        <v>10264</v>
      </c>
      <c r="BQ305" s="692" t="s">
        <v>10264</v>
      </c>
      <c r="BR305" s="1882" t="s">
        <v>2459</v>
      </c>
      <c r="BS305" s="1882" t="s">
        <v>8513</v>
      </c>
      <c r="BT305" s="1882">
        <v>0</v>
      </c>
      <c r="BU305" s="1882" t="s">
        <v>8513</v>
      </c>
      <c r="BV305" s="1882">
        <v>0</v>
      </c>
      <c r="BW305" s="1882" t="s">
        <v>10264</v>
      </c>
      <c r="BX305" s="1882" t="s">
        <v>2459</v>
      </c>
      <c r="BY305" s="1882">
        <v>0</v>
      </c>
      <c r="BZ305" s="1882">
        <v>0</v>
      </c>
      <c r="CA305" s="1882">
        <v>0</v>
      </c>
      <c r="CB305" s="1882">
        <v>0</v>
      </c>
      <c r="CC305" s="1882" t="s">
        <v>10265</v>
      </c>
      <c r="CD305" s="1882" t="s">
        <v>2459</v>
      </c>
      <c r="CE305" s="1882">
        <v>0</v>
      </c>
      <c r="CF305" s="1882">
        <v>0</v>
      </c>
      <c r="CG305" s="1882">
        <v>0</v>
      </c>
      <c r="CH305" s="1882">
        <v>0</v>
      </c>
      <c r="CI305" s="1882" t="s">
        <v>8513</v>
      </c>
      <c r="CJ305" s="1882" t="s">
        <v>8513</v>
      </c>
      <c r="CK305" s="1882" t="s">
        <v>8513</v>
      </c>
      <c r="CL305" s="1882">
        <v>0</v>
      </c>
      <c r="CM305" s="1882" t="s">
        <v>8513</v>
      </c>
      <c r="CN305" s="1882">
        <v>0</v>
      </c>
      <c r="CP305" s="1882" t="s">
        <v>10266</v>
      </c>
    </row>
    <row r="306" spans="1:94">
      <c r="A306" s="1882" t="s">
        <v>8365</v>
      </c>
      <c r="B306" s="1882" t="s">
        <v>10267</v>
      </c>
      <c r="C306" s="1882" t="s">
        <v>8352</v>
      </c>
      <c r="D306" s="1882" t="s">
        <v>8584</v>
      </c>
      <c r="E306" s="1882" t="s">
        <v>8585</v>
      </c>
      <c r="F306" s="1882" t="s">
        <v>10260</v>
      </c>
      <c r="G306" s="1882" t="s">
        <v>8596</v>
      </c>
      <c r="H306" s="1882" t="s">
        <v>10268</v>
      </c>
      <c r="I306" s="1882" t="s">
        <v>10269</v>
      </c>
      <c r="J306" s="1882" t="s">
        <v>8508</v>
      </c>
      <c r="K306" s="1882" t="s">
        <v>8509</v>
      </c>
      <c r="L306" s="1882"/>
      <c r="M306" s="1882" t="s">
        <v>2460</v>
      </c>
      <c r="N306" s="1882" t="s">
        <v>8590</v>
      </c>
      <c r="O306" s="1882" t="s">
        <v>8797</v>
      </c>
      <c r="P306" s="1882" t="s">
        <v>8951</v>
      </c>
      <c r="Q306" s="520" t="s">
        <v>8512</v>
      </c>
      <c r="R306" s="1882" t="s">
        <v>8549</v>
      </c>
      <c r="S306" s="1882" t="s">
        <v>10264</v>
      </c>
      <c r="T306" s="1882" t="s">
        <v>9441</v>
      </c>
      <c r="U306" s="1882" t="s">
        <v>9441</v>
      </c>
      <c r="V306" s="1882" t="s">
        <v>9441</v>
      </c>
      <c r="W306" s="1882" t="s">
        <v>9441</v>
      </c>
      <c r="X306" s="1882" t="s">
        <v>9441</v>
      </c>
      <c r="Y306" s="1882"/>
      <c r="Z306" s="1882"/>
      <c r="AA306" s="1882"/>
      <c r="AB306" s="1882"/>
      <c r="AC306" s="1882"/>
      <c r="AD306" s="1882"/>
      <c r="AE306" s="1882"/>
      <c r="AF306" s="1882"/>
      <c r="AG306" s="1882"/>
      <c r="AH306" s="1882">
        <v>0</v>
      </c>
      <c r="AI306" s="1882" t="s">
        <v>2459</v>
      </c>
      <c r="AJ306" s="1882" t="s">
        <v>2459</v>
      </c>
      <c r="AK306" s="1882" t="s">
        <v>2459</v>
      </c>
      <c r="AL306" s="1882" t="s">
        <v>2459</v>
      </c>
      <c r="AM306" s="1882" t="s">
        <v>2459</v>
      </c>
      <c r="AN306" s="1882" t="s">
        <v>8593</v>
      </c>
      <c r="AO306" s="1882" t="s">
        <v>8593</v>
      </c>
      <c r="AP306" s="1882" t="s">
        <v>8593</v>
      </c>
      <c r="AQ306" s="1882" t="s">
        <v>8593</v>
      </c>
      <c r="AR306" s="1882" t="s">
        <v>8593</v>
      </c>
      <c r="AS306" s="1882" t="s">
        <v>8593</v>
      </c>
      <c r="AT306" s="1882" t="s">
        <v>8593</v>
      </c>
      <c r="AU306" s="1882" t="s">
        <v>8593</v>
      </c>
      <c r="AV306" s="1882" t="s">
        <v>8593</v>
      </c>
      <c r="AW306" s="1882" t="s">
        <v>8593</v>
      </c>
      <c r="AX306" s="1882" t="s">
        <v>8593</v>
      </c>
      <c r="AY306" s="1882" t="s">
        <v>8593</v>
      </c>
      <c r="AZ306" s="1882" t="s">
        <v>8593</v>
      </c>
      <c r="BA306" s="1882" t="s">
        <v>8593</v>
      </c>
      <c r="BB306" s="1882" t="s">
        <v>8593</v>
      </c>
      <c r="BC306" s="1882" t="s">
        <v>8593</v>
      </c>
      <c r="BD306" s="1882" t="s">
        <v>8593</v>
      </c>
      <c r="BE306" s="1882" t="s">
        <v>8593</v>
      </c>
      <c r="BF306" s="1882" t="s">
        <v>8593</v>
      </c>
      <c r="BG306" s="1882" t="s">
        <v>8593</v>
      </c>
      <c r="BH306" s="1882" t="s">
        <v>8593</v>
      </c>
      <c r="BI306" s="1882"/>
      <c r="BJ306" s="1882"/>
      <c r="BK306" s="1882"/>
      <c r="BL306" s="1882" t="s">
        <v>8593</v>
      </c>
      <c r="BM306" s="1882"/>
      <c r="BN306" s="1882">
        <v>1</v>
      </c>
      <c r="BO306" s="1882" t="s">
        <v>8512</v>
      </c>
      <c r="BP306" s="520" t="s">
        <v>8401</v>
      </c>
      <c r="BQ306" s="692">
        <v>83.7</v>
      </c>
      <c r="BR306" s="1882" t="s">
        <v>2460</v>
      </c>
      <c r="BS306" s="1882" t="s">
        <v>8513</v>
      </c>
      <c r="BT306" s="1882">
        <v>0</v>
      </c>
      <c r="BU306" s="1882" t="s">
        <v>8513</v>
      </c>
      <c r="BV306" s="1882">
        <v>0</v>
      </c>
      <c r="BW306" s="1882">
        <v>83.61</v>
      </c>
      <c r="BX306" s="1882" t="s">
        <v>2460</v>
      </c>
      <c r="BY306" s="1882">
        <v>0</v>
      </c>
      <c r="BZ306" s="1882">
        <v>0</v>
      </c>
      <c r="CA306" s="1882">
        <v>0</v>
      </c>
      <c r="CB306" s="1882">
        <v>0</v>
      </c>
      <c r="CC306" s="1882">
        <v>83.2</v>
      </c>
      <c r="CD306" s="1882" t="s">
        <v>2460</v>
      </c>
      <c r="CE306" s="1882">
        <v>0</v>
      </c>
      <c r="CF306" s="1882">
        <v>0</v>
      </c>
      <c r="CG306" s="1882">
        <v>0</v>
      </c>
      <c r="CH306" s="1882">
        <v>0</v>
      </c>
      <c r="CI306" s="1882" t="s">
        <v>8513</v>
      </c>
      <c r="CJ306" s="1882" t="s">
        <v>8513</v>
      </c>
      <c r="CK306" s="1882" t="s">
        <v>8513</v>
      </c>
      <c r="CL306" s="1882">
        <v>0</v>
      </c>
      <c r="CM306" s="1882" t="s">
        <v>8513</v>
      </c>
      <c r="CN306" s="1882">
        <v>0</v>
      </c>
      <c r="CP306" s="1882" t="s">
        <v>10270</v>
      </c>
    </row>
    <row r="307" spans="1:94">
      <c r="A307" s="1882" t="s">
        <v>8365</v>
      </c>
      <c r="B307" s="1882" t="s">
        <v>10271</v>
      </c>
      <c r="C307" s="1882" t="s">
        <v>8352</v>
      </c>
      <c r="D307" s="1882" t="s">
        <v>8584</v>
      </c>
      <c r="E307" s="1882" t="s">
        <v>8585</v>
      </c>
      <c r="F307" s="1882" t="s">
        <v>10272</v>
      </c>
      <c r="G307" s="1882" t="s">
        <v>8822</v>
      </c>
      <c r="H307" s="1882" t="s">
        <v>10273</v>
      </c>
      <c r="I307" s="1882" t="s">
        <v>10274</v>
      </c>
      <c r="J307" s="1882" t="s">
        <v>8539</v>
      </c>
      <c r="K307" s="1882"/>
      <c r="L307" s="1882"/>
      <c r="M307" s="1882"/>
      <c r="N307" s="1882" t="s">
        <v>8599</v>
      </c>
      <c r="O307" s="1882" t="s">
        <v>764</v>
      </c>
      <c r="P307" s="1882" t="s">
        <v>10017</v>
      </c>
      <c r="Q307" s="520">
        <v>0</v>
      </c>
      <c r="R307" s="1882" t="s">
        <v>8549</v>
      </c>
      <c r="S307" s="1882">
        <v>11500</v>
      </c>
      <c r="T307" s="1882">
        <v>35000</v>
      </c>
      <c r="U307" s="1882">
        <v>50000</v>
      </c>
      <c r="V307" s="1882">
        <v>50000</v>
      </c>
      <c r="W307" s="1882">
        <v>50000</v>
      </c>
      <c r="X307" s="1882">
        <v>50000</v>
      </c>
      <c r="Y307" s="1882"/>
      <c r="Z307" s="1882"/>
      <c r="AA307" s="1882"/>
      <c r="AB307" s="1882"/>
      <c r="AC307" s="1882"/>
      <c r="AD307" s="1882"/>
      <c r="AE307" s="1882"/>
      <c r="AF307" s="1882"/>
      <c r="AG307" s="1882"/>
      <c r="AH307" s="1882">
        <v>0</v>
      </c>
      <c r="AI307" s="1882"/>
      <c r="AJ307" s="1882"/>
      <c r="AK307" s="1882"/>
      <c r="AL307" s="1882"/>
      <c r="AM307" s="1882"/>
      <c r="AN307" s="1882"/>
      <c r="AO307" s="1882"/>
      <c r="AP307" s="1882"/>
      <c r="AQ307" s="1882"/>
      <c r="AR307" s="1882"/>
      <c r="AS307" s="1882"/>
      <c r="AT307" s="1882"/>
      <c r="AU307" s="1882"/>
      <c r="AV307" s="1882"/>
      <c r="AW307" s="1882"/>
      <c r="AX307" s="1882"/>
      <c r="AY307" s="1882"/>
      <c r="AZ307" s="1882"/>
      <c r="BA307" s="1882"/>
      <c r="BB307" s="1882"/>
      <c r="BC307" s="1882"/>
      <c r="BD307" s="1882"/>
      <c r="BE307" s="1882"/>
      <c r="BF307" s="1882"/>
      <c r="BG307" s="1882"/>
      <c r="BH307" s="1882"/>
      <c r="BI307" s="1882"/>
      <c r="BJ307" s="1882"/>
      <c r="BK307" s="1882"/>
      <c r="BL307" s="1882"/>
      <c r="BM307" s="1882"/>
      <c r="BN307" s="1882"/>
      <c r="BO307" s="1882"/>
      <c r="BP307" s="520" t="s">
        <v>8401</v>
      </c>
      <c r="BQ307" s="693">
        <v>24110</v>
      </c>
      <c r="BR307" s="1882" t="s">
        <v>2460</v>
      </c>
      <c r="BS307" s="1882" t="s">
        <v>8513</v>
      </c>
      <c r="BT307" s="1882">
        <v>0</v>
      </c>
      <c r="BU307" s="1882" t="s">
        <v>8513</v>
      </c>
      <c r="BV307" s="1882">
        <v>0</v>
      </c>
      <c r="BW307" s="1882">
        <v>50903</v>
      </c>
      <c r="BX307" s="1882" t="s">
        <v>2459</v>
      </c>
      <c r="BY307" s="1882">
        <v>0</v>
      </c>
      <c r="BZ307" s="1882">
        <v>0</v>
      </c>
      <c r="CA307" s="1882">
        <v>0</v>
      </c>
      <c r="CB307" s="1882">
        <v>0</v>
      </c>
      <c r="CC307" s="1882">
        <v>51652</v>
      </c>
      <c r="CD307" s="1882" t="s">
        <v>2459</v>
      </c>
      <c r="CE307" s="1882">
        <v>0</v>
      </c>
      <c r="CF307" s="1882">
        <v>0</v>
      </c>
      <c r="CG307" s="1882">
        <v>0</v>
      </c>
      <c r="CH307" s="1882">
        <v>0</v>
      </c>
      <c r="CI307" s="1882" t="s">
        <v>8513</v>
      </c>
      <c r="CJ307" s="1882" t="s">
        <v>8513</v>
      </c>
      <c r="CK307" s="1882" t="s">
        <v>8513</v>
      </c>
      <c r="CL307" s="1882">
        <v>0</v>
      </c>
      <c r="CM307" s="1882" t="s">
        <v>8513</v>
      </c>
      <c r="CN307" s="1882">
        <v>0</v>
      </c>
      <c r="CP307" s="1882" t="s">
        <v>10275</v>
      </c>
    </row>
    <row r="308" spans="1:94">
      <c r="A308" s="1882" t="s">
        <v>8365</v>
      </c>
      <c r="B308" s="1882" t="s">
        <v>10276</v>
      </c>
      <c r="C308" s="1882" t="s">
        <v>8352</v>
      </c>
      <c r="D308" s="1882" t="s">
        <v>8584</v>
      </c>
      <c r="E308" s="1882" t="s">
        <v>8585</v>
      </c>
      <c r="F308" s="1882" t="s">
        <v>10272</v>
      </c>
      <c r="G308" s="1882" t="s">
        <v>8827</v>
      </c>
      <c r="H308" s="1882" t="s">
        <v>10277</v>
      </c>
      <c r="I308" s="1882" t="s">
        <v>10278</v>
      </c>
      <c r="J308" s="1882" t="s">
        <v>8539</v>
      </c>
      <c r="K308" s="1882"/>
      <c r="L308" s="1882"/>
      <c r="M308" s="1882"/>
      <c r="N308" s="1882" t="s">
        <v>8599</v>
      </c>
      <c r="O308" s="1882" t="s">
        <v>732</v>
      </c>
      <c r="P308" s="1882" t="s">
        <v>10279</v>
      </c>
      <c r="Q308" s="520">
        <v>2</v>
      </c>
      <c r="R308" s="1882" t="s">
        <v>8511</v>
      </c>
      <c r="S308" s="1882">
        <v>2.69</v>
      </c>
      <c r="T308" s="1882">
        <v>2.7</v>
      </c>
      <c r="U308" s="1882">
        <v>2.7</v>
      </c>
      <c r="V308" s="1882">
        <v>2.7</v>
      </c>
      <c r="W308" s="1882">
        <v>2.7</v>
      </c>
      <c r="X308" s="1882">
        <v>2.7</v>
      </c>
      <c r="Y308" s="1882"/>
      <c r="Z308" s="1882"/>
      <c r="AA308" s="1882"/>
      <c r="AB308" s="1882"/>
      <c r="AC308" s="1882"/>
      <c r="AD308" s="1882"/>
      <c r="AE308" s="1882"/>
      <c r="AF308" s="1882"/>
      <c r="AG308" s="1882"/>
      <c r="AH308" s="1882">
        <v>0</v>
      </c>
      <c r="AI308" s="1882"/>
      <c r="AJ308" s="1882"/>
      <c r="AK308" s="1882"/>
      <c r="AL308" s="1882"/>
      <c r="AM308" s="1882"/>
      <c r="AN308" s="1882"/>
      <c r="AO308" s="1882"/>
      <c r="AP308" s="1882"/>
      <c r="AQ308" s="1882"/>
      <c r="AR308" s="1882"/>
      <c r="AS308" s="1882"/>
      <c r="AT308" s="1882"/>
      <c r="AU308" s="1882"/>
      <c r="AV308" s="1882"/>
      <c r="AW308" s="1882"/>
      <c r="AX308" s="1882"/>
      <c r="AY308" s="1882"/>
      <c r="AZ308" s="1882"/>
      <c r="BA308" s="1882"/>
      <c r="BB308" s="1882"/>
      <c r="BC308" s="1882"/>
      <c r="BD308" s="1882"/>
      <c r="BE308" s="1882"/>
      <c r="BF308" s="1882"/>
      <c r="BG308" s="1882"/>
      <c r="BH308" s="1882"/>
      <c r="BI308" s="1882"/>
      <c r="BJ308" s="1882"/>
      <c r="BK308" s="1882"/>
      <c r="BL308" s="1882"/>
      <c r="BM308" s="1882"/>
      <c r="BN308" s="1882"/>
      <c r="BO308" s="1882"/>
      <c r="BP308" s="520">
        <v>2.2000000000000002</v>
      </c>
      <c r="BQ308" s="694">
        <v>1.8</v>
      </c>
      <c r="BR308" s="1882" t="s">
        <v>2459</v>
      </c>
      <c r="BS308" s="1882" t="s">
        <v>8513</v>
      </c>
      <c r="BT308" s="1882">
        <v>0</v>
      </c>
      <c r="BU308" s="1882" t="s">
        <v>8513</v>
      </c>
      <c r="BV308" s="1882">
        <v>0</v>
      </c>
      <c r="BW308" s="1882">
        <v>1.8</v>
      </c>
      <c r="BX308" s="1882" t="s">
        <v>2459</v>
      </c>
      <c r="BY308" s="1882">
        <v>0</v>
      </c>
      <c r="BZ308" s="1882">
        <v>0</v>
      </c>
      <c r="CA308" s="1882">
        <v>0</v>
      </c>
      <c r="CB308" s="1882">
        <v>0</v>
      </c>
      <c r="CC308" s="1882">
        <v>2.2000000000000002</v>
      </c>
      <c r="CD308" s="1882" t="s">
        <v>2459</v>
      </c>
      <c r="CE308" s="1882">
        <v>0</v>
      </c>
      <c r="CF308" s="1882">
        <v>0</v>
      </c>
      <c r="CG308" s="1882">
        <v>0</v>
      </c>
      <c r="CH308" s="1882">
        <v>0</v>
      </c>
      <c r="CI308" s="1882" t="s">
        <v>8513</v>
      </c>
      <c r="CJ308" s="1882" t="s">
        <v>8513</v>
      </c>
      <c r="CK308" s="1882" t="s">
        <v>8513</v>
      </c>
      <c r="CL308" s="1882">
        <v>0</v>
      </c>
      <c r="CM308" s="1882" t="s">
        <v>8513</v>
      </c>
      <c r="CN308" s="1882">
        <v>0</v>
      </c>
      <c r="CP308" s="1882" t="s">
        <v>10280</v>
      </c>
    </row>
    <row r="309" spans="1:94">
      <c r="A309" s="1882" t="s">
        <v>8371</v>
      </c>
      <c r="B309" s="1882" t="s">
        <v>10281</v>
      </c>
      <c r="C309" s="1882" t="s">
        <v>8352</v>
      </c>
      <c r="D309" s="1882" t="s">
        <v>1626</v>
      </c>
      <c r="E309" s="1882" t="s">
        <v>8503</v>
      </c>
      <c r="F309" s="1882" t="s">
        <v>10282</v>
      </c>
      <c r="G309" s="1882" t="s">
        <v>8505</v>
      </c>
      <c r="H309" s="1882" t="s">
        <v>10283</v>
      </c>
      <c r="I309" s="1882" t="s">
        <v>10284</v>
      </c>
      <c r="J309" s="1882" t="s">
        <v>8519</v>
      </c>
      <c r="K309" s="1882" t="s">
        <v>8509</v>
      </c>
      <c r="L309" s="1882" t="s">
        <v>2459</v>
      </c>
      <c r="M309" s="1882"/>
      <c r="N309" s="1882" t="s">
        <v>8547</v>
      </c>
      <c r="O309" s="1882" t="s">
        <v>732</v>
      </c>
      <c r="P309" s="1882" t="s">
        <v>8548</v>
      </c>
      <c r="Q309" s="520">
        <v>2</v>
      </c>
      <c r="R309" s="1882" t="s">
        <v>8549</v>
      </c>
      <c r="S309" s="1882">
        <v>99.98</v>
      </c>
      <c r="T309" s="1882">
        <v>99.98</v>
      </c>
      <c r="U309" s="1882">
        <v>99.98</v>
      </c>
      <c r="V309" s="1882">
        <v>99.98</v>
      </c>
      <c r="W309" s="1882">
        <v>99.98</v>
      </c>
      <c r="X309" s="1882">
        <v>99.98</v>
      </c>
      <c r="Y309" s="1882" t="s">
        <v>2459</v>
      </c>
      <c r="Z309" s="1882"/>
      <c r="AA309" s="1882"/>
      <c r="AB309" s="1882"/>
      <c r="AC309" s="1882"/>
      <c r="AD309" s="1882"/>
      <c r="AE309" s="1882" t="s">
        <v>2459</v>
      </c>
      <c r="AF309" s="1882"/>
      <c r="AG309" s="1882"/>
      <c r="AH309" s="1882">
        <v>0</v>
      </c>
      <c r="AI309" s="1882" t="s">
        <v>2459</v>
      </c>
      <c r="AJ309" s="1882" t="s">
        <v>2459</v>
      </c>
      <c r="AK309" s="1882" t="s">
        <v>2459</v>
      </c>
      <c r="AL309" s="1882" t="s">
        <v>2459</v>
      </c>
      <c r="AM309" s="1882" t="s">
        <v>2459</v>
      </c>
      <c r="AN309" s="1882">
        <v>90</v>
      </c>
      <c r="AO309" s="1882">
        <v>90</v>
      </c>
      <c r="AP309" s="1882">
        <v>90</v>
      </c>
      <c r="AQ309" s="1882">
        <v>90</v>
      </c>
      <c r="AR309" s="1882">
        <v>90</v>
      </c>
      <c r="AS309" s="1882">
        <v>99.9</v>
      </c>
      <c r="AT309" s="1882">
        <v>99.9</v>
      </c>
      <c r="AU309" s="1882">
        <v>99.9</v>
      </c>
      <c r="AV309" s="1882">
        <v>99.9</v>
      </c>
      <c r="AW309" s="1882">
        <v>99.9</v>
      </c>
      <c r="AX309" s="1882"/>
      <c r="AY309" s="1882"/>
      <c r="AZ309" s="1882"/>
      <c r="BA309" s="1882"/>
      <c r="BB309" s="1882"/>
      <c r="BC309" s="1882"/>
      <c r="BD309" s="1882"/>
      <c r="BE309" s="1882"/>
      <c r="BF309" s="1882"/>
      <c r="BG309" s="1882"/>
      <c r="BH309" s="1882">
        <v>0.05</v>
      </c>
      <c r="BI309" s="1882"/>
      <c r="BJ309" s="1882"/>
      <c r="BK309" s="1882"/>
      <c r="BL309" s="1882"/>
      <c r="BM309" s="1882"/>
      <c r="BN309" s="1882">
        <v>1</v>
      </c>
      <c r="BO309" s="1882" t="s">
        <v>8512</v>
      </c>
      <c r="BP309" s="520">
        <v>99.96</v>
      </c>
      <c r="BQ309" s="694">
        <v>99.97</v>
      </c>
      <c r="BR309" s="1882" t="s">
        <v>2460</v>
      </c>
      <c r="BS309" s="1882" t="s">
        <v>8429</v>
      </c>
      <c r="BT309" s="1882">
        <v>0</v>
      </c>
      <c r="BU309" s="1882" t="s">
        <v>8513</v>
      </c>
      <c r="BV309" s="1882">
        <v>0</v>
      </c>
      <c r="BW309" s="1882">
        <v>99.96</v>
      </c>
      <c r="BX309" s="1882" t="s">
        <v>2460</v>
      </c>
      <c r="BY309" s="1882" t="s">
        <v>8429</v>
      </c>
      <c r="BZ309" s="1882">
        <v>0</v>
      </c>
      <c r="CA309" s="1882">
        <v>0</v>
      </c>
      <c r="CB309" s="1882">
        <v>0</v>
      </c>
      <c r="CC309" s="1882">
        <v>99.96</v>
      </c>
      <c r="CD309" s="1882" t="s">
        <v>2460</v>
      </c>
      <c r="CE309" s="1882" t="s">
        <v>8388</v>
      </c>
      <c r="CF309" s="1882">
        <v>0</v>
      </c>
      <c r="CG309" s="1882">
        <v>0</v>
      </c>
      <c r="CH309" s="1882">
        <v>0</v>
      </c>
      <c r="CI309" s="1882">
        <v>99.99</v>
      </c>
      <c r="CJ309" s="1882" t="s">
        <v>2459</v>
      </c>
      <c r="CK309" s="1882">
        <v>0</v>
      </c>
      <c r="CL309" s="1882">
        <v>0</v>
      </c>
      <c r="CM309" s="1882">
        <v>0</v>
      </c>
      <c r="CN309" s="1882">
        <v>0</v>
      </c>
      <c r="CP309" s="1882" t="s">
        <v>10285</v>
      </c>
    </row>
    <row r="310" spans="1:94">
      <c r="A310" s="1882" t="s">
        <v>8371</v>
      </c>
      <c r="B310" s="1882" t="s">
        <v>10286</v>
      </c>
      <c r="C310" s="1882" t="s">
        <v>8352</v>
      </c>
      <c r="D310" s="1882" t="s">
        <v>1626</v>
      </c>
      <c r="E310" s="1882" t="s">
        <v>8503</v>
      </c>
      <c r="F310" s="1882" t="s">
        <v>10282</v>
      </c>
      <c r="G310" s="1882" t="s">
        <v>8516</v>
      </c>
      <c r="H310" s="1882" t="s">
        <v>10287</v>
      </c>
      <c r="I310" s="1882" t="s">
        <v>10288</v>
      </c>
      <c r="J310" s="1882" t="s">
        <v>8508</v>
      </c>
      <c r="K310" s="1882" t="s">
        <v>8509</v>
      </c>
      <c r="L310" s="1882" t="s">
        <v>2459</v>
      </c>
      <c r="M310" s="1882" t="s">
        <v>2460</v>
      </c>
      <c r="N310" s="1882" t="s">
        <v>8463</v>
      </c>
      <c r="O310" s="1882" t="s">
        <v>764</v>
      </c>
      <c r="P310" s="1882" t="s">
        <v>9967</v>
      </c>
      <c r="Q310" s="520">
        <v>2</v>
      </c>
      <c r="R310" s="1882" t="s">
        <v>8511</v>
      </c>
      <c r="S310" s="1882">
        <v>4.5</v>
      </c>
      <c r="T310" s="1882">
        <v>4.2</v>
      </c>
      <c r="U310" s="1882">
        <v>3.9</v>
      </c>
      <c r="V310" s="1882">
        <v>3.6</v>
      </c>
      <c r="W310" s="1882">
        <v>3.3</v>
      </c>
      <c r="X310" s="1882">
        <v>3</v>
      </c>
      <c r="Y310" s="1882"/>
      <c r="Z310" s="1882" t="s">
        <v>2459</v>
      </c>
      <c r="AA310" s="1882"/>
      <c r="AB310" s="1882"/>
      <c r="AC310" s="1882"/>
      <c r="AD310" s="1882"/>
      <c r="AE310" s="1882" t="s">
        <v>2459</v>
      </c>
      <c r="AF310" s="1882"/>
      <c r="AG310" s="1882"/>
      <c r="AH310" s="1882">
        <v>0</v>
      </c>
      <c r="AI310" s="1882" t="s">
        <v>2459</v>
      </c>
      <c r="AJ310" s="1882" t="s">
        <v>2459</v>
      </c>
      <c r="AK310" s="1882" t="s">
        <v>2459</v>
      </c>
      <c r="AL310" s="1882" t="s">
        <v>2459</v>
      </c>
      <c r="AM310" s="1882" t="s">
        <v>2459</v>
      </c>
      <c r="AN310" s="1882">
        <v>8</v>
      </c>
      <c r="AO310" s="1882">
        <v>8</v>
      </c>
      <c r="AP310" s="1882">
        <v>8</v>
      </c>
      <c r="AQ310" s="1882">
        <v>8</v>
      </c>
      <c r="AR310" s="1882">
        <v>8</v>
      </c>
      <c r="AS310" s="1882">
        <v>4.2</v>
      </c>
      <c r="AT310" s="1882">
        <v>3.9</v>
      </c>
      <c r="AU310" s="1882">
        <v>3.6</v>
      </c>
      <c r="AV310" s="1882">
        <v>3.3</v>
      </c>
      <c r="AW310" s="1882">
        <v>3</v>
      </c>
      <c r="AX310" s="1882">
        <v>2.02</v>
      </c>
      <c r="AY310" s="1882">
        <v>2.02</v>
      </c>
      <c r="AZ310" s="1882">
        <v>2.02</v>
      </c>
      <c r="BA310" s="1882">
        <v>2.02</v>
      </c>
      <c r="BB310" s="1882">
        <v>2.02</v>
      </c>
      <c r="BC310" s="1882">
        <v>1.5</v>
      </c>
      <c r="BD310" s="1882">
        <v>1.5</v>
      </c>
      <c r="BE310" s="1882">
        <v>1.5</v>
      </c>
      <c r="BF310" s="1882">
        <v>1.5</v>
      </c>
      <c r="BG310" s="1882">
        <v>1.5</v>
      </c>
      <c r="BH310" s="1882">
        <v>0.65700000000000003</v>
      </c>
      <c r="BI310" s="1882">
        <v>0.879</v>
      </c>
      <c r="BJ310" s="1882"/>
      <c r="BK310" s="1882"/>
      <c r="BL310" s="1882">
        <v>0.94399999999999995</v>
      </c>
      <c r="BM310" s="1882"/>
      <c r="BN310" s="1882">
        <v>1</v>
      </c>
      <c r="BO310" s="1882" t="s">
        <v>8512</v>
      </c>
      <c r="BP310" s="520">
        <v>3.42</v>
      </c>
      <c r="BQ310" s="694">
        <v>2.92</v>
      </c>
      <c r="BR310" s="1882" t="s">
        <v>2459</v>
      </c>
      <c r="BS310" s="1882" t="s">
        <v>8380</v>
      </c>
      <c r="BT310" s="1882">
        <v>0</v>
      </c>
      <c r="BU310" s="1882" t="s">
        <v>8513</v>
      </c>
      <c r="BV310" s="1882">
        <v>0</v>
      </c>
      <c r="BW310" s="1882">
        <v>2.7</v>
      </c>
      <c r="BX310" s="1882" t="s">
        <v>2459</v>
      </c>
      <c r="BY310" s="1882" t="s">
        <v>8380</v>
      </c>
      <c r="BZ310" s="1882">
        <v>0</v>
      </c>
      <c r="CA310" s="1882">
        <v>0</v>
      </c>
      <c r="CB310" s="1882">
        <v>0</v>
      </c>
      <c r="CC310" s="1882">
        <v>2.2000000000000002</v>
      </c>
      <c r="CD310" s="1882" t="s">
        <v>2459</v>
      </c>
      <c r="CE310" s="1882" t="s">
        <v>8380</v>
      </c>
      <c r="CF310" s="1882">
        <v>0</v>
      </c>
      <c r="CG310" s="1882">
        <v>0</v>
      </c>
      <c r="CH310" s="1882">
        <v>0</v>
      </c>
      <c r="CI310" s="1882">
        <v>2.13</v>
      </c>
      <c r="CJ310" s="1882" t="s">
        <v>2459</v>
      </c>
      <c r="CK310" s="1882" t="s">
        <v>8380</v>
      </c>
      <c r="CL310" s="1882">
        <v>0</v>
      </c>
      <c r="CM310" s="1882">
        <v>0</v>
      </c>
      <c r="CN310" s="1882">
        <v>0</v>
      </c>
      <c r="CP310" s="1882" t="s">
        <v>10289</v>
      </c>
    </row>
    <row r="311" spans="1:94">
      <c r="A311" s="1882" t="s">
        <v>8371</v>
      </c>
      <c r="B311" s="1882" t="s">
        <v>10290</v>
      </c>
      <c r="C311" s="1882" t="s">
        <v>8352</v>
      </c>
      <c r="D311" s="1882" t="s">
        <v>1626</v>
      </c>
      <c r="E311" s="1882" t="s">
        <v>8503</v>
      </c>
      <c r="F311" s="1882" t="s">
        <v>10282</v>
      </c>
      <c r="G311" s="1882" t="s">
        <v>8524</v>
      </c>
      <c r="H311" s="1882" t="s">
        <v>10291</v>
      </c>
      <c r="I311" s="1882" t="s">
        <v>10292</v>
      </c>
      <c r="J311" s="1882" t="s">
        <v>8519</v>
      </c>
      <c r="K311" s="1882" t="s">
        <v>8855</v>
      </c>
      <c r="L311" s="1882"/>
      <c r="M311" s="1882" t="s">
        <v>2460</v>
      </c>
      <c r="N311" s="1882" t="s">
        <v>8569</v>
      </c>
      <c r="O311" s="1882" t="s">
        <v>8704</v>
      </c>
      <c r="P311" s="1882" t="s">
        <v>8856</v>
      </c>
      <c r="Q311" s="520" t="s">
        <v>8512</v>
      </c>
      <c r="R311" s="1882"/>
      <c r="S311" s="1882" t="s">
        <v>8706</v>
      </c>
      <c r="T311" s="1882" t="s">
        <v>8706</v>
      </c>
      <c r="U311" s="1882" t="s">
        <v>8706</v>
      </c>
      <c r="V311" s="1882" t="s">
        <v>8706</v>
      </c>
      <c r="W311" s="1882" t="s">
        <v>8706</v>
      </c>
      <c r="X311" s="1882" t="s">
        <v>8706</v>
      </c>
      <c r="Y311" s="1882"/>
      <c r="Z311" s="1882"/>
      <c r="AA311" s="1882"/>
      <c r="AB311" s="1882"/>
      <c r="AC311" s="1882"/>
      <c r="AD311" s="1882"/>
      <c r="AE311" s="1882" t="s">
        <v>2459</v>
      </c>
      <c r="AF311" s="1882"/>
      <c r="AG311" s="1882"/>
      <c r="AH311" s="1882">
        <v>6</v>
      </c>
      <c r="AI311" s="1882" t="s">
        <v>2459</v>
      </c>
      <c r="AJ311" s="1882" t="s">
        <v>2459</v>
      </c>
      <c r="AK311" s="1882" t="s">
        <v>2459</v>
      </c>
      <c r="AL311" s="1882" t="s">
        <v>2459</v>
      </c>
      <c r="AM311" s="1882" t="s">
        <v>2459</v>
      </c>
      <c r="AN311" s="1882" t="s">
        <v>8857</v>
      </c>
      <c r="AO311" s="1882" t="s">
        <v>8857</v>
      </c>
      <c r="AP311" s="1882" t="s">
        <v>8857</v>
      </c>
      <c r="AQ311" s="1882" t="s">
        <v>8857</v>
      </c>
      <c r="AR311" s="1882" t="s">
        <v>8857</v>
      </c>
      <c r="AS311" s="1882" t="s">
        <v>8858</v>
      </c>
      <c r="AT311" s="1882" t="s">
        <v>8858</v>
      </c>
      <c r="AU311" s="1882" t="s">
        <v>8858</v>
      </c>
      <c r="AV311" s="1882" t="s">
        <v>8858</v>
      </c>
      <c r="AW311" s="1882" t="s">
        <v>8858</v>
      </c>
      <c r="AX311" s="1882"/>
      <c r="AY311" s="1882"/>
      <c r="AZ311" s="1882"/>
      <c r="BA311" s="1882"/>
      <c r="BB311" s="1882"/>
      <c r="BC311" s="1882"/>
      <c r="BD311" s="1882"/>
      <c r="BE311" s="1882"/>
      <c r="BF311" s="1882"/>
      <c r="BG311" s="1882"/>
      <c r="BH311" s="1882">
        <v>0.45800000000000002</v>
      </c>
      <c r="BI311" s="1882"/>
      <c r="BJ311" s="1882"/>
      <c r="BK311" s="1882"/>
      <c r="BL311" s="1882"/>
      <c r="BM311" s="1882"/>
      <c r="BN311" s="1882">
        <v>1</v>
      </c>
      <c r="BO311" s="1882" t="s">
        <v>8512</v>
      </c>
      <c r="BP311" s="520" t="s">
        <v>8706</v>
      </c>
      <c r="BQ311" s="705" t="s">
        <v>8706</v>
      </c>
      <c r="BR311" s="1882" t="s">
        <v>2459</v>
      </c>
      <c r="BS311" s="1882" t="s">
        <v>8513</v>
      </c>
      <c r="BT311" s="1882">
        <v>0</v>
      </c>
      <c r="BU311" s="1882" t="s">
        <v>8513</v>
      </c>
      <c r="BV311" s="1882">
        <v>0</v>
      </c>
      <c r="BW311" s="1882" t="s">
        <v>8706</v>
      </c>
      <c r="BX311" s="1882" t="s">
        <v>2459</v>
      </c>
      <c r="BY311" s="1882">
        <v>0</v>
      </c>
      <c r="BZ311" s="1882">
        <v>0</v>
      </c>
      <c r="CA311" s="1882">
        <v>0</v>
      </c>
      <c r="CB311" s="1882">
        <v>0</v>
      </c>
      <c r="CC311" s="1882" t="s">
        <v>8706</v>
      </c>
      <c r="CD311" s="1882" t="s">
        <v>2459</v>
      </c>
      <c r="CE311" s="1882">
        <v>0</v>
      </c>
      <c r="CF311" s="1882">
        <v>0</v>
      </c>
      <c r="CG311" s="1882">
        <v>0</v>
      </c>
      <c r="CH311" s="1882">
        <v>0</v>
      </c>
      <c r="CI311" s="1882" t="s">
        <v>8706</v>
      </c>
      <c r="CJ311" s="1882" t="s">
        <v>2459</v>
      </c>
      <c r="CK311" s="1882">
        <v>0</v>
      </c>
      <c r="CL311" s="1882">
        <v>0</v>
      </c>
      <c r="CM311" s="1882">
        <v>0</v>
      </c>
      <c r="CN311" s="1882">
        <v>0</v>
      </c>
      <c r="CP311" s="1882" t="s">
        <v>10293</v>
      </c>
    </row>
    <row r="312" spans="1:94">
      <c r="A312" s="1882" t="s">
        <v>8371</v>
      </c>
      <c r="B312" s="1882" t="s">
        <v>10294</v>
      </c>
      <c r="C312" s="1882" t="s">
        <v>8352</v>
      </c>
      <c r="D312" s="1882" t="s">
        <v>1626</v>
      </c>
      <c r="E312" s="1882" t="s">
        <v>8503</v>
      </c>
      <c r="F312" s="1882" t="s">
        <v>10282</v>
      </c>
      <c r="G312" s="1882" t="s">
        <v>8530</v>
      </c>
      <c r="H312" s="1882" t="s">
        <v>10295</v>
      </c>
      <c r="I312" s="1882" t="s">
        <v>10296</v>
      </c>
      <c r="J312" s="1882" t="s">
        <v>8519</v>
      </c>
      <c r="K312" s="1882" t="s">
        <v>8855</v>
      </c>
      <c r="L312" s="1882"/>
      <c r="M312" s="1882" t="s">
        <v>2460</v>
      </c>
      <c r="N312" s="1882" t="s">
        <v>8569</v>
      </c>
      <c r="O312" s="1882" t="s">
        <v>8704</v>
      </c>
      <c r="P312" s="1882" t="s">
        <v>8856</v>
      </c>
      <c r="Q312" s="520" t="s">
        <v>8512</v>
      </c>
      <c r="R312" s="1882"/>
      <c r="S312" s="1882" t="s">
        <v>8706</v>
      </c>
      <c r="T312" s="1882" t="s">
        <v>8706</v>
      </c>
      <c r="U312" s="1882" t="s">
        <v>8706</v>
      </c>
      <c r="V312" s="1882" t="s">
        <v>8706</v>
      </c>
      <c r="W312" s="1882" t="s">
        <v>8706</v>
      </c>
      <c r="X312" s="1882" t="s">
        <v>8706</v>
      </c>
      <c r="Y312" s="1882"/>
      <c r="Z312" s="1882"/>
      <c r="AA312" s="1882"/>
      <c r="AB312" s="1882"/>
      <c r="AC312" s="1882"/>
      <c r="AD312" s="1882"/>
      <c r="AE312" s="1882" t="s">
        <v>2459</v>
      </c>
      <c r="AF312" s="1882"/>
      <c r="AG312" s="1882"/>
      <c r="AH312" s="1882">
        <v>5</v>
      </c>
      <c r="AI312" s="1882" t="s">
        <v>2459</v>
      </c>
      <c r="AJ312" s="1882" t="s">
        <v>2459</v>
      </c>
      <c r="AK312" s="1882" t="s">
        <v>2459</v>
      </c>
      <c r="AL312" s="1882" t="s">
        <v>2459</v>
      </c>
      <c r="AM312" s="1882" t="s">
        <v>2459</v>
      </c>
      <c r="AN312" s="1882" t="s">
        <v>8857</v>
      </c>
      <c r="AO312" s="1882" t="s">
        <v>8857</v>
      </c>
      <c r="AP312" s="1882" t="s">
        <v>8857</v>
      </c>
      <c r="AQ312" s="1882" t="s">
        <v>8857</v>
      </c>
      <c r="AR312" s="1882" t="s">
        <v>8857</v>
      </c>
      <c r="AS312" s="1882" t="s">
        <v>8858</v>
      </c>
      <c r="AT312" s="1882" t="s">
        <v>8858</v>
      </c>
      <c r="AU312" s="1882" t="s">
        <v>8858</v>
      </c>
      <c r="AV312" s="1882" t="s">
        <v>8858</v>
      </c>
      <c r="AW312" s="1882" t="s">
        <v>8858</v>
      </c>
      <c r="AX312" s="1882"/>
      <c r="AY312" s="1882"/>
      <c r="AZ312" s="1882"/>
      <c r="BA312" s="1882"/>
      <c r="BB312" s="1882"/>
      <c r="BC312" s="1882"/>
      <c r="BD312" s="1882"/>
      <c r="BE312" s="1882"/>
      <c r="BF312" s="1882"/>
      <c r="BG312" s="1882"/>
      <c r="BH312" s="1882">
        <v>1.2689999999999999</v>
      </c>
      <c r="BI312" s="1882"/>
      <c r="BJ312" s="1882"/>
      <c r="BK312" s="1882"/>
      <c r="BL312" s="1882"/>
      <c r="BM312" s="1882"/>
      <c r="BN312" s="1882">
        <v>1</v>
      </c>
      <c r="BO312" s="1882" t="s">
        <v>8512</v>
      </c>
      <c r="BP312" s="520" t="s">
        <v>8706</v>
      </c>
      <c r="BQ312" s="705" t="s">
        <v>8706</v>
      </c>
      <c r="BR312" s="1882" t="s">
        <v>2459</v>
      </c>
      <c r="BS312" s="1882" t="s">
        <v>8513</v>
      </c>
      <c r="BT312" s="1882">
        <v>0</v>
      </c>
      <c r="BU312" s="1882" t="s">
        <v>8513</v>
      </c>
      <c r="BV312" s="1882">
        <v>0</v>
      </c>
      <c r="BW312" s="1882" t="s">
        <v>8706</v>
      </c>
      <c r="BX312" s="1882" t="s">
        <v>2459</v>
      </c>
      <c r="BY312" s="1882">
        <v>0</v>
      </c>
      <c r="BZ312" s="1882">
        <v>0</v>
      </c>
      <c r="CA312" s="1882">
        <v>0</v>
      </c>
      <c r="CB312" s="1882">
        <v>0</v>
      </c>
      <c r="CC312" s="1882" t="s">
        <v>8706</v>
      </c>
      <c r="CD312" s="1882" t="s">
        <v>2459</v>
      </c>
      <c r="CE312" s="1882">
        <v>0</v>
      </c>
      <c r="CF312" s="1882">
        <v>0</v>
      </c>
      <c r="CG312" s="1882">
        <v>0</v>
      </c>
      <c r="CH312" s="1882">
        <v>0</v>
      </c>
      <c r="CI312" s="1882" t="s">
        <v>8706</v>
      </c>
      <c r="CJ312" s="1882" t="s">
        <v>2459</v>
      </c>
      <c r="CK312" s="1882">
        <v>0</v>
      </c>
      <c r="CL312" s="1882">
        <v>0</v>
      </c>
      <c r="CM312" s="1882">
        <v>0</v>
      </c>
      <c r="CN312" s="1882">
        <v>0</v>
      </c>
      <c r="CP312" s="1882" t="s">
        <v>10297</v>
      </c>
    </row>
    <row r="313" spans="1:94">
      <c r="A313" s="1882" t="s">
        <v>8371</v>
      </c>
      <c r="B313" s="1882" t="s">
        <v>10298</v>
      </c>
      <c r="C313" s="1882" t="s">
        <v>8352</v>
      </c>
      <c r="D313" s="1882" t="s">
        <v>1626</v>
      </c>
      <c r="E313" s="1882" t="s">
        <v>8503</v>
      </c>
      <c r="F313" s="1882" t="s">
        <v>10282</v>
      </c>
      <c r="G313" s="1882" t="s">
        <v>8536</v>
      </c>
      <c r="H313" s="1882" t="s">
        <v>10299</v>
      </c>
      <c r="I313" s="1882" t="s">
        <v>10300</v>
      </c>
      <c r="J313" s="1882" t="s">
        <v>8508</v>
      </c>
      <c r="K313" s="1882" t="s">
        <v>8855</v>
      </c>
      <c r="L313" s="1882"/>
      <c r="M313" s="1882" t="s">
        <v>2460</v>
      </c>
      <c r="N313" s="1882" t="s">
        <v>2450</v>
      </c>
      <c r="O313" s="1882" t="s">
        <v>8607</v>
      </c>
      <c r="P313" s="1882" t="s">
        <v>9006</v>
      </c>
      <c r="Q313" s="520">
        <v>3</v>
      </c>
      <c r="R313" s="1882" t="s">
        <v>8511</v>
      </c>
      <c r="S313" s="1882">
        <v>0.27</v>
      </c>
      <c r="T313" s="1882">
        <v>0.25600000000000001</v>
      </c>
      <c r="U313" s="1882">
        <v>0.24199999999999999</v>
      </c>
      <c r="V313" s="1882">
        <v>0.22800000000000001</v>
      </c>
      <c r="W313" s="1882">
        <v>0.214</v>
      </c>
      <c r="X313" s="1882">
        <v>0.2</v>
      </c>
      <c r="Y313" s="1882"/>
      <c r="Z313" s="1882"/>
      <c r="AA313" s="1882" t="s">
        <v>2459</v>
      </c>
      <c r="AB313" s="1882"/>
      <c r="AC313" s="1882"/>
      <c r="AD313" s="1882"/>
      <c r="AE313" s="1882" t="s">
        <v>2459</v>
      </c>
      <c r="AF313" s="1882"/>
      <c r="AG313" s="1882"/>
      <c r="AH313" s="1882">
        <v>0</v>
      </c>
      <c r="AI313" s="1882" t="s">
        <v>2459</v>
      </c>
      <c r="AJ313" s="1882" t="s">
        <v>2459</v>
      </c>
      <c r="AK313" s="1882" t="s">
        <v>2459</v>
      </c>
      <c r="AL313" s="1882" t="s">
        <v>2459</v>
      </c>
      <c r="AM313" s="1882" t="s">
        <v>2459</v>
      </c>
      <c r="AN313" s="1882">
        <v>0.8</v>
      </c>
      <c r="AO313" s="1882">
        <v>0.8</v>
      </c>
      <c r="AP313" s="1882">
        <v>0.8</v>
      </c>
      <c r="AQ313" s="1882">
        <v>0.8</v>
      </c>
      <c r="AR313" s="1882">
        <v>0.8</v>
      </c>
      <c r="AS313" s="1882">
        <v>0.25600000000000001</v>
      </c>
      <c r="AT313" s="1882">
        <v>0.24199999999999999</v>
      </c>
      <c r="AU313" s="1882">
        <v>0.22800000000000001</v>
      </c>
      <c r="AV313" s="1882">
        <v>0.214</v>
      </c>
      <c r="AW313" s="1882">
        <v>0.2</v>
      </c>
      <c r="AX313" s="1882">
        <v>0.25600000000000001</v>
      </c>
      <c r="AY313" s="1882">
        <v>0.24199999999999999</v>
      </c>
      <c r="AZ313" s="1882">
        <v>0.22800000000000001</v>
      </c>
      <c r="BA313" s="1882">
        <v>0.214</v>
      </c>
      <c r="BB313" s="1882">
        <v>0.2</v>
      </c>
      <c r="BC313" s="1882">
        <v>0.1</v>
      </c>
      <c r="BD313" s="1882">
        <v>0.1</v>
      </c>
      <c r="BE313" s="1882">
        <v>0.1</v>
      </c>
      <c r="BF313" s="1882">
        <v>0.1</v>
      </c>
      <c r="BG313" s="1882">
        <v>0.1</v>
      </c>
      <c r="BH313" s="1882">
        <v>5.5529999999999999</v>
      </c>
      <c r="BI313" s="1882">
        <v>8.2240000000000002</v>
      </c>
      <c r="BJ313" s="1882"/>
      <c r="BK313" s="1882"/>
      <c r="BL313" s="1882">
        <v>6.5030000000000001</v>
      </c>
      <c r="BM313" s="1882"/>
      <c r="BN313" s="1882">
        <v>1</v>
      </c>
      <c r="BO313" s="1882" t="s">
        <v>8512</v>
      </c>
      <c r="BP313" s="520">
        <v>0.38100000000000001</v>
      </c>
      <c r="BQ313" s="704">
        <v>0.41899999999999998</v>
      </c>
      <c r="BR313" s="1882" t="s">
        <v>2460</v>
      </c>
      <c r="BS313" s="1882" t="s">
        <v>8513</v>
      </c>
      <c r="BT313" s="1882">
        <v>0</v>
      </c>
      <c r="BU313" s="1882" t="s">
        <v>8563</v>
      </c>
      <c r="BV313" s="1882">
        <v>-0.94253299999999995</v>
      </c>
      <c r="BW313" s="1882">
        <v>0.221</v>
      </c>
      <c r="BX313" s="1882" t="s">
        <v>2459</v>
      </c>
      <c r="BY313" s="1882">
        <v>0</v>
      </c>
      <c r="BZ313" s="1882">
        <v>0</v>
      </c>
      <c r="CA313" s="1882" t="s">
        <v>8376</v>
      </c>
      <c r="CB313" s="1882">
        <v>0.1366</v>
      </c>
      <c r="CC313" s="1882">
        <v>0.54400000000000004</v>
      </c>
      <c r="CD313" s="1882" t="s">
        <v>2460</v>
      </c>
      <c r="CE313" s="1882">
        <v>0</v>
      </c>
      <c r="CF313" s="1882">
        <v>0</v>
      </c>
      <c r="CG313" s="1882" t="s">
        <v>8384</v>
      </c>
      <c r="CH313" s="1882">
        <v>-1.8669</v>
      </c>
      <c r="CI313" s="1882">
        <v>0.161</v>
      </c>
      <c r="CJ313" s="1882" t="s">
        <v>2459</v>
      </c>
      <c r="CK313" s="1882">
        <v>0</v>
      </c>
      <c r="CL313" s="1882">
        <v>0</v>
      </c>
      <c r="CM313" s="1882" t="s">
        <v>8376</v>
      </c>
      <c r="CN313" s="1882">
        <v>0.34470000000000001</v>
      </c>
      <c r="CP313" s="1882" t="s">
        <v>10301</v>
      </c>
    </row>
    <row r="314" spans="1:94">
      <c r="A314" s="1882" t="s">
        <v>8371</v>
      </c>
      <c r="B314" s="1882" t="s">
        <v>10302</v>
      </c>
      <c r="C314" s="1882" t="s">
        <v>8352</v>
      </c>
      <c r="D314" s="1882" t="s">
        <v>1626</v>
      </c>
      <c r="E314" s="1882" t="s">
        <v>8503</v>
      </c>
      <c r="F314" s="1882" t="s">
        <v>10303</v>
      </c>
      <c r="G314" s="1882" t="s">
        <v>8544</v>
      </c>
      <c r="H314" s="1882" t="s">
        <v>10304</v>
      </c>
      <c r="I314" s="1882" t="s">
        <v>10305</v>
      </c>
      <c r="J314" s="1882" t="s">
        <v>8508</v>
      </c>
      <c r="K314" s="1882" t="s">
        <v>8509</v>
      </c>
      <c r="L314" s="1882" t="s">
        <v>2459</v>
      </c>
      <c r="M314" s="1882" t="s">
        <v>2460</v>
      </c>
      <c r="N314" s="1882" t="s">
        <v>8635</v>
      </c>
      <c r="O314" s="1882" t="s">
        <v>764</v>
      </c>
      <c r="P314" s="1882" t="s">
        <v>10306</v>
      </c>
      <c r="Q314" s="520">
        <v>0</v>
      </c>
      <c r="R314" s="1882" t="s">
        <v>8511</v>
      </c>
      <c r="S314" s="1882">
        <v>0</v>
      </c>
      <c r="T314" s="1882">
        <v>0</v>
      </c>
      <c r="U314" s="1882">
        <v>0</v>
      </c>
      <c r="V314" s="1882">
        <v>0</v>
      </c>
      <c r="W314" s="1882">
        <v>0</v>
      </c>
      <c r="X314" s="1882">
        <v>0</v>
      </c>
      <c r="Y314" s="1882"/>
      <c r="Z314" s="1882"/>
      <c r="AA314" s="1882"/>
      <c r="AB314" s="1882"/>
      <c r="AC314" s="1882"/>
      <c r="AD314" s="1882"/>
      <c r="AE314" s="1882"/>
      <c r="AF314" s="1882"/>
      <c r="AG314" s="1882"/>
      <c r="AH314" s="1882">
        <v>0</v>
      </c>
      <c r="AI314" s="1882" t="s">
        <v>2459</v>
      </c>
      <c r="AJ314" s="1882" t="s">
        <v>2459</v>
      </c>
      <c r="AK314" s="1882" t="s">
        <v>2459</v>
      </c>
      <c r="AL314" s="1882" t="s">
        <v>2459</v>
      </c>
      <c r="AM314" s="1882" t="s">
        <v>2459</v>
      </c>
      <c r="AN314" s="1882"/>
      <c r="AO314" s="1882"/>
      <c r="AP314" s="1882"/>
      <c r="AQ314" s="1882"/>
      <c r="AR314" s="1882">
        <v>2</v>
      </c>
      <c r="AS314" s="1882"/>
      <c r="AT314" s="1882"/>
      <c r="AU314" s="1882"/>
      <c r="AV314" s="1882"/>
      <c r="AW314" s="1882">
        <v>1</v>
      </c>
      <c r="AX314" s="1882">
        <v>0</v>
      </c>
      <c r="AY314" s="1882">
        <v>0</v>
      </c>
      <c r="AZ314" s="1882">
        <v>0</v>
      </c>
      <c r="BA314" s="1882">
        <v>0</v>
      </c>
      <c r="BB314" s="1882">
        <v>0</v>
      </c>
      <c r="BC314" s="1882">
        <v>0</v>
      </c>
      <c r="BD314" s="1882">
        <v>0</v>
      </c>
      <c r="BE314" s="1882">
        <v>0</v>
      </c>
      <c r="BF314" s="1882">
        <v>0</v>
      </c>
      <c r="BG314" s="1882">
        <v>0</v>
      </c>
      <c r="BH314" s="1882">
        <v>3.206</v>
      </c>
      <c r="BI314" s="1882"/>
      <c r="BJ314" s="1882"/>
      <c r="BK314" s="1882"/>
      <c r="BL314" s="1882">
        <v>1.6240000000000001</v>
      </c>
      <c r="BM314" s="1882"/>
      <c r="BN314" s="1882">
        <v>1</v>
      </c>
      <c r="BO314" s="1882" t="s">
        <v>8512</v>
      </c>
      <c r="BP314" s="520">
        <v>0</v>
      </c>
      <c r="BQ314" s="693">
        <v>0</v>
      </c>
      <c r="BR314" s="1882" t="s">
        <v>2459</v>
      </c>
      <c r="BS314" s="1882"/>
      <c r="BT314" s="1882">
        <v>0</v>
      </c>
      <c r="BU314" s="1882" t="s">
        <v>8513</v>
      </c>
      <c r="BV314" s="1882">
        <v>0</v>
      </c>
      <c r="BW314" s="1882">
        <v>0</v>
      </c>
      <c r="BX314" s="1882" t="s">
        <v>2459</v>
      </c>
      <c r="BY314" s="1882">
        <v>0</v>
      </c>
      <c r="BZ314" s="1882">
        <v>0</v>
      </c>
      <c r="CA314" s="1882"/>
      <c r="CB314" s="1882">
        <v>0</v>
      </c>
      <c r="CC314" s="1882">
        <v>0</v>
      </c>
      <c r="CD314" s="1882" t="s">
        <v>2459</v>
      </c>
      <c r="CE314" s="1882">
        <v>0</v>
      </c>
      <c r="CF314" s="1882">
        <v>0</v>
      </c>
      <c r="CH314" s="1882"/>
      <c r="CI314" s="1882">
        <v>0</v>
      </c>
      <c r="CJ314" s="1882" t="s">
        <v>2459</v>
      </c>
      <c r="CK314" s="1882">
        <v>0</v>
      </c>
      <c r="CL314" s="1882">
        <v>0</v>
      </c>
      <c r="CM314" s="1882" t="s">
        <v>8376</v>
      </c>
      <c r="CN314" s="1882">
        <v>1.6240000000000001</v>
      </c>
      <c r="CP314" s="1882" t="s">
        <v>10307</v>
      </c>
    </row>
    <row r="315" spans="1:94">
      <c r="A315" s="1882" t="s">
        <v>8371</v>
      </c>
      <c r="B315" s="1882" t="s">
        <v>10308</v>
      </c>
      <c r="C315" s="1882" t="s">
        <v>8352</v>
      </c>
      <c r="D315" s="1882" t="s">
        <v>1626</v>
      </c>
      <c r="E315" s="1882" t="s">
        <v>8503</v>
      </c>
      <c r="F315" s="1882" t="s">
        <v>10303</v>
      </c>
      <c r="G315" s="1882" t="s">
        <v>8552</v>
      </c>
      <c r="H315" s="1882" t="s">
        <v>10309</v>
      </c>
      <c r="I315" s="1882" t="s">
        <v>10310</v>
      </c>
      <c r="J315" s="1882" t="s">
        <v>8539</v>
      </c>
      <c r="K315" s="1882"/>
      <c r="L315" s="1882"/>
      <c r="M315" s="1882"/>
      <c r="N315" s="1882" t="s">
        <v>4580</v>
      </c>
      <c r="O315" s="1882" t="s">
        <v>8797</v>
      </c>
      <c r="P315" s="1882" t="s">
        <v>10311</v>
      </c>
      <c r="Q315" s="520" t="s">
        <v>8512</v>
      </c>
      <c r="R315" s="1882"/>
      <c r="S315" s="1882" t="s">
        <v>10312</v>
      </c>
      <c r="T315" s="1882"/>
      <c r="U315" s="1882"/>
      <c r="V315" s="1882"/>
      <c r="W315" s="1882"/>
      <c r="X315" s="1882" t="s">
        <v>10313</v>
      </c>
      <c r="Y315" s="1882"/>
      <c r="Z315" s="1882"/>
      <c r="AA315" s="1882"/>
      <c r="AB315" s="1882"/>
      <c r="AC315" s="1882"/>
      <c r="AD315" s="1882"/>
      <c r="AE315" s="1882" t="s">
        <v>2459</v>
      </c>
      <c r="AF315" s="1882"/>
      <c r="AG315" s="1882"/>
      <c r="AH315" s="1882">
        <v>0</v>
      </c>
      <c r="AI315" s="1882"/>
      <c r="AJ315" s="1882"/>
      <c r="AK315" s="1882"/>
      <c r="AL315" s="1882"/>
      <c r="AM315" s="1882"/>
      <c r="AN315" s="1882"/>
      <c r="AO315" s="1882"/>
      <c r="AP315" s="1882"/>
      <c r="AQ315" s="1882"/>
      <c r="AR315" s="1882"/>
      <c r="AS315" s="1882"/>
      <c r="AT315" s="1882"/>
      <c r="AU315" s="1882"/>
      <c r="AV315" s="1882"/>
      <c r="AW315" s="1882"/>
      <c r="AX315" s="1882"/>
      <c r="AY315" s="1882"/>
      <c r="AZ315" s="1882"/>
      <c r="BA315" s="1882"/>
      <c r="BB315" s="1882"/>
      <c r="BC315" s="1882"/>
      <c r="BD315" s="1882"/>
      <c r="BE315" s="1882"/>
      <c r="BF315" s="1882"/>
      <c r="BG315" s="1882"/>
      <c r="BH315" s="1882"/>
      <c r="BI315" s="1882"/>
      <c r="BJ315" s="1882"/>
      <c r="BK315" s="1882"/>
      <c r="BL315" s="1882"/>
      <c r="BM315" s="1882"/>
      <c r="BN315" s="1882"/>
      <c r="BO315" s="1882"/>
      <c r="BP315" s="520" t="s">
        <v>10312</v>
      </c>
      <c r="BQ315" s="692" t="s">
        <v>10312</v>
      </c>
      <c r="BR315" s="1882" t="s">
        <v>8513</v>
      </c>
      <c r="BS315" s="1882" t="s">
        <v>8513</v>
      </c>
      <c r="BT315" s="1882">
        <v>0</v>
      </c>
      <c r="BU315" s="1882" t="s">
        <v>8513</v>
      </c>
      <c r="BV315" s="1882">
        <v>0</v>
      </c>
      <c r="BW315" s="1882" t="s">
        <v>10312</v>
      </c>
      <c r="BX315" s="1882" t="s">
        <v>2451</v>
      </c>
      <c r="BY315" s="1882">
        <v>0</v>
      </c>
      <c r="BZ315" s="1882">
        <v>0</v>
      </c>
      <c r="CA315" s="1882">
        <v>0</v>
      </c>
      <c r="CB315" s="1882">
        <v>0</v>
      </c>
      <c r="CC315" s="1882" t="s">
        <v>10312</v>
      </c>
      <c r="CD315" s="1882" t="s">
        <v>2451</v>
      </c>
      <c r="CE315" s="1882">
        <v>0</v>
      </c>
      <c r="CF315" s="1882">
        <v>0</v>
      </c>
      <c r="CG315" s="1882">
        <v>0</v>
      </c>
      <c r="CH315" s="1882">
        <v>0</v>
      </c>
      <c r="CI315" s="1882" t="s">
        <v>10312</v>
      </c>
      <c r="CJ315" s="1882" t="s">
        <v>2451</v>
      </c>
      <c r="CK315" s="1882">
        <v>0</v>
      </c>
      <c r="CL315" s="1882">
        <v>0</v>
      </c>
      <c r="CM315" s="1882">
        <v>0</v>
      </c>
      <c r="CN315" s="1882">
        <v>0</v>
      </c>
      <c r="CP315" s="1882" t="s">
        <v>10314</v>
      </c>
    </row>
    <row r="316" spans="1:94">
      <c r="A316" s="1882" t="s">
        <v>8371</v>
      </c>
      <c r="B316" s="1882" t="s">
        <v>10315</v>
      </c>
      <c r="C316" s="1882" t="s">
        <v>8352</v>
      </c>
      <c r="D316" s="1882" t="s">
        <v>1626</v>
      </c>
      <c r="E316" s="1882" t="s">
        <v>8503</v>
      </c>
      <c r="F316" s="1882" t="s">
        <v>10303</v>
      </c>
      <c r="G316" s="1882" t="s">
        <v>9085</v>
      </c>
      <c r="H316" s="1882" t="s">
        <v>10316</v>
      </c>
      <c r="I316" s="1882" t="s">
        <v>10317</v>
      </c>
      <c r="J316" s="1882" t="s">
        <v>8508</v>
      </c>
      <c r="K316" s="1882" t="s">
        <v>8509</v>
      </c>
      <c r="L316" s="1882" t="s">
        <v>2459</v>
      </c>
      <c r="M316" s="1882"/>
      <c r="N316" s="1882" t="s">
        <v>2444</v>
      </c>
      <c r="O316" s="1882" t="s">
        <v>764</v>
      </c>
      <c r="P316" s="1882" t="s">
        <v>8510</v>
      </c>
      <c r="Q316" s="520">
        <v>0</v>
      </c>
      <c r="R316" s="1882" t="s">
        <v>8511</v>
      </c>
      <c r="S316" s="1882">
        <v>84</v>
      </c>
      <c r="T316" s="1882">
        <v>84</v>
      </c>
      <c r="U316" s="1882">
        <v>84</v>
      </c>
      <c r="V316" s="1882">
        <v>84</v>
      </c>
      <c r="W316" s="1882">
        <v>84</v>
      </c>
      <c r="X316" s="1882">
        <v>84</v>
      </c>
      <c r="Y316" s="1882"/>
      <c r="Z316" s="1882"/>
      <c r="AA316" s="1882"/>
      <c r="AB316" s="1882"/>
      <c r="AC316" s="1882"/>
      <c r="AD316" s="1882"/>
      <c r="AE316" s="1882" t="s">
        <v>2459</v>
      </c>
      <c r="AF316" s="1882"/>
      <c r="AG316" s="1882"/>
      <c r="AH316" s="1882">
        <v>0</v>
      </c>
      <c r="AI316" s="1882" t="s">
        <v>2459</v>
      </c>
      <c r="AJ316" s="1882" t="s">
        <v>2459</v>
      </c>
      <c r="AK316" s="1882" t="s">
        <v>2459</v>
      </c>
      <c r="AL316" s="1882" t="s">
        <v>2459</v>
      </c>
      <c r="AM316" s="1882" t="s">
        <v>2459</v>
      </c>
      <c r="AN316" s="1882">
        <v>97</v>
      </c>
      <c r="AO316" s="1882">
        <v>97</v>
      </c>
      <c r="AP316" s="1882">
        <v>97</v>
      </c>
      <c r="AQ316" s="1882">
        <v>97</v>
      </c>
      <c r="AR316" s="1882">
        <v>97</v>
      </c>
      <c r="AS316" s="1882">
        <v>84</v>
      </c>
      <c r="AT316" s="1882">
        <v>84</v>
      </c>
      <c r="AU316" s="1882">
        <v>84</v>
      </c>
      <c r="AV316" s="1882">
        <v>84</v>
      </c>
      <c r="AW316" s="1882">
        <v>84</v>
      </c>
      <c r="AX316" s="1882">
        <v>84</v>
      </c>
      <c r="AY316" s="1882">
        <v>84</v>
      </c>
      <c r="AZ316" s="1882">
        <v>84</v>
      </c>
      <c r="BA316" s="1882">
        <v>84</v>
      </c>
      <c r="BB316" s="1882">
        <v>84</v>
      </c>
      <c r="BC316" s="1882">
        <v>64</v>
      </c>
      <c r="BD316" s="1882">
        <v>64</v>
      </c>
      <c r="BE316" s="1882">
        <v>64</v>
      </c>
      <c r="BF316" s="1882">
        <v>64</v>
      </c>
      <c r="BG316" s="1882">
        <v>64</v>
      </c>
      <c r="BH316" s="1882">
        <v>0.57699999999999996</v>
      </c>
      <c r="BI316" s="1882"/>
      <c r="BJ316" s="1882"/>
      <c r="BK316" s="1882"/>
      <c r="BL316" s="1882">
        <v>0.40300000000000002</v>
      </c>
      <c r="BM316" s="1882"/>
      <c r="BN316" s="1882">
        <v>1</v>
      </c>
      <c r="BO316" s="1882" t="s">
        <v>8512</v>
      </c>
      <c r="BP316" s="520">
        <v>84</v>
      </c>
      <c r="BQ316" s="693">
        <v>84</v>
      </c>
      <c r="BR316" s="1882" t="s">
        <v>2459</v>
      </c>
      <c r="BS316" s="1882" t="s">
        <v>8513</v>
      </c>
      <c r="BT316" s="1882">
        <v>0</v>
      </c>
      <c r="BU316" s="1882" t="s">
        <v>8513</v>
      </c>
      <c r="BV316" s="1882">
        <v>0</v>
      </c>
      <c r="BW316" s="1882">
        <v>82</v>
      </c>
      <c r="BX316" s="1882" t="s">
        <v>2459</v>
      </c>
      <c r="BY316" s="1882" t="s">
        <v>8376</v>
      </c>
      <c r="BZ316" s="1882">
        <v>0.80600000000000005</v>
      </c>
      <c r="CA316" s="1882">
        <v>0</v>
      </c>
      <c r="CB316" s="1882">
        <v>0</v>
      </c>
      <c r="CC316" s="1882">
        <v>83</v>
      </c>
      <c r="CD316" s="1882" t="s">
        <v>2459</v>
      </c>
      <c r="CE316" s="1882" t="s">
        <v>8376</v>
      </c>
      <c r="CF316" s="1882">
        <v>0.40300000000000002</v>
      </c>
      <c r="CG316" s="1882">
        <v>0</v>
      </c>
      <c r="CH316" s="1882">
        <v>0</v>
      </c>
      <c r="CI316" s="1882">
        <v>84.49</v>
      </c>
      <c r="CJ316" s="1882" t="s">
        <v>2459</v>
      </c>
      <c r="CK316" s="1882">
        <v>0</v>
      </c>
      <c r="CL316" s="1882">
        <v>0</v>
      </c>
      <c r="CM316" s="1882">
        <v>0</v>
      </c>
      <c r="CN316" s="1882">
        <v>0</v>
      </c>
      <c r="CP316" s="1882" t="s">
        <v>10318</v>
      </c>
    </row>
    <row r="317" spans="1:94">
      <c r="A317" s="1882" t="s">
        <v>8371</v>
      </c>
      <c r="B317" s="1882" t="s">
        <v>10319</v>
      </c>
      <c r="C317" s="1882" t="s">
        <v>8352</v>
      </c>
      <c r="D317" s="1882" t="s">
        <v>1626</v>
      </c>
      <c r="E317" s="1882" t="s">
        <v>8503</v>
      </c>
      <c r="F317" s="1882" t="s">
        <v>10303</v>
      </c>
      <c r="G317" s="1882" t="s">
        <v>10071</v>
      </c>
      <c r="H317" s="1882" t="s">
        <v>10320</v>
      </c>
      <c r="I317" s="1882" t="s">
        <v>10321</v>
      </c>
      <c r="J317" s="1882" t="s">
        <v>8539</v>
      </c>
      <c r="K317" s="1882"/>
      <c r="L317" s="1882"/>
      <c r="M317" s="1882"/>
      <c r="N317" s="1882" t="s">
        <v>2444</v>
      </c>
      <c r="O317" s="1882" t="s">
        <v>764</v>
      </c>
      <c r="P317" s="1882" t="s">
        <v>10322</v>
      </c>
      <c r="Q317" s="520">
        <v>0</v>
      </c>
      <c r="R317" s="1882" t="s">
        <v>8511</v>
      </c>
      <c r="S317" s="1882" t="s">
        <v>10323</v>
      </c>
      <c r="T317" s="1882"/>
      <c r="U317" s="1882"/>
      <c r="V317" s="1882"/>
      <c r="W317" s="1882"/>
      <c r="X317" s="1882" t="s">
        <v>10324</v>
      </c>
      <c r="Y317" s="1882"/>
      <c r="Z317" s="1882"/>
      <c r="AA317" s="1882"/>
      <c r="AB317" s="1882"/>
      <c r="AC317" s="1882"/>
      <c r="AD317" s="1882"/>
      <c r="AE317" s="1882" t="s">
        <v>2459</v>
      </c>
      <c r="AF317" s="1882"/>
      <c r="AG317" s="1882"/>
      <c r="AH317" s="1882">
        <v>0</v>
      </c>
      <c r="AI317" s="1882"/>
      <c r="AJ317" s="1882"/>
      <c r="AK317" s="1882"/>
      <c r="AL317" s="1882"/>
      <c r="AM317" s="1882"/>
      <c r="AN317" s="1882"/>
      <c r="AO317" s="1882"/>
      <c r="AP317" s="1882"/>
      <c r="AQ317" s="1882"/>
      <c r="AR317" s="1882"/>
      <c r="AS317" s="1882"/>
      <c r="AT317" s="1882"/>
      <c r="AU317" s="1882"/>
      <c r="AV317" s="1882"/>
      <c r="AW317" s="1882"/>
      <c r="AX317" s="1882"/>
      <c r="AY317" s="1882"/>
      <c r="AZ317" s="1882"/>
      <c r="BA317" s="1882"/>
      <c r="BB317" s="1882"/>
      <c r="BC317" s="1882"/>
      <c r="BD317" s="1882"/>
      <c r="BE317" s="1882"/>
      <c r="BF317" s="1882"/>
      <c r="BG317" s="1882"/>
      <c r="BH317" s="1882"/>
      <c r="BI317" s="1882"/>
      <c r="BJ317" s="1882"/>
      <c r="BK317" s="1882"/>
      <c r="BL317" s="1882"/>
      <c r="BM317" s="1882"/>
      <c r="BN317" s="1882"/>
      <c r="BO317" s="1882"/>
      <c r="BP317" s="520">
        <v>2.83</v>
      </c>
      <c r="BQ317" s="693">
        <v>2.8</v>
      </c>
      <c r="BR317" s="1882" t="s">
        <v>8513</v>
      </c>
      <c r="BS317" s="1882" t="s">
        <v>8513</v>
      </c>
      <c r="BT317" s="1882">
        <v>0</v>
      </c>
      <c r="BU317" s="1882" t="s">
        <v>8513</v>
      </c>
      <c r="BV317" s="1882">
        <v>0</v>
      </c>
      <c r="BW317" s="1882">
        <v>2.23</v>
      </c>
      <c r="BX317" s="1882" t="s">
        <v>2451</v>
      </c>
      <c r="BY317" s="1882">
        <v>0</v>
      </c>
      <c r="BZ317" s="1882">
        <v>0</v>
      </c>
      <c r="CA317" s="1882">
        <v>0</v>
      </c>
      <c r="CB317" s="1882">
        <v>0</v>
      </c>
      <c r="CC317" s="1882">
        <v>2.93</v>
      </c>
      <c r="CD317" s="1882" t="s">
        <v>2451</v>
      </c>
      <c r="CE317" s="1882">
        <v>0</v>
      </c>
      <c r="CF317" s="1882">
        <v>0</v>
      </c>
      <c r="CG317" s="1882">
        <v>0</v>
      </c>
      <c r="CH317" s="1882">
        <v>0</v>
      </c>
      <c r="CI317" s="1882">
        <v>2.89</v>
      </c>
      <c r="CJ317" s="1882" t="s">
        <v>2451</v>
      </c>
      <c r="CK317" s="1882">
        <v>0</v>
      </c>
      <c r="CL317" s="1882">
        <v>0</v>
      </c>
      <c r="CM317" s="1882">
        <v>0</v>
      </c>
      <c r="CN317" s="1882">
        <v>0</v>
      </c>
      <c r="CP317" s="1882" t="s">
        <v>10325</v>
      </c>
    </row>
    <row r="318" spans="1:94">
      <c r="A318" s="1882" t="s">
        <v>8371</v>
      </c>
      <c r="B318" s="1882" t="s">
        <v>10326</v>
      </c>
      <c r="C318" s="1882" t="s">
        <v>8352</v>
      </c>
      <c r="D318" s="1882" t="s">
        <v>1626</v>
      </c>
      <c r="E318" s="1882" t="s">
        <v>8503</v>
      </c>
      <c r="F318" s="1882" t="s">
        <v>10303</v>
      </c>
      <c r="G318" s="1882" t="s">
        <v>10076</v>
      </c>
      <c r="H318" s="1882" t="s">
        <v>10327</v>
      </c>
      <c r="I318" s="1882" t="s">
        <v>10328</v>
      </c>
      <c r="J318" s="1882" t="s">
        <v>8539</v>
      </c>
      <c r="K318" s="1882"/>
      <c r="L318" s="1882"/>
      <c r="M318" s="1882"/>
      <c r="N318" s="1882" t="s">
        <v>8527</v>
      </c>
      <c r="O318" s="1882" t="s">
        <v>8591</v>
      </c>
      <c r="P318" s="1882" t="s">
        <v>8643</v>
      </c>
      <c r="Q318" s="520">
        <v>0</v>
      </c>
      <c r="R318" s="1882" t="s">
        <v>8549</v>
      </c>
      <c r="S318" s="1882">
        <v>100</v>
      </c>
      <c r="T318" s="1882"/>
      <c r="U318" s="1882"/>
      <c r="V318" s="1882"/>
      <c r="W318" s="1882"/>
      <c r="X318" s="1882">
        <v>100</v>
      </c>
      <c r="Y318" s="1882"/>
      <c r="Z318" s="1882"/>
      <c r="AA318" s="1882"/>
      <c r="AB318" s="1882"/>
      <c r="AC318" s="1882"/>
      <c r="AD318" s="1882"/>
      <c r="AE318" s="1882"/>
      <c r="AF318" s="1882"/>
      <c r="AG318" s="1882"/>
      <c r="AH318" s="1882">
        <v>0</v>
      </c>
      <c r="AI318" s="1882"/>
      <c r="AJ318" s="1882"/>
      <c r="AK318" s="1882"/>
      <c r="AL318" s="1882"/>
      <c r="AM318" s="1882"/>
      <c r="AN318" s="1882"/>
      <c r="AO318" s="1882"/>
      <c r="AP318" s="1882"/>
      <c r="AQ318" s="1882"/>
      <c r="AR318" s="1882"/>
      <c r="AS318" s="1882"/>
      <c r="AT318" s="1882"/>
      <c r="AU318" s="1882"/>
      <c r="AV318" s="1882"/>
      <c r="AW318" s="1882"/>
      <c r="AX318" s="1882"/>
      <c r="AY318" s="1882"/>
      <c r="AZ318" s="1882"/>
      <c r="BA318" s="1882"/>
      <c r="BB318" s="1882"/>
      <c r="BC318" s="1882"/>
      <c r="BD318" s="1882"/>
      <c r="BE318" s="1882"/>
      <c r="BF318" s="1882"/>
      <c r="BG318" s="1882"/>
      <c r="BH318" s="1882"/>
      <c r="BI318" s="1882"/>
      <c r="BJ318" s="1882"/>
      <c r="BK318" s="1882"/>
      <c r="BL318" s="1882"/>
      <c r="BM318" s="1882"/>
      <c r="BN318" s="1882"/>
      <c r="BO318" s="1882"/>
      <c r="BP318" s="520">
        <v>100</v>
      </c>
      <c r="BQ318" s="693">
        <v>100</v>
      </c>
      <c r="BR318" s="1882" t="s">
        <v>8513</v>
      </c>
      <c r="BS318" s="1882" t="s">
        <v>8513</v>
      </c>
      <c r="BT318" s="1882">
        <v>0</v>
      </c>
      <c r="BU318" s="1882" t="s">
        <v>8513</v>
      </c>
      <c r="BV318" s="1882">
        <v>0</v>
      </c>
      <c r="BW318" s="1882">
        <v>100</v>
      </c>
      <c r="BX318" s="1882" t="s">
        <v>2451</v>
      </c>
      <c r="BY318" s="1882">
        <v>0</v>
      </c>
      <c r="BZ318" s="1882">
        <v>0</v>
      </c>
      <c r="CA318" s="1882">
        <v>0</v>
      </c>
      <c r="CB318" s="1882">
        <v>0</v>
      </c>
      <c r="CC318" s="1882">
        <v>100</v>
      </c>
      <c r="CD318" s="1882" t="s">
        <v>2451</v>
      </c>
      <c r="CE318" s="1882">
        <v>0</v>
      </c>
      <c r="CF318" s="1882">
        <v>0</v>
      </c>
      <c r="CG318" s="1882">
        <v>0</v>
      </c>
      <c r="CH318" s="1882">
        <v>0</v>
      </c>
      <c r="CI318" s="1882">
        <v>100</v>
      </c>
      <c r="CJ318" s="1882" t="s">
        <v>2451</v>
      </c>
      <c r="CK318" s="1882">
        <v>0</v>
      </c>
      <c r="CL318" s="1882">
        <v>0</v>
      </c>
      <c r="CM318" s="1882">
        <v>0</v>
      </c>
      <c r="CN318" s="1882">
        <v>0</v>
      </c>
      <c r="CP318" s="1882" t="s">
        <v>10329</v>
      </c>
    </row>
    <row r="319" spans="1:94">
      <c r="A319" s="1882" t="s">
        <v>8371</v>
      </c>
      <c r="B319" s="1882" t="s">
        <v>10330</v>
      </c>
      <c r="C319" s="1882" t="s">
        <v>8352</v>
      </c>
      <c r="D319" s="1882" t="s">
        <v>1626</v>
      </c>
      <c r="E319" s="1882" t="s">
        <v>8503</v>
      </c>
      <c r="F319" s="1882" t="s">
        <v>10331</v>
      </c>
      <c r="G319" s="1882" t="s">
        <v>8559</v>
      </c>
      <c r="H319" s="1882" t="s">
        <v>10332</v>
      </c>
      <c r="I319" s="1882" t="s">
        <v>10333</v>
      </c>
      <c r="J319" s="1882" t="s">
        <v>8508</v>
      </c>
      <c r="K319" s="1882" t="s">
        <v>8855</v>
      </c>
      <c r="L319" s="1882"/>
      <c r="M319" s="1882"/>
      <c r="N319" s="1882" t="s">
        <v>4580</v>
      </c>
      <c r="O319" s="1882" t="s">
        <v>764</v>
      </c>
      <c r="P319" s="1882" t="s">
        <v>10334</v>
      </c>
      <c r="Q319" s="520">
        <v>0</v>
      </c>
      <c r="R319" s="1882" t="s">
        <v>8511</v>
      </c>
      <c r="S319" s="1882">
        <v>0</v>
      </c>
      <c r="T319" s="1882"/>
      <c r="U319" s="1882"/>
      <c r="V319" s="1882"/>
      <c r="W319" s="1882"/>
      <c r="X319" s="1882">
        <v>0</v>
      </c>
      <c r="Y319" s="1882"/>
      <c r="Z319" s="1882"/>
      <c r="AA319" s="1882"/>
      <c r="AB319" s="1882"/>
      <c r="AC319" s="1882"/>
      <c r="AD319" s="1882"/>
      <c r="AE319" s="1882" t="s">
        <v>2459</v>
      </c>
      <c r="AF319" s="1882"/>
      <c r="AG319" s="1882"/>
      <c r="AH319" s="1882">
        <v>0</v>
      </c>
      <c r="AI319" s="1882"/>
      <c r="AJ319" s="1882"/>
      <c r="AK319" s="1882"/>
      <c r="AL319" s="1882"/>
      <c r="AM319" s="1882" t="s">
        <v>2459</v>
      </c>
      <c r="AN319" s="1882"/>
      <c r="AO319" s="1882"/>
      <c r="AP319" s="1882"/>
      <c r="AQ319" s="1882"/>
      <c r="AR319" s="1882">
        <v>193035</v>
      </c>
      <c r="AS319" s="1882"/>
      <c r="AT319" s="1882"/>
      <c r="AU319" s="1882"/>
      <c r="AV319" s="1882"/>
      <c r="AW319" s="1882">
        <v>38607</v>
      </c>
      <c r="AX319" s="1882"/>
      <c r="AY319" s="1882"/>
      <c r="AZ319" s="1882"/>
      <c r="BA319" s="1882"/>
      <c r="BB319" s="1882">
        <v>38607</v>
      </c>
      <c r="BC319" s="1882"/>
      <c r="BD319" s="1882"/>
      <c r="BE319" s="1882"/>
      <c r="BF319" s="1882"/>
      <c r="BG319" s="1882">
        <v>0</v>
      </c>
      <c r="BH319" s="1882">
        <v>6.2400000000000004E-6</v>
      </c>
      <c r="BI319" s="1882"/>
      <c r="BJ319" s="1882"/>
      <c r="BK319" s="1882"/>
      <c r="BL319" s="1882">
        <v>6.2400000000000004E-6</v>
      </c>
      <c r="BM319" s="1882"/>
      <c r="BN319" s="1882">
        <v>1</v>
      </c>
      <c r="BO319" s="1882" t="s">
        <v>8512</v>
      </c>
      <c r="BP319" s="520">
        <v>0</v>
      </c>
      <c r="BQ319" s="693">
        <v>0</v>
      </c>
      <c r="BR319" s="1882" t="s">
        <v>8513</v>
      </c>
      <c r="BS319" s="1882" t="s">
        <v>8513</v>
      </c>
      <c r="BT319" s="1882">
        <v>0</v>
      </c>
      <c r="BU319" s="1882" t="s">
        <v>8513</v>
      </c>
      <c r="BV319" s="1882">
        <v>0</v>
      </c>
      <c r="BW319" s="1882">
        <v>0</v>
      </c>
      <c r="BX319" s="1882" t="s">
        <v>2451</v>
      </c>
      <c r="BY319" s="1882">
        <v>0</v>
      </c>
      <c r="BZ319" s="1882">
        <v>0</v>
      </c>
      <c r="CA319" s="1882">
        <v>0</v>
      </c>
      <c r="CB319" s="1882">
        <v>0</v>
      </c>
      <c r="CC319" s="1882">
        <v>0</v>
      </c>
      <c r="CD319" s="1882" t="s">
        <v>2451</v>
      </c>
      <c r="CE319" s="1882">
        <v>0</v>
      </c>
      <c r="CF319" s="1882">
        <v>0</v>
      </c>
      <c r="CG319" s="1882">
        <v>0</v>
      </c>
      <c r="CH319" s="1882">
        <v>0</v>
      </c>
      <c r="CI319" s="1882">
        <v>0</v>
      </c>
      <c r="CJ319" s="1882" t="s">
        <v>2451</v>
      </c>
      <c r="CK319" s="1882">
        <v>0</v>
      </c>
      <c r="CL319" s="1882">
        <v>0</v>
      </c>
      <c r="CM319" s="1882">
        <v>0</v>
      </c>
      <c r="CN319" s="1882">
        <v>0</v>
      </c>
      <c r="CP319" s="1882" t="s">
        <v>10335</v>
      </c>
    </row>
    <row r="320" spans="1:94">
      <c r="A320" s="1882" t="s">
        <v>8371</v>
      </c>
      <c r="B320" s="1882" t="s">
        <v>10336</v>
      </c>
      <c r="C320" s="1882" t="s">
        <v>8352</v>
      </c>
      <c r="D320" s="1882" t="s">
        <v>1626</v>
      </c>
      <c r="E320" s="1882" t="s">
        <v>8503</v>
      </c>
      <c r="F320" s="1882" t="s">
        <v>10337</v>
      </c>
      <c r="G320" s="1882" t="s">
        <v>8640</v>
      </c>
      <c r="H320" s="1882" t="s">
        <v>10338</v>
      </c>
      <c r="I320" s="1882" t="s">
        <v>10339</v>
      </c>
      <c r="J320" s="1882" t="s">
        <v>8508</v>
      </c>
      <c r="K320" s="1882" t="s">
        <v>8509</v>
      </c>
      <c r="L320" s="1882" t="s">
        <v>2459</v>
      </c>
      <c r="M320" s="1882"/>
      <c r="N320" s="1882" t="s">
        <v>8695</v>
      </c>
      <c r="O320" s="1882" t="s">
        <v>732</v>
      </c>
      <c r="P320" s="1882" t="s">
        <v>9920</v>
      </c>
      <c r="Q320" s="520">
        <v>1</v>
      </c>
      <c r="R320" s="1882" t="s">
        <v>8549</v>
      </c>
      <c r="S320" s="1882">
        <v>90</v>
      </c>
      <c r="T320" s="1882">
        <v>91</v>
      </c>
      <c r="U320" s="1882">
        <v>92</v>
      </c>
      <c r="V320" s="1882">
        <v>93</v>
      </c>
      <c r="W320" s="1882">
        <v>94</v>
      </c>
      <c r="X320" s="1882">
        <v>95</v>
      </c>
      <c r="Y320" s="1882"/>
      <c r="Z320" s="1882"/>
      <c r="AA320" s="1882"/>
      <c r="AB320" s="1882"/>
      <c r="AC320" s="1882"/>
      <c r="AD320" s="1882"/>
      <c r="AE320" s="1882"/>
      <c r="AF320" s="1882"/>
      <c r="AG320" s="1882"/>
      <c r="AH320" s="1882">
        <v>0</v>
      </c>
      <c r="AI320" s="1882" t="s">
        <v>2459</v>
      </c>
      <c r="AJ320" s="1882" t="s">
        <v>2459</v>
      </c>
      <c r="AK320" s="1882" t="s">
        <v>2459</v>
      </c>
      <c r="AL320" s="1882" t="s">
        <v>2459</v>
      </c>
      <c r="AM320" s="1882" t="s">
        <v>2459</v>
      </c>
      <c r="AN320" s="1882">
        <v>75</v>
      </c>
      <c r="AO320" s="1882">
        <v>75</v>
      </c>
      <c r="AP320" s="1882">
        <v>75</v>
      </c>
      <c r="AQ320" s="1882">
        <v>75</v>
      </c>
      <c r="AR320" s="1882">
        <v>75</v>
      </c>
      <c r="AS320" s="1882">
        <v>91</v>
      </c>
      <c r="AT320" s="1882">
        <v>92</v>
      </c>
      <c r="AU320" s="1882">
        <v>93</v>
      </c>
      <c r="AV320" s="1882">
        <v>94</v>
      </c>
      <c r="AW320" s="1882">
        <v>95</v>
      </c>
      <c r="AX320" s="1882">
        <v>91</v>
      </c>
      <c r="AY320" s="1882">
        <v>92</v>
      </c>
      <c r="AZ320" s="1882">
        <v>93</v>
      </c>
      <c r="BA320" s="1882">
        <v>94</v>
      </c>
      <c r="BB320" s="1882">
        <v>95</v>
      </c>
      <c r="BC320" s="1882">
        <v>100</v>
      </c>
      <c r="BD320" s="1882">
        <v>100</v>
      </c>
      <c r="BE320" s="1882">
        <v>100</v>
      </c>
      <c r="BF320" s="1882">
        <v>100</v>
      </c>
      <c r="BG320" s="1882">
        <v>100</v>
      </c>
      <c r="BH320" s="1882">
        <v>4.2999999999999997E-2</v>
      </c>
      <c r="BI320" s="1882"/>
      <c r="BJ320" s="1882"/>
      <c r="BK320" s="1882"/>
      <c r="BL320" s="1882">
        <v>4.2999999999999997E-2</v>
      </c>
      <c r="BM320" s="1882"/>
      <c r="BN320" s="1882">
        <v>1</v>
      </c>
      <c r="BO320" s="1882" t="s">
        <v>8512</v>
      </c>
      <c r="BP320" s="520">
        <v>93.5</v>
      </c>
      <c r="BQ320" s="690">
        <v>94.8</v>
      </c>
      <c r="BR320" s="1882" t="s">
        <v>2459</v>
      </c>
      <c r="BS320" s="1882" t="s">
        <v>8376</v>
      </c>
      <c r="BT320" s="1882">
        <v>0.16339999999999999</v>
      </c>
      <c r="BU320" s="1882" t="s">
        <v>8513</v>
      </c>
      <c r="BV320" s="1882">
        <v>0</v>
      </c>
      <c r="BW320" s="1882">
        <v>95.5</v>
      </c>
      <c r="BX320" s="1882" t="s">
        <v>2459</v>
      </c>
      <c r="BY320" s="1882" t="s">
        <v>8376</v>
      </c>
      <c r="BZ320" s="1882">
        <v>0.15049999999999999</v>
      </c>
      <c r="CA320" s="1882">
        <v>0</v>
      </c>
      <c r="CB320" s="1882">
        <v>0</v>
      </c>
      <c r="CC320" s="1882">
        <v>96.1</v>
      </c>
      <c r="CD320" s="1882" t="s">
        <v>2459</v>
      </c>
      <c r="CE320" s="1882" t="s">
        <v>8376</v>
      </c>
      <c r="CF320" s="1882">
        <v>0.1333</v>
      </c>
      <c r="CG320" s="1882">
        <v>0</v>
      </c>
      <c r="CH320" s="1882">
        <v>0</v>
      </c>
      <c r="CI320" s="1882">
        <v>95.4</v>
      </c>
      <c r="CJ320" s="1882" t="s">
        <v>2459</v>
      </c>
      <c r="CK320" s="1882" t="s">
        <v>8376</v>
      </c>
      <c r="CL320" s="1882">
        <v>6.0199999999999997E-2</v>
      </c>
      <c r="CM320" s="1882">
        <v>0</v>
      </c>
      <c r="CN320" s="1882">
        <v>0</v>
      </c>
      <c r="CP320" s="1882" t="s">
        <v>10340</v>
      </c>
    </row>
    <row r="321" spans="1:94">
      <c r="A321" s="1882" t="s">
        <v>8371</v>
      </c>
      <c r="B321" s="1882" t="s">
        <v>10341</v>
      </c>
      <c r="C321" s="1882" t="s">
        <v>8352</v>
      </c>
      <c r="D321" s="1882" t="s">
        <v>1626</v>
      </c>
      <c r="E321" s="1882" t="s">
        <v>8503</v>
      </c>
      <c r="F321" s="1882" t="s">
        <v>10342</v>
      </c>
      <c r="G321" s="1882" t="s">
        <v>8663</v>
      </c>
      <c r="H321" s="1882" t="s">
        <v>10343</v>
      </c>
      <c r="I321" s="1882" t="s">
        <v>10344</v>
      </c>
      <c r="J321" s="1882" t="s">
        <v>8539</v>
      </c>
      <c r="K321" s="1882"/>
      <c r="L321" s="1882"/>
      <c r="M321" s="1882"/>
      <c r="N321" s="1882" t="s">
        <v>8533</v>
      </c>
      <c r="O321" s="1882" t="s">
        <v>764</v>
      </c>
      <c r="P321" s="1882" t="s">
        <v>10345</v>
      </c>
      <c r="Q321" s="520">
        <v>0</v>
      </c>
      <c r="R321" s="1882" t="s">
        <v>8511</v>
      </c>
      <c r="S321" s="1882">
        <v>0</v>
      </c>
      <c r="T321" s="1882"/>
      <c r="U321" s="1882"/>
      <c r="V321" s="1882"/>
      <c r="W321" s="1882"/>
      <c r="X321" s="1882">
        <v>0</v>
      </c>
      <c r="Y321" s="1882"/>
      <c r="Z321" s="1882"/>
      <c r="AA321" s="1882"/>
      <c r="AB321" s="1882"/>
      <c r="AC321" s="1882"/>
      <c r="AD321" s="1882"/>
      <c r="AE321" s="1882"/>
      <c r="AF321" s="1882" t="s">
        <v>2459</v>
      </c>
      <c r="AG321" s="1882"/>
      <c r="AH321" s="1882">
        <v>0</v>
      </c>
      <c r="AI321" s="1882"/>
      <c r="AJ321" s="1882"/>
      <c r="AK321" s="1882"/>
      <c r="AL321" s="1882"/>
      <c r="AM321" s="1882"/>
      <c r="AN321" s="1882"/>
      <c r="AO321" s="1882"/>
      <c r="AP321" s="1882"/>
      <c r="AQ321" s="1882"/>
      <c r="AR321" s="1882"/>
      <c r="AS321" s="1882"/>
      <c r="AT321" s="1882"/>
      <c r="AU321" s="1882"/>
      <c r="AV321" s="1882"/>
      <c r="AW321" s="1882"/>
      <c r="AX321" s="1882"/>
      <c r="AY321" s="1882"/>
      <c r="AZ321" s="1882"/>
      <c r="BA321" s="1882"/>
      <c r="BB321" s="1882"/>
      <c r="BC321" s="1882"/>
      <c r="BD321" s="1882"/>
      <c r="BE321" s="1882"/>
      <c r="BF321" s="1882"/>
      <c r="BG321" s="1882"/>
      <c r="BH321" s="1882"/>
      <c r="BI321" s="1882"/>
      <c r="BJ321" s="1882"/>
      <c r="BK321" s="1882"/>
      <c r="BL321" s="1882"/>
      <c r="BM321" s="1882"/>
      <c r="BN321" s="1882"/>
      <c r="BO321" s="1882"/>
      <c r="BP321" s="520">
        <v>0</v>
      </c>
      <c r="BQ321" s="693">
        <v>0</v>
      </c>
      <c r="BR321" s="1882" t="s">
        <v>8513</v>
      </c>
      <c r="BS321" s="1882" t="s">
        <v>8513</v>
      </c>
      <c r="BT321" s="1882">
        <v>0</v>
      </c>
      <c r="BU321" s="1882" t="s">
        <v>8513</v>
      </c>
      <c r="BV321" s="1882">
        <v>0</v>
      </c>
      <c r="BW321" s="1882">
        <v>0</v>
      </c>
      <c r="BX321" s="1882" t="s">
        <v>2451</v>
      </c>
      <c r="BY321" s="1882">
        <v>0</v>
      </c>
      <c r="BZ321" s="1882">
        <v>0</v>
      </c>
      <c r="CA321" s="1882">
        <v>0</v>
      </c>
      <c r="CB321" s="1882">
        <v>0</v>
      </c>
      <c r="CC321" s="1882">
        <v>0</v>
      </c>
      <c r="CD321" s="1882" t="s">
        <v>2451</v>
      </c>
      <c r="CE321" s="1882">
        <v>0</v>
      </c>
      <c r="CF321" s="1882">
        <v>0</v>
      </c>
      <c r="CG321" s="1882">
        <v>0</v>
      </c>
      <c r="CH321" s="1882">
        <v>0</v>
      </c>
      <c r="CI321" s="1882">
        <v>0</v>
      </c>
      <c r="CJ321" s="1882" t="s">
        <v>2451</v>
      </c>
      <c r="CK321" s="1882">
        <v>0</v>
      </c>
      <c r="CL321" s="1882">
        <v>0</v>
      </c>
      <c r="CM321" s="1882">
        <v>0</v>
      </c>
      <c r="CN321" s="1882">
        <v>0</v>
      </c>
      <c r="CP321" s="1882" t="s">
        <v>10346</v>
      </c>
    </row>
    <row r="322" spans="1:94" ht="25">
      <c r="A322" s="1882" t="s">
        <v>8371</v>
      </c>
      <c r="B322" s="1882" t="s">
        <v>10347</v>
      </c>
      <c r="C322" s="1882" t="s">
        <v>8352</v>
      </c>
      <c r="D322" s="1882" t="s">
        <v>1626</v>
      </c>
      <c r="E322" s="1882" t="s">
        <v>8503</v>
      </c>
      <c r="F322" s="1882" t="s">
        <v>10342</v>
      </c>
      <c r="G322" s="1882" t="s">
        <v>8670</v>
      </c>
      <c r="H322" s="1882" t="s">
        <v>10348</v>
      </c>
      <c r="I322" s="1882" t="s">
        <v>10349</v>
      </c>
      <c r="J322" s="1882" t="s">
        <v>8519</v>
      </c>
      <c r="K322" s="1882" t="s">
        <v>8855</v>
      </c>
      <c r="L322" s="1882"/>
      <c r="M322" s="1882" t="s">
        <v>2460</v>
      </c>
      <c r="N322" s="1882" t="s">
        <v>8533</v>
      </c>
      <c r="O322" s="1882" t="s">
        <v>8704</v>
      </c>
      <c r="P322" s="1882" t="s">
        <v>10350</v>
      </c>
      <c r="Q322" s="520" t="s">
        <v>8512</v>
      </c>
      <c r="R322" s="1882"/>
      <c r="S322" s="1882" t="s">
        <v>10351</v>
      </c>
      <c r="T322" s="1882" t="s">
        <v>10351</v>
      </c>
      <c r="U322" s="1882" t="s">
        <v>10351</v>
      </c>
      <c r="V322" s="1882" t="s">
        <v>10351</v>
      </c>
      <c r="W322" s="1882" t="s">
        <v>10351</v>
      </c>
      <c r="X322" s="1882" t="s">
        <v>10351</v>
      </c>
      <c r="Y322" s="1882"/>
      <c r="Z322" s="1882"/>
      <c r="AA322" s="1882"/>
      <c r="AB322" s="1882"/>
      <c r="AC322" s="1882"/>
      <c r="AD322" s="1882"/>
      <c r="AE322" s="1882"/>
      <c r="AF322" s="1882" t="s">
        <v>2459</v>
      </c>
      <c r="AG322" s="1882"/>
      <c r="AH322" s="1882">
        <v>0</v>
      </c>
      <c r="AI322" s="1882"/>
      <c r="AJ322" s="1882"/>
      <c r="AK322" s="1882"/>
      <c r="AL322" s="1882"/>
      <c r="AM322" s="1882" t="s">
        <v>2459</v>
      </c>
      <c r="AN322" s="1882" t="s">
        <v>10352</v>
      </c>
      <c r="AO322" s="1882" t="s">
        <v>10352</v>
      </c>
      <c r="AP322" s="1882" t="s">
        <v>10352</v>
      </c>
      <c r="AQ322" s="1882" t="s">
        <v>10352</v>
      </c>
      <c r="AR322" s="1882" t="s">
        <v>10352</v>
      </c>
      <c r="AS322" s="1882" t="s">
        <v>10351</v>
      </c>
      <c r="AT322" s="1882" t="s">
        <v>10351</v>
      </c>
      <c r="AU322" s="1882" t="s">
        <v>10351</v>
      </c>
      <c r="AV322" s="1882" t="s">
        <v>10351</v>
      </c>
      <c r="AW322" s="1882" t="s">
        <v>10351</v>
      </c>
      <c r="AX322" s="1882"/>
      <c r="AY322" s="1882"/>
      <c r="AZ322" s="1882"/>
      <c r="BA322" s="1882"/>
      <c r="BB322" s="1882"/>
      <c r="BC322" s="1882"/>
      <c r="BD322" s="1882"/>
      <c r="BE322" s="1882"/>
      <c r="BF322" s="1882"/>
      <c r="BG322" s="1882"/>
      <c r="BH322" s="1882">
        <v>1.054</v>
      </c>
      <c r="BI322" s="1882"/>
      <c r="BJ322" s="1882"/>
      <c r="BK322" s="1882"/>
      <c r="BL322" s="1882"/>
      <c r="BM322" s="1882"/>
      <c r="BN322" s="1882">
        <v>1</v>
      </c>
      <c r="BO322" s="1882" t="s">
        <v>8512</v>
      </c>
      <c r="BP322" s="520" t="s">
        <v>10353</v>
      </c>
      <c r="BQ322" s="692" t="s">
        <v>10353</v>
      </c>
      <c r="BR322" s="1882" t="s">
        <v>2459</v>
      </c>
      <c r="BS322" s="1882" t="s">
        <v>8513</v>
      </c>
      <c r="BT322" s="1882">
        <v>0</v>
      </c>
      <c r="BU322" s="1882" t="s">
        <v>8513</v>
      </c>
      <c r="BV322" s="1882">
        <v>0</v>
      </c>
      <c r="BW322" s="1882" t="s">
        <v>10351</v>
      </c>
      <c r="BX322" s="1882" t="s">
        <v>2459</v>
      </c>
      <c r="BY322" s="1882">
        <v>0</v>
      </c>
      <c r="BZ322" s="1882">
        <v>0</v>
      </c>
      <c r="CA322" s="1882">
        <v>0</v>
      </c>
      <c r="CB322" s="1882">
        <v>0</v>
      </c>
      <c r="CC322" s="1882" t="s">
        <v>10351</v>
      </c>
      <c r="CD322" s="1882" t="s">
        <v>2459</v>
      </c>
      <c r="CE322" s="1882">
        <v>0</v>
      </c>
      <c r="CF322" s="1882">
        <v>0</v>
      </c>
      <c r="CG322" s="1882">
        <v>0</v>
      </c>
      <c r="CH322" s="1882">
        <v>0</v>
      </c>
      <c r="CI322" s="1882" t="s">
        <v>10351</v>
      </c>
      <c r="CJ322" s="1882" t="s">
        <v>2459</v>
      </c>
      <c r="CK322" s="1882">
        <v>0</v>
      </c>
      <c r="CL322" s="1882">
        <v>0</v>
      </c>
      <c r="CM322" s="1882">
        <v>0</v>
      </c>
      <c r="CN322" s="1882">
        <v>0</v>
      </c>
      <c r="CP322" s="1882" t="s">
        <v>10354</v>
      </c>
    </row>
    <row r="323" spans="1:94">
      <c r="A323" s="1882" t="s">
        <v>8371</v>
      </c>
      <c r="B323" s="1882" t="s">
        <v>10355</v>
      </c>
      <c r="C323" s="1882" t="s">
        <v>8352</v>
      </c>
      <c r="D323" s="1882" t="s">
        <v>1626</v>
      </c>
      <c r="E323" s="1882" t="s">
        <v>8503</v>
      </c>
      <c r="F323" s="1882" t="s">
        <v>10342</v>
      </c>
      <c r="G323" s="1882" t="s">
        <v>10356</v>
      </c>
      <c r="H323" s="1882" t="s">
        <v>10357</v>
      </c>
      <c r="I323" s="1882" t="s">
        <v>10358</v>
      </c>
      <c r="J323" s="1882" t="s">
        <v>8539</v>
      </c>
      <c r="K323" s="1882"/>
      <c r="L323" s="1882"/>
      <c r="M323" s="1882"/>
      <c r="N323" s="1882" t="s">
        <v>10053</v>
      </c>
      <c r="O323" s="1882" t="s">
        <v>764</v>
      </c>
      <c r="P323" s="1882" t="s">
        <v>10359</v>
      </c>
      <c r="Q323" s="520">
        <v>0</v>
      </c>
      <c r="R323" s="1882" t="s">
        <v>8549</v>
      </c>
      <c r="S323" s="1882">
        <v>4942</v>
      </c>
      <c r="T323" s="1882"/>
      <c r="U323" s="1882"/>
      <c r="V323" s="1882"/>
      <c r="W323" s="1882"/>
      <c r="X323" s="1882">
        <v>8154</v>
      </c>
      <c r="Y323" s="1882"/>
      <c r="Z323" s="1882"/>
      <c r="AA323" s="1882"/>
      <c r="AB323" s="1882"/>
      <c r="AC323" s="1882"/>
      <c r="AD323" s="1882"/>
      <c r="AE323" s="1882"/>
      <c r="AF323" s="1882" t="s">
        <v>2459</v>
      </c>
      <c r="AG323" s="1882"/>
      <c r="AH323" s="1882">
        <v>0</v>
      </c>
      <c r="AI323" s="1882"/>
      <c r="AJ323" s="1882"/>
      <c r="AK323" s="1882"/>
      <c r="AL323" s="1882"/>
      <c r="AM323" s="1882"/>
      <c r="AN323" s="1882"/>
      <c r="AO323" s="1882"/>
      <c r="AP323" s="1882"/>
      <c r="AQ323" s="1882"/>
      <c r="AR323" s="1882"/>
      <c r="AS323" s="1882"/>
      <c r="AT323" s="1882"/>
      <c r="AU323" s="1882"/>
      <c r="AV323" s="1882"/>
      <c r="AW323" s="1882"/>
      <c r="AX323" s="1882"/>
      <c r="AY323" s="1882"/>
      <c r="AZ323" s="1882"/>
      <c r="BA323" s="1882"/>
      <c r="BB323" s="1882"/>
      <c r="BC323" s="1882"/>
      <c r="BD323" s="1882"/>
      <c r="BE323" s="1882"/>
      <c r="BF323" s="1882"/>
      <c r="BG323" s="1882"/>
      <c r="BH323" s="1882"/>
      <c r="BI323" s="1882"/>
      <c r="BJ323" s="1882"/>
      <c r="BK323" s="1882"/>
      <c r="BL323" s="1882"/>
      <c r="BM323" s="1882"/>
      <c r="BN323" s="1882"/>
      <c r="BO323" s="1882"/>
      <c r="BP323" s="520">
        <v>4942</v>
      </c>
      <c r="BQ323" s="693">
        <v>5673</v>
      </c>
      <c r="BR323" s="1882" t="s">
        <v>8513</v>
      </c>
      <c r="BS323" s="1882" t="s">
        <v>8513</v>
      </c>
      <c r="BT323" s="1882">
        <v>0</v>
      </c>
      <c r="BU323" s="1882" t="s">
        <v>8513</v>
      </c>
      <c r="BV323" s="1882">
        <v>0</v>
      </c>
      <c r="BW323" s="1882">
        <v>7568</v>
      </c>
      <c r="BX323" s="1882" t="s">
        <v>2451</v>
      </c>
      <c r="BY323" s="1882">
        <v>0</v>
      </c>
      <c r="BZ323" s="1882">
        <v>0</v>
      </c>
      <c r="CA323" s="1882">
        <v>0</v>
      </c>
      <c r="CB323" s="1882">
        <v>0</v>
      </c>
      <c r="CC323" s="1882">
        <v>7997</v>
      </c>
      <c r="CD323" s="1882" t="s">
        <v>2451</v>
      </c>
      <c r="CE323" s="1882">
        <v>0</v>
      </c>
      <c r="CF323" s="1882">
        <v>0</v>
      </c>
      <c r="CG323" s="1882">
        <v>0</v>
      </c>
      <c r="CH323" s="1882">
        <v>0</v>
      </c>
      <c r="CI323" s="1882">
        <v>10192</v>
      </c>
      <c r="CJ323" s="1882" t="s">
        <v>2451</v>
      </c>
      <c r="CK323" s="1882">
        <v>0</v>
      </c>
      <c r="CL323" s="1882">
        <v>0</v>
      </c>
      <c r="CM323" s="1882">
        <v>0</v>
      </c>
      <c r="CN323" s="1882">
        <v>0</v>
      </c>
      <c r="CP323" s="1882" t="s">
        <v>10360</v>
      </c>
    </row>
    <row r="324" spans="1:94">
      <c r="A324" s="1882" t="s">
        <v>8371</v>
      </c>
      <c r="B324" s="1882" t="s">
        <v>10361</v>
      </c>
      <c r="C324" s="1882" t="s">
        <v>8352</v>
      </c>
      <c r="D324" s="1882" t="s">
        <v>1626</v>
      </c>
      <c r="E324" s="1882" t="s">
        <v>8503</v>
      </c>
      <c r="F324" s="1882" t="s">
        <v>10342</v>
      </c>
      <c r="G324" s="1882" t="s">
        <v>10362</v>
      </c>
      <c r="H324" s="1882" t="s">
        <v>10363</v>
      </c>
      <c r="I324" s="1882" t="s">
        <v>10364</v>
      </c>
      <c r="J324" s="1882" t="s">
        <v>8539</v>
      </c>
      <c r="K324" s="1882"/>
      <c r="L324" s="1882"/>
      <c r="M324" s="1882"/>
      <c r="N324" s="1882" t="s">
        <v>10053</v>
      </c>
      <c r="O324" s="1882" t="s">
        <v>764</v>
      </c>
      <c r="P324" s="1882" t="s">
        <v>10365</v>
      </c>
      <c r="Q324" s="520">
        <v>0</v>
      </c>
      <c r="R324" s="1882" t="s">
        <v>8549</v>
      </c>
      <c r="S324" s="1882">
        <v>650</v>
      </c>
      <c r="T324" s="1882"/>
      <c r="U324" s="1882"/>
      <c r="V324" s="1882"/>
      <c r="W324" s="1882"/>
      <c r="X324" s="1882">
        <v>1400</v>
      </c>
      <c r="Y324" s="1882"/>
      <c r="Z324" s="1882"/>
      <c r="AA324" s="1882"/>
      <c r="AB324" s="1882"/>
      <c r="AC324" s="1882"/>
      <c r="AD324" s="1882"/>
      <c r="AE324" s="1882"/>
      <c r="AF324" s="1882" t="s">
        <v>2459</v>
      </c>
      <c r="AG324" s="1882"/>
      <c r="AH324" s="1882">
        <v>0</v>
      </c>
      <c r="AI324" s="1882"/>
      <c r="AJ324" s="1882"/>
      <c r="AK324" s="1882"/>
      <c r="AL324" s="1882"/>
      <c r="AM324" s="1882"/>
      <c r="AN324" s="1882"/>
      <c r="AO324" s="1882"/>
      <c r="AP324" s="1882"/>
      <c r="AQ324" s="1882"/>
      <c r="AR324" s="1882"/>
      <c r="AS324" s="1882"/>
      <c r="AT324" s="1882"/>
      <c r="AU324" s="1882"/>
      <c r="AV324" s="1882"/>
      <c r="AW324" s="1882"/>
      <c r="AX324" s="1882"/>
      <c r="AY324" s="1882"/>
      <c r="AZ324" s="1882"/>
      <c r="BA324" s="1882"/>
      <c r="BB324" s="1882"/>
      <c r="BC324" s="1882"/>
      <c r="BD324" s="1882"/>
      <c r="BE324" s="1882"/>
      <c r="BF324" s="1882"/>
      <c r="BG324" s="1882"/>
      <c r="BH324" s="1882"/>
      <c r="BI324" s="1882"/>
      <c r="BJ324" s="1882"/>
      <c r="BK324" s="1882"/>
      <c r="BL324" s="1882"/>
      <c r="BM324" s="1882"/>
      <c r="BN324" s="1882"/>
      <c r="BO324" s="1882"/>
      <c r="BP324" s="520">
        <v>743</v>
      </c>
      <c r="BQ324" s="693">
        <v>849</v>
      </c>
      <c r="BR324" s="1882" t="s">
        <v>8513</v>
      </c>
      <c r="BS324" s="1882" t="s">
        <v>8513</v>
      </c>
      <c r="BT324" s="1882">
        <v>0</v>
      </c>
      <c r="BU324" s="1882" t="s">
        <v>8513</v>
      </c>
      <c r="BV324" s="1882">
        <v>0</v>
      </c>
      <c r="BW324" s="1882">
        <v>1056</v>
      </c>
      <c r="BX324" s="1882" t="s">
        <v>2451</v>
      </c>
      <c r="BY324" s="1882">
        <v>0</v>
      </c>
      <c r="BZ324" s="1882">
        <v>0</v>
      </c>
      <c r="CA324" s="1882">
        <v>0</v>
      </c>
      <c r="CB324" s="1882">
        <v>0</v>
      </c>
      <c r="CC324" s="1882">
        <v>1290</v>
      </c>
      <c r="CD324" s="1882" t="s">
        <v>2451</v>
      </c>
      <c r="CE324" s="1882">
        <v>0</v>
      </c>
      <c r="CF324" s="1882">
        <v>0</v>
      </c>
      <c r="CG324" s="1882">
        <v>0</v>
      </c>
      <c r="CH324" s="1882">
        <v>0</v>
      </c>
      <c r="CI324" s="1882">
        <v>1537</v>
      </c>
      <c r="CJ324" s="1882" t="s">
        <v>2451</v>
      </c>
      <c r="CK324" s="1882">
        <v>0</v>
      </c>
      <c r="CL324" s="1882">
        <v>0</v>
      </c>
      <c r="CM324" s="1882">
        <v>0</v>
      </c>
      <c r="CN324" s="1882">
        <v>0</v>
      </c>
      <c r="CP324" s="1882" t="s">
        <v>10366</v>
      </c>
    </row>
    <row r="325" spans="1:94">
      <c r="A325" s="1882" t="s">
        <v>8371</v>
      </c>
      <c r="B325" s="1882" t="s">
        <v>10367</v>
      </c>
      <c r="C325" s="1882" t="s">
        <v>8352</v>
      </c>
      <c r="D325" s="1882" t="s">
        <v>1626</v>
      </c>
      <c r="E325" s="1882" t="s">
        <v>8503</v>
      </c>
      <c r="F325" s="1882" t="s">
        <v>10342</v>
      </c>
      <c r="G325" s="1882" t="s">
        <v>10368</v>
      </c>
      <c r="H325" s="1882" t="s">
        <v>10369</v>
      </c>
      <c r="I325" s="1882" t="s">
        <v>10370</v>
      </c>
      <c r="J325" s="1882" t="s">
        <v>8519</v>
      </c>
      <c r="K325" s="1882" t="s">
        <v>8509</v>
      </c>
      <c r="L325" s="1882" t="s">
        <v>2459</v>
      </c>
      <c r="M325" s="1882"/>
      <c r="N325" s="1882" t="s">
        <v>8760</v>
      </c>
      <c r="O325" s="1882" t="s">
        <v>764</v>
      </c>
      <c r="P325" s="1882" t="s">
        <v>9893</v>
      </c>
      <c r="Q325" s="520">
        <v>0</v>
      </c>
      <c r="R325" s="1882" t="s">
        <v>8511</v>
      </c>
      <c r="S325" s="1882">
        <v>0</v>
      </c>
      <c r="T325" s="1882">
        <v>0</v>
      </c>
      <c r="U325" s="1882">
        <v>0</v>
      </c>
      <c r="V325" s="1882">
        <v>0</v>
      </c>
      <c r="W325" s="1882">
        <v>0</v>
      </c>
      <c r="X325" s="1882">
        <v>0</v>
      </c>
      <c r="Y325" s="1882"/>
      <c r="Z325" s="1882"/>
      <c r="AA325" s="1882"/>
      <c r="AB325" s="1882"/>
      <c r="AC325" s="1882"/>
      <c r="AD325" s="1882"/>
      <c r="AE325" s="1882" t="s">
        <v>2459</v>
      </c>
      <c r="AF325" s="1882"/>
      <c r="AG325" s="1882"/>
      <c r="AH325" s="1882">
        <v>0</v>
      </c>
      <c r="AI325" s="1882" t="s">
        <v>2459</v>
      </c>
      <c r="AJ325" s="1882" t="s">
        <v>2459</v>
      </c>
      <c r="AK325" s="1882" t="s">
        <v>2459</v>
      </c>
      <c r="AL325" s="1882" t="s">
        <v>2459</v>
      </c>
      <c r="AM325" s="1882" t="s">
        <v>2459</v>
      </c>
      <c r="AN325" s="1882">
        <v>2</v>
      </c>
      <c r="AO325" s="1882">
        <v>2</v>
      </c>
      <c r="AP325" s="1882">
        <v>2</v>
      </c>
      <c r="AQ325" s="1882">
        <v>2</v>
      </c>
      <c r="AR325" s="1882">
        <v>2</v>
      </c>
      <c r="AS325" s="1882">
        <v>0</v>
      </c>
      <c r="AT325" s="1882">
        <v>0</v>
      </c>
      <c r="AU325" s="1882">
        <v>0</v>
      </c>
      <c r="AV325" s="1882">
        <v>0</v>
      </c>
      <c r="AW325" s="1882">
        <v>0</v>
      </c>
      <c r="AX325" s="1882"/>
      <c r="AY325" s="1882"/>
      <c r="AZ325" s="1882"/>
      <c r="BA325" s="1882"/>
      <c r="BB325" s="1882"/>
      <c r="BC325" s="1882"/>
      <c r="BD325" s="1882"/>
      <c r="BE325" s="1882"/>
      <c r="BF325" s="1882"/>
      <c r="BG325" s="1882"/>
      <c r="BH325" s="1882">
        <v>0.35599999999999998</v>
      </c>
      <c r="BI325" s="1882"/>
      <c r="BJ325" s="1882"/>
      <c r="BK325" s="1882"/>
      <c r="BL325" s="1882"/>
      <c r="BM325" s="1882"/>
      <c r="BN325" s="1882">
        <v>1</v>
      </c>
      <c r="BO325" s="1882" t="s">
        <v>8512</v>
      </c>
      <c r="BP325" s="520">
        <v>0</v>
      </c>
      <c r="BQ325" s="693">
        <v>0</v>
      </c>
      <c r="BR325" s="1882" t="s">
        <v>2459</v>
      </c>
      <c r="BS325" s="1882" t="s">
        <v>8513</v>
      </c>
      <c r="BT325" s="1882">
        <v>0</v>
      </c>
      <c r="BU325" s="1882" t="s">
        <v>8513</v>
      </c>
      <c r="BV325" s="1882">
        <v>0</v>
      </c>
      <c r="BW325" s="1882">
        <v>0</v>
      </c>
      <c r="BX325" s="1882" t="s">
        <v>2459</v>
      </c>
      <c r="BY325" s="1882">
        <v>0</v>
      </c>
      <c r="BZ325" s="1882">
        <v>0</v>
      </c>
      <c r="CA325" s="1882">
        <v>0</v>
      </c>
      <c r="CB325" s="1882">
        <v>0</v>
      </c>
      <c r="CC325" s="1882">
        <v>0</v>
      </c>
      <c r="CD325" s="1882" t="s">
        <v>2459</v>
      </c>
      <c r="CE325" s="1882">
        <v>0</v>
      </c>
      <c r="CF325" s="1882">
        <v>0</v>
      </c>
      <c r="CG325" s="1882">
        <v>0</v>
      </c>
      <c r="CH325" s="1882">
        <v>0</v>
      </c>
      <c r="CI325" s="1882">
        <v>0</v>
      </c>
      <c r="CJ325" s="1882" t="s">
        <v>2459</v>
      </c>
      <c r="CK325" s="1882">
        <v>0</v>
      </c>
      <c r="CL325" s="1882">
        <v>0</v>
      </c>
      <c r="CM325" s="1882">
        <v>0</v>
      </c>
      <c r="CN325" s="1882">
        <v>0</v>
      </c>
      <c r="CP325" s="1882" t="s">
        <v>10371</v>
      </c>
    </row>
    <row r="326" spans="1:94">
      <c r="A326" s="1882" t="s">
        <v>8371</v>
      </c>
      <c r="B326" s="1882" t="s">
        <v>10372</v>
      </c>
      <c r="C326" s="1882" t="s">
        <v>8352</v>
      </c>
      <c r="D326" s="1882" t="s">
        <v>1626</v>
      </c>
      <c r="E326" s="1882" t="s">
        <v>8503</v>
      </c>
      <c r="F326" s="1882" t="s">
        <v>10342</v>
      </c>
      <c r="G326" s="1882" t="s">
        <v>10373</v>
      </c>
      <c r="H326" s="1882" t="s">
        <v>10374</v>
      </c>
      <c r="I326" s="1882" t="s">
        <v>10375</v>
      </c>
      <c r="J326" s="1882" t="s">
        <v>8519</v>
      </c>
      <c r="K326" s="1882" t="s">
        <v>8509</v>
      </c>
      <c r="L326" s="1882" t="s">
        <v>2459</v>
      </c>
      <c r="M326" s="1882"/>
      <c r="N326" s="1882" t="s">
        <v>8760</v>
      </c>
      <c r="O326" s="1882" t="s">
        <v>764</v>
      </c>
      <c r="P326" s="1882" t="s">
        <v>10376</v>
      </c>
      <c r="Q326" s="520">
        <v>0</v>
      </c>
      <c r="R326" s="1882" t="s">
        <v>8511</v>
      </c>
      <c r="S326" s="1882">
        <v>2</v>
      </c>
      <c r="T326" s="1882">
        <v>2</v>
      </c>
      <c r="U326" s="1882">
        <v>2</v>
      </c>
      <c r="V326" s="1882">
        <v>2</v>
      </c>
      <c r="W326" s="1882">
        <v>2</v>
      </c>
      <c r="X326" s="1882">
        <v>2</v>
      </c>
      <c r="Y326" s="1882"/>
      <c r="Z326" s="1882"/>
      <c r="AA326" s="1882"/>
      <c r="AB326" s="1882"/>
      <c r="AC326" s="1882"/>
      <c r="AD326" s="1882"/>
      <c r="AE326" s="1882" t="s">
        <v>2459</v>
      </c>
      <c r="AF326" s="1882"/>
      <c r="AG326" s="1882"/>
      <c r="AH326" s="1882">
        <v>0</v>
      </c>
      <c r="AI326" s="1882" t="s">
        <v>2459</v>
      </c>
      <c r="AJ326" s="1882" t="s">
        <v>2459</v>
      </c>
      <c r="AK326" s="1882" t="s">
        <v>2459</v>
      </c>
      <c r="AL326" s="1882" t="s">
        <v>2459</v>
      </c>
      <c r="AM326" s="1882" t="s">
        <v>2459</v>
      </c>
      <c r="AN326" s="1882">
        <v>4</v>
      </c>
      <c r="AO326" s="1882">
        <v>4</v>
      </c>
      <c r="AP326" s="1882">
        <v>4</v>
      </c>
      <c r="AQ326" s="1882">
        <v>4</v>
      </c>
      <c r="AR326" s="1882">
        <v>4</v>
      </c>
      <c r="AS326" s="1882">
        <v>2</v>
      </c>
      <c r="AT326" s="1882">
        <v>2</v>
      </c>
      <c r="AU326" s="1882">
        <v>2</v>
      </c>
      <c r="AV326" s="1882">
        <v>2</v>
      </c>
      <c r="AW326" s="1882">
        <v>2</v>
      </c>
      <c r="AX326" s="1882"/>
      <c r="AY326" s="1882"/>
      <c r="AZ326" s="1882"/>
      <c r="BA326" s="1882"/>
      <c r="BB326" s="1882"/>
      <c r="BC326" s="1882"/>
      <c r="BD326" s="1882"/>
      <c r="BE326" s="1882"/>
      <c r="BF326" s="1882"/>
      <c r="BG326" s="1882"/>
      <c r="BH326" s="1882">
        <v>1.0999999999999999E-2</v>
      </c>
      <c r="BI326" s="1882"/>
      <c r="BJ326" s="1882"/>
      <c r="BK326" s="1882"/>
      <c r="BL326" s="1882"/>
      <c r="BM326" s="1882"/>
      <c r="BN326" s="1882">
        <v>1</v>
      </c>
      <c r="BO326" s="1882" t="s">
        <v>8512</v>
      </c>
      <c r="BP326" s="520">
        <v>3</v>
      </c>
      <c r="BQ326" s="693">
        <v>5</v>
      </c>
      <c r="BR326" s="1882" t="s">
        <v>2460</v>
      </c>
      <c r="BS326" s="1882" t="s">
        <v>8563</v>
      </c>
      <c r="BT326" s="1882">
        <v>-2.1999999999999999E-2</v>
      </c>
      <c r="BU326" s="1882" t="s">
        <v>8513</v>
      </c>
      <c r="BV326" s="1882">
        <v>0</v>
      </c>
      <c r="BW326" s="1882">
        <v>9</v>
      </c>
      <c r="BX326" s="1882" t="s">
        <v>2460</v>
      </c>
      <c r="BY326" s="1882" t="s">
        <v>8563</v>
      </c>
      <c r="BZ326" s="1882">
        <v>-2.1999999999999999E-2</v>
      </c>
      <c r="CA326" s="1882">
        <v>0</v>
      </c>
      <c r="CB326" s="1882">
        <v>0</v>
      </c>
      <c r="CC326" s="1882">
        <v>18</v>
      </c>
      <c r="CD326" s="1882" t="s">
        <v>2460</v>
      </c>
      <c r="CE326" s="1882" t="s">
        <v>8384</v>
      </c>
      <c r="CF326" s="1882">
        <v>-2.1999999999999999E-2</v>
      </c>
      <c r="CG326" s="1882">
        <v>0</v>
      </c>
      <c r="CH326" s="1882">
        <v>0</v>
      </c>
      <c r="CI326" s="1882">
        <v>12</v>
      </c>
      <c r="CJ326" s="1882" t="s">
        <v>2460</v>
      </c>
      <c r="CK326" s="1882" t="s">
        <v>8384</v>
      </c>
      <c r="CL326" s="1882">
        <v>-2.1999999999999999E-2</v>
      </c>
      <c r="CM326" s="1882">
        <v>0</v>
      </c>
      <c r="CN326" s="1882">
        <v>0</v>
      </c>
      <c r="CP326" s="1882" t="s">
        <v>10377</v>
      </c>
    </row>
    <row r="327" spans="1:94">
      <c r="A327" s="1882" t="s">
        <v>8371</v>
      </c>
      <c r="B327" s="1882" t="s">
        <v>10378</v>
      </c>
      <c r="C327" s="1882" t="s">
        <v>8352</v>
      </c>
      <c r="D327" s="1882" t="s">
        <v>1626</v>
      </c>
      <c r="E327" s="1882" t="s">
        <v>8503</v>
      </c>
      <c r="F327" s="1882" t="s">
        <v>10342</v>
      </c>
      <c r="G327" s="1882" t="s">
        <v>10379</v>
      </c>
      <c r="H327" s="1882" t="s">
        <v>10380</v>
      </c>
      <c r="I327" s="1882" t="s">
        <v>10381</v>
      </c>
      <c r="J327" s="1882" t="s">
        <v>8539</v>
      </c>
      <c r="K327" s="1882"/>
      <c r="L327" s="1882"/>
      <c r="M327" s="1882"/>
      <c r="N327" s="1882" t="s">
        <v>8681</v>
      </c>
      <c r="O327" s="1882" t="s">
        <v>764</v>
      </c>
      <c r="P327" s="1882" t="s">
        <v>9180</v>
      </c>
      <c r="Q327" s="520">
        <v>1</v>
      </c>
      <c r="R327" s="1882" t="s">
        <v>8511</v>
      </c>
      <c r="S327" s="1882">
        <v>49.5</v>
      </c>
      <c r="T327" s="1882"/>
      <c r="U327" s="1882"/>
      <c r="V327" s="1882"/>
      <c r="W327" s="1882"/>
      <c r="X327" s="1882">
        <v>48</v>
      </c>
      <c r="Y327" s="1882"/>
      <c r="Z327" s="1882"/>
      <c r="AA327" s="1882"/>
      <c r="AB327" s="1882"/>
      <c r="AC327" s="1882"/>
      <c r="AD327" s="1882"/>
      <c r="AE327" s="1882"/>
      <c r="AF327" s="1882"/>
      <c r="AG327" s="1882"/>
      <c r="AH327" s="1882">
        <v>0</v>
      </c>
      <c r="AI327" s="1882"/>
      <c r="AJ327" s="1882"/>
      <c r="AK327" s="1882"/>
      <c r="AL327" s="1882"/>
      <c r="AM327" s="1882"/>
      <c r="AN327" s="1882"/>
      <c r="AO327" s="1882"/>
      <c r="AP327" s="1882"/>
      <c r="AQ327" s="1882"/>
      <c r="AR327" s="1882"/>
      <c r="AS327" s="1882"/>
      <c r="AT327" s="1882"/>
      <c r="AU327" s="1882"/>
      <c r="AV327" s="1882"/>
      <c r="AW327" s="1882"/>
      <c r="AX327" s="1882"/>
      <c r="AY327" s="1882"/>
      <c r="AZ327" s="1882"/>
      <c r="BA327" s="1882"/>
      <c r="BB327" s="1882"/>
      <c r="BC327" s="1882"/>
      <c r="BD327" s="1882"/>
      <c r="BE327" s="1882"/>
      <c r="BF327" s="1882"/>
      <c r="BG327" s="1882"/>
      <c r="BH327" s="1882"/>
      <c r="BI327" s="1882"/>
      <c r="BJ327" s="1882"/>
      <c r="BK327" s="1882"/>
      <c r="BL327" s="1882"/>
      <c r="BM327" s="1882"/>
      <c r="BN327" s="1882"/>
      <c r="BO327" s="1882"/>
      <c r="BP327" s="520">
        <v>56.7</v>
      </c>
      <c r="BQ327" s="690">
        <v>61.8</v>
      </c>
      <c r="BR327" s="1882" t="s">
        <v>8513</v>
      </c>
      <c r="BS327" s="1882" t="s">
        <v>8513</v>
      </c>
      <c r="BT327" s="1882">
        <v>0</v>
      </c>
      <c r="BU327" s="1882" t="s">
        <v>8513</v>
      </c>
      <c r="BV327" s="1882">
        <v>0</v>
      </c>
      <c r="BW327" s="1882">
        <v>67.2</v>
      </c>
      <c r="BX327" s="1882" t="s">
        <v>2451</v>
      </c>
      <c r="BY327" s="1882">
        <v>0</v>
      </c>
      <c r="BZ327" s="1882">
        <v>0</v>
      </c>
      <c r="CA327" s="1882">
        <v>0</v>
      </c>
      <c r="CB327" s="1882">
        <v>0</v>
      </c>
      <c r="CC327" s="1882">
        <v>57</v>
      </c>
      <c r="CD327" s="1882" t="s">
        <v>2451</v>
      </c>
      <c r="CE327" s="1882">
        <v>0</v>
      </c>
      <c r="CF327" s="1882">
        <v>0</v>
      </c>
      <c r="CG327" s="1882">
        <v>0</v>
      </c>
      <c r="CH327" s="1882">
        <v>0</v>
      </c>
      <c r="CI327" s="1882">
        <v>56.646525515988195</v>
      </c>
      <c r="CJ327" s="1882" t="s">
        <v>2451</v>
      </c>
      <c r="CK327" s="1882">
        <v>0</v>
      </c>
      <c r="CL327" s="1882">
        <v>0</v>
      </c>
      <c r="CM327" s="1882">
        <v>0</v>
      </c>
      <c r="CN327" s="1882">
        <v>0</v>
      </c>
      <c r="CP327" s="1882" t="s">
        <v>10382</v>
      </c>
    </row>
    <row r="328" spans="1:94">
      <c r="A328" s="1882" t="s">
        <v>8371</v>
      </c>
      <c r="B328" s="1882" t="s">
        <v>10383</v>
      </c>
      <c r="C328" s="1882" t="s">
        <v>8352</v>
      </c>
      <c r="D328" s="1882" t="s">
        <v>1626</v>
      </c>
      <c r="E328" s="1882" t="s">
        <v>8503</v>
      </c>
      <c r="F328" s="1882" t="s">
        <v>10342</v>
      </c>
      <c r="G328" s="1882" t="s">
        <v>10384</v>
      </c>
      <c r="H328" s="1882" t="s">
        <v>10385</v>
      </c>
      <c r="I328" s="1882" t="s">
        <v>10386</v>
      </c>
      <c r="J328" s="1882" t="s">
        <v>8539</v>
      </c>
      <c r="K328" s="1882"/>
      <c r="L328" s="1882"/>
      <c r="M328" s="1882"/>
      <c r="N328" s="1882" t="s">
        <v>8681</v>
      </c>
      <c r="O328" s="1882" t="s">
        <v>732</v>
      </c>
      <c r="P328" s="1882" t="s">
        <v>9874</v>
      </c>
      <c r="Q328" s="520">
        <v>2</v>
      </c>
      <c r="R328" s="1882" t="s">
        <v>8549</v>
      </c>
      <c r="S328" s="1882">
        <v>8.36</v>
      </c>
      <c r="T328" s="1882"/>
      <c r="U328" s="1882"/>
      <c r="V328" s="1882"/>
      <c r="W328" s="1882"/>
      <c r="X328" s="1882">
        <v>12.2</v>
      </c>
      <c r="Y328" s="1882"/>
      <c r="Z328" s="1882"/>
      <c r="AA328" s="1882"/>
      <c r="AB328" s="1882"/>
      <c r="AC328" s="1882"/>
      <c r="AD328" s="1882"/>
      <c r="AE328" s="1882"/>
      <c r="AF328" s="1882"/>
      <c r="AG328" s="1882"/>
      <c r="AH328" s="1882">
        <v>0</v>
      </c>
      <c r="AI328" s="1882"/>
      <c r="AJ328" s="1882"/>
      <c r="AK328" s="1882"/>
      <c r="AL328" s="1882"/>
      <c r="AM328" s="1882"/>
      <c r="AN328" s="1882"/>
      <c r="AO328" s="1882"/>
      <c r="AP328" s="1882"/>
      <c r="AQ328" s="1882"/>
      <c r="AR328" s="1882"/>
      <c r="AS328" s="1882"/>
      <c r="AT328" s="1882"/>
      <c r="AU328" s="1882"/>
      <c r="AV328" s="1882"/>
      <c r="AW328" s="1882"/>
      <c r="AX328" s="1882"/>
      <c r="AY328" s="1882"/>
      <c r="AZ328" s="1882"/>
      <c r="BA328" s="1882"/>
      <c r="BB328" s="1882"/>
      <c r="BC328" s="1882"/>
      <c r="BD328" s="1882"/>
      <c r="BE328" s="1882"/>
      <c r="BF328" s="1882"/>
      <c r="BG328" s="1882"/>
      <c r="BH328" s="1882"/>
      <c r="BI328" s="1882"/>
      <c r="BJ328" s="1882"/>
      <c r="BK328" s="1882"/>
      <c r="BL328" s="1882"/>
      <c r="BM328" s="1882"/>
      <c r="BN328" s="1882"/>
      <c r="BO328" s="1882"/>
      <c r="BP328" s="520">
        <v>5.75</v>
      </c>
      <c r="BQ328" s="694">
        <v>7.14</v>
      </c>
      <c r="BR328" s="1882" t="s">
        <v>8513</v>
      </c>
      <c r="BS328" s="1882" t="s">
        <v>8513</v>
      </c>
      <c r="BT328" s="1882">
        <v>0</v>
      </c>
      <c r="BU328" s="1882" t="s">
        <v>8513</v>
      </c>
      <c r="BV328" s="1882">
        <v>0</v>
      </c>
      <c r="BW328" s="1882">
        <v>5.61</v>
      </c>
      <c r="BX328" s="1882" t="s">
        <v>2451</v>
      </c>
      <c r="BY328" s="1882">
        <v>0</v>
      </c>
      <c r="BZ328" s="1882">
        <v>0</v>
      </c>
      <c r="CA328" s="1882">
        <v>0</v>
      </c>
      <c r="CB328" s="1882">
        <v>0</v>
      </c>
      <c r="CC328" s="1882">
        <v>8.9700000000000006</v>
      </c>
      <c r="CD328" s="1882" t="s">
        <v>2451</v>
      </c>
      <c r="CE328" s="1882">
        <v>0</v>
      </c>
      <c r="CF328" s="1882">
        <v>0</v>
      </c>
      <c r="CG328" s="1882">
        <v>0</v>
      </c>
      <c r="CH328" s="1882">
        <v>0</v>
      </c>
      <c r="CI328" s="1882">
        <v>9.476146685660094</v>
      </c>
      <c r="CJ328" s="1882" t="s">
        <v>2451</v>
      </c>
      <c r="CK328" s="1882">
        <v>0</v>
      </c>
      <c r="CL328" s="1882">
        <v>0</v>
      </c>
      <c r="CM328" s="1882">
        <v>0</v>
      </c>
      <c r="CN328" s="1882">
        <v>0</v>
      </c>
      <c r="CP328" s="1882" t="s">
        <v>10387</v>
      </c>
    </row>
    <row r="329" spans="1:94">
      <c r="A329" s="1882" t="s">
        <v>8371</v>
      </c>
      <c r="B329" s="1882" t="s">
        <v>10388</v>
      </c>
      <c r="C329" s="1882" t="s">
        <v>8352</v>
      </c>
      <c r="D329" s="1882" t="s">
        <v>1626</v>
      </c>
      <c r="E329" s="1882" t="s">
        <v>8503</v>
      </c>
      <c r="F329" s="1882" t="s">
        <v>10389</v>
      </c>
      <c r="G329" s="1882" t="s">
        <v>8678</v>
      </c>
      <c r="H329" s="1882" t="s">
        <v>10390</v>
      </c>
      <c r="I329" s="1882" t="s">
        <v>10391</v>
      </c>
      <c r="J329" s="1882" t="s">
        <v>8519</v>
      </c>
      <c r="K329" s="1882" t="s">
        <v>8855</v>
      </c>
      <c r="L329" s="1882"/>
      <c r="M329" s="1882"/>
      <c r="N329" s="1882" t="s">
        <v>8902</v>
      </c>
      <c r="O329" s="1882" t="s">
        <v>732</v>
      </c>
      <c r="P329" s="1882" t="s">
        <v>10392</v>
      </c>
      <c r="Q329" s="520">
        <v>1</v>
      </c>
      <c r="R329" s="1882" t="s">
        <v>8549</v>
      </c>
      <c r="S329" s="1882">
        <v>79</v>
      </c>
      <c r="T329" s="1882">
        <v>80.400000000000006</v>
      </c>
      <c r="U329" s="1882">
        <v>81.599999999999994</v>
      </c>
      <c r="V329" s="1882">
        <v>82.8</v>
      </c>
      <c r="W329" s="1882">
        <v>83.8</v>
      </c>
      <c r="X329" s="1882">
        <v>84.7</v>
      </c>
      <c r="Y329" s="1882"/>
      <c r="Z329" s="1882"/>
      <c r="AA329" s="1882"/>
      <c r="AB329" s="1882"/>
      <c r="AC329" s="1882"/>
      <c r="AD329" s="1882"/>
      <c r="AE329" s="1882"/>
      <c r="AF329" s="1882"/>
      <c r="AG329" s="1882"/>
      <c r="AH329" s="1882">
        <v>0</v>
      </c>
      <c r="AI329" s="1882" t="s">
        <v>2459</v>
      </c>
      <c r="AJ329" s="1882" t="s">
        <v>2459</v>
      </c>
      <c r="AK329" s="1882" t="s">
        <v>2459</v>
      </c>
      <c r="AL329" s="1882" t="s">
        <v>2459</v>
      </c>
      <c r="AM329" s="1882" t="s">
        <v>2459</v>
      </c>
      <c r="AN329" s="1882">
        <v>79</v>
      </c>
      <c r="AO329" s="1882">
        <v>79</v>
      </c>
      <c r="AP329" s="1882">
        <v>79</v>
      </c>
      <c r="AQ329" s="1882">
        <v>79</v>
      </c>
      <c r="AR329" s="1882">
        <v>79</v>
      </c>
      <c r="AS329" s="1882">
        <v>79.400000000000006</v>
      </c>
      <c r="AT329" s="1882">
        <v>80.599999999999994</v>
      </c>
      <c r="AU329" s="1882">
        <v>81.8</v>
      </c>
      <c r="AV329" s="1882">
        <v>82.8</v>
      </c>
      <c r="AW329" s="1882">
        <v>83.7</v>
      </c>
      <c r="AX329" s="1882"/>
      <c r="AY329" s="1882"/>
      <c r="AZ329" s="1882"/>
      <c r="BA329" s="1882"/>
      <c r="BB329" s="1882"/>
      <c r="BC329" s="1882"/>
      <c r="BD329" s="1882"/>
      <c r="BE329" s="1882"/>
      <c r="BF329" s="1882"/>
      <c r="BG329" s="1882"/>
      <c r="BH329" s="1882">
        <v>0.71199999999999997</v>
      </c>
      <c r="BI329" s="1882"/>
      <c r="BJ329" s="1882"/>
      <c r="BK329" s="1882"/>
      <c r="BL329" s="1882"/>
      <c r="BM329" s="1882"/>
      <c r="BN329" s="1882">
        <v>1</v>
      </c>
      <c r="BO329" s="1882" t="s">
        <v>8512</v>
      </c>
      <c r="BP329" s="520">
        <v>78.099999999999994</v>
      </c>
      <c r="BQ329" s="690">
        <v>79.099999999999994</v>
      </c>
      <c r="BR329" s="1882" t="s">
        <v>2460</v>
      </c>
      <c r="BS329" s="1882" t="s">
        <v>8513</v>
      </c>
      <c r="BT329" s="1882">
        <v>0</v>
      </c>
      <c r="BU329" s="1882" t="s">
        <v>8563</v>
      </c>
      <c r="BV329" s="1882">
        <v>-0.21360000000000001</v>
      </c>
      <c r="BW329" s="1882">
        <v>80.8</v>
      </c>
      <c r="BX329" s="1882" t="s">
        <v>2460</v>
      </c>
      <c r="BY329" s="1882">
        <v>0</v>
      </c>
      <c r="BZ329" s="1882">
        <v>0</v>
      </c>
      <c r="CA329" s="1882" t="s">
        <v>8429</v>
      </c>
      <c r="CB329" s="1882">
        <v>0</v>
      </c>
      <c r="CC329" s="1882">
        <v>81.8</v>
      </c>
      <c r="CD329" s="1882" t="s">
        <v>2460</v>
      </c>
      <c r="CE329" s="1882">
        <v>0</v>
      </c>
      <c r="CF329" s="1882">
        <v>0</v>
      </c>
      <c r="CG329" s="1882" t="s">
        <v>8388</v>
      </c>
      <c r="CH329" s="1882">
        <v>0</v>
      </c>
      <c r="CI329" s="1882">
        <v>82.763504392661929</v>
      </c>
      <c r="CJ329" s="1882" t="s">
        <v>2460</v>
      </c>
      <c r="CK329" s="1882">
        <v>0</v>
      </c>
      <c r="CL329" s="1882">
        <v>0</v>
      </c>
      <c r="CM329" s="1882" t="s">
        <v>8388</v>
      </c>
      <c r="CN329" s="1882">
        <v>0</v>
      </c>
      <c r="CP329" s="1882" t="s">
        <v>10393</v>
      </c>
    </row>
    <row r="330" spans="1:94">
      <c r="A330" s="1882" t="s">
        <v>8371</v>
      </c>
      <c r="B330" s="1882" t="s">
        <v>10394</v>
      </c>
      <c r="C330" s="1882" t="s">
        <v>8352</v>
      </c>
      <c r="D330" s="1882" t="s">
        <v>1627</v>
      </c>
      <c r="E330" s="1882" t="s">
        <v>8720</v>
      </c>
      <c r="F330" s="1882" t="s">
        <v>10395</v>
      </c>
      <c r="G330" s="1882" t="s">
        <v>9193</v>
      </c>
      <c r="H330" s="1882" t="s">
        <v>10396</v>
      </c>
      <c r="I330" s="1882" t="s">
        <v>10397</v>
      </c>
      <c r="J330" s="1882" t="s">
        <v>8508</v>
      </c>
      <c r="K330" s="1882" t="s">
        <v>8855</v>
      </c>
      <c r="L330" s="1882"/>
      <c r="M330" s="1882"/>
      <c r="N330" s="1882" t="s">
        <v>8724</v>
      </c>
      <c r="O330" s="1882" t="s">
        <v>764</v>
      </c>
      <c r="P330" s="1882" t="s">
        <v>9847</v>
      </c>
      <c r="Q330" s="520">
        <v>0</v>
      </c>
      <c r="R330" s="1882" t="s">
        <v>8511</v>
      </c>
      <c r="S330" s="1882">
        <v>157</v>
      </c>
      <c r="T330" s="1882">
        <v>153</v>
      </c>
      <c r="U330" s="1882">
        <v>148</v>
      </c>
      <c r="V330" s="1882">
        <v>144</v>
      </c>
      <c r="W330" s="1882">
        <v>139</v>
      </c>
      <c r="X330" s="1882">
        <v>135</v>
      </c>
      <c r="Y330" s="1882"/>
      <c r="Z330" s="1882"/>
      <c r="AA330" s="1882"/>
      <c r="AB330" s="1882"/>
      <c r="AC330" s="1882" t="s">
        <v>2459</v>
      </c>
      <c r="AD330" s="1882"/>
      <c r="AE330" s="1882" t="s">
        <v>2459</v>
      </c>
      <c r="AF330" s="1882"/>
      <c r="AG330" s="1882"/>
      <c r="AH330" s="1882">
        <v>0</v>
      </c>
      <c r="AI330" s="1882" t="s">
        <v>2459</v>
      </c>
      <c r="AJ330" s="1882" t="s">
        <v>2459</v>
      </c>
      <c r="AK330" s="1882" t="s">
        <v>2459</v>
      </c>
      <c r="AL330" s="1882" t="s">
        <v>2459</v>
      </c>
      <c r="AM330" s="1882" t="s">
        <v>2459</v>
      </c>
      <c r="AN330" s="1882">
        <v>212</v>
      </c>
      <c r="AO330" s="1882">
        <v>212</v>
      </c>
      <c r="AP330" s="1882">
        <v>212</v>
      </c>
      <c r="AQ330" s="1882">
        <v>212</v>
      </c>
      <c r="AR330" s="1882">
        <v>212</v>
      </c>
      <c r="AS330" s="1882">
        <v>193</v>
      </c>
      <c r="AT330" s="1882">
        <v>188</v>
      </c>
      <c r="AU330" s="1882">
        <v>184</v>
      </c>
      <c r="AV330" s="1882">
        <v>179</v>
      </c>
      <c r="AW330" s="1882">
        <v>175</v>
      </c>
      <c r="AX330" s="1882">
        <v>153</v>
      </c>
      <c r="AY330" s="1882">
        <v>148</v>
      </c>
      <c r="AZ330" s="1882">
        <v>144</v>
      </c>
      <c r="BA330" s="1882">
        <v>139</v>
      </c>
      <c r="BB330" s="1882">
        <v>135</v>
      </c>
      <c r="BC330" s="1882">
        <v>107</v>
      </c>
      <c r="BD330" s="1882">
        <v>107</v>
      </c>
      <c r="BE330" s="1882">
        <v>107</v>
      </c>
      <c r="BF330" s="1882">
        <v>107</v>
      </c>
      <c r="BG330" s="1882">
        <v>107</v>
      </c>
      <c r="BH330" s="1882">
        <v>8.8999999999999996E-2</v>
      </c>
      <c r="BI330" s="1882"/>
      <c r="BJ330" s="1882"/>
      <c r="BK330" s="1882"/>
      <c r="BL330" s="1882">
        <v>6.8000000000000005E-2</v>
      </c>
      <c r="BM330" s="1882"/>
      <c r="BN330" s="1882">
        <v>1</v>
      </c>
      <c r="BO330" s="1882" t="s">
        <v>8512</v>
      </c>
      <c r="BP330" s="520">
        <v>182</v>
      </c>
      <c r="BQ330" s="693">
        <v>189</v>
      </c>
      <c r="BR330" s="1882" t="s">
        <v>2460</v>
      </c>
      <c r="BS330" s="1882" t="s">
        <v>8513</v>
      </c>
      <c r="BT330" s="1882">
        <v>0</v>
      </c>
      <c r="BU330" s="1882" t="s">
        <v>8429</v>
      </c>
      <c r="BV330" s="1882">
        <v>0</v>
      </c>
      <c r="BW330" s="1882">
        <v>165</v>
      </c>
      <c r="BX330" s="1882" t="s">
        <v>2460</v>
      </c>
      <c r="BY330" s="1882">
        <v>0</v>
      </c>
      <c r="BZ330" s="1882">
        <v>0</v>
      </c>
      <c r="CA330" s="1882" t="s">
        <v>8429</v>
      </c>
      <c r="CB330" s="1882">
        <v>0</v>
      </c>
      <c r="CC330" s="1882">
        <v>141</v>
      </c>
      <c r="CD330" s="1882" t="s">
        <v>2459</v>
      </c>
      <c r="CE330" s="1882">
        <v>0</v>
      </c>
      <c r="CF330" s="1882">
        <v>0</v>
      </c>
      <c r="CG330" s="1882" t="s">
        <v>8376</v>
      </c>
      <c r="CH330" s="1882">
        <v>0.20399999999999999</v>
      </c>
      <c r="CI330" s="1882">
        <v>93</v>
      </c>
      <c r="CJ330" s="1882" t="s">
        <v>2459</v>
      </c>
      <c r="CK330" s="1882">
        <v>0</v>
      </c>
      <c r="CL330" s="1882">
        <v>0</v>
      </c>
      <c r="CM330" s="1882" t="s">
        <v>8376</v>
      </c>
      <c r="CN330" s="1882">
        <v>2.1760000000000002</v>
      </c>
      <c r="CP330" s="1882" t="s">
        <v>10398</v>
      </c>
    </row>
    <row r="331" spans="1:94">
      <c r="A331" s="1882" t="s">
        <v>8371</v>
      </c>
      <c r="B331" s="1882" t="s">
        <v>10399</v>
      </c>
      <c r="C331" s="1882" t="s">
        <v>8352</v>
      </c>
      <c r="D331" s="1882" t="s">
        <v>1627</v>
      </c>
      <c r="E331" s="1882" t="s">
        <v>8720</v>
      </c>
      <c r="F331" s="1882" t="s">
        <v>10395</v>
      </c>
      <c r="G331" s="1882" t="s">
        <v>8721</v>
      </c>
      <c r="H331" s="1882" t="s">
        <v>10400</v>
      </c>
      <c r="I331" s="1882" t="s">
        <v>10401</v>
      </c>
      <c r="J331" s="1882" t="s">
        <v>8508</v>
      </c>
      <c r="K331" s="1882" t="s">
        <v>8855</v>
      </c>
      <c r="L331" s="1882"/>
      <c r="M331" s="1882"/>
      <c r="N331" s="1882" t="s">
        <v>8724</v>
      </c>
      <c r="O331" s="1882" t="s">
        <v>764</v>
      </c>
      <c r="P331" s="1882" t="s">
        <v>9852</v>
      </c>
      <c r="Q331" s="520">
        <v>0</v>
      </c>
      <c r="R331" s="1882" t="s">
        <v>8511</v>
      </c>
      <c r="S331" s="1882">
        <v>3500</v>
      </c>
      <c r="T331" s="1882">
        <v>3440</v>
      </c>
      <c r="U331" s="1882">
        <v>3380</v>
      </c>
      <c r="V331" s="1882">
        <v>3320</v>
      </c>
      <c r="W331" s="1882">
        <v>3260</v>
      </c>
      <c r="X331" s="1882">
        <v>3200</v>
      </c>
      <c r="Y331" s="1882"/>
      <c r="Z331" s="1882"/>
      <c r="AA331" s="1882"/>
      <c r="AB331" s="1882"/>
      <c r="AC331" s="1882"/>
      <c r="AD331" s="1882"/>
      <c r="AE331" s="1882" t="s">
        <v>2459</v>
      </c>
      <c r="AF331" s="1882"/>
      <c r="AG331" s="1882"/>
      <c r="AH331" s="1882">
        <v>0</v>
      </c>
      <c r="AI331" s="1882" t="s">
        <v>2459</v>
      </c>
      <c r="AJ331" s="1882" t="s">
        <v>2459</v>
      </c>
      <c r="AK331" s="1882" t="s">
        <v>2459</v>
      </c>
      <c r="AL331" s="1882" t="s">
        <v>2459</v>
      </c>
      <c r="AM331" s="1882" t="s">
        <v>2459</v>
      </c>
      <c r="AN331" s="1882">
        <v>3800</v>
      </c>
      <c r="AO331" s="1882">
        <v>3800</v>
      </c>
      <c r="AP331" s="1882">
        <v>3800</v>
      </c>
      <c r="AQ331" s="1882">
        <v>3800</v>
      </c>
      <c r="AR331" s="1882">
        <v>3800</v>
      </c>
      <c r="AS331" s="1882">
        <v>3490</v>
      </c>
      <c r="AT331" s="1882">
        <v>3430</v>
      </c>
      <c r="AU331" s="1882">
        <v>3370</v>
      </c>
      <c r="AV331" s="1882">
        <v>3310</v>
      </c>
      <c r="AW331" s="1882">
        <v>3250</v>
      </c>
      <c r="AX331" s="1882">
        <v>3390</v>
      </c>
      <c r="AY331" s="1882">
        <v>3330</v>
      </c>
      <c r="AZ331" s="1882">
        <v>3270</v>
      </c>
      <c r="BA331" s="1882">
        <v>3210</v>
      </c>
      <c r="BB331" s="1882">
        <v>3150</v>
      </c>
      <c r="BC331" s="1882">
        <v>3150</v>
      </c>
      <c r="BD331" s="1882">
        <v>3150</v>
      </c>
      <c r="BE331" s="1882">
        <v>3150</v>
      </c>
      <c r="BF331" s="1882">
        <v>3150</v>
      </c>
      <c r="BG331" s="1882">
        <v>3150</v>
      </c>
      <c r="BH331" s="1882">
        <v>1E-3</v>
      </c>
      <c r="BI331" s="1882">
        <v>4.0000000000000001E-3</v>
      </c>
      <c r="BJ331" s="1882"/>
      <c r="BK331" s="1882"/>
      <c r="BL331" s="1882">
        <v>2.3E-3</v>
      </c>
      <c r="BM331" s="1882"/>
      <c r="BN331" s="1882">
        <v>1</v>
      </c>
      <c r="BO331" s="1882" t="s">
        <v>8512</v>
      </c>
      <c r="BP331" s="520">
        <v>3179</v>
      </c>
      <c r="BQ331" s="693">
        <v>3702</v>
      </c>
      <c r="BR331" s="1882" t="s">
        <v>2460</v>
      </c>
      <c r="BS331" s="1882" t="s">
        <v>8513</v>
      </c>
      <c r="BT331" s="1882">
        <v>0</v>
      </c>
      <c r="BU331" s="1882" t="s">
        <v>8563</v>
      </c>
      <c r="BV331" s="1882">
        <v>-0.24199999999999999</v>
      </c>
      <c r="BW331" s="1882">
        <v>3504</v>
      </c>
      <c r="BX331" s="1882" t="s">
        <v>2460</v>
      </c>
      <c r="BY331" s="1882">
        <v>0</v>
      </c>
      <c r="BZ331" s="1882">
        <v>0</v>
      </c>
      <c r="CA331" s="1882" t="s">
        <v>8563</v>
      </c>
      <c r="CB331" s="1882">
        <v>-0.28399999999999997</v>
      </c>
      <c r="CC331" s="1882">
        <v>2924</v>
      </c>
      <c r="CD331" s="1882" t="s">
        <v>2459</v>
      </c>
      <c r="CE331" s="1882">
        <v>0</v>
      </c>
      <c r="CF331" s="1882">
        <v>0</v>
      </c>
      <c r="CG331" s="1882" t="s">
        <v>8376</v>
      </c>
      <c r="CH331" s="1882">
        <v>0.27600000000000002</v>
      </c>
      <c r="CI331" s="1882">
        <v>2938</v>
      </c>
      <c r="CJ331" s="1882" t="s">
        <v>2459</v>
      </c>
      <c r="CK331" s="1882">
        <v>0</v>
      </c>
      <c r="CL331" s="1882">
        <v>0</v>
      </c>
      <c r="CM331" s="1882" t="s">
        <v>8376</v>
      </c>
      <c r="CN331" s="1882">
        <v>0.13800000000000001</v>
      </c>
      <c r="CP331" s="1882" t="s">
        <v>10402</v>
      </c>
    </row>
    <row r="332" spans="1:94">
      <c r="A332" s="1882" t="s">
        <v>8371</v>
      </c>
      <c r="B332" s="1882" t="s">
        <v>10403</v>
      </c>
      <c r="C332" s="1882" t="s">
        <v>8352</v>
      </c>
      <c r="D332" s="1882" t="s">
        <v>1627</v>
      </c>
      <c r="E332" s="1882" t="s">
        <v>8720</v>
      </c>
      <c r="F332" s="1882" t="s">
        <v>10395</v>
      </c>
      <c r="G332" s="1882" t="s">
        <v>8728</v>
      </c>
      <c r="H332" s="1882" t="s">
        <v>10404</v>
      </c>
      <c r="I332" s="1882" t="s">
        <v>10405</v>
      </c>
      <c r="J332" s="1882" t="s">
        <v>8508</v>
      </c>
      <c r="K332" s="1882" t="s">
        <v>8855</v>
      </c>
      <c r="L332" s="1882"/>
      <c r="M332" s="1882"/>
      <c r="N332" s="1882" t="s">
        <v>9862</v>
      </c>
      <c r="O332" s="1882" t="s">
        <v>764</v>
      </c>
      <c r="P332" s="1882" t="s">
        <v>10406</v>
      </c>
      <c r="Q332" s="520">
        <v>0</v>
      </c>
      <c r="R332" s="1882" t="s">
        <v>8511</v>
      </c>
      <c r="S332" s="1882">
        <v>410</v>
      </c>
      <c r="T332" s="1882">
        <v>388</v>
      </c>
      <c r="U332" s="1882">
        <v>366</v>
      </c>
      <c r="V332" s="1882">
        <v>344</v>
      </c>
      <c r="W332" s="1882">
        <v>322</v>
      </c>
      <c r="X332" s="1882">
        <v>300</v>
      </c>
      <c r="Y332" s="1882"/>
      <c r="Z332" s="1882"/>
      <c r="AA332" s="1882"/>
      <c r="AB332" s="1882"/>
      <c r="AC332" s="1882"/>
      <c r="AD332" s="1882"/>
      <c r="AE332" s="1882" t="s">
        <v>2459</v>
      </c>
      <c r="AF332" s="1882"/>
      <c r="AG332" s="1882"/>
      <c r="AH332" s="1882">
        <v>0</v>
      </c>
      <c r="AI332" s="1882" t="s">
        <v>2459</v>
      </c>
      <c r="AJ332" s="1882" t="s">
        <v>2459</v>
      </c>
      <c r="AK332" s="1882" t="s">
        <v>2459</v>
      </c>
      <c r="AL332" s="1882" t="s">
        <v>2459</v>
      </c>
      <c r="AM332" s="1882" t="s">
        <v>2459</v>
      </c>
      <c r="AN332" s="1882">
        <v>500</v>
      </c>
      <c r="AO332" s="1882">
        <v>500</v>
      </c>
      <c r="AP332" s="1882">
        <v>500</v>
      </c>
      <c r="AQ332" s="1882">
        <v>500</v>
      </c>
      <c r="AR332" s="1882">
        <v>500</v>
      </c>
      <c r="AS332" s="1882">
        <v>388</v>
      </c>
      <c r="AT332" s="1882">
        <v>366</v>
      </c>
      <c r="AU332" s="1882">
        <v>344</v>
      </c>
      <c r="AV332" s="1882">
        <v>322</v>
      </c>
      <c r="AW332" s="1882">
        <v>300</v>
      </c>
      <c r="AX332" s="1882">
        <v>388</v>
      </c>
      <c r="AY332" s="1882">
        <v>366</v>
      </c>
      <c r="AZ332" s="1882">
        <v>344</v>
      </c>
      <c r="BA332" s="1882">
        <v>322</v>
      </c>
      <c r="BB332" s="1882">
        <v>300</v>
      </c>
      <c r="BC332" s="1882">
        <v>0</v>
      </c>
      <c r="BD332" s="1882">
        <v>0</v>
      </c>
      <c r="BE332" s="1882">
        <v>0</v>
      </c>
      <c r="BF332" s="1882">
        <v>0</v>
      </c>
      <c r="BG332" s="1882">
        <v>0</v>
      </c>
      <c r="BH332" s="1882">
        <v>5.3E-3</v>
      </c>
      <c r="BI332" s="1882">
        <v>3.5999999999999999E-3</v>
      </c>
      <c r="BJ332" s="1882"/>
      <c r="BK332" s="1882"/>
      <c r="BL332" s="1882">
        <v>2.2000000000000001E-3</v>
      </c>
      <c r="BM332" s="1882"/>
      <c r="BN332" s="1882">
        <v>1</v>
      </c>
      <c r="BO332" s="1882" t="s">
        <v>8512</v>
      </c>
      <c r="BP332" s="520">
        <v>333</v>
      </c>
      <c r="BQ332" s="693">
        <v>230</v>
      </c>
      <c r="BR332" s="1882" t="s">
        <v>2459</v>
      </c>
      <c r="BS332" s="1882" t="s">
        <v>8513</v>
      </c>
      <c r="BT332" s="1882">
        <v>0</v>
      </c>
      <c r="BU332" s="1882" t="s">
        <v>8376</v>
      </c>
      <c r="BV332" s="1882">
        <v>0.34760000000000002</v>
      </c>
      <c r="BW332" s="1882">
        <v>278</v>
      </c>
      <c r="BX332" s="1882" t="s">
        <v>2459</v>
      </c>
      <c r="BY332" s="1882">
        <v>0</v>
      </c>
      <c r="BZ332" s="1882">
        <v>0</v>
      </c>
      <c r="CA332" s="1882" t="s">
        <v>8376</v>
      </c>
      <c r="CB332" s="1882">
        <v>0.19359999999999999</v>
      </c>
      <c r="CC332" s="1882">
        <v>242</v>
      </c>
      <c r="CD332" s="1882" t="s">
        <v>2459</v>
      </c>
      <c r="CE332" s="1882">
        <v>0</v>
      </c>
      <c r="CF332" s="1882">
        <v>0</v>
      </c>
      <c r="CG332" s="1882" t="s">
        <v>8376</v>
      </c>
      <c r="CH332" s="1882">
        <v>0.22439999999999999</v>
      </c>
      <c r="CI332" s="1882">
        <v>335</v>
      </c>
      <c r="CJ332" s="1882" t="s">
        <v>2460</v>
      </c>
      <c r="CK332" s="1882">
        <v>0</v>
      </c>
      <c r="CL332" s="1882">
        <v>0</v>
      </c>
      <c r="CM332" s="1882" t="s">
        <v>8384</v>
      </c>
      <c r="CN332" s="1882">
        <v>-4.6800000000000001E-2</v>
      </c>
      <c r="CP332" s="1882" t="s">
        <v>10407</v>
      </c>
    </row>
    <row r="333" spans="1:94">
      <c r="A333" s="1882" t="s">
        <v>8371</v>
      </c>
      <c r="B333" s="1882" t="s">
        <v>10408</v>
      </c>
      <c r="C333" s="1882" t="s">
        <v>8352</v>
      </c>
      <c r="D333" s="1882" t="s">
        <v>1627</v>
      </c>
      <c r="E333" s="1882" t="s">
        <v>8720</v>
      </c>
      <c r="F333" s="1882" t="s">
        <v>10395</v>
      </c>
      <c r="G333" s="1882" t="s">
        <v>8734</v>
      </c>
      <c r="H333" s="1882" t="s">
        <v>10409</v>
      </c>
      <c r="I333" s="1882" t="s">
        <v>10410</v>
      </c>
      <c r="J333" s="1882" t="s">
        <v>8519</v>
      </c>
      <c r="K333" s="1882" t="s">
        <v>8855</v>
      </c>
      <c r="L333" s="1882"/>
      <c r="M333" s="1882" t="s">
        <v>2460</v>
      </c>
      <c r="N333" s="1882" t="s">
        <v>8787</v>
      </c>
      <c r="O333" s="1882" t="s">
        <v>8704</v>
      </c>
      <c r="P333" s="1882" t="s">
        <v>8856</v>
      </c>
      <c r="Q333" s="520" t="s">
        <v>8512</v>
      </c>
      <c r="R333" s="1882"/>
      <c r="S333" s="1882" t="s">
        <v>8706</v>
      </c>
      <c r="T333" s="1882" t="s">
        <v>8706</v>
      </c>
      <c r="U333" s="1882" t="s">
        <v>8706</v>
      </c>
      <c r="V333" s="1882" t="s">
        <v>8706</v>
      </c>
      <c r="W333" s="1882" t="s">
        <v>8706</v>
      </c>
      <c r="X333" s="1882" t="s">
        <v>8706</v>
      </c>
      <c r="Y333" s="1882"/>
      <c r="Z333" s="1882"/>
      <c r="AA333" s="1882"/>
      <c r="AB333" s="1882"/>
      <c r="AC333" s="1882"/>
      <c r="AD333" s="1882"/>
      <c r="AE333" s="1882" t="s">
        <v>2459</v>
      </c>
      <c r="AF333" s="1882"/>
      <c r="AG333" s="1882"/>
      <c r="AH333" s="1882">
        <v>6</v>
      </c>
      <c r="AI333" s="1882" t="s">
        <v>2459</v>
      </c>
      <c r="AJ333" s="1882" t="s">
        <v>2459</v>
      </c>
      <c r="AK333" s="1882" t="s">
        <v>2459</v>
      </c>
      <c r="AL333" s="1882" t="s">
        <v>2459</v>
      </c>
      <c r="AM333" s="1882" t="s">
        <v>2459</v>
      </c>
      <c r="AN333" s="1882" t="s">
        <v>8857</v>
      </c>
      <c r="AO333" s="1882" t="s">
        <v>8857</v>
      </c>
      <c r="AP333" s="1882" t="s">
        <v>8857</v>
      </c>
      <c r="AQ333" s="1882" t="s">
        <v>8857</v>
      </c>
      <c r="AR333" s="1882" t="s">
        <v>8857</v>
      </c>
      <c r="AS333" s="1882" t="s">
        <v>8858</v>
      </c>
      <c r="AT333" s="1882" t="s">
        <v>8858</v>
      </c>
      <c r="AU333" s="1882" t="s">
        <v>8858</v>
      </c>
      <c r="AV333" s="1882" t="s">
        <v>8858</v>
      </c>
      <c r="AW333" s="1882" t="s">
        <v>8858</v>
      </c>
      <c r="AX333" s="1882"/>
      <c r="AY333" s="1882"/>
      <c r="AZ333" s="1882"/>
      <c r="BA333" s="1882"/>
      <c r="BB333" s="1882"/>
      <c r="BC333" s="1882"/>
      <c r="BD333" s="1882"/>
      <c r="BE333" s="1882"/>
      <c r="BF333" s="1882"/>
      <c r="BG333" s="1882"/>
      <c r="BH333" s="1882">
        <v>0.68799999999999994</v>
      </c>
      <c r="BI333" s="1882"/>
      <c r="BJ333" s="1882"/>
      <c r="BK333" s="1882"/>
      <c r="BL333" s="1882"/>
      <c r="BM333" s="1882"/>
      <c r="BN333" s="1882">
        <v>1</v>
      </c>
      <c r="BO333" s="1882" t="s">
        <v>8512</v>
      </c>
      <c r="BP333" s="520" t="s">
        <v>8706</v>
      </c>
      <c r="BQ333" s="705" t="s">
        <v>8706</v>
      </c>
      <c r="BR333" s="1882" t="s">
        <v>2459</v>
      </c>
      <c r="BS333" s="1882" t="s">
        <v>8513</v>
      </c>
      <c r="BT333" s="1882">
        <v>0</v>
      </c>
      <c r="BU333" s="1882" t="s">
        <v>8513</v>
      </c>
      <c r="BV333" s="1882">
        <v>0</v>
      </c>
      <c r="BW333" s="1882" t="s">
        <v>8706</v>
      </c>
      <c r="BX333" s="1882" t="s">
        <v>2459</v>
      </c>
      <c r="BY333" s="1882">
        <v>0</v>
      </c>
      <c r="BZ333" s="1882">
        <v>0</v>
      </c>
      <c r="CA333" s="1882">
        <v>0</v>
      </c>
      <c r="CB333" s="1882">
        <v>0</v>
      </c>
      <c r="CC333" s="1882" t="s">
        <v>8706</v>
      </c>
      <c r="CD333" s="1882" t="s">
        <v>2459</v>
      </c>
      <c r="CE333" s="1882">
        <v>0</v>
      </c>
      <c r="CF333" s="1882">
        <v>0</v>
      </c>
      <c r="CG333" s="1882">
        <v>0</v>
      </c>
      <c r="CH333" s="1882">
        <v>0</v>
      </c>
      <c r="CI333" s="1882" t="s">
        <v>8706</v>
      </c>
      <c r="CJ333" s="1882" t="s">
        <v>2459</v>
      </c>
      <c r="CK333" s="1882">
        <v>0</v>
      </c>
      <c r="CL333" s="1882">
        <v>0</v>
      </c>
      <c r="CM333" s="1882">
        <v>0</v>
      </c>
      <c r="CN333" s="1882">
        <v>0</v>
      </c>
      <c r="CP333" s="1882" t="s">
        <v>10411</v>
      </c>
    </row>
    <row r="334" spans="1:94">
      <c r="A334" s="1882" t="s">
        <v>8371</v>
      </c>
      <c r="B334" s="1882" t="s">
        <v>10412</v>
      </c>
      <c r="C334" s="1882" t="s">
        <v>8352</v>
      </c>
      <c r="D334" s="1882" t="s">
        <v>1627</v>
      </c>
      <c r="E334" s="1882" t="s">
        <v>8720</v>
      </c>
      <c r="F334" s="1882" t="s">
        <v>10395</v>
      </c>
      <c r="G334" s="1882" t="s">
        <v>10199</v>
      </c>
      <c r="H334" s="1882" t="s">
        <v>10413</v>
      </c>
      <c r="I334" s="1882" t="s">
        <v>10414</v>
      </c>
      <c r="J334" s="1882" t="s">
        <v>8519</v>
      </c>
      <c r="K334" s="1882" t="s">
        <v>8855</v>
      </c>
      <c r="L334" s="1882"/>
      <c r="M334" s="1882" t="s">
        <v>2460</v>
      </c>
      <c r="N334" s="1882" t="s">
        <v>8787</v>
      </c>
      <c r="O334" s="1882" t="s">
        <v>8704</v>
      </c>
      <c r="P334" s="1882" t="s">
        <v>8856</v>
      </c>
      <c r="Q334" s="520" t="s">
        <v>8512</v>
      </c>
      <c r="R334" s="1882"/>
      <c r="S334" s="1882" t="s">
        <v>8706</v>
      </c>
      <c r="T334" s="1882" t="s">
        <v>8706</v>
      </c>
      <c r="U334" s="1882" t="s">
        <v>8706</v>
      </c>
      <c r="V334" s="1882" t="s">
        <v>8706</v>
      </c>
      <c r="W334" s="1882" t="s">
        <v>8706</v>
      </c>
      <c r="X334" s="1882" t="s">
        <v>8706</v>
      </c>
      <c r="Y334" s="1882"/>
      <c r="Z334" s="1882"/>
      <c r="AA334" s="1882"/>
      <c r="AB334" s="1882"/>
      <c r="AC334" s="1882"/>
      <c r="AD334" s="1882"/>
      <c r="AE334" s="1882" t="s">
        <v>2459</v>
      </c>
      <c r="AF334" s="1882"/>
      <c r="AG334" s="1882"/>
      <c r="AH334" s="1882">
        <v>3</v>
      </c>
      <c r="AI334" s="1882" t="s">
        <v>2459</v>
      </c>
      <c r="AJ334" s="1882" t="s">
        <v>2459</v>
      </c>
      <c r="AK334" s="1882" t="s">
        <v>2459</v>
      </c>
      <c r="AL334" s="1882" t="s">
        <v>2459</v>
      </c>
      <c r="AM334" s="1882" t="s">
        <v>2459</v>
      </c>
      <c r="AN334" s="1882" t="s">
        <v>8857</v>
      </c>
      <c r="AO334" s="1882" t="s">
        <v>8857</v>
      </c>
      <c r="AP334" s="1882" t="s">
        <v>8857</v>
      </c>
      <c r="AQ334" s="1882" t="s">
        <v>8857</v>
      </c>
      <c r="AR334" s="1882" t="s">
        <v>8857</v>
      </c>
      <c r="AS334" s="1882" t="s">
        <v>8858</v>
      </c>
      <c r="AT334" s="1882" t="s">
        <v>8858</v>
      </c>
      <c r="AU334" s="1882" t="s">
        <v>8858</v>
      </c>
      <c r="AV334" s="1882" t="s">
        <v>8858</v>
      </c>
      <c r="AW334" s="1882" t="s">
        <v>8858</v>
      </c>
      <c r="AX334" s="1882"/>
      <c r="AY334" s="1882"/>
      <c r="AZ334" s="1882"/>
      <c r="BA334" s="1882"/>
      <c r="BB334" s="1882"/>
      <c r="BC334" s="1882"/>
      <c r="BD334" s="1882"/>
      <c r="BE334" s="1882"/>
      <c r="BF334" s="1882"/>
      <c r="BG334" s="1882"/>
      <c r="BH334" s="1882">
        <v>1.359</v>
      </c>
      <c r="BI334" s="1882"/>
      <c r="BJ334" s="1882"/>
      <c r="BK334" s="1882"/>
      <c r="BL334" s="1882"/>
      <c r="BM334" s="1882"/>
      <c r="BN334" s="1882">
        <v>1</v>
      </c>
      <c r="BO334" s="1882" t="s">
        <v>8512</v>
      </c>
      <c r="BP334" s="520" t="s">
        <v>8706</v>
      </c>
      <c r="BQ334" s="705" t="s">
        <v>8706</v>
      </c>
      <c r="BR334" s="1882" t="s">
        <v>2459</v>
      </c>
      <c r="BS334" s="1882" t="s">
        <v>8513</v>
      </c>
      <c r="BT334" s="1882">
        <v>0</v>
      </c>
      <c r="BU334" s="1882" t="s">
        <v>8513</v>
      </c>
      <c r="BV334" s="1882">
        <v>0</v>
      </c>
      <c r="BW334" s="1882" t="s">
        <v>8706</v>
      </c>
      <c r="BX334" s="1882" t="s">
        <v>2459</v>
      </c>
      <c r="BY334" s="1882">
        <v>0</v>
      </c>
      <c r="BZ334" s="1882">
        <v>0</v>
      </c>
      <c r="CA334" s="1882">
        <v>0</v>
      </c>
      <c r="CB334" s="1882">
        <v>0</v>
      </c>
      <c r="CC334" s="1882" t="s">
        <v>8706</v>
      </c>
      <c r="CD334" s="1882" t="s">
        <v>2459</v>
      </c>
      <c r="CE334" s="1882">
        <v>0</v>
      </c>
      <c r="CF334" s="1882">
        <v>0</v>
      </c>
      <c r="CG334" s="1882">
        <v>0</v>
      </c>
      <c r="CH334" s="1882">
        <v>0</v>
      </c>
      <c r="CI334" s="1882" t="s">
        <v>8706</v>
      </c>
      <c r="CJ334" s="1882" t="s">
        <v>2459</v>
      </c>
      <c r="CK334" s="1882">
        <v>0</v>
      </c>
      <c r="CL334" s="1882">
        <v>0</v>
      </c>
      <c r="CM334" s="1882">
        <v>0</v>
      </c>
      <c r="CN334" s="1882">
        <v>0</v>
      </c>
      <c r="CP334" s="1882" t="s">
        <v>10415</v>
      </c>
    </row>
    <row r="335" spans="1:94">
      <c r="A335" s="1882" t="s">
        <v>8371</v>
      </c>
      <c r="B335" s="1882" t="s">
        <v>10416</v>
      </c>
      <c r="C335" s="1882" t="s">
        <v>8352</v>
      </c>
      <c r="D335" s="1882" t="s">
        <v>1627</v>
      </c>
      <c r="E335" s="1882" t="s">
        <v>8720</v>
      </c>
      <c r="F335" s="1882" t="s">
        <v>10395</v>
      </c>
      <c r="G335" s="1882" t="s">
        <v>10417</v>
      </c>
      <c r="H335" s="1882" t="s">
        <v>10418</v>
      </c>
      <c r="I335" s="1882" t="s">
        <v>10419</v>
      </c>
      <c r="J335" s="1882" t="s">
        <v>8539</v>
      </c>
      <c r="K335" s="1882"/>
      <c r="L335" s="1882"/>
      <c r="M335" s="1882"/>
      <c r="N335" s="1882" t="s">
        <v>909</v>
      </c>
      <c r="O335" s="1882" t="s">
        <v>732</v>
      </c>
      <c r="P335" s="1882" t="s">
        <v>10420</v>
      </c>
      <c r="Q335" s="520">
        <v>2</v>
      </c>
      <c r="R335" s="1882" t="s">
        <v>8549</v>
      </c>
      <c r="S335" s="1882">
        <v>100</v>
      </c>
      <c r="T335" s="1882">
        <v>100</v>
      </c>
      <c r="U335" s="1882">
        <v>100</v>
      </c>
      <c r="V335" s="1882">
        <v>100</v>
      </c>
      <c r="W335" s="1882">
        <v>100</v>
      </c>
      <c r="X335" s="1882">
        <v>100</v>
      </c>
      <c r="Y335" s="1882"/>
      <c r="Z335" s="1882"/>
      <c r="AA335" s="1882"/>
      <c r="AB335" s="1882"/>
      <c r="AC335" s="1882"/>
      <c r="AD335" s="1882"/>
      <c r="AE335" s="1882"/>
      <c r="AF335" s="1882"/>
      <c r="AG335" s="1882"/>
      <c r="AH335" s="1882">
        <v>0</v>
      </c>
      <c r="AI335" s="1882"/>
      <c r="AJ335" s="1882"/>
      <c r="AK335" s="1882"/>
      <c r="AL335" s="1882"/>
      <c r="AM335" s="1882"/>
      <c r="AN335" s="1882"/>
      <c r="AO335" s="1882"/>
      <c r="AP335" s="1882"/>
      <c r="AQ335" s="1882"/>
      <c r="AR335" s="1882"/>
      <c r="AS335" s="1882"/>
      <c r="AT335" s="1882"/>
      <c r="AU335" s="1882"/>
      <c r="AV335" s="1882"/>
      <c r="AW335" s="1882"/>
      <c r="AX335" s="1882"/>
      <c r="AY335" s="1882"/>
      <c r="AZ335" s="1882"/>
      <c r="BA335" s="1882"/>
      <c r="BB335" s="1882"/>
      <c r="BC335" s="1882"/>
      <c r="BD335" s="1882"/>
      <c r="BE335" s="1882"/>
      <c r="BF335" s="1882"/>
      <c r="BG335" s="1882"/>
      <c r="BH335" s="1882"/>
      <c r="BI335" s="1882"/>
      <c r="BJ335" s="1882"/>
      <c r="BK335" s="1882"/>
      <c r="BL335" s="1882"/>
      <c r="BM335" s="1882"/>
      <c r="BN335" s="1882"/>
      <c r="BO335" s="1882"/>
      <c r="BP335" s="520">
        <v>100</v>
      </c>
      <c r="BQ335" s="693">
        <v>99.94</v>
      </c>
      <c r="BR335" s="1882" t="s">
        <v>2460</v>
      </c>
      <c r="BS335" s="1882" t="s">
        <v>8513</v>
      </c>
      <c r="BT335" s="1882">
        <v>0</v>
      </c>
      <c r="BU335" s="1882" t="s">
        <v>8513</v>
      </c>
      <c r="BV335" s="1882">
        <v>0</v>
      </c>
      <c r="BW335" s="1882">
        <v>100</v>
      </c>
      <c r="BX335" s="1882" t="s">
        <v>2459</v>
      </c>
      <c r="BY335" s="1882">
        <v>0</v>
      </c>
      <c r="BZ335" s="1882">
        <v>0</v>
      </c>
      <c r="CA335" s="1882">
        <v>0</v>
      </c>
      <c r="CB335" s="1882">
        <v>0</v>
      </c>
      <c r="CC335" s="1882">
        <v>100</v>
      </c>
      <c r="CD335" s="1882" t="s">
        <v>2459</v>
      </c>
      <c r="CE335" s="1882">
        <v>0</v>
      </c>
      <c r="CF335" s="1882">
        <v>0</v>
      </c>
      <c r="CG335" s="1882">
        <v>0</v>
      </c>
      <c r="CH335" s="1882">
        <v>0</v>
      </c>
      <c r="CI335" s="1882">
        <v>98.7</v>
      </c>
      <c r="CJ335" s="1882" t="s">
        <v>2460</v>
      </c>
      <c r="CK335" s="1882">
        <v>0</v>
      </c>
      <c r="CL335" s="1882">
        <v>0</v>
      </c>
      <c r="CM335" s="1882">
        <v>0</v>
      </c>
      <c r="CN335" s="1882">
        <v>0</v>
      </c>
      <c r="CP335" s="1882" t="s">
        <v>10421</v>
      </c>
    </row>
    <row r="336" spans="1:94">
      <c r="A336" s="1882" t="s">
        <v>8371</v>
      </c>
      <c r="B336" s="1882" t="s">
        <v>10422</v>
      </c>
      <c r="C336" s="1882" t="s">
        <v>8352</v>
      </c>
      <c r="D336" s="1882" t="s">
        <v>1627</v>
      </c>
      <c r="E336" s="1882" t="s">
        <v>8720</v>
      </c>
      <c r="F336" s="1882" t="s">
        <v>10337</v>
      </c>
      <c r="G336" s="1882" t="s">
        <v>8741</v>
      </c>
      <c r="H336" s="1882" t="s">
        <v>10423</v>
      </c>
      <c r="I336" s="1882" t="s">
        <v>10424</v>
      </c>
      <c r="J336" s="1882" t="s">
        <v>8508</v>
      </c>
      <c r="K336" s="1882" t="s">
        <v>8509</v>
      </c>
      <c r="L336" s="1882" t="s">
        <v>2459</v>
      </c>
      <c r="M336" s="1882"/>
      <c r="N336" s="1882" t="s">
        <v>8695</v>
      </c>
      <c r="O336" s="1882" t="s">
        <v>732</v>
      </c>
      <c r="P336" s="1882" t="s">
        <v>9920</v>
      </c>
      <c r="Q336" s="520">
        <v>1</v>
      </c>
      <c r="R336" s="1882" t="s">
        <v>8549</v>
      </c>
      <c r="S336" s="1882">
        <v>90</v>
      </c>
      <c r="T336" s="1882">
        <v>91</v>
      </c>
      <c r="U336" s="1882">
        <v>92</v>
      </c>
      <c r="V336" s="1882">
        <v>93</v>
      </c>
      <c r="W336" s="1882">
        <v>94</v>
      </c>
      <c r="X336" s="1882">
        <v>95</v>
      </c>
      <c r="Y336" s="1882"/>
      <c r="Z336" s="1882"/>
      <c r="AA336" s="1882"/>
      <c r="AB336" s="1882"/>
      <c r="AC336" s="1882"/>
      <c r="AD336" s="1882"/>
      <c r="AE336" s="1882"/>
      <c r="AF336" s="1882"/>
      <c r="AG336" s="1882"/>
      <c r="AH336" s="1882">
        <v>0</v>
      </c>
      <c r="AI336" s="1882" t="s">
        <v>2459</v>
      </c>
      <c r="AJ336" s="1882" t="s">
        <v>2459</v>
      </c>
      <c r="AK336" s="1882" t="s">
        <v>2459</v>
      </c>
      <c r="AL336" s="1882" t="s">
        <v>2459</v>
      </c>
      <c r="AM336" s="1882" t="s">
        <v>2459</v>
      </c>
      <c r="AN336" s="1882">
        <v>75</v>
      </c>
      <c r="AO336" s="1882">
        <v>75</v>
      </c>
      <c r="AP336" s="1882">
        <v>75</v>
      </c>
      <c r="AQ336" s="1882">
        <v>75</v>
      </c>
      <c r="AR336" s="1882">
        <v>75</v>
      </c>
      <c r="AS336" s="1882">
        <v>91</v>
      </c>
      <c r="AT336" s="1882">
        <v>92</v>
      </c>
      <c r="AU336" s="1882">
        <v>93</v>
      </c>
      <c r="AV336" s="1882">
        <v>94</v>
      </c>
      <c r="AW336" s="1882">
        <v>95</v>
      </c>
      <c r="AX336" s="1882">
        <v>91</v>
      </c>
      <c r="AY336" s="1882">
        <v>92</v>
      </c>
      <c r="AZ336" s="1882">
        <v>93</v>
      </c>
      <c r="BA336" s="1882">
        <v>94</v>
      </c>
      <c r="BB336" s="1882">
        <v>95</v>
      </c>
      <c r="BC336" s="1882">
        <v>100</v>
      </c>
      <c r="BD336" s="1882">
        <v>100</v>
      </c>
      <c r="BE336" s="1882">
        <v>100</v>
      </c>
      <c r="BF336" s="1882">
        <v>100</v>
      </c>
      <c r="BG336" s="1882">
        <v>100</v>
      </c>
      <c r="BH336" s="1882">
        <v>5.0999999999999997E-2</v>
      </c>
      <c r="BI336" s="1882"/>
      <c r="BJ336" s="1882"/>
      <c r="BK336" s="1882"/>
      <c r="BL336" s="1882">
        <v>4.2000000000000003E-2</v>
      </c>
      <c r="BM336" s="1882"/>
      <c r="BN336" s="1882">
        <v>1</v>
      </c>
      <c r="BO336" s="1882" t="s">
        <v>8512</v>
      </c>
      <c r="BP336" s="520">
        <v>87.1</v>
      </c>
      <c r="BQ336" s="690">
        <v>88.2</v>
      </c>
      <c r="BR336" s="1882" t="s">
        <v>2460</v>
      </c>
      <c r="BS336" s="1882" t="s">
        <v>8563</v>
      </c>
      <c r="BT336" s="1882">
        <v>-0.14280000000000001</v>
      </c>
      <c r="BU336" s="1882" t="s">
        <v>8513</v>
      </c>
      <c r="BV336" s="1882">
        <v>0</v>
      </c>
      <c r="BW336" s="1882">
        <v>89.9</v>
      </c>
      <c r="BX336" s="1882" t="s">
        <v>2460</v>
      </c>
      <c r="BY336" s="1882" t="s">
        <v>8563</v>
      </c>
      <c r="BZ336" s="1882">
        <v>-0.1071</v>
      </c>
      <c r="CA336" s="1882">
        <v>0</v>
      </c>
      <c r="CB336" s="1882">
        <v>0</v>
      </c>
      <c r="CC336" s="1882">
        <v>91.6</v>
      </c>
      <c r="CD336" s="1882" t="s">
        <v>2460</v>
      </c>
      <c r="CE336" s="1882" t="s">
        <v>8384</v>
      </c>
      <c r="CF336" s="1882">
        <v>-7.1400000000000005E-2</v>
      </c>
      <c r="CG336" s="1882">
        <v>0</v>
      </c>
      <c r="CH336" s="1882">
        <v>0</v>
      </c>
      <c r="CI336" s="1882">
        <v>91.7</v>
      </c>
      <c r="CJ336" s="1882" t="s">
        <v>2460</v>
      </c>
      <c r="CK336" s="1882" t="s">
        <v>8384</v>
      </c>
      <c r="CL336" s="1882">
        <v>-0.1173</v>
      </c>
      <c r="CM336" s="1882">
        <v>0</v>
      </c>
      <c r="CN336" s="1882">
        <v>0</v>
      </c>
      <c r="CP336" s="1882" t="s">
        <v>10425</v>
      </c>
    </row>
    <row r="337" spans="1:94">
      <c r="A337" s="1882" t="s">
        <v>8371</v>
      </c>
      <c r="B337" s="1882" t="s">
        <v>10426</v>
      </c>
      <c r="C337" s="1882" t="s">
        <v>8352</v>
      </c>
      <c r="D337" s="1882" t="s">
        <v>1627</v>
      </c>
      <c r="E337" s="1882" t="s">
        <v>8720</v>
      </c>
      <c r="F337" s="1882" t="s">
        <v>10342</v>
      </c>
      <c r="G337" s="1882" t="s">
        <v>8746</v>
      </c>
      <c r="H337" s="1882" t="s">
        <v>10427</v>
      </c>
      <c r="I337" s="1882" t="s">
        <v>10428</v>
      </c>
      <c r="J337" s="1882" t="s">
        <v>8519</v>
      </c>
      <c r="K337" s="1882" t="s">
        <v>8509</v>
      </c>
      <c r="L337" s="1882"/>
      <c r="M337" s="1882" t="s">
        <v>2460</v>
      </c>
      <c r="N337" s="1882" t="s">
        <v>8673</v>
      </c>
      <c r="O337" s="1882" t="s">
        <v>732</v>
      </c>
      <c r="P337" s="1882" t="s">
        <v>10429</v>
      </c>
      <c r="Q337" s="520">
        <v>1</v>
      </c>
      <c r="R337" s="1882" t="s">
        <v>8549</v>
      </c>
      <c r="S337" s="1882">
        <v>97.5</v>
      </c>
      <c r="T337" s="1882">
        <v>98</v>
      </c>
      <c r="U337" s="1882"/>
      <c r="V337" s="1882">
        <v>99</v>
      </c>
      <c r="W337" s="1882"/>
      <c r="X337" s="1882">
        <v>100</v>
      </c>
      <c r="Y337" s="1882"/>
      <c r="Z337" s="1882"/>
      <c r="AA337" s="1882"/>
      <c r="AB337" s="1882"/>
      <c r="AC337" s="1882"/>
      <c r="AD337" s="1882"/>
      <c r="AE337" s="1882" t="s">
        <v>2459</v>
      </c>
      <c r="AF337" s="1882"/>
      <c r="AG337" s="1882"/>
      <c r="AH337" s="1882">
        <v>0</v>
      </c>
      <c r="AI337" s="1882"/>
      <c r="AJ337" s="1882"/>
      <c r="AK337" s="1882"/>
      <c r="AL337" s="1882"/>
      <c r="AM337" s="1882" t="s">
        <v>2459</v>
      </c>
      <c r="AN337" s="1882"/>
      <c r="AO337" s="1882"/>
      <c r="AP337" s="1882"/>
      <c r="AQ337" s="1882"/>
      <c r="AR337" s="1882">
        <v>80</v>
      </c>
      <c r="AS337" s="1882"/>
      <c r="AT337" s="1882"/>
      <c r="AU337" s="1882"/>
      <c r="AV337" s="1882"/>
      <c r="AW337" s="1882">
        <v>99</v>
      </c>
      <c r="AX337" s="1882"/>
      <c r="AY337" s="1882"/>
      <c r="AZ337" s="1882"/>
      <c r="BA337" s="1882"/>
      <c r="BB337" s="1882"/>
      <c r="BC337" s="1882"/>
      <c r="BD337" s="1882"/>
      <c r="BE337" s="1882"/>
      <c r="BF337" s="1882"/>
      <c r="BG337" s="1882"/>
      <c r="BH337" s="1882">
        <v>1.4E-2</v>
      </c>
      <c r="BI337" s="1882">
        <v>0.29599999999999999</v>
      </c>
      <c r="BJ337" s="1882"/>
      <c r="BK337" s="1882"/>
      <c r="BL337" s="1882"/>
      <c r="BM337" s="1882"/>
      <c r="BN337" s="1882">
        <v>1</v>
      </c>
      <c r="BO337" s="1882" t="s">
        <v>8512</v>
      </c>
      <c r="BP337" s="520">
        <v>96.1</v>
      </c>
      <c r="BQ337" s="690">
        <v>95.8</v>
      </c>
      <c r="BR337" s="1882" t="s">
        <v>2460</v>
      </c>
      <c r="BS337" s="1882" t="s">
        <v>8513</v>
      </c>
      <c r="BT337" s="1882">
        <v>0</v>
      </c>
      <c r="BU337" s="1882" t="s">
        <v>8513</v>
      </c>
      <c r="BV337" s="1882">
        <v>0</v>
      </c>
      <c r="BW337" s="1882">
        <v>98.4</v>
      </c>
      <c r="BX337" s="1882" t="s">
        <v>2451</v>
      </c>
      <c r="BY337" s="1882">
        <v>0</v>
      </c>
      <c r="BZ337" s="1882">
        <v>0</v>
      </c>
      <c r="CA337" s="1882">
        <v>0</v>
      </c>
      <c r="CB337" s="1882">
        <v>0</v>
      </c>
      <c r="CC337" s="1882">
        <v>97.1</v>
      </c>
      <c r="CD337" s="1882" t="s">
        <v>2460</v>
      </c>
      <c r="CE337" s="1882">
        <v>0</v>
      </c>
      <c r="CF337" s="1882">
        <v>0</v>
      </c>
      <c r="CG337" s="1882">
        <v>0</v>
      </c>
      <c r="CH337" s="1882">
        <v>0</v>
      </c>
      <c r="CI337" s="1882">
        <v>98.697068403908787</v>
      </c>
      <c r="CJ337" s="1882" t="s">
        <v>2451</v>
      </c>
      <c r="CK337" s="1882">
        <v>0</v>
      </c>
      <c r="CL337" s="1882">
        <v>0</v>
      </c>
      <c r="CM337" s="1882">
        <v>0</v>
      </c>
      <c r="CN337" s="1882">
        <v>0</v>
      </c>
      <c r="CP337" s="1882" t="s">
        <v>10430</v>
      </c>
    </row>
    <row r="338" spans="1:94">
      <c r="A338" s="1882" t="s">
        <v>8371</v>
      </c>
      <c r="B338" s="1882" t="s">
        <v>10431</v>
      </c>
      <c r="C338" s="1882" t="s">
        <v>8352</v>
      </c>
      <c r="D338" s="1882" t="s">
        <v>1627</v>
      </c>
      <c r="E338" s="1882" t="s">
        <v>8720</v>
      </c>
      <c r="F338" s="1882" t="s">
        <v>10342</v>
      </c>
      <c r="G338" s="1882" t="s">
        <v>8752</v>
      </c>
      <c r="H338" s="1882" t="s">
        <v>10432</v>
      </c>
      <c r="I338" s="1882" t="s">
        <v>10433</v>
      </c>
      <c r="J338" s="1882" t="s">
        <v>8539</v>
      </c>
      <c r="K338" s="1882"/>
      <c r="L338" s="1882"/>
      <c r="M338" s="1882"/>
      <c r="N338" s="1882" t="s">
        <v>8673</v>
      </c>
      <c r="O338" s="1882" t="s">
        <v>732</v>
      </c>
      <c r="P338" s="1882" t="s">
        <v>10434</v>
      </c>
      <c r="Q338" s="520">
        <v>1</v>
      </c>
      <c r="R338" s="1882" t="s">
        <v>8549</v>
      </c>
      <c r="S338" s="1882">
        <v>99.9</v>
      </c>
      <c r="T338" s="1882"/>
      <c r="U338" s="1882"/>
      <c r="V338" s="1882"/>
      <c r="W338" s="1882"/>
      <c r="X338" s="1882">
        <v>100</v>
      </c>
      <c r="Y338" s="1882"/>
      <c r="Z338" s="1882"/>
      <c r="AA338" s="1882"/>
      <c r="AB338" s="1882"/>
      <c r="AC338" s="1882"/>
      <c r="AD338" s="1882"/>
      <c r="AE338" s="1882" t="s">
        <v>2459</v>
      </c>
      <c r="AF338" s="1882"/>
      <c r="AG338" s="1882"/>
      <c r="AH338" s="1882">
        <v>0</v>
      </c>
      <c r="AI338" s="1882"/>
      <c r="AJ338" s="1882"/>
      <c r="AK338" s="1882"/>
      <c r="AL338" s="1882"/>
      <c r="AM338" s="1882"/>
      <c r="AN338" s="1882"/>
      <c r="AO338" s="1882"/>
      <c r="AP338" s="1882"/>
      <c r="AQ338" s="1882"/>
      <c r="AR338" s="1882"/>
      <c r="AS338" s="1882"/>
      <c r="AT338" s="1882"/>
      <c r="AU338" s="1882"/>
      <c r="AV338" s="1882"/>
      <c r="AW338" s="1882"/>
      <c r="AX338" s="1882"/>
      <c r="AY338" s="1882"/>
      <c r="AZ338" s="1882"/>
      <c r="BA338" s="1882"/>
      <c r="BB338" s="1882"/>
      <c r="BC338" s="1882"/>
      <c r="BD338" s="1882"/>
      <c r="BE338" s="1882"/>
      <c r="BF338" s="1882"/>
      <c r="BG338" s="1882"/>
      <c r="BH338" s="1882"/>
      <c r="BI338" s="1882"/>
      <c r="BJ338" s="1882"/>
      <c r="BK338" s="1882"/>
      <c r="BL338" s="1882"/>
      <c r="BM338" s="1882"/>
      <c r="BN338" s="1882"/>
      <c r="BO338" s="1882"/>
      <c r="BP338" s="520">
        <v>99.2</v>
      </c>
      <c r="BQ338" s="690">
        <v>99.13</v>
      </c>
      <c r="BR338" s="1882" t="s">
        <v>8513</v>
      </c>
      <c r="BS338" s="1882" t="s">
        <v>8513</v>
      </c>
      <c r="BT338" s="1882">
        <v>0</v>
      </c>
      <c r="BU338" s="1882" t="s">
        <v>8513</v>
      </c>
      <c r="BV338" s="1882">
        <v>0</v>
      </c>
      <c r="BW338" s="1882">
        <v>99.9</v>
      </c>
      <c r="BX338" s="1882" t="s">
        <v>2451</v>
      </c>
      <c r="BY338" s="1882">
        <v>0</v>
      </c>
      <c r="BZ338" s="1882">
        <v>0</v>
      </c>
      <c r="CA338" s="1882">
        <v>0</v>
      </c>
      <c r="CB338" s="1882">
        <v>0</v>
      </c>
      <c r="CC338" s="1882">
        <v>99.9</v>
      </c>
      <c r="CD338" s="1882" t="s">
        <v>2451</v>
      </c>
      <c r="CE338" s="1882">
        <v>0</v>
      </c>
      <c r="CF338" s="1882">
        <v>0</v>
      </c>
      <c r="CG338" s="1882">
        <v>0</v>
      </c>
      <c r="CH338" s="1882">
        <v>0</v>
      </c>
      <c r="CI338" s="1882">
        <v>99.890662080261677</v>
      </c>
      <c r="CJ338" s="1882" t="s">
        <v>2451</v>
      </c>
      <c r="CK338" s="1882">
        <v>0</v>
      </c>
      <c r="CL338" s="1882">
        <v>0</v>
      </c>
      <c r="CM338" s="1882">
        <v>0</v>
      </c>
      <c r="CN338" s="1882">
        <v>0</v>
      </c>
      <c r="CP338" s="1882" t="s">
        <v>10435</v>
      </c>
    </row>
    <row r="339" spans="1:94">
      <c r="A339" s="1882" t="s">
        <v>8371</v>
      </c>
      <c r="B339" s="1882" t="s">
        <v>10436</v>
      </c>
      <c r="C339" s="1882" t="s">
        <v>8352</v>
      </c>
      <c r="D339" s="1882" t="s">
        <v>1627</v>
      </c>
      <c r="E339" s="1882" t="s">
        <v>8720</v>
      </c>
      <c r="F339" s="1882" t="s">
        <v>10342</v>
      </c>
      <c r="G339" s="1882" t="s">
        <v>8757</v>
      </c>
      <c r="H339" s="1882" t="s">
        <v>10437</v>
      </c>
      <c r="I339" s="1882" t="s">
        <v>10438</v>
      </c>
      <c r="J339" s="1882" t="s">
        <v>8519</v>
      </c>
      <c r="K339" s="1882" t="s">
        <v>8509</v>
      </c>
      <c r="L339" s="1882" t="s">
        <v>2459</v>
      </c>
      <c r="M339" s="1882" t="s">
        <v>2460</v>
      </c>
      <c r="N339" s="1882" t="s">
        <v>8673</v>
      </c>
      <c r="O339" s="1882" t="s">
        <v>732</v>
      </c>
      <c r="P339" s="1882" t="s">
        <v>10439</v>
      </c>
      <c r="Q339" s="520">
        <v>1</v>
      </c>
      <c r="R339" s="1882" t="s">
        <v>8549</v>
      </c>
      <c r="S339" s="1882">
        <v>95</v>
      </c>
      <c r="T339" s="1882">
        <v>100</v>
      </c>
      <c r="U339" s="1882">
        <v>100</v>
      </c>
      <c r="V339" s="1882">
        <v>100</v>
      </c>
      <c r="W339" s="1882">
        <v>100</v>
      </c>
      <c r="X339" s="1882">
        <v>100</v>
      </c>
      <c r="Y339" s="1882"/>
      <c r="Z339" s="1882"/>
      <c r="AA339" s="1882"/>
      <c r="AB339" s="1882"/>
      <c r="AC339" s="1882"/>
      <c r="AD339" s="1882"/>
      <c r="AE339" s="1882" t="s">
        <v>2459</v>
      </c>
      <c r="AF339" s="1882"/>
      <c r="AG339" s="1882"/>
      <c r="AH339" s="1882">
        <v>0</v>
      </c>
      <c r="AI339" s="1882" t="s">
        <v>2459</v>
      </c>
      <c r="AJ339" s="1882" t="s">
        <v>2459</v>
      </c>
      <c r="AK339" s="1882" t="s">
        <v>2459</v>
      </c>
      <c r="AL339" s="1882" t="s">
        <v>2459</v>
      </c>
      <c r="AM339" s="1882" t="s">
        <v>2459</v>
      </c>
      <c r="AN339" s="1882" t="s">
        <v>10440</v>
      </c>
      <c r="AO339" s="1882" t="s">
        <v>10440</v>
      </c>
      <c r="AP339" s="1882" t="s">
        <v>10440</v>
      </c>
      <c r="AQ339" s="1882" t="s">
        <v>10440</v>
      </c>
      <c r="AR339" s="1882" t="s">
        <v>10440</v>
      </c>
      <c r="AS339" s="1882">
        <v>95</v>
      </c>
      <c r="AT339" s="1882">
        <v>95</v>
      </c>
      <c r="AU339" s="1882">
        <v>95</v>
      </c>
      <c r="AV339" s="1882">
        <v>95</v>
      </c>
      <c r="AW339" s="1882">
        <v>95</v>
      </c>
      <c r="AX339" s="1882"/>
      <c r="AY339" s="1882"/>
      <c r="AZ339" s="1882"/>
      <c r="BA339" s="1882"/>
      <c r="BB339" s="1882"/>
      <c r="BC339" s="1882"/>
      <c r="BD339" s="1882"/>
      <c r="BE339" s="1882"/>
      <c r="BF339" s="1882"/>
      <c r="BG339" s="1882"/>
      <c r="BH339" s="1882">
        <v>0.25</v>
      </c>
      <c r="BI339" s="1882"/>
      <c r="BJ339" s="1882"/>
      <c r="BK339" s="1882"/>
      <c r="BL339" s="1882"/>
      <c r="BM339" s="1882"/>
      <c r="BN339" s="1882">
        <v>1</v>
      </c>
      <c r="BO339" s="1882" t="s">
        <v>8512</v>
      </c>
      <c r="BP339" s="520">
        <v>91.4</v>
      </c>
      <c r="BQ339" s="690">
        <v>99.09</v>
      </c>
      <c r="BR339" s="1882" t="s">
        <v>2460</v>
      </c>
      <c r="BS339" s="1882" t="s">
        <v>8429</v>
      </c>
      <c r="BT339" s="1882">
        <v>0</v>
      </c>
      <c r="BU339" s="1882" t="s">
        <v>8513</v>
      </c>
      <c r="BV339" s="1882">
        <v>0</v>
      </c>
      <c r="BW339" s="1882">
        <v>99.4</v>
      </c>
      <c r="BX339" s="1882" t="s">
        <v>2460</v>
      </c>
      <c r="BY339" s="1882" t="s">
        <v>8429</v>
      </c>
      <c r="BZ339" s="1882">
        <v>0</v>
      </c>
      <c r="CA339" s="1882">
        <v>0</v>
      </c>
      <c r="CB339" s="1882">
        <v>0</v>
      </c>
      <c r="CC339" s="1882">
        <v>100</v>
      </c>
      <c r="CD339" s="1882" t="s">
        <v>2459</v>
      </c>
      <c r="CE339" s="1882">
        <v>0</v>
      </c>
      <c r="CF339" s="1882">
        <v>0</v>
      </c>
      <c r="CG339" s="1882">
        <v>0</v>
      </c>
      <c r="CH339" s="1882">
        <v>0</v>
      </c>
      <c r="CI339" s="1882">
        <v>99.686520376175551</v>
      </c>
      <c r="CJ339" s="1882" t="s">
        <v>2460</v>
      </c>
      <c r="CK339" s="1882">
        <v>0</v>
      </c>
      <c r="CL339" s="1882">
        <v>0</v>
      </c>
      <c r="CM339" s="1882">
        <v>0</v>
      </c>
      <c r="CN339" s="1882">
        <v>0</v>
      </c>
      <c r="CP339" s="1882" t="s">
        <v>10441</v>
      </c>
    </row>
    <row r="340" spans="1:94">
      <c r="A340" s="1882" t="s">
        <v>8371</v>
      </c>
      <c r="B340" s="1882" t="s">
        <v>10442</v>
      </c>
      <c r="C340" s="1882" t="s">
        <v>8352</v>
      </c>
      <c r="D340" s="1882" t="s">
        <v>1627</v>
      </c>
      <c r="E340" s="1882" t="s">
        <v>8720</v>
      </c>
      <c r="F340" s="1882" t="s">
        <v>10342</v>
      </c>
      <c r="G340" s="1882" t="s">
        <v>8764</v>
      </c>
      <c r="H340" s="1882" t="s">
        <v>10443</v>
      </c>
      <c r="I340" s="1882" t="s">
        <v>10444</v>
      </c>
      <c r="J340" s="1882" t="s">
        <v>8519</v>
      </c>
      <c r="K340" s="1882" t="s">
        <v>8509</v>
      </c>
      <c r="L340" s="1882" t="s">
        <v>2459</v>
      </c>
      <c r="M340" s="1882"/>
      <c r="N340" s="1882" t="s">
        <v>8760</v>
      </c>
      <c r="O340" s="1882" t="s">
        <v>764</v>
      </c>
      <c r="P340" s="1882" t="s">
        <v>9893</v>
      </c>
      <c r="Q340" s="520">
        <v>0</v>
      </c>
      <c r="R340" s="1882" t="s">
        <v>8511</v>
      </c>
      <c r="S340" s="1882">
        <v>2</v>
      </c>
      <c r="T340" s="1882">
        <v>0</v>
      </c>
      <c r="U340" s="1882">
        <v>0</v>
      </c>
      <c r="V340" s="1882">
        <v>0</v>
      </c>
      <c r="W340" s="1882">
        <v>0</v>
      </c>
      <c r="X340" s="1882">
        <v>0</v>
      </c>
      <c r="Y340" s="1882"/>
      <c r="Z340" s="1882"/>
      <c r="AA340" s="1882"/>
      <c r="AB340" s="1882"/>
      <c r="AC340" s="1882"/>
      <c r="AD340" s="1882"/>
      <c r="AE340" s="1882" t="s">
        <v>2459</v>
      </c>
      <c r="AF340" s="1882"/>
      <c r="AG340" s="1882"/>
      <c r="AH340" s="1882">
        <v>0</v>
      </c>
      <c r="AI340" s="1882" t="s">
        <v>2459</v>
      </c>
      <c r="AJ340" s="1882" t="s">
        <v>2459</v>
      </c>
      <c r="AK340" s="1882" t="s">
        <v>2459</v>
      </c>
      <c r="AL340" s="1882" t="s">
        <v>2459</v>
      </c>
      <c r="AM340" s="1882" t="s">
        <v>2459</v>
      </c>
      <c r="AN340" s="1882">
        <v>8</v>
      </c>
      <c r="AO340" s="1882">
        <v>8</v>
      </c>
      <c r="AP340" s="1882">
        <v>8</v>
      </c>
      <c r="AQ340" s="1882">
        <v>8</v>
      </c>
      <c r="AR340" s="1882">
        <v>8</v>
      </c>
      <c r="AS340" s="1882">
        <v>2</v>
      </c>
      <c r="AT340" s="1882">
        <v>2</v>
      </c>
      <c r="AU340" s="1882">
        <v>2</v>
      </c>
      <c r="AV340" s="1882">
        <v>2</v>
      </c>
      <c r="AW340" s="1882">
        <v>2</v>
      </c>
      <c r="AX340" s="1882"/>
      <c r="AY340" s="1882"/>
      <c r="AZ340" s="1882"/>
      <c r="BA340" s="1882"/>
      <c r="BB340" s="1882"/>
      <c r="BC340" s="1882"/>
      <c r="BD340" s="1882"/>
      <c r="BE340" s="1882"/>
      <c r="BF340" s="1882"/>
      <c r="BG340" s="1882"/>
      <c r="BH340" s="1882">
        <v>0.34599999999999997</v>
      </c>
      <c r="BI340" s="1882"/>
      <c r="BJ340" s="1882"/>
      <c r="BK340" s="1882"/>
      <c r="BL340" s="1882"/>
      <c r="BM340" s="1882"/>
      <c r="BN340" s="1882">
        <v>1</v>
      </c>
      <c r="BO340" s="1882" t="s">
        <v>8512</v>
      </c>
      <c r="BP340" s="520">
        <v>3</v>
      </c>
      <c r="BQ340" s="693">
        <v>7</v>
      </c>
      <c r="BR340" s="1882" t="s">
        <v>2460</v>
      </c>
      <c r="BS340" s="1882" t="s">
        <v>8563</v>
      </c>
      <c r="BT340" s="1882">
        <v>-1.73</v>
      </c>
      <c r="BU340" s="1882" t="s">
        <v>8513</v>
      </c>
      <c r="BV340" s="1882">
        <v>0</v>
      </c>
      <c r="BW340" s="1882">
        <v>4</v>
      </c>
      <c r="BX340" s="1882" t="s">
        <v>2460</v>
      </c>
      <c r="BY340" s="1882" t="s">
        <v>8563</v>
      </c>
      <c r="BZ340" s="1882">
        <v>-0.69199999999999995</v>
      </c>
      <c r="CA340" s="1882">
        <v>0</v>
      </c>
      <c r="CB340" s="1882">
        <v>0</v>
      </c>
      <c r="CC340" s="1882">
        <v>3</v>
      </c>
      <c r="CD340" s="1882" t="s">
        <v>2460</v>
      </c>
      <c r="CE340" s="1882" t="s">
        <v>8384</v>
      </c>
      <c r="CF340" s="1882">
        <v>-0.34599999999999997</v>
      </c>
      <c r="CG340" s="1882">
        <v>0</v>
      </c>
      <c r="CH340" s="1882">
        <v>0</v>
      </c>
      <c r="CI340" s="1882">
        <v>2</v>
      </c>
      <c r="CJ340" s="1882" t="s">
        <v>2460</v>
      </c>
      <c r="CK340" s="1882" t="s">
        <v>8388</v>
      </c>
      <c r="CL340" s="1882">
        <v>0</v>
      </c>
      <c r="CM340" s="1882">
        <v>0</v>
      </c>
      <c r="CN340" s="1882">
        <v>0</v>
      </c>
      <c r="CP340" s="1882" t="s">
        <v>10445</v>
      </c>
    </row>
    <row r="341" spans="1:94">
      <c r="A341" s="1882" t="s">
        <v>8371</v>
      </c>
      <c r="B341" s="1882" t="s">
        <v>10446</v>
      </c>
      <c r="C341" s="1882" t="s">
        <v>8352</v>
      </c>
      <c r="D341" s="1882" t="s">
        <v>1627</v>
      </c>
      <c r="E341" s="1882" t="s">
        <v>8720</v>
      </c>
      <c r="F341" s="1882" t="s">
        <v>10342</v>
      </c>
      <c r="G341" s="1882" t="s">
        <v>10226</v>
      </c>
      <c r="H341" s="1882" t="s">
        <v>10447</v>
      </c>
      <c r="I341" s="1882" t="s">
        <v>10448</v>
      </c>
      <c r="J341" s="1882" t="s">
        <v>8519</v>
      </c>
      <c r="K341" s="1882" t="s">
        <v>8509</v>
      </c>
      <c r="L341" s="1882" t="s">
        <v>2459</v>
      </c>
      <c r="M341" s="1882" t="s">
        <v>2460</v>
      </c>
      <c r="N341" s="1882" t="s">
        <v>8760</v>
      </c>
      <c r="O341" s="1882" t="s">
        <v>764</v>
      </c>
      <c r="P341" s="1882" t="s">
        <v>10376</v>
      </c>
      <c r="Q341" s="520">
        <v>0</v>
      </c>
      <c r="R341" s="1882" t="s">
        <v>8511</v>
      </c>
      <c r="S341" s="1882">
        <v>248</v>
      </c>
      <c r="T341" s="1882">
        <v>238</v>
      </c>
      <c r="U341" s="1882">
        <v>228</v>
      </c>
      <c r="V341" s="1882">
        <v>218</v>
      </c>
      <c r="W341" s="1882">
        <v>208</v>
      </c>
      <c r="X341" s="1882">
        <v>198</v>
      </c>
      <c r="Y341" s="1882"/>
      <c r="Z341" s="1882"/>
      <c r="AA341" s="1882"/>
      <c r="AB341" s="1882"/>
      <c r="AC341" s="1882"/>
      <c r="AD341" s="1882"/>
      <c r="AE341" s="1882" t="s">
        <v>2459</v>
      </c>
      <c r="AF341" s="1882"/>
      <c r="AG341" s="1882"/>
      <c r="AH341" s="1882">
        <v>0</v>
      </c>
      <c r="AI341" s="1882" t="s">
        <v>2459</v>
      </c>
      <c r="AJ341" s="1882" t="s">
        <v>2459</v>
      </c>
      <c r="AK341" s="1882" t="s">
        <v>2459</v>
      </c>
      <c r="AL341" s="1882" t="s">
        <v>2459</v>
      </c>
      <c r="AM341" s="1882" t="s">
        <v>2459</v>
      </c>
      <c r="AN341" s="1882">
        <v>262</v>
      </c>
      <c r="AO341" s="1882">
        <v>262</v>
      </c>
      <c r="AP341" s="1882">
        <v>262</v>
      </c>
      <c r="AQ341" s="1882">
        <v>262</v>
      </c>
      <c r="AR341" s="1882">
        <v>262</v>
      </c>
      <c r="AS341" s="1882">
        <v>238</v>
      </c>
      <c r="AT341" s="1882">
        <v>228</v>
      </c>
      <c r="AU341" s="1882">
        <v>218</v>
      </c>
      <c r="AV341" s="1882">
        <v>208</v>
      </c>
      <c r="AW341" s="1882">
        <v>198</v>
      </c>
      <c r="AX341" s="1882"/>
      <c r="AY341" s="1882"/>
      <c r="AZ341" s="1882"/>
      <c r="BA341" s="1882"/>
      <c r="BB341" s="1882"/>
      <c r="BC341" s="1882"/>
      <c r="BD341" s="1882"/>
      <c r="BE341" s="1882"/>
      <c r="BF341" s="1882"/>
      <c r="BG341" s="1882"/>
      <c r="BH341" s="1882">
        <v>1.03E-2</v>
      </c>
      <c r="BI341" s="1882">
        <v>1.9300000000000001E-2</v>
      </c>
      <c r="BJ341" s="1882"/>
      <c r="BK341" s="1882"/>
      <c r="BL341" s="1882"/>
      <c r="BM341" s="1882"/>
      <c r="BN341" s="1882">
        <v>1</v>
      </c>
      <c r="BO341" s="1882" t="s">
        <v>8512</v>
      </c>
      <c r="BP341" s="520">
        <v>315</v>
      </c>
      <c r="BQ341" s="693">
        <v>222</v>
      </c>
      <c r="BR341" s="1882" t="s">
        <v>2459</v>
      </c>
      <c r="BS341" s="1882" t="s">
        <v>8513</v>
      </c>
      <c r="BT341" s="1882">
        <v>0</v>
      </c>
      <c r="BU341" s="1882" t="s">
        <v>8513</v>
      </c>
      <c r="BV341" s="1882">
        <v>0</v>
      </c>
      <c r="BW341" s="1882">
        <v>252</v>
      </c>
      <c r="BX341" s="1882" t="s">
        <v>2460</v>
      </c>
      <c r="BY341" s="1882" t="s">
        <v>8563</v>
      </c>
      <c r="BZ341" s="1882">
        <v>-0.42720000000000002</v>
      </c>
      <c r="CA341" s="1882">
        <v>0</v>
      </c>
      <c r="CB341" s="1882">
        <v>0</v>
      </c>
      <c r="CC341" s="1882">
        <v>237</v>
      </c>
      <c r="CD341" s="1882" t="s">
        <v>2460</v>
      </c>
      <c r="CE341" s="1882" t="s">
        <v>8384</v>
      </c>
      <c r="CF341" s="1882">
        <v>-0.36670000000000003</v>
      </c>
      <c r="CG341" s="1882">
        <v>0</v>
      </c>
      <c r="CH341" s="1882">
        <v>0</v>
      </c>
      <c r="CI341" s="1882">
        <v>248</v>
      </c>
      <c r="CJ341" s="1882" t="s">
        <v>2460</v>
      </c>
      <c r="CK341" s="1882" t="s">
        <v>8384</v>
      </c>
      <c r="CL341" s="1882">
        <v>-0.77200000000000002</v>
      </c>
      <c r="CM341" s="1882">
        <v>0</v>
      </c>
      <c r="CN341" s="1882">
        <v>0</v>
      </c>
      <c r="CP341" s="1882" t="s">
        <v>10449</v>
      </c>
    </row>
    <row r="342" spans="1:94">
      <c r="A342" s="1882" t="s">
        <v>8371</v>
      </c>
      <c r="B342" s="1882" t="s">
        <v>10450</v>
      </c>
      <c r="C342" s="1882" t="s">
        <v>8352</v>
      </c>
      <c r="D342" s="1882" t="s">
        <v>1627</v>
      </c>
      <c r="E342" s="1882" t="s">
        <v>8720</v>
      </c>
      <c r="F342" s="1882" t="s">
        <v>10342</v>
      </c>
      <c r="G342" s="1882" t="s">
        <v>10233</v>
      </c>
      <c r="H342" s="1882" t="s">
        <v>10451</v>
      </c>
      <c r="I342" s="1882" t="s">
        <v>10452</v>
      </c>
      <c r="J342" s="1882" t="s">
        <v>8539</v>
      </c>
      <c r="K342" s="1882"/>
      <c r="L342" s="1882"/>
      <c r="M342" s="1882"/>
      <c r="N342" s="1882" t="s">
        <v>8681</v>
      </c>
      <c r="O342" s="1882" t="s">
        <v>764</v>
      </c>
      <c r="P342" s="1882" t="s">
        <v>9180</v>
      </c>
      <c r="Q342" s="520">
        <v>1</v>
      </c>
      <c r="R342" s="1882" t="s">
        <v>8511</v>
      </c>
      <c r="S342" s="1882">
        <v>100.5</v>
      </c>
      <c r="T342" s="1882"/>
      <c r="U342" s="1882"/>
      <c r="V342" s="1882"/>
      <c r="W342" s="1882"/>
      <c r="X342" s="1882">
        <v>102</v>
      </c>
      <c r="Y342" s="1882"/>
      <c r="Z342" s="1882"/>
      <c r="AA342" s="1882"/>
      <c r="AB342" s="1882"/>
      <c r="AC342" s="1882"/>
      <c r="AD342" s="1882"/>
      <c r="AE342" s="1882"/>
      <c r="AF342" s="1882"/>
      <c r="AG342" s="1882"/>
      <c r="AH342" s="1882">
        <v>0</v>
      </c>
      <c r="AI342" s="1882"/>
      <c r="AJ342" s="1882"/>
      <c r="AK342" s="1882"/>
      <c r="AL342" s="1882"/>
      <c r="AM342" s="1882"/>
      <c r="AN342" s="1882"/>
      <c r="AO342" s="1882"/>
      <c r="AP342" s="1882"/>
      <c r="AQ342" s="1882"/>
      <c r="AR342" s="1882"/>
      <c r="AS342" s="1882"/>
      <c r="AT342" s="1882"/>
      <c r="AU342" s="1882"/>
      <c r="AV342" s="1882"/>
      <c r="AW342" s="1882"/>
      <c r="AX342" s="1882"/>
      <c r="AY342" s="1882"/>
      <c r="AZ342" s="1882"/>
      <c r="BA342" s="1882"/>
      <c r="BB342" s="1882"/>
      <c r="BC342" s="1882"/>
      <c r="BD342" s="1882"/>
      <c r="BE342" s="1882"/>
      <c r="BF342" s="1882"/>
      <c r="BG342" s="1882"/>
      <c r="BH342" s="1882"/>
      <c r="BI342" s="1882"/>
      <c r="BJ342" s="1882"/>
      <c r="BK342" s="1882"/>
      <c r="BL342" s="1882"/>
      <c r="BM342" s="1882"/>
      <c r="BN342" s="1882"/>
      <c r="BO342" s="1882"/>
      <c r="BP342" s="520">
        <v>93.5</v>
      </c>
      <c r="BQ342" s="690">
        <v>98.6</v>
      </c>
      <c r="BR342" s="1882" t="s">
        <v>8513</v>
      </c>
      <c r="BS342" s="1882" t="s">
        <v>8513</v>
      </c>
      <c r="BT342" s="1882">
        <v>0</v>
      </c>
      <c r="BU342" s="1882" t="s">
        <v>8513</v>
      </c>
      <c r="BV342" s="1882">
        <v>0</v>
      </c>
      <c r="BW342" s="1882">
        <v>85.9</v>
      </c>
      <c r="BX342" s="1882" t="s">
        <v>2451</v>
      </c>
      <c r="BY342" s="1882">
        <v>0</v>
      </c>
      <c r="BZ342" s="1882">
        <v>0</v>
      </c>
      <c r="CA342" s="1882">
        <v>0</v>
      </c>
      <c r="CB342" s="1882">
        <v>0</v>
      </c>
      <c r="CC342" s="1882">
        <v>83.2</v>
      </c>
      <c r="CD342" s="1882" t="s">
        <v>2451</v>
      </c>
      <c r="CE342" s="1882">
        <v>0</v>
      </c>
      <c r="CF342" s="1882">
        <v>0</v>
      </c>
      <c r="CG342" s="1882">
        <v>0</v>
      </c>
      <c r="CH342" s="1882">
        <v>0</v>
      </c>
      <c r="CI342" s="1882">
        <v>68.739592858627418</v>
      </c>
      <c r="CJ342" s="1882" t="s">
        <v>2451</v>
      </c>
      <c r="CK342" s="1882">
        <v>0</v>
      </c>
      <c r="CL342" s="1882">
        <v>0</v>
      </c>
      <c r="CM342" s="1882">
        <v>0</v>
      </c>
      <c r="CN342" s="1882">
        <v>0</v>
      </c>
      <c r="CP342" s="1882" t="s">
        <v>10453</v>
      </c>
    </row>
    <row r="343" spans="1:94">
      <c r="A343" s="1882" t="s">
        <v>8371</v>
      </c>
      <c r="B343" s="1882" t="s">
        <v>10454</v>
      </c>
      <c r="C343" s="1882" t="s">
        <v>8352</v>
      </c>
      <c r="D343" s="1882" t="s">
        <v>1627</v>
      </c>
      <c r="E343" s="1882" t="s">
        <v>8720</v>
      </c>
      <c r="F343" s="1882" t="s">
        <v>10342</v>
      </c>
      <c r="G343" s="1882" t="s">
        <v>10238</v>
      </c>
      <c r="H343" s="1882" t="s">
        <v>10455</v>
      </c>
      <c r="I343" s="1882" t="s">
        <v>10456</v>
      </c>
      <c r="J343" s="1882" t="s">
        <v>8539</v>
      </c>
      <c r="K343" s="1882"/>
      <c r="L343" s="1882"/>
      <c r="M343" s="1882"/>
      <c r="N343" s="1882" t="s">
        <v>8681</v>
      </c>
      <c r="O343" s="1882" t="s">
        <v>732</v>
      </c>
      <c r="P343" s="1882" t="s">
        <v>9874</v>
      </c>
      <c r="Q343" s="520">
        <v>2</v>
      </c>
      <c r="R343" s="1882" t="s">
        <v>8549</v>
      </c>
      <c r="S343" s="1882">
        <v>2.64</v>
      </c>
      <c r="T343" s="1882"/>
      <c r="U343" s="1882"/>
      <c r="V343" s="1882"/>
      <c r="W343" s="1882"/>
      <c r="X343" s="1882">
        <v>7.8</v>
      </c>
      <c r="Y343" s="1882"/>
      <c r="Z343" s="1882"/>
      <c r="AA343" s="1882"/>
      <c r="AB343" s="1882"/>
      <c r="AC343" s="1882"/>
      <c r="AD343" s="1882"/>
      <c r="AE343" s="1882"/>
      <c r="AF343" s="1882"/>
      <c r="AG343" s="1882"/>
      <c r="AH343" s="1882">
        <v>0</v>
      </c>
      <c r="AI343" s="1882"/>
      <c r="AJ343" s="1882"/>
      <c r="AK343" s="1882"/>
      <c r="AL343" s="1882"/>
      <c r="AM343" s="1882"/>
      <c r="AN343" s="1882"/>
      <c r="AO343" s="1882"/>
      <c r="AP343" s="1882"/>
      <c r="AQ343" s="1882"/>
      <c r="AR343" s="1882"/>
      <c r="AS343" s="1882"/>
      <c r="AT343" s="1882"/>
      <c r="AU343" s="1882"/>
      <c r="AV343" s="1882"/>
      <c r="AW343" s="1882"/>
      <c r="AX343" s="1882"/>
      <c r="AY343" s="1882"/>
      <c r="AZ343" s="1882"/>
      <c r="BA343" s="1882"/>
      <c r="BB343" s="1882"/>
      <c r="BC343" s="1882"/>
      <c r="BD343" s="1882"/>
      <c r="BE343" s="1882"/>
      <c r="BF343" s="1882"/>
      <c r="BG343" s="1882"/>
      <c r="BH343" s="1882"/>
      <c r="BI343" s="1882"/>
      <c r="BJ343" s="1882"/>
      <c r="BK343" s="1882"/>
      <c r="BL343" s="1882"/>
      <c r="BM343" s="1882"/>
      <c r="BN343" s="1882"/>
      <c r="BO343" s="1882"/>
      <c r="BP343" s="520">
        <v>1.4</v>
      </c>
      <c r="BQ343" s="694">
        <v>2.4</v>
      </c>
      <c r="BR343" s="1882" t="s">
        <v>8513</v>
      </c>
      <c r="BS343" s="1882" t="s">
        <v>8513</v>
      </c>
      <c r="BT343" s="1882">
        <v>0</v>
      </c>
      <c r="BU343" s="1882" t="s">
        <v>8513</v>
      </c>
      <c r="BV343" s="1882">
        <v>0</v>
      </c>
      <c r="BW343" s="1882">
        <v>2.75</v>
      </c>
      <c r="BX343" s="1882" t="s">
        <v>2451</v>
      </c>
      <c r="BY343" s="1882">
        <v>0</v>
      </c>
      <c r="BZ343" s="1882">
        <v>0</v>
      </c>
      <c r="CA343" s="1882">
        <v>0</v>
      </c>
      <c r="CB343" s="1882">
        <v>0</v>
      </c>
      <c r="CC343" s="1882">
        <v>3.95</v>
      </c>
      <c r="CD343" s="1882" t="s">
        <v>2451</v>
      </c>
      <c r="CE343" s="1882">
        <v>0</v>
      </c>
      <c r="CF343" s="1882">
        <v>0</v>
      </c>
      <c r="CG343" s="1882">
        <v>0</v>
      </c>
      <c r="CH343" s="1882">
        <v>0</v>
      </c>
      <c r="CI343" s="1882">
        <v>5.3513145688828558</v>
      </c>
      <c r="CJ343" s="1882" t="s">
        <v>2451</v>
      </c>
      <c r="CK343" s="1882">
        <v>0</v>
      </c>
      <c r="CL343" s="1882">
        <v>0</v>
      </c>
      <c r="CM343" s="1882">
        <v>0</v>
      </c>
      <c r="CN343" s="1882">
        <v>0</v>
      </c>
      <c r="CP343" s="1882" t="s">
        <v>10457</v>
      </c>
    </row>
    <row r="344" spans="1:94">
      <c r="A344" s="1882" t="s">
        <v>8371</v>
      </c>
      <c r="B344" s="1882" t="s">
        <v>10458</v>
      </c>
      <c r="C344" s="1882" t="s">
        <v>8352</v>
      </c>
      <c r="D344" s="1882" t="s">
        <v>1627</v>
      </c>
      <c r="E344" s="1882" t="s">
        <v>8720</v>
      </c>
      <c r="F344" s="1882" t="s">
        <v>10459</v>
      </c>
      <c r="G344" s="1882" t="s">
        <v>8769</v>
      </c>
      <c r="H344" s="1882" t="s">
        <v>10460</v>
      </c>
      <c r="I344" s="1882" t="s">
        <v>10461</v>
      </c>
      <c r="J344" s="1882" t="s">
        <v>8508</v>
      </c>
      <c r="K344" s="1882" t="s">
        <v>8855</v>
      </c>
      <c r="L344" s="1882"/>
      <c r="M344" s="1882"/>
      <c r="N344" s="1882" t="s">
        <v>8673</v>
      </c>
      <c r="O344" s="1882" t="s">
        <v>764</v>
      </c>
      <c r="P344" s="1882" t="s">
        <v>10462</v>
      </c>
      <c r="Q344" s="520">
        <v>0</v>
      </c>
      <c r="R344" s="1882" t="s">
        <v>8549</v>
      </c>
      <c r="S344" s="1882">
        <v>-15</v>
      </c>
      <c r="T344" s="1882">
        <v>-12</v>
      </c>
      <c r="U344" s="1882">
        <v>-9</v>
      </c>
      <c r="V344" s="1882">
        <v>-6</v>
      </c>
      <c r="W344" s="1882">
        <v>-3</v>
      </c>
      <c r="X344" s="1882">
        <v>0</v>
      </c>
      <c r="Y344" s="1882"/>
      <c r="Z344" s="1882"/>
      <c r="AA344" s="1882"/>
      <c r="AB344" s="1882"/>
      <c r="AC344" s="1882"/>
      <c r="AD344" s="1882"/>
      <c r="AE344" s="1882"/>
      <c r="AF344" s="1882" t="s">
        <v>2459</v>
      </c>
      <c r="AG344" s="1882"/>
      <c r="AH344" s="1882">
        <v>0</v>
      </c>
      <c r="AI344" s="1882" t="s">
        <v>2459</v>
      </c>
      <c r="AJ344" s="1882" t="s">
        <v>2459</v>
      </c>
      <c r="AK344" s="1882" t="s">
        <v>2459</v>
      </c>
      <c r="AL344" s="1882" t="s">
        <v>2459</v>
      </c>
      <c r="AM344" s="1882" t="s">
        <v>2459</v>
      </c>
      <c r="AN344" s="1882">
        <v>-15</v>
      </c>
      <c r="AO344" s="1882">
        <v>-15</v>
      </c>
      <c r="AP344" s="1882">
        <v>-15</v>
      </c>
      <c r="AQ344" s="1882">
        <v>-15</v>
      </c>
      <c r="AR344" s="1882">
        <v>-15</v>
      </c>
      <c r="AS344" s="1882">
        <v>-15</v>
      </c>
      <c r="AT344" s="1882">
        <v>-13</v>
      </c>
      <c r="AU344" s="1882">
        <v>-10</v>
      </c>
      <c r="AV344" s="1882">
        <v>-7</v>
      </c>
      <c r="AW344" s="1882">
        <v>-4</v>
      </c>
      <c r="AX344" s="1882">
        <v>-12</v>
      </c>
      <c r="AY344" s="1882">
        <v>-9</v>
      </c>
      <c r="AZ344" s="1882">
        <v>-6</v>
      </c>
      <c r="BA344" s="1882">
        <v>-3</v>
      </c>
      <c r="BB344" s="1882">
        <v>0</v>
      </c>
      <c r="BC344" s="1882">
        <v>20</v>
      </c>
      <c r="BD344" s="1882">
        <v>20</v>
      </c>
      <c r="BE344" s="1882">
        <v>20</v>
      </c>
      <c r="BF344" s="1882">
        <v>20</v>
      </c>
      <c r="BG344" s="1882">
        <v>20</v>
      </c>
      <c r="BH344" s="1882">
        <v>0.10299999999999999</v>
      </c>
      <c r="BI344" s="1882"/>
      <c r="BJ344" s="1882"/>
      <c r="BK344" s="1882"/>
      <c r="BL344" s="1882">
        <v>0.249</v>
      </c>
      <c r="BM344" s="1882"/>
      <c r="BN344" s="1882">
        <v>1</v>
      </c>
      <c r="BO344" s="1882" t="s">
        <v>8512</v>
      </c>
      <c r="BP344" s="520">
        <v>-6</v>
      </c>
      <c r="BQ344" s="693">
        <v>0</v>
      </c>
      <c r="BR344" s="1882" t="s">
        <v>2459</v>
      </c>
      <c r="BS344" s="1882" t="s">
        <v>8513</v>
      </c>
      <c r="BT344" s="1882">
        <v>0</v>
      </c>
      <c r="BU344" s="1882" t="s">
        <v>8376</v>
      </c>
      <c r="BV344" s="1882">
        <v>2.988</v>
      </c>
      <c r="BW344" s="1882">
        <v>0</v>
      </c>
      <c r="BX344" s="1882" t="s">
        <v>2459</v>
      </c>
      <c r="BY344" s="1882">
        <v>0</v>
      </c>
      <c r="BZ344" s="1882">
        <v>0</v>
      </c>
      <c r="CA344" s="1882" t="s">
        <v>8376</v>
      </c>
      <c r="CB344" s="1882">
        <v>2.2410000000000001</v>
      </c>
      <c r="CC344" s="1882">
        <v>0</v>
      </c>
      <c r="CD344" s="1882" t="s">
        <v>2459</v>
      </c>
      <c r="CE344" s="1882">
        <v>0</v>
      </c>
      <c r="CF344" s="1882">
        <v>0</v>
      </c>
      <c r="CG344" s="1882" t="s">
        <v>8376</v>
      </c>
      <c r="CH344" s="1882">
        <v>1.494</v>
      </c>
      <c r="CI344" s="1882">
        <v>0</v>
      </c>
      <c r="CJ344" s="1882" t="s">
        <v>2459</v>
      </c>
      <c r="CK344" s="1882">
        <v>0</v>
      </c>
      <c r="CL344" s="1882">
        <v>0</v>
      </c>
      <c r="CM344" s="1882" t="s">
        <v>8376</v>
      </c>
      <c r="CN344" s="1882">
        <v>0.747</v>
      </c>
      <c r="CP344" s="1882" t="s">
        <v>10463</v>
      </c>
    </row>
    <row r="345" spans="1:94">
      <c r="A345" s="1882" t="s">
        <v>8371</v>
      </c>
      <c r="B345" s="1882" t="s">
        <v>10464</v>
      </c>
      <c r="C345" s="1882" t="s">
        <v>8352</v>
      </c>
      <c r="D345" s="1882" t="s">
        <v>1627</v>
      </c>
      <c r="E345" s="1882" t="s">
        <v>8720</v>
      </c>
      <c r="F345" s="1882" t="s">
        <v>10459</v>
      </c>
      <c r="G345" s="1882" t="s">
        <v>8774</v>
      </c>
      <c r="H345" s="1882" t="s">
        <v>10465</v>
      </c>
      <c r="I345" s="1882" t="s">
        <v>10466</v>
      </c>
      <c r="J345" s="1882" t="s">
        <v>8539</v>
      </c>
      <c r="K345" s="1882"/>
      <c r="L345" s="1882"/>
      <c r="M345" s="1882"/>
      <c r="N345" s="1882" t="s">
        <v>8673</v>
      </c>
      <c r="O345" s="1882" t="s">
        <v>764</v>
      </c>
      <c r="P345" s="1882" t="s">
        <v>10467</v>
      </c>
      <c r="Q345" s="520">
        <v>0</v>
      </c>
      <c r="R345" s="1882" t="s">
        <v>8511</v>
      </c>
      <c r="S345" s="1882" t="s">
        <v>10468</v>
      </c>
      <c r="T345" s="1882" t="s">
        <v>10469</v>
      </c>
      <c r="U345" s="1882" t="s">
        <v>10469</v>
      </c>
      <c r="V345" s="1882" t="s">
        <v>10469</v>
      </c>
      <c r="W345" s="1882" t="s">
        <v>10469</v>
      </c>
      <c r="X345" s="1882" t="s">
        <v>10469</v>
      </c>
      <c r="Y345" s="1882"/>
      <c r="Z345" s="1882"/>
      <c r="AA345" s="1882"/>
      <c r="AB345" s="1882"/>
      <c r="AC345" s="1882"/>
      <c r="AD345" s="1882"/>
      <c r="AE345" s="1882"/>
      <c r="AF345" s="1882" t="s">
        <v>2459</v>
      </c>
      <c r="AG345" s="1882"/>
      <c r="AH345" s="1882">
        <v>0</v>
      </c>
      <c r="AI345" s="1882"/>
      <c r="AJ345" s="1882"/>
      <c r="AK345" s="1882"/>
      <c r="AL345" s="1882"/>
      <c r="AM345" s="1882"/>
      <c r="AN345" s="1882"/>
      <c r="AO345" s="1882"/>
      <c r="AP345" s="1882"/>
      <c r="AQ345" s="1882"/>
      <c r="AR345" s="1882"/>
      <c r="AS345" s="1882"/>
      <c r="AT345" s="1882"/>
      <c r="AU345" s="1882"/>
      <c r="AV345" s="1882"/>
      <c r="AW345" s="1882"/>
      <c r="AX345" s="1882"/>
      <c r="AY345" s="1882"/>
      <c r="AZ345" s="1882"/>
      <c r="BA345" s="1882"/>
      <c r="BB345" s="1882"/>
      <c r="BC345" s="1882"/>
      <c r="BD345" s="1882"/>
      <c r="BE345" s="1882"/>
      <c r="BF345" s="1882"/>
      <c r="BG345" s="1882"/>
      <c r="BH345" s="1882"/>
      <c r="BI345" s="1882"/>
      <c r="BJ345" s="1882"/>
      <c r="BK345" s="1882"/>
      <c r="BL345" s="1882"/>
      <c r="BM345" s="1882"/>
      <c r="BN345" s="1882"/>
      <c r="BO345" s="1882"/>
      <c r="BP345" s="520" t="s">
        <v>3514</v>
      </c>
      <c r="BQ345" s="706" t="s">
        <v>3514</v>
      </c>
      <c r="BR345" s="1882" t="s">
        <v>8513</v>
      </c>
      <c r="BS345" s="1882" t="s">
        <v>8513</v>
      </c>
      <c r="BT345" s="1882">
        <v>0</v>
      </c>
      <c r="BU345" s="1882" t="s">
        <v>8513</v>
      </c>
      <c r="BV345" s="1882">
        <v>0</v>
      </c>
      <c r="BW345" s="1882" t="s">
        <v>3504</v>
      </c>
      <c r="BX345" s="1882" t="s">
        <v>2451</v>
      </c>
      <c r="BY345" s="1882">
        <v>0</v>
      </c>
      <c r="BZ345" s="1882">
        <v>0</v>
      </c>
      <c r="CA345" s="1882">
        <v>0</v>
      </c>
      <c r="CB345" s="1882">
        <v>0</v>
      </c>
      <c r="CC345" s="1882" t="s">
        <v>3504</v>
      </c>
      <c r="CD345" s="1882" t="s">
        <v>2451</v>
      </c>
      <c r="CE345" s="1882">
        <v>0</v>
      </c>
      <c r="CF345" s="1882">
        <v>0</v>
      </c>
      <c r="CG345" s="1882">
        <v>0</v>
      </c>
      <c r="CH345" s="1882">
        <v>0</v>
      </c>
      <c r="CI345" s="1882" t="s">
        <v>3504</v>
      </c>
      <c r="CJ345" s="1882" t="s">
        <v>2451</v>
      </c>
      <c r="CK345" s="1882">
        <v>0</v>
      </c>
      <c r="CL345" s="1882">
        <v>0</v>
      </c>
      <c r="CM345" s="1882">
        <v>0</v>
      </c>
      <c r="CN345" s="1882">
        <v>0</v>
      </c>
      <c r="CP345" s="1882" t="s">
        <v>10470</v>
      </c>
    </row>
    <row r="346" spans="1:94">
      <c r="A346" s="1882" t="s">
        <v>8371</v>
      </c>
      <c r="B346" s="1882" t="s">
        <v>10471</v>
      </c>
      <c r="C346" s="1882" t="s">
        <v>8352</v>
      </c>
      <c r="D346" s="1882" t="s">
        <v>1627</v>
      </c>
      <c r="E346" s="1882" t="s">
        <v>8720</v>
      </c>
      <c r="F346" s="1882" t="s">
        <v>10459</v>
      </c>
      <c r="G346" s="1882" t="s">
        <v>9301</v>
      </c>
      <c r="H346" s="1882" t="s">
        <v>10472</v>
      </c>
      <c r="I346" s="1882" t="s">
        <v>10473</v>
      </c>
      <c r="J346" s="1882" t="s">
        <v>8539</v>
      </c>
      <c r="K346" s="1882"/>
      <c r="L346" s="1882"/>
      <c r="M346" s="1882"/>
      <c r="N346" s="1882" t="s">
        <v>8673</v>
      </c>
      <c r="O346" s="1882" t="s">
        <v>764</v>
      </c>
      <c r="P346" s="1882" t="s">
        <v>10474</v>
      </c>
      <c r="Q346" s="520">
        <v>0</v>
      </c>
      <c r="R346" s="1882" t="s">
        <v>8549</v>
      </c>
      <c r="S346" s="1882">
        <v>0</v>
      </c>
      <c r="T346" s="1882"/>
      <c r="U346" s="1882"/>
      <c r="V346" s="1882"/>
      <c r="W346" s="1882"/>
      <c r="X346" s="1882">
        <v>650</v>
      </c>
      <c r="Y346" s="1882"/>
      <c r="Z346" s="1882"/>
      <c r="AA346" s="1882"/>
      <c r="AB346" s="1882"/>
      <c r="AC346" s="1882"/>
      <c r="AD346" s="1882"/>
      <c r="AE346" s="1882"/>
      <c r="AF346" s="1882" t="s">
        <v>2459</v>
      </c>
      <c r="AG346" s="1882"/>
      <c r="AH346" s="1882">
        <v>0</v>
      </c>
      <c r="AI346" s="1882"/>
      <c r="AJ346" s="1882"/>
      <c r="AK346" s="1882"/>
      <c r="AL346" s="1882"/>
      <c r="AM346" s="1882"/>
      <c r="AN346" s="1882"/>
      <c r="AO346" s="1882"/>
      <c r="AP346" s="1882"/>
      <c r="AQ346" s="1882"/>
      <c r="AR346" s="1882"/>
      <c r="AS346" s="1882"/>
      <c r="AT346" s="1882"/>
      <c r="AU346" s="1882"/>
      <c r="AV346" s="1882"/>
      <c r="AW346" s="1882"/>
      <c r="AX346" s="1882"/>
      <c r="AY346" s="1882"/>
      <c r="AZ346" s="1882"/>
      <c r="BA346" s="1882"/>
      <c r="BB346" s="1882"/>
      <c r="BC346" s="1882"/>
      <c r="BD346" s="1882"/>
      <c r="BE346" s="1882"/>
      <c r="BF346" s="1882"/>
      <c r="BG346" s="1882"/>
      <c r="BH346" s="1882"/>
      <c r="BI346" s="1882"/>
      <c r="BJ346" s="1882"/>
      <c r="BK346" s="1882"/>
      <c r="BL346" s="1882"/>
      <c r="BM346" s="1882"/>
      <c r="BN346" s="1882"/>
      <c r="BO346" s="1882"/>
      <c r="BP346" s="520" t="s">
        <v>3514</v>
      </c>
      <c r="BQ346" s="693">
        <v>62</v>
      </c>
      <c r="BR346" s="1882" t="s">
        <v>8513</v>
      </c>
      <c r="BS346" s="1882" t="s">
        <v>8513</v>
      </c>
      <c r="BT346" s="1882">
        <v>0</v>
      </c>
      <c r="BU346" s="1882" t="s">
        <v>8513</v>
      </c>
      <c r="BV346" s="1882">
        <v>0</v>
      </c>
      <c r="BW346" s="1882">
        <v>68</v>
      </c>
      <c r="BX346" s="1882" t="s">
        <v>2451</v>
      </c>
      <c r="BY346" s="1882">
        <v>0</v>
      </c>
      <c r="BZ346" s="1882">
        <v>0</v>
      </c>
      <c r="CA346" s="1882">
        <v>0</v>
      </c>
      <c r="CB346" s="1882">
        <v>0</v>
      </c>
      <c r="CC346" s="1882">
        <v>156</v>
      </c>
      <c r="CD346" s="1882" t="s">
        <v>2451</v>
      </c>
      <c r="CE346" s="1882">
        <v>0</v>
      </c>
      <c r="CF346" s="1882">
        <v>0</v>
      </c>
      <c r="CG346" s="1882">
        <v>0</v>
      </c>
      <c r="CH346" s="1882">
        <v>0</v>
      </c>
      <c r="CI346" s="1882">
        <v>155.68900000000002</v>
      </c>
      <c r="CJ346" s="1882" t="s">
        <v>2451</v>
      </c>
      <c r="CK346" s="1882">
        <v>0</v>
      </c>
      <c r="CL346" s="1882">
        <v>0</v>
      </c>
      <c r="CM346" s="1882">
        <v>0</v>
      </c>
      <c r="CN346" s="1882">
        <v>0</v>
      </c>
      <c r="CP346" s="1882" t="s">
        <v>10475</v>
      </c>
    </row>
    <row r="347" spans="1:94">
      <c r="A347" s="1882" t="s">
        <v>8371</v>
      </c>
      <c r="B347" s="1882" t="s">
        <v>10476</v>
      </c>
      <c r="C347" s="1882" t="s">
        <v>8352</v>
      </c>
      <c r="D347" s="1882" t="s">
        <v>8584</v>
      </c>
      <c r="E347" s="1882" t="s">
        <v>8585</v>
      </c>
      <c r="F347" s="1882" t="s">
        <v>10337</v>
      </c>
      <c r="G347" s="1882" t="s">
        <v>8587</v>
      </c>
      <c r="H347" s="1882" t="s">
        <v>10477</v>
      </c>
      <c r="I347" s="1882" t="s">
        <v>10478</v>
      </c>
      <c r="J347" s="1882" t="s">
        <v>8539</v>
      </c>
      <c r="K347" s="1882"/>
      <c r="L347" s="1882"/>
      <c r="M347" s="1882"/>
      <c r="N347" s="1882" t="s">
        <v>8695</v>
      </c>
      <c r="O347" s="1882" t="s">
        <v>732</v>
      </c>
      <c r="P347" s="1882" t="s">
        <v>8696</v>
      </c>
      <c r="Q347" s="520">
        <v>1</v>
      </c>
      <c r="R347" s="1882" t="s">
        <v>8549</v>
      </c>
      <c r="S347" s="1882">
        <v>86</v>
      </c>
      <c r="T347" s="1882"/>
      <c r="U347" s="1882"/>
      <c r="V347" s="1882"/>
      <c r="W347" s="1882"/>
      <c r="X347" s="1882">
        <v>90</v>
      </c>
      <c r="Y347" s="1882"/>
      <c r="Z347" s="1882"/>
      <c r="AA347" s="1882"/>
      <c r="AB347" s="1882"/>
      <c r="AC347" s="1882"/>
      <c r="AD347" s="1882"/>
      <c r="AE347" s="1882"/>
      <c r="AF347" s="1882"/>
      <c r="AG347" s="1882"/>
      <c r="AH347" s="1882">
        <v>0</v>
      </c>
      <c r="AI347" s="1882"/>
      <c r="AJ347" s="1882"/>
      <c r="AK347" s="1882"/>
      <c r="AL347" s="1882"/>
      <c r="AM347" s="1882"/>
      <c r="AN347" s="1882"/>
      <c r="AO347" s="1882"/>
      <c r="AP347" s="1882"/>
      <c r="AQ347" s="1882"/>
      <c r="AR347" s="1882"/>
      <c r="AS347" s="1882"/>
      <c r="AT347" s="1882"/>
      <c r="AU347" s="1882"/>
      <c r="AV347" s="1882"/>
      <c r="AW347" s="1882"/>
      <c r="AX347" s="1882"/>
      <c r="AY347" s="1882"/>
      <c r="AZ347" s="1882"/>
      <c r="BA347" s="1882"/>
      <c r="BB347" s="1882"/>
      <c r="BC347" s="1882"/>
      <c r="BD347" s="1882"/>
      <c r="BE347" s="1882"/>
      <c r="BF347" s="1882"/>
      <c r="BG347" s="1882"/>
      <c r="BH347" s="1882"/>
      <c r="BI347" s="1882"/>
      <c r="BJ347" s="1882"/>
      <c r="BK347" s="1882"/>
      <c r="BL347" s="1882"/>
      <c r="BM347" s="1882"/>
      <c r="BN347" s="1882"/>
      <c r="BO347" s="1882"/>
      <c r="BP347" s="520">
        <v>90</v>
      </c>
      <c r="BQ347" s="690">
        <v>89</v>
      </c>
      <c r="BR347" s="1882" t="s">
        <v>8513</v>
      </c>
      <c r="BS347" s="1882" t="s">
        <v>8513</v>
      </c>
      <c r="BT347" s="1882">
        <v>0</v>
      </c>
      <c r="BU347" s="1882" t="s">
        <v>8513</v>
      </c>
      <c r="BV347" s="1882">
        <v>0</v>
      </c>
      <c r="BW347" s="1882">
        <v>89</v>
      </c>
      <c r="BX347" s="1882" t="s">
        <v>2451</v>
      </c>
      <c r="BY347" s="1882">
        <v>0</v>
      </c>
      <c r="BZ347" s="1882">
        <v>0</v>
      </c>
      <c r="CA347" s="1882">
        <v>0</v>
      </c>
      <c r="CB347" s="1882">
        <v>0</v>
      </c>
      <c r="CC347" s="1882">
        <v>91</v>
      </c>
      <c r="CD347" s="1882" t="s">
        <v>2451</v>
      </c>
      <c r="CE347" s="1882">
        <v>0</v>
      </c>
      <c r="CF347" s="1882">
        <v>0</v>
      </c>
      <c r="CG347" s="1882">
        <v>0</v>
      </c>
      <c r="CH347" s="1882">
        <v>0</v>
      </c>
      <c r="CI347" s="1882">
        <v>93</v>
      </c>
      <c r="CJ347" s="1882" t="s">
        <v>2451</v>
      </c>
      <c r="CK347" s="1882">
        <v>0</v>
      </c>
      <c r="CL347" s="1882">
        <v>0</v>
      </c>
      <c r="CM347" s="1882">
        <v>0</v>
      </c>
      <c r="CN347" s="1882">
        <v>0</v>
      </c>
      <c r="CP347" s="1882" t="s">
        <v>10479</v>
      </c>
    </row>
    <row r="348" spans="1:94">
      <c r="A348" s="1882" t="s">
        <v>8371</v>
      </c>
      <c r="B348" s="1882" t="s">
        <v>10480</v>
      </c>
      <c r="C348" s="1882" t="s">
        <v>8352</v>
      </c>
      <c r="D348" s="1882" t="s">
        <v>8584</v>
      </c>
      <c r="E348" s="1882" t="s">
        <v>8585</v>
      </c>
      <c r="F348" s="1882" t="s">
        <v>10337</v>
      </c>
      <c r="G348" s="1882" t="s">
        <v>8596</v>
      </c>
      <c r="H348" s="1882" t="s">
        <v>10481</v>
      </c>
      <c r="I348" s="1882" t="s">
        <v>8806</v>
      </c>
      <c r="J348" s="1882" t="s">
        <v>8508</v>
      </c>
      <c r="K348" s="1882" t="s">
        <v>8509</v>
      </c>
      <c r="L348" s="1882"/>
      <c r="M348" s="1882" t="s">
        <v>2460</v>
      </c>
      <c r="N348" s="1882" t="s">
        <v>8590</v>
      </c>
      <c r="O348" s="1882" t="s">
        <v>8591</v>
      </c>
      <c r="P348" s="1882" t="s">
        <v>8592</v>
      </c>
      <c r="Q348" s="520">
        <v>1</v>
      </c>
      <c r="R348" s="1882" t="s">
        <v>8549</v>
      </c>
      <c r="S348" s="1882">
        <v>77</v>
      </c>
      <c r="T348" s="1882"/>
      <c r="U348" s="1882"/>
      <c r="V348" s="1882"/>
      <c r="W348" s="1882"/>
      <c r="X348" s="1882">
        <v>85</v>
      </c>
      <c r="Y348" s="1882"/>
      <c r="Z348" s="1882"/>
      <c r="AA348" s="1882"/>
      <c r="AB348" s="1882"/>
      <c r="AC348" s="1882"/>
      <c r="AD348" s="1882"/>
      <c r="AE348" s="1882"/>
      <c r="AF348" s="1882"/>
      <c r="AG348" s="1882"/>
      <c r="AH348" s="1882">
        <v>0</v>
      </c>
      <c r="AI348" s="1882" t="s">
        <v>2459</v>
      </c>
      <c r="AJ348" s="1882" t="s">
        <v>2459</v>
      </c>
      <c r="AK348" s="1882" t="s">
        <v>2459</v>
      </c>
      <c r="AL348" s="1882" t="s">
        <v>2459</v>
      </c>
      <c r="AM348" s="1882" t="s">
        <v>2459</v>
      </c>
      <c r="AN348" s="1882" t="s">
        <v>8593</v>
      </c>
      <c r="AO348" s="1882" t="s">
        <v>8593</v>
      </c>
      <c r="AP348" s="1882" t="s">
        <v>8593</v>
      </c>
      <c r="AQ348" s="1882" t="s">
        <v>8593</v>
      </c>
      <c r="AR348" s="1882" t="s">
        <v>8593</v>
      </c>
      <c r="AS348" s="1882" t="s">
        <v>8593</v>
      </c>
      <c r="AT348" s="1882" t="s">
        <v>8593</v>
      </c>
      <c r="AU348" s="1882" t="s">
        <v>8593</v>
      </c>
      <c r="AV348" s="1882" t="s">
        <v>8593</v>
      </c>
      <c r="AW348" s="1882" t="s">
        <v>8593</v>
      </c>
      <c r="AX348" s="1882" t="s">
        <v>8593</v>
      </c>
      <c r="AY348" s="1882" t="s">
        <v>8593</v>
      </c>
      <c r="AZ348" s="1882" t="s">
        <v>8593</v>
      </c>
      <c r="BA348" s="1882" t="s">
        <v>8593</v>
      </c>
      <c r="BB348" s="1882" t="s">
        <v>8593</v>
      </c>
      <c r="BC348" s="1882" t="s">
        <v>8593</v>
      </c>
      <c r="BD348" s="1882" t="s">
        <v>8593</v>
      </c>
      <c r="BE348" s="1882" t="s">
        <v>8593</v>
      </c>
      <c r="BF348" s="1882" t="s">
        <v>8593</v>
      </c>
      <c r="BG348" s="1882" t="s">
        <v>8593</v>
      </c>
      <c r="BH348" s="1882" t="s">
        <v>8593</v>
      </c>
      <c r="BI348" s="1882"/>
      <c r="BJ348" s="1882"/>
      <c r="BK348" s="1882"/>
      <c r="BL348" s="1882" t="s">
        <v>8593</v>
      </c>
      <c r="BM348" s="1882"/>
      <c r="BN348" s="1882">
        <v>1</v>
      </c>
      <c r="BO348" s="1882" t="s">
        <v>8512</v>
      </c>
      <c r="BP348" s="520">
        <v>74.8</v>
      </c>
      <c r="BQ348" s="690">
        <v>78.599999999999994</v>
      </c>
      <c r="BR348" s="1882" t="s">
        <v>8513</v>
      </c>
      <c r="BS348" s="1882" t="s">
        <v>8513</v>
      </c>
      <c r="BT348" s="1882">
        <v>0</v>
      </c>
      <c r="BU348" s="1882" t="s">
        <v>8513</v>
      </c>
      <c r="BV348" s="1882">
        <v>0</v>
      </c>
      <c r="BW348" s="1882">
        <v>81.599999999999994</v>
      </c>
      <c r="BX348" s="1882" t="s">
        <v>2451</v>
      </c>
      <c r="BY348" s="1882">
        <v>0</v>
      </c>
      <c r="BZ348" s="1882">
        <v>0</v>
      </c>
      <c r="CA348" s="1882">
        <v>0</v>
      </c>
      <c r="CB348" s="1882">
        <v>0</v>
      </c>
      <c r="CC348" s="1882">
        <v>84.5</v>
      </c>
      <c r="CD348" s="1882" t="s">
        <v>2451</v>
      </c>
      <c r="CE348" s="1882">
        <v>0</v>
      </c>
      <c r="CF348" s="1882">
        <v>0</v>
      </c>
      <c r="CG348" s="1882">
        <v>0</v>
      </c>
      <c r="CH348" s="1882">
        <v>0</v>
      </c>
      <c r="CI348" s="1882">
        <v>87.62</v>
      </c>
      <c r="CJ348" s="1882" t="s">
        <v>2451</v>
      </c>
      <c r="CK348" s="1882">
        <v>0</v>
      </c>
      <c r="CL348" s="1882">
        <v>0</v>
      </c>
      <c r="CM348" s="1882">
        <v>0</v>
      </c>
      <c r="CN348" s="1882">
        <v>0</v>
      </c>
      <c r="CP348" s="1882" t="s">
        <v>10482</v>
      </c>
    </row>
    <row r="349" spans="1:94">
      <c r="A349" s="1882" t="s">
        <v>8371</v>
      </c>
      <c r="B349" s="1882" t="s">
        <v>10483</v>
      </c>
      <c r="C349" s="1882" t="s">
        <v>8352</v>
      </c>
      <c r="D349" s="1882" t="s">
        <v>8584</v>
      </c>
      <c r="E349" s="1882" t="s">
        <v>8585</v>
      </c>
      <c r="F349" s="1882" t="s">
        <v>10337</v>
      </c>
      <c r="G349" s="1882" t="s">
        <v>8809</v>
      </c>
      <c r="H349" s="1882" t="s">
        <v>10484</v>
      </c>
      <c r="I349" s="1882" t="s">
        <v>10485</v>
      </c>
      <c r="J349" s="1882" t="s">
        <v>8539</v>
      </c>
      <c r="K349" s="1882"/>
      <c r="L349" s="1882"/>
      <c r="M349" s="1882"/>
      <c r="N349" s="1882" t="s">
        <v>8599</v>
      </c>
      <c r="O349" s="1882" t="s">
        <v>732</v>
      </c>
      <c r="P349" s="1882" t="s">
        <v>8696</v>
      </c>
      <c r="Q349" s="520">
        <v>1</v>
      </c>
      <c r="R349" s="1882" t="s">
        <v>8549</v>
      </c>
      <c r="S349" s="1882">
        <v>47</v>
      </c>
      <c r="T349" s="1882"/>
      <c r="U349" s="1882"/>
      <c r="V349" s="1882"/>
      <c r="W349" s="1882"/>
      <c r="X349" s="1882">
        <v>90</v>
      </c>
      <c r="Y349" s="1882"/>
      <c r="Z349" s="1882"/>
      <c r="AA349" s="1882"/>
      <c r="AB349" s="1882"/>
      <c r="AC349" s="1882"/>
      <c r="AD349" s="1882"/>
      <c r="AE349" s="1882"/>
      <c r="AF349" s="1882"/>
      <c r="AG349" s="1882"/>
      <c r="AH349" s="1882">
        <v>0</v>
      </c>
      <c r="AI349" s="1882"/>
      <c r="AJ349" s="1882"/>
      <c r="AK349" s="1882"/>
      <c r="AL349" s="1882"/>
      <c r="AM349" s="1882"/>
      <c r="AN349" s="1882"/>
      <c r="AO349" s="1882"/>
      <c r="AP349" s="1882"/>
      <c r="AQ349" s="1882"/>
      <c r="AR349" s="1882"/>
      <c r="AS349" s="1882"/>
      <c r="AT349" s="1882"/>
      <c r="AU349" s="1882"/>
      <c r="AV349" s="1882"/>
      <c r="AW349" s="1882"/>
      <c r="AX349" s="1882"/>
      <c r="AY349" s="1882"/>
      <c r="AZ349" s="1882"/>
      <c r="BA349" s="1882"/>
      <c r="BB349" s="1882"/>
      <c r="BC349" s="1882"/>
      <c r="BD349" s="1882"/>
      <c r="BE349" s="1882"/>
      <c r="BF349" s="1882"/>
      <c r="BG349" s="1882"/>
      <c r="BH349" s="1882"/>
      <c r="BI349" s="1882"/>
      <c r="BJ349" s="1882"/>
      <c r="BK349" s="1882"/>
      <c r="BL349" s="1882"/>
      <c r="BM349" s="1882"/>
      <c r="BN349" s="1882"/>
      <c r="BO349" s="1882"/>
      <c r="BP349" s="520">
        <v>57.8</v>
      </c>
      <c r="BQ349" s="690">
        <v>59</v>
      </c>
      <c r="BR349" s="1882" t="s">
        <v>8513</v>
      </c>
      <c r="BS349" s="1882" t="s">
        <v>8513</v>
      </c>
      <c r="BT349" s="1882">
        <v>0</v>
      </c>
      <c r="BU349" s="1882" t="s">
        <v>8513</v>
      </c>
      <c r="BV349" s="1882">
        <v>0</v>
      </c>
      <c r="BW349" s="1882">
        <v>61</v>
      </c>
      <c r="BX349" s="1882" t="s">
        <v>2451</v>
      </c>
      <c r="BY349" s="1882">
        <v>0</v>
      </c>
      <c r="BZ349" s="1882">
        <v>0</v>
      </c>
      <c r="CA349" s="1882">
        <v>0</v>
      </c>
      <c r="CB349" s="1882">
        <v>0</v>
      </c>
      <c r="CC349" s="1882">
        <v>62</v>
      </c>
      <c r="CD349" s="1882" t="s">
        <v>2451</v>
      </c>
      <c r="CE349" s="1882">
        <v>0</v>
      </c>
      <c r="CF349" s="1882">
        <v>0</v>
      </c>
      <c r="CG349" s="1882">
        <v>0</v>
      </c>
      <c r="CH349" s="1882">
        <v>0</v>
      </c>
      <c r="CI349" s="1882">
        <v>66</v>
      </c>
      <c r="CJ349" s="1882" t="s">
        <v>2451</v>
      </c>
      <c r="CK349" s="1882">
        <v>0</v>
      </c>
      <c r="CL349" s="1882">
        <v>0</v>
      </c>
      <c r="CM349" s="1882">
        <v>0</v>
      </c>
      <c r="CN349" s="1882">
        <v>0</v>
      </c>
      <c r="CP349" s="1882" t="s">
        <v>10486</v>
      </c>
    </row>
    <row r="350" spans="1:94">
      <c r="A350" s="1882" t="s">
        <v>8371</v>
      </c>
      <c r="B350" s="1882" t="s">
        <v>10487</v>
      </c>
      <c r="C350" s="1882" t="s">
        <v>8352</v>
      </c>
      <c r="D350" s="1882" t="s">
        <v>8584</v>
      </c>
      <c r="E350" s="1882" t="s">
        <v>8585</v>
      </c>
      <c r="F350" s="1882" t="s">
        <v>10389</v>
      </c>
      <c r="G350" s="1882" t="s">
        <v>8822</v>
      </c>
      <c r="H350" s="1882" t="s">
        <v>10488</v>
      </c>
      <c r="I350" s="1882" t="s">
        <v>10489</v>
      </c>
      <c r="J350" s="1882" t="s">
        <v>8539</v>
      </c>
      <c r="K350" s="1882"/>
      <c r="L350" s="1882"/>
      <c r="M350" s="1882"/>
      <c r="N350" s="1882" t="s">
        <v>8599</v>
      </c>
      <c r="O350" s="1882" t="s">
        <v>764</v>
      </c>
      <c r="P350" s="1882" t="s">
        <v>10490</v>
      </c>
      <c r="Q350" s="520">
        <v>0</v>
      </c>
      <c r="R350" s="1882" t="s">
        <v>8549</v>
      </c>
      <c r="S350" s="1882">
        <v>21500</v>
      </c>
      <c r="T350" s="1882"/>
      <c r="U350" s="1882"/>
      <c r="V350" s="1882"/>
      <c r="W350" s="1882"/>
      <c r="X350" s="1882">
        <v>23210</v>
      </c>
      <c r="Y350" s="1882"/>
      <c r="Z350" s="1882"/>
      <c r="AA350" s="1882"/>
      <c r="AB350" s="1882"/>
      <c r="AC350" s="1882"/>
      <c r="AD350" s="1882"/>
      <c r="AE350" s="1882"/>
      <c r="AF350" s="1882"/>
      <c r="AG350" s="1882"/>
      <c r="AH350" s="1882">
        <v>0</v>
      </c>
      <c r="AI350" s="1882"/>
      <c r="AJ350" s="1882"/>
      <c r="AK350" s="1882"/>
      <c r="AL350" s="1882"/>
      <c r="AM350" s="1882"/>
      <c r="AN350" s="1882"/>
      <c r="AO350" s="1882"/>
      <c r="AP350" s="1882"/>
      <c r="AQ350" s="1882"/>
      <c r="AR350" s="1882"/>
      <c r="AS350" s="1882"/>
      <c r="AT350" s="1882"/>
      <c r="AU350" s="1882"/>
      <c r="AV350" s="1882"/>
      <c r="AW350" s="1882"/>
      <c r="AX350" s="1882"/>
      <c r="AY350" s="1882"/>
      <c r="AZ350" s="1882"/>
      <c r="BA350" s="1882"/>
      <c r="BB350" s="1882"/>
      <c r="BC350" s="1882"/>
      <c r="BD350" s="1882"/>
      <c r="BE350" s="1882"/>
      <c r="BF350" s="1882"/>
      <c r="BG350" s="1882"/>
      <c r="BH350" s="1882"/>
      <c r="BI350" s="1882"/>
      <c r="BJ350" s="1882"/>
      <c r="BK350" s="1882"/>
      <c r="BL350" s="1882"/>
      <c r="BM350" s="1882"/>
      <c r="BN350" s="1882"/>
      <c r="BO350" s="1882"/>
      <c r="BP350" s="520">
        <v>24899</v>
      </c>
      <c r="BQ350" s="693">
        <v>26837</v>
      </c>
      <c r="BR350" s="1882" t="s">
        <v>8513</v>
      </c>
      <c r="BS350" s="1882" t="s">
        <v>8513</v>
      </c>
      <c r="BT350" s="1882">
        <v>0</v>
      </c>
      <c r="BU350" s="1882" t="s">
        <v>8513</v>
      </c>
      <c r="BV350" s="1882">
        <v>0</v>
      </c>
      <c r="BW350" s="1882">
        <v>28409</v>
      </c>
      <c r="BX350" s="1882" t="s">
        <v>2451</v>
      </c>
      <c r="BY350" s="1882">
        <v>0</v>
      </c>
      <c r="BZ350" s="1882">
        <v>0</v>
      </c>
      <c r="CA350" s="1882">
        <v>0</v>
      </c>
      <c r="CB350" s="1882">
        <v>0</v>
      </c>
      <c r="CC350" s="1882">
        <v>29631</v>
      </c>
      <c r="CD350" s="1882" t="s">
        <v>2451</v>
      </c>
      <c r="CE350" s="1882">
        <v>0</v>
      </c>
      <c r="CF350" s="1882">
        <v>0</v>
      </c>
      <c r="CG350" s="1882">
        <v>0</v>
      </c>
      <c r="CH350" s="1882">
        <v>0</v>
      </c>
      <c r="CI350" s="1882">
        <v>30875</v>
      </c>
      <c r="CJ350" s="1882" t="s">
        <v>2451</v>
      </c>
      <c r="CK350" s="1882">
        <v>0</v>
      </c>
      <c r="CL350" s="1882">
        <v>0</v>
      </c>
      <c r="CM350" s="1882">
        <v>0</v>
      </c>
      <c r="CN350" s="1882">
        <v>0</v>
      </c>
      <c r="CP350" s="1882" t="s">
        <v>10491</v>
      </c>
    </row>
    <row r="351" spans="1:94">
      <c r="A351" s="1882" t="s">
        <v>8379</v>
      </c>
      <c r="B351" s="1882" t="s">
        <v>10492</v>
      </c>
      <c r="C351" s="1882" t="s">
        <v>8352</v>
      </c>
      <c r="D351" s="1882" t="s">
        <v>1626</v>
      </c>
      <c r="E351" s="1882" t="s">
        <v>8503</v>
      </c>
      <c r="F351" s="1882" t="s">
        <v>10493</v>
      </c>
      <c r="G351" s="1882" t="s">
        <v>10494</v>
      </c>
      <c r="H351" s="1882" t="s">
        <v>10495</v>
      </c>
      <c r="I351" s="1882" t="s">
        <v>10496</v>
      </c>
      <c r="J351" s="1882" t="s">
        <v>8539</v>
      </c>
      <c r="K351" s="1882"/>
      <c r="L351" s="1882"/>
      <c r="M351" s="1882"/>
      <c r="N351" s="1882" t="s">
        <v>8695</v>
      </c>
      <c r="O351" s="1882" t="s">
        <v>732</v>
      </c>
      <c r="P351" s="1882" t="s">
        <v>10497</v>
      </c>
      <c r="Q351" s="520">
        <v>0</v>
      </c>
      <c r="R351" s="1882" t="s">
        <v>8549</v>
      </c>
      <c r="S351" s="1882">
        <v>90</v>
      </c>
      <c r="T351" s="1882">
        <v>95</v>
      </c>
      <c r="U351" s="1882">
        <v>95</v>
      </c>
      <c r="V351" s="1882">
        <v>95</v>
      </c>
      <c r="W351" s="1882">
        <v>95</v>
      </c>
      <c r="X351" s="1882">
        <v>95</v>
      </c>
      <c r="Y351" s="1882"/>
      <c r="Z351" s="1882"/>
      <c r="AA351" s="1882"/>
      <c r="AB351" s="1882"/>
      <c r="AC351" s="1882"/>
      <c r="AD351" s="1882"/>
      <c r="AE351" s="1882"/>
      <c r="AF351" s="1882"/>
      <c r="AG351" s="1882"/>
      <c r="AH351" s="1882">
        <v>0</v>
      </c>
      <c r="AI351" s="1882"/>
      <c r="AJ351" s="1882"/>
      <c r="AK351" s="1882"/>
      <c r="AL351" s="1882"/>
      <c r="AM351" s="1882"/>
      <c r="AN351" s="1882"/>
      <c r="AO351" s="1882"/>
      <c r="AP351" s="1882"/>
      <c r="AQ351" s="1882"/>
      <c r="AR351" s="1882"/>
      <c r="AS351" s="1882"/>
      <c r="AT351" s="1882"/>
      <c r="AU351" s="1882"/>
      <c r="AV351" s="1882"/>
      <c r="AW351" s="1882"/>
      <c r="AX351" s="1882"/>
      <c r="AY351" s="1882"/>
      <c r="AZ351" s="1882"/>
      <c r="BA351" s="1882"/>
      <c r="BB351" s="1882"/>
      <c r="BC351" s="1882"/>
      <c r="BD351" s="1882"/>
      <c r="BE351" s="1882"/>
      <c r="BF351" s="1882"/>
      <c r="BG351" s="1882"/>
      <c r="BH351" s="1882"/>
      <c r="BI351" s="1882"/>
      <c r="BJ351" s="1882"/>
      <c r="BK351" s="1882"/>
      <c r="BL351" s="1882"/>
      <c r="BM351" s="1882"/>
      <c r="BN351" s="1882"/>
      <c r="BO351" s="1882"/>
      <c r="BP351" s="520">
        <v>89.87</v>
      </c>
      <c r="BQ351" s="693">
        <v>91.25</v>
      </c>
      <c r="BR351" s="1882" t="s">
        <v>2460</v>
      </c>
      <c r="BS351" s="1882" t="s">
        <v>8513</v>
      </c>
      <c r="BT351" s="1882">
        <v>0</v>
      </c>
      <c r="BU351" s="1882" t="s">
        <v>8513</v>
      </c>
      <c r="BV351" s="1882">
        <v>0</v>
      </c>
      <c r="BW351" s="1882">
        <v>95.63</v>
      </c>
      <c r="BX351" s="1882" t="s">
        <v>2459</v>
      </c>
      <c r="BY351" s="1882">
        <v>0</v>
      </c>
      <c r="BZ351" s="1882">
        <v>0</v>
      </c>
      <c r="CA351" s="1882">
        <v>0</v>
      </c>
      <c r="CB351" s="1882">
        <v>0</v>
      </c>
      <c r="CC351" s="2101">
        <v>96.03</v>
      </c>
      <c r="CD351" s="1882" t="s">
        <v>2459</v>
      </c>
      <c r="CE351" s="1882">
        <v>0</v>
      </c>
      <c r="CF351" s="1882">
        <v>0</v>
      </c>
      <c r="CG351" s="1882">
        <v>0</v>
      </c>
      <c r="CH351" s="1882">
        <v>0</v>
      </c>
      <c r="CI351" s="2101">
        <v>87.782413076603007</v>
      </c>
      <c r="CJ351" s="1882" t="s">
        <v>2460</v>
      </c>
      <c r="CK351" s="1882">
        <v>0</v>
      </c>
      <c r="CL351" s="1882">
        <v>0</v>
      </c>
      <c r="CM351" s="1882">
        <v>0</v>
      </c>
      <c r="CN351" s="1882">
        <v>0</v>
      </c>
      <c r="CP351" s="1882" t="s">
        <v>10498</v>
      </c>
    </row>
    <row r="352" spans="1:94">
      <c r="A352" s="1882" t="s">
        <v>8379</v>
      </c>
      <c r="B352" s="1882" t="s">
        <v>10499</v>
      </c>
      <c r="C352" s="1882" t="s">
        <v>8352</v>
      </c>
      <c r="D352" s="1882" t="s">
        <v>1626</v>
      </c>
      <c r="E352" s="1882" t="s">
        <v>8503</v>
      </c>
      <c r="F352" s="1882" t="s">
        <v>10493</v>
      </c>
      <c r="G352" s="1882" t="s">
        <v>10500</v>
      </c>
      <c r="H352" s="1882" t="s">
        <v>10501</v>
      </c>
      <c r="I352" s="1882" t="s">
        <v>10502</v>
      </c>
      <c r="J352" s="1882" t="s">
        <v>8539</v>
      </c>
      <c r="K352" s="1882"/>
      <c r="L352" s="1882"/>
      <c r="M352" s="1882"/>
      <c r="N352" s="1882" t="s">
        <v>8695</v>
      </c>
      <c r="O352" s="1882" t="s">
        <v>764</v>
      </c>
      <c r="P352" s="1882" t="s">
        <v>10503</v>
      </c>
      <c r="Q352" s="520">
        <v>2</v>
      </c>
      <c r="R352" s="1882" t="s">
        <v>8511</v>
      </c>
      <c r="S352" s="1882">
        <v>11.66</v>
      </c>
      <c r="T352" s="1882">
        <v>10.64</v>
      </c>
      <c r="U352" s="1882">
        <v>9.61</v>
      </c>
      <c r="V352" s="1882">
        <v>8.58</v>
      </c>
      <c r="W352" s="1882">
        <v>7.55</v>
      </c>
      <c r="X352" s="1882">
        <v>6.53</v>
      </c>
      <c r="Y352" s="1882"/>
      <c r="Z352" s="1882"/>
      <c r="AA352" s="1882"/>
      <c r="AB352" s="1882"/>
      <c r="AC352" s="1882"/>
      <c r="AD352" s="1882"/>
      <c r="AE352" s="1882"/>
      <c r="AF352" s="1882"/>
      <c r="AG352" s="1882"/>
      <c r="AH352" s="1882">
        <v>0</v>
      </c>
      <c r="AI352" s="1882"/>
      <c r="AJ352" s="1882"/>
      <c r="AK352" s="1882"/>
      <c r="AL352" s="1882"/>
      <c r="AM352" s="1882"/>
      <c r="AN352" s="1882"/>
      <c r="AO352" s="1882"/>
      <c r="AP352" s="1882"/>
      <c r="AQ352" s="1882"/>
      <c r="AR352" s="1882"/>
      <c r="AS352" s="1882"/>
      <c r="AT352" s="1882"/>
      <c r="AU352" s="1882"/>
      <c r="AV352" s="1882"/>
      <c r="AW352" s="1882"/>
      <c r="AX352" s="1882"/>
      <c r="AY352" s="1882"/>
      <c r="AZ352" s="1882"/>
      <c r="BA352" s="1882"/>
      <c r="BB352" s="1882"/>
      <c r="BC352" s="1882"/>
      <c r="BD352" s="1882"/>
      <c r="BE352" s="1882"/>
      <c r="BF352" s="1882"/>
      <c r="BG352" s="1882"/>
      <c r="BH352" s="1882"/>
      <c r="BI352" s="1882"/>
      <c r="BJ352" s="1882"/>
      <c r="BK352" s="1882"/>
      <c r="BL352" s="1882"/>
      <c r="BM352" s="1882"/>
      <c r="BN352" s="1882"/>
      <c r="BO352" s="1882"/>
      <c r="BP352" s="520">
        <v>11.53</v>
      </c>
      <c r="BQ352" s="694">
        <v>8.84</v>
      </c>
      <c r="BR352" s="1882" t="s">
        <v>2459</v>
      </c>
      <c r="BS352" s="1882" t="s">
        <v>8513</v>
      </c>
      <c r="BT352" s="1882">
        <v>0</v>
      </c>
      <c r="BU352" s="1882" t="s">
        <v>8513</v>
      </c>
      <c r="BV352" s="1882">
        <v>0</v>
      </c>
      <c r="BW352" s="1882">
        <v>9.1249206385227879</v>
      </c>
      <c r="BX352" s="1882" t="s">
        <v>2459</v>
      </c>
      <c r="BY352" s="1882">
        <v>0</v>
      </c>
      <c r="BZ352" s="1882">
        <v>0</v>
      </c>
      <c r="CA352" s="1882">
        <v>0</v>
      </c>
      <c r="CB352" s="1882">
        <v>0</v>
      </c>
      <c r="CC352" s="1882">
        <v>12.386340875657</v>
      </c>
      <c r="CD352" s="1882" t="s">
        <v>2459</v>
      </c>
      <c r="CE352" s="1882">
        <v>0</v>
      </c>
      <c r="CF352" s="1882">
        <v>0</v>
      </c>
      <c r="CG352" s="1882">
        <v>0</v>
      </c>
      <c r="CH352" s="1882">
        <v>0</v>
      </c>
      <c r="CI352" s="1882">
        <v>18.6056988747921</v>
      </c>
      <c r="CJ352" s="1882" t="s">
        <v>2460</v>
      </c>
      <c r="CK352" s="1882">
        <v>0</v>
      </c>
      <c r="CL352" s="1882">
        <v>0</v>
      </c>
      <c r="CM352" s="1882">
        <v>0</v>
      </c>
      <c r="CN352" s="1882">
        <v>0</v>
      </c>
      <c r="CP352" s="1882" t="s">
        <v>10504</v>
      </c>
    </row>
    <row r="353" spans="1:94">
      <c r="A353" s="1882" t="s">
        <v>8379</v>
      </c>
      <c r="B353" s="1882" t="s">
        <v>10505</v>
      </c>
      <c r="C353" s="1882" t="s">
        <v>8352</v>
      </c>
      <c r="D353" s="1882" t="s">
        <v>1626</v>
      </c>
      <c r="E353" s="1882" t="s">
        <v>8503</v>
      </c>
      <c r="F353" s="1882" t="s">
        <v>10493</v>
      </c>
      <c r="G353" s="1882" t="s">
        <v>10506</v>
      </c>
      <c r="H353" s="1882" t="s">
        <v>10507</v>
      </c>
      <c r="I353" s="1882" t="s">
        <v>10508</v>
      </c>
      <c r="J353" s="1882" t="s">
        <v>8539</v>
      </c>
      <c r="K353" s="1882"/>
      <c r="L353" s="1882"/>
      <c r="M353" s="1882"/>
      <c r="N353" s="1882" t="s">
        <v>8695</v>
      </c>
      <c r="O353" s="1882" t="s">
        <v>8591</v>
      </c>
      <c r="P353" s="1882" t="s">
        <v>10509</v>
      </c>
      <c r="Q353" s="520">
        <v>2</v>
      </c>
      <c r="R353" s="1882" t="s">
        <v>8549</v>
      </c>
      <c r="S353" s="1882">
        <v>4.0999999999999996</v>
      </c>
      <c r="T353" s="1882">
        <v>4.3499999999999996</v>
      </c>
      <c r="U353" s="1882">
        <v>4.45</v>
      </c>
      <c r="V353" s="1882">
        <v>4.5</v>
      </c>
      <c r="W353" s="1882">
        <v>4.55</v>
      </c>
      <c r="X353" s="1882">
        <v>4.5999999999999996</v>
      </c>
      <c r="Y353" s="1882"/>
      <c r="Z353" s="1882"/>
      <c r="AA353" s="1882"/>
      <c r="AB353" s="1882"/>
      <c r="AC353" s="1882"/>
      <c r="AD353" s="1882"/>
      <c r="AE353" s="1882"/>
      <c r="AF353" s="1882"/>
      <c r="AG353" s="1882"/>
      <c r="AH353" s="1882">
        <v>0</v>
      </c>
      <c r="AI353" s="1882"/>
      <c r="AJ353" s="1882"/>
      <c r="AK353" s="1882"/>
      <c r="AL353" s="1882"/>
      <c r="AM353" s="1882"/>
      <c r="AN353" s="1882"/>
      <c r="AO353" s="1882"/>
      <c r="AP353" s="1882"/>
      <c r="AQ353" s="1882"/>
      <c r="AR353" s="1882"/>
      <c r="AS353" s="1882"/>
      <c r="AT353" s="1882"/>
      <c r="AU353" s="1882"/>
      <c r="AV353" s="1882"/>
      <c r="AW353" s="1882"/>
      <c r="AX353" s="1882"/>
      <c r="AY353" s="1882"/>
      <c r="AZ353" s="1882"/>
      <c r="BA353" s="1882"/>
      <c r="BB353" s="1882"/>
      <c r="BC353" s="1882"/>
      <c r="BD353" s="1882"/>
      <c r="BE353" s="1882"/>
      <c r="BF353" s="1882"/>
      <c r="BG353" s="1882"/>
      <c r="BH353" s="1882"/>
      <c r="BI353" s="1882"/>
      <c r="BJ353" s="1882"/>
      <c r="BK353" s="1882"/>
      <c r="BL353" s="1882"/>
      <c r="BM353" s="1882"/>
      <c r="BN353" s="1882"/>
      <c r="BO353" s="1882"/>
      <c r="BP353" s="520">
        <v>3.97</v>
      </c>
      <c r="BQ353" s="694">
        <v>4.4400000000000004</v>
      </c>
      <c r="BR353" s="1882" t="s">
        <v>2459</v>
      </c>
      <c r="BS353" s="1882" t="s">
        <v>8513</v>
      </c>
      <c r="BT353" s="1882">
        <v>0</v>
      </c>
      <c r="BU353" s="1882" t="s">
        <v>8513</v>
      </c>
      <c r="BV353" s="1882">
        <v>0</v>
      </c>
      <c r="BW353" s="1882">
        <v>4.50023588614562</v>
      </c>
      <c r="BX353" s="1882" t="s">
        <v>2459</v>
      </c>
      <c r="BY353" s="1882">
        <v>0</v>
      </c>
      <c r="BZ353" s="1882">
        <v>0</v>
      </c>
      <c r="CA353" s="1882">
        <v>0</v>
      </c>
      <c r="CB353" s="1882">
        <v>0</v>
      </c>
      <c r="CC353" s="1882">
        <v>4.4216950913340796</v>
      </c>
      <c r="CD353" s="1882" t="s">
        <v>2460</v>
      </c>
      <c r="CE353" s="1882">
        <v>0</v>
      </c>
      <c r="CF353" s="1882">
        <v>0</v>
      </c>
      <c r="CG353" s="1882">
        <v>0</v>
      </c>
      <c r="CH353" s="1882">
        <v>0</v>
      </c>
      <c r="CI353" s="1882">
        <v>4.3935037719999999</v>
      </c>
      <c r="CJ353" s="1882" t="s">
        <v>2460</v>
      </c>
      <c r="CK353" s="1882">
        <v>0</v>
      </c>
      <c r="CL353" s="1882">
        <v>0</v>
      </c>
      <c r="CM353" s="1882">
        <v>0</v>
      </c>
      <c r="CN353" s="1882">
        <v>0</v>
      </c>
      <c r="CP353" s="1882" t="s">
        <v>10510</v>
      </c>
    </row>
    <row r="354" spans="1:94" ht="25">
      <c r="A354" s="1882" t="s">
        <v>8379</v>
      </c>
      <c r="B354" s="1882" t="s">
        <v>10511</v>
      </c>
      <c r="C354" s="1882" t="s">
        <v>8352</v>
      </c>
      <c r="D354" s="1882" t="s">
        <v>1626</v>
      </c>
      <c r="E354" s="1882" t="s">
        <v>8503</v>
      </c>
      <c r="F354" s="1882" t="s">
        <v>10493</v>
      </c>
      <c r="G354" s="1882" t="s">
        <v>10512</v>
      </c>
      <c r="H354" s="1882" t="s">
        <v>10513</v>
      </c>
      <c r="I354" s="1882" t="s">
        <v>10514</v>
      </c>
      <c r="J354" s="1882" t="s">
        <v>8519</v>
      </c>
      <c r="K354" s="1882" t="s">
        <v>8509</v>
      </c>
      <c r="L354" s="1882"/>
      <c r="M354" s="1882"/>
      <c r="N354" s="1882" t="s">
        <v>8520</v>
      </c>
      <c r="O354" s="1882" t="s">
        <v>764</v>
      </c>
      <c r="P354" s="1882" t="s">
        <v>10515</v>
      </c>
      <c r="Q354" s="520">
        <v>2</v>
      </c>
      <c r="R354" s="1882" t="s">
        <v>8549</v>
      </c>
      <c r="S354" s="1882">
        <v>4.24</v>
      </c>
      <c r="T354" s="1882"/>
      <c r="U354" s="1882"/>
      <c r="V354" s="1882"/>
      <c r="W354" s="1882"/>
      <c r="X354" s="1882">
        <v>15.45</v>
      </c>
      <c r="Y354" s="1882"/>
      <c r="Z354" s="1882"/>
      <c r="AA354" s="1882"/>
      <c r="AB354" s="1882"/>
      <c r="AC354" s="1882"/>
      <c r="AD354" s="1882"/>
      <c r="AE354" s="1882"/>
      <c r="AF354" s="1882"/>
      <c r="AG354" s="1882"/>
      <c r="AH354" s="1882">
        <v>0</v>
      </c>
      <c r="AI354" s="1882"/>
      <c r="AJ354" s="1882"/>
      <c r="AK354" s="1882"/>
      <c r="AL354" s="1882"/>
      <c r="AM354" s="1882" t="s">
        <v>2459</v>
      </c>
      <c r="AN354" s="1882"/>
      <c r="AO354" s="1882"/>
      <c r="AP354" s="1882"/>
      <c r="AQ354" s="1882"/>
      <c r="AR354" s="1882">
        <v>11.7</v>
      </c>
      <c r="AS354" s="1882"/>
      <c r="AT354" s="1882"/>
      <c r="AU354" s="1882"/>
      <c r="AV354" s="1882"/>
      <c r="AW354" s="1882">
        <v>15.45</v>
      </c>
      <c r="AX354" s="1882"/>
      <c r="AY354" s="1882"/>
      <c r="AZ354" s="1882"/>
      <c r="BA354" s="1882"/>
      <c r="BB354" s="1882"/>
      <c r="BC354" s="1882"/>
      <c r="BD354" s="1882"/>
      <c r="BE354" s="1882"/>
      <c r="BF354" s="1882"/>
      <c r="BG354" s="1882"/>
      <c r="BH354" s="1882">
        <v>0.88500000000000001</v>
      </c>
      <c r="BI354" s="1882"/>
      <c r="BJ354" s="1882"/>
      <c r="BK354" s="1882"/>
      <c r="BL354" s="1882"/>
      <c r="BM354" s="1882"/>
      <c r="BN354" s="1882">
        <v>1</v>
      </c>
      <c r="BO354" s="1882" t="s">
        <v>8512</v>
      </c>
      <c r="BP354" s="520" t="s">
        <v>8697</v>
      </c>
      <c r="BQ354" s="694" t="s">
        <v>8697</v>
      </c>
      <c r="BR354" s="1882" t="s">
        <v>8513</v>
      </c>
      <c r="BS354" s="1882" t="s">
        <v>8513</v>
      </c>
      <c r="BT354" s="1882">
        <v>0</v>
      </c>
      <c r="BU354" s="1882" t="s">
        <v>8513</v>
      </c>
      <c r="BV354" s="1882">
        <v>0</v>
      </c>
      <c r="BW354" s="1882" t="s">
        <v>8697</v>
      </c>
      <c r="BX354" s="1882" t="s">
        <v>2451</v>
      </c>
      <c r="BY354" s="1882">
        <v>0</v>
      </c>
      <c r="BZ354" s="1882">
        <v>0</v>
      </c>
      <c r="CA354" s="1882">
        <v>0</v>
      </c>
      <c r="CB354" s="1882">
        <v>0</v>
      </c>
      <c r="CC354" s="1882">
        <v>20.22</v>
      </c>
      <c r="CD354" s="1882" t="s">
        <v>2451</v>
      </c>
      <c r="CE354" s="1882">
        <v>0</v>
      </c>
      <c r="CF354" s="1882">
        <v>0</v>
      </c>
      <c r="CG354" s="1882">
        <v>0</v>
      </c>
      <c r="CH354" s="1882">
        <v>0</v>
      </c>
      <c r="CI354" s="1882">
        <v>28.25</v>
      </c>
      <c r="CJ354" s="1882" t="s">
        <v>2451</v>
      </c>
      <c r="CK354" s="1882">
        <v>0</v>
      </c>
      <c r="CL354" s="1882">
        <v>0</v>
      </c>
      <c r="CM354" s="1882">
        <v>0</v>
      </c>
      <c r="CN354" s="1882">
        <v>0</v>
      </c>
      <c r="CP354" s="1882" t="s">
        <v>10516</v>
      </c>
    </row>
    <row r="355" spans="1:94">
      <c r="A355" s="1882" t="s">
        <v>8379</v>
      </c>
      <c r="B355" s="1882" t="s">
        <v>10517</v>
      </c>
      <c r="C355" s="1882" t="s">
        <v>8352</v>
      </c>
      <c r="D355" s="1882" t="s">
        <v>1626</v>
      </c>
      <c r="E355" s="1882" t="s">
        <v>8503</v>
      </c>
      <c r="F355" s="1882" t="s">
        <v>10493</v>
      </c>
      <c r="G355" s="1882" t="s">
        <v>10518</v>
      </c>
      <c r="H355" s="1882" t="s">
        <v>10519</v>
      </c>
      <c r="I355" s="1882" t="s">
        <v>10520</v>
      </c>
      <c r="J355" s="1882" t="s">
        <v>8539</v>
      </c>
      <c r="K355" s="1882"/>
      <c r="L355" s="1882"/>
      <c r="M355" s="1882"/>
      <c r="N355" s="1882" t="s">
        <v>2444</v>
      </c>
      <c r="O355" s="1882" t="s">
        <v>764</v>
      </c>
      <c r="P355" s="1882" t="s">
        <v>10521</v>
      </c>
      <c r="Q355" s="520">
        <v>0</v>
      </c>
      <c r="R355" s="1882" t="s">
        <v>8549</v>
      </c>
      <c r="S355" s="1882" t="s">
        <v>10522</v>
      </c>
      <c r="T355" s="1882">
        <v>1170</v>
      </c>
      <c r="U355" s="1882">
        <v>1450</v>
      </c>
      <c r="V355" s="1882">
        <v>1410</v>
      </c>
      <c r="W355" s="1882">
        <v>900</v>
      </c>
      <c r="X355" s="1882">
        <v>890</v>
      </c>
      <c r="Y355" s="1882"/>
      <c r="Z355" s="1882"/>
      <c r="AA355" s="1882"/>
      <c r="AB355" s="1882"/>
      <c r="AC355" s="1882"/>
      <c r="AD355" s="1882"/>
      <c r="AE355" s="1882" t="s">
        <v>2459</v>
      </c>
      <c r="AF355" s="1882"/>
      <c r="AG355" s="1882"/>
      <c r="AH355" s="1882">
        <v>0</v>
      </c>
      <c r="AI355" s="1882"/>
      <c r="AJ355" s="1882"/>
      <c r="AK355" s="1882"/>
      <c r="AL355" s="1882"/>
      <c r="AM355" s="1882"/>
      <c r="AN355" s="1882"/>
      <c r="AO355" s="1882"/>
      <c r="AP355" s="1882"/>
      <c r="AQ355" s="1882"/>
      <c r="AR355" s="1882"/>
      <c r="AS355" s="1882"/>
      <c r="AT355" s="1882"/>
      <c r="AU355" s="1882"/>
      <c r="AV355" s="1882"/>
      <c r="AW355" s="1882"/>
      <c r="AX355" s="1882"/>
      <c r="AY355" s="1882"/>
      <c r="AZ355" s="1882"/>
      <c r="BA355" s="1882"/>
      <c r="BB355" s="1882"/>
      <c r="BC355" s="1882"/>
      <c r="BD355" s="1882"/>
      <c r="BE355" s="1882"/>
      <c r="BF355" s="1882"/>
      <c r="BG355" s="1882"/>
      <c r="BH355" s="1882"/>
      <c r="BI355" s="1882"/>
      <c r="BJ355" s="1882"/>
      <c r="BK355" s="1882"/>
      <c r="BL355" s="1882"/>
      <c r="BM355" s="1882"/>
      <c r="BN355" s="1882"/>
      <c r="BO355" s="1882"/>
      <c r="BP355" s="520" t="s">
        <v>8697</v>
      </c>
      <c r="BQ355" s="693">
        <v>1404</v>
      </c>
      <c r="BR355" s="1882" t="s">
        <v>2459</v>
      </c>
      <c r="BS355" s="1882" t="s">
        <v>8513</v>
      </c>
      <c r="BT355" s="1882">
        <v>0</v>
      </c>
      <c r="BU355" s="1882" t="s">
        <v>8513</v>
      </c>
      <c r="BV355" s="1882">
        <v>0</v>
      </c>
      <c r="BW355" s="1882">
        <v>2089</v>
      </c>
      <c r="BX355" s="1882" t="s">
        <v>2459</v>
      </c>
      <c r="BY355" s="1882">
        <v>0</v>
      </c>
      <c r="BZ355" s="1882">
        <v>0</v>
      </c>
      <c r="CA355" s="1882">
        <v>0</v>
      </c>
      <c r="CB355" s="1882">
        <v>0</v>
      </c>
      <c r="CC355" s="1882">
        <v>4834</v>
      </c>
      <c r="CD355" s="1882" t="s">
        <v>2459</v>
      </c>
      <c r="CE355" s="1882">
        <v>0</v>
      </c>
      <c r="CF355" s="1882">
        <v>0</v>
      </c>
      <c r="CG355" s="1882">
        <v>0</v>
      </c>
      <c r="CH355" s="1882">
        <v>0</v>
      </c>
      <c r="CI355" s="1882">
        <v>7957</v>
      </c>
      <c r="CJ355" s="1882" t="s">
        <v>2459</v>
      </c>
      <c r="CK355" s="1882">
        <v>0</v>
      </c>
      <c r="CL355" s="1882">
        <v>0</v>
      </c>
      <c r="CM355" s="1882">
        <v>0</v>
      </c>
      <c r="CN355" s="1882">
        <v>0</v>
      </c>
      <c r="CP355" s="1882" t="s">
        <v>10523</v>
      </c>
    </row>
    <row r="356" spans="1:94">
      <c r="A356" s="1882" t="s">
        <v>8379</v>
      </c>
      <c r="B356" s="1882" t="s">
        <v>10524</v>
      </c>
      <c r="C356" s="1882" t="s">
        <v>8352</v>
      </c>
      <c r="D356" s="1882" t="s">
        <v>1626</v>
      </c>
      <c r="E356" s="1882" t="s">
        <v>8503</v>
      </c>
      <c r="F356" s="1882" t="s">
        <v>10525</v>
      </c>
      <c r="G356" s="1882" t="s">
        <v>10526</v>
      </c>
      <c r="H356" s="1882" t="s">
        <v>10527</v>
      </c>
      <c r="I356" s="1882" t="s">
        <v>10528</v>
      </c>
      <c r="J356" s="1882" t="s">
        <v>8519</v>
      </c>
      <c r="K356" s="1882" t="s">
        <v>8509</v>
      </c>
      <c r="L356" s="1882"/>
      <c r="M356" s="1882" t="s">
        <v>2460</v>
      </c>
      <c r="N356" s="1882" t="s">
        <v>8569</v>
      </c>
      <c r="O356" s="1882" t="s">
        <v>8704</v>
      </c>
      <c r="P356" s="1882" t="s">
        <v>8856</v>
      </c>
      <c r="Q356" s="520" t="s">
        <v>8512</v>
      </c>
      <c r="R356" s="1882"/>
      <c r="S356" s="1882" t="s">
        <v>8706</v>
      </c>
      <c r="T356" s="1882" t="s">
        <v>8706</v>
      </c>
      <c r="U356" s="1882" t="s">
        <v>8706</v>
      </c>
      <c r="V356" s="1882" t="s">
        <v>8706</v>
      </c>
      <c r="W356" s="1882" t="s">
        <v>8706</v>
      </c>
      <c r="X356" s="1882" t="s">
        <v>8706</v>
      </c>
      <c r="Y356" s="1882"/>
      <c r="Z356" s="1882"/>
      <c r="AA356" s="1882"/>
      <c r="AB356" s="1882"/>
      <c r="AC356" s="1882"/>
      <c r="AD356" s="1882"/>
      <c r="AE356" s="1882" t="s">
        <v>2459</v>
      </c>
      <c r="AF356" s="1882"/>
      <c r="AG356" s="1882"/>
      <c r="AH356" s="1882">
        <v>6</v>
      </c>
      <c r="AI356" s="1882" t="s">
        <v>2459</v>
      </c>
      <c r="AJ356" s="1882" t="s">
        <v>2459</v>
      </c>
      <c r="AK356" s="1882" t="s">
        <v>2459</v>
      </c>
      <c r="AL356" s="1882" t="s">
        <v>2459</v>
      </c>
      <c r="AM356" s="1882" t="s">
        <v>2459</v>
      </c>
      <c r="AN356" s="1882" t="s">
        <v>8857</v>
      </c>
      <c r="AO356" s="1882" t="s">
        <v>8857</v>
      </c>
      <c r="AP356" s="1882" t="s">
        <v>8857</v>
      </c>
      <c r="AQ356" s="1882" t="s">
        <v>8857</v>
      </c>
      <c r="AR356" s="1882" t="s">
        <v>8857</v>
      </c>
      <c r="AS356" s="1882" t="s">
        <v>8858</v>
      </c>
      <c r="AT356" s="1882" t="s">
        <v>8858</v>
      </c>
      <c r="AU356" s="1882" t="s">
        <v>8858</v>
      </c>
      <c r="AV356" s="1882" t="s">
        <v>8858</v>
      </c>
      <c r="AW356" s="1882" t="s">
        <v>8858</v>
      </c>
      <c r="AX356" s="1882"/>
      <c r="AY356" s="1882"/>
      <c r="AZ356" s="1882"/>
      <c r="BA356" s="1882"/>
      <c r="BB356" s="1882"/>
      <c r="BC356" s="1882"/>
      <c r="BD356" s="1882"/>
      <c r="BE356" s="1882"/>
      <c r="BF356" s="1882"/>
      <c r="BG356" s="1882"/>
      <c r="BH356" s="1882">
        <v>4.6749999999999998</v>
      </c>
      <c r="BI356" s="1882"/>
      <c r="BJ356" s="1882"/>
      <c r="BK356" s="1882"/>
      <c r="BL356" s="1882"/>
      <c r="BM356" s="1882"/>
      <c r="BN356" s="1882">
        <v>1</v>
      </c>
      <c r="BO356" s="1882" t="s">
        <v>8512</v>
      </c>
      <c r="BP356" s="520" t="s">
        <v>8706</v>
      </c>
      <c r="BQ356" s="692" t="s">
        <v>8858</v>
      </c>
      <c r="BR356" s="1882" t="s">
        <v>2460</v>
      </c>
      <c r="BS356" s="1882" t="s">
        <v>8513</v>
      </c>
      <c r="BT356" s="1882">
        <v>0</v>
      </c>
      <c r="BU356" s="1882" t="s">
        <v>8563</v>
      </c>
      <c r="BV356" s="1882">
        <v>-4.6749999999999998</v>
      </c>
      <c r="BW356" s="1882" t="s">
        <v>8858</v>
      </c>
      <c r="BX356" s="1882" t="s">
        <v>2460</v>
      </c>
      <c r="BY356" s="1882">
        <v>0</v>
      </c>
      <c r="BZ356" s="1882">
        <v>0</v>
      </c>
      <c r="CA356" s="1882" t="s">
        <v>8563</v>
      </c>
      <c r="CB356" s="1882">
        <v>-4.6749999999999998</v>
      </c>
      <c r="CC356" s="1882" t="s">
        <v>8858</v>
      </c>
      <c r="CD356" s="1882" t="s">
        <v>2460</v>
      </c>
      <c r="CE356" s="1882">
        <v>0</v>
      </c>
      <c r="CF356" s="1882">
        <v>0</v>
      </c>
      <c r="CG356" s="1882" t="s">
        <v>8384</v>
      </c>
      <c r="CH356" s="1882">
        <v>-4.6749999999999998</v>
      </c>
      <c r="CI356" s="1882" t="s">
        <v>8858</v>
      </c>
      <c r="CJ356" s="1882" t="s">
        <v>2460</v>
      </c>
      <c r="CK356" s="1882">
        <v>0</v>
      </c>
      <c r="CL356" s="1882">
        <v>0</v>
      </c>
      <c r="CM356" s="1882" t="s">
        <v>8384</v>
      </c>
      <c r="CN356" s="1882">
        <v>-4.6749999999999998</v>
      </c>
      <c r="CP356" s="1882" t="s">
        <v>10529</v>
      </c>
    </row>
    <row r="357" spans="1:94">
      <c r="A357" s="1882" t="s">
        <v>8379</v>
      </c>
      <c r="B357" s="1882" t="s">
        <v>10530</v>
      </c>
      <c r="C357" s="1882" t="s">
        <v>8352</v>
      </c>
      <c r="D357" s="1882" t="s">
        <v>1626</v>
      </c>
      <c r="E357" s="1882" t="s">
        <v>8503</v>
      </c>
      <c r="F357" s="1882" t="s">
        <v>10525</v>
      </c>
      <c r="G357" s="1882" t="s">
        <v>10531</v>
      </c>
      <c r="H357" s="1882" t="s">
        <v>10532</v>
      </c>
      <c r="I357" s="1882" t="s">
        <v>10533</v>
      </c>
      <c r="J357" s="1882" t="s">
        <v>8519</v>
      </c>
      <c r="K357" s="1882" t="s">
        <v>8509</v>
      </c>
      <c r="L357" s="1882"/>
      <c r="M357" s="1882" t="s">
        <v>2460</v>
      </c>
      <c r="N357" s="1882" t="s">
        <v>8569</v>
      </c>
      <c r="O357" s="1882" t="s">
        <v>8704</v>
      </c>
      <c r="P357" s="1882" t="s">
        <v>8856</v>
      </c>
      <c r="Q357" s="520" t="s">
        <v>8512</v>
      </c>
      <c r="R357" s="1882"/>
      <c r="S357" s="1882" t="s">
        <v>8706</v>
      </c>
      <c r="T357" s="1882" t="s">
        <v>8706</v>
      </c>
      <c r="U357" s="1882" t="s">
        <v>8706</v>
      </c>
      <c r="V357" s="1882" t="s">
        <v>8706</v>
      </c>
      <c r="W357" s="1882" t="s">
        <v>8706</v>
      </c>
      <c r="X357" s="1882" t="s">
        <v>8706</v>
      </c>
      <c r="Y357" s="1882"/>
      <c r="Z357" s="1882"/>
      <c r="AA357" s="1882"/>
      <c r="AB357" s="1882"/>
      <c r="AC357" s="1882"/>
      <c r="AD357" s="1882"/>
      <c r="AE357" s="1882" t="s">
        <v>2459</v>
      </c>
      <c r="AF357" s="1882"/>
      <c r="AG357" s="1882"/>
      <c r="AH357" s="1882">
        <v>7</v>
      </c>
      <c r="AI357" s="1882" t="s">
        <v>2459</v>
      </c>
      <c r="AJ357" s="1882" t="s">
        <v>2459</v>
      </c>
      <c r="AK357" s="1882" t="s">
        <v>2459</v>
      </c>
      <c r="AL357" s="1882" t="s">
        <v>2459</v>
      </c>
      <c r="AM357" s="1882" t="s">
        <v>2459</v>
      </c>
      <c r="AN357" s="1882" t="s">
        <v>8857</v>
      </c>
      <c r="AO357" s="1882" t="s">
        <v>8857</v>
      </c>
      <c r="AP357" s="1882" t="s">
        <v>8857</v>
      </c>
      <c r="AQ357" s="1882" t="s">
        <v>8857</v>
      </c>
      <c r="AR357" s="1882" t="s">
        <v>8857</v>
      </c>
      <c r="AS357" s="1882" t="s">
        <v>8858</v>
      </c>
      <c r="AT357" s="1882" t="s">
        <v>8858</v>
      </c>
      <c r="AU357" s="1882" t="s">
        <v>8858</v>
      </c>
      <c r="AV357" s="1882" t="s">
        <v>8858</v>
      </c>
      <c r="AW357" s="1882" t="s">
        <v>8858</v>
      </c>
      <c r="AX357" s="1882"/>
      <c r="AY357" s="1882"/>
      <c r="AZ357" s="1882"/>
      <c r="BA357" s="1882"/>
      <c r="BB357" s="1882"/>
      <c r="BC357" s="1882"/>
      <c r="BD357" s="1882"/>
      <c r="BE357" s="1882"/>
      <c r="BF357" s="1882"/>
      <c r="BG357" s="1882"/>
      <c r="BH357" s="1882">
        <v>4.6749999999999998</v>
      </c>
      <c r="BI357" s="1882"/>
      <c r="BJ357" s="1882"/>
      <c r="BK357" s="1882"/>
      <c r="BL357" s="1882"/>
      <c r="BM357" s="1882"/>
      <c r="BN357" s="1882">
        <v>1</v>
      </c>
      <c r="BO357" s="1882" t="s">
        <v>8512</v>
      </c>
      <c r="BP357" s="520" t="s">
        <v>8706</v>
      </c>
      <c r="BQ357" s="692" t="s">
        <v>8706</v>
      </c>
      <c r="BR357" s="1882" t="s">
        <v>2459</v>
      </c>
      <c r="BS357" s="1882" t="s">
        <v>8513</v>
      </c>
      <c r="BT357" s="1882">
        <v>0</v>
      </c>
      <c r="BU357" s="1882" t="s">
        <v>8513</v>
      </c>
      <c r="BV357" s="1882">
        <v>0</v>
      </c>
      <c r="BW357" s="1882" t="s">
        <v>8706</v>
      </c>
      <c r="BX357" s="1882" t="s">
        <v>2459</v>
      </c>
      <c r="BY357" s="1882">
        <v>0</v>
      </c>
      <c r="BZ357" s="1882">
        <v>0</v>
      </c>
      <c r="CA357" s="1882">
        <v>0</v>
      </c>
      <c r="CB357" s="1882">
        <v>0</v>
      </c>
      <c r="CC357" s="1882" t="s">
        <v>8706</v>
      </c>
      <c r="CD357" s="1882" t="s">
        <v>2459</v>
      </c>
      <c r="CE357" s="1882">
        <v>0</v>
      </c>
      <c r="CF357" s="1882">
        <v>0</v>
      </c>
      <c r="CG357" s="1882">
        <v>0</v>
      </c>
      <c r="CH357" s="1882">
        <v>0</v>
      </c>
      <c r="CI357" s="1882" t="s">
        <v>8706</v>
      </c>
      <c r="CJ357" s="1882" t="s">
        <v>2459</v>
      </c>
      <c r="CK357" s="1882">
        <v>0</v>
      </c>
      <c r="CL357" s="1882">
        <v>0</v>
      </c>
      <c r="CM357" s="1882">
        <v>0</v>
      </c>
      <c r="CN357" s="1882">
        <v>0</v>
      </c>
      <c r="CP357" s="1882" t="s">
        <v>10534</v>
      </c>
    </row>
    <row r="358" spans="1:94">
      <c r="A358" s="1882" t="s">
        <v>8379</v>
      </c>
      <c r="B358" s="1882" t="s">
        <v>10535</v>
      </c>
      <c r="C358" s="1882" t="s">
        <v>8352</v>
      </c>
      <c r="D358" s="1882" t="s">
        <v>1626</v>
      </c>
      <c r="E358" s="1882" t="s">
        <v>8503</v>
      </c>
      <c r="F358" s="1882" t="s">
        <v>10525</v>
      </c>
      <c r="G358" s="1882" t="s">
        <v>10536</v>
      </c>
      <c r="H358" s="1882" t="s">
        <v>10537</v>
      </c>
      <c r="I358" s="1882" t="s">
        <v>10538</v>
      </c>
      <c r="J358" s="1882" t="s">
        <v>8519</v>
      </c>
      <c r="K358" s="1882" t="s">
        <v>8509</v>
      </c>
      <c r="L358" s="1882"/>
      <c r="M358" s="1882"/>
      <c r="N358" s="1882" t="s">
        <v>8547</v>
      </c>
      <c r="O358" s="1882" t="s">
        <v>732</v>
      </c>
      <c r="P358" s="1882" t="s">
        <v>8548</v>
      </c>
      <c r="Q358" s="520">
        <v>2</v>
      </c>
      <c r="R358" s="1882" t="s">
        <v>8549</v>
      </c>
      <c r="S358" s="1882">
        <v>99.94</v>
      </c>
      <c r="T358" s="1882">
        <v>99.94</v>
      </c>
      <c r="U358" s="1882">
        <v>99.94</v>
      </c>
      <c r="V358" s="1882">
        <v>100</v>
      </c>
      <c r="W358" s="1882">
        <v>100</v>
      </c>
      <c r="X358" s="1882">
        <v>100</v>
      </c>
      <c r="Y358" s="1882" t="s">
        <v>2459</v>
      </c>
      <c r="Z358" s="1882"/>
      <c r="AA358" s="1882"/>
      <c r="AB358" s="1882"/>
      <c r="AC358" s="1882"/>
      <c r="AD358" s="1882"/>
      <c r="AE358" s="1882" t="s">
        <v>2459</v>
      </c>
      <c r="AF358" s="1882"/>
      <c r="AG358" s="1882"/>
      <c r="AH358" s="1882">
        <v>0</v>
      </c>
      <c r="AI358" s="1882" t="s">
        <v>2459</v>
      </c>
      <c r="AJ358" s="1882" t="s">
        <v>2459</v>
      </c>
      <c r="AK358" s="1882" t="s">
        <v>2459</v>
      </c>
      <c r="AL358" s="1882" t="s">
        <v>2459</v>
      </c>
      <c r="AM358" s="1882" t="s">
        <v>2459</v>
      </c>
      <c r="AN358" s="1882">
        <v>99.91</v>
      </c>
      <c r="AO358" s="1882">
        <v>99.91</v>
      </c>
      <c r="AP358" s="1882">
        <v>99.93</v>
      </c>
      <c r="AQ358" s="1882">
        <v>99.93</v>
      </c>
      <c r="AR358" s="1882">
        <v>99.93</v>
      </c>
      <c r="AS358" s="1882">
        <v>99.93</v>
      </c>
      <c r="AT358" s="1882">
        <v>99.93</v>
      </c>
      <c r="AU358" s="1882">
        <v>99.95</v>
      </c>
      <c r="AV358" s="1882">
        <v>99.95</v>
      </c>
      <c r="AW358" s="1882">
        <v>99.95</v>
      </c>
      <c r="AX358" s="1882"/>
      <c r="AY358" s="1882"/>
      <c r="AZ358" s="1882"/>
      <c r="BA358" s="1882"/>
      <c r="BB358" s="1882"/>
      <c r="BC358" s="1882"/>
      <c r="BD358" s="1882"/>
      <c r="BE358" s="1882"/>
      <c r="BF358" s="1882"/>
      <c r="BG358" s="1882"/>
      <c r="BH358" s="1882">
        <v>3.915</v>
      </c>
      <c r="BI358" s="1882"/>
      <c r="BJ358" s="1882"/>
      <c r="BK358" s="1882"/>
      <c r="BL358" s="1882"/>
      <c r="BM358" s="1882"/>
      <c r="BN358" s="1882">
        <v>100</v>
      </c>
      <c r="BO358" s="1882" t="s">
        <v>8884</v>
      </c>
      <c r="BP358" s="520">
        <v>99.96</v>
      </c>
      <c r="BQ358" s="694">
        <v>99.956000000000003</v>
      </c>
      <c r="BR358" s="1882" t="s">
        <v>2459</v>
      </c>
      <c r="BS358" s="1882" t="s">
        <v>8513</v>
      </c>
      <c r="BT358" s="1882">
        <v>0</v>
      </c>
      <c r="BU358" s="1882" t="s">
        <v>8513</v>
      </c>
      <c r="BV358" s="1882">
        <v>0</v>
      </c>
      <c r="BW358" s="1882">
        <v>99.96</v>
      </c>
      <c r="BX358" s="1882" t="s">
        <v>2459</v>
      </c>
      <c r="BY358" s="1882">
        <v>0</v>
      </c>
      <c r="BZ358" s="1882">
        <v>0</v>
      </c>
      <c r="CA358" s="1882">
        <v>0</v>
      </c>
      <c r="CB358" s="1882">
        <v>0</v>
      </c>
      <c r="CC358" s="1882">
        <v>99.96</v>
      </c>
      <c r="CD358" s="1882" t="s">
        <v>2460</v>
      </c>
      <c r="CE358" s="1882">
        <v>0</v>
      </c>
      <c r="CF358" s="1882">
        <v>0</v>
      </c>
      <c r="CG358" s="1882" t="s">
        <v>8388</v>
      </c>
      <c r="CH358" s="1882">
        <v>0</v>
      </c>
      <c r="CI358" s="1882">
        <v>99.96</v>
      </c>
      <c r="CJ358" s="1882" t="s">
        <v>2460</v>
      </c>
      <c r="CK358" s="1882">
        <v>0</v>
      </c>
      <c r="CL358" s="1882">
        <v>0</v>
      </c>
      <c r="CM358" s="1882" t="s">
        <v>8388</v>
      </c>
      <c r="CN358" s="1882">
        <v>0</v>
      </c>
      <c r="CP358" s="1882" t="s">
        <v>10539</v>
      </c>
    </row>
    <row r="359" spans="1:94">
      <c r="A359" s="1882" t="s">
        <v>8379</v>
      </c>
      <c r="B359" s="1882" t="s">
        <v>10540</v>
      </c>
      <c r="C359" s="1882" t="s">
        <v>8352</v>
      </c>
      <c r="D359" s="1882" t="s">
        <v>1626</v>
      </c>
      <c r="E359" s="1882" t="s">
        <v>8503</v>
      </c>
      <c r="F359" s="1882" t="s">
        <v>10525</v>
      </c>
      <c r="G359" s="1882" t="s">
        <v>10541</v>
      </c>
      <c r="H359" s="1882" t="s">
        <v>10542</v>
      </c>
      <c r="I359" s="1882" t="s">
        <v>10543</v>
      </c>
      <c r="J359" s="1882" t="s">
        <v>8539</v>
      </c>
      <c r="K359" s="1882"/>
      <c r="L359" s="1882"/>
      <c r="M359" s="1882"/>
      <c r="N359" s="1882" t="s">
        <v>8613</v>
      </c>
      <c r="O359" s="1882" t="s">
        <v>764</v>
      </c>
      <c r="P359" s="1882" t="s">
        <v>10544</v>
      </c>
      <c r="Q359" s="520">
        <v>0</v>
      </c>
      <c r="R359" s="1882" t="s">
        <v>8511</v>
      </c>
      <c r="S359" s="1882">
        <v>34</v>
      </c>
      <c r="T359" s="1882">
        <v>34</v>
      </c>
      <c r="U359" s="1882">
        <v>34</v>
      </c>
      <c r="V359" s="1882">
        <v>34</v>
      </c>
      <c r="W359" s="1882">
        <v>34</v>
      </c>
      <c r="X359" s="1882">
        <v>34</v>
      </c>
      <c r="Y359" s="1882"/>
      <c r="Z359" s="1882"/>
      <c r="AA359" s="1882"/>
      <c r="AB359" s="1882"/>
      <c r="AC359" s="1882"/>
      <c r="AD359" s="1882"/>
      <c r="AE359" s="1882" t="s">
        <v>2459</v>
      </c>
      <c r="AF359" s="1882"/>
      <c r="AG359" s="1882"/>
      <c r="AH359" s="1882">
        <v>0</v>
      </c>
      <c r="AI359" s="1882"/>
      <c r="AJ359" s="1882"/>
      <c r="AK359" s="1882"/>
      <c r="AL359" s="1882"/>
      <c r="AM359" s="1882"/>
      <c r="AN359" s="1882"/>
      <c r="AO359" s="1882"/>
      <c r="AP359" s="1882"/>
      <c r="AQ359" s="1882"/>
      <c r="AR359" s="1882"/>
      <c r="AS359" s="1882"/>
      <c r="AT359" s="1882"/>
      <c r="AU359" s="1882"/>
      <c r="AV359" s="1882"/>
      <c r="AW359" s="1882"/>
      <c r="AX359" s="1882"/>
      <c r="AY359" s="1882"/>
      <c r="AZ359" s="1882"/>
      <c r="BA359" s="1882"/>
      <c r="BB359" s="1882"/>
      <c r="BC359" s="1882"/>
      <c r="BD359" s="1882"/>
      <c r="BE359" s="1882"/>
      <c r="BF359" s="1882"/>
      <c r="BG359" s="1882"/>
      <c r="BH359" s="1882"/>
      <c r="BI359" s="1882"/>
      <c r="BJ359" s="1882"/>
      <c r="BK359" s="1882"/>
      <c r="BL359" s="1882"/>
      <c r="BM359" s="1882"/>
      <c r="BN359" s="1882"/>
      <c r="BO359" s="1882"/>
      <c r="BP359" s="520">
        <v>0</v>
      </c>
      <c r="BQ359" s="693">
        <v>0</v>
      </c>
      <c r="BR359" s="1882" t="s">
        <v>2459</v>
      </c>
      <c r="BS359" s="1882" t="s">
        <v>8513</v>
      </c>
      <c r="BT359" s="1882">
        <v>0</v>
      </c>
      <c r="BU359" s="1882" t="s">
        <v>8513</v>
      </c>
      <c r="BV359" s="1882">
        <v>0</v>
      </c>
      <c r="BW359" s="1882">
        <v>5</v>
      </c>
      <c r="BX359" s="1882" t="s">
        <v>2459</v>
      </c>
      <c r="BY359" s="1882">
        <v>0</v>
      </c>
      <c r="BZ359" s="1882">
        <v>0</v>
      </c>
      <c r="CA359" s="1882">
        <v>0</v>
      </c>
      <c r="CB359" s="1882">
        <v>0</v>
      </c>
      <c r="CC359" s="1882">
        <v>206</v>
      </c>
      <c r="CD359" s="1882" t="s">
        <v>2460</v>
      </c>
      <c r="CE359" s="1882">
        <v>0</v>
      </c>
      <c r="CF359" s="1882">
        <v>0</v>
      </c>
      <c r="CG359" s="1882">
        <v>0</v>
      </c>
      <c r="CH359" s="1882">
        <v>0</v>
      </c>
      <c r="CI359" s="1882">
        <v>7</v>
      </c>
      <c r="CJ359" s="1882" t="s">
        <v>2459</v>
      </c>
      <c r="CK359" s="1882">
        <v>0</v>
      </c>
      <c r="CL359" s="1882">
        <v>0</v>
      </c>
      <c r="CM359" s="1882">
        <v>0</v>
      </c>
      <c r="CN359" s="1882">
        <v>0</v>
      </c>
      <c r="CP359" s="1882" t="s">
        <v>10545</v>
      </c>
    </row>
    <row r="360" spans="1:94">
      <c r="A360" s="1882" t="s">
        <v>8379</v>
      </c>
      <c r="B360" s="1882" t="s">
        <v>10546</v>
      </c>
      <c r="C360" s="1882" t="s">
        <v>8352</v>
      </c>
      <c r="D360" s="1882" t="s">
        <v>1626</v>
      </c>
      <c r="E360" s="1882" t="s">
        <v>8503</v>
      </c>
      <c r="F360" s="1882" t="s">
        <v>10525</v>
      </c>
      <c r="G360" s="1882" t="s">
        <v>10547</v>
      </c>
      <c r="H360" s="1882" t="s">
        <v>10548</v>
      </c>
      <c r="I360" s="1882" t="s">
        <v>10549</v>
      </c>
      <c r="J360" s="1882" t="s">
        <v>8508</v>
      </c>
      <c r="K360" s="1882" t="s">
        <v>8509</v>
      </c>
      <c r="L360" s="1882"/>
      <c r="M360" s="1882"/>
      <c r="N360" s="1882" t="s">
        <v>2450</v>
      </c>
      <c r="O360" s="1882" t="s">
        <v>8607</v>
      </c>
      <c r="P360" s="1882" t="s">
        <v>10550</v>
      </c>
      <c r="Q360" s="520">
        <v>2</v>
      </c>
      <c r="R360" s="1882" t="s">
        <v>8511</v>
      </c>
      <c r="S360" s="1882">
        <v>0.13</v>
      </c>
      <c r="T360" s="1882">
        <v>0.13</v>
      </c>
      <c r="U360" s="1882">
        <v>0.13</v>
      </c>
      <c r="V360" s="1882">
        <v>0.13</v>
      </c>
      <c r="W360" s="1882">
        <v>0.13</v>
      </c>
      <c r="X360" s="1882">
        <v>0.13</v>
      </c>
      <c r="Y360" s="1882"/>
      <c r="Z360" s="1882"/>
      <c r="AA360" s="1882" t="s">
        <v>2459</v>
      </c>
      <c r="AB360" s="1882"/>
      <c r="AC360" s="1882"/>
      <c r="AD360" s="1882"/>
      <c r="AE360" s="1882" t="s">
        <v>2459</v>
      </c>
      <c r="AF360" s="1882"/>
      <c r="AG360" s="1882"/>
      <c r="AH360" s="1882">
        <v>0</v>
      </c>
      <c r="AI360" s="1882" t="s">
        <v>2459</v>
      </c>
      <c r="AJ360" s="1882" t="s">
        <v>2459</v>
      </c>
      <c r="AK360" s="1882" t="s">
        <v>2459</v>
      </c>
      <c r="AL360" s="1882" t="s">
        <v>2459</v>
      </c>
      <c r="AM360" s="1882" t="s">
        <v>2459</v>
      </c>
      <c r="AN360" s="1882">
        <v>0.15</v>
      </c>
      <c r="AO360" s="1882">
        <v>0.15</v>
      </c>
      <c r="AP360" s="1882">
        <v>0.15</v>
      </c>
      <c r="AQ360" s="1882">
        <v>0.15</v>
      </c>
      <c r="AR360" s="1882">
        <v>0.15</v>
      </c>
      <c r="AS360" s="1882">
        <v>0.13</v>
      </c>
      <c r="AT360" s="1882">
        <v>0.13</v>
      </c>
      <c r="AU360" s="1882">
        <v>0.13</v>
      </c>
      <c r="AV360" s="1882">
        <v>0.13</v>
      </c>
      <c r="AW360" s="1882">
        <v>0.13</v>
      </c>
      <c r="AX360" s="1882">
        <v>0.13</v>
      </c>
      <c r="AY360" s="1882">
        <v>0.13</v>
      </c>
      <c r="AZ360" s="1882">
        <v>0.13</v>
      </c>
      <c r="BA360" s="1882">
        <v>0.13</v>
      </c>
      <c r="BB360" s="1882">
        <v>0.13</v>
      </c>
      <c r="BC360" s="1882">
        <v>0.1</v>
      </c>
      <c r="BD360" s="1882">
        <v>0.1</v>
      </c>
      <c r="BE360" s="1882">
        <v>0.1</v>
      </c>
      <c r="BF360" s="1882">
        <v>0.1</v>
      </c>
      <c r="BG360" s="1882">
        <v>0.1</v>
      </c>
      <c r="BH360" s="1882">
        <v>5.335</v>
      </c>
      <c r="BI360" s="1882"/>
      <c r="BJ360" s="1882"/>
      <c r="BK360" s="1882"/>
      <c r="BL360" s="1882">
        <v>3.125</v>
      </c>
      <c r="BM360" s="1882"/>
      <c r="BN360" s="1882">
        <v>100</v>
      </c>
      <c r="BO360" s="1882" t="s">
        <v>9007</v>
      </c>
      <c r="BP360" s="520" t="s">
        <v>8697</v>
      </c>
      <c r="BQ360" s="694">
        <v>0.122</v>
      </c>
      <c r="BR360" s="1882" t="s">
        <v>2459</v>
      </c>
      <c r="BS360" s="1882" t="s">
        <v>8513</v>
      </c>
      <c r="BT360" s="1882">
        <v>0</v>
      </c>
      <c r="BU360" s="1882" t="s">
        <v>8376</v>
      </c>
      <c r="BV360" s="1882">
        <v>3.125</v>
      </c>
      <c r="BW360" s="1882">
        <v>0.12</v>
      </c>
      <c r="BX360" s="1882" t="s">
        <v>2459</v>
      </c>
      <c r="BY360" s="1882">
        <v>0</v>
      </c>
      <c r="BZ360" s="1882">
        <v>0</v>
      </c>
      <c r="CA360" s="1882" t="s">
        <v>8376</v>
      </c>
      <c r="CB360" s="1882">
        <v>3.1250000000000027</v>
      </c>
      <c r="CC360" s="1882">
        <v>0.21</v>
      </c>
      <c r="CD360" s="1882" t="s">
        <v>2460</v>
      </c>
      <c r="CE360" s="1882">
        <v>0</v>
      </c>
      <c r="CF360" s="1882">
        <v>0</v>
      </c>
      <c r="CG360" s="1882" t="s">
        <v>8384</v>
      </c>
      <c r="CH360" s="1882">
        <v>-10.67</v>
      </c>
      <c r="CI360" s="1882">
        <v>0.26</v>
      </c>
      <c r="CJ360" s="1882" t="s">
        <v>2460</v>
      </c>
      <c r="CK360" s="1882">
        <v>0</v>
      </c>
      <c r="CL360" s="1882">
        <v>0</v>
      </c>
      <c r="CM360" s="1882" t="s">
        <v>8384</v>
      </c>
      <c r="CN360" s="1882">
        <v>-10.67</v>
      </c>
      <c r="CP360" s="1882" t="s">
        <v>10551</v>
      </c>
    </row>
    <row r="361" spans="1:94">
      <c r="A361" s="1882" t="s">
        <v>8379</v>
      </c>
      <c r="B361" s="1882" t="s">
        <v>10552</v>
      </c>
      <c r="C361" s="1882" t="s">
        <v>8352</v>
      </c>
      <c r="D361" s="1882" t="s">
        <v>1626</v>
      </c>
      <c r="E361" s="1882" t="s">
        <v>8503</v>
      </c>
      <c r="F361" s="1882" t="s">
        <v>10525</v>
      </c>
      <c r="G361" s="1882" t="s">
        <v>10553</v>
      </c>
      <c r="H361" s="1882" t="s">
        <v>10554</v>
      </c>
      <c r="I361" s="1882" t="s">
        <v>10555</v>
      </c>
      <c r="J361" s="1882" t="s">
        <v>8519</v>
      </c>
      <c r="K361" s="1882" t="s">
        <v>8509</v>
      </c>
      <c r="L361" s="1882"/>
      <c r="M361" s="1882"/>
      <c r="N361" s="1882" t="s">
        <v>8527</v>
      </c>
      <c r="O361" s="1882" t="s">
        <v>8591</v>
      </c>
      <c r="P361" s="1882" t="s">
        <v>8643</v>
      </c>
      <c r="Q361" s="520">
        <v>0</v>
      </c>
      <c r="R361" s="1882" t="s">
        <v>8549</v>
      </c>
      <c r="S361" s="1882">
        <v>100</v>
      </c>
      <c r="T361" s="1882">
        <v>100</v>
      </c>
      <c r="U361" s="1882">
        <v>100</v>
      </c>
      <c r="V361" s="1882">
        <v>100</v>
      </c>
      <c r="W361" s="1882">
        <v>100</v>
      </c>
      <c r="X361" s="1882">
        <v>100</v>
      </c>
      <c r="Y361" s="1882"/>
      <c r="Z361" s="1882"/>
      <c r="AA361" s="1882"/>
      <c r="AB361" s="1882"/>
      <c r="AC361" s="1882"/>
      <c r="AD361" s="1882"/>
      <c r="AE361" s="1882"/>
      <c r="AF361" s="1882"/>
      <c r="AG361" s="1882"/>
      <c r="AH361" s="1882">
        <v>0</v>
      </c>
      <c r="AI361" s="1882" t="s">
        <v>2459</v>
      </c>
      <c r="AJ361" s="1882" t="s">
        <v>2459</v>
      </c>
      <c r="AK361" s="1882" t="s">
        <v>2459</v>
      </c>
      <c r="AL361" s="1882" t="s">
        <v>2459</v>
      </c>
      <c r="AM361" s="1882" t="s">
        <v>2459</v>
      </c>
      <c r="AN361" s="1882">
        <v>97</v>
      </c>
      <c r="AO361" s="1882">
        <v>97</v>
      </c>
      <c r="AP361" s="1882">
        <v>97</v>
      </c>
      <c r="AQ361" s="1882">
        <v>97</v>
      </c>
      <c r="AR361" s="1882">
        <v>97</v>
      </c>
      <c r="AS361" s="1882">
        <v>100</v>
      </c>
      <c r="AT361" s="1882">
        <v>100</v>
      </c>
      <c r="AU361" s="1882">
        <v>100</v>
      </c>
      <c r="AV361" s="1882">
        <v>100</v>
      </c>
      <c r="AW361" s="1882">
        <v>100</v>
      </c>
      <c r="AX361" s="1882"/>
      <c r="AY361" s="1882"/>
      <c r="AZ361" s="1882"/>
      <c r="BA361" s="1882"/>
      <c r="BB361" s="1882"/>
      <c r="BC361" s="1882"/>
      <c r="BD361" s="1882"/>
      <c r="BE361" s="1882"/>
      <c r="BF361" s="1882"/>
      <c r="BG361" s="1882"/>
      <c r="BH361" s="1882">
        <v>2.2650000000000001</v>
      </c>
      <c r="BI361" s="1882"/>
      <c r="BJ361" s="1882"/>
      <c r="BK361" s="1882"/>
      <c r="BL361" s="1882"/>
      <c r="BM361" s="1882"/>
      <c r="BN361" s="1882">
        <v>1</v>
      </c>
      <c r="BO361" s="1882" t="s">
        <v>8512</v>
      </c>
      <c r="BP361" s="520">
        <v>100</v>
      </c>
      <c r="BQ361" s="693">
        <v>100</v>
      </c>
      <c r="BR361" s="1882" t="s">
        <v>2459</v>
      </c>
      <c r="BS361" s="1882" t="s">
        <v>8513</v>
      </c>
      <c r="BT361" s="1882">
        <v>0</v>
      </c>
      <c r="BU361" s="1882" t="s">
        <v>8513</v>
      </c>
      <c r="BV361" s="1882">
        <v>0</v>
      </c>
      <c r="BW361" s="1882">
        <v>99</v>
      </c>
      <c r="BX361" s="1882" t="s">
        <v>2460</v>
      </c>
      <c r="BY361" s="1882">
        <v>0</v>
      </c>
      <c r="BZ361" s="1882">
        <v>0</v>
      </c>
      <c r="CA361" s="1882" t="s">
        <v>8563</v>
      </c>
      <c r="CB361" s="1882">
        <v>-2.2650000000000001</v>
      </c>
      <c r="CC361" s="1882">
        <v>97</v>
      </c>
      <c r="CD361" s="1882" t="s">
        <v>2460</v>
      </c>
      <c r="CE361" s="1882">
        <v>0</v>
      </c>
      <c r="CF361" s="1882">
        <v>0</v>
      </c>
      <c r="CG361" s="1882" t="s">
        <v>8384</v>
      </c>
      <c r="CH361" s="1882">
        <v>-6.7949999999999999</v>
      </c>
      <c r="CI361" s="1882">
        <v>98</v>
      </c>
      <c r="CJ361" s="1882" t="s">
        <v>2460</v>
      </c>
      <c r="CK361" s="1882">
        <v>0</v>
      </c>
      <c r="CL361" s="1882">
        <v>0</v>
      </c>
      <c r="CM361" s="1882" t="s">
        <v>8384</v>
      </c>
      <c r="CN361" s="1882">
        <v>-4.53</v>
      </c>
      <c r="CP361" s="1882" t="s">
        <v>10556</v>
      </c>
    </row>
    <row r="362" spans="1:94">
      <c r="A362" s="1882" t="s">
        <v>8379</v>
      </c>
      <c r="B362" s="1882" t="s">
        <v>10557</v>
      </c>
      <c r="C362" s="1882" t="s">
        <v>8352</v>
      </c>
      <c r="D362" s="1882" t="s">
        <v>1626</v>
      </c>
      <c r="E362" s="1882" t="s">
        <v>8503</v>
      </c>
      <c r="F362" s="1882" t="s">
        <v>10525</v>
      </c>
      <c r="G362" s="1882" t="s">
        <v>10558</v>
      </c>
      <c r="H362" s="1882" t="s">
        <v>10559</v>
      </c>
      <c r="I362" s="1882" t="s">
        <v>10560</v>
      </c>
      <c r="J362" s="1882" t="s">
        <v>8519</v>
      </c>
      <c r="K362" s="1882" t="s">
        <v>8509</v>
      </c>
      <c r="L362" s="1882"/>
      <c r="M362" s="1882" t="s">
        <v>2460</v>
      </c>
      <c r="N362" s="1882" t="s">
        <v>4596</v>
      </c>
      <c r="O362" s="1882" t="s">
        <v>732</v>
      </c>
      <c r="P362" s="1882" t="s">
        <v>10561</v>
      </c>
      <c r="Q362" s="520">
        <v>0</v>
      </c>
      <c r="R362" s="1882" t="s">
        <v>8549</v>
      </c>
      <c r="S362" s="1882">
        <v>100</v>
      </c>
      <c r="T362" s="1882"/>
      <c r="U362" s="1882"/>
      <c r="V362" s="1882"/>
      <c r="W362" s="1882"/>
      <c r="X362" s="1882">
        <v>100</v>
      </c>
      <c r="Y362" s="1882"/>
      <c r="Z362" s="1882"/>
      <c r="AA362" s="1882"/>
      <c r="AB362" s="1882"/>
      <c r="AC362" s="1882"/>
      <c r="AD362" s="1882" t="s">
        <v>2459</v>
      </c>
      <c r="AE362" s="1882" t="s">
        <v>2459</v>
      </c>
      <c r="AF362" s="1882"/>
      <c r="AG362" s="1882"/>
      <c r="AH362" s="1882">
        <v>0</v>
      </c>
      <c r="AI362" s="1882"/>
      <c r="AJ362" s="1882"/>
      <c r="AK362" s="1882"/>
      <c r="AL362" s="1882"/>
      <c r="AM362" s="1882" t="s">
        <v>2459</v>
      </c>
      <c r="AN362" s="1882"/>
      <c r="AO362" s="1882"/>
      <c r="AP362" s="1882"/>
      <c r="AQ362" s="1882"/>
      <c r="AR362" s="1882">
        <v>0</v>
      </c>
      <c r="AS362" s="1882"/>
      <c r="AT362" s="1882"/>
      <c r="AU362" s="1882"/>
      <c r="AV362" s="1882"/>
      <c r="AW362" s="1882">
        <v>100</v>
      </c>
      <c r="AX362" s="1882"/>
      <c r="AY362" s="1882"/>
      <c r="AZ362" s="1882"/>
      <c r="BA362" s="1882"/>
      <c r="BB362" s="1882"/>
      <c r="BC362" s="1882"/>
      <c r="BD362" s="1882"/>
      <c r="BE362" s="1882"/>
      <c r="BF362" s="1882"/>
      <c r="BG362" s="1882"/>
      <c r="BH362" s="1882">
        <v>0.40939999999999999</v>
      </c>
      <c r="BI362" s="1882"/>
      <c r="BJ362" s="1882"/>
      <c r="BK362" s="1882"/>
      <c r="BL362" s="1882"/>
      <c r="BM362" s="1882"/>
      <c r="BN362" s="1882">
        <v>1</v>
      </c>
      <c r="BO362" s="1882" t="s">
        <v>8512</v>
      </c>
      <c r="BP362" s="520" t="s">
        <v>8697</v>
      </c>
      <c r="BQ362" s="693">
        <v>0</v>
      </c>
      <c r="BR362" s="1882" t="s">
        <v>8513</v>
      </c>
      <c r="BS362" s="1882" t="s">
        <v>8513</v>
      </c>
      <c r="BT362" s="1882">
        <v>0</v>
      </c>
      <c r="BU362" s="1882" t="s">
        <v>8513</v>
      </c>
      <c r="BV362" s="1882">
        <v>0</v>
      </c>
      <c r="BW362" s="1882" t="s">
        <v>8697</v>
      </c>
      <c r="BX362" s="1882" t="s">
        <v>2451</v>
      </c>
      <c r="BY362" s="1882">
        <v>0</v>
      </c>
      <c r="BZ362" s="1882">
        <v>0</v>
      </c>
      <c r="CA362" s="1882">
        <v>0</v>
      </c>
      <c r="CB362" s="1882">
        <v>0</v>
      </c>
      <c r="CC362" s="2101">
        <v>21</v>
      </c>
      <c r="CD362" s="1882" t="s">
        <v>2451</v>
      </c>
      <c r="CE362" s="1882">
        <v>0</v>
      </c>
      <c r="CF362" s="1882">
        <v>0</v>
      </c>
      <c r="CG362" s="1882">
        <v>0</v>
      </c>
      <c r="CH362" s="1882">
        <v>0</v>
      </c>
      <c r="CI362" s="2101">
        <v>42</v>
      </c>
      <c r="CJ362" s="1882" t="s">
        <v>2451</v>
      </c>
      <c r="CK362" s="1882">
        <v>0</v>
      </c>
      <c r="CL362" s="1882">
        <v>0</v>
      </c>
      <c r="CM362" s="1882">
        <v>0</v>
      </c>
      <c r="CN362" s="1882">
        <v>0</v>
      </c>
      <c r="CP362" s="1882" t="s">
        <v>10562</v>
      </c>
    </row>
    <row r="363" spans="1:94" ht="25">
      <c r="A363" s="1882" t="s">
        <v>8379</v>
      </c>
      <c r="B363" s="1882" t="s">
        <v>10563</v>
      </c>
      <c r="C363" s="1882" t="s">
        <v>8352</v>
      </c>
      <c r="D363" s="1882" t="s">
        <v>1626</v>
      </c>
      <c r="E363" s="1882" t="s">
        <v>8503</v>
      </c>
      <c r="F363" s="1882" t="s">
        <v>10525</v>
      </c>
      <c r="G363" s="1882" t="s">
        <v>10564</v>
      </c>
      <c r="H363" s="1882" t="s">
        <v>10565</v>
      </c>
      <c r="I363" s="1882" t="s">
        <v>10566</v>
      </c>
      <c r="J363" s="1882" t="s">
        <v>8508</v>
      </c>
      <c r="K363" s="1882" t="s">
        <v>8509</v>
      </c>
      <c r="L363" s="1882"/>
      <c r="M363" s="1882"/>
      <c r="N363" s="1882" t="s">
        <v>4580</v>
      </c>
      <c r="O363" s="1882" t="s">
        <v>764</v>
      </c>
      <c r="P363" s="1882" t="s">
        <v>10567</v>
      </c>
      <c r="Q363" s="520">
        <v>0</v>
      </c>
      <c r="R363" s="1882" t="s">
        <v>8549</v>
      </c>
      <c r="S363" s="1882" t="s">
        <v>3504</v>
      </c>
      <c r="T363" s="1882"/>
      <c r="U363" s="1882"/>
      <c r="V363" s="1882"/>
      <c r="W363" s="1882"/>
      <c r="X363" s="1882">
        <v>1015</v>
      </c>
      <c r="Y363" s="1882"/>
      <c r="Z363" s="1882"/>
      <c r="AA363" s="1882"/>
      <c r="AB363" s="1882"/>
      <c r="AC363" s="1882"/>
      <c r="AD363" s="1882"/>
      <c r="AE363" s="1882" t="s">
        <v>2459</v>
      </c>
      <c r="AF363" s="1882"/>
      <c r="AG363" s="1882"/>
      <c r="AH363" s="1882">
        <v>0</v>
      </c>
      <c r="AI363" s="1882"/>
      <c r="AJ363" s="1882"/>
      <c r="AK363" s="1882"/>
      <c r="AL363" s="1882"/>
      <c r="AM363" s="1882" t="s">
        <v>2459</v>
      </c>
      <c r="AN363" s="1882"/>
      <c r="AO363" s="1882"/>
      <c r="AP363" s="1882"/>
      <c r="AQ363" s="1882"/>
      <c r="AR363" s="1882">
        <v>812</v>
      </c>
      <c r="AS363" s="1882"/>
      <c r="AT363" s="1882"/>
      <c r="AU363" s="1882"/>
      <c r="AV363" s="1882"/>
      <c r="AW363" s="1882">
        <v>1015</v>
      </c>
      <c r="AX363" s="1882"/>
      <c r="AY363" s="1882"/>
      <c r="AZ363" s="1882"/>
      <c r="BA363" s="1882"/>
      <c r="BB363" s="1882">
        <v>1015</v>
      </c>
      <c r="BC363" s="1882"/>
      <c r="BD363" s="1882"/>
      <c r="BE363" s="1882"/>
      <c r="BF363" s="1882"/>
      <c r="BG363" s="1882">
        <v>1218</v>
      </c>
      <c r="BH363" s="1882">
        <v>5.0000000000000001E-3</v>
      </c>
      <c r="BI363" s="1882"/>
      <c r="BJ363" s="1882"/>
      <c r="BK363" s="1882"/>
      <c r="BL363" s="1882">
        <v>5.0000000000000001E-3</v>
      </c>
      <c r="BM363" s="1882"/>
      <c r="BN363" s="1882">
        <v>1</v>
      </c>
      <c r="BO363" s="1882" t="s">
        <v>8512</v>
      </c>
      <c r="BP363" s="520" t="s">
        <v>8697</v>
      </c>
      <c r="BQ363" s="692" t="s">
        <v>8697</v>
      </c>
      <c r="BR363" s="1882" t="s">
        <v>8513</v>
      </c>
      <c r="BS363" s="1882" t="s">
        <v>8513</v>
      </c>
      <c r="BT363" s="1882">
        <v>0</v>
      </c>
      <c r="BU363" s="1882" t="s">
        <v>8513</v>
      </c>
      <c r="BV363" s="1882">
        <v>0</v>
      </c>
      <c r="BW363" s="1882">
        <v>0</v>
      </c>
      <c r="BX363" s="1882" t="s">
        <v>2451</v>
      </c>
      <c r="BY363" s="1882">
        <v>0</v>
      </c>
      <c r="BZ363" s="1882">
        <v>0</v>
      </c>
      <c r="CA363" s="1882">
        <v>0</v>
      </c>
      <c r="CB363" s="1882">
        <v>0</v>
      </c>
      <c r="CC363" s="1882">
        <v>4</v>
      </c>
      <c r="CD363" s="1882" t="s">
        <v>2451</v>
      </c>
      <c r="CE363" s="1882">
        <v>0</v>
      </c>
      <c r="CF363" s="1882">
        <v>0</v>
      </c>
      <c r="CG363" s="1882">
        <v>0</v>
      </c>
      <c r="CH363" s="1882">
        <v>0</v>
      </c>
      <c r="CI363" s="1882">
        <v>747</v>
      </c>
      <c r="CJ363" s="1882" t="s">
        <v>2451</v>
      </c>
      <c r="CK363" s="1882">
        <v>0</v>
      </c>
      <c r="CL363" s="1882">
        <v>0</v>
      </c>
      <c r="CM363" s="1882">
        <v>0</v>
      </c>
      <c r="CN363" s="1882">
        <v>0</v>
      </c>
      <c r="CP363" s="1882" t="s">
        <v>10568</v>
      </c>
    </row>
    <row r="364" spans="1:94">
      <c r="A364" s="1882" t="s">
        <v>8379</v>
      </c>
      <c r="B364" s="1882" t="s">
        <v>10569</v>
      </c>
      <c r="C364" s="1882" t="s">
        <v>8352</v>
      </c>
      <c r="D364" s="1882" t="s">
        <v>1626</v>
      </c>
      <c r="E364" s="1882" t="s">
        <v>8503</v>
      </c>
      <c r="F364" s="1882" t="s">
        <v>10570</v>
      </c>
      <c r="G364" s="1882" t="s">
        <v>10571</v>
      </c>
      <c r="H364" s="1882" t="s">
        <v>10572</v>
      </c>
      <c r="I364" s="1882" t="s">
        <v>10573</v>
      </c>
      <c r="J364" s="1882" t="s">
        <v>8539</v>
      </c>
      <c r="K364" s="1882"/>
      <c r="L364" s="1882"/>
      <c r="M364" s="1882"/>
      <c r="N364" s="1882" t="s">
        <v>8681</v>
      </c>
      <c r="O364" s="1882" t="s">
        <v>764</v>
      </c>
      <c r="P364" s="1882" t="s">
        <v>9180</v>
      </c>
      <c r="Q364" s="520">
        <v>1</v>
      </c>
      <c r="R364" s="1882" t="s">
        <v>8511</v>
      </c>
      <c r="S364" s="1882">
        <v>247.8</v>
      </c>
      <c r="T364" s="1882">
        <v>227</v>
      </c>
      <c r="U364" s="1882">
        <v>185</v>
      </c>
      <c r="V364" s="1882">
        <v>166.1</v>
      </c>
      <c r="W364" s="1882">
        <v>146.6</v>
      </c>
      <c r="X364" s="1882">
        <v>136.19999999999999</v>
      </c>
      <c r="Y364" s="1882"/>
      <c r="Z364" s="1882"/>
      <c r="AA364" s="1882"/>
      <c r="AB364" s="1882"/>
      <c r="AC364" s="1882"/>
      <c r="AD364" s="1882"/>
      <c r="AE364" s="1882"/>
      <c r="AF364" s="1882"/>
      <c r="AG364" s="1882"/>
      <c r="AH364" s="1882">
        <v>0</v>
      </c>
      <c r="AI364" s="1882"/>
      <c r="AJ364" s="1882"/>
      <c r="AK364" s="1882"/>
      <c r="AL364" s="1882"/>
      <c r="AM364" s="1882"/>
      <c r="AN364" s="1882"/>
      <c r="AO364" s="1882"/>
      <c r="AP364" s="1882"/>
      <c r="AQ364" s="1882"/>
      <c r="AR364" s="1882"/>
      <c r="AS364" s="1882"/>
      <c r="AT364" s="1882"/>
      <c r="AU364" s="1882"/>
      <c r="AV364" s="1882"/>
      <c r="AW364" s="1882"/>
      <c r="AX364" s="1882"/>
      <c r="AY364" s="1882"/>
      <c r="AZ364" s="1882"/>
      <c r="BA364" s="1882"/>
      <c r="BB364" s="1882"/>
      <c r="BC364" s="1882"/>
      <c r="BD364" s="1882"/>
      <c r="BE364" s="1882"/>
      <c r="BF364" s="1882"/>
      <c r="BG364" s="1882"/>
      <c r="BH364" s="1882"/>
      <c r="BI364" s="1882"/>
      <c r="BJ364" s="1882"/>
      <c r="BK364" s="1882"/>
      <c r="BL364" s="1882"/>
      <c r="BM364" s="1882"/>
      <c r="BN364" s="1882"/>
      <c r="BO364" s="1882"/>
      <c r="BP364" s="520" t="s">
        <v>8697</v>
      </c>
      <c r="BQ364" s="690">
        <v>284.78500000000003</v>
      </c>
      <c r="BR364" s="1882" t="s">
        <v>2460</v>
      </c>
      <c r="BS364" s="1882" t="s">
        <v>8513</v>
      </c>
      <c r="BT364" s="1882">
        <v>0</v>
      </c>
      <c r="BU364" s="1882" t="s">
        <v>8513</v>
      </c>
      <c r="BV364" s="1882">
        <v>0</v>
      </c>
      <c r="BW364" s="1882">
        <v>160.69999999999999</v>
      </c>
      <c r="BX364" s="1882" t="s">
        <v>2459</v>
      </c>
      <c r="BY364" s="1882">
        <v>0</v>
      </c>
      <c r="BZ364" s="1882">
        <v>0</v>
      </c>
      <c r="CA364" s="1882">
        <v>0</v>
      </c>
      <c r="CB364" s="1882">
        <v>0</v>
      </c>
      <c r="CC364" s="1882">
        <v>46.2</v>
      </c>
      <c r="CD364" s="1882" t="s">
        <v>2459</v>
      </c>
      <c r="CE364" s="1882">
        <v>0</v>
      </c>
      <c r="CF364" s="1882">
        <v>0</v>
      </c>
      <c r="CG364" s="1882">
        <v>0</v>
      </c>
      <c r="CH364" s="1882">
        <v>0</v>
      </c>
      <c r="CI364" s="1882">
        <v>45.7</v>
      </c>
      <c r="CJ364" s="1882" t="s">
        <v>2459</v>
      </c>
      <c r="CK364" s="1882">
        <v>0</v>
      </c>
      <c r="CL364" s="1882">
        <v>0</v>
      </c>
      <c r="CM364" s="1882">
        <v>0</v>
      </c>
      <c r="CN364" s="1882">
        <v>0</v>
      </c>
      <c r="CP364" s="1882" t="s">
        <v>10574</v>
      </c>
    </row>
    <row r="365" spans="1:94">
      <c r="A365" s="1882" t="s">
        <v>8379</v>
      </c>
      <c r="B365" s="1882" t="s">
        <v>10575</v>
      </c>
      <c r="C365" s="1882" t="s">
        <v>8352</v>
      </c>
      <c r="D365" s="1882" t="s">
        <v>1626</v>
      </c>
      <c r="E365" s="1882" t="s">
        <v>8503</v>
      </c>
      <c r="F365" s="1882" t="s">
        <v>10570</v>
      </c>
      <c r="G365" s="1882" t="s">
        <v>10576</v>
      </c>
      <c r="H365" s="1882" t="s">
        <v>10577</v>
      </c>
      <c r="I365" s="1882" t="s">
        <v>10578</v>
      </c>
      <c r="J365" s="1882" t="s">
        <v>8508</v>
      </c>
      <c r="K365" s="1882" t="s">
        <v>8509</v>
      </c>
      <c r="L365" s="1882"/>
      <c r="M365" s="1882"/>
      <c r="N365" s="1882" t="s">
        <v>2444</v>
      </c>
      <c r="O365" s="1882" t="s">
        <v>764</v>
      </c>
      <c r="P365" s="1882" t="s">
        <v>10579</v>
      </c>
      <c r="Q365" s="520">
        <v>0</v>
      </c>
      <c r="R365" s="1882" t="s">
        <v>8511</v>
      </c>
      <c r="S365" s="1882">
        <v>665</v>
      </c>
      <c r="T365" s="1882">
        <v>649</v>
      </c>
      <c r="U365" s="1882">
        <v>630</v>
      </c>
      <c r="V365" s="1882">
        <v>620</v>
      </c>
      <c r="W365" s="1882">
        <v>612</v>
      </c>
      <c r="X365" s="1882">
        <v>606</v>
      </c>
      <c r="Y365" s="1882"/>
      <c r="Z365" s="1882"/>
      <c r="AA365" s="1882"/>
      <c r="AB365" s="1882"/>
      <c r="AC365" s="1882"/>
      <c r="AD365" s="1882"/>
      <c r="AE365" s="1882" t="s">
        <v>2459</v>
      </c>
      <c r="AF365" s="1882"/>
      <c r="AG365" s="1882"/>
      <c r="AH365" s="1882">
        <v>0</v>
      </c>
      <c r="AI365" s="1882" t="s">
        <v>2459</v>
      </c>
      <c r="AJ365" s="1882" t="s">
        <v>2459</v>
      </c>
      <c r="AK365" s="1882" t="s">
        <v>2459</v>
      </c>
      <c r="AL365" s="1882" t="s">
        <v>2459</v>
      </c>
      <c r="AM365" s="1882" t="s">
        <v>2459</v>
      </c>
      <c r="AN365" s="1882">
        <v>657</v>
      </c>
      <c r="AO365" s="1882">
        <v>649</v>
      </c>
      <c r="AP365" s="1882">
        <v>649</v>
      </c>
      <c r="AQ365" s="1882">
        <v>649</v>
      </c>
      <c r="AR365" s="1882">
        <v>649</v>
      </c>
      <c r="AS365" s="1882">
        <v>649</v>
      </c>
      <c r="AT365" s="1882">
        <v>630</v>
      </c>
      <c r="AU365" s="1882">
        <v>620</v>
      </c>
      <c r="AV365" s="1882">
        <v>612</v>
      </c>
      <c r="AW365" s="1882">
        <v>606</v>
      </c>
      <c r="AX365" s="1882">
        <v>637</v>
      </c>
      <c r="AY365" s="1882">
        <v>619</v>
      </c>
      <c r="AZ365" s="1882">
        <v>609</v>
      </c>
      <c r="BA365" s="1882">
        <v>600</v>
      </c>
      <c r="BB365" s="1882">
        <v>594</v>
      </c>
      <c r="BC365" s="1882">
        <v>626</v>
      </c>
      <c r="BD365" s="1882">
        <v>607</v>
      </c>
      <c r="BE365" s="1882">
        <v>596</v>
      </c>
      <c r="BF365" s="1882">
        <v>588</v>
      </c>
      <c r="BG365" s="1882">
        <v>582</v>
      </c>
      <c r="BH365" s="1882">
        <v>0.45</v>
      </c>
      <c r="BI365" s="1882"/>
      <c r="BJ365" s="1882"/>
      <c r="BK365" s="1882"/>
      <c r="BL365" s="1882">
        <v>0.27</v>
      </c>
      <c r="BM365" s="1882"/>
      <c r="BN365" s="1882">
        <v>1</v>
      </c>
      <c r="BO365" s="1882" t="s">
        <v>8512</v>
      </c>
      <c r="BP365" s="520">
        <v>653.96</v>
      </c>
      <c r="BQ365" s="693">
        <v>642.46</v>
      </c>
      <c r="BR365" s="1882" t="s">
        <v>2459</v>
      </c>
      <c r="BS365" s="1882" t="s">
        <v>8513</v>
      </c>
      <c r="BT365" s="1882">
        <v>0</v>
      </c>
      <c r="BU365" s="1882" t="s">
        <v>8380</v>
      </c>
      <c r="BV365" s="1882">
        <v>0</v>
      </c>
      <c r="BW365" s="1882">
        <v>677</v>
      </c>
      <c r="BX365" s="1882" t="s">
        <v>2460</v>
      </c>
      <c r="BY365" s="1882">
        <v>0</v>
      </c>
      <c r="BZ365" s="1882">
        <v>0</v>
      </c>
      <c r="CA365" s="1882" t="s">
        <v>8563</v>
      </c>
      <c r="CB365" s="1882">
        <v>-8.5500000000000007</v>
      </c>
      <c r="CC365" s="1882">
        <v>695</v>
      </c>
      <c r="CD365" s="1882" t="s">
        <v>2460</v>
      </c>
      <c r="CE365" s="1882">
        <v>0</v>
      </c>
      <c r="CF365" s="1882">
        <v>0</v>
      </c>
      <c r="CG365" s="1882" t="s">
        <v>8384</v>
      </c>
      <c r="CH365" s="1882">
        <v>-13.05</v>
      </c>
      <c r="CI365" s="1882">
        <v>690</v>
      </c>
      <c r="CJ365" s="1882" t="s">
        <v>2460</v>
      </c>
      <c r="CK365" s="1882">
        <v>0</v>
      </c>
      <c r="CL365" s="1882">
        <v>0</v>
      </c>
      <c r="CM365" s="1882" t="s">
        <v>8384</v>
      </c>
      <c r="CN365" s="1882">
        <v>-35.1</v>
      </c>
      <c r="CP365" s="1882" t="s">
        <v>10580</v>
      </c>
    </row>
    <row r="366" spans="1:94" ht="25">
      <c r="A366" s="1882" t="s">
        <v>8379</v>
      </c>
      <c r="B366" s="1882" t="s">
        <v>10581</v>
      </c>
      <c r="C366" s="1882" t="s">
        <v>8352</v>
      </c>
      <c r="D366" s="1882" t="s">
        <v>1626</v>
      </c>
      <c r="E366" s="1882" t="s">
        <v>8503</v>
      </c>
      <c r="F366" s="1882" t="s">
        <v>10570</v>
      </c>
      <c r="G366" s="1882" t="s">
        <v>10582</v>
      </c>
      <c r="H366" s="1882" t="s">
        <v>10583</v>
      </c>
      <c r="I366" s="1882" t="s">
        <v>10584</v>
      </c>
      <c r="J366" s="1882" t="s">
        <v>8539</v>
      </c>
      <c r="K366" s="1882"/>
      <c r="L366" s="1882"/>
      <c r="M366" s="1882"/>
      <c r="N366" s="1882" t="s">
        <v>8533</v>
      </c>
      <c r="O366" s="1882" t="s">
        <v>764</v>
      </c>
      <c r="P366" s="1882" t="s">
        <v>10585</v>
      </c>
      <c r="Q366" s="520">
        <v>2</v>
      </c>
      <c r="R366" s="1882"/>
      <c r="S366" s="1882" t="s">
        <v>3504</v>
      </c>
      <c r="T366" s="1882" t="s">
        <v>10586</v>
      </c>
      <c r="U366" s="1882" t="s">
        <v>10586</v>
      </c>
      <c r="V366" s="1882" t="s">
        <v>10586</v>
      </c>
      <c r="W366" s="1882" t="s">
        <v>10586</v>
      </c>
      <c r="X366" s="1882" t="s">
        <v>10586</v>
      </c>
      <c r="Y366" s="1882"/>
      <c r="Z366" s="1882"/>
      <c r="AA366" s="1882"/>
      <c r="AB366" s="1882"/>
      <c r="AC366" s="1882"/>
      <c r="AD366" s="1882"/>
      <c r="AE366" s="1882"/>
      <c r="AF366" s="1882"/>
      <c r="AG366" s="1882" t="s">
        <v>2459</v>
      </c>
      <c r="AH366" s="1882">
        <v>0</v>
      </c>
      <c r="AI366" s="1882"/>
      <c r="AJ366" s="1882"/>
      <c r="AK366" s="1882"/>
      <c r="AL366" s="1882"/>
      <c r="AM366" s="1882"/>
      <c r="AN366" s="1882"/>
      <c r="AO366" s="1882"/>
      <c r="AP366" s="1882"/>
      <c r="AQ366" s="1882"/>
      <c r="AR366" s="1882"/>
      <c r="AS366" s="1882"/>
      <c r="AT366" s="1882"/>
      <c r="AU366" s="1882"/>
      <c r="AV366" s="1882"/>
      <c r="AW366" s="1882"/>
      <c r="AX366" s="1882"/>
      <c r="AY366" s="1882"/>
      <c r="AZ366" s="1882"/>
      <c r="BA366" s="1882"/>
      <c r="BB366" s="1882"/>
      <c r="BC366" s="1882"/>
      <c r="BD366" s="1882"/>
      <c r="BE366" s="1882"/>
      <c r="BF366" s="1882"/>
      <c r="BG366" s="1882"/>
      <c r="BH366" s="1882"/>
      <c r="BI366" s="1882"/>
      <c r="BJ366" s="1882"/>
      <c r="BK366" s="1882"/>
      <c r="BL366" s="1882"/>
      <c r="BM366" s="1882"/>
      <c r="BN366" s="1882"/>
      <c r="BO366" s="1882"/>
      <c r="BP366" s="520" t="s">
        <v>8697</v>
      </c>
      <c r="BQ366" s="692" t="s">
        <v>8697</v>
      </c>
      <c r="BR366" s="1882" t="s">
        <v>8513</v>
      </c>
      <c r="BS366" s="1882" t="s">
        <v>8513</v>
      </c>
      <c r="BT366" s="1882">
        <v>0</v>
      </c>
      <c r="BU366" s="1882" t="s">
        <v>8513</v>
      </c>
      <c r="BV366" s="1882">
        <v>0</v>
      </c>
      <c r="BW366" s="1882" t="s">
        <v>10587</v>
      </c>
      <c r="BX366" s="1882" t="s">
        <v>2459</v>
      </c>
      <c r="BY366" s="1882">
        <v>0</v>
      </c>
      <c r="BZ366" s="1882">
        <v>0</v>
      </c>
      <c r="CA366" s="1882">
        <v>0</v>
      </c>
      <c r="CB366" s="1882">
        <v>0</v>
      </c>
      <c r="CC366" s="1882">
        <v>-1676.29</v>
      </c>
      <c r="CD366" s="1882" t="s">
        <v>2459</v>
      </c>
      <c r="CE366" s="1882">
        <v>0</v>
      </c>
      <c r="CF366" s="1882">
        <v>0</v>
      </c>
      <c r="CG366" s="1882">
        <v>0</v>
      </c>
      <c r="CH366" s="1882">
        <v>0</v>
      </c>
      <c r="CI366" s="1882">
        <v>-170.69</v>
      </c>
      <c r="CJ366" s="1882" t="s">
        <v>2459</v>
      </c>
      <c r="CK366" s="1882">
        <v>0</v>
      </c>
      <c r="CL366" s="1882">
        <v>0</v>
      </c>
      <c r="CM366" s="1882">
        <v>0</v>
      </c>
      <c r="CN366" s="1882">
        <v>0</v>
      </c>
      <c r="CP366" s="1882" t="s">
        <v>10588</v>
      </c>
    </row>
    <row r="367" spans="1:94">
      <c r="A367" s="1882" t="s">
        <v>8379</v>
      </c>
      <c r="B367" s="1882" t="s">
        <v>10589</v>
      </c>
      <c r="C367" s="1882" t="s">
        <v>8352</v>
      </c>
      <c r="D367" s="1882" t="s">
        <v>1626</v>
      </c>
      <c r="E367" s="1882" t="s">
        <v>8503</v>
      </c>
      <c r="F367" s="1882" t="s">
        <v>10570</v>
      </c>
      <c r="G367" s="1882" t="s">
        <v>10590</v>
      </c>
      <c r="H367" s="1882" t="s">
        <v>10591</v>
      </c>
      <c r="I367" s="1882" t="s">
        <v>10592</v>
      </c>
      <c r="J367" s="1882" t="s">
        <v>8539</v>
      </c>
      <c r="K367" s="1882"/>
      <c r="L367" s="1882"/>
      <c r="M367" s="1882"/>
      <c r="N367" s="1882" t="s">
        <v>9592</v>
      </c>
      <c r="O367" s="1882" t="s">
        <v>764</v>
      </c>
      <c r="P367" s="1882" t="s">
        <v>10593</v>
      </c>
      <c r="Q367" s="520">
        <v>0</v>
      </c>
      <c r="R367" s="1882" t="s">
        <v>8549</v>
      </c>
      <c r="S367" s="1882">
        <v>14000</v>
      </c>
      <c r="T367" s="1882">
        <v>15000</v>
      </c>
      <c r="U367" s="1882">
        <v>16000</v>
      </c>
      <c r="V367" s="1882">
        <v>17000</v>
      </c>
      <c r="W367" s="1882">
        <v>18000</v>
      </c>
      <c r="X367" s="1882">
        <v>20000</v>
      </c>
      <c r="Y367" s="1882"/>
      <c r="Z367" s="1882"/>
      <c r="AA367" s="1882"/>
      <c r="AB367" s="1882"/>
      <c r="AC367" s="1882"/>
      <c r="AD367" s="1882"/>
      <c r="AE367" s="1882"/>
      <c r="AF367" s="1882"/>
      <c r="AG367" s="1882"/>
      <c r="AH367" s="1882">
        <v>0</v>
      </c>
      <c r="AI367" s="1882"/>
      <c r="AJ367" s="1882"/>
      <c r="AK367" s="1882"/>
      <c r="AL367" s="1882"/>
      <c r="AM367" s="1882"/>
      <c r="AN367" s="1882"/>
      <c r="AO367" s="1882"/>
      <c r="AP367" s="1882"/>
      <c r="AQ367" s="1882"/>
      <c r="AR367" s="1882"/>
      <c r="AS367" s="1882"/>
      <c r="AT367" s="1882"/>
      <c r="AU367" s="1882"/>
      <c r="AV367" s="1882"/>
      <c r="AW367" s="1882"/>
      <c r="AX367" s="1882"/>
      <c r="AY367" s="1882"/>
      <c r="AZ367" s="1882"/>
      <c r="BA367" s="1882"/>
      <c r="BB367" s="1882"/>
      <c r="BC367" s="1882"/>
      <c r="BD367" s="1882"/>
      <c r="BE367" s="1882"/>
      <c r="BF367" s="1882"/>
      <c r="BG367" s="1882"/>
      <c r="BH367" s="1882"/>
      <c r="BI367" s="1882"/>
      <c r="BJ367" s="1882"/>
      <c r="BK367" s="1882"/>
      <c r="BL367" s="1882"/>
      <c r="BM367" s="1882"/>
      <c r="BN367" s="1882"/>
      <c r="BO367" s="1882"/>
      <c r="BP367" s="520" t="s">
        <v>8697</v>
      </c>
      <c r="BQ367" s="693">
        <v>17491</v>
      </c>
      <c r="BR367" s="1882" t="s">
        <v>2459</v>
      </c>
      <c r="BS367" s="1882" t="s">
        <v>8513</v>
      </c>
      <c r="BT367" s="1882">
        <v>0</v>
      </c>
      <c r="BU367" s="1882" t="s">
        <v>8513</v>
      </c>
      <c r="BV367" s="1882">
        <v>0</v>
      </c>
      <c r="BW367" s="1882">
        <v>20898</v>
      </c>
      <c r="BX367" s="1882" t="s">
        <v>2459</v>
      </c>
      <c r="BY367" s="1882">
        <v>0</v>
      </c>
      <c r="BZ367" s="1882">
        <v>0</v>
      </c>
      <c r="CA367" s="1882">
        <v>0</v>
      </c>
      <c r="CB367" s="1882">
        <v>0</v>
      </c>
      <c r="CC367" s="1882">
        <v>21341</v>
      </c>
      <c r="CD367" s="1882" t="s">
        <v>2459</v>
      </c>
      <c r="CE367" s="1882">
        <v>0</v>
      </c>
      <c r="CF367" s="1882">
        <v>0</v>
      </c>
      <c r="CG367" s="1882">
        <v>0</v>
      </c>
      <c r="CH367" s="1882">
        <v>0</v>
      </c>
      <c r="CI367" s="1882">
        <v>24897</v>
      </c>
      <c r="CJ367" s="1882" t="s">
        <v>2459</v>
      </c>
      <c r="CK367" s="1882">
        <v>0</v>
      </c>
      <c r="CL367" s="1882">
        <v>0</v>
      </c>
      <c r="CM367" s="1882">
        <v>0</v>
      </c>
      <c r="CN367" s="1882">
        <v>0</v>
      </c>
      <c r="CP367" s="1882" t="s">
        <v>10594</v>
      </c>
    </row>
    <row r="368" spans="1:94">
      <c r="A368" s="1882" t="s">
        <v>8379</v>
      </c>
      <c r="B368" s="1882" t="s">
        <v>10595</v>
      </c>
      <c r="C368" s="1882" t="s">
        <v>8352</v>
      </c>
      <c r="D368" s="1882" t="s">
        <v>1626</v>
      </c>
      <c r="E368" s="1882" t="s">
        <v>8503</v>
      </c>
      <c r="F368" s="1882" t="s">
        <v>10570</v>
      </c>
      <c r="G368" s="1882" t="s">
        <v>10596</v>
      </c>
      <c r="H368" s="1882" t="s">
        <v>10597</v>
      </c>
      <c r="I368" s="1882" t="s">
        <v>10598</v>
      </c>
      <c r="J368" s="1882" t="s">
        <v>8519</v>
      </c>
      <c r="K368" s="1882" t="s">
        <v>8855</v>
      </c>
      <c r="L368" s="1882"/>
      <c r="M368" s="1882" t="s">
        <v>2460</v>
      </c>
      <c r="N368" s="1882" t="s">
        <v>8673</v>
      </c>
      <c r="O368" s="1882" t="s">
        <v>732</v>
      </c>
      <c r="P368" s="1882" t="s">
        <v>10599</v>
      </c>
      <c r="Q368" s="520">
        <v>0</v>
      </c>
      <c r="R368" s="1882" t="s">
        <v>8549</v>
      </c>
      <c r="S368" s="1882" t="s">
        <v>3504</v>
      </c>
      <c r="T368" s="1882"/>
      <c r="U368" s="1882"/>
      <c r="V368" s="1882"/>
      <c r="W368" s="1882"/>
      <c r="X368" s="1882">
        <v>100</v>
      </c>
      <c r="Y368" s="1882"/>
      <c r="Z368" s="1882"/>
      <c r="AA368" s="1882"/>
      <c r="AB368" s="1882"/>
      <c r="AC368" s="1882"/>
      <c r="AD368" s="1882" t="s">
        <v>2459</v>
      </c>
      <c r="AE368" s="1882"/>
      <c r="AF368" s="1882" t="s">
        <v>2459</v>
      </c>
      <c r="AG368" s="1882"/>
      <c r="AH368" s="1882">
        <v>0</v>
      </c>
      <c r="AI368" s="1882"/>
      <c r="AJ368" s="1882"/>
      <c r="AK368" s="1882"/>
      <c r="AL368" s="1882"/>
      <c r="AM368" s="1882" t="s">
        <v>2459</v>
      </c>
      <c r="AN368" s="1882"/>
      <c r="AO368" s="1882"/>
      <c r="AP368" s="1882"/>
      <c r="AQ368" s="1882"/>
      <c r="AR368" s="1882">
        <v>0</v>
      </c>
      <c r="AS368" s="1882"/>
      <c r="AT368" s="1882"/>
      <c r="AU368" s="1882"/>
      <c r="AV368" s="1882"/>
      <c r="AW368" s="1882">
        <v>100</v>
      </c>
      <c r="AX368" s="1882"/>
      <c r="AY368" s="1882"/>
      <c r="AZ368" s="1882"/>
      <c r="BA368" s="1882"/>
      <c r="BB368" s="1882"/>
      <c r="BC368" s="1882"/>
      <c r="BD368" s="1882"/>
      <c r="BE368" s="1882"/>
      <c r="BF368" s="1882"/>
      <c r="BG368" s="1882"/>
      <c r="BH368" s="1882">
        <v>0.40939999999999999</v>
      </c>
      <c r="BI368" s="1882"/>
      <c r="BJ368" s="1882"/>
      <c r="BK368" s="1882"/>
      <c r="BL368" s="1882"/>
      <c r="BM368" s="1882"/>
      <c r="BN368" s="1882">
        <v>1</v>
      </c>
      <c r="BO368" s="1882" t="s">
        <v>8512</v>
      </c>
      <c r="BP368" s="520" t="s">
        <v>8697</v>
      </c>
      <c r="BQ368" s="692">
        <v>0</v>
      </c>
      <c r="BR368" s="1882" t="s">
        <v>8513</v>
      </c>
      <c r="BS368" s="1882" t="s">
        <v>8513</v>
      </c>
      <c r="BT368" s="1882">
        <v>0</v>
      </c>
      <c r="BU368" s="1882" t="s">
        <v>8513</v>
      </c>
      <c r="BV368" s="1882">
        <v>0</v>
      </c>
      <c r="BW368" s="1882">
        <v>0</v>
      </c>
      <c r="BX368" s="1882" t="s">
        <v>2451</v>
      </c>
      <c r="BY368" s="1882">
        <v>0</v>
      </c>
      <c r="BZ368" s="1882">
        <v>0</v>
      </c>
      <c r="CA368" s="1882">
        <v>0</v>
      </c>
      <c r="CB368" s="1882">
        <v>0</v>
      </c>
      <c r="CC368" s="1882" t="s">
        <v>8697</v>
      </c>
      <c r="CD368" s="1882" t="s">
        <v>2451</v>
      </c>
      <c r="CE368" s="1882">
        <v>0</v>
      </c>
      <c r="CF368" s="1882">
        <v>0</v>
      </c>
      <c r="CG368" s="1882">
        <v>0</v>
      </c>
      <c r="CH368" s="1882">
        <v>0</v>
      </c>
      <c r="CI368" s="1882" t="s">
        <v>8697</v>
      </c>
      <c r="CJ368" s="1882" t="s">
        <v>2451</v>
      </c>
      <c r="CK368" s="1882">
        <v>0</v>
      </c>
      <c r="CL368" s="1882">
        <v>0</v>
      </c>
      <c r="CM368" s="1882">
        <v>0</v>
      </c>
      <c r="CN368" s="1882">
        <v>0</v>
      </c>
      <c r="CP368" s="1882" t="s">
        <v>10600</v>
      </c>
    </row>
    <row r="369" spans="1:94">
      <c r="A369" s="1882" t="s">
        <v>8379</v>
      </c>
      <c r="B369" s="1882" t="s">
        <v>10601</v>
      </c>
      <c r="C369" s="1882" t="s">
        <v>8352</v>
      </c>
      <c r="D369" s="1882" t="s">
        <v>1626</v>
      </c>
      <c r="E369" s="1882" t="s">
        <v>8503</v>
      </c>
      <c r="F369" s="1882" t="s">
        <v>10602</v>
      </c>
      <c r="G369" s="1882" t="s">
        <v>10603</v>
      </c>
      <c r="H369" s="1882" t="s">
        <v>10604</v>
      </c>
      <c r="I369" s="1882" t="s">
        <v>10605</v>
      </c>
      <c r="J369" s="1882" t="s">
        <v>8539</v>
      </c>
      <c r="K369" s="1882"/>
      <c r="L369" s="1882"/>
      <c r="M369" s="1882"/>
      <c r="N369" s="1882" t="s">
        <v>8681</v>
      </c>
      <c r="O369" s="1882" t="s">
        <v>764</v>
      </c>
      <c r="P369" s="1882" t="s">
        <v>10606</v>
      </c>
      <c r="Q369" s="520">
        <v>0</v>
      </c>
      <c r="R369" s="1882" t="s">
        <v>8511</v>
      </c>
      <c r="S369" s="1882">
        <v>505</v>
      </c>
      <c r="T369" s="1882">
        <v>494</v>
      </c>
      <c r="U369" s="1882">
        <v>483</v>
      </c>
      <c r="V369" s="1882">
        <v>472</v>
      </c>
      <c r="W369" s="1882">
        <v>472</v>
      </c>
      <c r="X369" s="1882">
        <v>476</v>
      </c>
      <c r="Y369" s="1882"/>
      <c r="Z369" s="1882"/>
      <c r="AA369" s="1882"/>
      <c r="AB369" s="1882"/>
      <c r="AC369" s="1882"/>
      <c r="AD369" s="1882"/>
      <c r="AE369" s="1882"/>
      <c r="AF369" s="1882"/>
      <c r="AG369" s="1882"/>
      <c r="AH369" s="1882">
        <v>0</v>
      </c>
      <c r="AI369" s="1882"/>
      <c r="AJ369" s="1882"/>
      <c r="AK369" s="1882"/>
      <c r="AL369" s="1882"/>
      <c r="AM369" s="1882"/>
      <c r="AN369" s="1882"/>
      <c r="AO369" s="1882"/>
      <c r="AP369" s="1882"/>
      <c r="AQ369" s="1882"/>
      <c r="AR369" s="1882"/>
      <c r="AS369" s="1882"/>
      <c r="AT369" s="1882"/>
      <c r="AU369" s="1882"/>
      <c r="AV369" s="1882"/>
      <c r="AW369" s="1882"/>
      <c r="AX369" s="1882"/>
      <c r="AY369" s="1882"/>
      <c r="AZ369" s="1882"/>
      <c r="BA369" s="1882"/>
      <c r="BB369" s="1882"/>
      <c r="BC369" s="1882"/>
      <c r="BD369" s="1882"/>
      <c r="BE369" s="1882"/>
      <c r="BF369" s="1882"/>
      <c r="BG369" s="1882"/>
      <c r="BH369" s="1882"/>
      <c r="BI369" s="1882"/>
      <c r="BJ369" s="1882"/>
      <c r="BK369" s="1882"/>
      <c r="BL369" s="1882"/>
      <c r="BM369" s="1882"/>
      <c r="BN369" s="1882"/>
      <c r="BO369" s="1882"/>
      <c r="BP369" s="520" t="s">
        <v>8697</v>
      </c>
      <c r="BQ369" s="693">
        <v>495.80599999999998</v>
      </c>
      <c r="BR369" s="1882" t="s">
        <v>2460</v>
      </c>
      <c r="BS369" s="1882" t="s">
        <v>8513</v>
      </c>
      <c r="BT369" s="1882">
        <v>0</v>
      </c>
      <c r="BU369" s="1882" t="s">
        <v>8513</v>
      </c>
      <c r="BV369" s="1882">
        <v>0</v>
      </c>
      <c r="BW369" s="1882">
        <v>490.5</v>
      </c>
      <c r="BX369" s="1882" t="s">
        <v>2460</v>
      </c>
      <c r="BY369" s="1882">
        <v>0</v>
      </c>
      <c r="BZ369" s="1882">
        <v>0</v>
      </c>
      <c r="CA369" s="1882">
        <v>0</v>
      </c>
      <c r="CB369" s="1882">
        <v>0</v>
      </c>
      <c r="CC369" s="1882">
        <v>510</v>
      </c>
      <c r="CD369" s="1882" t="s">
        <v>2460</v>
      </c>
      <c r="CE369" s="1882">
        <v>0</v>
      </c>
      <c r="CF369" s="1882">
        <v>0</v>
      </c>
      <c r="CG369" s="1882">
        <v>0</v>
      </c>
      <c r="CH369" s="1882">
        <v>0</v>
      </c>
      <c r="CI369" s="1882">
        <v>520</v>
      </c>
      <c r="CJ369" s="1882" t="s">
        <v>2460</v>
      </c>
      <c r="CK369" s="1882">
        <v>0</v>
      </c>
      <c r="CL369" s="1882">
        <v>0</v>
      </c>
      <c r="CM369" s="1882">
        <v>0</v>
      </c>
      <c r="CN369" s="1882">
        <v>0</v>
      </c>
      <c r="CP369" s="1882" t="s">
        <v>10607</v>
      </c>
    </row>
    <row r="370" spans="1:94">
      <c r="A370" s="1882" t="s">
        <v>8379</v>
      </c>
      <c r="B370" s="1882" t="s">
        <v>10608</v>
      </c>
      <c r="C370" s="1882" t="s">
        <v>8352</v>
      </c>
      <c r="D370" s="1882" t="s">
        <v>1627</v>
      </c>
      <c r="E370" s="1882" t="s">
        <v>8720</v>
      </c>
      <c r="F370" s="1882" t="s">
        <v>10493</v>
      </c>
      <c r="G370" s="1882" t="s">
        <v>10609</v>
      </c>
      <c r="H370" s="1882" t="s">
        <v>10610</v>
      </c>
      <c r="I370" s="1882" t="s">
        <v>10611</v>
      </c>
      <c r="J370" s="1882" t="s">
        <v>8539</v>
      </c>
      <c r="K370" s="1882"/>
      <c r="L370" s="1882"/>
      <c r="M370" s="1882"/>
      <c r="N370" s="1882" t="s">
        <v>8695</v>
      </c>
      <c r="O370" s="1882" t="s">
        <v>732</v>
      </c>
      <c r="P370" s="1882" t="s">
        <v>10497</v>
      </c>
      <c r="Q370" s="520">
        <v>0</v>
      </c>
      <c r="R370" s="1882" t="s">
        <v>8549</v>
      </c>
      <c r="S370" s="1882">
        <v>90</v>
      </c>
      <c r="T370" s="1882">
        <v>95</v>
      </c>
      <c r="U370" s="1882">
        <v>95</v>
      </c>
      <c r="V370" s="1882">
        <v>95</v>
      </c>
      <c r="W370" s="1882">
        <v>95</v>
      </c>
      <c r="X370" s="1882">
        <v>95</v>
      </c>
      <c r="Y370" s="1882"/>
      <c r="Z370" s="1882"/>
      <c r="AA370" s="1882"/>
      <c r="AB370" s="1882"/>
      <c r="AC370" s="1882"/>
      <c r="AD370" s="1882"/>
      <c r="AE370" s="1882"/>
      <c r="AF370" s="1882"/>
      <c r="AG370" s="1882"/>
      <c r="AH370" s="1882">
        <v>0</v>
      </c>
      <c r="AI370" s="1882"/>
      <c r="AJ370" s="1882"/>
      <c r="AK370" s="1882"/>
      <c r="AL370" s="1882"/>
      <c r="AM370" s="1882"/>
      <c r="AN370" s="1882"/>
      <c r="AO370" s="1882"/>
      <c r="AP370" s="1882"/>
      <c r="AQ370" s="1882"/>
      <c r="AR370" s="1882"/>
      <c r="AS370" s="1882"/>
      <c r="AT370" s="1882"/>
      <c r="AU370" s="1882"/>
      <c r="AV370" s="1882"/>
      <c r="AW370" s="1882"/>
      <c r="AX370" s="1882"/>
      <c r="AY370" s="1882"/>
      <c r="AZ370" s="1882"/>
      <c r="BA370" s="1882"/>
      <c r="BB370" s="1882"/>
      <c r="BC370" s="1882"/>
      <c r="BD370" s="1882"/>
      <c r="BE370" s="1882"/>
      <c r="BF370" s="1882"/>
      <c r="BG370" s="1882"/>
      <c r="BH370" s="1882"/>
      <c r="BI370" s="1882"/>
      <c r="BJ370" s="1882"/>
      <c r="BK370" s="1882"/>
      <c r="BL370" s="1882"/>
      <c r="BM370" s="1882"/>
      <c r="BN370" s="1882"/>
      <c r="BO370" s="1882"/>
      <c r="BP370" s="520">
        <v>86.57</v>
      </c>
      <c r="BQ370" s="693">
        <v>86.72</v>
      </c>
      <c r="BR370" s="1882" t="s">
        <v>2460</v>
      </c>
      <c r="BS370" s="1882" t="s">
        <v>8513</v>
      </c>
      <c r="BT370" s="1882">
        <v>0</v>
      </c>
      <c r="BU370" s="1882" t="s">
        <v>8513</v>
      </c>
      <c r="BV370" s="1882">
        <v>0</v>
      </c>
      <c r="BW370" s="1882">
        <v>93.49</v>
      </c>
      <c r="BX370" s="1882" t="s">
        <v>2460</v>
      </c>
      <c r="BY370" s="1882">
        <v>0</v>
      </c>
      <c r="BZ370" s="1882">
        <v>0</v>
      </c>
      <c r="CA370" s="1882">
        <v>0</v>
      </c>
      <c r="CB370" s="1882">
        <v>0</v>
      </c>
      <c r="CC370" s="2101">
        <v>93.55</v>
      </c>
      <c r="CD370" s="1882" t="s">
        <v>2460</v>
      </c>
      <c r="CE370" s="1882">
        <v>0</v>
      </c>
      <c r="CF370" s="1882">
        <v>0</v>
      </c>
      <c r="CG370" s="1882">
        <v>0</v>
      </c>
      <c r="CH370" s="1882">
        <v>0</v>
      </c>
      <c r="CI370" s="2101">
        <v>83.617424242424207</v>
      </c>
      <c r="CJ370" s="1882" t="s">
        <v>2460</v>
      </c>
      <c r="CK370" s="1882">
        <v>0</v>
      </c>
      <c r="CL370" s="1882">
        <v>0</v>
      </c>
      <c r="CM370" s="1882">
        <v>0</v>
      </c>
      <c r="CN370" s="1882">
        <v>0</v>
      </c>
      <c r="CP370" s="1882" t="s">
        <v>10612</v>
      </c>
    </row>
    <row r="371" spans="1:94">
      <c r="A371" s="1882" t="s">
        <v>8379</v>
      </c>
      <c r="B371" s="1882" t="s">
        <v>10613</v>
      </c>
      <c r="C371" s="1882" t="s">
        <v>8352</v>
      </c>
      <c r="D371" s="1882" t="s">
        <v>1627</v>
      </c>
      <c r="E371" s="1882" t="s">
        <v>8720</v>
      </c>
      <c r="F371" s="1882" t="s">
        <v>10493</v>
      </c>
      <c r="G371" s="1882" t="s">
        <v>10614</v>
      </c>
      <c r="H371" s="1882" t="s">
        <v>10615</v>
      </c>
      <c r="I371" s="1882" t="s">
        <v>10616</v>
      </c>
      <c r="J371" s="1882" t="s">
        <v>8539</v>
      </c>
      <c r="K371" s="1882"/>
      <c r="L371" s="1882"/>
      <c r="M371" s="1882"/>
      <c r="N371" s="1882" t="s">
        <v>8695</v>
      </c>
      <c r="O371" s="1882" t="s">
        <v>764</v>
      </c>
      <c r="P371" s="1882" t="s">
        <v>10503</v>
      </c>
      <c r="Q371" s="520">
        <v>2</v>
      </c>
      <c r="R371" s="1882" t="s">
        <v>8511</v>
      </c>
      <c r="S371" s="1882">
        <v>8.0500000000000007</v>
      </c>
      <c r="T371" s="1882">
        <v>7.6</v>
      </c>
      <c r="U371" s="1882">
        <v>7.15</v>
      </c>
      <c r="V371" s="1882">
        <v>6.7</v>
      </c>
      <c r="W371" s="1882">
        <v>6.25</v>
      </c>
      <c r="X371" s="1882">
        <v>5.8</v>
      </c>
      <c r="Y371" s="1882"/>
      <c r="Z371" s="1882"/>
      <c r="AA371" s="1882"/>
      <c r="AB371" s="1882"/>
      <c r="AC371" s="1882"/>
      <c r="AD371" s="1882"/>
      <c r="AE371" s="1882"/>
      <c r="AF371" s="1882"/>
      <c r="AG371" s="1882"/>
      <c r="AH371" s="1882">
        <v>0</v>
      </c>
      <c r="AI371" s="1882"/>
      <c r="AJ371" s="1882"/>
      <c r="AK371" s="1882"/>
      <c r="AL371" s="1882"/>
      <c r="AM371" s="1882"/>
      <c r="AN371" s="1882"/>
      <c r="AO371" s="1882"/>
      <c r="AP371" s="1882"/>
      <c r="AQ371" s="1882"/>
      <c r="AR371" s="1882"/>
      <c r="AS371" s="1882"/>
      <c r="AT371" s="1882"/>
      <c r="AU371" s="1882"/>
      <c r="AV371" s="1882"/>
      <c r="AW371" s="1882"/>
      <c r="AX371" s="1882"/>
      <c r="AY371" s="1882"/>
      <c r="AZ371" s="1882"/>
      <c r="BA371" s="1882"/>
      <c r="BB371" s="1882"/>
      <c r="BC371" s="1882"/>
      <c r="BD371" s="1882"/>
      <c r="BE371" s="1882"/>
      <c r="BF371" s="1882"/>
      <c r="BG371" s="1882"/>
      <c r="BH371" s="1882"/>
      <c r="BI371" s="1882"/>
      <c r="BJ371" s="1882"/>
      <c r="BK371" s="1882"/>
      <c r="BL371" s="1882"/>
      <c r="BM371" s="1882"/>
      <c r="BN371" s="1882"/>
      <c r="BO371" s="1882"/>
      <c r="BP371" s="520">
        <v>8.8000000000000007</v>
      </c>
      <c r="BQ371" s="694">
        <v>6.46</v>
      </c>
      <c r="BR371" s="1882" t="s">
        <v>2459</v>
      </c>
      <c r="BS371" s="1882" t="s">
        <v>8513</v>
      </c>
      <c r="BT371" s="1882">
        <v>0</v>
      </c>
      <c r="BU371" s="1882" t="s">
        <v>8513</v>
      </c>
      <c r="BV371" s="1882">
        <v>0</v>
      </c>
      <c r="BW371" s="1882">
        <v>6.2140513602011351</v>
      </c>
      <c r="BX371" s="1882" t="s">
        <v>2459</v>
      </c>
      <c r="BY371" s="1882">
        <v>0</v>
      </c>
      <c r="BZ371" s="1882">
        <v>0</v>
      </c>
      <c r="CA371" s="1882">
        <v>0</v>
      </c>
      <c r="CB371" s="1882">
        <v>0</v>
      </c>
      <c r="CC371" s="1882">
        <v>4.39210083649479</v>
      </c>
      <c r="CD371" s="1882" t="s">
        <v>2459</v>
      </c>
      <c r="CE371" s="1882">
        <v>0</v>
      </c>
      <c r="CF371" s="1882">
        <v>0</v>
      </c>
      <c r="CG371" s="1882">
        <v>0</v>
      </c>
      <c r="CH371" s="1882">
        <v>0</v>
      </c>
      <c r="CI371" s="1882">
        <v>5.3385370588502896</v>
      </c>
      <c r="CJ371" s="1882" t="s">
        <v>2459</v>
      </c>
      <c r="CK371" s="1882">
        <v>0</v>
      </c>
      <c r="CL371" s="1882">
        <v>0</v>
      </c>
      <c r="CM371" s="1882">
        <v>0</v>
      </c>
      <c r="CN371" s="1882">
        <v>0</v>
      </c>
      <c r="CP371" s="1882" t="s">
        <v>10617</v>
      </c>
    </row>
    <row r="372" spans="1:94">
      <c r="A372" s="1882" t="s">
        <v>8379</v>
      </c>
      <c r="B372" s="1882" t="s">
        <v>10618</v>
      </c>
      <c r="C372" s="1882" t="s">
        <v>8352</v>
      </c>
      <c r="D372" s="1882" t="s">
        <v>1627</v>
      </c>
      <c r="E372" s="1882" t="s">
        <v>8720</v>
      </c>
      <c r="F372" s="1882" t="s">
        <v>10493</v>
      </c>
      <c r="G372" s="1882" t="s">
        <v>10619</v>
      </c>
      <c r="H372" s="1882" t="s">
        <v>10620</v>
      </c>
      <c r="I372" s="1882" t="s">
        <v>10621</v>
      </c>
      <c r="J372" s="1882" t="s">
        <v>8539</v>
      </c>
      <c r="K372" s="1882"/>
      <c r="L372" s="1882"/>
      <c r="M372" s="1882"/>
      <c r="N372" s="1882" t="s">
        <v>8695</v>
      </c>
      <c r="O372" s="1882" t="s">
        <v>8591</v>
      </c>
      <c r="P372" s="1882" t="s">
        <v>10509</v>
      </c>
      <c r="Q372" s="520">
        <v>2</v>
      </c>
      <c r="R372" s="1882" t="s">
        <v>8549</v>
      </c>
      <c r="S372" s="1882">
        <v>4.3</v>
      </c>
      <c r="T372" s="1882">
        <v>4.55</v>
      </c>
      <c r="U372" s="1882">
        <v>4.5999999999999996</v>
      </c>
      <c r="V372" s="1882">
        <v>4.6500000000000004</v>
      </c>
      <c r="W372" s="1882">
        <v>4.6500000000000004</v>
      </c>
      <c r="X372" s="1882">
        <v>4.7</v>
      </c>
      <c r="Y372" s="1882"/>
      <c r="Z372" s="1882"/>
      <c r="AA372" s="1882"/>
      <c r="AB372" s="1882"/>
      <c r="AC372" s="1882"/>
      <c r="AD372" s="1882"/>
      <c r="AE372" s="1882"/>
      <c r="AF372" s="1882"/>
      <c r="AG372" s="1882"/>
      <c r="AH372" s="1882">
        <v>0</v>
      </c>
      <c r="AI372" s="1882"/>
      <c r="AJ372" s="1882"/>
      <c r="AK372" s="1882"/>
      <c r="AL372" s="1882"/>
      <c r="AM372" s="1882"/>
      <c r="AN372" s="1882"/>
      <c r="AO372" s="1882"/>
      <c r="AP372" s="1882"/>
      <c r="AQ372" s="1882"/>
      <c r="AR372" s="1882"/>
      <c r="AS372" s="1882"/>
      <c r="AT372" s="1882"/>
      <c r="AU372" s="1882"/>
      <c r="AV372" s="1882"/>
      <c r="AW372" s="1882"/>
      <c r="AX372" s="1882"/>
      <c r="AY372" s="1882"/>
      <c r="AZ372" s="1882"/>
      <c r="BA372" s="1882"/>
      <c r="BB372" s="1882"/>
      <c r="BC372" s="1882"/>
      <c r="BD372" s="1882"/>
      <c r="BE372" s="1882"/>
      <c r="BF372" s="1882"/>
      <c r="BG372" s="1882"/>
      <c r="BH372" s="1882"/>
      <c r="BI372" s="1882"/>
      <c r="BJ372" s="1882"/>
      <c r="BK372" s="1882"/>
      <c r="BL372" s="1882"/>
      <c r="BM372" s="1882"/>
      <c r="BN372" s="1882"/>
      <c r="BO372" s="1882"/>
      <c r="BP372" s="520">
        <v>4.21</v>
      </c>
      <c r="BQ372" s="694">
        <v>4.5</v>
      </c>
      <c r="BR372" s="1882" t="s">
        <v>2460</v>
      </c>
      <c r="BS372" s="1882" t="s">
        <v>8513</v>
      </c>
      <c r="BT372" s="1882">
        <v>0</v>
      </c>
      <c r="BU372" s="1882" t="s">
        <v>8513</v>
      </c>
      <c r="BV372" s="1882">
        <v>0</v>
      </c>
      <c r="BW372" s="1882">
        <v>4.5690574498919911</v>
      </c>
      <c r="BX372" s="1882" t="s">
        <v>2460</v>
      </c>
      <c r="BY372" s="1882">
        <v>0</v>
      </c>
      <c r="BZ372" s="1882">
        <v>0</v>
      </c>
      <c r="CA372" s="1882">
        <v>0</v>
      </c>
      <c r="CB372" s="1882">
        <v>0</v>
      </c>
      <c r="CC372" s="1882">
        <v>4.5506045678459497</v>
      </c>
      <c r="CD372" s="1882" t="s">
        <v>2460</v>
      </c>
      <c r="CE372" s="1882">
        <v>0</v>
      </c>
      <c r="CF372" s="1882">
        <v>0</v>
      </c>
      <c r="CG372" s="1882">
        <v>0</v>
      </c>
      <c r="CH372" s="1882">
        <v>0</v>
      </c>
      <c r="CI372" s="1882">
        <v>4.5813281010000004</v>
      </c>
      <c r="CJ372" s="1882" t="s">
        <v>2460</v>
      </c>
      <c r="CK372" s="1882">
        <v>0</v>
      </c>
      <c r="CL372" s="1882">
        <v>0</v>
      </c>
      <c r="CM372" s="1882">
        <v>0</v>
      </c>
      <c r="CN372" s="1882">
        <v>0</v>
      </c>
      <c r="CP372" s="1882" t="s">
        <v>10622</v>
      </c>
    </row>
    <row r="373" spans="1:94">
      <c r="A373" s="1882" t="s">
        <v>8379</v>
      </c>
      <c r="B373" s="1882" t="s">
        <v>10623</v>
      </c>
      <c r="C373" s="1882" t="s">
        <v>8352</v>
      </c>
      <c r="D373" s="1882" t="s">
        <v>1627</v>
      </c>
      <c r="E373" s="1882" t="s">
        <v>8720</v>
      </c>
      <c r="F373" s="1882" t="s">
        <v>10624</v>
      </c>
      <c r="G373" s="1882" t="s">
        <v>10625</v>
      </c>
      <c r="H373" s="1882" t="s">
        <v>10626</v>
      </c>
      <c r="I373" s="1882" t="s">
        <v>10627</v>
      </c>
      <c r="J373" s="1882" t="s">
        <v>8519</v>
      </c>
      <c r="K373" s="1882" t="s">
        <v>8509</v>
      </c>
      <c r="L373" s="1882"/>
      <c r="M373" s="1882" t="s">
        <v>2460</v>
      </c>
      <c r="N373" s="1882" t="s">
        <v>8787</v>
      </c>
      <c r="O373" s="1882" t="s">
        <v>8704</v>
      </c>
      <c r="P373" s="1882" t="s">
        <v>8856</v>
      </c>
      <c r="Q373" s="520" t="s">
        <v>8512</v>
      </c>
      <c r="R373" s="1882"/>
      <c r="S373" s="1882" t="s">
        <v>8706</v>
      </c>
      <c r="T373" s="1882" t="s">
        <v>8706</v>
      </c>
      <c r="U373" s="1882" t="s">
        <v>8706</v>
      </c>
      <c r="V373" s="1882" t="s">
        <v>8706</v>
      </c>
      <c r="W373" s="1882" t="s">
        <v>8706</v>
      </c>
      <c r="X373" s="1882" t="s">
        <v>8706</v>
      </c>
      <c r="Y373" s="1882"/>
      <c r="Z373" s="1882"/>
      <c r="AA373" s="1882"/>
      <c r="AB373" s="1882"/>
      <c r="AC373" s="1882"/>
      <c r="AD373" s="1882"/>
      <c r="AE373" s="1882" t="s">
        <v>2459</v>
      </c>
      <c r="AF373" s="1882"/>
      <c r="AG373" s="1882"/>
      <c r="AH373" s="1882">
        <v>3</v>
      </c>
      <c r="AI373" s="1882" t="s">
        <v>2459</v>
      </c>
      <c r="AJ373" s="1882" t="s">
        <v>2459</v>
      </c>
      <c r="AK373" s="1882" t="s">
        <v>2459</v>
      </c>
      <c r="AL373" s="1882" t="s">
        <v>2459</v>
      </c>
      <c r="AM373" s="1882" t="s">
        <v>2459</v>
      </c>
      <c r="AN373" s="1882" t="s">
        <v>8857</v>
      </c>
      <c r="AO373" s="1882" t="s">
        <v>8857</v>
      </c>
      <c r="AP373" s="1882" t="s">
        <v>8857</v>
      </c>
      <c r="AQ373" s="1882" t="s">
        <v>8857</v>
      </c>
      <c r="AR373" s="1882" t="s">
        <v>8857</v>
      </c>
      <c r="AS373" s="1882" t="s">
        <v>8858</v>
      </c>
      <c r="AT373" s="1882" t="s">
        <v>8858</v>
      </c>
      <c r="AU373" s="1882" t="s">
        <v>8858</v>
      </c>
      <c r="AV373" s="1882" t="s">
        <v>8858</v>
      </c>
      <c r="AW373" s="1882" t="s">
        <v>8858</v>
      </c>
      <c r="AX373" s="1882"/>
      <c r="AY373" s="1882"/>
      <c r="AZ373" s="1882"/>
      <c r="BA373" s="1882"/>
      <c r="BB373" s="1882"/>
      <c r="BC373" s="1882"/>
      <c r="BD373" s="1882"/>
      <c r="BE373" s="1882"/>
      <c r="BF373" s="1882"/>
      <c r="BG373" s="1882"/>
      <c r="BH373" s="1882">
        <v>4.5350000000000001</v>
      </c>
      <c r="BI373" s="1882"/>
      <c r="BJ373" s="1882"/>
      <c r="BK373" s="1882"/>
      <c r="BL373" s="1882"/>
      <c r="BM373" s="1882"/>
      <c r="BN373" s="1882">
        <v>1</v>
      </c>
      <c r="BO373" s="1882" t="s">
        <v>8512</v>
      </c>
      <c r="BP373" s="520" t="s">
        <v>8706</v>
      </c>
      <c r="BQ373" s="692" t="s">
        <v>8706</v>
      </c>
      <c r="BR373" s="1882" t="s">
        <v>2459</v>
      </c>
      <c r="BS373" s="1882" t="s">
        <v>8513</v>
      </c>
      <c r="BT373" s="1882">
        <v>0</v>
      </c>
      <c r="BU373" s="1882" t="s">
        <v>8513</v>
      </c>
      <c r="BV373" s="1882">
        <v>0</v>
      </c>
      <c r="BW373" s="1882" t="s">
        <v>8706</v>
      </c>
      <c r="BX373" s="1882" t="s">
        <v>2459</v>
      </c>
      <c r="BY373" s="1882">
        <v>0</v>
      </c>
      <c r="BZ373" s="1882">
        <v>0</v>
      </c>
      <c r="CA373" s="1882">
        <v>0</v>
      </c>
      <c r="CB373" s="1882">
        <v>0</v>
      </c>
      <c r="CC373" s="1882" t="s">
        <v>8706</v>
      </c>
      <c r="CD373" s="1882" t="s">
        <v>2459</v>
      </c>
      <c r="CE373" s="1882">
        <v>0</v>
      </c>
      <c r="CF373" s="1882">
        <v>0</v>
      </c>
      <c r="CG373" s="1882">
        <v>0</v>
      </c>
      <c r="CH373" s="1882">
        <v>0</v>
      </c>
      <c r="CI373" s="1882" t="s">
        <v>8706</v>
      </c>
      <c r="CJ373" s="1882" t="s">
        <v>2459</v>
      </c>
      <c r="CK373" s="1882">
        <v>0</v>
      </c>
      <c r="CL373" s="1882">
        <v>0</v>
      </c>
      <c r="CM373" s="1882">
        <v>0</v>
      </c>
      <c r="CN373" s="1882">
        <v>0</v>
      </c>
      <c r="CP373" s="1882" t="s">
        <v>10628</v>
      </c>
    </row>
    <row r="374" spans="1:94">
      <c r="A374" s="1882" t="s">
        <v>8379</v>
      </c>
      <c r="B374" s="1882" t="s">
        <v>10629</v>
      </c>
      <c r="C374" s="1882" t="s">
        <v>8352</v>
      </c>
      <c r="D374" s="1882" t="s">
        <v>1627</v>
      </c>
      <c r="E374" s="1882" t="s">
        <v>8720</v>
      </c>
      <c r="F374" s="1882" t="s">
        <v>10624</v>
      </c>
      <c r="G374" s="1882" t="s">
        <v>10630</v>
      </c>
      <c r="H374" s="1882" t="s">
        <v>10631</v>
      </c>
      <c r="I374" s="1882" t="s">
        <v>10632</v>
      </c>
      <c r="J374" s="1882" t="s">
        <v>8519</v>
      </c>
      <c r="K374" s="1882" t="s">
        <v>8509</v>
      </c>
      <c r="L374" s="1882"/>
      <c r="M374" s="1882" t="s">
        <v>2460</v>
      </c>
      <c r="N374" s="1882" t="s">
        <v>8787</v>
      </c>
      <c r="O374" s="1882" t="s">
        <v>8704</v>
      </c>
      <c r="P374" s="1882" t="s">
        <v>8856</v>
      </c>
      <c r="Q374" s="520" t="s">
        <v>8512</v>
      </c>
      <c r="R374" s="1882"/>
      <c r="S374" s="1882" t="s">
        <v>8706</v>
      </c>
      <c r="T374" s="1882" t="s">
        <v>8706</v>
      </c>
      <c r="U374" s="1882" t="s">
        <v>8706</v>
      </c>
      <c r="V374" s="1882" t="s">
        <v>8706</v>
      </c>
      <c r="W374" s="1882" t="s">
        <v>8706</v>
      </c>
      <c r="X374" s="1882" t="s">
        <v>8706</v>
      </c>
      <c r="Y374" s="1882"/>
      <c r="Z374" s="1882"/>
      <c r="AA374" s="1882"/>
      <c r="AB374" s="1882"/>
      <c r="AC374" s="1882"/>
      <c r="AD374" s="1882"/>
      <c r="AE374" s="1882" t="s">
        <v>2459</v>
      </c>
      <c r="AF374" s="1882"/>
      <c r="AG374" s="1882"/>
      <c r="AH374" s="1882">
        <v>4</v>
      </c>
      <c r="AI374" s="1882" t="s">
        <v>2459</v>
      </c>
      <c r="AJ374" s="1882" t="s">
        <v>2459</v>
      </c>
      <c r="AK374" s="1882" t="s">
        <v>2459</v>
      </c>
      <c r="AL374" s="1882" t="s">
        <v>2459</v>
      </c>
      <c r="AM374" s="1882" t="s">
        <v>2459</v>
      </c>
      <c r="AN374" s="1882" t="s">
        <v>8857</v>
      </c>
      <c r="AO374" s="1882" t="s">
        <v>8857</v>
      </c>
      <c r="AP374" s="1882" t="s">
        <v>8857</v>
      </c>
      <c r="AQ374" s="1882" t="s">
        <v>8857</v>
      </c>
      <c r="AR374" s="1882" t="s">
        <v>8857</v>
      </c>
      <c r="AS374" s="1882" t="s">
        <v>8858</v>
      </c>
      <c r="AT374" s="1882" t="s">
        <v>8858</v>
      </c>
      <c r="AU374" s="1882" t="s">
        <v>8858</v>
      </c>
      <c r="AV374" s="1882" t="s">
        <v>8858</v>
      </c>
      <c r="AW374" s="1882" t="s">
        <v>8858</v>
      </c>
      <c r="AX374" s="1882"/>
      <c r="AY374" s="1882"/>
      <c r="AZ374" s="1882"/>
      <c r="BA374" s="1882"/>
      <c r="BB374" s="1882"/>
      <c r="BC374" s="1882"/>
      <c r="BD374" s="1882"/>
      <c r="BE374" s="1882"/>
      <c r="BF374" s="1882"/>
      <c r="BG374" s="1882"/>
      <c r="BH374" s="1882">
        <v>4.5350000000000001</v>
      </c>
      <c r="BI374" s="1882"/>
      <c r="BJ374" s="1882"/>
      <c r="BK374" s="1882"/>
      <c r="BL374" s="1882"/>
      <c r="BM374" s="1882"/>
      <c r="BN374" s="1882">
        <v>1</v>
      </c>
      <c r="BO374" s="1882" t="s">
        <v>8512</v>
      </c>
      <c r="BP374" s="520" t="s">
        <v>8857</v>
      </c>
      <c r="BQ374" s="692" t="s">
        <v>8706</v>
      </c>
      <c r="BR374" s="1882" t="s">
        <v>2459</v>
      </c>
      <c r="BS374" s="1882" t="s">
        <v>8513</v>
      </c>
      <c r="BT374" s="1882">
        <v>0</v>
      </c>
      <c r="BU374" s="1882" t="s">
        <v>8513</v>
      </c>
      <c r="BV374" s="1882">
        <v>0</v>
      </c>
      <c r="BW374" s="1882" t="s">
        <v>8706</v>
      </c>
      <c r="BX374" s="1882" t="s">
        <v>2459</v>
      </c>
      <c r="BY374" s="1882">
        <v>0</v>
      </c>
      <c r="BZ374" s="1882">
        <v>0</v>
      </c>
      <c r="CA374" s="1882">
        <v>0</v>
      </c>
      <c r="CB374" s="1882">
        <v>0</v>
      </c>
      <c r="CC374" s="1882" t="s">
        <v>8706</v>
      </c>
      <c r="CD374" s="1882" t="s">
        <v>2459</v>
      </c>
      <c r="CE374" s="1882">
        <v>0</v>
      </c>
      <c r="CF374" s="1882">
        <v>0</v>
      </c>
      <c r="CG374" s="1882">
        <v>0</v>
      </c>
      <c r="CH374" s="1882">
        <v>0</v>
      </c>
      <c r="CI374" s="1882" t="s">
        <v>8706</v>
      </c>
      <c r="CJ374" s="1882" t="s">
        <v>2459</v>
      </c>
      <c r="CK374" s="1882">
        <v>0</v>
      </c>
      <c r="CL374" s="1882">
        <v>0</v>
      </c>
      <c r="CM374" s="1882">
        <v>0</v>
      </c>
      <c r="CN374" s="1882">
        <v>0</v>
      </c>
      <c r="CP374" s="1882" t="s">
        <v>10633</v>
      </c>
    </row>
    <row r="375" spans="1:94" ht="25">
      <c r="A375" s="1882" t="s">
        <v>8379</v>
      </c>
      <c r="B375" s="1882" t="s">
        <v>10634</v>
      </c>
      <c r="C375" s="1882" t="s">
        <v>8352</v>
      </c>
      <c r="D375" s="1882" t="s">
        <v>1627</v>
      </c>
      <c r="E375" s="1882" t="s">
        <v>8720</v>
      </c>
      <c r="F375" s="1882" t="s">
        <v>10624</v>
      </c>
      <c r="G375" s="1882" t="s">
        <v>10635</v>
      </c>
      <c r="H375" s="1882" t="s">
        <v>10636</v>
      </c>
      <c r="I375" s="1882" t="s">
        <v>10637</v>
      </c>
      <c r="J375" s="1882" t="s">
        <v>8508</v>
      </c>
      <c r="K375" s="1882" t="s">
        <v>8855</v>
      </c>
      <c r="L375" s="1882"/>
      <c r="M375" s="1882" t="s">
        <v>2460</v>
      </c>
      <c r="N375" s="1882" t="s">
        <v>8724</v>
      </c>
      <c r="O375" s="1882" t="s">
        <v>764</v>
      </c>
      <c r="P375" s="1882" t="s">
        <v>10638</v>
      </c>
      <c r="Q375" s="520">
        <v>0</v>
      </c>
      <c r="R375" s="1882"/>
      <c r="S375" s="1882" t="s">
        <v>3504</v>
      </c>
      <c r="T375" s="1882"/>
      <c r="U375" s="1882"/>
      <c r="V375" s="1882"/>
      <c r="W375" s="1882"/>
      <c r="X375" s="1882">
        <v>2127</v>
      </c>
      <c r="Y375" s="1882"/>
      <c r="Z375" s="1882"/>
      <c r="AA375" s="1882"/>
      <c r="AB375" s="1882"/>
      <c r="AC375" s="1882"/>
      <c r="AD375" s="1882" t="s">
        <v>2459</v>
      </c>
      <c r="AE375" s="1882" t="s">
        <v>2459</v>
      </c>
      <c r="AF375" s="1882"/>
      <c r="AG375" s="1882"/>
      <c r="AH375" s="1882">
        <v>0</v>
      </c>
      <c r="AI375" s="1882"/>
      <c r="AJ375" s="1882"/>
      <c r="AK375" s="1882"/>
      <c r="AL375" s="1882"/>
      <c r="AM375" s="1882" t="s">
        <v>2459</v>
      </c>
      <c r="AN375" s="1882"/>
      <c r="AO375" s="1882"/>
      <c r="AP375" s="1882"/>
      <c r="AQ375" s="1882"/>
      <c r="AR375" s="1882">
        <v>1459</v>
      </c>
      <c r="AS375" s="1882"/>
      <c r="AT375" s="1882"/>
      <c r="AU375" s="1882"/>
      <c r="AV375" s="1882"/>
      <c r="AW375" s="1882">
        <v>2127</v>
      </c>
      <c r="AX375" s="1882"/>
      <c r="AY375" s="1882"/>
      <c r="AZ375" s="1882"/>
      <c r="BA375" s="1882"/>
      <c r="BB375" s="1882">
        <v>2127</v>
      </c>
      <c r="BC375" s="1882"/>
      <c r="BD375" s="1882"/>
      <c r="BE375" s="1882"/>
      <c r="BF375" s="1882"/>
      <c r="BG375" s="1882">
        <v>2753</v>
      </c>
      <c r="BH375" s="1882" t="s">
        <v>9751</v>
      </c>
      <c r="BI375" s="1882"/>
      <c r="BJ375" s="1882"/>
      <c r="BK375" s="1882"/>
      <c r="BL375" s="1882" t="s">
        <v>9751</v>
      </c>
      <c r="BM375" s="1882"/>
      <c r="BN375" s="1882">
        <v>1</v>
      </c>
      <c r="BO375" s="1882" t="s">
        <v>8512</v>
      </c>
      <c r="BP375" s="520" t="s">
        <v>8697</v>
      </c>
      <c r="BQ375" s="692" t="s">
        <v>8697</v>
      </c>
      <c r="BR375" s="1882" t="s">
        <v>8513</v>
      </c>
      <c r="BS375" s="1882" t="s">
        <v>8513</v>
      </c>
      <c r="BT375" s="1882">
        <v>0</v>
      </c>
      <c r="BU375" s="1882" t="s">
        <v>8513</v>
      </c>
      <c r="BV375" s="1882">
        <v>0</v>
      </c>
      <c r="BW375" s="1882" t="s">
        <v>8697</v>
      </c>
      <c r="BX375" s="1882" t="s">
        <v>2451</v>
      </c>
      <c r="BY375" s="1882">
        <v>0</v>
      </c>
      <c r="BZ375" s="1882">
        <v>0</v>
      </c>
      <c r="CA375" s="1882">
        <v>0</v>
      </c>
      <c r="CB375" s="1882">
        <v>0</v>
      </c>
      <c r="CC375" s="1882">
        <v>40</v>
      </c>
      <c r="CD375" s="1882" t="s">
        <v>2451</v>
      </c>
      <c r="CE375" s="1882">
        <v>0</v>
      </c>
      <c r="CF375" s="1882">
        <v>0</v>
      </c>
      <c r="CG375" s="1882">
        <v>0</v>
      </c>
      <c r="CH375" s="1882">
        <v>0</v>
      </c>
      <c r="CI375" s="1882">
        <v>49</v>
      </c>
      <c r="CJ375" s="1882" t="s">
        <v>2451</v>
      </c>
      <c r="CK375" s="1882">
        <v>0</v>
      </c>
      <c r="CL375" s="1882">
        <v>0</v>
      </c>
      <c r="CM375" s="1882">
        <v>0</v>
      </c>
      <c r="CN375" s="1882">
        <v>0</v>
      </c>
      <c r="CP375" s="1882" t="s">
        <v>10639</v>
      </c>
    </row>
    <row r="376" spans="1:94">
      <c r="A376" s="1882" t="s">
        <v>8379</v>
      </c>
      <c r="B376" s="1882" t="s">
        <v>10640</v>
      </c>
      <c r="C376" s="1882" t="s">
        <v>8352</v>
      </c>
      <c r="D376" s="1882" t="s">
        <v>1627</v>
      </c>
      <c r="E376" s="1882" t="s">
        <v>8720</v>
      </c>
      <c r="F376" s="1882" t="s">
        <v>10624</v>
      </c>
      <c r="G376" s="1882" t="s">
        <v>10641</v>
      </c>
      <c r="H376" s="1882" t="s">
        <v>10642</v>
      </c>
      <c r="I376" s="1882" t="s">
        <v>10643</v>
      </c>
      <c r="J376" s="1882" t="s">
        <v>8508</v>
      </c>
      <c r="K376" s="1882" t="s">
        <v>8509</v>
      </c>
      <c r="L376" s="1882"/>
      <c r="M376" s="1882"/>
      <c r="N376" s="1882" t="s">
        <v>8724</v>
      </c>
      <c r="O376" s="1882" t="s">
        <v>764</v>
      </c>
      <c r="P376" s="1882" t="s">
        <v>10644</v>
      </c>
      <c r="Q376" s="520">
        <v>0</v>
      </c>
      <c r="R376" s="1882" t="s">
        <v>8511</v>
      </c>
      <c r="S376" s="1882">
        <v>1209</v>
      </c>
      <c r="T376" s="1882">
        <v>1168</v>
      </c>
      <c r="U376" s="1882">
        <v>1126</v>
      </c>
      <c r="V376" s="1882">
        <v>1085</v>
      </c>
      <c r="W376" s="1882">
        <v>1085</v>
      </c>
      <c r="X376" s="1882">
        <v>1085</v>
      </c>
      <c r="Y376" s="1882"/>
      <c r="Z376" s="1882"/>
      <c r="AA376" s="1882"/>
      <c r="AB376" s="1882"/>
      <c r="AC376" s="1882" t="s">
        <v>2459</v>
      </c>
      <c r="AD376" s="1882"/>
      <c r="AE376" s="1882" t="s">
        <v>2459</v>
      </c>
      <c r="AF376" s="1882"/>
      <c r="AG376" s="1882"/>
      <c r="AH376" s="1882">
        <v>0</v>
      </c>
      <c r="AI376" s="1882" t="s">
        <v>2459</v>
      </c>
      <c r="AJ376" s="1882" t="s">
        <v>2459</v>
      </c>
      <c r="AK376" s="1882" t="s">
        <v>2459</v>
      </c>
      <c r="AL376" s="1882" t="s">
        <v>2459</v>
      </c>
      <c r="AM376" s="1882" t="s">
        <v>2459</v>
      </c>
      <c r="AN376" s="1882">
        <v>1339</v>
      </c>
      <c r="AO376" s="1882">
        <v>1339</v>
      </c>
      <c r="AP376" s="1882">
        <v>1215</v>
      </c>
      <c r="AQ376" s="1882">
        <v>1215</v>
      </c>
      <c r="AR376" s="1882">
        <v>1215</v>
      </c>
      <c r="AS376" s="1882">
        <v>1209</v>
      </c>
      <c r="AT376" s="1882">
        <v>1209</v>
      </c>
      <c r="AU376" s="1882">
        <v>1085</v>
      </c>
      <c r="AV376" s="1882">
        <v>1085</v>
      </c>
      <c r="AW376" s="1882">
        <v>1085</v>
      </c>
      <c r="AX376" s="1882">
        <v>1085</v>
      </c>
      <c r="AY376" s="1882">
        <v>1085</v>
      </c>
      <c r="AZ376" s="1882">
        <v>1085</v>
      </c>
      <c r="BA376" s="1882">
        <v>1085</v>
      </c>
      <c r="BB376" s="1882">
        <v>1085</v>
      </c>
      <c r="BC376" s="1882">
        <v>955</v>
      </c>
      <c r="BD376" s="1882">
        <v>955</v>
      </c>
      <c r="BE376" s="1882">
        <v>955</v>
      </c>
      <c r="BF376" s="1882">
        <v>955</v>
      </c>
      <c r="BG376" s="1882">
        <v>955</v>
      </c>
      <c r="BH376" s="1882">
        <v>0.09</v>
      </c>
      <c r="BI376" s="1882"/>
      <c r="BJ376" s="1882"/>
      <c r="BK376" s="1882"/>
      <c r="BL376" s="1882">
        <v>5.5E-2</v>
      </c>
      <c r="BM376" s="1882"/>
      <c r="BN376" s="1882">
        <v>1</v>
      </c>
      <c r="BO376" s="1882" t="s">
        <v>8512</v>
      </c>
      <c r="BP376" s="520">
        <v>1017</v>
      </c>
      <c r="BQ376" s="693">
        <v>1410</v>
      </c>
      <c r="BR376" s="1882" t="s">
        <v>2460</v>
      </c>
      <c r="BS376" s="1882" t="s">
        <v>8513</v>
      </c>
      <c r="BT376" s="1882">
        <v>0</v>
      </c>
      <c r="BU376" s="1882" t="s">
        <v>8563</v>
      </c>
      <c r="BV376" s="1882">
        <v>-11.7</v>
      </c>
      <c r="BW376" s="1882">
        <v>1214</v>
      </c>
      <c r="BX376" s="1882" t="s">
        <v>2460</v>
      </c>
      <c r="BY376" s="1882">
        <v>0</v>
      </c>
      <c r="BZ376" s="1882">
        <v>0</v>
      </c>
      <c r="CA376" s="1882" t="s">
        <v>8563</v>
      </c>
      <c r="CB376" s="1882">
        <v>-0.45</v>
      </c>
      <c r="CC376" s="1882">
        <v>1062</v>
      </c>
      <c r="CD376" s="1882" t="s">
        <v>2459</v>
      </c>
      <c r="CE376" s="1882">
        <v>0</v>
      </c>
      <c r="CF376" s="1882">
        <v>0</v>
      </c>
      <c r="CG376" s="1882" t="s">
        <v>8376</v>
      </c>
      <c r="CH376" s="1882">
        <v>1.2649999999999999</v>
      </c>
      <c r="CI376" s="1882">
        <v>1032</v>
      </c>
      <c r="CJ376" s="1882" t="s">
        <v>2459</v>
      </c>
      <c r="CK376" s="1882">
        <v>0</v>
      </c>
      <c r="CL376" s="1882">
        <v>0</v>
      </c>
      <c r="CM376" s="1882" t="s">
        <v>8376</v>
      </c>
      <c r="CN376" s="1882">
        <v>2.915</v>
      </c>
      <c r="CP376" s="1882" t="s">
        <v>10645</v>
      </c>
    </row>
    <row r="377" spans="1:94">
      <c r="A377" s="1882" t="s">
        <v>8379</v>
      </c>
      <c r="B377" s="1882" t="s">
        <v>10646</v>
      </c>
      <c r="C377" s="1882" t="s">
        <v>8352</v>
      </c>
      <c r="D377" s="1882" t="s">
        <v>1627</v>
      </c>
      <c r="E377" s="1882" t="s">
        <v>8720</v>
      </c>
      <c r="F377" s="1882" t="s">
        <v>10624</v>
      </c>
      <c r="G377" s="1882" t="s">
        <v>10647</v>
      </c>
      <c r="H377" s="1882" t="s">
        <v>10648</v>
      </c>
      <c r="I377" s="1882" t="s">
        <v>10649</v>
      </c>
      <c r="J377" s="1882" t="s">
        <v>8508</v>
      </c>
      <c r="K377" s="1882" t="s">
        <v>8509</v>
      </c>
      <c r="L377" s="1882"/>
      <c r="M377" s="1882"/>
      <c r="N377" s="1882" t="s">
        <v>8737</v>
      </c>
      <c r="O377" s="1882" t="s">
        <v>764</v>
      </c>
      <c r="P377" s="1882" t="s">
        <v>10650</v>
      </c>
      <c r="Q377" s="520">
        <v>0</v>
      </c>
      <c r="R377" s="1882" t="s">
        <v>8549</v>
      </c>
      <c r="S377" s="1882" t="s">
        <v>3504</v>
      </c>
      <c r="T377" s="1882"/>
      <c r="U377" s="1882"/>
      <c r="V377" s="1882"/>
      <c r="W377" s="1882"/>
      <c r="X377" s="1882">
        <v>20</v>
      </c>
      <c r="Y377" s="1882"/>
      <c r="Z377" s="1882"/>
      <c r="AA377" s="1882"/>
      <c r="AB377" s="1882"/>
      <c r="AC377" s="1882"/>
      <c r="AD377" s="1882"/>
      <c r="AE377" s="1882" t="s">
        <v>2459</v>
      </c>
      <c r="AF377" s="1882"/>
      <c r="AG377" s="1882"/>
      <c r="AH377" s="1882">
        <v>0</v>
      </c>
      <c r="AI377" s="1882"/>
      <c r="AJ377" s="1882"/>
      <c r="AK377" s="1882"/>
      <c r="AL377" s="1882"/>
      <c r="AM377" s="1882" t="s">
        <v>2459</v>
      </c>
      <c r="AN377" s="1882"/>
      <c r="AO377" s="1882"/>
      <c r="AP377" s="1882"/>
      <c r="AQ377" s="1882"/>
      <c r="AR377" s="1882">
        <v>10</v>
      </c>
      <c r="AS377" s="1882"/>
      <c r="AT377" s="1882"/>
      <c r="AU377" s="1882"/>
      <c r="AV377" s="1882"/>
      <c r="AW377" s="1882">
        <v>20</v>
      </c>
      <c r="AX377" s="1882"/>
      <c r="AY377" s="1882"/>
      <c r="AZ377" s="1882"/>
      <c r="BA377" s="1882"/>
      <c r="BB377" s="1882">
        <v>20</v>
      </c>
      <c r="BC377" s="1882"/>
      <c r="BD377" s="1882"/>
      <c r="BE377" s="1882"/>
      <c r="BF377" s="1882"/>
      <c r="BG377" s="1882">
        <v>50</v>
      </c>
      <c r="BH377" s="1882">
        <v>0.51500000000000001</v>
      </c>
      <c r="BI377" s="1882"/>
      <c r="BJ377" s="1882"/>
      <c r="BK377" s="1882"/>
      <c r="BL377" s="1882">
        <v>0.47499999999999998</v>
      </c>
      <c r="BM377" s="1882"/>
      <c r="BN377" s="1882">
        <v>1</v>
      </c>
      <c r="BO377" s="1882" t="s">
        <v>8512</v>
      </c>
      <c r="BP377" s="520" t="s">
        <v>8697</v>
      </c>
      <c r="BQ377" s="693">
        <v>0</v>
      </c>
      <c r="BR377" s="1882" t="s">
        <v>8513</v>
      </c>
      <c r="BS377" s="1882" t="s">
        <v>8513</v>
      </c>
      <c r="BT377" s="1882">
        <v>0</v>
      </c>
      <c r="BU377" s="1882" t="s">
        <v>8513</v>
      </c>
      <c r="BV377" s="1882">
        <v>0</v>
      </c>
      <c r="BW377" s="1882">
        <v>0</v>
      </c>
      <c r="BX377" s="1882" t="s">
        <v>2451</v>
      </c>
      <c r="BY377" s="1882">
        <v>0</v>
      </c>
      <c r="BZ377" s="1882">
        <v>0</v>
      </c>
      <c r="CA377" s="1882">
        <v>0</v>
      </c>
      <c r="CB377" s="1882">
        <v>0</v>
      </c>
      <c r="CC377" s="1882">
        <v>0</v>
      </c>
      <c r="CD377" s="1882" t="s">
        <v>2451</v>
      </c>
      <c r="CE377" s="1882">
        <v>0</v>
      </c>
      <c r="CF377" s="1882">
        <v>0</v>
      </c>
      <c r="CG377" s="1882">
        <v>0</v>
      </c>
      <c r="CH377" s="1882">
        <v>0</v>
      </c>
      <c r="CI377" s="1882">
        <v>0.24099999999999999</v>
      </c>
      <c r="CJ377" s="1882" t="s">
        <v>2451</v>
      </c>
      <c r="CK377" s="1882">
        <v>0</v>
      </c>
      <c r="CL377" s="1882">
        <v>0</v>
      </c>
      <c r="CM377" s="1882">
        <v>0</v>
      </c>
      <c r="CN377" s="1882">
        <v>0</v>
      </c>
      <c r="CP377" s="1882" t="s">
        <v>10651</v>
      </c>
    </row>
    <row r="378" spans="1:94">
      <c r="A378" s="1882" t="s">
        <v>8379</v>
      </c>
      <c r="B378" s="1882" t="s">
        <v>10652</v>
      </c>
      <c r="C378" s="1882" t="s">
        <v>8352</v>
      </c>
      <c r="D378" s="1882" t="s">
        <v>1627</v>
      </c>
      <c r="E378" s="1882" t="s">
        <v>8720</v>
      </c>
      <c r="F378" s="1882" t="s">
        <v>10624</v>
      </c>
      <c r="G378" s="1882" t="s">
        <v>10653</v>
      </c>
      <c r="H378" s="1882" t="s">
        <v>10654</v>
      </c>
      <c r="I378" s="1882" t="s">
        <v>10655</v>
      </c>
      <c r="J378" s="1882" t="s">
        <v>8519</v>
      </c>
      <c r="K378" s="1882" t="s">
        <v>8509</v>
      </c>
      <c r="L378" s="1882"/>
      <c r="M378" s="1882" t="s">
        <v>2460</v>
      </c>
      <c r="N378" s="1882" t="s">
        <v>4596</v>
      </c>
      <c r="O378" s="1882" t="s">
        <v>732</v>
      </c>
      <c r="P378" s="1882" t="s">
        <v>10561</v>
      </c>
      <c r="Q378" s="520">
        <v>0</v>
      </c>
      <c r="R378" s="1882" t="s">
        <v>8549</v>
      </c>
      <c r="S378" s="1882">
        <v>100</v>
      </c>
      <c r="T378" s="1882"/>
      <c r="U378" s="1882"/>
      <c r="V378" s="1882"/>
      <c r="W378" s="1882"/>
      <c r="X378" s="1882">
        <v>100</v>
      </c>
      <c r="Y378" s="1882"/>
      <c r="Z378" s="1882"/>
      <c r="AA378" s="1882"/>
      <c r="AB378" s="1882"/>
      <c r="AC378" s="1882"/>
      <c r="AD378" s="1882" t="s">
        <v>2459</v>
      </c>
      <c r="AE378" s="1882" t="s">
        <v>2459</v>
      </c>
      <c r="AF378" s="1882"/>
      <c r="AG378" s="1882"/>
      <c r="AH378" s="1882">
        <v>0</v>
      </c>
      <c r="AI378" s="1882"/>
      <c r="AJ378" s="1882"/>
      <c r="AK378" s="1882"/>
      <c r="AL378" s="1882"/>
      <c r="AM378" s="1882" t="s">
        <v>2459</v>
      </c>
      <c r="AN378" s="1882"/>
      <c r="AO378" s="1882"/>
      <c r="AP378" s="1882"/>
      <c r="AQ378" s="1882"/>
      <c r="AR378" s="1882">
        <v>0</v>
      </c>
      <c r="AS378" s="1882"/>
      <c r="AT378" s="1882"/>
      <c r="AU378" s="1882"/>
      <c r="AV378" s="1882"/>
      <c r="AW378" s="1882">
        <v>100</v>
      </c>
      <c r="AX378" s="1882"/>
      <c r="AY378" s="1882"/>
      <c r="AZ378" s="1882"/>
      <c r="BA378" s="1882"/>
      <c r="BB378" s="1882"/>
      <c r="BC378" s="1882"/>
      <c r="BD378" s="1882"/>
      <c r="BE378" s="1882"/>
      <c r="BF378" s="1882"/>
      <c r="BG378" s="1882"/>
      <c r="BH378" s="1882">
        <v>0.40400000000000003</v>
      </c>
      <c r="BI378" s="1882"/>
      <c r="BJ378" s="1882"/>
      <c r="BK378" s="1882"/>
      <c r="BL378" s="1882"/>
      <c r="BM378" s="1882"/>
      <c r="BN378" s="1882">
        <v>1</v>
      </c>
      <c r="BO378" s="1882" t="s">
        <v>8512</v>
      </c>
      <c r="BP378" s="520" t="s">
        <v>8697</v>
      </c>
      <c r="BQ378" s="693">
        <v>0</v>
      </c>
      <c r="BR378" s="1882" t="s">
        <v>8513</v>
      </c>
      <c r="BS378" s="1882" t="s">
        <v>8513</v>
      </c>
      <c r="BT378" s="1882">
        <v>0</v>
      </c>
      <c r="BU378" s="1882" t="s">
        <v>8513</v>
      </c>
      <c r="BV378" s="1882">
        <v>0</v>
      </c>
      <c r="BW378" s="1882" t="s">
        <v>8697</v>
      </c>
      <c r="BX378" s="1882" t="s">
        <v>2451</v>
      </c>
      <c r="BY378" s="1882">
        <v>0</v>
      </c>
      <c r="BZ378" s="1882">
        <v>0</v>
      </c>
      <c r="CA378" s="1882">
        <v>0</v>
      </c>
      <c r="CB378" s="1882">
        <v>0</v>
      </c>
      <c r="CC378" s="2101">
        <v>26</v>
      </c>
      <c r="CD378" s="1882" t="s">
        <v>2451</v>
      </c>
      <c r="CE378" s="1882">
        <v>0</v>
      </c>
      <c r="CF378" s="1882">
        <v>0</v>
      </c>
      <c r="CG378" s="1882">
        <v>0</v>
      </c>
      <c r="CH378" s="1882">
        <v>0</v>
      </c>
      <c r="CI378" s="2101">
        <v>45</v>
      </c>
      <c r="CJ378" s="1882" t="s">
        <v>2451</v>
      </c>
      <c r="CK378" s="1882">
        <v>0</v>
      </c>
      <c r="CL378" s="1882">
        <v>0</v>
      </c>
      <c r="CM378" s="1882">
        <v>0</v>
      </c>
      <c r="CN378" s="1882">
        <v>0</v>
      </c>
      <c r="CP378" s="1882" t="s">
        <v>10656</v>
      </c>
    </row>
    <row r="379" spans="1:94">
      <c r="A379" s="1882" t="s">
        <v>8379</v>
      </c>
      <c r="B379" s="1882" t="s">
        <v>10657</v>
      </c>
      <c r="C379" s="1882" t="s">
        <v>8352</v>
      </c>
      <c r="D379" s="1882" t="s">
        <v>1627</v>
      </c>
      <c r="E379" s="1882" t="s">
        <v>8720</v>
      </c>
      <c r="F379" s="1882" t="s">
        <v>10624</v>
      </c>
      <c r="G379" s="1882" t="s">
        <v>10658</v>
      </c>
      <c r="H379" s="1882" t="s">
        <v>10659</v>
      </c>
      <c r="I379" s="1882" t="s">
        <v>10660</v>
      </c>
      <c r="J379" s="1882" t="s">
        <v>8519</v>
      </c>
      <c r="K379" s="1882" t="s">
        <v>8509</v>
      </c>
      <c r="L379" s="1882"/>
      <c r="M379" s="1882"/>
      <c r="N379" s="1882" t="s">
        <v>4580</v>
      </c>
      <c r="O379" s="1882" t="s">
        <v>764</v>
      </c>
      <c r="P379" s="1882" t="s">
        <v>10661</v>
      </c>
      <c r="Q379" s="520">
        <v>0</v>
      </c>
      <c r="R379" s="1882" t="s">
        <v>8549</v>
      </c>
      <c r="S379" s="1882"/>
      <c r="T379" s="1882"/>
      <c r="U379" s="1882"/>
      <c r="V379" s="1882"/>
      <c r="W379" s="1882"/>
      <c r="X379" s="1882">
        <v>1700000</v>
      </c>
      <c r="Y379" s="1882"/>
      <c r="Z379" s="1882"/>
      <c r="AA379" s="1882"/>
      <c r="AB379" s="1882"/>
      <c r="AC379" s="1882"/>
      <c r="AD379" s="1882"/>
      <c r="AE379" s="1882" t="s">
        <v>2459</v>
      </c>
      <c r="AF379" s="1882"/>
      <c r="AG379" s="1882"/>
      <c r="AH379" s="1882">
        <v>0</v>
      </c>
      <c r="AI379" s="1882"/>
      <c r="AJ379" s="1882"/>
      <c r="AK379" s="1882"/>
      <c r="AL379" s="1882"/>
      <c r="AM379" s="1882" t="s">
        <v>2459</v>
      </c>
      <c r="AN379" s="1882"/>
      <c r="AO379" s="1882"/>
      <c r="AP379" s="1882"/>
      <c r="AQ379" s="1882"/>
      <c r="AR379" s="1882">
        <v>1360000</v>
      </c>
      <c r="AS379" s="1882"/>
      <c r="AT379" s="1882"/>
      <c r="AU379" s="1882"/>
      <c r="AV379" s="1882"/>
      <c r="AW379" s="1882">
        <v>1700000</v>
      </c>
      <c r="AX379" s="1882"/>
      <c r="AY379" s="1882"/>
      <c r="AZ379" s="1882"/>
      <c r="BA379" s="1882"/>
      <c r="BB379" s="1882"/>
      <c r="BC379" s="1882"/>
      <c r="BD379" s="1882"/>
      <c r="BE379" s="1882"/>
      <c r="BF379" s="1882"/>
      <c r="BG379" s="1882"/>
      <c r="BH379" s="1882">
        <v>7.1999999999999999E-7</v>
      </c>
      <c r="BI379" s="1882"/>
      <c r="BJ379" s="1882"/>
      <c r="BK379" s="1882"/>
      <c r="BL379" s="1882"/>
      <c r="BM379" s="1882"/>
      <c r="BN379" s="1882">
        <v>1</v>
      </c>
      <c r="BO379" s="1882" t="s">
        <v>8512</v>
      </c>
      <c r="BP379" s="520" t="s">
        <v>8697</v>
      </c>
      <c r="BQ379" s="693">
        <v>0</v>
      </c>
      <c r="BR379" s="1882" t="s">
        <v>8513</v>
      </c>
      <c r="BS379" s="1882" t="s">
        <v>8513</v>
      </c>
      <c r="BT379" s="1882">
        <v>0</v>
      </c>
      <c r="BU379" s="1882" t="s">
        <v>8513</v>
      </c>
      <c r="BV379" s="1882">
        <v>0</v>
      </c>
      <c r="BW379" s="1882">
        <v>0</v>
      </c>
      <c r="BX379" s="1882" t="s">
        <v>2451</v>
      </c>
      <c r="BY379" s="1882">
        <v>0</v>
      </c>
      <c r="BZ379" s="1882">
        <v>0</v>
      </c>
      <c r="CA379" s="1882">
        <v>0</v>
      </c>
      <c r="CB379" s="1882">
        <v>0</v>
      </c>
      <c r="CC379" s="1882">
        <v>537700</v>
      </c>
      <c r="CD379" s="1882" t="s">
        <v>2451</v>
      </c>
      <c r="CE379" s="1882">
        <v>0</v>
      </c>
      <c r="CF379" s="1882">
        <v>0</v>
      </c>
      <c r="CG379" s="1882">
        <v>0</v>
      </c>
      <c r="CH379" s="1882">
        <v>0</v>
      </c>
      <c r="CI379" s="1882">
        <v>962842</v>
      </c>
      <c r="CJ379" s="1882" t="s">
        <v>2451</v>
      </c>
      <c r="CK379" s="1882">
        <v>0</v>
      </c>
      <c r="CL379" s="1882">
        <v>0</v>
      </c>
      <c r="CM379" s="1882">
        <v>0</v>
      </c>
      <c r="CN379" s="1882">
        <v>0</v>
      </c>
      <c r="CP379" s="1882" t="s">
        <v>10662</v>
      </c>
    </row>
    <row r="380" spans="1:94" ht="25">
      <c r="A380" s="1882" t="s">
        <v>8379</v>
      </c>
      <c r="B380" s="1882" t="s">
        <v>10663</v>
      </c>
      <c r="C380" s="1882" t="s">
        <v>8352</v>
      </c>
      <c r="D380" s="1882" t="s">
        <v>1627</v>
      </c>
      <c r="E380" s="1882" t="s">
        <v>8720</v>
      </c>
      <c r="F380" s="1882" t="s">
        <v>10624</v>
      </c>
      <c r="G380" s="1882" t="s">
        <v>10664</v>
      </c>
      <c r="H380" s="1882" t="s">
        <v>10665</v>
      </c>
      <c r="I380" s="1882" t="s">
        <v>10666</v>
      </c>
      <c r="J380" s="1882" t="s">
        <v>8519</v>
      </c>
      <c r="K380" s="1882" t="s">
        <v>8509</v>
      </c>
      <c r="L380" s="1882"/>
      <c r="M380" s="1882" t="s">
        <v>2460</v>
      </c>
      <c r="N380" s="1882" t="s">
        <v>8673</v>
      </c>
      <c r="O380" s="1882" t="s">
        <v>8797</v>
      </c>
      <c r="P380" s="1882" t="s">
        <v>9904</v>
      </c>
      <c r="Q380" s="520" t="s">
        <v>8512</v>
      </c>
      <c r="R380" s="1882"/>
      <c r="S380" s="1882"/>
      <c r="T380" s="1882" t="s">
        <v>9288</v>
      </c>
      <c r="U380" s="1882"/>
      <c r="V380" s="1882"/>
      <c r="W380" s="1882"/>
      <c r="X380" s="1882"/>
      <c r="Y380" s="1882"/>
      <c r="Z380" s="1882"/>
      <c r="AA380" s="1882"/>
      <c r="AB380" s="1882"/>
      <c r="AC380" s="1882"/>
      <c r="AD380" s="1882" t="s">
        <v>2459</v>
      </c>
      <c r="AE380" s="1882"/>
      <c r="AF380" s="1882" t="s">
        <v>2459</v>
      </c>
      <c r="AG380" s="1882"/>
      <c r="AH380" s="1882">
        <v>0</v>
      </c>
      <c r="AI380" s="1882" t="s">
        <v>2459</v>
      </c>
      <c r="AJ380" s="1882" t="s">
        <v>2459</v>
      </c>
      <c r="AK380" s="1882" t="s">
        <v>2459</v>
      </c>
      <c r="AL380" s="1882" t="s">
        <v>2459</v>
      </c>
      <c r="AM380" s="1882" t="s">
        <v>2459</v>
      </c>
      <c r="AN380" s="1882" t="s">
        <v>10667</v>
      </c>
      <c r="AO380" s="1882" t="s">
        <v>10667</v>
      </c>
      <c r="AP380" s="1882" t="s">
        <v>10667</v>
      </c>
      <c r="AQ380" s="1882" t="s">
        <v>10667</v>
      </c>
      <c r="AR380" s="1882" t="s">
        <v>10667</v>
      </c>
      <c r="AS380" s="1882" t="s">
        <v>10667</v>
      </c>
      <c r="AT380" s="1882" t="s">
        <v>10667</v>
      </c>
      <c r="AU380" s="1882" t="s">
        <v>10667</v>
      </c>
      <c r="AV380" s="1882" t="s">
        <v>10667</v>
      </c>
      <c r="AW380" s="1882" t="s">
        <v>10667</v>
      </c>
      <c r="AX380" s="1882"/>
      <c r="AY380" s="1882"/>
      <c r="AZ380" s="1882"/>
      <c r="BA380" s="1882"/>
      <c r="BB380" s="1882"/>
      <c r="BC380" s="1882"/>
      <c r="BD380" s="1882"/>
      <c r="BE380" s="1882"/>
      <c r="BF380" s="1882"/>
      <c r="BG380" s="1882"/>
      <c r="BH380" s="1882">
        <v>6.7</v>
      </c>
      <c r="BI380" s="1882"/>
      <c r="BJ380" s="1882"/>
      <c r="BK380" s="1882"/>
      <c r="BL380" s="1882"/>
      <c r="BM380" s="1882"/>
      <c r="BN380" s="1882">
        <v>1</v>
      </c>
      <c r="BO380" s="1882" t="s">
        <v>8512</v>
      </c>
      <c r="BP380" s="520" t="s">
        <v>8697</v>
      </c>
      <c r="BQ380" s="692" t="s">
        <v>10668</v>
      </c>
      <c r="BR380" s="1882" t="s">
        <v>2459</v>
      </c>
      <c r="BS380" s="1882" t="s">
        <v>8513</v>
      </c>
      <c r="BT380" s="1882">
        <v>0</v>
      </c>
      <c r="BU380" s="1882" t="s">
        <v>8513</v>
      </c>
      <c r="BV380" s="1882">
        <v>0</v>
      </c>
      <c r="BW380" s="1882" t="s">
        <v>10669</v>
      </c>
      <c r="BX380" s="1882" t="s">
        <v>2451</v>
      </c>
      <c r="BY380" s="1882">
        <v>0</v>
      </c>
      <c r="BZ380" s="1882">
        <v>0</v>
      </c>
      <c r="CA380" s="1882">
        <v>0</v>
      </c>
      <c r="CB380" s="1882">
        <v>0</v>
      </c>
      <c r="CC380" s="1882" t="s">
        <v>10670</v>
      </c>
      <c r="CD380" s="1882" t="s">
        <v>2459</v>
      </c>
      <c r="CE380" s="1882">
        <v>0</v>
      </c>
      <c r="CF380" s="1882">
        <v>0</v>
      </c>
      <c r="CG380" s="1882">
        <v>0</v>
      </c>
      <c r="CH380" s="1882">
        <v>0</v>
      </c>
      <c r="CI380" s="1882" t="s">
        <v>10670</v>
      </c>
      <c r="CJ380" s="1882" t="s">
        <v>2451</v>
      </c>
      <c r="CK380" s="1882">
        <v>0</v>
      </c>
      <c r="CL380" s="1882">
        <v>0</v>
      </c>
      <c r="CM380" s="1882">
        <v>0</v>
      </c>
      <c r="CN380" s="1882">
        <v>0</v>
      </c>
      <c r="CP380" s="1882" t="s">
        <v>10671</v>
      </c>
    </row>
    <row r="381" spans="1:94" ht="25">
      <c r="A381" s="1882" t="s">
        <v>8379</v>
      </c>
      <c r="B381" s="1882" t="s">
        <v>10672</v>
      </c>
      <c r="C381" s="1882" t="s">
        <v>8352</v>
      </c>
      <c r="D381" s="1882" t="s">
        <v>1627</v>
      </c>
      <c r="E381" s="1882" t="s">
        <v>8720</v>
      </c>
      <c r="F381" s="1882" t="s">
        <v>10624</v>
      </c>
      <c r="G381" s="1882" t="s">
        <v>10673</v>
      </c>
      <c r="H381" s="1882" t="s">
        <v>10674</v>
      </c>
      <c r="I381" s="1882" t="s">
        <v>10675</v>
      </c>
      <c r="J381" s="1882" t="s">
        <v>8519</v>
      </c>
      <c r="K381" s="1882" t="s">
        <v>8509</v>
      </c>
      <c r="L381" s="1882"/>
      <c r="M381" s="1882" t="s">
        <v>2460</v>
      </c>
      <c r="N381" s="1882" t="s">
        <v>8673</v>
      </c>
      <c r="O381" s="1882" t="s">
        <v>8797</v>
      </c>
      <c r="P381" s="1882" t="s">
        <v>9904</v>
      </c>
      <c r="Q381" s="520" t="s">
        <v>8512</v>
      </c>
      <c r="R381" s="1882"/>
      <c r="S381" s="1882"/>
      <c r="T381" s="1882"/>
      <c r="U381" s="1882" t="s">
        <v>9288</v>
      </c>
      <c r="V381" s="1882"/>
      <c r="W381" s="1882"/>
      <c r="X381" s="1882"/>
      <c r="Y381" s="1882"/>
      <c r="Z381" s="1882"/>
      <c r="AA381" s="1882"/>
      <c r="AB381" s="1882"/>
      <c r="AC381" s="1882"/>
      <c r="AD381" s="1882" t="s">
        <v>2459</v>
      </c>
      <c r="AE381" s="1882"/>
      <c r="AF381" s="1882" t="s">
        <v>2459</v>
      </c>
      <c r="AG381" s="1882"/>
      <c r="AH381" s="1882">
        <v>0</v>
      </c>
      <c r="AI381" s="1882"/>
      <c r="AJ381" s="1882"/>
      <c r="AK381" s="1882"/>
      <c r="AL381" s="1882"/>
      <c r="AM381" s="1882" t="s">
        <v>2459</v>
      </c>
      <c r="AN381" s="1882"/>
      <c r="AO381" s="1882"/>
      <c r="AP381" s="1882"/>
      <c r="AQ381" s="1882"/>
      <c r="AR381" s="1882" t="s">
        <v>10667</v>
      </c>
      <c r="AS381" s="1882"/>
      <c r="AT381" s="1882"/>
      <c r="AU381" s="1882"/>
      <c r="AV381" s="1882"/>
      <c r="AW381" s="1882" t="s">
        <v>10667</v>
      </c>
      <c r="AX381" s="1882"/>
      <c r="AY381" s="1882"/>
      <c r="AZ381" s="1882"/>
      <c r="BA381" s="1882"/>
      <c r="BB381" s="1882"/>
      <c r="BC381" s="1882"/>
      <c r="BD381" s="1882"/>
      <c r="BE381" s="1882"/>
      <c r="BF381" s="1882"/>
      <c r="BG381" s="1882"/>
      <c r="BH381" s="1882">
        <v>198</v>
      </c>
      <c r="BI381" s="1882"/>
      <c r="BJ381" s="1882"/>
      <c r="BK381" s="1882"/>
      <c r="BL381" s="1882"/>
      <c r="BM381" s="1882"/>
      <c r="BN381" s="1882">
        <v>1</v>
      </c>
      <c r="BO381" s="1882" t="s">
        <v>8512</v>
      </c>
      <c r="BP381" s="520" t="s">
        <v>8697</v>
      </c>
      <c r="BQ381" s="693" t="s">
        <v>8697</v>
      </c>
      <c r="BR381" s="1882" t="s">
        <v>8513</v>
      </c>
      <c r="BS381" s="1882" t="s">
        <v>8513</v>
      </c>
      <c r="BT381" s="1882">
        <v>0</v>
      </c>
      <c r="BU381" s="1882" t="s">
        <v>8513</v>
      </c>
      <c r="BV381" s="1882">
        <v>0</v>
      </c>
      <c r="BW381" s="1882" t="s">
        <v>10676</v>
      </c>
      <c r="BX381" s="1882" t="s">
        <v>2459</v>
      </c>
      <c r="BY381" s="1882">
        <v>0</v>
      </c>
      <c r="BZ381" s="1882">
        <v>0</v>
      </c>
      <c r="CA381" s="1882">
        <v>0</v>
      </c>
      <c r="CB381" s="1882">
        <v>0</v>
      </c>
      <c r="CC381" s="1882" t="s">
        <v>10677</v>
      </c>
      <c r="CD381" s="1882" t="s">
        <v>2459</v>
      </c>
      <c r="CE381" s="1882">
        <v>0</v>
      </c>
      <c r="CF381" s="1882">
        <v>0</v>
      </c>
      <c r="CG381" s="1882">
        <v>0</v>
      </c>
      <c r="CH381" s="1882">
        <v>0</v>
      </c>
      <c r="CI381" s="1882" t="s">
        <v>10677</v>
      </c>
      <c r="CJ381" s="1882" t="s">
        <v>2451</v>
      </c>
      <c r="CK381" s="1882">
        <v>0</v>
      </c>
      <c r="CL381" s="1882">
        <v>0</v>
      </c>
      <c r="CM381" s="1882">
        <v>0</v>
      </c>
      <c r="CN381" s="1882">
        <v>0</v>
      </c>
      <c r="CP381" s="1882" t="s">
        <v>10678</v>
      </c>
    </row>
    <row r="382" spans="1:94">
      <c r="A382" s="1882" t="s">
        <v>8379</v>
      </c>
      <c r="B382" s="1882" t="s">
        <v>10679</v>
      </c>
      <c r="C382" s="1882" t="s">
        <v>8352</v>
      </c>
      <c r="D382" s="1882" t="s">
        <v>1627</v>
      </c>
      <c r="E382" s="1882" t="s">
        <v>8720</v>
      </c>
      <c r="F382" s="1882" t="s">
        <v>10570</v>
      </c>
      <c r="G382" s="1882" t="s">
        <v>10680</v>
      </c>
      <c r="H382" s="1882" t="s">
        <v>10681</v>
      </c>
      <c r="I382" s="1882" t="s">
        <v>10682</v>
      </c>
      <c r="J382" s="1882" t="s">
        <v>8539</v>
      </c>
      <c r="K382" s="1882"/>
      <c r="L382" s="1882"/>
      <c r="M382" s="1882"/>
      <c r="N382" s="1882" t="s">
        <v>8681</v>
      </c>
      <c r="O382" s="1882" t="s">
        <v>764</v>
      </c>
      <c r="P382" s="1882" t="s">
        <v>9180</v>
      </c>
      <c r="Q382" s="520">
        <v>1</v>
      </c>
      <c r="R382" s="1882" t="s">
        <v>8511</v>
      </c>
      <c r="S382" s="1882">
        <v>394.6</v>
      </c>
      <c r="T382" s="1882">
        <v>368.1</v>
      </c>
      <c r="U382" s="1882">
        <v>322.5</v>
      </c>
      <c r="V382" s="1882">
        <v>290.5</v>
      </c>
      <c r="W382" s="1882">
        <v>269.60000000000002</v>
      </c>
      <c r="X382" s="1882">
        <v>260.60000000000002</v>
      </c>
      <c r="Y382" s="1882"/>
      <c r="Z382" s="1882"/>
      <c r="AA382" s="1882"/>
      <c r="AB382" s="1882"/>
      <c r="AC382" s="1882"/>
      <c r="AD382" s="1882"/>
      <c r="AE382" s="1882"/>
      <c r="AF382" s="1882"/>
      <c r="AG382" s="1882"/>
      <c r="AH382" s="1882">
        <v>0</v>
      </c>
      <c r="AI382" s="1882"/>
      <c r="AJ382" s="1882"/>
      <c r="AK382" s="1882"/>
      <c r="AL382" s="1882"/>
      <c r="AM382" s="1882"/>
      <c r="AN382" s="1882"/>
      <c r="AO382" s="1882"/>
      <c r="AP382" s="1882"/>
      <c r="AQ382" s="1882"/>
      <c r="AR382" s="1882"/>
      <c r="AS382" s="1882"/>
      <c r="AT382" s="1882"/>
      <c r="AU382" s="1882"/>
      <c r="AV382" s="1882"/>
      <c r="AW382" s="1882"/>
      <c r="AX382" s="1882"/>
      <c r="AY382" s="1882"/>
      <c r="AZ382" s="1882"/>
      <c r="BA382" s="1882"/>
      <c r="BB382" s="1882"/>
      <c r="BC382" s="1882"/>
      <c r="BD382" s="1882"/>
      <c r="BE382" s="1882"/>
      <c r="BF382" s="1882"/>
      <c r="BG382" s="1882"/>
      <c r="BH382" s="1882"/>
      <c r="BI382" s="1882"/>
      <c r="BJ382" s="1882"/>
      <c r="BK382" s="1882"/>
      <c r="BL382" s="1882"/>
      <c r="BM382" s="1882"/>
      <c r="BN382" s="1882"/>
      <c r="BO382" s="1882"/>
      <c r="BP382" s="520" t="s">
        <v>8697</v>
      </c>
      <c r="BQ382" s="690">
        <v>468.53500000000003</v>
      </c>
      <c r="BR382" s="1882" t="s">
        <v>2460</v>
      </c>
      <c r="BS382" s="1882" t="s">
        <v>8513</v>
      </c>
      <c r="BT382" s="1882">
        <v>0</v>
      </c>
      <c r="BU382" s="1882" t="s">
        <v>8513</v>
      </c>
      <c r="BV382" s="1882">
        <v>0</v>
      </c>
      <c r="BW382" s="1882">
        <v>346.7</v>
      </c>
      <c r="BX382" s="1882" t="s">
        <v>2459</v>
      </c>
      <c r="BY382" s="1882">
        <v>0</v>
      </c>
      <c r="BZ382" s="1882">
        <v>0</v>
      </c>
      <c r="CA382" s="1882">
        <v>0</v>
      </c>
      <c r="CB382" s="1882">
        <v>0</v>
      </c>
      <c r="CC382" s="1882">
        <v>231.7</v>
      </c>
      <c r="CD382" s="1882" t="s">
        <v>2459</v>
      </c>
      <c r="CE382" s="1882">
        <v>0</v>
      </c>
      <c r="CF382" s="1882">
        <v>0</v>
      </c>
      <c r="CG382" s="1882">
        <v>0</v>
      </c>
      <c r="CH382" s="1882">
        <v>0</v>
      </c>
      <c r="CI382" s="1882">
        <v>230</v>
      </c>
      <c r="CJ382" s="1882" t="s">
        <v>2459</v>
      </c>
      <c r="CK382" s="1882">
        <v>0</v>
      </c>
      <c r="CL382" s="1882">
        <v>0</v>
      </c>
      <c r="CM382" s="1882">
        <v>0</v>
      </c>
      <c r="CN382" s="1882">
        <v>0</v>
      </c>
      <c r="CP382" s="1882" t="s">
        <v>10683</v>
      </c>
    </row>
    <row r="383" spans="1:94">
      <c r="A383" s="1882" t="s">
        <v>8379</v>
      </c>
      <c r="B383" s="1882" t="s">
        <v>10684</v>
      </c>
      <c r="C383" s="1882" t="s">
        <v>8352</v>
      </c>
      <c r="D383" s="1882" t="s">
        <v>1627</v>
      </c>
      <c r="E383" s="1882" t="s">
        <v>8720</v>
      </c>
      <c r="F383" s="1882" t="s">
        <v>10570</v>
      </c>
      <c r="G383" s="1882" t="s">
        <v>10685</v>
      </c>
      <c r="H383" s="1882" t="s">
        <v>10686</v>
      </c>
      <c r="I383" s="1882" t="s">
        <v>10687</v>
      </c>
      <c r="J383" s="1882" t="s">
        <v>8508</v>
      </c>
      <c r="K383" s="1882" t="s">
        <v>8509</v>
      </c>
      <c r="L383" s="1882"/>
      <c r="M383" s="1882" t="s">
        <v>2460</v>
      </c>
      <c r="N383" s="1882" t="s">
        <v>8760</v>
      </c>
      <c r="O383" s="1882" t="s">
        <v>764</v>
      </c>
      <c r="P383" s="1882" t="s">
        <v>9604</v>
      </c>
      <c r="Q383" s="520">
        <v>0</v>
      </c>
      <c r="R383" s="1882" t="s">
        <v>8511</v>
      </c>
      <c r="S383" s="1882">
        <v>340</v>
      </c>
      <c r="T383" s="1882">
        <v>340</v>
      </c>
      <c r="U383" s="1882">
        <v>340</v>
      </c>
      <c r="V383" s="1882">
        <v>340</v>
      </c>
      <c r="W383" s="1882">
        <v>340</v>
      </c>
      <c r="X383" s="1882">
        <v>340</v>
      </c>
      <c r="Y383" s="1882"/>
      <c r="Z383" s="1882"/>
      <c r="AA383" s="1882"/>
      <c r="AB383" s="1882" t="s">
        <v>2459</v>
      </c>
      <c r="AC383" s="1882"/>
      <c r="AD383" s="1882"/>
      <c r="AE383" s="1882" t="s">
        <v>2459</v>
      </c>
      <c r="AF383" s="1882"/>
      <c r="AG383" s="1882"/>
      <c r="AH383" s="1882">
        <v>0</v>
      </c>
      <c r="AI383" s="1882" t="s">
        <v>2459</v>
      </c>
      <c r="AJ383" s="1882" t="s">
        <v>2459</v>
      </c>
      <c r="AK383" s="1882" t="s">
        <v>2459</v>
      </c>
      <c r="AL383" s="1882" t="s">
        <v>2459</v>
      </c>
      <c r="AM383" s="1882" t="s">
        <v>2459</v>
      </c>
      <c r="AN383" s="1882">
        <v>465</v>
      </c>
      <c r="AO383" s="1882">
        <v>465</v>
      </c>
      <c r="AP383" s="1882">
        <v>465</v>
      </c>
      <c r="AQ383" s="1882">
        <v>465</v>
      </c>
      <c r="AR383" s="1882">
        <v>465</v>
      </c>
      <c r="AS383" s="1882">
        <v>400</v>
      </c>
      <c r="AT383" s="1882">
        <v>400</v>
      </c>
      <c r="AU383" s="1882">
        <v>400</v>
      </c>
      <c r="AV383" s="1882">
        <v>400</v>
      </c>
      <c r="AW383" s="1882">
        <v>400</v>
      </c>
      <c r="AX383" s="1882">
        <v>263</v>
      </c>
      <c r="AY383" s="1882">
        <v>263</v>
      </c>
      <c r="AZ383" s="1882">
        <v>263</v>
      </c>
      <c r="BA383" s="1882">
        <v>263</v>
      </c>
      <c r="BB383" s="1882">
        <v>263</v>
      </c>
      <c r="BC383" s="1882">
        <v>229</v>
      </c>
      <c r="BD383" s="1882">
        <v>229</v>
      </c>
      <c r="BE383" s="1882">
        <v>229</v>
      </c>
      <c r="BF383" s="1882">
        <v>229</v>
      </c>
      <c r="BG383" s="1882">
        <v>229</v>
      </c>
      <c r="BH383" s="1882">
        <v>0.13</v>
      </c>
      <c r="BI383" s="1882"/>
      <c r="BJ383" s="1882"/>
      <c r="BK383" s="1882"/>
      <c r="BL383" s="1882">
        <v>0.13</v>
      </c>
      <c r="BM383" s="1882"/>
      <c r="BN383" s="1882">
        <v>1</v>
      </c>
      <c r="BO383" s="1882" t="s">
        <v>8512</v>
      </c>
      <c r="BP383" s="520">
        <v>467</v>
      </c>
      <c r="BQ383" s="693">
        <v>232</v>
      </c>
      <c r="BR383" s="1882" t="s">
        <v>2459</v>
      </c>
      <c r="BS383" s="1882" t="s">
        <v>8513</v>
      </c>
      <c r="BT383" s="1882">
        <v>0</v>
      </c>
      <c r="BU383" s="1882" t="s">
        <v>8513</v>
      </c>
      <c r="BV383" s="1882">
        <v>0</v>
      </c>
      <c r="BW383" s="1882">
        <v>315</v>
      </c>
      <c r="BX383" s="1882" t="s">
        <v>2459</v>
      </c>
      <c r="BY383" s="1882">
        <v>0</v>
      </c>
      <c r="BZ383" s="1882">
        <v>0</v>
      </c>
      <c r="CA383" s="1882">
        <v>0</v>
      </c>
      <c r="CB383" s="1882">
        <v>0</v>
      </c>
      <c r="CC383" s="1882">
        <v>292</v>
      </c>
      <c r="CD383" s="1882" t="s">
        <v>2459</v>
      </c>
      <c r="CE383" s="1882">
        <v>0</v>
      </c>
      <c r="CF383" s="1882">
        <v>0</v>
      </c>
      <c r="CG383" s="1882" t="s">
        <v>8380</v>
      </c>
      <c r="CH383" s="1882">
        <v>0</v>
      </c>
      <c r="CI383" s="1882">
        <v>295</v>
      </c>
      <c r="CJ383" s="1882" t="s">
        <v>2459</v>
      </c>
      <c r="CK383" s="1882">
        <v>0</v>
      </c>
      <c r="CL383" s="1882">
        <v>0</v>
      </c>
      <c r="CM383" s="1882">
        <v>0</v>
      </c>
      <c r="CN383" s="1882">
        <v>0</v>
      </c>
      <c r="CP383" s="1882" t="s">
        <v>10688</v>
      </c>
    </row>
    <row r="384" spans="1:94">
      <c r="A384" s="1882" t="s">
        <v>8379</v>
      </c>
      <c r="B384" s="1882" t="s">
        <v>10689</v>
      </c>
      <c r="C384" s="1882" t="s">
        <v>8352</v>
      </c>
      <c r="D384" s="1882" t="s">
        <v>1627</v>
      </c>
      <c r="E384" s="1882" t="s">
        <v>8720</v>
      </c>
      <c r="F384" s="1882" t="s">
        <v>10570</v>
      </c>
      <c r="G384" s="1882" t="s">
        <v>10690</v>
      </c>
      <c r="H384" s="1882" t="s">
        <v>10691</v>
      </c>
      <c r="I384" s="1882" t="s">
        <v>10692</v>
      </c>
      <c r="J384" s="1882" t="s">
        <v>8519</v>
      </c>
      <c r="K384" s="1882" t="s">
        <v>8509</v>
      </c>
      <c r="L384" s="1882"/>
      <c r="M384" s="1882"/>
      <c r="N384" s="1882" t="s">
        <v>8673</v>
      </c>
      <c r="O384" s="1882" t="s">
        <v>732</v>
      </c>
      <c r="P384" s="1882" t="s">
        <v>10693</v>
      </c>
      <c r="Q384" s="520">
        <v>2</v>
      </c>
      <c r="R384" s="1882" t="s">
        <v>8549</v>
      </c>
      <c r="S384" s="1882">
        <v>98.88</v>
      </c>
      <c r="T384" s="1882">
        <v>100</v>
      </c>
      <c r="U384" s="1882">
        <v>100</v>
      </c>
      <c r="V384" s="1882">
        <v>100</v>
      </c>
      <c r="W384" s="1882">
        <v>100</v>
      </c>
      <c r="X384" s="1882">
        <v>100</v>
      </c>
      <c r="Y384" s="1882"/>
      <c r="Z384" s="1882"/>
      <c r="AA384" s="1882"/>
      <c r="AB384" s="1882"/>
      <c r="AC384" s="1882"/>
      <c r="AD384" s="1882"/>
      <c r="AE384" s="1882" t="s">
        <v>2459</v>
      </c>
      <c r="AF384" s="1882"/>
      <c r="AG384" s="1882"/>
      <c r="AH384" s="1882">
        <v>0</v>
      </c>
      <c r="AI384" s="1882" t="s">
        <v>2459</v>
      </c>
      <c r="AJ384" s="1882" t="s">
        <v>2459</v>
      </c>
      <c r="AK384" s="1882" t="s">
        <v>2459</v>
      </c>
      <c r="AL384" s="1882" t="s">
        <v>2459</v>
      </c>
      <c r="AM384" s="1882" t="s">
        <v>2459</v>
      </c>
      <c r="AN384" s="1882">
        <v>96.61</v>
      </c>
      <c r="AO384" s="1882">
        <v>96.61</v>
      </c>
      <c r="AP384" s="1882">
        <v>96.61</v>
      </c>
      <c r="AQ384" s="1882">
        <v>96.61</v>
      </c>
      <c r="AR384" s="1882">
        <v>96.61</v>
      </c>
      <c r="AS384" s="1882">
        <v>98.88</v>
      </c>
      <c r="AT384" s="1882">
        <v>98.88</v>
      </c>
      <c r="AU384" s="1882">
        <v>98.88</v>
      </c>
      <c r="AV384" s="1882">
        <v>98.88</v>
      </c>
      <c r="AW384" s="1882">
        <v>98.88</v>
      </c>
      <c r="AX384" s="1882"/>
      <c r="AY384" s="1882"/>
      <c r="AZ384" s="1882"/>
      <c r="BA384" s="1882"/>
      <c r="BB384" s="1882"/>
      <c r="BC384" s="1882"/>
      <c r="BD384" s="1882"/>
      <c r="BE384" s="1882"/>
      <c r="BF384" s="1882"/>
      <c r="BG384" s="1882"/>
      <c r="BH384" s="1882">
        <v>3.8450000000000002</v>
      </c>
      <c r="BI384" s="1882"/>
      <c r="BJ384" s="1882"/>
      <c r="BK384" s="1882"/>
      <c r="BL384" s="1882"/>
      <c r="BM384" s="1882"/>
      <c r="BN384" s="1882">
        <v>1</v>
      </c>
      <c r="BO384" s="1882" t="s">
        <v>8512</v>
      </c>
      <c r="BP384" s="520">
        <v>98.850574712643677</v>
      </c>
      <c r="BQ384" s="694">
        <v>99.132947976878611</v>
      </c>
      <c r="BR384" s="1882" t="s">
        <v>2460</v>
      </c>
      <c r="BS384" s="1882" t="s">
        <v>8513</v>
      </c>
      <c r="BT384" s="1882">
        <v>0</v>
      </c>
      <c r="BU384" s="1882" t="s">
        <v>8429</v>
      </c>
      <c r="BV384" s="1882">
        <v>0</v>
      </c>
      <c r="BW384" s="1882">
        <v>98.28</v>
      </c>
      <c r="BX384" s="1882" t="s">
        <v>2460</v>
      </c>
      <c r="BY384" s="1882">
        <v>0</v>
      </c>
      <c r="BZ384" s="1882">
        <v>0</v>
      </c>
      <c r="CA384" s="1882" t="s">
        <v>8563</v>
      </c>
      <c r="CB384" s="1882">
        <v>-2.3069999999999999</v>
      </c>
      <c r="CC384" s="1882">
        <v>99.43</v>
      </c>
      <c r="CD384" s="1882" t="s">
        <v>2460</v>
      </c>
      <c r="CE384" s="1882">
        <v>0</v>
      </c>
      <c r="CF384" s="1882">
        <v>0</v>
      </c>
      <c r="CG384" s="1882" t="s">
        <v>8388</v>
      </c>
      <c r="CH384" s="1882">
        <v>0</v>
      </c>
      <c r="CI384" s="1882">
        <v>98.85</v>
      </c>
      <c r="CJ384" s="1882" t="s">
        <v>2460</v>
      </c>
      <c r="CK384" s="1882">
        <v>0</v>
      </c>
      <c r="CL384" s="1882">
        <v>0</v>
      </c>
      <c r="CM384" s="1882" t="s">
        <v>8384</v>
      </c>
      <c r="CN384" s="1882">
        <v>-0.1153</v>
      </c>
      <c r="CP384" s="1882" t="s">
        <v>10694</v>
      </c>
    </row>
    <row r="385" spans="1:94">
      <c r="A385" s="1882" t="s">
        <v>8379</v>
      </c>
      <c r="B385" s="1882" t="s">
        <v>10695</v>
      </c>
      <c r="C385" s="1882" t="s">
        <v>8352</v>
      </c>
      <c r="D385" s="1882" t="s">
        <v>1627</v>
      </c>
      <c r="E385" s="1882" t="s">
        <v>8720</v>
      </c>
      <c r="F385" s="1882" t="s">
        <v>10570</v>
      </c>
      <c r="G385" s="1882" t="s">
        <v>10696</v>
      </c>
      <c r="H385" s="1882" t="s">
        <v>10697</v>
      </c>
      <c r="I385" s="1882" t="s">
        <v>10698</v>
      </c>
      <c r="J385" s="1882" t="s">
        <v>8539</v>
      </c>
      <c r="K385" s="1882"/>
      <c r="L385" s="1882"/>
      <c r="M385" s="1882"/>
      <c r="N385" s="1882" t="s">
        <v>10053</v>
      </c>
      <c r="O385" s="1882" t="s">
        <v>764</v>
      </c>
      <c r="P385" s="1882" t="s">
        <v>10699</v>
      </c>
      <c r="Q385" s="520">
        <v>0</v>
      </c>
      <c r="R385" s="1882" t="s">
        <v>8549</v>
      </c>
      <c r="S385" s="1882" t="s">
        <v>3504</v>
      </c>
      <c r="T385" s="1882"/>
      <c r="U385" s="1882"/>
      <c r="V385" s="1882"/>
      <c r="W385" s="1882"/>
      <c r="X385" s="1882">
        <v>13</v>
      </c>
      <c r="Y385" s="1882"/>
      <c r="Z385" s="1882"/>
      <c r="AA385" s="1882"/>
      <c r="AB385" s="1882"/>
      <c r="AC385" s="1882"/>
      <c r="AD385" s="1882"/>
      <c r="AE385" s="1882"/>
      <c r="AF385" s="1882"/>
      <c r="AG385" s="1882"/>
      <c r="AH385" s="1882">
        <v>0</v>
      </c>
      <c r="AI385" s="1882"/>
      <c r="AJ385" s="1882"/>
      <c r="AK385" s="1882"/>
      <c r="AL385" s="1882"/>
      <c r="AM385" s="1882"/>
      <c r="AN385" s="1882"/>
      <c r="AO385" s="1882"/>
      <c r="AP385" s="1882"/>
      <c r="AQ385" s="1882"/>
      <c r="AR385" s="1882"/>
      <c r="AS385" s="1882"/>
      <c r="AT385" s="1882"/>
      <c r="AU385" s="1882"/>
      <c r="AV385" s="1882"/>
      <c r="AW385" s="1882"/>
      <c r="AX385" s="1882"/>
      <c r="AY385" s="1882"/>
      <c r="AZ385" s="1882"/>
      <c r="BA385" s="1882"/>
      <c r="BB385" s="1882"/>
      <c r="BC385" s="1882"/>
      <c r="BD385" s="1882"/>
      <c r="BE385" s="1882"/>
      <c r="BF385" s="1882"/>
      <c r="BG385" s="1882"/>
      <c r="BH385" s="1882"/>
      <c r="BI385" s="1882"/>
      <c r="BJ385" s="1882"/>
      <c r="BK385" s="1882"/>
      <c r="BL385" s="1882"/>
      <c r="BM385" s="1882"/>
      <c r="BN385" s="1882"/>
      <c r="BO385" s="1882"/>
      <c r="BP385" s="520" t="s">
        <v>8697</v>
      </c>
      <c r="BQ385" s="693">
        <v>0</v>
      </c>
      <c r="BR385" s="1882" t="s">
        <v>8513</v>
      </c>
      <c r="BS385" s="1882" t="s">
        <v>8513</v>
      </c>
      <c r="BT385" s="1882">
        <v>0</v>
      </c>
      <c r="BU385" s="1882" t="s">
        <v>8513</v>
      </c>
      <c r="BV385" s="1882">
        <v>0</v>
      </c>
      <c r="BW385" s="1882">
        <v>0</v>
      </c>
      <c r="BX385" s="1882" t="s">
        <v>2451</v>
      </c>
      <c r="BY385" s="1882">
        <v>0</v>
      </c>
      <c r="BZ385" s="1882">
        <v>0</v>
      </c>
      <c r="CA385" s="1882">
        <v>0</v>
      </c>
      <c r="CB385" s="1882">
        <v>0</v>
      </c>
      <c r="CC385" s="1882">
        <v>0</v>
      </c>
      <c r="CD385" s="1882" t="s">
        <v>2451</v>
      </c>
      <c r="CE385" s="1882">
        <v>0</v>
      </c>
      <c r="CF385" s="1882">
        <v>0</v>
      </c>
      <c r="CG385" s="1882">
        <v>0</v>
      </c>
      <c r="CH385" s="1882">
        <v>0</v>
      </c>
      <c r="CI385" s="1882">
        <v>0</v>
      </c>
      <c r="CJ385" s="1882" t="s">
        <v>2451</v>
      </c>
      <c r="CK385" s="1882">
        <v>0</v>
      </c>
      <c r="CL385" s="1882">
        <v>0</v>
      </c>
      <c r="CM385" s="1882">
        <v>0</v>
      </c>
      <c r="CN385" s="1882">
        <v>0</v>
      </c>
      <c r="CP385" s="1882" t="s">
        <v>10700</v>
      </c>
    </row>
    <row r="386" spans="1:94">
      <c r="A386" s="1882" t="s">
        <v>8379</v>
      </c>
      <c r="B386" s="1882" t="s">
        <v>10701</v>
      </c>
      <c r="C386" s="1882" t="s">
        <v>8352</v>
      </c>
      <c r="D386" s="1882" t="s">
        <v>1627</v>
      </c>
      <c r="E386" s="1882" t="s">
        <v>8720</v>
      </c>
      <c r="F386" s="1882" t="s">
        <v>10570</v>
      </c>
      <c r="G386" s="1882" t="s">
        <v>10702</v>
      </c>
      <c r="H386" s="1882" t="s">
        <v>10703</v>
      </c>
      <c r="I386" s="1882" t="s">
        <v>10704</v>
      </c>
      <c r="J386" s="1882" t="s">
        <v>8539</v>
      </c>
      <c r="K386" s="1882"/>
      <c r="L386" s="1882"/>
      <c r="M386" s="1882"/>
      <c r="N386" s="1882" t="s">
        <v>909</v>
      </c>
      <c r="O386" s="1882" t="s">
        <v>732</v>
      </c>
      <c r="P386" s="1882" t="s">
        <v>10420</v>
      </c>
      <c r="Q386" s="520">
        <v>0</v>
      </c>
      <c r="R386" s="1882" t="s">
        <v>8549</v>
      </c>
      <c r="S386" s="1882">
        <v>100</v>
      </c>
      <c r="T386" s="1882">
        <v>100</v>
      </c>
      <c r="U386" s="1882">
        <v>100</v>
      </c>
      <c r="V386" s="1882">
        <v>100</v>
      </c>
      <c r="W386" s="1882">
        <v>100</v>
      </c>
      <c r="X386" s="1882">
        <v>100</v>
      </c>
      <c r="Y386" s="1882"/>
      <c r="Z386" s="1882"/>
      <c r="AA386" s="1882"/>
      <c r="AB386" s="1882"/>
      <c r="AC386" s="1882"/>
      <c r="AD386" s="1882"/>
      <c r="AE386" s="1882" t="s">
        <v>2459</v>
      </c>
      <c r="AF386" s="1882"/>
      <c r="AG386" s="1882"/>
      <c r="AH386" s="1882">
        <v>0</v>
      </c>
      <c r="AI386" s="1882"/>
      <c r="AJ386" s="1882"/>
      <c r="AK386" s="1882"/>
      <c r="AL386" s="1882"/>
      <c r="AM386" s="1882"/>
      <c r="AN386" s="1882"/>
      <c r="AO386" s="1882"/>
      <c r="AP386" s="1882"/>
      <c r="AQ386" s="1882"/>
      <c r="AR386" s="1882"/>
      <c r="AS386" s="1882"/>
      <c r="AT386" s="1882"/>
      <c r="AU386" s="1882"/>
      <c r="AV386" s="1882"/>
      <c r="AW386" s="1882"/>
      <c r="AX386" s="1882"/>
      <c r="AY386" s="1882"/>
      <c r="AZ386" s="1882"/>
      <c r="BA386" s="1882"/>
      <c r="BB386" s="1882"/>
      <c r="BC386" s="1882"/>
      <c r="BD386" s="1882"/>
      <c r="BE386" s="1882"/>
      <c r="BF386" s="1882"/>
      <c r="BG386" s="1882"/>
      <c r="BH386" s="1882"/>
      <c r="BI386" s="1882"/>
      <c r="BJ386" s="1882"/>
      <c r="BK386" s="1882"/>
      <c r="BL386" s="1882"/>
      <c r="BM386" s="1882"/>
      <c r="BN386" s="1882"/>
      <c r="BO386" s="1882"/>
      <c r="BP386" s="520">
        <v>100</v>
      </c>
      <c r="BQ386" s="693">
        <v>100</v>
      </c>
      <c r="BR386" s="1882" t="s">
        <v>2459</v>
      </c>
      <c r="BS386" s="1882" t="s">
        <v>8513</v>
      </c>
      <c r="BT386" s="1882">
        <v>0</v>
      </c>
      <c r="BU386" s="1882" t="s">
        <v>8513</v>
      </c>
      <c r="BV386" s="1882">
        <v>0</v>
      </c>
      <c r="BW386" s="1882">
        <v>100</v>
      </c>
      <c r="BX386" s="1882" t="s">
        <v>2459</v>
      </c>
      <c r="BY386" s="1882">
        <v>0</v>
      </c>
      <c r="BZ386" s="1882">
        <v>0</v>
      </c>
      <c r="CA386" s="1882">
        <v>0</v>
      </c>
      <c r="CB386" s="1882">
        <v>0</v>
      </c>
      <c r="CC386" s="1882">
        <v>100</v>
      </c>
      <c r="CD386" s="1882" t="s">
        <v>2459</v>
      </c>
      <c r="CE386" s="1882">
        <v>0</v>
      </c>
      <c r="CF386" s="1882">
        <v>0</v>
      </c>
      <c r="CG386" s="1882">
        <v>0</v>
      </c>
      <c r="CH386" s="1882">
        <v>0</v>
      </c>
      <c r="CI386" s="1882">
        <v>100</v>
      </c>
      <c r="CJ386" s="1882" t="s">
        <v>2459</v>
      </c>
      <c r="CK386" s="1882">
        <v>0</v>
      </c>
      <c r="CL386" s="1882">
        <v>0</v>
      </c>
      <c r="CM386" s="1882">
        <v>0</v>
      </c>
      <c r="CN386" s="1882">
        <v>0</v>
      </c>
      <c r="CP386" s="1882" t="s">
        <v>10705</v>
      </c>
    </row>
    <row r="387" spans="1:94">
      <c r="A387" s="1882" t="s">
        <v>8379</v>
      </c>
      <c r="B387" s="1882" t="s">
        <v>10706</v>
      </c>
      <c r="C387" s="1882" t="s">
        <v>8352</v>
      </c>
      <c r="D387" s="1882" t="s">
        <v>1627</v>
      </c>
      <c r="E387" s="1882" t="s">
        <v>8720</v>
      </c>
      <c r="F387" s="1882" t="s">
        <v>10570</v>
      </c>
      <c r="G387" s="1882" t="s">
        <v>10707</v>
      </c>
      <c r="H387" s="1882" t="s">
        <v>10708</v>
      </c>
      <c r="I387" s="1882" t="s">
        <v>10709</v>
      </c>
      <c r="J387" s="1882" t="s">
        <v>8539</v>
      </c>
      <c r="K387" s="1882"/>
      <c r="L387" s="1882"/>
      <c r="M387" s="1882"/>
      <c r="N387" s="1882" t="s">
        <v>9592</v>
      </c>
      <c r="O387" s="1882" t="s">
        <v>764</v>
      </c>
      <c r="P387" s="1882" t="s">
        <v>10593</v>
      </c>
      <c r="Q387" s="520">
        <v>0</v>
      </c>
      <c r="R387" s="1882" t="s">
        <v>8549</v>
      </c>
      <c r="S387" s="1882">
        <v>14000</v>
      </c>
      <c r="T387" s="1882">
        <v>15000</v>
      </c>
      <c r="U387" s="1882">
        <v>16000</v>
      </c>
      <c r="V387" s="1882">
        <v>17000</v>
      </c>
      <c r="W387" s="1882">
        <v>18000</v>
      </c>
      <c r="X387" s="1882">
        <v>20000</v>
      </c>
      <c r="Y387" s="1882"/>
      <c r="Z387" s="1882"/>
      <c r="AA387" s="1882"/>
      <c r="AB387" s="1882"/>
      <c r="AC387" s="1882"/>
      <c r="AD387" s="1882"/>
      <c r="AE387" s="1882"/>
      <c r="AF387" s="1882"/>
      <c r="AG387" s="1882"/>
      <c r="AH387" s="1882">
        <v>0</v>
      </c>
      <c r="AI387" s="1882"/>
      <c r="AJ387" s="1882"/>
      <c r="AK387" s="1882"/>
      <c r="AL387" s="1882"/>
      <c r="AM387" s="1882"/>
      <c r="AN387" s="1882"/>
      <c r="AO387" s="1882"/>
      <c r="AP387" s="1882"/>
      <c r="AQ387" s="1882"/>
      <c r="AR387" s="1882"/>
      <c r="AS387" s="1882"/>
      <c r="AT387" s="1882"/>
      <c r="AU387" s="1882"/>
      <c r="AV387" s="1882"/>
      <c r="AW387" s="1882"/>
      <c r="AX387" s="1882"/>
      <c r="AY387" s="1882"/>
      <c r="AZ387" s="1882"/>
      <c r="BA387" s="1882"/>
      <c r="BB387" s="1882"/>
      <c r="BC387" s="1882"/>
      <c r="BD387" s="1882"/>
      <c r="BE387" s="1882"/>
      <c r="BF387" s="1882"/>
      <c r="BG387" s="1882"/>
      <c r="BH387" s="1882"/>
      <c r="BI387" s="1882"/>
      <c r="BJ387" s="1882"/>
      <c r="BK387" s="1882"/>
      <c r="BL387" s="1882"/>
      <c r="BM387" s="1882"/>
      <c r="BN387" s="1882"/>
      <c r="BO387" s="1882"/>
      <c r="BP387" s="520" t="s">
        <v>8697</v>
      </c>
      <c r="BQ387" s="693">
        <v>17491</v>
      </c>
      <c r="BR387" s="1882" t="s">
        <v>2459</v>
      </c>
      <c r="BS387" s="1882" t="s">
        <v>8513</v>
      </c>
      <c r="BT387" s="1882">
        <v>0</v>
      </c>
      <c r="BU387" s="1882" t="s">
        <v>8513</v>
      </c>
      <c r="BV387" s="1882">
        <v>0</v>
      </c>
      <c r="BW387" s="1882">
        <v>20898</v>
      </c>
      <c r="BX387" s="1882" t="s">
        <v>2459</v>
      </c>
      <c r="BY387" s="1882">
        <v>0</v>
      </c>
      <c r="BZ387" s="1882">
        <v>0</v>
      </c>
      <c r="CA387" s="1882">
        <v>0</v>
      </c>
      <c r="CB387" s="1882">
        <v>0</v>
      </c>
      <c r="CC387" s="1882">
        <v>21341</v>
      </c>
      <c r="CD387" s="1882" t="s">
        <v>2459</v>
      </c>
      <c r="CE387" s="1882">
        <v>0</v>
      </c>
      <c r="CF387" s="1882">
        <v>0</v>
      </c>
      <c r="CG387" s="1882">
        <v>0</v>
      </c>
      <c r="CH387" s="1882">
        <v>0</v>
      </c>
      <c r="CI387" s="1882">
        <v>24897</v>
      </c>
      <c r="CJ387" s="1882" t="s">
        <v>2459</v>
      </c>
      <c r="CK387" s="1882">
        <v>0</v>
      </c>
      <c r="CL387" s="1882">
        <v>0</v>
      </c>
      <c r="CM387" s="1882">
        <v>0</v>
      </c>
      <c r="CN387" s="1882">
        <v>0</v>
      </c>
      <c r="CP387" s="1882" t="s">
        <v>10710</v>
      </c>
    </row>
    <row r="388" spans="1:94">
      <c r="A388" s="1882" t="s">
        <v>8379</v>
      </c>
      <c r="B388" s="1882" t="s">
        <v>10711</v>
      </c>
      <c r="C388" s="1882" t="s">
        <v>8352</v>
      </c>
      <c r="D388" s="1882" t="s">
        <v>1627</v>
      </c>
      <c r="E388" s="1882" t="s">
        <v>8720</v>
      </c>
      <c r="F388" s="1882" t="s">
        <v>10570</v>
      </c>
      <c r="G388" s="1882" t="s">
        <v>10712</v>
      </c>
      <c r="H388" s="1882" t="s">
        <v>10713</v>
      </c>
      <c r="I388" s="1882" t="s">
        <v>10714</v>
      </c>
      <c r="J388" s="1882" t="s">
        <v>8508</v>
      </c>
      <c r="K388" s="1882" t="s">
        <v>8509</v>
      </c>
      <c r="L388" s="1882"/>
      <c r="M388" s="1882" t="s">
        <v>2460</v>
      </c>
      <c r="N388" s="1882" t="s">
        <v>9862</v>
      </c>
      <c r="O388" s="1882" t="s">
        <v>764</v>
      </c>
      <c r="P388" s="1882" t="s">
        <v>10715</v>
      </c>
      <c r="Q388" s="520">
        <v>0</v>
      </c>
      <c r="R388" s="1882" t="s">
        <v>8549</v>
      </c>
      <c r="S388" s="1882">
        <v>14311</v>
      </c>
      <c r="T388" s="1882">
        <v>0</v>
      </c>
      <c r="U388" s="1882">
        <v>793</v>
      </c>
      <c r="V388" s="1882">
        <v>1771</v>
      </c>
      <c r="W388" s="1882">
        <v>6593</v>
      </c>
      <c r="X388" s="1882">
        <v>6593</v>
      </c>
      <c r="Y388" s="1882"/>
      <c r="Z388" s="1882"/>
      <c r="AA388" s="1882"/>
      <c r="AB388" s="1882"/>
      <c r="AC388" s="1882"/>
      <c r="AD388" s="1882"/>
      <c r="AE388" s="1882"/>
      <c r="AF388" s="1882"/>
      <c r="AG388" s="1882"/>
      <c r="AH388" s="1882">
        <v>0</v>
      </c>
      <c r="AI388" s="1882" t="s">
        <v>2459</v>
      </c>
      <c r="AJ388" s="1882" t="s">
        <v>2459</v>
      </c>
      <c r="AK388" s="1882" t="s">
        <v>2459</v>
      </c>
      <c r="AL388" s="1882" t="s">
        <v>2459</v>
      </c>
      <c r="AM388" s="1882" t="s">
        <v>2459</v>
      </c>
      <c r="AN388" s="1882">
        <v>0</v>
      </c>
      <c r="AO388" s="1882">
        <v>0</v>
      </c>
      <c r="AP388" s="1882">
        <v>0</v>
      </c>
      <c r="AQ388" s="1882">
        <v>0</v>
      </c>
      <c r="AR388" s="1882">
        <v>3874</v>
      </c>
      <c r="AS388" s="1882">
        <v>0</v>
      </c>
      <c r="AT388" s="1882">
        <v>793</v>
      </c>
      <c r="AU388" s="1882">
        <v>1771</v>
      </c>
      <c r="AV388" s="1882">
        <v>6593</v>
      </c>
      <c r="AW388" s="1882">
        <v>6593</v>
      </c>
      <c r="AX388" s="1882">
        <v>0</v>
      </c>
      <c r="AY388" s="1882">
        <v>793</v>
      </c>
      <c r="AZ388" s="1882">
        <v>1771</v>
      </c>
      <c r="BA388" s="1882">
        <v>6593</v>
      </c>
      <c r="BB388" s="1882">
        <v>6593</v>
      </c>
      <c r="BC388" s="1882">
        <v>0</v>
      </c>
      <c r="BD388" s="1882">
        <v>5807</v>
      </c>
      <c r="BE388" s="1882">
        <v>11800</v>
      </c>
      <c r="BF388" s="1882">
        <v>13636</v>
      </c>
      <c r="BG388" s="1882">
        <v>18650</v>
      </c>
      <c r="BH388" s="1882">
        <v>2.7E-4</v>
      </c>
      <c r="BI388" s="1882"/>
      <c r="BJ388" s="1882"/>
      <c r="BK388" s="1882"/>
      <c r="BL388" s="1882">
        <v>2.2000000000000001E-4</v>
      </c>
      <c r="BM388" s="1882"/>
      <c r="BN388" s="1882">
        <v>1</v>
      </c>
      <c r="BO388" s="1882" t="s">
        <v>8512</v>
      </c>
      <c r="BP388" s="520" t="s">
        <v>8697</v>
      </c>
      <c r="BQ388" s="693">
        <v>0</v>
      </c>
      <c r="BR388" s="1882" t="s">
        <v>2459</v>
      </c>
      <c r="BS388" s="1882" t="s">
        <v>8513</v>
      </c>
      <c r="BT388" s="1882">
        <v>0</v>
      </c>
      <c r="BU388" s="1882" t="s">
        <v>8513</v>
      </c>
      <c r="BV388" s="1882">
        <v>0</v>
      </c>
      <c r="BW388" s="1882">
        <v>1305</v>
      </c>
      <c r="BX388" s="1882" t="s">
        <v>2459</v>
      </c>
      <c r="BY388" s="1882">
        <v>0</v>
      </c>
      <c r="BZ388" s="1882">
        <v>0</v>
      </c>
      <c r="CA388" s="1882" t="s">
        <v>8376</v>
      </c>
      <c r="CB388" s="1882">
        <v>0.11260000000000001</v>
      </c>
      <c r="CC388" s="1882">
        <v>1980</v>
      </c>
      <c r="CD388" s="1882" t="s">
        <v>2459</v>
      </c>
      <c r="CE388" s="1882">
        <v>0</v>
      </c>
      <c r="CF388" s="1882">
        <v>0</v>
      </c>
      <c r="CG388" s="1882" t="s">
        <v>8376</v>
      </c>
      <c r="CH388" s="1882">
        <v>4.5999999999999999E-2</v>
      </c>
      <c r="CI388" s="1882">
        <v>8931</v>
      </c>
      <c r="CJ388" s="1882" t="s">
        <v>2459</v>
      </c>
      <c r="CK388" s="1882">
        <v>0</v>
      </c>
      <c r="CL388" s="1882">
        <v>0</v>
      </c>
      <c r="CM388" s="1882" t="s">
        <v>8376</v>
      </c>
      <c r="CN388" s="1882">
        <v>0.51436000000000004</v>
      </c>
      <c r="CP388" s="1882" t="s">
        <v>10716</v>
      </c>
    </row>
    <row r="389" spans="1:94">
      <c r="A389" s="1882" t="s">
        <v>8379</v>
      </c>
      <c r="B389" s="1882" t="s">
        <v>10717</v>
      </c>
      <c r="C389" s="1882" t="s">
        <v>8352</v>
      </c>
      <c r="D389" s="1882" t="s">
        <v>1627</v>
      </c>
      <c r="E389" s="1882" t="s">
        <v>8720</v>
      </c>
      <c r="F389" s="1882" t="s">
        <v>10570</v>
      </c>
      <c r="G389" s="1882" t="s">
        <v>10718</v>
      </c>
      <c r="H389" s="1882" t="s">
        <v>10719</v>
      </c>
      <c r="I389" s="1882" t="s">
        <v>10720</v>
      </c>
      <c r="J389" s="1882" t="s">
        <v>8519</v>
      </c>
      <c r="K389" s="1882" t="s">
        <v>8855</v>
      </c>
      <c r="L389" s="1882"/>
      <c r="M389" s="1882" t="s">
        <v>2460</v>
      </c>
      <c r="N389" s="1882" t="s">
        <v>8673</v>
      </c>
      <c r="O389" s="1882" t="s">
        <v>732</v>
      </c>
      <c r="P389" s="1882" t="s">
        <v>10599</v>
      </c>
      <c r="Q389" s="520">
        <v>0</v>
      </c>
      <c r="R389" s="1882" t="s">
        <v>8549</v>
      </c>
      <c r="S389" s="1882" t="s">
        <v>3504</v>
      </c>
      <c r="T389" s="1882"/>
      <c r="U389" s="1882"/>
      <c r="V389" s="1882"/>
      <c r="W389" s="1882"/>
      <c r="X389" s="1882">
        <v>100</v>
      </c>
      <c r="Y389" s="1882"/>
      <c r="Z389" s="1882"/>
      <c r="AA389" s="1882"/>
      <c r="AB389" s="1882"/>
      <c r="AC389" s="1882"/>
      <c r="AD389" s="1882" t="s">
        <v>2459</v>
      </c>
      <c r="AE389" s="1882"/>
      <c r="AF389" s="1882" t="s">
        <v>2459</v>
      </c>
      <c r="AG389" s="1882"/>
      <c r="AH389" s="1882">
        <v>0</v>
      </c>
      <c r="AI389" s="1882"/>
      <c r="AJ389" s="1882"/>
      <c r="AK389" s="1882"/>
      <c r="AL389" s="1882"/>
      <c r="AM389" s="1882" t="s">
        <v>2459</v>
      </c>
      <c r="AN389" s="1882"/>
      <c r="AO389" s="1882"/>
      <c r="AP389" s="1882"/>
      <c r="AQ389" s="1882"/>
      <c r="AR389" s="1882" t="s">
        <v>10721</v>
      </c>
      <c r="AS389" s="1882"/>
      <c r="AT389" s="1882"/>
      <c r="AU389" s="1882"/>
      <c r="AV389" s="1882"/>
      <c r="AW389" s="1882">
        <v>100</v>
      </c>
      <c r="AX389" s="1882"/>
      <c r="AY389" s="1882"/>
      <c r="AZ389" s="1882"/>
      <c r="BA389" s="1882"/>
      <c r="BB389" s="1882"/>
      <c r="BC389" s="1882"/>
      <c r="BD389" s="1882"/>
      <c r="BE389" s="1882"/>
      <c r="BF389" s="1882"/>
      <c r="BG389" s="1882"/>
      <c r="BH389" s="1882">
        <v>0.40400000000000003</v>
      </c>
      <c r="BI389" s="1882"/>
      <c r="BJ389" s="1882"/>
      <c r="BK389" s="1882"/>
      <c r="BL389" s="1882"/>
      <c r="BM389" s="1882"/>
      <c r="BN389" s="1882">
        <v>1</v>
      </c>
      <c r="BO389" s="1882" t="s">
        <v>8512</v>
      </c>
      <c r="BP389" s="520" t="s">
        <v>8697</v>
      </c>
      <c r="BQ389" s="693">
        <v>0</v>
      </c>
      <c r="BR389" s="1882" t="s">
        <v>8513</v>
      </c>
      <c r="BS389" s="1882" t="s">
        <v>8513</v>
      </c>
      <c r="BT389" s="1882">
        <v>0</v>
      </c>
      <c r="BU389" s="1882" t="s">
        <v>8513</v>
      </c>
      <c r="BV389" s="1882">
        <v>0</v>
      </c>
      <c r="BW389" s="1882">
        <v>0</v>
      </c>
      <c r="BX389" s="1882" t="s">
        <v>2451</v>
      </c>
      <c r="BY389" s="1882">
        <v>0</v>
      </c>
      <c r="BZ389" s="1882">
        <v>0</v>
      </c>
      <c r="CA389" s="1882">
        <v>0</v>
      </c>
      <c r="CB389" s="1882">
        <v>0</v>
      </c>
      <c r="CC389" s="1882" t="s">
        <v>8697</v>
      </c>
      <c r="CD389" s="1882" t="s">
        <v>2451</v>
      </c>
      <c r="CE389" s="1882">
        <v>0</v>
      </c>
      <c r="CF389" s="1882">
        <v>0</v>
      </c>
      <c r="CG389" s="1882">
        <v>0</v>
      </c>
      <c r="CH389" s="1882">
        <v>0</v>
      </c>
      <c r="CI389" s="1882" t="s">
        <v>8697</v>
      </c>
      <c r="CJ389" s="1882" t="s">
        <v>2451</v>
      </c>
      <c r="CK389" s="1882">
        <v>0</v>
      </c>
      <c r="CL389" s="1882">
        <v>0</v>
      </c>
      <c r="CM389" s="1882">
        <v>0</v>
      </c>
      <c r="CN389" s="1882">
        <v>0</v>
      </c>
      <c r="CP389" s="1882" t="s">
        <v>10722</v>
      </c>
    </row>
    <row r="390" spans="1:94">
      <c r="A390" s="1882" t="s">
        <v>8379</v>
      </c>
      <c r="B390" s="1882" t="s">
        <v>10723</v>
      </c>
      <c r="C390" s="1882" t="s">
        <v>8352</v>
      </c>
      <c r="D390" s="1882" t="s">
        <v>1627</v>
      </c>
      <c r="E390" s="1882" t="s">
        <v>8720</v>
      </c>
      <c r="F390" s="1882" t="s">
        <v>10570</v>
      </c>
      <c r="G390" s="1882" t="s">
        <v>10724</v>
      </c>
      <c r="H390" s="1882" t="s">
        <v>10725</v>
      </c>
      <c r="I390" s="1882" t="s">
        <v>10726</v>
      </c>
      <c r="J390" s="1882" t="s">
        <v>8508</v>
      </c>
      <c r="K390" s="1882" t="s">
        <v>8855</v>
      </c>
      <c r="L390" s="1882"/>
      <c r="M390" s="1882" t="s">
        <v>2460</v>
      </c>
      <c r="N390" s="1882" t="s">
        <v>8673</v>
      </c>
      <c r="O390" s="1882" t="s">
        <v>764</v>
      </c>
      <c r="P390" s="1882" t="s">
        <v>10727</v>
      </c>
      <c r="Q390" s="520">
        <v>1</v>
      </c>
      <c r="R390" s="1882" t="s">
        <v>8549</v>
      </c>
      <c r="S390" s="1882" t="s">
        <v>3504</v>
      </c>
      <c r="T390" s="1882"/>
      <c r="U390" s="1882"/>
      <c r="V390" s="1882"/>
      <c r="W390" s="1882"/>
      <c r="X390" s="1882">
        <v>151.80000000000001</v>
      </c>
      <c r="Y390" s="1882"/>
      <c r="Z390" s="1882"/>
      <c r="AA390" s="1882"/>
      <c r="AB390" s="1882"/>
      <c r="AC390" s="1882"/>
      <c r="AD390" s="1882" t="s">
        <v>2459</v>
      </c>
      <c r="AE390" s="1882"/>
      <c r="AF390" s="1882" t="s">
        <v>2459</v>
      </c>
      <c r="AG390" s="1882"/>
      <c r="AH390" s="1882">
        <v>0</v>
      </c>
      <c r="AI390" s="1882"/>
      <c r="AJ390" s="1882"/>
      <c r="AK390" s="1882"/>
      <c r="AL390" s="1882"/>
      <c r="AM390" s="1882" t="s">
        <v>2459</v>
      </c>
      <c r="AN390" s="1882"/>
      <c r="AO390" s="1882"/>
      <c r="AP390" s="1882"/>
      <c r="AQ390" s="1882"/>
      <c r="AR390" s="1882">
        <v>0</v>
      </c>
      <c r="AS390" s="1882"/>
      <c r="AT390" s="1882"/>
      <c r="AU390" s="1882"/>
      <c r="AV390" s="1882"/>
      <c r="AW390" s="1882">
        <v>151.80000000000001</v>
      </c>
      <c r="AX390" s="1882"/>
      <c r="AY390" s="1882"/>
      <c r="AZ390" s="1882"/>
      <c r="BA390" s="1882"/>
      <c r="BB390" s="1882">
        <v>151.80000000000001</v>
      </c>
      <c r="BC390" s="1882"/>
      <c r="BD390" s="1882"/>
      <c r="BE390" s="1882"/>
      <c r="BF390" s="1882"/>
      <c r="BG390" s="1882">
        <v>199</v>
      </c>
      <c r="BH390" s="1882" t="s">
        <v>9751</v>
      </c>
      <c r="BI390" s="1882"/>
      <c r="BJ390" s="1882"/>
      <c r="BK390" s="1882"/>
      <c r="BL390" s="1882" t="s">
        <v>9751</v>
      </c>
      <c r="BM390" s="1882"/>
      <c r="BN390" s="1882">
        <v>1</v>
      </c>
      <c r="BO390" s="1882" t="s">
        <v>8512</v>
      </c>
      <c r="BP390" s="520" t="s">
        <v>8697</v>
      </c>
      <c r="BQ390" s="690">
        <v>0</v>
      </c>
      <c r="BR390" s="1882" t="s">
        <v>8513</v>
      </c>
      <c r="BS390" s="1882" t="s">
        <v>8513</v>
      </c>
      <c r="BT390" s="1882">
        <v>0</v>
      </c>
      <c r="BU390" s="1882" t="s">
        <v>8513</v>
      </c>
      <c r="BV390" s="1882">
        <v>0</v>
      </c>
      <c r="BW390" s="1882">
        <v>0</v>
      </c>
      <c r="BX390" s="1882" t="s">
        <v>2451</v>
      </c>
      <c r="BY390" s="1882">
        <v>0</v>
      </c>
      <c r="BZ390" s="1882">
        <v>0</v>
      </c>
      <c r="CA390" s="1882">
        <v>0</v>
      </c>
      <c r="CB390" s="1882">
        <v>0</v>
      </c>
      <c r="CC390" s="1882">
        <v>0</v>
      </c>
      <c r="CD390" s="1882" t="s">
        <v>2451</v>
      </c>
      <c r="CE390" s="1882">
        <v>0</v>
      </c>
      <c r="CF390" s="1882">
        <v>0</v>
      </c>
      <c r="CG390" s="1882">
        <v>0</v>
      </c>
      <c r="CH390" s="1882">
        <v>0</v>
      </c>
      <c r="CI390" s="1882">
        <v>0</v>
      </c>
      <c r="CJ390" s="1882" t="s">
        <v>2451</v>
      </c>
      <c r="CK390" s="1882">
        <v>0</v>
      </c>
      <c r="CL390" s="1882">
        <v>0</v>
      </c>
      <c r="CM390" s="1882">
        <v>0</v>
      </c>
      <c r="CN390" s="1882">
        <v>0</v>
      </c>
      <c r="CP390" s="1882" t="s">
        <v>10728</v>
      </c>
    </row>
    <row r="391" spans="1:94">
      <c r="A391" s="1882" t="s">
        <v>8379</v>
      </c>
      <c r="B391" s="1882" t="s">
        <v>10729</v>
      </c>
      <c r="C391" s="1882" t="s">
        <v>8352</v>
      </c>
      <c r="D391" s="1882" t="s">
        <v>1627</v>
      </c>
      <c r="E391" s="1882" t="s">
        <v>8720</v>
      </c>
      <c r="F391" s="1882" t="s">
        <v>10602</v>
      </c>
      <c r="G391" s="1882" t="s">
        <v>10730</v>
      </c>
      <c r="H391" s="1882" t="s">
        <v>10731</v>
      </c>
      <c r="I391" s="1882" t="s">
        <v>10732</v>
      </c>
      <c r="J391" s="1882" t="s">
        <v>8539</v>
      </c>
      <c r="K391" s="1882"/>
      <c r="L391" s="1882"/>
      <c r="M391" s="1882"/>
      <c r="N391" s="1882" t="s">
        <v>8681</v>
      </c>
      <c r="O391" s="1882" t="s">
        <v>764</v>
      </c>
      <c r="P391" s="1882" t="s">
        <v>10606</v>
      </c>
      <c r="Q391" s="520">
        <v>0</v>
      </c>
      <c r="R391" s="1882" t="s">
        <v>8511</v>
      </c>
      <c r="S391" s="1882">
        <v>457</v>
      </c>
      <c r="T391" s="1882">
        <v>428</v>
      </c>
      <c r="U391" s="1882">
        <v>392</v>
      </c>
      <c r="V391" s="1882">
        <v>329</v>
      </c>
      <c r="W391" s="1882">
        <v>303</v>
      </c>
      <c r="X391" s="1882">
        <v>295</v>
      </c>
      <c r="Y391" s="1882"/>
      <c r="Z391" s="1882"/>
      <c r="AA391" s="1882"/>
      <c r="AB391" s="1882"/>
      <c r="AC391" s="1882"/>
      <c r="AD391" s="1882"/>
      <c r="AE391" s="1882"/>
      <c r="AF391" s="1882"/>
      <c r="AG391" s="1882"/>
      <c r="AH391" s="1882">
        <v>0</v>
      </c>
      <c r="AI391" s="1882"/>
      <c r="AJ391" s="1882"/>
      <c r="AK391" s="1882"/>
      <c r="AL391" s="1882"/>
      <c r="AM391" s="1882"/>
      <c r="AN391" s="1882"/>
      <c r="AO391" s="1882"/>
      <c r="AP391" s="1882"/>
      <c r="AQ391" s="1882"/>
      <c r="AR391" s="1882"/>
      <c r="AS391" s="1882"/>
      <c r="AT391" s="1882"/>
      <c r="AU391" s="1882"/>
      <c r="AV391" s="1882"/>
      <c r="AW391" s="1882"/>
      <c r="AX391" s="1882"/>
      <c r="AY391" s="1882"/>
      <c r="AZ391" s="1882"/>
      <c r="BA391" s="1882"/>
      <c r="BB391" s="1882"/>
      <c r="BC391" s="1882"/>
      <c r="BD391" s="1882"/>
      <c r="BE391" s="1882"/>
      <c r="BF391" s="1882"/>
      <c r="BG391" s="1882"/>
      <c r="BH391" s="1882"/>
      <c r="BI391" s="1882"/>
      <c r="BJ391" s="1882"/>
      <c r="BK391" s="1882"/>
      <c r="BL391" s="1882"/>
      <c r="BM391" s="1882"/>
      <c r="BN391" s="1882"/>
      <c r="BO391" s="1882"/>
      <c r="BP391" s="520" t="s">
        <v>8697</v>
      </c>
      <c r="BQ391" s="693">
        <v>532.63699999999994</v>
      </c>
      <c r="BR391" s="1882" t="s">
        <v>2460</v>
      </c>
      <c r="BS391" s="1882" t="s">
        <v>8513</v>
      </c>
      <c r="BT391" s="1882">
        <v>0</v>
      </c>
      <c r="BU391" s="1882" t="s">
        <v>8513</v>
      </c>
      <c r="BV391" s="1882">
        <v>0</v>
      </c>
      <c r="BW391" s="1882">
        <v>476.5</v>
      </c>
      <c r="BX391" s="1882" t="s">
        <v>2460</v>
      </c>
      <c r="BY391" s="1882">
        <v>0</v>
      </c>
      <c r="BZ391" s="1882">
        <v>0</v>
      </c>
      <c r="CA391" s="1882">
        <v>0</v>
      </c>
      <c r="CB391" s="1882">
        <v>0</v>
      </c>
      <c r="CC391" s="1882">
        <v>431</v>
      </c>
      <c r="CD391" s="1882" t="s">
        <v>2460</v>
      </c>
      <c r="CE391" s="1882">
        <v>0</v>
      </c>
      <c r="CF391" s="1882">
        <v>0</v>
      </c>
      <c r="CG391" s="1882">
        <v>0</v>
      </c>
      <c r="CH391" s="1882">
        <v>0</v>
      </c>
      <c r="CI391" s="1882">
        <v>396</v>
      </c>
      <c r="CJ391" s="1882" t="s">
        <v>2460</v>
      </c>
      <c r="CK391" s="1882">
        <v>0</v>
      </c>
      <c r="CL391" s="1882">
        <v>0</v>
      </c>
      <c r="CM391" s="1882">
        <v>0</v>
      </c>
      <c r="CN391" s="1882">
        <v>0</v>
      </c>
      <c r="CP391" s="1882" t="s">
        <v>10733</v>
      </c>
    </row>
    <row r="392" spans="1:94">
      <c r="A392" s="1882" t="s">
        <v>8379</v>
      </c>
      <c r="B392" s="1882" t="s">
        <v>10734</v>
      </c>
      <c r="C392" s="1882" t="s">
        <v>8352</v>
      </c>
      <c r="D392" s="1882" t="s">
        <v>10735</v>
      </c>
      <c r="E392" s="1882" t="s">
        <v>911</v>
      </c>
      <c r="F392" s="1882" t="s">
        <v>10736</v>
      </c>
      <c r="G392" s="1882" t="s">
        <v>10737</v>
      </c>
      <c r="H392" s="1882" t="s">
        <v>10738</v>
      </c>
      <c r="I392" s="1882" t="s">
        <v>10739</v>
      </c>
      <c r="J392" s="1882" t="s">
        <v>8539</v>
      </c>
      <c r="K392" s="1882"/>
      <c r="L392" s="1882"/>
      <c r="M392" s="1882"/>
      <c r="N392" s="1882" t="s">
        <v>8673</v>
      </c>
      <c r="O392" s="1882" t="s">
        <v>8797</v>
      </c>
      <c r="P392" s="1882" t="s">
        <v>10740</v>
      </c>
      <c r="Q392" s="520" t="s">
        <v>8512</v>
      </c>
      <c r="R392" s="1882"/>
      <c r="S392" s="1882"/>
      <c r="T392" s="1882" t="s">
        <v>10741</v>
      </c>
      <c r="U392" s="1882"/>
      <c r="V392" s="1882"/>
      <c r="W392" s="1882"/>
      <c r="X392" s="1882"/>
      <c r="Y392" s="1882"/>
      <c r="Z392" s="1882"/>
      <c r="AA392" s="1882"/>
      <c r="AB392" s="1882"/>
      <c r="AC392" s="1882"/>
      <c r="AD392" s="1882" t="s">
        <v>2459</v>
      </c>
      <c r="AE392" s="1882"/>
      <c r="AF392" s="1882" t="s">
        <v>2459</v>
      </c>
      <c r="AG392" s="1882"/>
      <c r="AH392" s="1882">
        <v>0</v>
      </c>
      <c r="AI392" s="1882"/>
      <c r="AJ392" s="1882"/>
      <c r="AK392" s="1882"/>
      <c r="AL392" s="1882"/>
      <c r="AM392" s="1882"/>
      <c r="AN392" s="1882"/>
      <c r="AO392" s="1882"/>
      <c r="AP392" s="1882"/>
      <c r="AQ392" s="1882"/>
      <c r="AR392" s="1882"/>
      <c r="AS392" s="1882"/>
      <c r="AT392" s="1882"/>
      <c r="AU392" s="1882"/>
      <c r="AV392" s="1882"/>
      <c r="AW392" s="1882"/>
      <c r="AX392" s="1882"/>
      <c r="AY392" s="1882"/>
      <c r="AZ392" s="1882"/>
      <c r="BA392" s="1882"/>
      <c r="BB392" s="1882"/>
      <c r="BC392" s="1882"/>
      <c r="BD392" s="1882"/>
      <c r="BE392" s="1882"/>
      <c r="BF392" s="1882"/>
      <c r="BG392" s="1882"/>
      <c r="BH392" s="1882"/>
      <c r="BI392" s="1882"/>
      <c r="BJ392" s="1882"/>
      <c r="BK392" s="1882"/>
      <c r="BL392" s="1882"/>
      <c r="BM392" s="1882"/>
      <c r="BN392" s="1882"/>
      <c r="BO392" s="1882"/>
      <c r="BP392" s="520" t="s">
        <v>8697</v>
      </c>
      <c r="BQ392" s="692" t="s">
        <v>8992</v>
      </c>
      <c r="BR392" s="1882" t="s">
        <v>2459</v>
      </c>
      <c r="BS392" s="1882" t="s">
        <v>8513</v>
      </c>
      <c r="BT392" s="1882">
        <v>0</v>
      </c>
      <c r="BU392" s="1882" t="s">
        <v>8513</v>
      </c>
      <c r="BV392" s="1882">
        <v>0</v>
      </c>
      <c r="BW392" s="1882" t="s">
        <v>10742</v>
      </c>
      <c r="BX392" s="1882" t="s">
        <v>2451</v>
      </c>
      <c r="BY392" s="1882">
        <v>0</v>
      </c>
      <c r="BZ392" s="1882">
        <v>0</v>
      </c>
      <c r="CA392" s="1882">
        <v>0</v>
      </c>
      <c r="CB392" s="1882">
        <v>0</v>
      </c>
      <c r="CC392" s="1882" t="s">
        <v>10670</v>
      </c>
      <c r="CD392" s="1882" t="s">
        <v>2459</v>
      </c>
      <c r="CE392" s="1882">
        <v>0</v>
      </c>
      <c r="CF392" s="1882">
        <v>0</v>
      </c>
      <c r="CG392" s="1882">
        <v>0</v>
      </c>
      <c r="CH392" s="1882">
        <v>0</v>
      </c>
      <c r="CI392" s="1882" t="s">
        <v>10670</v>
      </c>
      <c r="CJ392" s="1882" t="s">
        <v>2451</v>
      </c>
      <c r="CK392" s="1882">
        <v>0</v>
      </c>
      <c r="CL392" s="1882">
        <v>0</v>
      </c>
      <c r="CM392" s="1882">
        <v>0</v>
      </c>
      <c r="CN392" s="1882">
        <v>0</v>
      </c>
      <c r="CP392" s="1882" t="s">
        <v>10743</v>
      </c>
    </row>
    <row r="393" spans="1:94">
      <c r="A393" s="1882" t="s">
        <v>8379</v>
      </c>
      <c r="B393" s="1882" t="s">
        <v>10744</v>
      </c>
      <c r="C393" s="1882" t="s">
        <v>8352</v>
      </c>
      <c r="D393" s="1882" t="s">
        <v>10735</v>
      </c>
      <c r="E393" s="1882" t="s">
        <v>911</v>
      </c>
      <c r="F393" s="1882" t="s">
        <v>10736</v>
      </c>
      <c r="G393" s="1882" t="s">
        <v>10745</v>
      </c>
      <c r="H393" s="1882" t="s">
        <v>10746</v>
      </c>
      <c r="I393" s="1882" t="s">
        <v>10747</v>
      </c>
      <c r="J393" s="1882" t="s">
        <v>8539</v>
      </c>
      <c r="K393" s="1882"/>
      <c r="L393" s="1882"/>
      <c r="M393" s="1882"/>
      <c r="N393" s="1882" t="s">
        <v>8673</v>
      </c>
      <c r="O393" s="1882" t="s">
        <v>8797</v>
      </c>
      <c r="P393" s="1882" t="s">
        <v>10748</v>
      </c>
      <c r="Q393" s="520" t="s">
        <v>8512</v>
      </c>
      <c r="R393" s="1882"/>
      <c r="S393" s="1882"/>
      <c r="T393" s="1882" t="s">
        <v>10749</v>
      </c>
      <c r="U393" s="1882" t="s">
        <v>10749</v>
      </c>
      <c r="V393" s="1882" t="s">
        <v>10749</v>
      </c>
      <c r="W393" s="1882" t="s">
        <v>10749</v>
      </c>
      <c r="X393" s="1882" t="s">
        <v>10749</v>
      </c>
      <c r="Y393" s="1882"/>
      <c r="Z393" s="1882"/>
      <c r="AA393" s="1882"/>
      <c r="AB393" s="1882"/>
      <c r="AC393" s="1882"/>
      <c r="AD393" s="1882" t="s">
        <v>2459</v>
      </c>
      <c r="AE393" s="1882"/>
      <c r="AF393" s="1882" t="s">
        <v>2459</v>
      </c>
      <c r="AG393" s="1882"/>
      <c r="AH393" s="1882">
        <v>0</v>
      </c>
      <c r="AI393" s="1882"/>
      <c r="AJ393" s="1882"/>
      <c r="AK393" s="1882"/>
      <c r="AL393" s="1882"/>
      <c r="AM393" s="1882"/>
      <c r="AN393" s="1882"/>
      <c r="AO393" s="1882"/>
      <c r="AP393" s="1882"/>
      <c r="AQ393" s="1882"/>
      <c r="AR393" s="1882"/>
      <c r="AS393" s="1882"/>
      <c r="AT393" s="1882"/>
      <c r="AU393" s="1882"/>
      <c r="AV393" s="1882"/>
      <c r="AW393" s="1882"/>
      <c r="AX393" s="1882"/>
      <c r="AY393" s="1882"/>
      <c r="AZ393" s="1882"/>
      <c r="BA393" s="1882"/>
      <c r="BB393" s="1882"/>
      <c r="BC393" s="1882"/>
      <c r="BD393" s="1882"/>
      <c r="BE393" s="1882"/>
      <c r="BF393" s="1882"/>
      <c r="BG393" s="1882"/>
      <c r="BH393" s="1882"/>
      <c r="BI393" s="1882"/>
      <c r="BJ393" s="1882"/>
      <c r="BK393" s="1882"/>
      <c r="BL393" s="1882"/>
      <c r="BM393" s="1882"/>
      <c r="BN393" s="1882"/>
      <c r="BO393" s="1882"/>
      <c r="BP393" s="520" t="s">
        <v>8697</v>
      </c>
      <c r="BQ393" s="692">
        <v>13</v>
      </c>
      <c r="BR393" s="1882" t="s">
        <v>2459</v>
      </c>
      <c r="BS393" s="1882" t="s">
        <v>8513</v>
      </c>
      <c r="BT393" s="1882">
        <v>0</v>
      </c>
      <c r="BU393" s="1882" t="s">
        <v>8513</v>
      </c>
      <c r="BV393" s="1882">
        <v>0</v>
      </c>
      <c r="BW393" s="1882" t="s">
        <v>10750</v>
      </c>
      <c r="BX393" s="1882" t="s">
        <v>2459</v>
      </c>
      <c r="BY393" s="1882">
        <v>0</v>
      </c>
      <c r="BZ393" s="1882">
        <v>0</v>
      </c>
      <c r="CA393" s="1882">
        <v>0</v>
      </c>
      <c r="CB393" s="1882">
        <v>0</v>
      </c>
      <c r="CC393" s="1882">
        <v>13</v>
      </c>
      <c r="CD393" s="1882" t="s">
        <v>2459</v>
      </c>
      <c r="CE393" s="1882">
        <v>0</v>
      </c>
      <c r="CF393" s="1882">
        <v>0</v>
      </c>
      <c r="CG393" s="1882">
        <v>0</v>
      </c>
      <c r="CH393" s="1882">
        <v>0</v>
      </c>
      <c r="CI393" s="1882">
        <v>3</v>
      </c>
      <c r="CJ393" s="1882" t="s">
        <v>2459</v>
      </c>
      <c r="CK393" s="1882">
        <v>0</v>
      </c>
      <c r="CL393" s="1882">
        <v>0</v>
      </c>
      <c r="CM393" s="1882">
        <v>0</v>
      </c>
      <c r="CN393" s="1882">
        <v>0</v>
      </c>
      <c r="CP393" s="1882" t="s">
        <v>10751</v>
      </c>
    </row>
    <row r="394" spans="1:94">
      <c r="A394" s="1882" t="s">
        <v>8379</v>
      </c>
      <c r="B394" s="1882" t="s">
        <v>10752</v>
      </c>
      <c r="C394" s="1882" t="s">
        <v>8352</v>
      </c>
      <c r="D394" s="1882" t="s">
        <v>10735</v>
      </c>
      <c r="E394" s="1882" t="s">
        <v>911</v>
      </c>
      <c r="F394" s="1882" t="s">
        <v>10736</v>
      </c>
      <c r="G394" s="1882" t="s">
        <v>10753</v>
      </c>
      <c r="H394" s="1882" t="s">
        <v>10754</v>
      </c>
      <c r="I394" s="1882" t="s">
        <v>10755</v>
      </c>
      <c r="J394" s="1882" t="s">
        <v>8519</v>
      </c>
      <c r="K394" s="1882" t="s">
        <v>8855</v>
      </c>
      <c r="L394" s="1882"/>
      <c r="M394" s="1882" t="s">
        <v>2460</v>
      </c>
      <c r="N394" s="1882" t="s">
        <v>8673</v>
      </c>
      <c r="O394" s="1882" t="s">
        <v>764</v>
      </c>
      <c r="P394" s="1882" t="s">
        <v>10756</v>
      </c>
      <c r="Q394" s="520">
        <v>0</v>
      </c>
      <c r="R394" s="1882" t="s">
        <v>8549</v>
      </c>
      <c r="S394" s="1882">
        <v>0</v>
      </c>
      <c r="T394" s="1882">
        <v>8</v>
      </c>
      <c r="U394" s="1882">
        <v>10</v>
      </c>
      <c r="V394" s="1882">
        <v>20</v>
      </c>
      <c r="W394" s="1882">
        <v>21</v>
      </c>
      <c r="X394" s="1882">
        <v>23</v>
      </c>
      <c r="Y394" s="1882"/>
      <c r="Z394" s="1882"/>
      <c r="AA394" s="1882"/>
      <c r="AB394" s="1882"/>
      <c r="AC394" s="1882"/>
      <c r="AD394" s="1882" t="s">
        <v>2459</v>
      </c>
      <c r="AE394" s="1882"/>
      <c r="AF394" s="1882" t="s">
        <v>2459</v>
      </c>
      <c r="AG394" s="1882"/>
      <c r="AH394" s="1882">
        <v>0</v>
      </c>
      <c r="AI394" s="1882" t="s">
        <v>2459</v>
      </c>
      <c r="AJ394" s="1882" t="s">
        <v>2459</v>
      </c>
      <c r="AK394" s="1882" t="s">
        <v>2459</v>
      </c>
      <c r="AL394" s="1882" t="s">
        <v>2459</v>
      </c>
      <c r="AM394" s="1882" t="s">
        <v>2459</v>
      </c>
      <c r="AN394" s="1882">
        <v>0</v>
      </c>
      <c r="AO394" s="1882">
        <v>0</v>
      </c>
      <c r="AP394" s="1882">
        <v>0</v>
      </c>
      <c r="AQ394" s="1882">
        <v>0</v>
      </c>
      <c r="AR394" s="1882">
        <v>0</v>
      </c>
      <c r="AS394" s="1882">
        <v>8</v>
      </c>
      <c r="AT394" s="1882">
        <v>10</v>
      </c>
      <c r="AU394" s="1882">
        <v>20</v>
      </c>
      <c r="AV394" s="1882">
        <v>21</v>
      </c>
      <c r="AW394" s="1882">
        <v>23</v>
      </c>
      <c r="AX394" s="1882"/>
      <c r="AY394" s="1882"/>
      <c r="AZ394" s="1882"/>
      <c r="BA394" s="1882"/>
      <c r="BB394" s="1882"/>
      <c r="BC394" s="1882"/>
      <c r="BD394" s="1882"/>
      <c r="BE394" s="1882"/>
      <c r="BF394" s="1882"/>
      <c r="BG394" s="1882"/>
      <c r="BH394" s="1882">
        <v>3.4</v>
      </c>
      <c r="BI394" s="1882"/>
      <c r="BJ394" s="1882"/>
      <c r="BK394" s="1882"/>
      <c r="BL394" s="1882"/>
      <c r="BM394" s="1882"/>
      <c r="BN394" s="1882">
        <v>1</v>
      </c>
      <c r="BO394" s="1882" t="s">
        <v>8512</v>
      </c>
      <c r="BP394" s="520">
        <v>0</v>
      </c>
      <c r="BQ394" s="693">
        <v>9</v>
      </c>
      <c r="BR394" s="1882" t="s">
        <v>2459</v>
      </c>
      <c r="BS394" s="1882" t="s">
        <v>8513</v>
      </c>
      <c r="BT394" s="1882">
        <v>0</v>
      </c>
      <c r="BU394" s="1882" t="s">
        <v>8513</v>
      </c>
      <c r="BV394" s="1882">
        <v>0</v>
      </c>
      <c r="BW394" s="1882">
        <v>19</v>
      </c>
      <c r="BX394" s="1882" t="s">
        <v>2459</v>
      </c>
      <c r="BY394" s="1882">
        <v>0</v>
      </c>
      <c r="BZ394" s="1882">
        <v>0</v>
      </c>
      <c r="CA394" s="1882">
        <v>0</v>
      </c>
      <c r="CB394" s="1882">
        <v>0</v>
      </c>
      <c r="CC394" s="1882">
        <v>21</v>
      </c>
      <c r="CD394" s="1882" t="s">
        <v>2459</v>
      </c>
      <c r="CE394" s="1882">
        <v>0</v>
      </c>
      <c r="CF394" s="1882">
        <v>0</v>
      </c>
      <c r="CG394" s="1882">
        <v>0</v>
      </c>
      <c r="CH394" s="1882">
        <v>0</v>
      </c>
      <c r="CI394" s="1882">
        <v>21</v>
      </c>
      <c r="CJ394" s="1882" t="s">
        <v>2459</v>
      </c>
      <c r="CK394" s="1882">
        <v>0</v>
      </c>
      <c r="CL394" s="1882">
        <v>0</v>
      </c>
      <c r="CM394" s="1882">
        <v>0</v>
      </c>
      <c r="CN394" s="1882">
        <v>0</v>
      </c>
      <c r="CP394" s="1882" t="s">
        <v>10757</v>
      </c>
    </row>
    <row r="395" spans="1:94" ht="15" customHeight="1">
      <c r="A395" s="1882" t="s">
        <v>8379</v>
      </c>
      <c r="B395" s="1882" t="s">
        <v>10758</v>
      </c>
      <c r="C395" s="1882" t="s">
        <v>8352</v>
      </c>
      <c r="D395" s="1882" t="s">
        <v>10735</v>
      </c>
      <c r="E395" s="1882" t="s">
        <v>911</v>
      </c>
      <c r="F395" s="1882" t="s">
        <v>10736</v>
      </c>
      <c r="G395" s="1882" t="s">
        <v>10759</v>
      </c>
      <c r="H395" s="1882" t="s">
        <v>10760</v>
      </c>
      <c r="I395" s="1882" t="s">
        <v>10761</v>
      </c>
      <c r="J395" s="1882" t="s">
        <v>8539</v>
      </c>
      <c r="K395" s="1882"/>
      <c r="L395" s="1882"/>
      <c r="M395" s="1882"/>
      <c r="N395" s="1882" t="s">
        <v>8673</v>
      </c>
      <c r="O395" s="1882" t="s">
        <v>8797</v>
      </c>
      <c r="P395" s="1882" t="s">
        <v>10762</v>
      </c>
      <c r="Q395" s="520" t="s">
        <v>8512</v>
      </c>
      <c r="R395" s="1882"/>
      <c r="S395" s="1882" t="s">
        <v>3504</v>
      </c>
      <c r="T395" s="1882" t="s">
        <v>10763</v>
      </c>
      <c r="U395" s="1882" t="s">
        <v>10763</v>
      </c>
      <c r="V395" s="1882" t="s">
        <v>10763</v>
      </c>
      <c r="W395" s="1882" t="s">
        <v>10763</v>
      </c>
      <c r="X395" s="1882" t="s">
        <v>10763</v>
      </c>
      <c r="Y395" s="1882"/>
      <c r="Z395" s="1882"/>
      <c r="AA395" s="1882"/>
      <c r="AB395" s="1882"/>
      <c r="AC395" s="1882"/>
      <c r="AD395" s="1882" t="s">
        <v>2459</v>
      </c>
      <c r="AE395" s="1882"/>
      <c r="AF395" s="1882" t="s">
        <v>2459</v>
      </c>
      <c r="AG395" s="1882"/>
      <c r="AH395" s="1882">
        <v>0</v>
      </c>
      <c r="AI395" s="1882"/>
      <c r="AJ395" s="1882"/>
      <c r="AK395" s="1882"/>
      <c r="AL395" s="1882"/>
      <c r="AM395" s="1882"/>
      <c r="AN395" s="1882"/>
      <c r="AO395" s="1882"/>
      <c r="AP395" s="1882"/>
      <c r="AQ395" s="1882"/>
      <c r="AR395" s="1882"/>
      <c r="AS395" s="1882"/>
      <c r="AT395" s="1882"/>
      <c r="AU395" s="1882"/>
      <c r="AV395" s="1882"/>
      <c r="AW395" s="1882"/>
      <c r="AX395" s="1882"/>
      <c r="AY395" s="1882"/>
      <c r="AZ395" s="1882"/>
      <c r="BA395" s="1882"/>
      <c r="BB395" s="1882"/>
      <c r="BC395" s="1882"/>
      <c r="BD395" s="1882"/>
      <c r="BE395" s="1882"/>
      <c r="BF395" s="1882"/>
      <c r="BG395" s="1882"/>
      <c r="BH395" s="1882"/>
      <c r="BI395" s="1882"/>
      <c r="BJ395" s="1882"/>
      <c r="BK395" s="1882"/>
      <c r="BL395" s="1882"/>
      <c r="BM395" s="1882"/>
      <c r="BN395" s="1882"/>
      <c r="BO395" s="1882"/>
      <c r="BP395" s="520" t="s">
        <v>8697</v>
      </c>
      <c r="BQ395" s="692" t="s">
        <v>8697</v>
      </c>
      <c r="BR395" s="1882" t="s">
        <v>8513</v>
      </c>
      <c r="BS395" s="1882" t="s">
        <v>8513</v>
      </c>
      <c r="BT395" s="1882">
        <v>0</v>
      </c>
      <c r="BU395" s="1882" t="s">
        <v>8513</v>
      </c>
      <c r="BV395" s="1882">
        <v>0</v>
      </c>
      <c r="BW395" s="1882" t="s">
        <v>10764</v>
      </c>
      <c r="BX395" s="1882" t="s">
        <v>2459</v>
      </c>
      <c r="BY395" s="1882">
        <v>0</v>
      </c>
      <c r="BZ395" s="1882">
        <v>0</v>
      </c>
      <c r="CA395" s="1882">
        <v>0</v>
      </c>
      <c r="CB395" s="1882">
        <v>0</v>
      </c>
      <c r="CC395" s="1882" t="s">
        <v>2459</v>
      </c>
      <c r="CD395" s="1882" t="s">
        <v>2459</v>
      </c>
      <c r="CE395" s="1882">
        <v>0</v>
      </c>
      <c r="CF395" s="1882">
        <v>0</v>
      </c>
      <c r="CG395" s="1882">
        <v>0</v>
      </c>
      <c r="CH395" s="1882">
        <v>0</v>
      </c>
      <c r="CI395" s="1882" t="s">
        <v>2459</v>
      </c>
      <c r="CJ395" s="1882" t="s">
        <v>2459</v>
      </c>
      <c r="CK395" s="1882">
        <v>0</v>
      </c>
      <c r="CL395" s="1882">
        <v>0</v>
      </c>
      <c r="CM395" s="1882">
        <v>0</v>
      </c>
      <c r="CN395" s="1882">
        <v>0</v>
      </c>
      <c r="CP395" s="1882" t="s">
        <v>10765</v>
      </c>
    </row>
    <row r="396" spans="1:94" ht="18.75" customHeight="1">
      <c r="A396" s="1882" t="s">
        <v>8379</v>
      </c>
      <c r="B396" s="1882" t="s">
        <v>10766</v>
      </c>
      <c r="C396" s="1882" t="s">
        <v>8352</v>
      </c>
      <c r="D396" s="1882" t="s">
        <v>10735</v>
      </c>
      <c r="E396" s="1882" t="s">
        <v>911</v>
      </c>
      <c r="F396" s="1882" t="s">
        <v>10736</v>
      </c>
      <c r="G396" s="1882" t="s">
        <v>10767</v>
      </c>
      <c r="H396" s="1882" t="s">
        <v>10768</v>
      </c>
      <c r="I396" s="1882" t="s">
        <v>10769</v>
      </c>
      <c r="J396" s="1882" t="s">
        <v>8539</v>
      </c>
      <c r="K396" s="1882"/>
      <c r="L396" s="1882"/>
      <c r="M396" s="1882"/>
      <c r="N396" s="1882" t="s">
        <v>8673</v>
      </c>
      <c r="O396" s="1882" t="s">
        <v>8797</v>
      </c>
      <c r="P396" s="1882" t="s">
        <v>10770</v>
      </c>
      <c r="Q396" s="520" t="s">
        <v>8512</v>
      </c>
      <c r="R396" s="1882"/>
      <c r="S396" s="1882"/>
      <c r="T396" s="1882" t="s">
        <v>8925</v>
      </c>
      <c r="U396" s="1882" t="s">
        <v>8925</v>
      </c>
      <c r="V396" s="1882" t="s">
        <v>8925</v>
      </c>
      <c r="W396" s="1882" t="s">
        <v>8925</v>
      </c>
      <c r="X396" s="1882" t="s">
        <v>8925</v>
      </c>
      <c r="Y396" s="1882"/>
      <c r="Z396" s="1882"/>
      <c r="AA396" s="1882"/>
      <c r="AB396" s="1882"/>
      <c r="AC396" s="1882"/>
      <c r="AD396" s="1882" t="s">
        <v>2459</v>
      </c>
      <c r="AE396" s="1882"/>
      <c r="AF396" s="1882" t="s">
        <v>2459</v>
      </c>
      <c r="AG396" s="1882"/>
      <c r="AH396" s="1882">
        <v>0</v>
      </c>
      <c r="AI396" s="1882"/>
      <c r="AJ396" s="1882"/>
      <c r="AK396" s="1882"/>
      <c r="AL396" s="1882"/>
      <c r="AM396" s="1882"/>
      <c r="AN396" s="1882"/>
      <c r="AO396" s="1882"/>
      <c r="AP396" s="1882"/>
      <c r="AQ396" s="1882"/>
      <c r="AR396" s="1882"/>
      <c r="AS396" s="1882"/>
      <c r="AT396" s="1882"/>
      <c r="AU396" s="1882"/>
      <c r="AV396" s="1882"/>
      <c r="AW396" s="1882"/>
      <c r="AX396" s="1882"/>
      <c r="AY396" s="1882"/>
      <c r="AZ396" s="1882"/>
      <c r="BA396" s="1882"/>
      <c r="BB396" s="1882"/>
      <c r="BC396" s="1882"/>
      <c r="BD396" s="1882"/>
      <c r="BE396" s="1882"/>
      <c r="BF396" s="1882"/>
      <c r="BG396" s="1882"/>
      <c r="BH396" s="1882"/>
      <c r="BI396" s="1882"/>
      <c r="BJ396" s="1882"/>
      <c r="BK396" s="1882"/>
      <c r="BL396" s="1882"/>
      <c r="BM396" s="1882"/>
      <c r="BN396" s="1882"/>
      <c r="BO396" s="1882"/>
      <c r="BP396" s="520" t="s">
        <v>10771</v>
      </c>
      <c r="BQ396" s="692" t="s">
        <v>10772</v>
      </c>
      <c r="BR396" s="1882" t="s">
        <v>8513</v>
      </c>
      <c r="BS396" s="1882" t="s">
        <v>8513</v>
      </c>
      <c r="BT396" s="1882">
        <v>0</v>
      </c>
      <c r="BU396" s="1882" t="s">
        <v>8513</v>
      </c>
      <c r="BV396" s="1882">
        <v>0</v>
      </c>
      <c r="BW396" s="1882" t="s">
        <v>10773</v>
      </c>
      <c r="BX396" s="1882" t="s">
        <v>2460</v>
      </c>
      <c r="BY396" s="1882">
        <v>0</v>
      </c>
      <c r="BZ396" s="1882">
        <v>0</v>
      </c>
      <c r="CA396" s="1882">
        <v>0</v>
      </c>
      <c r="CB396" s="1882">
        <v>0</v>
      </c>
      <c r="CC396" s="1882" t="s">
        <v>10774</v>
      </c>
      <c r="CD396" s="1882" t="s">
        <v>2460</v>
      </c>
      <c r="CE396" s="1882">
        <v>0</v>
      </c>
      <c r="CF396" s="1882">
        <v>0</v>
      </c>
      <c r="CG396" s="1882">
        <v>0</v>
      </c>
      <c r="CH396" s="1882">
        <v>0</v>
      </c>
      <c r="CI396" s="1882" t="s">
        <v>2459</v>
      </c>
      <c r="CJ396" s="1882" t="s">
        <v>2459</v>
      </c>
      <c r="CK396" s="1882">
        <v>0</v>
      </c>
      <c r="CL396" s="1882">
        <v>0</v>
      </c>
      <c r="CM396" s="1882">
        <v>0</v>
      </c>
      <c r="CN396" s="1882">
        <v>0</v>
      </c>
      <c r="CP396" s="1882" t="s">
        <v>10775</v>
      </c>
    </row>
    <row r="397" spans="1:94">
      <c r="A397" s="1882" t="s">
        <v>8379</v>
      </c>
      <c r="B397" s="1882" t="s">
        <v>10776</v>
      </c>
      <c r="C397" s="1882" t="s">
        <v>8352</v>
      </c>
      <c r="D397" s="1882" t="s">
        <v>8584</v>
      </c>
      <c r="E397" s="1882" t="s">
        <v>8585</v>
      </c>
      <c r="F397" s="1882" t="s">
        <v>10777</v>
      </c>
      <c r="G397" s="1882" t="s">
        <v>10778</v>
      </c>
      <c r="H397" s="1882" t="s">
        <v>10779</v>
      </c>
      <c r="I397" s="1882" t="s">
        <v>10780</v>
      </c>
      <c r="J397" s="1882" t="s">
        <v>8539</v>
      </c>
      <c r="K397" s="1882"/>
      <c r="L397" s="1882"/>
      <c r="M397" s="1882"/>
      <c r="N397" s="1882" t="s">
        <v>8695</v>
      </c>
      <c r="O397" s="1882" t="s">
        <v>764</v>
      </c>
      <c r="P397" s="1882" t="s">
        <v>10503</v>
      </c>
      <c r="Q397" s="520">
        <v>0</v>
      </c>
      <c r="R397" s="1882" t="s">
        <v>8511</v>
      </c>
      <c r="S397" s="1882">
        <v>16</v>
      </c>
      <c r="T397" s="1882">
        <v>16</v>
      </c>
      <c r="U397" s="1882">
        <v>17</v>
      </c>
      <c r="V397" s="1882">
        <v>18</v>
      </c>
      <c r="W397" s="1882">
        <v>17</v>
      </c>
      <c r="X397" s="1882">
        <v>15</v>
      </c>
      <c r="Y397" s="1882"/>
      <c r="Z397" s="1882"/>
      <c r="AA397" s="1882"/>
      <c r="AB397" s="1882"/>
      <c r="AC397" s="1882"/>
      <c r="AD397" s="1882"/>
      <c r="AE397" s="1882"/>
      <c r="AF397" s="1882"/>
      <c r="AG397" s="1882"/>
      <c r="AH397" s="1882">
        <v>0</v>
      </c>
      <c r="AI397" s="1882"/>
      <c r="AJ397" s="1882"/>
      <c r="AK397" s="1882"/>
      <c r="AL397" s="1882"/>
      <c r="AM397" s="1882"/>
      <c r="AN397" s="1882"/>
      <c r="AO397" s="1882"/>
      <c r="AP397" s="1882"/>
      <c r="AQ397" s="1882"/>
      <c r="AR397" s="1882"/>
      <c r="AS397" s="1882"/>
      <c r="AT397" s="1882"/>
      <c r="AU397" s="1882"/>
      <c r="AV397" s="1882"/>
      <c r="AW397" s="1882"/>
      <c r="AX397" s="1882"/>
      <c r="AY397" s="1882"/>
      <c r="AZ397" s="1882"/>
      <c r="BA397" s="1882"/>
      <c r="BB397" s="1882"/>
      <c r="BC397" s="1882"/>
      <c r="BD397" s="1882"/>
      <c r="BE397" s="1882"/>
      <c r="BF397" s="1882"/>
      <c r="BG397" s="1882"/>
      <c r="BH397" s="1882"/>
      <c r="BI397" s="1882"/>
      <c r="BJ397" s="1882"/>
      <c r="BK397" s="1882"/>
      <c r="BL397" s="1882"/>
      <c r="BM397" s="1882"/>
      <c r="BN397" s="1882"/>
      <c r="BO397" s="1882"/>
      <c r="BP397" s="520">
        <v>15.95</v>
      </c>
      <c r="BQ397" s="693">
        <v>13.79</v>
      </c>
      <c r="BR397" s="1882" t="s">
        <v>2459</v>
      </c>
      <c r="BS397" s="1882" t="s">
        <v>8513</v>
      </c>
      <c r="BT397" s="1882">
        <v>0</v>
      </c>
      <c r="BU397" s="1882" t="s">
        <v>8513</v>
      </c>
      <c r="BV397" s="1882">
        <v>0</v>
      </c>
      <c r="BW397" s="1882">
        <v>18.677578018266502</v>
      </c>
      <c r="BX397" s="1882" t="s">
        <v>2460</v>
      </c>
      <c r="BY397" s="1882">
        <v>0</v>
      </c>
      <c r="BZ397" s="1882">
        <v>0</v>
      </c>
      <c r="CA397" s="1882">
        <v>0</v>
      </c>
      <c r="CB397" s="1882">
        <v>0</v>
      </c>
      <c r="CC397" s="1882">
        <v>16.887708842084599</v>
      </c>
      <c r="CD397" s="1882" t="s">
        <v>2459</v>
      </c>
      <c r="CE397" s="1882">
        <v>0</v>
      </c>
      <c r="CF397" s="1882">
        <v>0</v>
      </c>
      <c r="CG397" s="1882">
        <v>0</v>
      </c>
      <c r="CH397" s="1882">
        <v>0</v>
      </c>
      <c r="CI397" s="1882">
        <v>18.0244518602792</v>
      </c>
      <c r="CJ397" s="1882" t="s">
        <v>2460</v>
      </c>
      <c r="CK397" s="1882">
        <v>0</v>
      </c>
      <c r="CL397" s="1882">
        <v>0</v>
      </c>
      <c r="CM397" s="1882">
        <v>0</v>
      </c>
      <c r="CN397" s="1882">
        <v>0</v>
      </c>
      <c r="CP397" s="1882" t="s">
        <v>10781</v>
      </c>
    </row>
    <row r="398" spans="1:94">
      <c r="A398" s="1882" t="s">
        <v>8379</v>
      </c>
      <c r="B398" s="1882" t="s">
        <v>10782</v>
      </c>
      <c r="C398" s="1882" t="s">
        <v>8352</v>
      </c>
      <c r="D398" s="1882" t="s">
        <v>8584</v>
      </c>
      <c r="E398" s="1882" t="s">
        <v>8585</v>
      </c>
      <c r="F398" s="1882" t="s">
        <v>10777</v>
      </c>
      <c r="G398" s="1882" t="s">
        <v>10783</v>
      </c>
      <c r="H398" s="1882" t="s">
        <v>10784</v>
      </c>
      <c r="I398" s="1882" t="s">
        <v>10785</v>
      </c>
      <c r="J398" s="1882" t="s">
        <v>8539</v>
      </c>
      <c r="K398" s="1882"/>
      <c r="L398" s="1882"/>
      <c r="M398" s="1882"/>
      <c r="N398" s="1882" t="s">
        <v>8695</v>
      </c>
      <c r="O398" s="1882" t="s">
        <v>732</v>
      </c>
      <c r="P398" s="1882" t="s">
        <v>10497</v>
      </c>
      <c r="Q398" s="520">
        <v>0</v>
      </c>
      <c r="R398" s="1882" t="s">
        <v>8549</v>
      </c>
      <c r="S398" s="1882">
        <v>90</v>
      </c>
      <c r="T398" s="1882">
        <v>95</v>
      </c>
      <c r="U398" s="1882">
        <v>95</v>
      </c>
      <c r="V398" s="1882">
        <v>95</v>
      </c>
      <c r="W398" s="1882">
        <v>95</v>
      </c>
      <c r="X398" s="1882">
        <v>95</v>
      </c>
      <c r="Y398" s="1882"/>
      <c r="Z398" s="1882"/>
      <c r="AA398" s="1882"/>
      <c r="AB398" s="1882"/>
      <c r="AC398" s="1882"/>
      <c r="AD398" s="1882"/>
      <c r="AE398" s="1882"/>
      <c r="AF398" s="1882"/>
      <c r="AG398" s="1882"/>
      <c r="AH398" s="1882">
        <v>0</v>
      </c>
      <c r="AI398" s="1882"/>
      <c r="AJ398" s="1882"/>
      <c r="AK398" s="1882"/>
      <c r="AL398" s="1882"/>
      <c r="AM398" s="1882"/>
      <c r="AN398" s="1882"/>
      <c r="AO398" s="1882"/>
      <c r="AP398" s="1882"/>
      <c r="AQ398" s="1882"/>
      <c r="AR398" s="1882"/>
      <c r="AS398" s="1882"/>
      <c r="AT398" s="1882"/>
      <c r="AU398" s="1882"/>
      <c r="AV398" s="1882"/>
      <c r="AW398" s="1882"/>
      <c r="AX398" s="1882"/>
      <c r="AY398" s="1882"/>
      <c r="AZ398" s="1882"/>
      <c r="BA398" s="1882"/>
      <c r="BB398" s="1882"/>
      <c r="BC398" s="1882"/>
      <c r="BD398" s="1882"/>
      <c r="BE398" s="1882"/>
      <c r="BF398" s="1882"/>
      <c r="BG398" s="1882"/>
      <c r="BH398" s="1882"/>
      <c r="BI398" s="1882"/>
      <c r="BJ398" s="1882"/>
      <c r="BK398" s="1882"/>
      <c r="BL398" s="1882"/>
      <c r="BM398" s="1882"/>
      <c r="BN398" s="1882"/>
      <c r="BO398" s="1882"/>
      <c r="BP398" s="520">
        <v>91.82</v>
      </c>
      <c r="BQ398" s="693">
        <v>92.36</v>
      </c>
      <c r="BR398" s="1882" t="s">
        <v>2460</v>
      </c>
      <c r="BS398" s="1882" t="s">
        <v>8513</v>
      </c>
      <c r="BT398" s="1882">
        <v>0</v>
      </c>
      <c r="BU398" s="1882" t="s">
        <v>8513</v>
      </c>
      <c r="BV398" s="1882">
        <v>0</v>
      </c>
      <c r="BW398" s="1882">
        <v>94.37</v>
      </c>
      <c r="BX398" s="1882" t="s">
        <v>2460</v>
      </c>
      <c r="BY398" s="1882">
        <v>0</v>
      </c>
      <c r="BZ398" s="1882">
        <v>0</v>
      </c>
      <c r="CA398" s="1882">
        <v>0</v>
      </c>
      <c r="CB398" s="1882">
        <v>0</v>
      </c>
      <c r="CC398" s="2101">
        <v>95.09</v>
      </c>
      <c r="CD398" s="1882" t="s">
        <v>2459</v>
      </c>
      <c r="CE398" s="1882">
        <v>0</v>
      </c>
      <c r="CF398" s="1882">
        <v>0</v>
      </c>
      <c r="CG398" s="1882">
        <v>0</v>
      </c>
      <c r="CH398" s="1882">
        <v>0</v>
      </c>
      <c r="CI398" s="2101">
        <v>87.553648068669503</v>
      </c>
      <c r="CJ398" s="1882" t="s">
        <v>2460</v>
      </c>
      <c r="CK398" s="1882">
        <v>0</v>
      </c>
      <c r="CL398" s="1882">
        <v>0</v>
      </c>
      <c r="CM398" s="1882">
        <v>0</v>
      </c>
      <c r="CN398" s="1882">
        <v>0</v>
      </c>
      <c r="CP398" s="1882" t="s">
        <v>10786</v>
      </c>
    </row>
    <row r="399" spans="1:94">
      <c r="A399" s="1882" t="s">
        <v>8379</v>
      </c>
      <c r="B399" s="1882" t="s">
        <v>10787</v>
      </c>
      <c r="C399" s="1882" t="s">
        <v>8352</v>
      </c>
      <c r="D399" s="1882" t="s">
        <v>8584</v>
      </c>
      <c r="E399" s="1882" t="s">
        <v>8585</v>
      </c>
      <c r="F399" s="1882" t="s">
        <v>10777</v>
      </c>
      <c r="G399" s="1882" t="s">
        <v>10788</v>
      </c>
      <c r="H399" s="1882" t="s">
        <v>10789</v>
      </c>
      <c r="I399" s="1882" t="s">
        <v>10790</v>
      </c>
      <c r="J399" s="1882" t="s">
        <v>8539</v>
      </c>
      <c r="K399" s="1882"/>
      <c r="L399" s="1882"/>
      <c r="M399" s="1882"/>
      <c r="N399" s="1882" t="s">
        <v>8695</v>
      </c>
      <c r="O399" s="1882" t="s">
        <v>8591</v>
      </c>
      <c r="P399" s="1882" t="s">
        <v>10509</v>
      </c>
      <c r="Q399" s="520">
        <v>2</v>
      </c>
      <c r="R399" s="1882" t="s">
        <v>8549</v>
      </c>
      <c r="S399" s="1882">
        <v>4.4000000000000004</v>
      </c>
      <c r="T399" s="1882">
        <v>4.45</v>
      </c>
      <c r="U399" s="1882">
        <v>4.55</v>
      </c>
      <c r="V399" s="1882">
        <v>4.45</v>
      </c>
      <c r="W399" s="1882">
        <v>4.5999999999999996</v>
      </c>
      <c r="X399" s="1882">
        <v>4.6500000000000004</v>
      </c>
      <c r="Y399" s="1882"/>
      <c r="Z399" s="1882"/>
      <c r="AA399" s="1882"/>
      <c r="AB399" s="1882"/>
      <c r="AC399" s="1882"/>
      <c r="AD399" s="1882"/>
      <c r="AE399" s="1882"/>
      <c r="AF399" s="1882"/>
      <c r="AG399" s="1882"/>
      <c r="AH399" s="1882">
        <v>0</v>
      </c>
      <c r="AI399" s="1882"/>
      <c r="AJ399" s="1882"/>
      <c r="AK399" s="1882"/>
      <c r="AL399" s="1882"/>
      <c r="AM399" s="1882"/>
      <c r="AN399" s="1882"/>
      <c r="AO399" s="1882"/>
      <c r="AP399" s="1882"/>
      <c r="AQ399" s="1882"/>
      <c r="AR399" s="1882"/>
      <c r="AS399" s="1882"/>
      <c r="AT399" s="1882"/>
      <c r="AU399" s="1882"/>
      <c r="AV399" s="1882"/>
      <c r="AW399" s="1882"/>
      <c r="AX399" s="1882"/>
      <c r="AY399" s="1882"/>
      <c r="AZ399" s="1882"/>
      <c r="BA399" s="1882"/>
      <c r="BB399" s="1882"/>
      <c r="BC399" s="1882"/>
      <c r="BD399" s="1882"/>
      <c r="BE399" s="1882"/>
      <c r="BF399" s="1882"/>
      <c r="BG399" s="1882"/>
      <c r="BH399" s="1882"/>
      <c r="BI399" s="1882"/>
      <c r="BJ399" s="1882"/>
      <c r="BK399" s="1882"/>
      <c r="BL399" s="1882"/>
      <c r="BM399" s="1882"/>
      <c r="BN399" s="1882"/>
      <c r="BO399" s="1882"/>
      <c r="BP399" s="520">
        <v>4.4800000000000004</v>
      </c>
      <c r="BQ399" s="694">
        <v>4.6100000000000003</v>
      </c>
      <c r="BR399" s="1882" t="s">
        <v>2459</v>
      </c>
      <c r="BS399" s="1882" t="s">
        <v>8513</v>
      </c>
      <c r="BT399" s="1882">
        <v>0</v>
      </c>
      <c r="BU399" s="1882" t="s">
        <v>8513</v>
      </c>
      <c r="BV399" s="1882">
        <v>0</v>
      </c>
      <c r="BW399" s="1882">
        <v>4.627722114500691</v>
      </c>
      <c r="BX399" s="1882" t="s">
        <v>2459</v>
      </c>
      <c r="BY399" s="1882">
        <v>0</v>
      </c>
      <c r="BZ399" s="1882">
        <v>0</v>
      </c>
      <c r="CA399" s="1882">
        <v>0</v>
      </c>
      <c r="CB399" s="1882">
        <v>0</v>
      </c>
      <c r="CC399" s="1882">
        <v>4.6550240445456801</v>
      </c>
      <c r="CD399" s="1882" t="s">
        <v>2459</v>
      </c>
      <c r="CE399" s="1882">
        <v>0</v>
      </c>
      <c r="CF399" s="1882">
        <v>0</v>
      </c>
      <c r="CG399" s="1882">
        <v>0</v>
      </c>
      <c r="CH399" s="1882">
        <v>0</v>
      </c>
      <c r="CI399" s="1882">
        <v>4.5844396667562499</v>
      </c>
      <c r="CJ399" s="1882" t="s">
        <v>2460</v>
      </c>
      <c r="CK399" s="1882">
        <v>0</v>
      </c>
      <c r="CL399" s="1882">
        <v>0</v>
      </c>
      <c r="CM399" s="1882">
        <v>0</v>
      </c>
      <c r="CN399" s="1882">
        <v>0</v>
      </c>
      <c r="CP399" s="1882" t="s">
        <v>10791</v>
      </c>
    </row>
    <row r="400" spans="1:94">
      <c r="A400" s="1882" t="s">
        <v>8379</v>
      </c>
      <c r="B400" s="1882" t="s">
        <v>10792</v>
      </c>
      <c r="C400" s="1882" t="s">
        <v>8352</v>
      </c>
      <c r="D400" s="1882" t="s">
        <v>8584</v>
      </c>
      <c r="E400" s="1882" t="s">
        <v>8585</v>
      </c>
      <c r="F400" s="1882" t="s">
        <v>10777</v>
      </c>
      <c r="G400" s="1882" t="s">
        <v>10793</v>
      </c>
      <c r="H400" s="1882" t="s">
        <v>10794</v>
      </c>
      <c r="I400" s="1882" t="s">
        <v>10795</v>
      </c>
      <c r="J400" s="1882" t="s">
        <v>8539</v>
      </c>
      <c r="K400" s="1882"/>
      <c r="L400" s="1882"/>
      <c r="M400" s="1882"/>
      <c r="N400" s="1882" t="s">
        <v>8695</v>
      </c>
      <c r="O400" s="1882" t="s">
        <v>8591</v>
      </c>
      <c r="P400" s="1882" t="s">
        <v>10509</v>
      </c>
      <c r="Q400" s="520">
        <v>2</v>
      </c>
      <c r="R400" s="1882" t="s">
        <v>8549</v>
      </c>
      <c r="S400" s="1882">
        <v>4.4000000000000004</v>
      </c>
      <c r="T400" s="1882">
        <v>4.45</v>
      </c>
      <c r="U400" s="1882">
        <v>4.5199999999999996</v>
      </c>
      <c r="V400" s="1882">
        <v>4.57</v>
      </c>
      <c r="W400" s="1882">
        <v>4.5999999999999996</v>
      </c>
      <c r="X400" s="1882">
        <v>4.6500000000000004</v>
      </c>
      <c r="Y400" s="1882"/>
      <c r="Z400" s="1882"/>
      <c r="AA400" s="1882"/>
      <c r="AB400" s="1882"/>
      <c r="AC400" s="1882"/>
      <c r="AD400" s="1882"/>
      <c r="AE400" s="1882"/>
      <c r="AF400" s="1882"/>
      <c r="AG400" s="1882"/>
      <c r="AH400" s="1882">
        <v>0</v>
      </c>
      <c r="AI400" s="1882"/>
      <c r="AJ400" s="1882"/>
      <c r="AK400" s="1882"/>
      <c r="AL400" s="1882"/>
      <c r="AM400" s="1882"/>
      <c r="AN400" s="1882"/>
      <c r="AO400" s="1882"/>
      <c r="AP400" s="1882"/>
      <c r="AQ400" s="1882"/>
      <c r="AR400" s="1882"/>
      <c r="AS400" s="1882"/>
      <c r="AT400" s="1882"/>
      <c r="AU400" s="1882"/>
      <c r="AV400" s="1882"/>
      <c r="AW400" s="1882"/>
      <c r="AX400" s="1882"/>
      <c r="AY400" s="1882"/>
      <c r="AZ400" s="1882"/>
      <c r="BA400" s="1882"/>
      <c r="BB400" s="1882"/>
      <c r="BC400" s="1882"/>
      <c r="BD400" s="1882"/>
      <c r="BE400" s="1882"/>
      <c r="BF400" s="1882"/>
      <c r="BG400" s="1882"/>
      <c r="BH400" s="1882"/>
      <c r="BI400" s="1882"/>
      <c r="BJ400" s="1882"/>
      <c r="BK400" s="1882"/>
      <c r="BL400" s="1882"/>
      <c r="BM400" s="1882"/>
      <c r="BN400" s="1882"/>
      <c r="BO400" s="1882"/>
      <c r="BP400" s="520" t="s">
        <v>8697</v>
      </c>
      <c r="BQ400" s="694">
        <v>4.2699999999999996</v>
      </c>
      <c r="BR400" s="1882" t="s">
        <v>2460</v>
      </c>
      <c r="BS400" s="1882" t="s">
        <v>8513</v>
      </c>
      <c r="BT400" s="1882">
        <v>0</v>
      </c>
      <c r="BU400" s="1882" t="s">
        <v>8513</v>
      </c>
      <c r="BV400" s="1882">
        <v>0</v>
      </c>
      <c r="BW400" s="1882">
        <v>4.455274610082272</v>
      </c>
      <c r="BX400" s="1882" t="s">
        <v>2460</v>
      </c>
      <c r="BY400" s="1882">
        <v>0</v>
      </c>
      <c r="BZ400" s="1882">
        <v>0</v>
      </c>
      <c r="CA400" s="1882">
        <v>0</v>
      </c>
      <c r="CB400" s="1882">
        <v>0</v>
      </c>
      <c r="CC400" s="1882">
        <v>4.4321125537096497</v>
      </c>
      <c r="CD400" s="1882" t="s">
        <v>2460</v>
      </c>
      <c r="CE400" s="1882">
        <v>0</v>
      </c>
      <c r="CF400" s="1882">
        <v>0</v>
      </c>
      <c r="CG400" s="1882">
        <v>0</v>
      </c>
      <c r="CH400" s="1882">
        <v>0</v>
      </c>
      <c r="CI400" s="1882">
        <v>4.4366204585769697</v>
      </c>
      <c r="CJ400" s="1882" t="s">
        <v>2460</v>
      </c>
      <c r="CK400" s="1882">
        <v>0</v>
      </c>
      <c r="CL400" s="1882">
        <v>0</v>
      </c>
      <c r="CM400" s="1882">
        <v>0</v>
      </c>
      <c r="CN400" s="1882">
        <v>0</v>
      </c>
      <c r="CP400" s="1882" t="s">
        <v>10796</v>
      </c>
    </row>
    <row r="401" spans="1:94">
      <c r="A401" s="1882" t="s">
        <v>8379</v>
      </c>
      <c r="B401" s="1882" t="s">
        <v>10797</v>
      </c>
      <c r="C401" s="1882" t="s">
        <v>8352</v>
      </c>
      <c r="D401" s="1882" t="s">
        <v>8584</v>
      </c>
      <c r="E401" s="1882" t="s">
        <v>8585</v>
      </c>
      <c r="F401" s="1882" t="s">
        <v>10777</v>
      </c>
      <c r="G401" s="1882" t="s">
        <v>10798</v>
      </c>
      <c r="H401" s="1882" t="s">
        <v>10799</v>
      </c>
      <c r="I401" s="1882" t="s">
        <v>10800</v>
      </c>
      <c r="J401" s="1882" t="s">
        <v>8539</v>
      </c>
      <c r="K401" s="1882"/>
      <c r="L401" s="1882"/>
      <c r="M401" s="1882"/>
      <c r="N401" s="1882" t="s">
        <v>8599</v>
      </c>
      <c r="O401" s="1882" t="s">
        <v>732</v>
      </c>
      <c r="P401" s="1882" t="s">
        <v>10801</v>
      </c>
      <c r="Q401" s="520">
        <v>0</v>
      </c>
      <c r="R401" s="1882" t="s">
        <v>8549</v>
      </c>
      <c r="S401" s="1882">
        <v>85</v>
      </c>
      <c r="T401" s="1882">
        <v>96</v>
      </c>
      <c r="U401" s="1882">
        <v>96</v>
      </c>
      <c r="V401" s="1882">
        <v>96</v>
      </c>
      <c r="W401" s="1882">
        <v>96</v>
      </c>
      <c r="X401" s="1882">
        <v>96</v>
      </c>
      <c r="Y401" s="1882"/>
      <c r="Z401" s="1882"/>
      <c r="AA401" s="1882"/>
      <c r="AB401" s="1882"/>
      <c r="AC401" s="1882"/>
      <c r="AD401" s="1882"/>
      <c r="AE401" s="1882"/>
      <c r="AF401" s="1882"/>
      <c r="AG401" s="1882"/>
      <c r="AH401" s="1882">
        <v>0</v>
      </c>
      <c r="AI401" s="1882"/>
      <c r="AJ401" s="1882"/>
      <c r="AK401" s="1882"/>
      <c r="AL401" s="1882"/>
      <c r="AM401" s="1882"/>
      <c r="AN401" s="1882"/>
      <c r="AO401" s="1882"/>
      <c r="AP401" s="1882"/>
      <c r="AQ401" s="1882"/>
      <c r="AR401" s="1882"/>
      <c r="AS401" s="1882"/>
      <c r="AT401" s="1882"/>
      <c r="AU401" s="1882"/>
      <c r="AV401" s="1882"/>
      <c r="AW401" s="1882"/>
      <c r="AX401" s="1882"/>
      <c r="AY401" s="1882"/>
      <c r="AZ401" s="1882"/>
      <c r="BA401" s="1882"/>
      <c r="BB401" s="1882"/>
      <c r="BC401" s="1882"/>
      <c r="BD401" s="1882"/>
      <c r="BE401" s="1882"/>
      <c r="BF401" s="1882"/>
      <c r="BG401" s="1882"/>
      <c r="BH401" s="1882"/>
      <c r="BI401" s="1882"/>
      <c r="BJ401" s="1882"/>
      <c r="BK401" s="1882"/>
      <c r="BL401" s="1882"/>
      <c r="BM401" s="1882"/>
      <c r="BN401" s="1882"/>
      <c r="BO401" s="1882"/>
      <c r="BP401" s="520" t="s">
        <v>8697</v>
      </c>
      <c r="BQ401" s="693">
        <v>90.5</v>
      </c>
      <c r="BR401" s="1882" t="s">
        <v>2460</v>
      </c>
      <c r="BS401" s="1882" t="s">
        <v>8513</v>
      </c>
      <c r="BT401" s="1882">
        <v>0</v>
      </c>
      <c r="BU401" s="1882" t="s">
        <v>8513</v>
      </c>
      <c r="BV401" s="1882">
        <v>0</v>
      </c>
      <c r="BW401" s="1882">
        <v>96.8</v>
      </c>
      <c r="BX401" s="1882" t="s">
        <v>2459</v>
      </c>
      <c r="BY401" s="1882">
        <v>0</v>
      </c>
      <c r="BZ401" s="1882">
        <v>0</v>
      </c>
      <c r="CA401" s="1882">
        <v>0</v>
      </c>
      <c r="CB401" s="1882">
        <v>0</v>
      </c>
      <c r="CC401" s="2101">
        <v>96.64</v>
      </c>
      <c r="CD401" s="1882" t="s">
        <v>2459</v>
      </c>
      <c r="CE401" s="1882">
        <v>0</v>
      </c>
      <c r="CF401" s="1882">
        <v>0</v>
      </c>
      <c r="CG401" s="1882">
        <v>0</v>
      </c>
      <c r="CH401" s="1882">
        <v>0</v>
      </c>
      <c r="CI401" s="2101">
        <v>98.822091713264996</v>
      </c>
      <c r="CJ401" s="1882" t="s">
        <v>2459</v>
      </c>
      <c r="CK401" s="1882">
        <v>0</v>
      </c>
      <c r="CL401" s="1882">
        <v>0</v>
      </c>
      <c r="CM401" s="1882">
        <v>0</v>
      </c>
      <c r="CN401" s="1882">
        <v>0</v>
      </c>
      <c r="CP401" s="1882" t="s">
        <v>10802</v>
      </c>
    </row>
    <row r="402" spans="1:94">
      <c r="A402" s="1882" t="s">
        <v>8379</v>
      </c>
      <c r="B402" s="1882" t="s">
        <v>10803</v>
      </c>
      <c r="C402" s="1882" t="s">
        <v>8352</v>
      </c>
      <c r="D402" s="1882" t="s">
        <v>8584</v>
      </c>
      <c r="E402" s="1882" t="s">
        <v>8585</v>
      </c>
      <c r="F402" s="1882" t="s">
        <v>10777</v>
      </c>
      <c r="G402" s="1882" t="s">
        <v>10804</v>
      </c>
      <c r="H402" s="1882" t="s">
        <v>10805</v>
      </c>
      <c r="I402" s="1882" t="s">
        <v>10806</v>
      </c>
      <c r="J402" s="1882" t="s">
        <v>8508</v>
      </c>
      <c r="K402" s="1882" t="s">
        <v>8509</v>
      </c>
      <c r="L402" s="1882"/>
      <c r="M402" s="1882" t="s">
        <v>2460</v>
      </c>
      <c r="N402" s="1882" t="s">
        <v>8590</v>
      </c>
      <c r="O402" s="1882" t="s">
        <v>8591</v>
      </c>
      <c r="P402" s="1882" t="s">
        <v>8592</v>
      </c>
      <c r="Q402" s="520">
        <v>1</v>
      </c>
      <c r="R402" s="1882" t="s">
        <v>8549</v>
      </c>
      <c r="S402" s="1882" t="s">
        <v>8540</v>
      </c>
      <c r="T402" s="1882" t="s">
        <v>8540</v>
      </c>
      <c r="U402" s="1882" t="s">
        <v>8540</v>
      </c>
      <c r="V402" s="1882" t="s">
        <v>8540</v>
      </c>
      <c r="W402" s="1882" t="s">
        <v>8540</v>
      </c>
      <c r="X402" s="1882" t="s">
        <v>8540</v>
      </c>
      <c r="Y402" s="1882"/>
      <c r="Z402" s="1882"/>
      <c r="AA402" s="1882"/>
      <c r="AB402" s="1882"/>
      <c r="AC402" s="1882"/>
      <c r="AD402" s="1882"/>
      <c r="AE402" s="1882"/>
      <c r="AF402" s="1882"/>
      <c r="AG402" s="1882"/>
      <c r="AH402" s="1882">
        <v>0</v>
      </c>
      <c r="AI402" s="1882" t="s">
        <v>2459</v>
      </c>
      <c r="AJ402" s="1882" t="s">
        <v>2459</v>
      </c>
      <c r="AK402" s="1882" t="s">
        <v>2459</v>
      </c>
      <c r="AL402" s="1882" t="s">
        <v>2459</v>
      </c>
      <c r="AM402" s="1882" t="s">
        <v>2459</v>
      </c>
      <c r="AN402" s="1882" t="s">
        <v>8593</v>
      </c>
      <c r="AO402" s="1882" t="s">
        <v>8593</v>
      </c>
      <c r="AP402" s="1882" t="s">
        <v>8593</v>
      </c>
      <c r="AQ402" s="1882" t="s">
        <v>8593</v>
      </c>
      <c r="AR402" s="1882" t="s">
        <v>8593</v>
      </c>
      <c r="AS402" s="1882" t="s">
        <v>8593</v>
      </c>
      <c r="AT402" s="1882" t="s">
        <v>8593</v>
      </c>
      <c r="AU402" s="1882" t="s">
        <v>8593</v>
      </c>
      <c r="AV402" s="1882" t="s">
        <v>8593</v>
      </c>
      <c r="AW402" s="1882" t="s">
        <v>8593</v>
      </c>
      <c r="AX402" s="1882" t="s">
        <v>8593</v>
      </c>
      <c r="AY402" s="1882" t="s">
        <v>8593</v>
      </c>
      <c r="AZ402" s="1882" t="s">
        <v>8593</v>
      </c>
      <c r="BA402" s="1882" t="s">
        <v>8593</v>
      </c>
      <c r="BB402" s="1882" t="s">
        <v>8593</v>
      </c>
      <c r="BC402" s="1882" t="s">
        <v>8593</v>
      </c>
      <c r="BD402" s="1882" t="s">
        <v>8593</v>
      </c>
      <c r="BE402" s="1882" t="s">
        <v>8593</v>
      </c>
      <c r="BF402" s="1882" t="s">
        <v>8593</v>
      </c>
      <c r="BG402" s="1882" t="s">
        <v>8593</v>
      </c>
      <c r="BH402" s="1882" t="s">
        <v>8593</v>
      </c>
      <c r="BI402" s="1882"/>
      <c r="BJ402" s="1882"/>
      <c r="BK402" s="1882"/>
      <c r="BL402" s="1882" t="s">
        <v>8593</v>
      </c>
      <c r="BM402" s="1882"/>
      <c r="BN402" s="1882">
        <v>1</v>
      </c>
      <c r="BO402" s="1882" t="s">
        <v>8512</v>
      </c>
      <c r="BP402" s="520">
        <v>72.599999999999994</v>
      </c>
      <c r="BQ402" s="692">
        <v>76.739999999999995</v>
      </c>
      <c r="BR402" s="1882" t="s">
        <v>8513</v>
      </c>
      <c r="BS402" s="1882" t="s">
        <v>8513</v>
      </c>
      <c r="BT402" s="1882">
        <v>0</v>
      </c>
      <c r="BU402" s="1882" t="s">
        <v>8513</v>
      </c>
      <c r="BV402" s="1882">
        <v>0</v>
      </c>
      <c r="BW402" s="1882">
        <v>77.264009835474994</v>
      </c>
      <c r="BX402" s="1882" t="s">
        <v>2451</v>
      </c>
      <c r="BY402" s="1882">
        <v>0</v>
      </c>
      <c r="BZ402" s="1882">
        <v>0</v>
      </c>
      <c r="CA402" s="1882">
        <v>0</v>
      </c>
      <c r="CB402" s="1882">
        <v>0</v>
      </c>
      <c r="CC402" s="1882">
        <v>78.428740527351835</v>
      </c>
      <c r="CD402" s="1882" t="s">
        <v>2451</v>
      </c>
      <c r="CE402" s="1882">
        <v>0</v>
      </c>
      <c r="CF402" s="1882">
        <v>0</v>
      </c>
      <c r="CG402" s="1882">
        <v>0</v>
      </c>
      <c r="CH402" s="1882">
        <v>0</v>
      </c>
      <c r="CI402" s="1882">
        <v>75.029926160142097</v>
      </c>
      <c r="CJ402" s="1882" t="s">
        <v>2451</v>
      </c>
      <c r="CK402" s="1882">
        <v>0</v>
      </c>
      <c r="CL402" s="1882">
        <v>0</v>
      </c>
      <c r="CM402" s="1882">
        <v>0</v>
      </c>
      <c r="CN402" s="1882">
        <v>0</v>
      </c>
      <c r="CP402" s="1882" t="s">
        <v>10807</v>
      </c>
    </row>
    <row r="403" spans="1:94" ht="20">
      <c r="A403" s="1882" t="s">
        <v>8379</v>
      </c>
      <c r="B403" s="1882" t="s">
        <v>10808</v>
      </c>
      <c r="C403" s="1882" t="s">
        <v>8352</v>
      </c>
      <c r="D403" s="1882" t="s">
        <v>8584</v>
      </c>
      <c r="E403" s="1882" t="s">
        <v>8585</v>
      </c>
      <c r="F403" s="1882" t="s">
        <v>10809</v>
      </c>
      <c r="G403" s="1882" t="s">
        <v>10810</v>
      </c>
      <c r="H403" s="1882" t="s">
        <v>10811</v>
      </c>
      <c r="I403" s="1882" t="s">
        <v>10812</v>
      </c>
      <c r="J403" s="1882" t="s">
        <v>8519</v>
      </c>
      <c r="K403" s="1882" t="s">
        <v>8509</v>
      </c>
      <c r="L403" s="1882"/>
      <c r="M403" s="1882" t="s">
        <v>2460</v>
      </c>
      <c r="N403" s="1882" t="s">
        <v>8599</v>
      </c>
      <c r="O403" s="1882" t="s">
        <v>8797</v>
      </c>
      <c r="P403" s="1882" t="s">
        <v>10813</v>
      </c>
      <c r="Q403" s="520" t="s">
        <v>8512</v>
      </c>
      <c r="R403" s="1882"/>
      <c r="S403" s="1882" t="s">
        <v>10814</v>
      </c>
      <c r="T403" s="1882" t="s">
        <v>10814</v>
      </c>
      <c r="U403" s="1882" t="s">
        <v>10814</v>
      </c>
      <c r="V403" s="1882" t="s">
        <v>9289</v>
      </c>
      <c r="W403" s="1882" t="s">
        <v>9289</v>
      </c>
      <c r="X403" s="1882" t="s">
        <v>9289</v>
      </c>
      <c r="Y403" s="1882"/>
      <c r="Z403" s="1882"/>
      <c r="AA403" s="1882"/>
      <c r="AB403" s="1882"/>
      <c r="AC403" s="1882"/>
      <c r="AD403" s="1882" t="s">
        <v>2459</v>
      </c>
      <c r="AE403" s="1882"/>
      <c r="AF403" s="1882"/>
      <c r="AG403" s="1882"/>
      <c r="AH403" s="1882">
        <v>0</v>
      </c>
      <c r="AI403" s="1882"/>
      <c r="AJ403" s="1882"/>
      <c r="AK403" s="1882"/>
      <c r="AL403" s="1882" t="s">
        <v>2459</v>
      </c>
      <c r="AM403" s="1882" t="s">
        <v>2459</v>
      </c>
      <c r="AN403" s="1882"/>
      <c r="AO403" s="1882"/>
      <c r="AP403" s="1882"/>
      <c r="AQ403" s="1882"/>
      <c r="AR403" s="1882" t="s">
        <v>10667</v>
      </c>
      <c r="AS403" s="1882"/>
      <c r="AT403" s="1882"/>
      <c r="AU403" s="1882"/>
      <c r="AV403" s="1882" t="s">
        <v>10815</v>
      </c>
      <c r="AW403" s="1882" t="s">
        <v>10815</v>
      </c>
      <c r="AX403" s="1882"/>
      <c r="AY403" s="1882"/>
      <c r="AZ403" s="1882"/>
      <c r="BA403" s="1882"/>
      <c r="BB403" s="1882"/>
      <c r="BC403" s="1882"/>
      <c r="BD403" s="1882"/>
      <c r="BE403" s="1882"/>
      <c r="BF403" s="1882"/>
      <c r="BG403" s="1882"/>
      <c r="BH403" s="1882">
        <v>6.5</v>
      </c>
      <c r="BI403" s="1882">
        <v>20.5</v>
      </c>
      <c r="BJ403" s="1882"/>
      <c r="BK403" s="1882"/>
      <c r="BL403" s="1882"/>
      <c r="BM403" s="1882"/>
      <c r="BN403" s="1882">
        <v>1</v>
      </c>
      <c r="BO403" s="1882" t="s">
        <v>8512</v>
      </c>
      <c r="BP403" s="520" t="s">
        <v>8697</v>
      </c>
      <c r="BQ403" s="707" t="s">
        <v>10814</v>
      </c>
      <c r="BR403" s="1882" t="s">
        <v>2459</v>
      </c>
      <c r="BS403" s="1882" t="s">
        <v>8513</v>
      </c>
      <c r="BT403" s="1882">
        <v>0</v>
      </c>
      <c r="BU403" s="1882" t="s">
        <v>8513</v>
      </c>
      <c r="BV403" s="1882">
        <v>0</v>
      </c>
      <c r="BW403" s="1882" t="s">
        <v>10816</v>
      </c>
      <c r="BX403" s="1882" t="s">
        <v>2459</v>
      </c>
      <c r="BY403" s="1882">
        <v>0</v>
      </c>
      <c r="BZ403" s="1882">
        <v>0</v>
      </c>
      <c r="CA403" s="1882">
        <v>0</v>
      </c>
      <c r="CB403" s="1882">
        <v>0</v>
      </c>
      <c r="CC403" s="1882" t="s">
        <v>10817</v>
      </c>
      <c r="CD403" s="1882" t="s">
        <v>2459</v>
      </c>
      <c r="CE403" s="1882">
        <v>0</v>
      </c>
      <c r="CF403" s="1882">
        <v>0</v>
      </c>
      <c r="CG403" s="1882">
        <v>0</v>
      </c>
      <c r="CH403" s="1882">
        <v>0</v>
      </c>
      <c r="CI403" s="1882" t="s">
        <v>10818</v>
      </c>
      <c r="CJ403" s="1882" t="s">
        <v>2459</v>
      </c>
      <c r="CK403" s="1882">
        <v>0</v>
      </c>
      <c r="CL403" s="1882">
        <v>0</v>
      </c>
      <c r="CM403" s="1882">
        <v>0</v>
      </c>
      <c r="CN403" s="1882">
        <v>0</v>
      </c>
      <c r="CP403" s="1882" t="s">
        <v>10819</v>
      </c>
    </row>
    <row r="404" spans="1:94">
      <c r="A404" s="1882" t="s">
        <v>8379</v>
      </c>
      <c r="B404" s="1882" t="s">
        <v>10820</v>
      </c>
      <c r="C404" s="1882" t="s">
        <v>8352</v>
      </c>
      <c r="D404" s="1882" t="s">
        <v>8584</v>
      </c>
      <c r="E404" s="1882" t="s">
        <v>8585</v>
      </c>
      <c r="F404" s="1882" t="s">
        <v>10821</v>
      </c>
      <c r="G404" s="1882" t="s">
        <v>10822</v>
      </c>
      <c r="H404" s="1882" t="s">
        <v>10823</v>
      </c>
      <c r="I404" s="1882" t="s">
        <v>10824</v>
      </c>
      <c r="J404" s="1882" t="s">
        <v>8539</v>
      </c>
      <c r="K404" s="1882"/>
      <c r="L404" s="1882"/>
      <c r="M404" s="1882"/>
      <c r="N404" s="1882" t="s">
        <v>8599</v>
      </c>
      <c r="O404" s="1882" t="s">
        <v>732</v>
      </c>
      <c r="P404" s="1882" t="s">
        <v>10825</v>
      </c>
      <c r="Q404" s="520">
        <v>0</v>
      </c>
      <c r="R404" s="1882" t="s">
        <v>8549</v>
      </c>
      <c r="S404" s="1882">
        <v>52</v>
      </c>
      <c r="T404" s="1882">
        <v>53</v>
      </c>
      <c r="U404" s="1882">
        <v>54</v>
      </c>
      <c r="V404" s="1882">
        <v>54</v>
      </c>
      <c r="W404" s="1882">
        <v>57</v>
      </c>
      <c r="X404" s="1882">
        <v>60</v>
      </c>
      <c r="Y404" s="1882"/>
      <c r="Z404" s="1882"/>
      <c r="AA404" s="1882"/>
      <c r="AB404" s="1882"/>
      <c r="AC404" s="1882"/>
      <c r="AD404" s="1882"/>
      <c r="AE404" s="1882"/>
      <c r="AF404" s="1882"/>
      <c r="AG404" s="1882"/>
      <c r="AH404" s="1882">
        <v>0</v>
      </c>
      <c r="AI404" s="1882"/>
      <c r="AJ404" s="1882"/>
      <c r="AK404" s="1882"/>
      <c r="AL404" s="1882"/>
      <c r="AM404" s="1882"/>
      <c r="AN404" s="1882"/>
      <c r="AO404" s="1882"/>
      <c r="AP404" s="1882"/>
      <c r="AQ404" s="1882"/>
      <c r="AR404" s="1882"/>
      <c r="AS404" s="1882"/>
      <c r="AT404" s="1882"/>
      <c r="AU404" s="1882"/>
      <c r="AV404" s="1882"/>
      <c r="AW404" s="1882"/>
      <c r="AX404" s="1882"/>
      <c r="AY404" s="1882"/>
      <c r="AZ404" s="1882"/>
      <c r="BA404" s="1882"/>
      <c r="BB404" s="1882"/>
      <c r="BC404" s="1882"/>
      <c r="BD404" s="1882"/>
      <c r="BE404" s="1882"/>
      <c r="BF404" s="1882"/>
      <c r="BG404" s="1882"/>
      <c r="BH404" s="1882"/>
      <c r="BI404" s="1882"/>
      <c r="BJ404" s="1882"/>
      <c r="BK404" s="1882"/>
      <c r="BL404" s="1882"/>
      <c r="BM404" s="1882"/>
      <c r="BN404" s="1882"/>
      <c r="BO404" s="1882"/>
      <c r="BP404" s="520" t="s">
        <v>8697</v>
      </c>
      <c r="BQ404" s="693">
        <v>54.19</v>
      </c>
      <c r="BR404" s="1882" t="s">
        <v>2459</v>
      </c>
      <c r="BS404" s="1882" t="s">
        <v>8513</v>
      </c>
      <c r="BT404" s="1882">
        <v>0</v>
      </c>
      <c r="BU404" s="1882" t="s">
        <v>8513</v>
      </c>
      <c r="BV404" s="1882">
        <v>0</v>
      </c>
      <c r="BW404" s="1882">
        <v>54.66</v>
      </c>
      <c r="BX404" s="1882" t="s">
        <v>2459</v>
      </c>
      <c r="BY404" s="1882">
        <v>0</v>
      </c>
      <c r="BZ404" s="1882">
        <v>0</v>
      </c>
      <c r="CA404" s="1882">
        <v>0</v>
      </c>
      <c r="CB404" s="1882">
        <v>0</v>
      </c>
      <c r="CC404" s="2101">
        <v>58.08</v>
      </c>
      <c r="CD404" s="1882" t="s">
        <v>2459</v>
      </c>
      <c r="CE404" s="1882">
        <v>0</v>
      </c>
      <c r="CF404" s="1882">
        <v>0</v>
      </c>
      <c r="CG404" s="1882">
        <v>0</v>
      </c>
      <c r="CH404" s="1882">
        <v>0</v>
      </c>
      <c r="CI404" s="2101">
        <v>57.98</v>
      </c>
      <c r="CJ404" s="1882" t="s">
        <v>2459</v>
      </c>
      <c r="CK404" s="1882">
        <v>0</v>
      </c>
      <c r="CL404" s="1882">
        <v>0</v>
      </c>
      <c r="CM404" s="1882">
        <v>0</v>
      </c>
      <c r="CN404" s="1882">
        <v>0</v>
      </c>
      <c r="CP404" s="1882" t="s">
        <v>10826</v>
      </c>
    </row>
    <row r="405" spans="1:94">
      <c r="A405" s="1882" t="s">
        <v>8379</v>
      </c>
      <c r="B405" s="1882" t="s">
        <v>10827</v>
      </c>
      <c r="C405" s="1882" t="s">
        <v>8352</v>
      </c>
      <c r="D405" s="1882" t="s">
        <v>8584</v>
      </c>
      <c r="E405" s="1882" t="s">
        <v>8585</v>
      </c>
      <c r="F405" s="1882" t="s">
        <v>10821</v>
      </c>
      <c r="G405" s="1882" t="s">
        <v>10828</v>
      </c>
      <c r="H405" s="1882" t="s">
        <v>10829</v>
      </c>
      <c r="I405" s="1882" t="s">
        <v>10830</v>
      </c>
      <c r="J405" s="1882" t="s">
        <v>8539</v>
      </c>
      <c r="K405" s="1882"/>
      <c r="L405" s="1882"/>
      <c r="M405" s="1882"/>
      <c r="N405" s="1882" t="s">
        <v>8599</v>
      </c>
      <c r="O405" s="1882" t="s">
        <v>732</v>
      </c>
      <c r="P405" s="1882" t="s">
        <v>10831</v>
      </c>
      <c r="Q405" s="520">
        <v>1</v>
      </c>
      <c r="R405" s="1882" t="s">
        <v>8549</v>
      </c>
      <c r="S405" s="1882">
        <v>88.6</v>
      </c>
      <c r="T405" s="1882">
        <v>89</v>
      </c>
      <c r="U405" s="1882">
        <v>89.4</v>
      </c>
      <c r="V405" s="1882">
        <v>89.7</v>
      </c>
      <c r="W405" s="1882">
        <v>89.6</v>
      </c>
      <c r="X405" s="1882">
        <v>90.4</v>
      </c>
      <c r="Y405" s="1882"/>
      <c r="Z405" s="1882"/>
      <c r="AA405" s="1882"/>
      <c r="AB405" s="1882"/>
      <c r="AC405" s="1882"/>
      <c r="AD405" s="1882"/>
      <c r="AE405" s="1882"/>
      <c r="AF405" s="1882"/>
      <c r="AG405" s="1882"/>
      <c r="AH405" s="1882">
        <v>0</v>
      </c>
      <c r="AI405" s="1882"/>
      <c r="AJ405" s="1882"/>
      <c r="AK405" s="1882"/>
      <c r="AL405" s="1882"/>
      <c r="AM405" s="1882"/>
      <c r="AN405" s="1882"/>
      <c r="AO405" s="1882"/>
      <c r="AP405" s="1882"/>
      <c r="AQ405" s="1882"/>
      <c r="AR405" s="1882"/>
      <c r="AS405" s="1882"/>
      <c r="AT405" s="1882"/>
      <c r="AU405" s="1882"/>
      <c r="AV405" s="1882"/>
      <c r="AW405" s="1882"/>
      <c r="AX405" s="1882"/>
      <c r="AY405" s="1882"/>
      <c r="AZ405" s="1882"/>
      <c r="BA405" s="1882"/>
      <c r="BB405" s="1882"/>
      <c r="BC405" s="1882"/>
      <c r="BD405" s="1882"/>
      <c r="BE405" s="1882"/>
      <c r="BF405" s="1882"/>
      <c r="BG405" s="1882"/>
      <c r="BH405" s="1882"/>
      <c r="BI405" s="1882"/>
      <c r="BJ405" s="1882"/>
      <c r="BK405" s="1882"/>
      <c r="BL405" s="1882"/>
      <c r="BM405" s="1882"/>
      <c r="BN405" s="1882"/>
      <c r="BO405" s="1882"/>
      <c r="BP405" s="520">
        <v>87.9</v>
      </c>
      <c r="BQ405" s="690">
        <v>88.2</v>
      </c>
      <c r="BR405" s="1882" t="s">
        <v>2460</v>
      </c>
      <c r="BS405" s="1882" t="s">
        <v>8513</v>
      </c>
      <c r="BT405" s="1882">
        <v>0</v>
      </c>
      <c r="BU405" s="1882" t="s">
        <v>8513</v>
      </c>
      <c r="BV405" s="1882">
        <v>0</v>
      </c>
      <c r="BW405" s="1882">
        <v>87.86</v>
      </c>
      <c r="BX405" s="1882" t="s">
        <v>2460</v>
      </c>
      <c r="BY405" s="1882">
        <v>0</v>
      </c>
      <c r="BZ405" s="1882">
        <v>0</v>
      </c>
      <c r="CA405" s="1882">
        <v>0</v>
      </c>
      <c r="CB405" s="1882">
        <v>0</v>
      </c>
      <c r="CC405" s="2101">
        <v>89.2</v>
      </c>
      <c r="CD405" s="1882" t="s">
        <v>2460</v>
      </c>
      <c r="CE405" s="1882">
        <v>0</v>
      </c>
      <c r="CF405" s="1882">
        <v>0</v>
      </c>
      <c r="CG405" s="1882">
        <v>0</v>
      </c>
      <c r="CH405" s="1882">
        <v>0</v>
      </c>
      <c r="CI405" s="2101">
        <v>87.918246609468497</v>
      </c>
      <c r="CJ405" s="1882" t="s">
        <v>2460</v>
      </c>
      <c r="CK405" s="1882">
        <v>0</v>
      </c>
      <c r="CL405" s="1882">
        <v>0</v>
      </c>
      <c r="CM405" s="1882">
        <v>0</v>
      </c>
      <c r="CN405" s="1882">
        <v>0</v>
      </c>
      <c r="CP405" s="1882" t="s">
        <v>10832</v>
      </c>
    </row>
    <row r="406" spans="1:94">
      <c r="A406" s="1882" t="s">
        <v>10833</v>
      </c>
      <c r="B406" s="1882" t="s">
        <v>10834</v>
      </c>
      <c r="C406" s="1882" t="s">
        <v>8352</v>
      </c>
      <c r="D406" s="1882" t="s">
        <v>1626</v>
      </c>
      <c r="E406" s="1882" t="s">
        <v>8503</v>
      </c>
      <c r="F406" s="1882" t="s">
        <v>10835</v>
      </c>
      <c r="G406" s="1882" t="s">
        <v>7234</v>
      </c>
      <c r="H406" s="1882" t="s">
        <v>10836</v>
      </c>
      <c r="I406" s="1882" t="s">
        <v>10837</v>
      </c>
      <c r="J406" s="1882" t="s">
        <v>8539</v>
      </c>
      <c r="K406" s="1882"/>
      <c r="L406" s="1882"/>
      <c r="M406" s="1882"/>
      <c r="N406" s="1882" t="s">
        <v>8547</v>
      </c>
      <c r="O406" s="1882" t="s">
        <v>8591</v>
      </c>
      <c r="P406" s="1882" t="s">
        <v>10838</v>
      </c>
      <c r="Q406" s="520">
        <v>1</v>
      </c>
      <c r="R406" s="1882" t="s">
        <v>8511</v>
      </c>
      <c r="S406" s="1882">
        <v>3.9</v>
      </c>
      <c r="T406" s="1882">
        <v>3.9</v>
      </c>
      <c r="U406" s="1882">
        <v>3.9</v>
      </c>
      <c r="V406" s="1882">
        <v>3.9</v>
      </c>
      <c r="W406" s="1882">
        <v>3.9</v>
      </c>
      <c r="X406" s="1882">
        <v>3.9</v>
      </c>
      <c r="Y406" s="1882"/>
      <c r="Z406" s="1882"/>
      <c r="AA406" s="1882"/>
      <c r="AB406" s="1882"/>
      <c r="AC406" s="1882"/>
      <c r="AD406" s="1882"/>
      <c r="AE406" s="1882" t="s">
        <v>2459</v>
      </c>
      <c r="AF406" s="1882"/>
      <c r="AG406" s="1882"/>
      <c r="AH406" s="1882">
        <v>0</v>
      </c>
      <c r="AI406" s="1882"/>
      <c r="AJ406" s="1882"/>
      <c r="AK406" s="1882"/>
      <c r="AL406" s="1882"/>
      <c r="AM406" s="1882"/>
      <c r="AN406" s="1882"/>
      <c r="AO406" s="1882"/>
      <c r="AP406" s="1882"/>
      <c r="AQ406" s="1882"/>
      <c r="AR406" s="1882"/>
      <c r="AS406" s="1882"/>
      <c r="AT406" s="1882"/>
      <c r="AU406" s="1882"/>
      <c r="AV406" s="1882"/>
      <c r="AW406" s="1882"/>
      <c r="AX406" s="1882"/>
      <c r="AY406" s="1882"/>
      <c r="AZ406" s="1882"/>
      <c r="BA406" s="1882"/>
      <c r="BB406" s="1882"/>
      <c r="BC406" s="1882"/>
      <c r="BD406" s="1882"/>
      <c r="BE406" s="1882"/>
      <c r="BF406" s="1882"/>
      <c r="BG406" s="1882"/>
      <c r="BH406" s="1882"/>
      <c r="BI406" s="1882"/>
      <c r="BJ406" s="1882"/>
      <c r="BK406" s="1882"/>
      <c r="BL406" s="1882"/>
      <c r="BM406" s="1882"/>
      <c r="BN406" s="1882"/>
      <c r="BO406" s="1882"/>
      <c r="BP406" s="520">
        <v>4.3</v>
      </c>
      <c r="BQ406" s="690">
        <v>4.3</v>
      </c>
      <c r="BR406" s="1882" t="s">
        <v>2459</v>
      </c>
      <c r="BS406" s="1882" t="s">
        <v>8513</v>
      </c>
      <c r="BT406" s="1882">
        <v>0</v>
      </c>
      <c r="BU406" s="1882" t="s">
        <v>8513</v>
      </c>
      <c r="BV406" s="1882">
        <v>0</v>
      </c>
      <c r="BW406" s="1882">
        <v>4.3</v>
      </c>
      <c r="BX406" s="1882" t="s">
        <v>2459</v>
      </c>
      <c r="BY406" s="1882">
        <v>0</v>
      </c>
      <c r="BZ406" s="1882">
        <v>0</v>
      </c>
      <c r="CA406" s="1882">
        <v>0</v>
      </c>
      <c r="CB406" s="1882">
        <v>0</v>
      </c>
      <c r="CC406" s="1882">
        <v>4.3</v>
      </c>
      <c r="CD406" s="1882" t="s">
        <v>2459</v>
      </c>
      <c r="CE406" s="1882">
        <v>0</v>
      </c>
      <c r="CF406" s="1882">
        <v>0</v>
      </c>
      <c r="CG406" s="1882">
        <v>0</v>
      </c>
      <c r="CH406" s="1882">
        <v>0</v>
      </c>
      <c r="CI406" s="1882">
        <v>4.8</v>
      </c>
      <c r="CJ406" s="1882" t="s">
        <v>2459</v>
      </c>
      <c r="CK406" s="1882">
        <v>0</v>
      </c>
      <c r="CL406" s="1882">
        <v>0</v>
      </c>
      <c r="CM406" s="1882">
        <v>0</v>
      </c>
      <c r="CN406" s="1882">
        <v>0</v>
      </c>
      <c r="CP406" s="1882" t="s">
        <v>10839</v>
      </c>
    </row>
    <row r="407" spans="1:94">
      <c r="A407" s="1882" t="s">
        <v>10833</v>
      </c>
      <c r="B407" s="1882" t="s">
        <v>10840</v>
      </c>
      <c r="C407" s="1882" t="s">
        <v>8352</v>
      </c>
      <c r="D407" s="1882" t="s">
        <v>1626</v>
      </c>
      <c r="E407" s="1882" t="s">
        <v>8503</v>
      </c>
      <c r="F407" s="1882" t="s">
        <v>10835</v>
      </c>
      <c r="G407" s="1882" t="s">
        <v>7235</v>
      </c>
      <c r="H407" s="1882" t="s">
        <v>10841</v>
      </c>
      <c r="I407" s="1882" t="s">
        <v>10842</v>
      </c>
      <c r="J407" s="1882" t="s">
        <v>8519</v>
      </c>
      <c r="K407" s="1882" t="s">
        <v>10843</v>
      </c>
      <c r="L407" s="1882"/>
      <c r="M407" s="1882"/>
      <c r="N407" s="1882" t="s">
        <v>8547</v>
      </c>
      <c r="O407" s="1882" t="s">
        <v>764</v>
      </c>
      <c r="P407" s="1882" t="s">
        <v>10844</v>
      </c>
      <c r="Q407" s="520">
        <v>0</v>
      </c>
      <c r="R407" s="1882" t="s">
        <v>8511</v>
      </c>
      <c r="S407" s="1882">
        <v>13</v>
      </c>
      <c r="T407" s="1882">
        <v>12</v>
      </c>
      <c r="U407" s="1882">
        <v>11</v>
      </c>
      <c r="V407" s="1882">
        <v>10</v>
      </c>
      <c r="W407" s="1882">
        <v>9</v>
      </c>
      <c r="X407" s="1882">
        <v>7</v>
      </c>
      <c r="Y407" s="1882"/>
      <c r="Z407" s="1882"/>
      <c r="AA407" s="1882"/>
      <c r="AB407" s="1882"/>
      <c r="AC407" s="1882"/>
      <c r="AD407" s="1882"/>
      <c r="AE407" s="1882" t="s">
        <v>2459</v>
      </c>
      <c r="AF407" s="1882"/>
      <c r="AG407" s="1882"/>
      <c r="AH407" s="1882">
        <v>0</v>
      </c>
      <c r="AI407" s="1882" t="s">
        <v>2459</v>
      </c>
      <c r="AJ407" s="1882" t="s">
        <v>2459</v>
      </c>
      <c r="AK407" s="1882" t="s">
        <v>2459</v>
      </c>
      <c r="AL407" s="1882" t="s">
        <v>2459</v>
      </c>
      <c r="AM407" s="1882" t="s">
        <v>2459</v>
      </c>
      <c r="AN407" s="1882">
        <v>15</v>
      </c>
      <c r="AO407" s="1882">
        <v>15</v>
      </c>
      <c r="AP407" s="1882">
        <v>15</v>
      </c>
      <c r="AQ407" s="1882">
        <v>15</v>
      </c>
      <c r="AR407" s="1882">
        <v>15</v>
      </c>
      <c r="AS407" s="1882">
        <v>12</v>
      </c>
      <c r="AT407" s="1882">
        <v>11</v>
      </c>
      <c r="AU407" s="1882">
        <v>10</v>
      </c>
      <c r="AV407" s="1882">
        <v>9</v>
      </c>
      <c r="AW407" s="1882">
        <v>7</v>
      </c>
      <c r="AX407" s="1882"/>
      <c r="AY407" s="1882"/>
      <c r="AZ407" s="1882"/>
      <c r="BA407" s="1882"/>
      <c r="BB407" s="1882"/>
      <c r="BC407" s="1882"/>
      <c r="BD407" s="1882"/>
      <c r="BE407" s="1882"/>
      <c r="BF407" s="1882"/>
      <c r="BG407" s="1882"/>
      <c r="BH407" s="1882">
        <v>0.14899999999999999</v>
      </c>
      <c r="BI407" s="1882"/>
      <c r="BJ407" s="1882"/>
      <c r="BK407" s="1882"/>
      <c r="BL407" s="1882"/>
      <c r="BM407" s="1882"/>
      <c r="BN407" s="1882">
        <v>1</v>
      </c>
      <c r="BO407" s="1882" t="s">
        <v>8512</v>
      </c>
      <c r="BP407" s="520">
        <v>27</v>
      </c>
      <c r="BQ407" s="693">
        <v>35</v>
      </c>
      <c r="BR407" s="1882" t="s">
        <v>2460</v>
      </c>
      <c r="BS407" s="1882" t="s">
        <v>8513</v>
      </c>
      <c r="BT407" s="1882">
        <v>0</v>
      </c>
      <c r="BU407" s="1882" t="s">
        <v>8563</v>
      </c>
      <c r="BV407" s="1882">
        <v>-0.44700000000000001</v>
      </c>
      <c r="BW407" s="1882">
        <v>22</v>
      </c>
      <c r="BX407" s="1882" t="s">
        <v>2460</v>
      </c>
      <c r="BY407" s="1882">
        <v>0</v>
      </c>
      <c r="BZ407" s="1882">
        <v>0</v>
      </c>
      <c r="CA407" s="1882" t="s">
        <v>8563</v>
      </c>
      <c r="CB407" s="1882">
        <v>-0.59599999999999997</v>
      </c>
      <c r="CC407" s="1882">
        <v>27</v>
      </c>
      <c r="CD407" s="1882" t="s">
        <v>2460</v>
      </c>
      <c r="CE407" s="1882">
        <v>0</v>
      </c>
      <c r="CF407" s="1882">
        <v>0</v>
      </c>
      <c r="CG407" s="1882" t="s">
        <v>8384</v>
      </c>
      <c r="CH407" s="1882">
        <v>-0.745</v>
      </c>
      <c r="CI407" s="1882">
        <v>6</v>
      </c>
      <c r="CJ407" s="1882" t="s">
        <v>2459</v>
      </c>
      <c r="CK407" s="1882">
        <v>0</v>
      </c>
      <c r="CL407" s="1882">
        <v>0</v>
      </c>
      <c r="CM407" s="1882">
        <v>0</v>
      </c>
      <c r="CN407" s="1882">
        <v>0</v>
      </c>
      <c r="CP407" s="1882" t="s">
        <v>10845</v>
      </c>
    </row>
    <row r="408" spans="1:94">
      <c r="A408" s="1882" t="s">
        <v>10833</v>
      </c>
      <c r="B408" s="1882" t="s">
        <v>10846</v>
      </c>
      <c r="C408" s="1882" t="s">
        <v>8352</v>
      </c>
      <c r="D408" s="1882" t="s">
        <v>1626</v>
      </c>
      <c r="E408" s="1882" t="s">
        <v>8503</v>
      </c>
      <c r="F408" s="1882" t="s">
        <v>10835</v>
      </c>
      <c r="G408" s="1882" t="s">
        <v>8233</v>
      </c>
      <c r="H408" s="1882" t="s">
        <v>10847</v>
      </c>
      <c r="I408" s="1882" t="s">
        <v>10848</v>
      </c>
      <c r="J408" s="1882" t="s">
        <v>8508</v>
      </c>
      <c r="K408" s="1882" t="s">
        <v>10843</v>
      </c>
      <c r="L408" s="1882"/>
      <c r="M408" s="1882" t="s">
        <v>2460</v>
      </c>
      <c r="N408" s="1882" t="s">
        <v>8547</v>
      </c>
      <c r="O408" s="1882" t="s">
        <v>8591</v>
      </c>
      <c r="P408" s="1882" t="s">
        <v>10849</v>
      </c>
      <c r="Q408" s="520">
        <v>3</v>
      </c>
      <c r="R408" s="1882" t="s">
        <v>8549</v>
      </c>
      <c r="S408" s="1882">
        <v>107.2</v>
      </c>
      <c r="T408" s="1882">
        <v>119.3</v>
      </c>
      <c r="U408" s="1882">
        <v>130.30000000000001</v>
      </c>
      <c r="V408" s="1882">
        <v>145.9</v>
      </c>
      <c r="W408" s="1882">
        <v>145.9</v>
      </c>
      <c r="X408" s="1882">
        <v>145.9</v>
      </c>
      <c r="Y408" s="1882" t="s">
        <v>2459</v>
      </c>
      <c r="Z408" s="1882" t="s">
        <v>2459</v>
      </c>
      <c r="AA408" s="1882"/>
      <c r="AB408" s="1882"/>
      <c r="AC408" s="1882"/>
      <c r="AD408" s="1882"/>
      <c r="AE408" s="1882" t="s">
        <v>2459</v>
      </c>
      <c r="AF408" s="1882"/>
      <c r="AG408" s="1882"/>
      <c r="AH408" s="1882">
        <v>6</v>
      </c>
      <c r="AI408" s="1882" t="s">
        <v>2459</v>
      </c>
      <c r="AJ408" s="1882" t="s">
        <v>2459</v>
      </c>
      <c r="AK408" s="1882" t="s">
        <v>2459</v>
      </c>
      <c r="AL408" s="1882" t="s">
        <v>2459</v>
      </c>
      <c r="AM408" s="1882" t="s">
        <v>2459</v>
      </c>
      <c r="AN408" s="1882">
        <v>114.6</v>
      </c>
      <c r="AO408" s="1882">
        <v>125.6</v>
      </c>
      <c r="AP408" s="1882">
        <v>141.19999999999999</v>
      </c>
      <c r="AQ408" s="1882">
        <v>141.19999999999999</v>
      </c>
      <c r="AR408" s="1882">
        <v>141.19999999999999</v>
      </c>
      <c r="AS408" s="1882">
        <v>119.3</v>
      </c>
      <c r="AT408" s="1882">
        <v>130.30000000000001</v>
      </c>
      <c r="AU408" s="1882">
        <v>145.9</v>
      </c>
      <c r="AV408" s="1882">
        <v>145.9</v>
      </c>
      <c r="AW408" s="1882">
        <v>145.9</v>
      </c>
      <c r="AX408" s="1882">
        <v>119.3</v>
      </c>
      <c r="AY408" s="1882">
        <v>130.30000000000001</v>
      </c>
      <c r="AZ408" s="1882">
        <v>145.9</v>
      </c>
      <c r="BA408" s="1882">
        <v>145.9</v>
      </c>
      <c r="BB408" s="1882">
        <v>145.9</v>
      </c>
      <c r="BC408" s="1882">
        <v>124</v>
      </c>
      <c r="BD408" s="1882">
        <v>135</v>
      </c>
      <c r="BE408" s="1882">
        <v>150.6</v>
      </c>
      <c r="BF408" s="1882">
        <v>150.6</v>
      </c>
      <c r="BG408" s="1882">
        <v>150.6</v>
      </c>
      <c r="BH408" s="1882">
        <v>0.77</v>
      </c>
      <c r="BI408" s="1882"/>
      <c r="BJ408" s="1882"/>
      <c r="BK408" s="1882"/>
      <c r="BL408" s="1882">
        <v>0.41699999999999998</v>
      </c>
      <c r="BM408" s="1882"/>
      <c r="BN408" s="1882">
        <v>1</v>
      </c>
      <c r="BO408" s="1882" t="s">
        <v>8512</v>
      </c>
      <c r="BP408" s="520">
        <v>108.36412797124429</v>
      </c>
      <c r="BQ408" s="704">
        <v>120.4653572103465</v>
      </c>
      <c r="BR408" s="1882" t="s">
        <v>2459</v>
      </c>
      <c r="BS408" s="1882" t="s">
        <v>8513</v>
      </c>
      <c r="BT408" s="1882">
        <v>0</v>
      </c>
      <c r="BU408" s="1882" t="s">
        <v>8376</v>
      </c>
      <c r="BV408" s="1882">
        <v>0.22684099999999999</v>
      </c>
      <c r="BW408" s="1882">
        <v>116.923</v>
      </c>
      <c r="BX408" s="1882" t="s">
        <v>2460</v>
      </c>
      <c r="BY408" s="1882">
        <v>0</v>
      </c>
      <c r="BZ408" s="1882">
        <v>0</v>
      </c>
      <c r="CA408" s="1882" t="s">
        <v>8563</v>
      </c>
      <c r="CB408" s="1882">
        <v>-3.6190000000000024</v>
      </c>
      <c r="CC408" s="1882">
        <v>98.645494378014845</v>
      </c>
      <c r="CD408" s="1882" t="s">
        <v>2460</v>
      </c>
      <c r="CE408" s="1882">
        <v>0</v>
      </c>
      <c r="CF408" s="1882">
        <v>0</v>
      </c>
      <c r="CG408" s="1882" t="s">
        <v>8384</v>
      </c>
      <c r="CH408" s="1882">
        <v>-3.6190000000000024</v>
      </c>
      <c r="CI408" s="1882">
        <v>101.182</v>
      </c>
      <c r="CJ408" s="1882" t="s">
        <v>2460</v>
      </c>
      <c r="CK408" s="1882">
        <v>0</v>
      </c>
      <c r="CL408" s="1882">
        <v>0</v>
      </c>
      <c r="CM408" s="1882" t="s">
        <v>8384</v>
      </c>
      <c r="CN408" s="1882">
        <v>-3.6190000000000002</v>
      </c>
      <c r="CP408" s="1882" t="s">
        <v>10850</v>
      </c>
    </row>
    <row r="409" spans="1:94">
      <c r="A409" s="1882" t="s">
        <v>10833</v>
      </c>
      <c r="B409" s="1882" t="s">
        <v>10851</v>
      </c>
      <c r="C409" s="1882" t="s">
        <v>8352</v>
      </c>
      <c r="D409" s="1882" t="s">
        <v>1626</v>
      </c>
      <c r="E409" s="1882" t="s">
        <v>8503</v>
      </c>
      <c r="F409" s="1882" t="s">
        <v>10852</v>
      </c>
      <c r="G409" s="1882" t="s">
        <v>7236</v>
      </c>
      <c r="H409" s="1882" t="s">
        <v>10853</v>
      </c>
      <c r="I409" s="1882" t="s">
        <v>10854</v>
      </c>
      <c r="J409" s="1882" t="s">
        <v>8508</v>
      </c>
      <c r="K409" s="1882" t="s">
        <v>10843</v>
      </c>
      <c r="L409" s="1882"/>
      <c r="M409" s="1882" t="s">
        <v>2460</v>
      </c>
      <c r="N409" s="1882" t="s">
        <v>2450</v>
      </c>
      <c r="O409" s="1882" t="s">
        <v>8607</v>
      </c>
      <c r="P409" s="1882" t="s">
        <v>10855</v>
      </c>
      <c r="Q409" s="520" t="s">
        <v>9104</v>
      </c>
      <c r="R409" s="1882" t="s">
        <v>8511</v>
      </c>
      <c r="S409" s="1882">
        <v>0.75</v>
      </c>
      <c r="T409" s="1882">
        <v>0.66666666666666663</v>
      </c>
      <c r="U409" s="1882">
        <v>0.58333333333333337</v>
      </c>
      <c r="V409" s="1882">
        <v>0.5</v>
      </c>
      <c r="W409" s="1882">
        <v>0.5</v>
      </c>
      <c r="X409" s="1882">
        <v>0.5</v>
      </c>
      <c r="Y409" s="1882"/>
      <c r="Z409" s="1882"/>
      <c r="AA409" s="1882" t="s">
        <v>2459</v>
      </c>
      <c r="AB409" s="1882"/>
      <c r="AC409" s="1882"/>
      <c r="AD409" s="1882"/>
      <c r="AE409" s="1882" t="s">
        <v>2459</v>
      </c>
      <c r="AF409" s="1882"/>
      <c r="AG409" s="1882"/>
      <c r="AH409" s="1882">
        <v>0</v>
      </c>
      <c r="AI409" s="1882" t="s">
        <v>2459</v>
      </c>
      <c r="AJ409" s="1882" t="s">
        <v>2459</v>
      </c>
      <c r="AK409" s="1882" t="s">
        <v>2459</v>
      </c>
      <c r="AL409" s="1882" t="s">
        <v>2459</v>
      </c>
      <c r="AM409" s="1882" t="s">
        <v>2459</v>
      </c>
      <c r="AN409" s="1882">
        <v>0.83333333333333337</v>
      </c>
      <c r="AO409" s="1882">
        <v>0.83333333333333337</v>
      </c>
      <c r="AP409" s="1882">
        <v>0.58333333333333337</v>
      </c>
      <c r="AQ409" s="1882">
        <v>0.58333333333333337</v>
      </c>
      <c r="AR409" s="1882">
        <v>0.58333333333333337</v>
      </c>
      <c r="AS409" s="1882">
        <v>0.75</v>
      </c>
      <c r="AT409" s="1882">
        <v>0.75</v>
      </c>
      <c r="AU409" s="1882">
        <v>0.5</v>
      </c>
      <c r="AV409" s="1882">
        <v>0.5</v>
      </c>
      <c r="AW409" s="1882">
        <v>0.5</v>
      </c>
      <c r="AX409" s="1882">
        <v>0.5</v>
      </c>
      <c r="AY409" s="1882">
        <v>0.5</v>
      </c>
      <c r="AZ409" s="1882">
        <v>0.5</v>
      </c>
      <c r="BA409" s="1882">
        <v>0.5</v>
      </c>
      <c r="BB409" s="1882">
        <v>0.5</v>
      </c>
      <c r="BC409" s="1882">
        <v>0.375</v>
      </c>
      <c r="BD409" s="1882">
        <v>0.375</v>
      </c>
      <c r="BE409" s="1882">
        <v>0.375</v>
      </c>
      <c r="BF409" s="1882">
        <v>0.375</v>
      </c>
      <c r="BG409" s="1882">
        <v>0.375</v>
      </c>
      <c r="BH409" s="1882">
        <v>5.1840000000000002</v>
      </c>
      <c r="BI409" s="1882"/>
      <c r="BJ409" s="1882"/>
      <c r="BK409" s="1882"/>
      <c r="BL409" s="1882">
        <v>3.9780000000000002</v>
      </c>
      <c r="BM409" s="1882"/>
      <c r="BN409" s="1882">
        <v>1</v>
      </c>
      <c r="BO409" s="1882" t="s">
        <v>8512</v>
      </c>
      <c r="BP409" s="520" t="s">
        <v>10856</v>
      </c>
      <c r="BQ409" s="703" t="s">
        <v>10857</v>
      </c>
      <c r="BR409" s="1882" t="s">
        <v>2460</v>
      </c>
      <c r="BS409" s="1882" t="s">
        <v>8513</v>
      </c>
      <c r="BT409" s="1882">
        <v>0</v>
      </c>
      <c r="BU409" s="1882" t="s">
        <v>8429</v>
      </c>
      <c r="BV409" s="1882">
        <v>0</v>
      </c>
      <c r="BW409" s="1612" t="s">
        <v>10858</v>
      </c>
      <c r="BX409" s="1882" t="s">
        <v>2459</v>
      </c>
      <c r="BY409" s="1882">
        <v>0</v>
      </c>
      <c r="BZ409" s="1882">
        <v>0</v>
      </c>
      <c r="CA409" s="1882" t="s">
        <v>8380</v>
      </c>
      <c r="CB409" s="1882">
        <v>0</v>
      </c>
      <c r="CC409" s="1882">
        <v>0.54791666666666672</v>
      </c>
      <c r="CD409" s="1882" t="s">
        <v>2460</v>
      </c>
      <c r="CE409" s="1882">
        <v>0</v>
      </c>
      <c r="CF409" s="1882">
        <v>0</v>
      </c>
      <c r="CG409" s="1882" t="s">
        <v>8384</v>
      </c>
      <c r="CH409" s="1882">
        <v>-5.9616000000000025</v>
      </c>
      <c r="CI409" s="1882">
        <v>0.38194444444444442</v>
      </c>
      <c r="CJ409" s="1882" t="s">
        <v>2459</v>
      </c>
      <c r="CK409" s="1882">
        <v>0</v>
      </c>
      <c r="CL409" s="1882">
        <v>0</v>
      </c>
      <c r="CM409" s="1882" t="s">
        <v>8376</v>
      </c>
      <c r="CN409" s="1882">
        <v>11.2577</v>
      </c>
      <c r="CP409" s="1882" t="s">
        <v>10859</v>
      </c>
    </row>
    <row r="410" spans="1:94">
      <c r="A410" s="1882" t="s">
        <v>10833</v>
      </c>
      <c r="B410" s="1882" t="s">
        <v>10860</v>
      </c>
      <c r="C410" s="1882" t="s">
        <v>8352</v>
      </c>
      <c r="D410" s="1882" t="s">
        <v>1626</v>
      </c>
      <c r="E410" s="1882" t="s">
        <v>8503</v>
      </c>
      <c r="F410" s="1882" t="s">
        <v>10852</v>
      </c>
      <c r="G410" s="1882" t="s">
        <v>7237</v>
      </c>
      <c r="H410" s="1882" t="s">
        <v>10861</v>
      </c>
      <c r="I410" s="1882" t="s">
        <v>10862</v>
      </c>
      <c r="J410" s="1882" t="s">
        <v>8508</v>
      </c>
      <c r="K410" s="1882" t="s">
        <v>10843</v>
      </c>
      <c r="L410" s="1882"/>
      <c r="M410" s="1882"/>
      <c r="N410" s="1882" t="s">
        <v>8569</v>
      </c>
      <c r="O410" s="1882" t="s">
        <v>8591</v>
      </c>
      <c r="P410" s="1882" t="s">
        <v>10863</v>
      </c>
      <c r="Q410" s="520">
        <v>3</v>
      </c>
      <c r="R410" s="1882" t="s">
        <v>8549</v>
      </c>
      <c r="S410" s="1882">
        <v>100</v>
      </c>
      <c r="T410" s="1882">
        <v>100</v>
      </c>
      <c r="U410" s="1882">
        <v>100</v>
      </c>
      <c r="V410" s="1882">
        <v>100</v>
      </c>
      <c r="W410" s="1882">
        <v>100</v>
      </c>
      <c r="X410" s="1882">
        <v>100</v>
      </c>
      <c r="Y410" s="1882"/>
      <c r="Z410" s="1882"/>
      <c r="AA410" s="1882"/>
      <c r="AB410" s="1882"/>
      <c r="AC410" s="1882"/>
      <c r="AD410" s="1882"/>
      <c r="AE410" s="1882" t="s">
        <v>2459</v>
      </c>
      <c r="AF410" s="1882"/>
      <c r="AG410" s="1882"/>
      <c r="AH410" s="1882">
        <v>4</v>
      </c>
      <c r="AI410" s="1882" t="s">
        <v>2459</v>
      </c>
      <c r="AJ410" s="1882" t="s">
        <v>2459</v>
      </c>
      <c r="AK410" s="1882" t="s">
        <v>2459</v>
      </c>
      <c r="AL410" s="1882" t="s">
        <v>2459</v>
      </c>
      <c r="AM410" s="1882" t="s">
        <v>2459</v>
      </c>
      <c r="AN410" s="1882">
        <v>94</v>
      </c>
      <c r="AO410" s="1882">
        <v>94.5</v>
      </c>
      <c r="AP410" s="1882">
        <v>95</v>
      </c>
      <c r="AQ410" s="1882">
        <v>95.5</v>
      </c>
      <c r="AR410" s="1882">
        <v>96</v>
      </c>
      <c r="AS410" s="1882">
        <v>95</v>
      </c>
      <c r="AT410" s="1882">
        <v>95.5</v>
      </c>
      <c r="AU410" s="1882">
        <v>96</v>
      </c>
      <c r="AV410" s="1882">
        <v>96.5</v>
      </c>
      <c r="AW410" s="1882">
        <v>97</v>
      </c>
      <c r="AX410" s="1882">
        <v>103</v>
      </c>
      <c r="AY410" s="1882">
        <v>103</v>
      </c>
      <c r="AZ410" s="1882">
        <v>103</v>
      </c>
      <c r="BA410" s="1882">
        <v>103</v>
      </c>
      <c r="BB410" s="1882">
        <v>103</v>
      </c>
      <c r="BC410" s="1882">
        <v>104</v>
      </c>
      <c r="BD410" s="1882">
        <v>104</v>
      </c>
      <c r="BE410" s="1882">
        <v>104</v>
      </c>
      <c r="BF410" s="1882">
        <v>104</v>
      </c>
      <c r="BG410" s="1882">
        <v>104</v>
      </c>
      <c r="BH410" s="1882">
        <v>7.9740000000000002</v>
      </c>
      <c r="BI410" s="1882"/>
      <c r="BJ410" s="1882"/>
      <c r="BK410" s="1882"/>
      <c r="BL410" s="1882">
        <v>5.97</v>
      </c>
      <c r="BM410" s="1882"/>
      <c r="BN410" s="1882">
        <v>1</v>
      </c>
      <c r="BO410" s="1882" t="s">
        <v>8512</v>
      </c>
      <c r="BP410" s="520">
        <v>100.32067918166143</v>
      </c>
      <c r="BQ410" s="704">
        <v>16.447259218333841</v>
      </c>
      <c r="BR410" s="1882" t="s">
        <v>2460</v>
      </c>
      <c r="BS410" s="1882" t="s">
        <v>8513</v>
      </c>
      <c r="BT410" s="1882">
        <v>0</v>
      </c>
      <c r="BU410" s="1882" t="s">
        <v>8563</v>
      </c>
      <c r="BV410" s="1882">
        <v>-7.9740000000000002</v>
      </c>
      <c r="BW410" s="1882">
        <v>77.84</v>
      </c>
      <c r="BX410" s="1882" t="s">
        <v>2460</v>
      </c>
      <c r="BY410" s="1882">
        <v>0</v>
      </c>
      <c r="BZ410" s="1882">
        <v>0</v>
      </c>
      <c r="CA410" s="1882" t="s">
        <v>8563</v>
      </c>
      <c r="CB410" s="1882">
        <v>-7.9740000000000002</v>
      </c>
      <c r="CC410" s="1882">
        <v>70.826999999999998</v>
      </c>
      <c r="CD410" s="1882" t="s">
        <v>2460</v>
      </c>
      <c r="CE410" s="1882">
        <v>0</v>
      </c>
      <c r="CF410" s="1882">
        <v>0</v>
      </c>
      <c r="CG410" s="1882" t="s">
        <v>8384</v>
      </c>
      <c r="CH410" s="1882">
        <v>-7.9740000000000002</v>
      </c>
      <c r="CI410" s="1882">
        <v>98.456999999999994</v>
      </c>
      <c r="CJ410" s="1882" t="s">
        <v>2460</v>
      </c>
      <c r="CK410" s="1882">
        <v>0</v>
      </c>
      <c r="CL410" s="1882">
        <v>0</v>
      </c>
      <c r="CM410" s="1882" t="s">
        <v>8388</v>
      </c>
      <c r="CN410" s="1882">
        <v>0</v>
      </c>
      <c r="CP410" s="1882" t="s">
        <v>10864</v>
      </c>
    </row>
    <row r="411" spans="1:94">
      <c r="A411" s="1882" t="s">
        <v>10833</v>
      </c>
      <c r="B411" s="1882" t="s">
        <v>10865</v>
      </c>
      <c r="C411" s="1882" t="s">
        <v>8352</v>
      </c>
      <c r="D411" s="1882" t="s">
        <v>1626</v>
      </c>
      <c r="E411" s="1882" t="s">
        <v>8503</v>
      </c>
      <c r="F411" s="1882" t="s">
        <v>10852</v>
      </c>
      <c r="G411" s="1882" t="s">
        <v>8250</v>
      </c>
      <c r="H411" s="1882" t="s">
        <v>10866</v>
      </c>
      <c r="I411" s="1882" t="s">
        <v>10867</v>
      </c>
      <c r="J411" s="1882" t="s">
        <v>8519</v>
      </c>
      <c r="K411" s="1882" t="s">
        <v>10843</v>
      </c>
      <c r="L411" s="1882"/>
      <c r="M411" s="1882"/>
      <c r="N411" s="1882" t="s">
        <v>8527</v>
      </c>
      <c r="O411" s="1882" t="s">
        <v>8591</v>
      </c>
      <c r="P411" s="1882" t="s">
        <v>8643</v>
      </c>
      <c r="Q411" s="520">
        <v>3</v>
      </c>
      <c r="R411" s="1882" t="s">
        <v>8549</v>
      </c>
      <c r="S411" s="1882">
        <v>100</v>
      </c>
      <c r="T411" s="1882">
        <v>100</v>
      </c>
      <c r="U411" s="1882">
        <v>100</v>
      </c>
      <c r="V411" s="1882">
        <v>100</v>
      </c>
      <c r="W411" s="1882">
        <v>100</v>
      </c>
      <c r="X411" s="1882">
        <v>100</v>
      </c>
      <c r="Y411" s="1882"/>
      <c r="Z411" s="1882"/>
      <c r="AA411" s="1882"/>
      <c r="AB411" s="1882"/>
      <c r="AC411" s="1882"/>
      <c r="AD411" s="1882"/>
      <c r="AE411" s="1882"/>
      <c r="AF411" s="1882"/>
      <c r="AG411" s="1882"/>
      <c r="AH411" s="1882">
        <v>0</v>
      </c>
      <c r="AI411" s="1882" t="s">
        <v>2459</v>
      </c>
      <c r="AJ411" s="1882" t="s">
        <v>2459</v>
      </c>
      <c r="AK411" s="1882" t="s">
        <v>2459</v>
      </c>
      <c r="AL411" s="1882" t="s">
        <v>2459</v>
      </c>
      <c r="AM411" s="1882" t="s">
        <v>2459</v>
      </c>
      <c r="AN411" s="1882">
        <v>96</v>
      </c>
      <c r="AO411" s="1882">
        <v>96</v>
      </c>
      <c r="AP411" s="1882">
        <v>96</v>
      </c>
      <c r="AQ411" s="1882">
        <v>96</v>
      </c>
      <c r="AR411" s="1882">
        <v>96</v>
      </c>
      <c r="AS411" s="1882">
        <v>100</v>
      </c>
      <c r="AT411" s="1882">
        <v>100</v>
      </c>
      <c r="AU411" s="1882">
        <v>100</v>
      </c>
      <c r="AV411" s="1882">
        <v>100</v>
      </c>
      <c r="AW411" s="1882">
        <v>100</v>
      </c>
      <c r="AX411" s="1882"/>
      <c r="AY411" s="1882"/>
      <c r="AZ411" s="1882"/>
      <c r="BA411" s="1882"/>
      <c r="BB411" s="1882"/>
      <c r="BC411" s="1882"/>
      <c r="BD411" s="1882"/>
      <c r="BE411" s="1882"/>
      <c r="BF411" s="1882"/>
      <c r="BG411" s="1882"/>
      <c r="BH411" s="1882">
        <v>3.33</v>
      </c>
      <c r="BI411" s="1882"/>
      <c r="BJ411" s="1882"/>
      <c r="BK411" s="1882"/>
      <c r="BL411" s="1882"/>
      <c r="BM411" s="1882"/>
      <c r="BN411" s="1882">
        <v>1</v>
      </c>
      <c r="BO411" s="1882" t="s">
        <v>8512</v>
      </c>
      <c r="BP411" s="520">
        <v>100</v>
      </c>
      <c r="BQ411" s="704">
        <v>100</v>
      </c>
      <c r="BR411" s="1882" t="s">
        <v>2459</v>
      </c>
      <c r="BS411" s="1882" t="s">
        <v>8513</v>
      </c>
      <c r="BT411" s="1882">
        <v>0</v>
      </c>
      <c r="BU411" s="1882" t="s">
        <v>8513</v>
      </c>
      <c r="BV411" s="1882">
        <v>0</v>
      </c>
      <c r="BW411" s="1882">
        <v>100</v>
      </c>
      <c r="BX411" s="1882" t="s">
        <v>2459</v>
      </c>
      <c r="BY411" s="1882">
        <v>0</v>
      </c>
      <c r="BZ411" s="1882">
        <v>0</v>
      </c>
      <c r="CA411" s="1882">
        <v>0</v>
      </c>
      <c r="CB411" s="1882">
        <v>0</v>
      </c>
      <c r="CC411" s="1882">
        <v>100</v>
      </c>
      <c r="CD411" s="1882" t="s">
        <v>2459</v>
      </c>
      <c r="CE411" s="1882">
        <v>0</v>
      </c>
      <c r="CF411" s="1882">
        <v>0</v>
      </c>
      <c r="CG411" s="1882">
        <v>0</v>
      </c>
      <c r="CH411" s="1882">
        <v>0</v>
      </c>
      <c r="CI411" s="1882">
        <v>100</v>
      </c>
      <c r="CJ411" s="1882" t="s">
        <v>2459</v>
      </c>
      <c r="CK411" s="1882">
        <v>0</v>
      </c>
      <c r="CL411" s="1882">
        <v>0</v>
      </c>
      <c r="CM411" s="1882">
        <v>0</v>
      </c>
      <c r="CN411" s="1882">
        <v>0</v>
      </c>
      <c r="CP411" s="1882" t="s">
        <v>10868</v>
      </c>
    </row>
    <row r="412" spans="1:94">
      <c r="A412" s="1882" t="s">
        <v>10833</v>
      </c>
      <c r="B412" s="1882" t="s">
        <v>10869</v>
      </c>
      <c r="C412" s="1882" t="s">
        <v>8352</v>
      </c>
      <c r="D412" s="1882" t="s">
        <v>1626</v>
      </c>
      <c r="E412" s="1882" t="s">
        <v>8503</v>
      </c>
      <c r="F412" s="1882" t="s">
        <v>10852</v>
      </c>
      <c r="G412" s="1882" t="s">
        <v>9019</v>
      </c>
      <c r="H412" s="1882" t="s">
        <v>10870</v>
      </c>
      <c r="I412" s="1882" t="s">
        <v>10871</v>
      </c>
      <c r="J412" s="1882" t="s">
        <v>8508</v>
      </c>
      <c r="K412" s="1882" t="s">
        <v>10843</v>
      </c>
      <c r="L412" s="1882"/>
      <c r="M412" s="1882"/>
      <c r="N412" s="1882" t="s">
        <v>2444</v>
      </c>
      <c r="O412" s="1882" t="s">
        <v>764</v>
      </c>
      <c r="P412" s="1882" t="s">
        <v>10872</v>
      </c>
      <c r="Q412" s="520">
        <v>2</v>
      </c>
      <c r="R412" s="1882" t="s">
        <v>8549</v>
      </c>
      <c r="S412" s="1882">
        <v>0</v>
      </c>
      <c r="T412" s="1882">
        <v>0</v>
      </c>
      <c r="U412" s="1882">
        <v>0</v>
      </c>
      <c r="V412" s="1882">
        <v>0</v>
      </c>
      <c r="W412" s="1882">
        <v>0</v>
      </c>
      <c r="X412" s="1882">
        <v>0</v>
      </c>
      <c r="Y412" s="1882"/>
      <c r="Z412" s="1882"/>
      <c r="AA412" s="1882"/>
      <c r="AB412" s="1882"/>
      <c r="AC412" s="1882"/>
      <c r="AD412" s="1882"/>
      <c r="AE412" s="1882" t="s">
        <v>2459</v>
      </c>
      <c r="AF412" s="1882"/>
      <c r="AG412" s="1882"/>
      <c r="AH412" s="1882">
        <v>0</v>
      </c>
      <c r="AI412" s="1882" t="s">
        <v>2459</v>
      </c>
      <c r="AJ412" s="1882" t="s">
        <v>2459</v>
      </c>
      <c r="AK412" s="1882" t="s">
        <v>2459</v>
      </c>
      <c r="AL412" s="1882" t="s">
        <v>2459</v>
      </c>
      <c r="AM412" s="1882" t="s">
        <v>2459</v>
      </c>
      <c r="AN412" s="1882">
        <v>-30</v>
      </c>
      <c r="AO412" s="1882">
        <v>-30</v>
      </c>
      <c r="AP412" s="1882">
        <v>-30</v>
      </c>
      <c r="AQ412" s="1882">
        <v>-30</v>
      </c>
      <c r="AR412" s="1882">
        <v>-30</v>
      </c>
      <c r="AS412" s="1882">
        <v>0</v>
      </c>
      <c r="AT412" s="1882">
        <v>0</v>
      </c>
      <c r="AU412" s="1882">
        <v>0</v>
      </c>
      <c r="AV412" s="1882">
        <v>0</v>
      </c>
      <c r="AW412" s="1882">
        <v>0</v>
      </c>
      <c r="AX412" s="1882">
        <v>11.2</v>
      </c>
      <c r="AY412" s="1882">
        <v>11.2</v>
      </c>
      <c r="AZ412" s="1882">
        <v>11.2</v>
      </c>
      <c r="BA412" s="1882">
        <v>11.2</v>
      </c>
      <c r="BB412" s="1882">
        <v>11.2</v>
      </c>
      <c r="BC412" s="1882">
        <v>30</v>
      </c>
      <c r="BD412" s="1882">
        <v>30</v>
      </c>
      <c r="BE412" s="1882">
        <v>30</v>
      </c>
      <c r="BF412" s="1882">
        <v>30</v>
      </c>
      <c r="BG412" s="1882">
        <v>30</v>
      </c>
      <c r="BH412" s="1882">
        <v>1.458</v>
      </c>
      <c r="BI412" s="1882"/>
      <c r="BJ412" s="1882"/>
      <c r="BK412" s="1882"/>
      <c r="BL412" s="1882">
        <v>0.748</v>
      </c>
      <c r="BM412" s="1882"/>
      <c r="BN412" s="1882">
        <v>1</v>
      </c>
      <c r="BO412" s="1882" t="s">
        <v>8512</v>
      </c>
      <c r="BP412" s="520">
        <v>9.1</v>
      </c>
      <c r="BQ412" s="694">
        <v>10.8</v>
      </c>
      <c r="BR412" s="1882" t="s">
        <v>2459</v>
      </c>
      <c r="BS412" s="1882" t="s">
        <v>8513</v>
      </c>
      <c r="BT412" s="1882">
        <v>0</v>
      </c>
      <c r="BU412" s="1882" t="s">
        <v>8380</v>
      </c>
      <c r="BV412" s="1882">
        <v>0</v>
      </c>
      <c r="BW412" s="1882">
        <v>23.42980249</v>
      </c>
      <c r="BX412" s="1882" t="s">
        <v>2459</v>
      </c>
      <c r="BY412" s="1882">
        <v>0</v>
      </c>
      <c r="BZ412" s="1882">
        <v>0</v>
      </c>
      <c r="CA412" s="1882" t="s">
        <v>8376</v>
      </c>
      <c r="CB412" s="1882">
        <v>9.147892262520001</v>
      </c>
      <c r="CC412" s="1882">
        <v>9.1</v>
      </c>
      <c r="CD412" s="1882" t="s">
        <v>2459</v>
      </c>
      <c r="CE412" s="1882">
        <v>0</v>
      </c>
      <c r="CF412" s="1882">
        <v>0</v>
      </c>
      <c r="CG412" s="1882" t="s">
        <v>8380</v>
      </c>
      <c r="CH412" s="1882">
        <v>0</v>
      </c>
      <c r="CI412" s="1882">
        <v>6.7</v>
      </c>
      <c r="CJ412" s="1882" t="s">
        <v>2459</v>
      </c>
      <c r="CK412" s="1882">
        <v>0</v>
      </c>
      <c r="CL412" s="1882">
        <v>0</v>
      </c>
      <c r="CM412" s="1882" t="s">
        <v>8380</v>
      </c>
      <c r="CN412" s="1882">
        <v>0</v>
      </c>
      <c r="CP412" s="1882" t="s">
        <v>10873</v>
      </c>
    </row>
    <row r="413" spans="1:94">
      <c r="A413" s="1882" t="s">
        <v>10833</v>
      </c>
      <c r="B413" s="1882" t="s">
        <v>10874</v>
      </c>
      <c r="C413" s="1882" t="s">
        <v>8352</v>
      </c>
      <c r="D413" s="1882" t="s">
        <v>1626</v>
      </c>
      <c r="E413" s="1882" t="s">
        <v>8503</v>
      </c>
      <c r="F413" s="1882" t="s">
        <v>10852</v>
      </c>
      <c r="G413" s="1882" t="s">
        <v>9483</v>
      </c>
      <c r="H413" s="1882" t="s">
        <v>10875</v>
      </c>
      <c r="I413" s="1882" t="s">
        <v>10876</v>
      </c>
      <c r="J413" s="1882" t="s">
        <v>8519</v>
      </c>
      <c r="K413" s="1882" t="s">
        <v>10843</v>
      </c>
      <c r="L413" s="1882"/>
      <c r="M413" s="1882"/>
      <c r="N413" s="1882" t="s">
        <v>4580</v>
      </c>
      <c r="O413" s="1882" t="s">
        <v>764</v>
      </c>
      <c r="P413" s="1882" t="s">
        <v>10877</v>
      </c>
      <c r="Q413" s="520">
        <v>2</v>
      </c>
      <c r="R413" s="1882" t="s">
        <v>8549</v>
      </c>
      <c r="S413" s="1882">
        <v>152.51</v>
      </c>
      <c r="T413" s="1882">
        <v>161.19999999999999</v>
      </c>
      <c r="U413" s="1882">
        <v>163.21</v>
      </c>
      <c r="V413" s="1882">
        <v>164.44</v>
      </c>
      <c r="W413" s="1882">
        <v>164.87</v>
      </c>
      <c r="X413" s="1882">
        <v>165.27</v>
      </c>
      <c r="Y413" s="1882"/>
      <c r="Z413" s="1882"/>
      <c r="AA413" s="1882"/>
      <c r="AB413" s="1882"/>
      <c r="AC413" s="1882"/>
      <c r="AD413" s="1882"/>
      <c r="AE413" s="1882" t="s">
        <v>2459</v>
      </c>
      <c r="AF413" s="1882"/>
      <c r="AG413" s="1882"/>
      <c r="AH413" s="1882">
        <v>0</v>
      </c>
      <c r="AI413" s="1882" t="s">
        <v>2459</v>
      </c>
      <c r="AJ413" s="1882" t="s">
        <v>2459</v>
      </c>
      <c r="AK413" s="1882" t="s">
        <v>2459</v>
      </c>
      <c r="AL413" s="1882" t="s">
        <v>2459</v>
      </c>
      <c r="AM413" s="1882" t="s">
        <v>2459</v>
      </c>
      <c r="AN413" s="1882">
        <v>152.51</v>
      </c>
      <c r="AO413" s="1882">
        <v>152.51</v>
      </c>
      <c r="AP413" s="1882">
        <v>152.51</v>
      </c>
      <c r="AQ413" s="1882">
        <v>152.51</v>
      </c>
      <c r="AR413" s="1882">
        <v>152.51</v>
      </c>
      <c r="AS413" s="1882">
        <v>161.19999999999999</v>
      </c>
      <c r="AT413" s="1882">
        <v>163.21</v>
      </c>
      <c r="AU413" s="1882">
        <v>164.44</v>
      </c>
      <c r="AV413" s="1882">
        <v>164.87</v>
      </c>
      <c r="AW413" s="1882">
        <v>165.27</v>
      </c>
      <c r="AX413" s="1882"/>
      <c r="AY413" s="1882"/>
      <c r="AZ413" s="1882"/>
      <c r="BA413" s="1882"/>
      <c r="BB413" s="1882"/>
      <c r="BC413" s="1882"/>
      <c r="BD413" s="1882"/>
      <c r="BE413" s="1882"/>
      <c r="BF413" s="1882"/>
      <c r="BG413" s="1882"/>
      <c r="BH413" s="1882">
        <v>0.25</v>
      </c>
      <c r="BI413" s="1882"/>
      <c r="BJ413" s="1882"/>
      <c r="BK413" s="1882"/>
      <c r="BL413" s="1882"/>
      <c r="BM413" s="1882"/>
      <c r="BN413" s="1882">
        <v>1</v>
      </c>
      <c r="BO413" s="1882" t="s">
        <v>8512</v>
      </c>
      <c r="BP413" s="520">
        <v>152.51</v>
      </c>
      <c r="BQ413" s="694">
        <v>161.61000000000001</v>
      </c>
      <c r="BR413" s="1882" t="s">
        <v>2459</v>
      </c>
      <c r="BS413" s="1882" t="s">
        <v>8513</v>
      </c>
      <c r="BT413" s="1882">
        <v>0</v>
      </c>
      <c r="BU413" s="1882" t="s">
        <v>8513</v>
      </c>
      <c r="BV413" s="1882">
        <v>0</v>
      </c>
      <c r="BW413" s="1882">
        <v>164.25</v>
      </c>
      <c r="BX413" s="1882" t="s">
        <v>2459</v>
      </c>
      <c r="BY413" s="1882">
        <v>0</v>
      </c>
      <c r="BZ413" s="1882">
        <v>0</v>
      </c>
      <c r="CA413" s="1882">
        <v>0</v>
      </c>
      <c r="CB413" s="1882">
        <v>0</v>
      </c>
      <c r="CC413" s="1882">
        <v>165.42</v>
      </c>
      <c r="CD413" s="1882" t="s">
        <v>2459</v>
      </c>
      <c r="CE413" s="1882">
        <v>0</v>
      </c>
      <c r="CF413" s="1882">
        <v>0</v>
      </c>
      <c r="CG413" s="1882">
        <v>0</v>
      </c>
      <c r="CH413" s="1882">
        <v>0</v>
      </c>
      <c r="CI413" s="1882">
        <v>165.721</v>
      </c>
      <c r="CJ413" s="1882" t="s">
        <v>2459</v>
      </c>
      <c r="CK413" s="1882">
        <v>0</v>
      </c>
      <c r="CL413" s="1882">
        <v>0</v>
      </c>
      <c r="CM413" s="1882">
        <v>0</v>
      </c>
      <c r="CN413" s="1882">
        <v>0</v>
      </c>
      <c r="CP413" s="1882" t="s">
        <v>10878</v>
      </c>
    </row>
    <row r="414" spans="1:94">
      <c r="A414" s="1882" t="s">
        <v>10833</v>
      </c>
      <c r="B414" s="1882" t="s">
        <v>10879</v>
      </c>
      <c r="C414" s="1882" t="s">
        <v>8352</v>
      </c>
      <c r="D414" s="1882" t="s">
        <v>1626</v>
      </c>
      <c r="E414" s="1882" t="s">
        <v>8503</v>
      </c>
      <c r="F414" s="1882" t="s">
        <v>10852</v>
      </c>
      <c r="G414" s="1882" t="s">
        <v>9489</v>
      </c>
      <c r="H414" s="1882" t="s">
        <v>10880</v>
      </c>
      <c r="I414" s="1882" t="s">
        <v>10881</v>
      </c>
      <c r="J414" s="1882" t="s">
        <v>8508</v>
      </c>
      <c r="K414" s="1882" t="s">
        <v>10843</v>
      </c>
      <c r="L414" s="1882"/>
      <c r="M414" s="1882" t="s">
        <v>2460</v>
      </c>
      <c r="N414" s="1882" t="s">
        <v>8533</v>
      </c>
      <c r="O414" s="1882" t="s">
        <v>732</v>
      </c>
      <c r="P414" s="1882" t="s">
        <v>10882</v>
      </c>
      <c r="Q414" s="520">
        <v>0</v>
      </c>
      <c r="R414" s="1882" t="s">
        <v>8549</v>
      </c>
      <c r="S414" s="1882">
        <v>0</v>
      </c>
      <c r="T414" s="1882">
        <v>2</v>
      </c>
      <c r="U414" s="1882">
        <v>5</v>
      </c>
      <c r="V414" s="1882">
        <v>21</v>
      </c>
      <c r="W414" s="1882">
        <v>53</v>
      </c>
      <c r="X414" s="1882">
        <v>82</v>
      </c>
      <c r="Y414" s="1882"/>
      <c r="Z414" s="1882"/>
      <c r="AA414" s="1882"/>
      <c r="AB414" s="1882"/>
      <c r="AC414" s="1882"/>
      <c r="AD414" s="1882" t="s">
        <v>2459</v>
      </c>
      <c r="AE414" s="1882"/>
      <c r="AF414" s="1882" t="s">
        <v>2459</v>
      </c>
      <c r="AG414" s="1882" t="s">
        <v>2459</v>
      </c>
      <c r="AH414" s="1882">
        <v>0</v>
      </c>
      <c r="AI414" s="1882"/>
      <c r="AJ414" s="1882"/>
      <c r="AK414" s="1882"/>
      <c r="AL414" s="1882"/>
      <c r="AM414" s="1882" t="s">
        <v>2459</v>
      </c>
      <c r="AN414" s="1882">
        <v>2</v>
      </c>
      <c r="AO414" s="1882">
        <v>5</v>
      </c>
      <c r="AP414" s="1882">
        <v>21</v>
      </c>
      <c r="AQ414" s="1882">
        <v>53</v>
      </c>
      <c r="AR414" s="1882">
        <v>0</v>
      </c>
      <c r="AS414" s="1882">
        <v>2</v>
      </c>
      <c r="AT414" s="1882">
        <v>5</v>
      </c>
      <c r="AU414" s="1882">
        <v>21</v>
      </c>
      <c r="AV414" s="1882">
        <v>53</v>
      </c>
      <c r="AW414" s="1882">
        <v>82</v>
      </c>
      <c r="AX414" s="1882">
        <v>2</v>
      </c>
      <c r="AY414" s="1882">
        <v>5</v>
      </c>
      <c r="AZ414" s="1882">
        <v>21</v>
      </c>
      <c r="BA414" s="1882">
        <v>53</v>
      </c>
      <c r="BB414" s="1882">
        <v>82</v>
      </c>
      <c r="BC414" s="1882">
        <v>2</v>
      </c>
      <c r="BD414" s="1882">
        <v>5</v>
      </c>
      <c r="BE414" s="1882">
        <v>21</v>
      </c>
      <c r="BF414" s="1882">
        <v>53</v>
      </c>
      <c r="BG414" s="1882">
        <v>100</v>
      </c>
      <c r="BH414" s="1882">
        <v>2.34</v>
      </c>
      <c r="BI414" s="1882"/>
      <c r="BJ414" s="1882"/>
      <c r="BK414" s="1882"/>
      <c r="BL414" s="1882">
        <v>1.2709999999999999</v>
      </c>
      <c r="BM414" s="1882"/>
      <c r="BN414" s="1882">
        <v>1</v>
      </c>
      <c r="BO414" s="1882" t="s">
        <v>8512</v>
      </c>
      <c r="BP414" s="520">
        <v>0</v>
      </c>
      <c r="BQ414" s="693">
        <v>2</v>
      </c>
      <c r="BR414" s="1882" t="s">
        <v>2459</v>
      </c>
      <c r="BS414" s="1882" t="s">
        <v>8513</v>
      </c>
      <c r="BT414" s="1882">
        <v>0</v>
      </c>
      <c r="BU414" s="1882" t="s">
        <v>8513</v>
      </c>
      <c r="BV414" s="1882">
        <v>0</v>
      </c>
      <c r="BW414" s="1882">
        <v>5</v>
      </c>
      <c r="BX414" s="1882" t="s">
        <v>2459</v>
      </c>
      <c r="BY414" s="1882">
        <v>0</v>
      </c>
      <c r="BZ414" s="1882">
        <v>0</v>
      </c>
      <c r="CA414" s="1882">
        <v>0</v>
      </c>
      <c r="CB414" s="1882">
        <v>0</v>
      </c>
      <c r="CC414" s="1882">
        <v>24.7</v>
      </c>
      <c r="CD414" s="1882" t="s">
        <v>2459</v>
      </c>
      <c r="CE414" s="1882">
        <v>0</v>
      </c>
      <c r="CF414" s="1882">
        <v>0</v>
      </c>
      <c r="CG414" s="1882">
        <v>0</v>
      </c>
      <c r="CH414" s="1882">
        <v>0</v>
      </c>
      <c r="CI414" s="1882">
        <v>56.68</v>
      </c>
      <c r="CJ414" s="1882" t="s">
        <v>2459</v>
      </c>
      <c r="CK414" s="1882">
        <v>0</v>
      </c>
      <c r="CL414" s="1882">
        <v>0</v>
      </c>
      <c r="CM414" s="1882">
        <v>0</v>
      </c>
      <c r="CN414" s="1882">
        <v>0</v>
      </c>
      <c r="CP414" s="1882" t="s">
        <v>10883</v>
      </c>
    </row>
    <row r="415" spans="1:94">
      <c r="A415" s="1882" t="s">
        <v>10833</v>
      </c>
      <c r="B415" s="1882" t="s">
        <v>10884</v>
      </c>
      <c r="C415" s="1882" t="s">
        <v>8352</v>
      </c>
      <c r="D415" s="1882" t="s">
        <v>1626</v>
      </c>
      <c r="E415" s="1882" t="s">
        <v>8503</v>
      </c>
      <c r="F415" s="1882" t="s">
        <v>10885</v>
      </c>
      <c r="G415" s="1882" t="s">
        <v>8254</v>
      </c>
      <c r="H415" s="1882" t="s">
        <v>10886</v>
      </c>
      <c r="I415" s="1882" t="s">
        <v>10887</v>
      </c>
      <c r="J415" s="1882" t="s">
        <v>8508</v>
      </c>
      <c r="K415" s="1882" t="s">
        <v>10843</v>
      </c>
      <c r="L415" s="1882"/>
      <c r="M415" s="1882"/>
      <c r="N415" s="1882" t="s">
        <v>8673</v>
      </c>
      <c r="O415" s="1882" t="s">
        <v>764</v>
      </c>
      <c r="P415" s="1882" t="s">
        <v>10888</v>
      </c>
      <c r="Q415" s="520">
        <v>1</v>
      </c>
      <c r="R415" s="1882" t="s">
        <v>8549</v>
      </c>
      <c r="S415" s="1882">
        <v>50.4</v>
      </c>
      <c r="T415" s="1882">
        <v>0</v>
      </c>
      <c r="U415" s="1882">
        <v>6.6</v>
      </c>
      <c r="V415" s="1882">
        <v>6.6</v>
      </c>
      <c r="W415" s="1882">
        <v>6.6</v>
      </c>
      <c r="X415" s="1882">
        <v>159.5</v>
      </c>
      <c r="Y415" s="1882"/>
      <c r="Z415" s="1882"/>
      <c r="AA415" s="1882"/>
      <c r="AB415" s="1882"/>
      <c r="AC415" s="1882"/>
      <c r="AD415" s="1882"/>
      <c r="AE415" s="1882"/>
      <c r="AF415" s="1882" t="s">
        <v>2459</v>
      </c>
      <c r="AG415" s="1882" t="s">
        <v>2459</v>
      </c>
      <c r="AH415" s="1882">
        <v>0</v>
      </c>
      <c r="AI415" s="1882" t="s">
        <v>2459</v>
      </c>
      <c r="AJ415" s="1882" t="s">
        <v>2459</v>
      </c>
      <c r="AK415" s="1882" t="s">
        <v>2459</v>
      </c>
      <c r="AL415" s="1882" t="s">
        <v>2459</v>
      </c>
      <c r="AM415" s="1882" t="s">
        <v>2459</v>
      </c>
      <c r="AN415" s="1882">
        <v>-2</v>
      </c>
      <c r="AO415" s="1882">
        <v>-2</v>
      </c>
      <c r="AP415" s="1882">
        <v>-2</v>
      </c>
      <c r="AQ415" s="1882">
        <v>-2</v>
      </c>
      <c r="AR415" s="1882">
        <v>-2</v>
      </c>
      <c r="AS415" s="1882">
        <v>0</v>
      </c>
      <c r="AT415" s="1882">
        <v>6.6</v>
      </c>
      <c r="AU415" s="1882">
        <v>6.6</v>
      </c>
      <c r="AV415" s="1882">
        <v>6.6</v>
      </c>
      <c r="AW415" s="1882">
        <v>159.5</v>
      </c>
      <c r="AX415" s="1882">
        <v>0</v>
      </c>
      <c r="AY415" s="1882">
        <v>6.6</v>
      </c>
      <c r="AZ415" s="1882">
        <v>6.6</v>
      </c>
      <c r="BA415" s="1882">
        <v>6.6</v>
      </c>
      <c r="BB415" s="1882">
        <v>159.5</v>
      </c>
      <c r="BC415" s="1882">
        <v>2</v>
      </c>
      <c r="BD415" s="1882">
        <v>13.2</v>
      </c>
      <c r="BE415" s="1882">
        <v>13.2</v>
      </c>
      <c r="BF415" s="1882">
        <v>13.2</v>
      </c>
      <c r="BG415" s="1882">
        <v>234</v>
      </c>
      <c r="BH415" s="1882">
        <v>0.111</v>
      </c>
      <c r="BI415" s="1882"/>
      <c r="BJ415" s="1882"/>
      <c r="BK415" s="1882"/>
      <c r="BL415" s="1882">
        <v>2.8000000000000001E-2</v>
      </c>
      <c r="BM415" s="1882"/>
      <c r="BN415" s="1882">
        <v>1</v>
      </c>
      <c r="BO415" s="1882" t="s">
        <v>8512</v>
      </c>
      <c r="BP415" s="520">
        <v>0</v>
      </c>
      <c r="BQ415" s="690">
        <v>36.840000000000003</v>
      </c>
      <c r="BR415" s="1882" t="s">
        <v>2459</v>
      </c>
      <c r="BS415" s="1882" t="s">
        <v>8513</v>
      </c>
      <c r="BT415" s="1882">
        <v>0</v>
      </c>
      <c r="BU415" s="1882" t="s">
        <v>8376</v>
      </c>
      <c r="BV415" s="1882">
        <v>5.6000000000000001E-2</v>
      </c>
      <c r="BW415" s="1882">
        <v>82.55</v>
      </c>
      <c r="BX415" s="1882" t="s">
        <v>2459</v>
      </c>
      <c r="BY415" s="1882">
        <v>0</v>
      </c>
      <c r="BZ415" s="1882">
        <v>0</v>
      </c>
      <c r="CA415" s="1882" t="s">
        <v>8376</v>
      </c>
      <c r="CB415" s="1882">
        <v>0.18479999999999999</v>
      </c>
      <c r="CC415" s="1882">
        <v>80.599999999999994</v>
      </c>
      <c r="CD415" s="1882" t="s">
        <v>2459</v>
      </c>
      <c r="CE415" s="1882">
        <v>0</v>
      </c>
      <c r="CF415" s="1882">
        <v>0</v>
      </c>
      <c r="CG415" s="1882" t="s">
        <v>8376</v>
      </c>
      <c r="CH415" s="1882">
        <v>0.18479999999999999</v>
      </c>
      <c r="CI415" s="1882">
        <v>50.5</v>
      </c>
      <c r="CJ415" s="1882" t="s">
        <v>2459</v>
      </c>
      <c r="CK415" s="1882">
        <v>0</v>
      </c>
      <c r="CL415" s="1882">
        <v>0</v>
      </c>
      <c r="CM415" s="1882" t="s">
        <v>8376</v>
      </c>
      <c r="CN415" s="1882">
        <v>0.18479999999999999</v>
      </c>
      <c r="CP415" s="1882" t="s">
        <v>10889</v>
      </c>
    </row>
    <row r="416" spans="1:94">
      <c r="A416" s="1882" t="s">
        <v>10833</v>
      </c>
      <c r="B416" s="1882" t="s">
        <v>10890</v>
      </c>
      <c r="C416" s="1882" t="s">
        <v>8352</v>
      </c>
      <c r="D416" s="1882" t="s">
        <v>1626</v>
      </c>
      <c r="E416" s="1882" t="s">
        <v>8503</v>
      </c>
      <c r="F416" s="1882" t="s">
        <v>10891</v>
      </c>
      <c r="G416" s="1882" t="s">
        <v>8261</v>
      </c>
      <c r="H416" s="1882" t="s">
        <v>10892</v>
      </c>
      <c r="I416" s="1882" t="s">
        <v>10893</v>
      </c>
      <c r="J416" s="1882" t="s">
        <v>8539</v>
      </c>
      <c r="K416" s="1882"/>
      <c r="L416" s="1882"/>
      <c r="M416" s="1882"/>
      <c r="N416" s="1882" t="s">
        <v>8695</v>
      </c>
      <c r="O416" s="1882" t="s">
        <v>732</v>
      </c>
      <c r="P416" s="1882" t="s">
        <v>10894</v>
      </c>
      <c r="Q416" s="520">
        <v>0</v>
      </c>
      <c r="R416" s="1882" t="s">
        <v>8549</v>
      </c>
      <c r="S416" s="1882">
        <v>90</v>
      </c>
      <c r="T416" s="1882">
        <v>91</v>
      </c>
      <c r="U416" s="1882">
        <v>92</v>
      </c>
      <c r="V416" s="1882">
        <v>93</v>
      </c>
      <c r="W416" s="1882">
        <v>94</v>
      </c>
      <c r="X416" s="1882">
        <v>95</v>
      </c>
      <c r="Y416" s="1882"/>
      <c r="Z416" s="1882"/>
      <c r="AA416" s="1882"/>
      <c r="AB416" s="1882"/>
      <c r="AC416" s="1882"/>
      <c r="AD416" s="1882"/>
      <c r="AE416" s="1882"/>
      <c r="AF416" s="1882"/>
      <c r="AG416" s="1882"/>
      <c r="AH416" s="1882">
        <v>0</v>
      </c>
      <c r="AI416" s="1882"/>
      <c r="AJ416" s="1882"/>
      <c r="AK416" s="1882"/>
      <c r="AL416" s="1882"/>
      <c r="AM416" s="1882"/>
      <c r="AN416" s="1882"/>
      <c r="AO416" s="1882"/>
      <c r="AP416" s="1882"/>
      <c r="AQ416" s="1882"/>
      <c r="AR416" s="1882"/>
      <c r="AS416" s="1882"/>
      <c r="AT416" s="1882"/>
      <c r="AU416" s="1882"/>
      <c r="AV416" s="1882"/>
      <c r="AW416" s="1882"/>
      <c r="AX416" s="1882"/>
      <c r="AY416" s="1882"/>
      <c r="AZ416" s="1882"/>
      <c r="BA416" s="1882"/>
      <c r="BB416" s="1882"/>
      <c r="BC416" s="1882"/>
      <c r="BD416" s="1882"/>
      <c r="BE416" s="1882"/>
      <c r="BF416" s="1882"/>
      <c r="BG416" s="1882"/>
      <c r="BH416" s="1882"/>
      <c r="BI416" s="1882"/>
      <c r="BJ416" s="1882"/>
      <c r="BK416" s="1882"/>
      <c r="BL416" s="1882"/>
      <c r="BM416" s="1882"/>
      <c r="BN416" s="1882"/>
      <c r="BO416" s="1882"/>
      <c r="BP416" s="520">
        <v>93.46</v>
      </c>
      <c r="BQ416" s="694">
        <v>95.19</v>
      </c>
      <c r="BR416" s="1882" t="s">
        <v>2459</v>
      </c>
      <c r="BS416" s="1882" t="s">
        <v>8513</v>
      </c>
      <c r="BT416" s="1882">
        <v>0</v>
      </c>
      <c r="BU416" s="1882" t="s">
        <v>8513</v>
      </c>
      <c r="BV416" s="1882">
        <v>0</v>
      </c>
      <c r="BW416" s="1882">
        <v>97.52</v>
      </c>
      <c r="BX416" s="1882" t="s">
        <v>2459</v>
      </c>
      <c r="BY416" s="1882">
        <v>0</v>
      </c>
      <c r="BZ416" s="1882">
        <v>0</v>
      </c>
      <c r="CA416" s="1882">
        <v>0</v>
      </c>
      <c r="CB416" s="1882">
        <v>0</v>
      </c>
      <c r="CC416" s="1882">
        <v>94</v>
      </c>
      <c r="CD416" s="1882" t="s">
        <v>2459</v>
      </c>
      <c r="CE416" s="1882">
        <v>0</v>
      </c>
      <c r="CF416" s="1882">
        <v>0</v>
      </c>
      <c r="CG416" s="1882">
        <v>0</v>
      </c>
      <c r="CH416" s="1882">
        <v>0</v>
      </c>
      <c r="CI416" s="1882">
        <v>89.03</v>
      </c>
      <c r="CJ416" s="1882" t="s">
        <v>2460</v>
      </c>
      <c r="CK416" s="1882">
        <v>0</v>
      </c>
      <c r="CL416" s="1882">
        <v>0</v>
      </c>
      <c r="CM416" s="1882">
        <v>0</v>
      </c>
      <c r="CN416" s="1882">
        <v>0</v>
      </c>
      <c r="CP416" s="1882" t="s">
        <v>10895</v>
      </c>
    </row>
    <row r="417" spans="1:94">
      <c r="A417" s="1882" t="s">
        <v>10833</v>
      </c>
      <c r="B417" s="1882" t="s">
        <v>10896</v>
      </c>
      <c r="C417" s="1882" t="s">
        <v>8352</v>
      </c>
      <c r="D417" s="1882" t="s">
        <v>1626</v>
      </c>
      <c r="E417" s="1882" t="s">
        <v>8503</v>
      </c>
      <c r="F417" s="1882" t="s">
        <v>10897</v>
      </c>
      <c r="G417" s="1882" t="s">
        <v>8277</v>
      </c>
      <c r="H417" s="1882" t="s">
        <v>10898</v>
      </c>
      <c r="I417" s="1882" t="s">
        <v>10899</v>
      </c>
      <c r="J417" s="1882" t="s">
        <v>8539</v>
      </c>
      <c r="K417" s="1882"/>
      <c r="L417" s="1882"/>
      <c r="M417" s="1882"/>
      <c r="N417" s="1882" t="s">
        <v>8902</v>
      </c>
      <c r="O417" s="1882" t="s">
        <v>764</v>
      </c>
      <c r="P417" s="1882" t="s">
        <v>10900</v>
      </c>
      <c r="Q417" s="520">
        <v>0</v>
      </c>
      <c r="R417" s="1882"/>
      <c r="S417" s="1882">
        <v>53544</v>
      </c>
      <c r="T417" s="1882">
        <v>61644</v>
      </c>
      <c r="U417" s="1882">
        <v>59325</v>
      </c>
      <c r="V417" s="1882">
        <v>57393</v>
      </c>
      <c r="W417" s="1882">
        <v>47421</v>
      </c>
      <c r="X417" s="1882">
        <v>46054</v>
      </c>
      <c r="Y417" s="1882"/>
      <c r="Z417" s="1882"/>
      <c r="AA417" s="1882"/>
      <c r="AB417" s="1882"/>
      <c r="AC417" s="1882"/>
      <c r="AD417" s="1882"/>
      <c r="AE417" s="1882"/>
      <c r="AF417" s="1882"/>
      <c r="AG417" s="1882"/>
      <c r="AH417" s="1882">
        <v>0</v>
      </c>
      <c r="AI417" s="1882"/>
      <c r="AJ417" s="1882"/>
      <c r="AK417" s="1882"/>
      <c r="AL417" s="1882"/>
      <c r="AM417" s="1882"/>
      <c r="AN417" s="1882"/>
      <c r="AO417" s="1882"/>
      <c r="AP417" s="1882"/>
      <c r="AQ417" s="1882"/>
      <c r="AR417" s="1882"/>
      <c r="AS417" s="1882"/>
      <c r="AT417" s="1882"/>
      <c r="AU417" s="1882"/>
      <c r="AV417" s="1882"/>
      <c r="AW417" s="1882"/>
      <c r="AX417" s="1882"/>
      <c r="AY417" s="1882"/>
      <c r="AZ417" s="1882"/>
      <c r="BA417" s="1882"/>
      <c r="BB417" s="1882"/>
      <c r="BC417" s="1882"/>
      <c r="BD417" s="1882"/>
      <c r="BE417" s="1882"/>
      <c r="BF417" s="1882"/>
      <c r="BG417" s="1882"/>
      <c r="BH417" s="1882"/>
      <c r="BI417" s="1882"/>
      <c r="BJ417" s="1882"/>
      <c r="BK417" s="1882"/>
      <c r="BL417" s="1882"/>
      <c r="BM417" s="1882"/>
      <c r="BN417" s="1882"/>
      <c r="BO417" s="1882"/>
      <c r="BP417" s="520">
        <v>40102</v>
      </c>
      <c r="BQ417" s="693">
        <v>27197</v>
      </c>
      <c r="BR417" s="1882" t="s">
        <v>2460</v>
      </c>
      <c r="BS417" s="1882" t="s">
        <v>8513</v>
      </c>
      <c r="BT417" s="1882">
        <v>0</v>
      </c>
      <c r="BU417" s="1882" t="s">
        <v>8513</v>
      </c>
      <c r="BV417" s="1882">
        <v>0</v>
      </c>
      <c r="BW417" s="1882">
        <v>32447</v>
      </c>
      <c r="BX417" s="1882" t="s">
        <v>2460</v>
      </c>
      <c r="BY417" s="1882">
        <v>0</v>
      </c>
      <c r="BZ417" s="1882">
        <v>0</v>
      </c>
      <c r="CA417" s="1882">
        <v>0</v>
      </c>
      <c r="CB417" s="1882">
        <v>0</v>
      </c>
      <c r="CC417" s="1882">
        <v>36615</v>
      </c>
      <c r="CD417" s="1882" t="s">
        <v>2460</v>
      </c>
      <c r="CE417" s="1882">
        <v>0</v>
      </c>
      <c r="CF417" s="1882">
        <v>0</v>
      </c>
      <c r="CG417" s="1882">
        <v>0</v>
      </c>
      <c r="CH417" s="1882">
        <v>0</v>
      </c>
      <c r="CI417" s="1882">
        <v>32069</v>
      </c>
      <c r="CJ417" s="1882" t="s">
        <v>2460</v>
      </c>
      <c r="CK417" s="1882">
        <v>0</v>
      </c>
      <c r="CL417" s="1882">
        <v>0</v>
      </c>
      <c r="CM417" s="1882">
        <v>0</v>
      </c>
      <c r="CN417" s="1882">
        <v>0</v>
      </c>
      <c r="CP417" s="1882" t="s">
        <v>10901</v>
      </c>
    </row>
    <row r="418" spans="1:94">
      <c r="A418" s="1882" t="s">
        <v>10833</v>
      </c>
      <c r="B418" s="1882" t="s">
        <v>10902</v>
      </c>
      <c r="C418" s="1882" t="s">
        <v>8352</v>
      </c>
      <c r="D418" s="1882" t="s">
        <v>1627</v>
      </c>
      <c r="E418" s="1882" t="s">
        <v>8720</v>
      </c>
      <c r="F418" s="1882" t="s">
        <v>10903</v>
      </c>
      <c r="G418" s="1882" t="s">
        <v>9193</v>
      </c>
      <c r="H418" s="1882" t="s">
        <v>10904</v>
      </c>
      <c r="I418" s="1882" t="s">
        <v>10905</v>
      </c>
      <c r="J418" s="1882" t="s">
        <v>8508</v>
      </c>
      <c r="K418" s="1882" t="s">
        <v>10843</v>
      </c>
      <c r="L418" s="1882"/>
      <c r="M418" s="1882"/>
      <c r="N418" s="1882" t="s">
        <v>8724</v>
      </c>
      <c r="O418" s="1882" t="s">
        <v>8591</v>
      </c>
      <c r="P418" s="1882" t="s">
        <v>10906</v>
      </c>
      <c r="Q418" s="520">
        <v>2</v>
      </c>
      <c r="R418" s="1882" t="s">
        <v>8511</v>
      </c>
      <c r="S418" s="1882">
        <v>105.8</v>
      </c>
      <c r="T418" s="1882">
        <v>100</v>
      </c>
      <c r="U418" s="1882">
        <v>100</v>
      </c>
      <c r="V418" s="1882">
        <v>100</v>
      </c>
      <c r="W418" s="1882">
        <v>100</v>
      </c>
      <c r="X418" s="1882">
        <v>100</v>
      </c>
      <c r="Y418" s="1882"/>
      <c r="Z418" s="1882"/>
      <c r="AA418" s="1882"/>
      <c r="AB418" s="1882"/>
      <c r="AC418" s="1882"/>
      <c r="AD418" s="1882"/>
      <c r="AE418" s="1882" t="s">
        <v>2459</v>
      </c>
      <c r="AF418" s="1882"/>
      <c r="AG418" s="1882"/>
      <c r="AH418" s="1882">
        <v>5</v>
      </c>
      <c r="AI418" s="1882" t="s">
        <v>2459</v>
      </c>
      <c r="AJ418" s="1882" t="s">
        <v>2459</v>
      </c>
      <c r="AK418" s="1882" t="s">
        <v>2459</v>
      </c>
      <c r="AL418" s="1882" t="s">
        <v>2459</v>
      </c>
      <c r="AM418" s="1882" t="s">
        <v>2459</v>
      </c>
      <c r="AN418" s="1882">
        <v>102</v>
      </c>
      <c r="AO418" s="1882">
        <v>102</v>
      </c>
      <c r="AP418" s="1882">
        <v>102</v>
      </c>
      <c r="AQ418" s="1882">
        <v>102</v>
      </c>
      <c r="AR418" s="1882">
        <v>102</v>
      </c>
      <c r="AS418" s="1882">
        <v>101.2</v>
      </c>
      <c r="AT418" s="1882">
        <v>101.2</v>
      </c>
      <c r="AU418" s="1882">
        <v>101.2</v>
      </c>
      <c r="AV418" s="1882">
        <v>101.2</v>
      </c>
      <c r="AW418" s="1882">
        <v>101.2</v>
      </c>
      <c r="AX418" s="1882">
        <v>98.8</v>
      </c>
      <c r="AY418" s="1882">
        <v>98.8</v>
      </c>
      <c r="AZ418" s="1882">
        <v>98.8</v>
      </c>
      <c r="BA418" s="1882">
        <v>98.8</v>
      </c>
      <c r="BB418" s="1882">
        <v>98.8</v>
      </c>
      <c r="BC418" s="1882">
        <v>91.9</v>
      </c>
      <c r="BD418" s="1882">
        <v>91.9</v>
      </c>
      <c r="BE418" s="1882">
        <v>91.9</v>
      </c>
      <c r="BF418" s="1882">
        <v>91.9</v>
      </c>
      <c r="BG418" s="1882">
        <v>91.9</v>
      </c>
      <c r="BH418" s="1882">
        <v>4.2039999999999997</v>
      </c>
      <c r="BI418" s="1882"/>
      <c r="BJ418" s="1882"/>
      <c r="BK418" s="1882"/>
      <c r="BL418" s="1882">
        <v>1.069</v>
      </c>
      <c r="BM418" s="1882"/>
      <c r="BN418" s="1882">
        <v>1</v>
      </c>
      <c r="BO418" s="1882" t="s">
        <v>8512</v>
      </c>
      <c r="BP418" s="520">
        <v>95.2</v>
      </c>
      <c r="BQ418" s="694">
        <v>91.69</v>
      </c>
      <c r="BR418" s="1882" t="s">
        <v>2459</v>
      </c>
      <c r="BS418" s="1882" t="s">
        <v>8513</v>
      </c>
      <c r="BT418" s="1882">
        <v>0</v>
      </c>
      <c r="BU418" s="1882" t="s">
        <v>8376</v>
      </c>
      <c r="BV418" s="1882">
        <v>7.3761000000000001</v>
      </c>
      <c r="BW418" s="1882">
        <v>91.9</v>
      </c>
      <c r="BX418" s="1882" t="s">
        <v>2459</v>
      </c>
      <c r="BY418" s="1882">
        <v>0</v>
      </c>
      <c r="BZ418" s="1882">
        <v>0</v>
      </c>
      <c r="CA418" s="1882" t="s">
        <v>8376</v>
      </c>
      <c r="CB418" s="1882">
        <v>7.35</v>
      </c>
      <c r="CC418" s="1882">
        <v>85</v>
      </c>
      <c r="CD418" s="1882" t="s">
        <v>2459</v>
      </c>
      <c r="CE418" s="1882">
        <v>0</v>
      </c>
      <c r="CF418" s="1882">
        <v>0</v>
      </c>
      <c r="CG418" s="1882" t="s">
        <v>8376</v>
      </c>
      <c r="CH418" s="1882">
        <v>7.3761000000000001</v>
      </c>
      <c r="CI418" s="1882">
        <v>89.27</v>
      </c>
      <c r="CJ418" s="1882" t="s">
        <v>2459</v>
      </c>
      <c r="CK418" s="1882">
        <v>0</v>
      </c>
      <c r="CL418" s="1882">
        <v>0</v>
      </c>
      <c r="CM418" s="1882" t="s">
        <v>8376</v>
      </c>
      <c r="CN418" s="1882">
        <v>7.3760000000000003</v>
      </c>
      <c r="CP418" s="1882" t="s">
        <v>10907</v>
      </c>
    </row>
    <row r="419" spans="1:94">
      <c r="A419" s="1882" t="s">
        <v>10833</v>
      </c>
      <c r="B419" s="1882" t="s">
        <v>10908</v>
      </c>
      <c r="C419" s="1882" t="s">
        <v>8352</v>
      </c>
      <c r="D419" s="1882" t="s">
        <v>1627</v>
      </c>
      <c r="E419" s="1882" t="s">
        <v>8720</v>
      </c>
      <c r="F419" s="1882" t="s">
        <v>10903</v>
      </c>
      <c r="G419" s="1882" t="s">
        <v>8721</v>
      </c>
      <c r="H419" s="1882" t="s">
        <v>10909</v>
      </c>
      <c r="I419" s="1882" t="s">
        <v>10910</v>
      </c>
      <c r="J419" s="1882" t="s">
        <v>8519</v>
      </c>
      <c r="K419" s="1882" t="s">
        <v>10843</v>
      </c>
      <c r="L419" s="1882"/>
      <c r="M419" s="1882"/>
      <c r="N419" s="1882" t="s">
        <v>8787</v>
      </c>
      <c r="O419" s="1882" t="s">
        <v>8591</v>
      </c>
      <c r="P419" s="1882" t="s">
        <v>10911</v>
      </c>
      <c r="Q419" s="520">
        <v>2</v>
      </c>
      <c r="R419" s="1882" t="s">
        <v>8511</v>
      </c>
      <c r="S419" s="1882">
        <v>108.4</v>
      </c>
      <c r="T419" s="1882">
        <v>106.2</v>
      </c>
      <c r="U419" s="1882">
        <v>103.2</v>
      </c>
      <c r="V419" s="1882">
        <v>99.4</v>
      </c>
      <c r="W419" s="1882">
        <v>95.6</v>
      </c>
      <c r="X419" s="1882">
        <v>93.4</v>
      </c>
      <c r="Y419" s="1882"/>
      <c r="Z419" s="1882"/>
      <c r="AA419" s="1882"/>
      <c r="AB419" s="1882"/>
      <c r="AC419" s="1882"/>
      <c r="AD419" s="1882"/>
      <c r="AE419" s="1882" t="s">
        <v>2459</v>
      </c>
      <c r="AF419" s="1882"/>
      <c r="AG419" s="1882"/>
      <c r="AH419" s="1882">
        <v>4</v>
      </c>
      <c r="AI419" s="1882" t="s">
        <v>2459</v>
      </c>
      <c r="AJ419" s="1882" t="s">
        <v>2459</v>
      </c>
      <c r="AK419" s="1882" t="s">
        <v>2459</v>
      </c>
      <c r="AL419" s="1882" t="s">
        <v>2459</v>
      </c>
      <c r="AM419" s="1882" t="s">
        <v>2459</v>
      </c>
      <c r="AN419" s="1882">
        <v>115.4</v>
      </c>
      <c r="AO419" s="1882">
        <v>112.4</v>
      </c>
      <c r="AP419" s="1882">
        <v>108.6</v>
      </c>
      <c r="AQ419" s="1882">
        <v>104.8</v>
      </c>
      <c r="AR419" s="1882">
        <v>102.6</v>
      </c>
      <c r="AS419" s="1882">
        <v>108.9</v>
      </c>
      <c r="AT419" s="1882">
        <v>105.8</v>
      </c>
      <c r="AU419" s="1882">
        <v>101.9</v>
      </c>
      <c r="AV419" s="1882">
        <v>98</v>
      </c>
      <c r="AW419" s="1882">
        <v>95.7</v>
      </c>
      <c r="AX419" s="1882"/>
      <c r="AY419" s="1882"/>
      <c r="AZ419" s="1882"/>
      <c r="BA419" s="1882"/>
      <c r="BB419" s="1882"/>
      <c r="BC419" s="1882"/>
      <c r="BD419" s="1882"/>
      <c r="BE419" s="1882"/>
      <c r="BF419" s="1882"/>
      <c r="BG419" s="1882"/>
      <c r="BH419" s="1882">
        <v>2.298</v>
      </c>
      <c r="BI419" s="1882"/>
      <c r="BJ419" s="1882"/>
      <c r="BK419" s="1882"/>
      <c r="BL419" s="1882"/>
      <c r="BM419" s="1882"/>
      <c r="BN419" s="1882">
        <v>1</v>
      </c>
      <c r="BO419" s="1882" t="s">
        <v>8512</v>
      </c>
      <c r="BP419" s="520">
        <v>94.3</v>
      </c>
      <c r="BQ419" s="694">
        <v>90.95</v>
      </c>
      <c r="BR419" s="1882" t="s">
        <v>2459</v>
      </c>
      <c r="BS419" s="1882" t="s">
        <v>8513</v>
      </c>
      <c r="BT419" s="1882">
        <v>0</v>
      </c>
      <c r="BU419" s="1882" t="s">
        <v>8513</v>
      </c>
      <c r="BV419" s="1882">
        <v>0</v>
      </c>
      <c r="BW419" s="1882">
        <v>89.47</v>
      </c>
      <c r="BX419" s="1882" t="s">
        <v>2459</v>
      </c>
      <c r="BY419" s="1882">
        <v>0</v>
      </c>
      <c r="BZ419" s="1882">
        <v>0</v>
      </c>
      <c r="CA419" s="1882">
        <v>0</v>
      </c>
      <c r="CB419" s="1882">
        <v>0</v>
      </c>
      <c r="CC419" s="1882">
        <v>86.17</v>
      </c>
      <c r="CD419" s="1882" t="s">
        <v>2459</v>
      </c>
      <c r="CE419" s="1882">
        <v>0</v>
      </c>
      <c r="CF419" s="1882">
        <v>0</v>
      </c>
      <c r="CG419" s="1882">
        <v>0</v>
      </c>
      <c r="CH419" s="1882">
        <v>0</v>
      </c>
      <c r="CI419" s="1882">
        <v>90.75</v>
      </c>
      <c r="CJ419" s="1882" t="s">
        <v>2459</v>
      </c>
      <c r="CK419" s="1882">
        <v>0</v>
      </c>
      <c r="CL419" s="1882">
        <v>0</v>
      </c>
      <c r="CM419" s="1882">
        <v>0</v>
      </c>
      <c r="CN419" s="1882">
        <v>0</v>
      </c>
      <c r="CP419" s="1882" t="s">
        <v>10912</v>
      </c>
    </row>
    <row r="420" spans="1:94">
      <c r="A420" s="1882" t="s">
        <v>10833</v>
      </c>
      <c r="B420" s="1882" t="s">
        <v>10913</v>
      </c>
      <c r="C420" s="1882" t="s">
        <v>8352</v>
      </c>
      <c r="D420" s="1882" t="s">
        <v>1627</v>
      </c>
      <c r="E420" s="1882" t="s">
        <v>8720</v>
      </c>
      <c r="F420" s="1882" t="s">
        <v>10914</v>
      </c>
      <c r="G420" s="1882" t="s">
        <v>8741</v>
      </c>
      <c r="H420" s="1882" t="s">
        <v>10915</v>
      </c>
      <c r="I420" s="1882" t="s">
        <v>10916</v>
      </c>
      <c r="J420" s="1882" t="s">
        <v>8539</v>
      </c>
      <c r="K420" s="1882"/>
      <c r="L420" s="1882"/>
      <c r="M420" s="1882"/>
      <c r="N420" s="1882" t="s">
        <v>8724</v>
      </c>
      <c r="O420" s="1882" t="s">
        <v>764</v>
      </c>
      <c r="P420" s="1882" t="s">
        <v>10917</v>
      </c>
      <c r="Q420" s="520">
        <v>0</v>
      </c>
      <c r="R420" s="1882" t="s">
        <v>8511</v>
      </c>
      <c r="S420" s="1882">
        <v>16568</v>
      </c>
      <c r="T420" s="1882">
        <v>16511</v>
      </c>
      <c r="U420" s="1882">
        <v>16436</v>
      </c>
      <c r="V420" s="1882">
        <v>16341</v>
      </c>
      <c r="W420" s="1882">
        <v>16247</v>
      </c>
      <c r="X420" s="1882">
        <v>16190</v>
      </c>
      <c r="Y420" s="1882"/>
      <c r="Z420" s="1882"/>
      <c r="AA420" s="1882"/>
      <c r="AB420" s="1882"/>
      <c r="AC420" s="1882"/>
      <c r="AD420" s="1882"/>
      <c r="AE420" s="1882" t="s">
        <v>2459</v>
      </c>
      <c r="AF420" s="1882"/>
      <c r="AG420" s="1882"/>
      <c r="AH420" s="1882">
        <v>0</v>
      </c>
      <c r="AI420" s="1882"/>
      <c r="AJ420" s="1882"/>
      <c r="AK420" s="1882"/>
      <c r="AL420" s="1882"/>
      <c r="AM420" s="1882"/>
      <c r="AN420" s="1882"/>
      <c r="AO420" s="1882"/>
      <c r="AP420" s="1882"/>
      <c r="AQ420" s="1882"/>
      <c r="AR420" s="1882"/>
      <c r="AS420" s="1882"/>
      <c r="AT420" s="1882"/>
      <c r="AU420" s="1882"/>
      <c r="AV420" s="1882"/>
      <c r="AW420" s="1882"/>
      <c r="AX420" s="1882"/>
      <c r="AY420" s="1882"/>
      <c r="AZ420" s="1882"/>
      <c r="BA420" s="1882"/>
      <c r="BB420" s="1882"/>
      <c r="BC420" s="1882"/>
      <c r="BD420" s="1882"/>
      <c r="BE420" s="1882"/>
      <c r="BF420" s="1882"/>
      <c r="BG420" s="1882"/>
      <c r="BH420" s="1882"/>
      <c r="BI420" s="1882"/>
      <c r="BJ420" s="1882"/>
      <c r="BK420" s="1882"/>
      <c r="BL420" s="1882"/>
      <c r="BM420" s="1882"/>
      <c r="BN420" s="1882"/>
      <c r="BO420" s="1882"/>
      <c r="BP420" s="520" t="s">
        <v>8513</v>
      </c>
      <c r="BQ420" s="693">
        <v>16472</v>
      </c>
      <c r="BR420" s="1882" t="s">
        <v>2459</v>
      </c>
      <c r="BS420" s="1882" t="s">
        <v>8513</v>
      </c>
      <c r="BT420" s="1882">
        <v>0</v>
      </c>
      <c r="BU420" s="1882" t="s">
        <v>8513</v>
      </c>
      <c r="BV420" s="1882">
        <v>0</v>
      </c>
      <c r="BW420" s="1882">
        <v>16418</v>
      </c>
      <c r="BX420" s="1882" t="s">
        <v>2459</v>
      </c>
      <c r="BY420" s="1882">
        <v>0</v>
      </c>
      <c r="BZ420" s="1882">
        <v>0</v>
      </c>
      <c r="CA420" s="1882">
        <v>0</v>
      </c>
      <c r="CB420" s="1882">
        <v>0</v>
      </c>
      <c r="CC420" s="1882">
        <v>16395</v>
      </c>
      <c r="CD420" s="1882" t="s">
        <v>2460</v>
      </c>
      <c r="CE420" s="1882">
        <v>0</v>
      </c>
      <c r="CF420" s="1882">
        <v>0</v>
      </c>
      <c r="CG420" s="1882">
        <v>0</v>
      </c>
      <c r="CH420" s="1882">
        <v>0</v>
      </c>
      <c r="CI420" s="1882">
        <v>16379</v>
      </c>
      <c r="CJ420" s="1882" t="s">
        <v>2460</v>
      </c>
      <c r="CK420" s="1882">
        <v>0</v>
      </c>
      <c r="CL420" s="1882">
        <v>0</v>
      </c>
      <c r="CM420" s="1882">
        <v>0</v>
      </c>
      <c r="CN420" s="1882">
        <v>0</v>
      </c>
      <c r="CP420" s="1882" t="s">
        <v>10918</v>
      </c>
    </row>
    <row r="421" spans="1:94">
      <c r="A421" s="1882" t="s">
        <v>10833</v>
      </c>
      <c r="B421" s="1882" t="s">
        <v>10919</v>
      </c>
      <c r="C421" s="1882" t="s">
        <v>8352</v>
      </c>
      <c r="D421" s="1882" t="s">
        <v>1627</v>
      </c>
      <c r="E421" s="1882" t="s">
        <v>8720</v>
      </c>
      <c r="F421" s="1882" t="s">
        <v>10914</v>
      </c>
      <c r="G421" s="1882" t="s">
        <v>9208</v>
      </c>
      <c r="H421" s="1882" t="s">
        <v>10920</v>
      </c>
      <c r="I421" s="1882" t="s">
        <v>10921</v>
      </c>
      <c r="J421" s="1882" t="s">
        <v>8508</v>
      </c>
      <c r="K421" s="1882" t="s">
        <v>10843</v>
      </c>
      <c r="L421" s="1882"/>
      <c r="M421" s="1882"/>
      <c r="N421" s="1882" t="s">
        <v>8724</v>
      </c>
      <c r="O421" s="1882" t="s">
        <v>8591</v>
      </c>
      <c r="P421" s="1882" t="s">
        <v>10922</v>
      </c>
      <c r="Q421" s="520">
        <v>1</v>
      </c>
      <c r="R421" s="1882" t="s">
        <v>8511</v>
      </c>
      <c r="S421" s="1882">
        <v>101.6</v>
      </c>
      <c r="T421" s="1882">
        <v>93.1</v>
      </c>
      <c r="U421" s="1882">
        <v>83.9</v>
      </c>
      <c r="V421" s="1882">
        <v>73.900000000000006</v>
      </c>
      <c r="W421" s="1882">
        <v>70.3</v>
      </c>
      <c r="X421" s="1882">
        <v>68.099999999999994</v>
      </c>
      <c r="Y421" s="1882"/>
      <c r="Z421" s="1882"/>
      <c r="AA421" s="1882"/>
      <c r="AB421" s="1882"/>
      <c r="AC421" s="1882" t="s">
        <v>2459</v>
      </c>
      <c r="AD421" s="1882"/>
      <c r="AE421" s="1882" t="s">
        <v>2459</v>
      </c>
      <c r="AF421" s="1882"/>
      <c r="AG421" s="1882"/>
      <c r="AH421" s="1882">
        <v>5</v>
      </c>
      <c r="AI421" s="1882" t="s">
        <v>2459</v>
      </c>
      <c r="AJ421" s="1882" t="s">
        <v>2459</v>
      </c>
      <c r="AK421" s="1882" t="s">
        <v>2459</v>
      </c>
      <c r="AL421" s="1882" t="s">
        <v>2459</v>
      </c>
      <c r="AM421" s="1882" t="s">
        <v>2459</v>
      </c>
      <c r="AN421" s="1882">
        <v>114.1</v>
      </c>
      <c r="AO421" s="1882">
        <v>104.1</v>
      </c>
      <c r="AP421" s="1882">
        <v>93.2</v>
      </c>
      <c r="AQ421" s="1882">
        <v>88.8</v>
      </c>
      <c r="AR421" s="1882">
        <v>86.1</v>
      </c>
      <c r="AS421" s="1882">
        <v>103.7</v>
      </c>
      <c r="AT421" s="1882">
        <v>93.7</v>
      </c>
      <c r="AU421" s="1882">
        <v>82.8</v>
      </c>
      <c r="AV421" s="1882">
        <v>78.400000000000006</v>
      </c>
      <c r="AW421" s="1882">
        <v>75.7</v>
      </c>
      <c r="AX421" s="1882">
        <v>82.6</v>
      </c>
      <c r="AY421" s="1882">
        <v>74</v>
      </c>
      <c r="AZ421" s="1882">
        <v>65</v>
      </c>
      <c r="BA421" s="1882">
        <v>62.2</v>
      </c>
      <c r="BB421" s="1882">
        <v>60.5</v>
      </c>
      <c r="BC421" s="1882">
        <v>70.400000000000006</v>
      </c>
      <c r="BD421" s="1882">
        <v>61.4</v>
      </c>
      <c r="BE421" s="1882">
        <v>51.9</v>
      </c>
      <c r="BF421" s="1882">
        <v>48.7</v>
      </c>
      <c r="BG421" s="1882">
        <v>46.8</v>
      </c>
      <c r="BH421" s="1882">
        <v>2.032</v>
      </c>
      <c r="BI421" s="1882"/>
      <c r="BJ421" s="1882"/>
      <c r="BK421" s="1882"/>
      <c r="BL421" s="1882">
        <v>1.05</v>
      </c>
      <c r="BM421" s="1882"/>
      <c r="BN421" s="1882">
        <v>1</v>
      </c>
      <c r="BO421" s="1882" t="s">
        <v>8512</v>
      </c>
      <c r="BP421" s="520">
        <v>82.5</v>
      </c>
      <c r="BQ421" s="690">
        <v>100.8</v>
      </c>
      <c r="BR421" s="1882" t="s">
        <v>2460</v>
      </c>
      <c r="BS421" s="1882" t="s">
        <v>8513</v>
      </c>
      <c r="BT421" s="1882">
        <v>0</v>
      </c>
      <c r="BU421" s="1882" t="s">
        <v>8429</v>
      </c>
      <c r="BV421" s="1882">
        <v>0</v>
      </c>
      <c r="BW421" s="1882">
        <v>94.4</v>
      </c>
      <c r="BX421" s="1882" t="s">
        <v>2460</v>
      </c>
      <c r="BY421" s="1882">
        <v>0</v>
      </c>
      <c r="BZ421" s="1882">
        <v>0</v>
      </c>
      <c r="CA421" s="1882" t="s">
        <v>8563</v>
      </c>
      <c r="CB421" s="1882">
        <v>-1.484</v>
      </c>
      <c r="CC421" s="1882">
        <v>70</v>
      </c>
      <c r="CD421" s="1882" t="s">
        <v>2459</v>
      </c>
      <c r="CE421" s="1882">
        <v>0</v>
      </c>
      <c r="CF421" s="1882">
        <v>0</v>
      </c>
      <c r="CG421" s="1882">
        <v>0</v>
      </c>
      <c r="CH421" s="1882">
        <v>0</v>
      </c>
      <c r="CI421" s="1882">
        <v>61.66</v>
      </c>
      <c r="CJ421" s="1882" t="s">
        <v>2459</v>
      </c>
      <c r="CK421" s="1882">
        <v>0</v>
      </c>
      <c r="CL421" s="1882">
        <v>0</v>
      </c>
      <c r="CM421" s="1882" t="s">
        <v>8376</v>
      </c>
      <c r="CN421" s="1882">
        <v>0.56999999999999995</v>
      </c>
      <c r="CP421" s="1882" t="s">
        <v>10923</v>
      </c>
    </row>
    <row r="422" spans="1:94">
      <c r="A422" s="1882" t="s">
        <v>10833</v>
      </c>
      <c r="B422" s="1882" t="s">
        <v>10924</v>
      </c>
      <c r="C422" s="1882" t="s">
        <v>8352</v>
      </c>
      <c r="D422" s="1882" t="s">
        <v>1627</v>
      </c>
      <c r="E422" s="1882" t="s">
        <v>8720</v>
      </c>
      <c r="F422" s="1882" t="s">
        <v>10925</v>
      </c>
      <c r="G422" s="1882" t="s">
        <v>8746</v>
      </c>
      <c r="H422" s="1882" t="s">
        <v>10926</v>
      </c>
      <c r="I422" s="1882" t="s">
        <v>10927</v>
      </c>
      <c r="J422" s="1882" t="s">
        <v>8519</v>
      </c>
      <c r="K422" s="1882" t="s">
        <v>10843</v>
      </c>
      <c r="L422" s="1882"/>
      <c r="M422" s="1882" t="s">
        <v>2460</v>
      </c>
      <c r="N422" s="1882" t="s">
        <v>8673</v>
      </c>
      <c r="O422" s="1882" t="s">
        <v>764</v>
      </c>
      <c r="P422" s="1882" t="s">
        <v>10928</v>
      </c>
      <c r="Q422" s="520">
        <v>2</v>
      </c>
      <c r="R422" s="1882" t="s">
        <v>8549</v>
      </c>
      <c r="S422" s="1882">
        <v>0</v>
      </c>
      <c r="T422" s="1882">
        <v>0.36</v>
      </c>
      <c r="U422" s="1882">
        <v>0.66</v>
      </c>
      <c r="V422" s="1882">
        <v>1.49</v>
      </c>
      <c r="W422" s="1882">
        <v>3.78</v>
      </c>
      <c r="X422" s="1882">
        <v>6.56</v>
      </c>
      <c r="Y422" s="1882"/>
      <c r="Z422" s="1882"/>
      <c r="AA422" s="1882"/>
      <c r="AB422" s="1882"/>
      <c r="AC422" s="1882"/>
      <c r="AD422" s="1882" t="s">
        <v>2459</v>
      </c>
      <c r="AE422" s="1882"/>
      <c r="AF422" s="1882" t="s">
        <v>2459</v>
      </c>
      <c r="AG422" s="1882"/>
      <c r="AH422" s="1882">
        <v>0</v>
      </c>
      <c r="AI422" s="1882" t="s">
        <v>2459</v>
      </c>
      <c r="AJ422" s="1882" t="s">
        <v>2459</v>
      </c>
      <c r="AK422" s="1882" t="s">
        <v>2459</v>
      </c>
      <c r="AL422" s="1882" t="s">
        <v>2459</v>
      </c>
      <c r="AM422" s="1882" t="s">
        <v>2459</v>
      </c>
      <c r="AN422" s="1882">
        <v>0</v>
      </c>
      <c r="AO422" s="1882">
        <v>0</v>
      </c>
      <c r="AP422" s="1882">
        <v>0</v>
      </c>
      <c r="AQ422" s="1882">
        <v>0</v>
      </c>
      <c r="AR422" s="1882">
        <v>0</v>
      </c>
      <c r="AS422" s="1882">
        <v>0.36</v>
      </c>
      <c r="AT422" s="1882">
        <v>0.66</v>
      </c>
      <c r="AU422" s="1882">
        <v>1.49</v>
      </c>
      <c r="AV422" s="1882">
        <v>3.78</v>
      </c>
      <c r="AW422" s="1882">
        <v>6.56</v>
      </c>
      <c r="AX422" s="1882"/>
      <c r="AY422" s="1882"/>
      <c r="AZ422" s="1882"/>
      <c r="BA422" s="1882"/>
      <c r="BB422" s="1882"/>
      <c r="BC422" s="1882"/>
      <c r="BD422" s="1882"/>
      <c r="BE422" s="1882"/>
      <c r="BF422" s="1882"/>
      <c r="BG422" s="1882"/>
      <c r="BH422" s="1882">
        <v>10</v>
      </c>
      <c r="BI422" s="1882"/>
      <c r="BJ422" s="1882"/>
      <c r="BK422" s="1882"/>
      <c r="BL422" s="1882"/>
      <c r="BM422" s="1882"/>
      <c r="BN422" s="1882">
        <v>1</v>
      </c>
      <c r="BO422" s="1882" t="s">
        <v>8512</v>
      </c>
      <c r="BP422" s="520">
        <v>0</v>
      </c>
      <c r="BQ422" s="694">
        <v>0.47</v>
      </c>
      <c r="BR422" s="1882" t="s">
        <v>2459</v>
      </c>
      <c r="BS422" s="1882" t="s">
        <v>8513</v>
      </c>
      <c r="BT422" s="1882">
        <v>0</v>
      </c>
      <c r="BU422" s="1882" t="s">
        <v>8513</v>
      </c>
      <c r="BV422" s="1882">
        <v>0</v>
      </c>
      <c r="BW422" s="1882">
        <v>0.66</v>
      </c>
      <c r="BX422" s="1882" t="s">
        <v>2459</v>
      </c>
      <c r="BY422" s="1882">
        <v>0</v>
      </c>
      <c r="BZ422" s="1882">
        <v>0</v>
      </c>
      <c r="CA422" s="1882">
        <v>0</v>
      </c>
      <c r="CB422" s="1882">
        <v>0</v>
      </c>
      <c r="CC422" s="1882">
        <v>1.49</v>
      </c>
      <c r="CD422" s="1882" t="s">
        <v>2459</v>
      </c>
      <c r="CE422" s="1882">
        <v>0</v>
      </c>
      <c r="CF422" s="1882">
        <v>0</v>
      </c>
      <c r="CG422" s="1882">
        <v>0</v>
      </c>
      <c r="CH422" s="1882">
        <v>0</v>
      </c>
      <c r="CI422" s="1882">
        <v>4.21</v>
      </c>
      <c r="CJ422" s="1882" t="s">
        <v>2459</v>
      </c>
      <c r="CK422" s="1882">
        <v>0</v>
      </c>
      <c r="CL422" s="1882">
        <v>0</v>
      </c>
      <c r="CM422" s="1882">
        <v>0</v>
      </c>
      <c r="CN422" s="1882">
        <v>0</v>
      </c>
      <c r="CP422" s="1882" t="s">
        <v>10929</v>
      </c>
    </row>
    <row r="423" spans="1:94">
      <c r="A423" s="1882" t="s">
        <v>10833</v>
      </c>
      <c r="B423" s="1882" t="s">
        <v>10930</v>
      </c>
      <c r="C423" s="1882" t="s">
        <v>8352</v>
      </c>
      <c r="D423" s="1882" t="s">
        <v>1627</v>
      </c>
      <c r="E423" s="1882" t="s">
        <v>8720</v>
      </c>
      <c r="F423" s="1882" t="s">
        <v>10885</v>
      </c>
      <c r="G423" s="1882" t="s">
        <v>8769</v>
      </c>
      <c r="H423" s="1882" t="s">
        <v>10931</v>
      </c>
      <c r="I423" s="1882" t="s">
        <v>10932</v>
      </c>
      <c r="J423" s="1882" t="s">
        <v>8519</v>
      </c>
      <c r="K423" s="1882" t="s">
        <v>10843</v>
      </c>
      <c r="L423" s="1882"/>
      <c r="M423" s="1882" t="s">
        <v>2460</v>
      </c>
      <c r="N423" s="1882" t="s">
        <v>8673</v>
      </c>
      <c r="O423" s="1882" t="s">
        <v>764</v>
      </c>
      <c r="P423" s="1882" t="s">
        <v>10933</v>
      </c>
      <c r="Q423" s="520">
        <v>1</v>
      </c>
      <c r="R423" s="1882" t="s">
        <v>8549</v>
      </c>
      <c r="S423" s="1882">
        <v>0</v>
      </c>
      <c r="T423" s="1882">
        <v>1.8</v>
      </c>
      <c r="U423" s="1882">
        <v>1.8</v>
      </c>
      <c r="V423" s="1882">
        <v>190.1</v>
      </c>
      <c r="W423" s="1882">
        <v>316.7</v>
      </c>
      <c r="X423" s="1882">
        <v>346.6</v>
      </c>
      <c r="Y423" s="1882"/>
      <c r="Z423" s="1882"/>
      <c r="AA423" s="1882"/>
      <c r="AB423" s="1882"/>
      <c r="AC423" s="1882"/>
      <c r="AD423" s="1882" t="s">
        <v>2459</v>
      </c>
      <c r="AE423" s="1882"/>
      <c r="AF423" s="1882" t="s">
        <v>2459</v>
      </c>
      <c r="AG423" s="1882"/>
      <c r="AH423" s="1882">
        <v>0</v>
      </c>
      <c r="AI423" s="1882" t="s">
        <v>2459</v>
      </c>
      <c r="AJ423" s="1882" t="s">
        <v>2459</v>
      </c>
      <c r="AK423" s="1882" t="s">
        <v>2459</v>
      </c>
      <c r="AL423" s="1882" t="s">
        <v>2459</v>
      </c>
      <c r="AM423" s="1882" t="s">
        <v>2459</v>
      </c>
      <c r="AN423" s="1882">
        <v>0</v>
      </c>
      <c r="AO423" s="1882">
        <v>0</v>
      </c>
      <c r="AP423" s="1882">
        <v>0</v>
      </c>
      <c r="AQ423" s="1882">
        <v>0</v>
      </c>
      <c r="AR423" s="1882">
        <v>0</v>
      </c>
      <c r="AS423" s="1882">
        <v>1.8</v>
      </c>
      <c r="AT423" s="1882">
        <v>1.8</v>
      </c>
      <c r="AU423" s="1882">
        <v>190.1</v>
      </c>
      <c r="AV423" s="1882">
        <v>316.7</v>
      </c>
      <c r="AW423" s="1882">
        <v>346.6</v>
      </c>
      <c r="AX423" s="1882"/>
      <c r="AY423" s="1882"/>
      <c r="AZ423" s="1882"/>
      <c r="BA423" s="1882"/>
      <c r="BB423" s="1882"/>
      <c r="BC423" s="1882"/>
      <c r="BD423" s="1882"/>
      <c r="BE423" s="1882"/>
      <c r="BF423" s="1882"/>
      <c r="BG423" s="1882"/>
      <c r="BH423" s="1882">
        <v>5.8000000000000003E-2</v>
      </c>
      <c r="BI423" s="1882"/>
      <c r="BJ423" s="1882"/>
      <c r="BK423" s="1882"/>
      <c r="BL423" s="1882"/>
      <c r="BM423" s="1882"/>
      <c r="BN423" s="1882">
        <v>1</v>
      </c>
      <c r="BO423" s="1882" t="s">
        <v>8512</v>
      </c>
      <c r="BP423" s="520">
        <v>0</v>
      </c>
      <c r="BQ423" s="690">
        <v>48</v>
      </c>
      <c r="BR423" s="1882" t="s">
        <v>2459</v>
      </c>
      <c r="BS423" s="1882" t="s">
        <v>8513</v>
      </c>
      <c r="BT423" s="1882">
        <v>0</v>
      </c>
      <c r="BU423" s="1882" t="s">
        <v>8513</v>
      </c>
      <c r="BV423" s="1882">
        <v>0</v>
      </c>
      <c r="BW423" s="1882">
        <v>48.02</v>
      </c>
      <c r="BX423" s="1882" t="s">
        <v>2459</v>
      </c>
      <c r="BY423" s="1882">
        <v>0</v>
      </c>
      <c r="BZ423" s="1882">
        <v>0</v>
      </c>
      <c r="CA423" s="1882">
        <v>0</v>
      </c>
      <c r="CB423" s="1882">
        <v>0</v>
      </c>
      <c r="CC423" s="1882">
        <v>210.5</v>
      </c>
      <c r="CD423" s="1882" t="s">
        <v>2459</v>
      </c>
      <c r="CE423" s="1882">
        <v>0</v>
      </c>
      <c r="CF423" s="1882">
        <v>0</v>
      </c>
      <c r="CG423" s="1882">
        <v>0</v>
      </c>
      <c r="CH423" s="1882">
        <v>0</v>
      </c>
      <c r="CI423" s="1882">
        <v>322.89</v>
      </c>
      <c r="CJ423" s="1882" t="s">
        <v>2459</v>
      </c>
      <c r="CK423" s="1882">
        <v>0</v>
      </c>
      <c r="CL423" s="1882">
        <v>0</v>
      </c>
      <c r="CM423" s="1882">
        <v>0</v>
      </c>
      <c r="CN423" s="1882">
        <v>0</v>
      </c>
      <c r="CP423" s="1882" t="s">
        <v>10934</v>
      </c>
    </row>
    <row r="424" spans="1:94">
      <c r="A424" s="1882" t="s">
        <v>10833</v>
      </c>
      <c r="B424" s="1882" t="s">
        <v>10935</v>
      </c>
      <c r="C424" s="1882" t="s">
        <v>8352</v>
      </c>
      <c r="D424" s="1882" t="s">
        <v>1627</v>
      </c>
      <c r="E424" s="1882" t="s">
        <v>8720</v>
      </c>
      <c r="F424" s="1882" t="s">
        <v>10885</v>
      </c>
      <c r="G424" s="1882" t="s">
        <v>8774</v>
      </c>
      <c r="H424" s="1882" t="s">
        <v>10936</v>
      </c>
      <c r="I424" s="1882" t="s">
        <v>10937</v>
      </c>
      <c r="J424" s="1882" t="s">
        <v>8519</v>
      </c>
      <c r="K424" s="1882" t="s">
        <v>10843</v>
      </c>
      <c r="L424" s="1882"/>
      <c r="M424" s="1882"/>
      <c r="N424" s="1882" t="s">
        <v>8673</v>
      </c>
      <c r="O424" s="1882" t="s">
        <v>8591</v>
      </c>
      <c r="P424" s="1882" t="s">
        <v>10938</v>
      </c>
      <c r="Q424" s="520">
        <v>4</v>
      </c>
      <c r="R424" s="1882" t="s">
        <v>8511</v>
      </c>
      <c r="S424" s="1882">
        <v>113.97</v>
      </c>
      <c r="T424" s="1882">
        <v>83</v>
      </c>
      <c r="U424" s="1882">
        <v>83</v>
      </c>
      <c r="V424" s="1882">
        <v>83</v>
      </c>
      <c r="W424" s="1882">
        <v>54.32</v>
      </c>
      <c r="X424" s="1882">
        <v>46.13</v>
      </c>
      <c r="Y424" s="1882"/>
      <c r="Z424" s="1882"/>
      <c r="AA424" s="1882"/>
      <c r="AB424" s="1882"/>
      <c r="AC424" s="1882"/>
      <c r="AD424" s="1882" t="s">
        <v>2459</v>
      </c>
      <c r="AE424" s="1882" t="s">
        <v>2459</v>
      </c>
      <c r="AF424" s="1882" t="s">
        <v>2459</v>
      </c>
      <c r="AG424" s="1882"/>
      <c r="AH424" s="1882">
        <v>10</v>
      </c>
      <c r="AI424" s="1882" t="s">
        <v>2459</v>
      </c>
      <c r="AJ424" s="1882" t="s">
        <v>2459</v>
      </c>
      <c r="AK424" s="1882" t="s">
        <v>2459</v>
      </c>
      <c r="AL424" s="1882" t="s">
        <v>2459</v>
      </c>
      <c r="AM424" s="1882" t="s">
        <v>2459</v>
      </c>
      <c r="AN424" s="1882">
        <v>155.4</v>
      </c>
      <c r="AO424" s="1882">
        <v>155.4</v>
      </c>
      <c r="AP424" s="1882">
        <v>155.4</v>
      </c>
      <c r="AQ424" s="1882">
        <v>126.72</v>
      </c>
      <c r="AR424" s="1882">
        <v>118.53</v>
      </c>
      <c r="AS424" s="1882">
        <v>113.3</v>
      </c>
      <c r="AT424" s="1882">
        <v>113.3</v>
      </c>
      <c r="AU424" s="1882">
        <v>113.3</v>
      </c>
      <c r="AV424" s="1882">
        <v>84.62</v>
      </c>
      <c r="AW424" s="1882">
        <v>76.430000000000007</v>
      </c>
      <c r="AX424" s="1882"/>
      <c r="AY424" s="1882"/>
      <c r="AZ424" s="1882"/>
      <c r="BA424" s="1882"/>
      <c r="BB424" s="1882"/>
      <c r="BC424" s="1882"/>
      <c r="BD424" s="1882"/>
      <c r="BE424" s="1882"/>
      <c r="BF424" s="1882"/>
      <c r="BG424" s="1882"/>
      <c r="BH424" s="1882">
        <v>0.57199999999999995</v>
      </c>
      <c r="BI424" s="1882"/>
      <c r="BJ424" s="1882"/>
      <c r="BK424" s="1882"/>
      <c r="BL424" s="1882"/>
      <c r="BM424" s="1882"/>
      <c r="BN424" s="1882">
        <v>1</v>
      </c>
      <c r="BO424" s="1882" t="s">
        <v>8512</v>
      </c>
      <c r="BP424" s="520">
        <v>94.99</v>
      </c>
      <c r="BQ424" s="704">
        <v>91.484700000000004</v>
      </c>
      <c r="BR424" s="1882" t="s">
        <v>2460</v>
      </c>
      <c r="BS424" s="1882" t="s">
        <v>8513</v>
      </c>
      <c r="BT424" s="1882">
        <v>0</v>
      </c>
      <c r="BU424" s="1882" t="s">
        <v>8429</v>
      </c>
      <c r="BV424" s="1882">
        <v>0</v>
      </c>
      <c r="BW424" s="1882">
        <v>58.708199999999998</v>
      </c>
      <c r="BX424" s="1882" t="s">
        <v>2459</v>
      </c>
      <c r="BY424" s="1882">
        <v>0</v>
      </c>
      <c r="BZ424" s="1882">
        <v>0</v>
      </c>
      <c r="CA424" s="1882">
        <v>0</v>
      </c>
      <c r="CB424" s="1882">
        <v>0</v>
      </c>
      <c r="CC424" s="1882">
        <v>30.468</v>
      </c>
      <c r="CD424" s="1882" t="s">
        <v>2459</v>
      </c>
      <c r="CE424" s="1882">
        <v>0</v>
      </c>
      <c r="CF424" s="1882">
        <v>0</v>
      </c>
      <c r="CG424" s="1882">
        <v>0</v>
      </c>
      <c r="CH424" s="1882">
        <v>0</v>
      </c>
      <c r="CI424" s="1882">
        <v>39.166499999999999</v>
      </c>
      <c r="CJ424" s="1882" t="s">
        <v>2459</v>
      </c>
      <c r="CK424" s="1882">
        <v>0</v>
      </c>
      <c r="CL424" s="1882">
        <v>0</v>
      </c>
      <c r="CM424" s="1882">
        <v>0</v>
      </c>
      <c r="CN424" s="1882">
        <v>0</v>
      </c>
      <c r="CP424" s="1882" t="s">
        <v>10939</v>
      </c>
    </row>
    <row r="425" spans="1:94">
      <c r="A425" s="1882" t="s">
        <v>10833</v>
      </c>
      <c r="B425" s="1882" t="s">
        <v>10940</v>
      </c>
      <c r="C425" s="1882" t="s">
        <v>8352</v>
      </c>
      <c r="D425" s="1882" t="s">
        <v>1627</v>
      </c>
      <c r="E425" s="1882" t="s">
        <v>8720</v>
      </c>
      <c r="F425" s="1882" t="s">
        <v>10885</v>
      </c>
      <c r="G425" s="1882" t="s">
        <v>9301</v>
      </c>
      <c r="H425" s="1882" t="s">
        <v>10941</v>
      </c>
      <c r="I425" s="1882" t="s">
        <v>10942</v>
      </c>
      <c r="J425" s="1882" t="s">
        <v>8508</v>
      </c>
      <c r="K425" s="1882" t="s">
        <v>10843</v>
      </c>
      <c r="L425" s="1882"/>
      <c r="M425" s="1882" t="s">
        <v>2460</v>
      </c>
      <c r="N425" s="1882" t="s">
        <v>8673</v>
      </c>
      <c r="O425" s="1882" t="s">
        <v>764</v>
      </c>
      <c r="P425" s="1882" t="s">
        <v>10888</v>
      </c>
      <c r="Q425" s="520">
        <v>2</v>
      </c>
      <c r="R425" s="1882" t="s">
        <v>8549</v>
      </c>
      <c r="S425" s="1882">
        <v>0</v>
      </c>
      <c r="T425" s="1882">
        <v>0.75</v>
      </c>
      <c r="U425" s="1882">
        <v>15.41</v>
      </c>
      <c r="V425" s="1882">
        <v>98.14</v>
      </c>
      <c r="W425" s="1882">
        <v>145.38999999999999</v>
      </c>
      <c r="X425" s="1882">
        <v>355.22</v>
      </c>
      <c r="Y425" s="1882"/>
      <c r="Z425" s="1882"/>
      <c r="AA425" s="1882"/>
      <c r="AB425" s="1882"/>
      <c r="AC425" s="1882"/>
      <c r="AD425" s="1882" t="s">
        <v>2459</v>
      </c>
      <c r="AE425" s="1882"/>
      <c r="AF425" s="1882" t="s">
        <v>2459</v>
      </c>
      <c r="AG425" s="1882"/>
      <c r="AH425" s="1882">
        <v>0</v>
      </c>
      <c r="AI425" s="1882" t="s">
        <v>2459</v>
      </c>
      <c r="AJ425" s="1882" t="s">
        <v>2459</v>
      </c>
      <c r="AK425" s="1882" t="s">
        <v>2459</v>
      </c>
      <c r="AL425" s="1882" t="s">
        <v>2459</v>
      </c>
      <c r="AM425" s="1882" t="s">
        <v>2459</v>
      </c>
      <c r="AN425" s="1882">
        <v>0</v>
      </c>
      <c r="AO425" s="1882">
        <v>0</v>
      </c>
      <c r="AP425" s="1882">
        <v>0</v>
      </c>
      <c r="AQ425" s="1882">
        <v>0</v>
      </c>
      <c r="AR425" s="1882">
        <v>0</v>
      </c>
      <c r="AS425" s="1882">
        <v>0.75</v>
      </c>
      <c r="AT425" s="1882">
        <v>15.41</v>
      </c>
      <c r="AU425" s="1882">
        <v>98.14</v>
      </c>
      <c r="AV425" s="1882">
        <v>145.38999999999999</v>
      </c>
      <c r="AW425" s="1882">
        <v>355.22</v>
      </c>
      <c r="AX425" s="1882">
        <v>0.75</v>
      </c>
      <c r="AY425" s="1882">
        <v>15.41</v>
      </c>
      <c r="AZ425" s="1882">
        <v>98.14</v>
      </c>
      <c r="BA425" s="1882">
        <v>145.38999999999999</v>
      </c>
      <c r="BB425" s="1882">
        <v>355.22</v>
      </c>
      <c r="BC425" s="1882">
        <v>1.5</v>
      </c>
      <c r="BD425" s="1882">
        <v>30.82</v>
      </c>
      <c r="BE425" s="1882">
        <v>196.28</v>
      </c>
      <c r="BF425" s="1882">
        <v>290.77999999999997</v>
      </c>
      <c r="BG425" s="1882">
        <v>710.44</v>
      </c>
      <c r="BH425" s="1882">
        <v>0.111</v>
      </c>
      <c r="BI425" s="1882"/>
      <c r="BJ425" s="1882"/>
      <c r="BK425" s="1882"/>
      <c r="BL425" s="1882">
        <v>2.8000000000000001E-2</v>
      </c>
      <c r="BM425" s="1882"/>
      <c r="BN425" s="1882">
        <v>1</v>
      </c>
      <c r="BO425" s="1882" t="s">
        <v>8512</v>
      </c>
      <c r="BP425" s="520">
        <v>0</v>
      </c>
      <c r="BQ425" s="694">
        <v>0.75</v>
      </c>
      <c r="BR425" s="1882" t="s">
        <v>2459</v>
      </c>
      <c r="BS425" s="1882" t="s">
        <v>8513</v>
      </c>
      <c r="BT425" s="1882">
        <v>0</v>
      </c>
      <c r="BU425" s="1882" t="s">
        <v>8513</v>
      </c>
      <c r="BV425" s="1882">
        <v>0</v>
      </c>
      <c r="BW425" s="1882">
        <v>45.62</v>
      </c>
      <c r="BX425" s="1882" t="s">
        <v>2459</v>
      </c>
      <c r="BY425" s="1882">
        <v>0</v>
      </c>
      <c r="BZ425" s="1882">
        <v>0</v>
      </c>
      <c r="CA425" s="1882" t="s">
        <v>8376</v>
      </c>
      <c r="CB425" s="1882">
        <v>0.43099999999999999</v>
      </c>
      <c r="CC425" s="1882">
        <v>120.75</v>
      </c>
      <c r="CD425" s="1882" t="s">
        <v>2459</v>
      </c>
      <c r="CE425" s="1882">
        <v>0</v>
      </c>
      <c r="CF425" s="1882">
        <v>0</v>
      </c>
      <c r="CG425" s="1882" t="s">
        <v>8376</v>
      </c>
      <c r="CH425" s="1882">
        <v>0.43</v>
      </c>
      <c r="CI425" s="1882">
        <v>178.93</v>
      </c>
      <c r="CJ425" s="1882" t="s">
        <v>2459</v>
      </c>
      <c r="CK425" s="1882">
        <v>0</v>
      </c>
      <c r="CL425" s="1882">
        <v>0</v>
      </c>
      <c r="CM425" s="1882" t="s">
        <v>8376</v>
      </c>
      <c r="CN425" s="1882">
        <v>0.93911999999999995</v>
      </c>
      <c r="CP425" s="1882" t="s">
        <v>10943</v>
      </c>
    </row>
    <row r="426" spans="1:94">
      <c r="A426" s="1882" t="s">
        <v>10833</v>
      </c>
      <c r="B426" s="1882" t="s">
        <v>10944</v>
      </c>
      <c r="C426" s="1882" t="s">
        <v>8352</v>
      </c>
      <c r="D426" s="1882" t="s">
        <v>1627</v>
      </c>
      <c r="E426" s="1882" t="s">
        <v>8720</v>
      </c>
      <c r="F426" s="1882" t="s">
        <v>10885</v>
      </c>
      <c r="G426" s="1882" t="s">
        <v>10945</v>
      </c>
      <c r="H426" s="1882" t="s">
        <v>10946</v>
      </c>
      <c r="I426" s="1882" t="s">
        <v>10947</v>
      </c>
      <c r="J426" s="1882" t="s">
        <v>8519</v>
      </c>
      <c r="K426" s="1882" t="s">
        <v>10843</v>
      </c>
      <c r="L426" s="1882"/>
      <c r="M426" s="1882"/>
      <c r="N426" s="1882" t="s">
        <v>8760</v>
      </c>
      <c r="O426" s="1882" t="s">
        <v>764</v>
      </c>
      <c r="P426" s="1882" t="s">
        <v>9893</v>
      </c>
      <c r="Q426" s="520">
        <v>0</v>
      </c>
      <c r="R426" s="1882" t="s">
        <v>8511</v>
      </c>
      <c r="S426" s="1882">
        <v>4</v>
      </c>
      <c r="T426" s="1882">
        <v>4</v>
      </c>
      <c r="U426" s="1882">
        <v>4</v>
      </c>
      <c r="V426" s="1882">
        <v>3</v>
      </c>
      <c r="W426" s="1882">
        <v>3</v>
      </c>
      <c r="X426" s="1882">
        <v>0</v>
      </c>
      <c r="Y426" s="1882"/>
      <c r="Z426" s="1882"/>
      <c r="AA426" s="1882"/>
      <c r="AB426" s="1882"/>
      <c r="AC426" s="1882"/>
      <c r="AD426" s="1882"/>
      <c r="AE426" s="1882" t="s">
        <v>2459</v>
      </c>
      <c r="AF426" s="1882"/>
      <c r="AG426" s="1882"/>
      <c r="AH426" s="1882">
        <v>0</v>
      </c>
      <c r="AI426" s="1882" t="s">
        <v>2459</v>
      </c>
      <c r="AJ426" s="1882" t="s">
        <v>2459</v>
      </c>
      <c r="AK426" s="1882" t="s">
        <v>2459</v>
      </c>
      <c r="AL426" s="1882" t="s">
        <v>2459</v>
      </c>
      <c r="AM426" s="1882" t="s">
        <v>2459</v>
      </c>
      <c r="AN426" s="1882">
        <v>7</v>
      </c>
      <c r="AO426" s="1882">
        <v>7</v>
      </c>
      <c r="AP426" s="1882">
        <v>6</v>
      </c>
      <c r="AQ426" s="1882">
        <v>6</v>
      </c>
      <c r="AR426" s="1882">
        <v>5</v>
      </c>
      <c r="AS426" s="1882">
        <v>6</v>
      </c>
      <c r="AT426" s="1882">
        <v>6</v>
      </c>
      <c r="AU426" s="1882">
        <v>5</v>
      </c>
      <c r="AV426" s="1882">
        <v>5</v>
      </c>
      <c r="AW426" s="1882">
        <v>4</v>
      </c>
      <c r="AX426" s="1882"/>
      <c r="AY426" s="1882"/>
      <c r="AZ426" s="1882"/>
      <c r="BA426" s="1882"/>
      <c r="BB426" s="1882"/>
      <c r="BC426" s="1882"/>
      <c r="BD426" s="1882"/>
      <c r="BE426" s="1882"/>
      <c r="BF426" s="1882"/>
      <c r="BG426" s="1882"/>
      <c r="BH426" s="1882">
        <v>0.42</v>
      </c>
      <c r="BI426" s="1882"/>
      <c r="BJ426" s="1882"/>
      <c r="BK426" s="1882"/>
      <c r="BL426" s="1882"/>
      <c r="BM426" s="1882"/>
      <c r="BN426" s="1882">
        <v>1</v>
      </c>
      <c r="BO426" s="1882" t="s">
        <v>8512</v>
      </c>
      <c r="BP426" s="520">
        <v>2</v>
      </c>
      <c r="BQ426" s="693">
        <v>4</v>
      </c>
      <c r="BR426" s="1882" t="s">
        <v>2459</v>
      </c>
      <c r="BS426" s="1882" t="s">
        <v>8513</v>
      </c>
      <c r="BT426" s="1882">
        <v>0</v>
      </c>
      <c r="BU426" s="1882" t="s">
        <v>8513</v>
      </c>
      <c r="BV426" s="1882">
        <v>0</v>
      </c>
      <c r="BW426" s="1882">
        <v>2</v>
      </c>
      <c r="BX426" s="1882" t="s">
        <v>2459</v>
      </c>
      <c r="BY426" s="1882">
        <v>0</v>
      </c>
      <c r="BZ426" s="1882">
        <v>0</v>
      </c>
      <c r="CA426" s="1882">
        <v>0</v>
      </c>
      <c r="CB426" s="1882">
        <v>0</v>
      </c>
      <c r="CC426" s="1882">
        <v>0</v>
      </c>
      <c r="CD426" s="1882" t="s">
        <v>2459</v>
      </c>
      <c r="CE426" s="1882">
        <v>0</v>
      </c>
      <c r="CF426" s="1882">
        <v>0</v>
      </c>
      <c r="CG426" s="1882">
        <v>0</v>
      </c>
      <c r="CH426" s="1882">
        <v>0</v>
      </c>
      <c r="CI426" s="1882">
        <v>1</v>
      </c>
      <c r="CJ426" s="1882" t="s">
        <v>2459</v>
      </c>
      <c r="CK426" s="1882">
        <v>0</v>
      </c>
      <c r="CL426" s="1882">
        <v>0</v>
      </c>
      <c r="CM426" s="1882">
        <v>0</v>
      </c>
      <c r="CN426" s="1882">
        <v>0</v>
      </c>
      <c r="CP426" s="1882" t="s">
        <v>10948</v>
      </c>
    </row>
    <row r="427" spans="1:94">
      <c r="A427" s="1882" t="s">
        <v>10833</v>
      </c>
      <c r="B427" s="1882" t="s">
        <v>10949</v>
      </c>
      <c r="C427" s="1882" t="s">
        <v>8352</v>
      </c>
      <c r="D427" s="1882" t="s">
        <v>1627</v>
      </c>
      <c r="E427" s="1882" t="s">
        <v>8720</v>
      </c>
      <c r="F427" s="1882" t="s">
        <v>10885</v>
      </c>
      <c r="G427" s="1882" t="s">
        <v>10950</v>
      </c>
      <c r="H427" s="1882" t="s">
        <v>10951</v>
      </c>
      <c r="I427" s="1882" t="s">
        <v>10952</v>
      </c>
      <c r="J427" s="1882" t="s">
        <v>8508</v>
      </c>
      <c r="K427" s="1882" t="s">
        <v>10843</v>
      </c>
      <c r="L427" s="1882"/>
      <c r="M427" s="1882"/>
      <c r="N427" s="1882" t="s">
        <v>8760</v>
      </c>
      <c r="O427" s="1882" t="s">
        <v>764</v>
      </c>
      <c r="P427" s="1882" t="s">
        <v>8761</v>
      </c>
      <c r="Q427" s="520">
        <v>0</v>
      </c>
      <c r="R427" s="1882" t="s">
        <v>8511</v>
      </c>
      <c r="S427" s="1882">
        <v>207</v>
      </c>
      <c r="T427" s="1882">
        <v>204</v>
      </c>
      <c r="U427" s="1882">
        <v>201</v>
      </c>
      <c r="V427" s="1882">
        <v>198</v>
      </c>
      <c r="W427" s="1882">
        <v>195</v>
      </c>
      <c r="X427" s="1882">
        <v>191</v>
      </c>
      <c r="Y427" s="1882"/>
      <c r="Z427" s="1882"/>
      <c r="AA427" s="1882"/>
      <c r="AB427" s="1882" t="s">
        <v>2459</v>
      </c>
      <c r="AC427" s="1882"/>
      <c r="AD427" s="1882"/>
      <c r="AE427" s="1882" t="s">
        <v>2459</v>
      </c>
      <c r="AF427" s="1882"/>
      <c r="AG427" s="1882"/>
      <c r="AH427" s="1882">
        <v>0</v>
      </c>
      <c r="AI427" s="1882" t="s">
        <v>2459</v>
      </c>
      <c r="AJ427" s="1882" t="s">
        <v>2459</v>
      </c>
      <c r="AK427" s="1882" t="s">
        <v>2459</v>
      </c>
      <c r="AL427" s="1882" t="s">
        <v>2459</v>
      </c>
      <c r="AM427" s="1882" t="s">
        <v>2459</v>
      </c>
      <c r="AN427" s="1882">
        <v>223</v>
      </c>
      <c r="AO427" s="1882">
        <v>220</v>
      </c>
      <c r="AP427" s="1882">
        <v>217</v>
      </c>
      <c r="AQ427" s="1882">
        <v>214</v>
      </c>
      <c r="AR427" s="1882">
        <v>210</v>
      </c>
      <c r="AS427" s="1882">
        <v>211</v>
      </c>
      <c r="AT427" s="1882">
        <v>208</v>
      </c>
      <c r="AU427" s="1882">
        <v>205</v>
      </c>
      <c r="AV427" s="1882">
        <v>202</v>
      </c>
      <c r="AW427" s="1882">
        <v>198</v>
      </c>
      <c r="AX427" s="1882">
        <v>197</v>
      </c>
      <c r="AY427" s="1882">
        <v>194</v>
      </c>
      <c r="AZ427" s="1882">
        <v>191</v>
      </c>
      <c r="BA427" s="1882">
        <v>188</v>
      </c>
      <c r="BB427" s="1882">
        <v>184</v>
      </c>
      <c r="BC427" s="1882">
        <v>175</v>
      </c>
      <c r="BD427" s="1882">
        <v>172</v>
      </c>
      <c r="BE427" s="1882">
        <v>169</v>
      </c>
      <c r="BF427" s="1882">
        <v>166</v>
      </c>
      <c r="BG427" s="1882">
        <v>162</v>
      </c>
      <c r="BH427" s="1882">
        <v>0.28199999999999997</v>
      </c>
      <c r="BI427" s="1882"/>
      <c r="BJ427" s="1882"/>
      <c r="BK427" s="1882"/>
      <c r="BL427" s="1882">
        <v>0.14899999999999999</v>
      </c>
      <c r="BM427" s="1882"/>
      <c r="BN427" s="1882">
        <v>1</v>
      </c>
      <c r="BO427" s="1882" t="s">
        <v>8512</v>
      </c>
      <c r="BP427" s="520">
        <v>212</v>
      </c>
      <c r="BQ427" s="693">
        <v>136</v>
      </c>
      <c r="BR427" s="1882" t="s">
        <v>2459</v>
      </c>
      <c r="BS427" s="1882" t="s">
        <v>8513</v>
      </c>
      <c r="BT427" s="1882">
        <v>0</v>
      </c>
      <c r="BU427" s="1882" t="s">
        <v>8376</v>
      </c>
      <c r="BV427" s="1882">
        <v>3.278</v>
      </c>
      <c r="BW427" s="1882">
        <v>150</v>
      </c>
      <c r="BX427" s="1882" t="s">
        <v>2459</v>
      </c>
      <c r="BY427" s="1882">
        <v>0</v>
      </c>
      <c r="BZ427" s="1882">
        <v>0</v>
      </c>
      <c r="CA427" s="1882" t="s">
        <v>8376</v>
      </c>
      <c r="CB427" s="1882">
        <v>3.278</v>
      </c>
      <c r="CC427" s="1882">
        <v>129</v>
      </c>
      <c r="CD427" s="1882" t="s">
        <v>2459</v>
      </c>
      <c r="CE427" s="1882">
        <v>0</v>
      </c>
      <c r="CF427" s="1882">
        <v>0</v>
      </c>
      <c r="CG427" s="1882" t="s">
        <v>8376</v>
      </c>
      <c r="CH427" s="1882">
        <v>3.278</v>
      </c>
      <c r="CI427" s="1882">
        <v>143</v>
      </c>
      <c r="CJ427" s="1882" t="s">
        <v>2459</v>
      </c>
      <c r="CK427" s="1882">
        <v>0</v>
      </c>
      <c r="CL427" s="1882">
        <v>0</v>
      </c>
      <c r="CM427" s="1882" t="s">
        <v>8376</v>
      </c>
      <c r="CN427" s="1882">
        <v>3.278</v>
      </c>
      <c r="CP427" s="1882" t="s">
        <v>10953</v>
      </c>
    </row>
    <row r="428" spans="1:94">
      <c r="A428" s="1882" t="s">
        <v>10833</v>
      </c>
      <c r="B428" s="1882" t="s">
        <v>10954</v>
      </c>
      <c r="C428" s="1882" t="s">
        <v>8352</v>
      </c>
      <c r="D428" s="1882" t="s">
        <v>1627</v>
      </c>
      <c r="E428" s="1882" t="s">
        <v>8720</v>
      </c>
      <c r="F428" s="1882" t="s">
        <v>10885</v>
      </c>
      <c r="G428" s="1882" t="s">
        <v>10955</v>
      </c>
      <c r="H428" s="1882" t="s">
        <v>10956</v>
      </c>
      <c r="I428" s="1882" t="s">
        <v>10957</v>
      </c>
      <c r="J428" s="1882" t="s">
        <v>8519</v>
      </c>
      <c r="K428" s="1882" t="s">
        <v>10843</v>
      </c>
      <c r="L428" s="1882"/>
      <c r="M428" s="1882"/>
      <c r="N428" s="1882" t="s">
        <v>909</v>
      </c>
      <c r="O428" s="1882" t="s">
        <v>732</v>
      </c>
      <c r="P428" s="1882" t="s">
        <v>10420</v>
      </c>
      <c r="Q428" s="520">
        <v>2</v>
      </c>
      <c r="R428" s="1882" t="s">
        <v>8549</v>
      </c>
      <c r="S428" s="1882">
        <v>100</v>
      </c>
      <c r="T428" s="1882">
        <v>100</v>
      </c>
      <c r="U428" s="1882">
        <v>100</v>
      </c>
      <c r="V428" s="1882">
        <v>100</v>
      </c>
      <c r="W428" s="1882">
        <v>100</v>
      </c>
      <c r="X428" s="1882">
        <v>100</v>
      </c>
      <c r="Y428" s="1882"/>
      <c r="Z428" s="1882"/>
      <c r="AA428" s="1882"/>
      <c r="AB428" s="1882"/>
      <c r="AC428" s="1882"/>
      <c r="AD428" s="1882"/>
      <c r="AE428" s="1882"/>
      <c r="AF428" s="1882"/>
      <c r="AG428" s="1882"/>
      <c r="AH428" s="1882">
        <v>0</v>
      </c>
      <c r="AI428" s="1882" t="s">
        <v>2459</v>
      </c>
      <c r="AJ428" s="1882" t="s">
        <v>2459</v>
      </c>
      <c r="AK428" s="1882" t="s">
        <v>2459</v>
      </c>
      <c r="AL428" s="1882" t="s">
        <v>2459</v>
      </c>
      <c r="AM428" s="1882" t="s">
        <v>2459</v>
      </c>
      <c r="AN428" s="1882">
        <v>96.72</v>
      </c>
      <c r="AO428" s="1882">
        <v>96.72</v>
      </c>
      <c r="AP428" s="1882">
        <v>96.72</v>
      </c>
      <c r="AQ428" s="1882">
        <v>96.72</v>
      </c>
      <c r="AR428" s="1882">
        <v>96.72</v>
      </c>
      <c r="AS428" s="1882">
        <v>99.85</v>
      </c>
      <c r="AT428" s="1882">
        <v>99.85</v>
      </c>
      <c r="AU428" s="1882">
        <v>99.85</v>
      </c>
      <c r="AV428" s="1882">
        <v>99.85</v>
      </c>
      <c r="AW428" s="1882">
        <v>99.85</v>
      </c>
      <c r="AX428" s="1882"/>
      <c r="AY428" s="1882"/>
      <c r="AZ428" s="1882"/>
      <c r="BA428" s="1882"/>
      <c r="BB428" s="1882"/>
      <c r="BC428" s="1882"/>
      <c r="BD428" s="1882"/>
      <c r="BE428" s="1882"/>
      <c r="BF428" s="1882"/>
      <c r="BG428" s="1882"/>
      <c r="BH428" s="1882">
        <v>5.1079999999999997</v>
      </c>
      <c r="BI428" s="1882"/>
      <c r="BJ428" s="1882"/>
      <c r="BK428" s="1882"/>
      <c r="BL428" s="1882"/>
      <c r="BM428" s="1882"/>
      <c r="BN428" s="1882">
        <v>1</v>
      </c>
      <c r="BO428" s="1882" t="s">
        <v>8512</v>
      </c>
      <c r="BP428" s="520">
        <v>100</v>
      </c>
      <c r="BQ428" s="694">
        <v>100</v>
      </c>
      <c r="BR428" s="1882" t="s">
        <v>2459</v>
      </c>
      <c r="BS428" s="1882" t="s">
        <v>8513</v>
      </c>
      <c r="BT428" s="1882">
        <v>0</v>
      </c>
      <c r="BU428" s="1882" t="s">
        <v>8513</v>
      </c>
      <c r="BV428" s="1882">
        <v>0</v>
      </c>
      <c r="BW428" s="1882">
        <v>100</v>
      </c>
      <c r="BX428" s="1882" t="s">
        <v>2459</v>
      </c>
      <c r="BY428" s="1882">
        <v>0</v>
      </c>
      <c r="BZ428" s="1882">
        <v>0</v>
      </c>
      <c r="CA428" s="1882">
        <v>0</v>
      </c>
      <c r="CB428" s="1882">
        <v>0</v>
      </c>
      <c r="CC428" s="1882">
        <v>100</v>
      </c>
      <c r="CD428" s="1882" t="s">
        <v>2459</v>
      </c>
      <c r="CE428" s="1882">
        <v>0</v>
      </c>
      <c r="CF428" s="1882">
        <v>0</v>
      </c>
      <c r="CG428" s="1882">
        <v>0</v>
      </c>
      <c r="CH428" s="1882">
        <v>0</v>
      </c>
      <c r="CI428" s="1882">
        <v>100</v>
      </c>
      <c r="CJ428" s="1882" t="s">
        <v>2459</v>
      </c>
      <c r="CK428" s="1882">
        <v>0</v>
      </c>
      <c r="CL428" s="1882">
        <v>0</v>
      </c>
      <c r="CM428" s="1882">
        <v>0</v>
      </c>
      <c r="CN428" s="1882">
        <v>0</v>
      </c>
      <c r="CP428" s="1882" t="s">
        <v>10958</v>
      </c>
    </row>
    <row r="429" spans="1:94">
      <c r="A429" s="1882" t="s">
        <v>10833</v>
      </c>
      <c r="B429" s="1882" t="s">
        <v>10959</v>
      </c>
      <c r="C429" s="1882" t="s">
        <v>8352</v>
      </c>
      <c r="D429" s="1882" t="s">
        <v>8584</v>
      </c>
      <c r="E429" s="1882" t="s">
        <v>8585</v>
      </c>
      <c r="F429" s="1882" t="s">
        <v>10960</v>
      </c>
      <c r="G429" s="1882" t="s">
        <v>10961</v>
      </c>
      <c r="H429" s="1882" t="s">
        <v>10962</v>
      </c>
      <c r="I429" s="1882" t="s">
        <v>10963</v>
      </c>
      <c r="J429" s="1882" t="s">
        <v>8508</v>
      </c>
      <c r="K429" s="1882" t="s">
        <v>8509</v>
      </c>
      <c r="L429" s="1882"/>
      <c r="M429" s="1882" t="s">
        <v>2460</v>
      </c>
      <c r="N429" s="1882" t="s">
        <v>8590</v>
      </c>
      <c r="O429" s="1882" t="s">
        <v>8797</v>
      </c>
      <c r="P429" s="1882" t="s">
        <v>8951</v>
      </c>
      <c r="Q429" s="520">
        <v>2</v>
      </c>
      <c r="R429" s="1882" t="s">
        <v>8549</v>
      </c>
      <c r="S429" s="1882" t="s">
        <v>10265</v>
      </c>
      <c r="T429" s="1882" t="s">
        <v>9441</v>
      </c>
      <c r="U429" s="1882" t="s">
        <v>9441</v>
      </c>
      <c r="V429" s="1882" t="s">
        <v>9441</v>
      </c>
      <c r="W429" s="1882" t="s">
        <v>9441</v>
      </c>
      <c r="X429" s="1882" t="s">
        <v>9441</v>
      </c>
      <c r="Y429" s="1882"/>
      <c r="Z429" s="1882"/>
      <c r="AA429" s="1882"/>
      <c r="AB429" s="1882"/>
      <c r="AC429" s="1882"/>
      <c r="AD429" s="1882"/>
      <c r="AE429" s="1882"/>
      <c r="AF429" s="1882"/>
      <c r="AG429" s="1882"/>
      <c r="AH429" s="1882">
        <v>0</v>
      </c>
      <c r="AI429" s="1882" t="s">
        <v>2459</v>
      </c>
      <c r="AJ429" s="1882" t="s">
        <v>2459</v>
      </c>
      <c r="AK429" s="1882" t="s">
        <v>2459</v>
      </c>
      <c r="AL429" s="1882" t="s">
        <v>2459</v>
      </c>
      <c r="AM429" s="1882" t="s">
        <v>2459</v>
      </c>
      <c r="AN429" s="1882" t="s">
        <v>8593</v>
      </c>
      <c r="AO429" s="1882" t="s">
        <v>8593</v>
      </c>
      <c r="AP429" s="1882" t="s">
        <v>8593</v>
      </c>
      <c r="AQ429" s="1882" t="s">
        <v>8593</v>
      </c>
      <c r="AR429" s="1882" t="s">
        <v>8593</v>
      </c>
      <c r="AS429" s="1882" t="s">
        <v>8593</v>
      </c>
      <c r="AT429" s="1882" t="s">
        <v>8593</v>
      </c>
      <c r="AU429" s="1882" t="s">
        <v>8593</v>
      </c>
      <c r="AV429" s="1882" t="s">
        <v>8593</v>
      </c>
      <c r="AW429" s="1882" t="s">
        <v>8593</v>
      </c>
      <c r="AX429" s="1882" t="s">
        <v>8593</v>
      </c>
      <c r="AY429" s="1882" t="s">
        <v>8593</v>
      </c>
      <c r="AZ429" s="1882" t="s">
        <v>8593</v>
      </c>
      <c r="BA429" s="1882" t="s">
        <v>8593</v>
      </c>
      <c r="BB429" s="1882" t="s">
        <v>8593</v>
      </c>
      <c r="BC429" s="1882" t="s">
        <v>8593</v>
      </c>
      <c r="BD429" s="1882" t="s">
        <v>8593</v>
      </c>
      <c r="BE429" s="1882" t="s">
        <v>8593</v>
      </c>
      <c r="BF429" s="1882" t="s">
        <v>8593</v>
      </c>
      <c r="BG429" s="1882" t="s">
        <v>8593</v>
      </c>
      <c r="BH429" s="1882" t="s">
        <v>8593</v>
      </c>
      <c r="BI429" s="1882"/>
      <c r="BJ429" s="1882"/>
      <c r="BK429" s="1882"/>
      <c r="BL429" s="1882" t="s">
        <v>8593</v>
      </c>
      <c r="BM429" s="1882"/>
      <c r="BN429" s="1882">
        <v>1</v>
      </c>
      <c r="BO429" s="1882" t="s">
        <v>8512</v>
      </c>
      <c r="BP429" s="520">
        <v>81</v>
      </c>
      <c r="BQ429" s="694">
        <v>81.55</v>
      </c>
      <c r="BR429" s="1882" t="s">
        <v>2460</v>
      </c>
      <c r="BS429" s="1882" t="s">
        <v>8513</v>
      </c>
      <c r="BT429" s="1882">
        <v>0</v>
      </c>
      <c r="BU429" s="1882" t="s">
        <v>8513</v>
      </c>
      <c r="BV429" s="1882">
        <v>0</v>
      </c>
      <c r="BW429" s="1882">
        <v>85.44</v>
      </c>
      <c r="BX429" s="1882" t="s">
        <v>2460</v>
      </c>
      <c r="BY429" s="1882">
        <v>0</v>
      </c>
      <c r="BZ429" s="1882">
        <v>0</v>
      </c>
      <c r="CA429" s="1882">
        <v>0</v>
      </c>
      <c r="CB429" s="1882">
        <v>0</v>
      </c>
      <c r="CC429" s="1882">
        <v>86.873881667676727</v>
      </c>
      <c r="CD429" s="1882" t="s">
        <v>2451</v>
      </c>
      <c r="CE429" s="1882">
        <v>0</v>
      </c>
      <c r="CF429" s="1882">
        <v>0</v>
      </c>
      <c r="CG429" s="1882">
        <v>0</v>
      </c>
      <c r="CH429" s="1882">
        <v>0</v>
      </c>
      <c r="CI429" s="1882">
        <v>87.639669640685241</v>
      </c>
      <c r="CJ429" s="1882" t="s">
        <v>2459</v>
      </c>
      <c r="CK429" s="1882">
        <v>0</v>
      </c>
      <c r="CL429" s="1882">
        <v>0</v>
      </c>
      <c r="CM429" s="1882">
        <v>0</v>
      </c>
      <c r="CN429" s="1882">
        <v>0</v>
      </c>
      <c r="CP429" s="1882" t="s">
        <v>10964</v>
      </c>
    </row>
    <row r="430" spans="1:94">
      <c r="A430" s="1882" t="s">
        <v>10833</v>
      </c>
      <c r="B430" s="1882" t="s">
        <v>10965</v>
      </c>
      <c r="C430" s="1882" t="s">
        <v>8352</v>
      </c>
      <c r="D430" s="1882" t="s">
        <v>8584</v>
      </c>
      <c r="E430" s="1882" t="s">
        <v>8585</v>
      </c>
      <c r="F430" s="1882" t="s">
        <v>10960</v>
      </c>
      <c r="G430" s="1882" t="s">
        <v>8596</v>
      </c>
      <c r="H430" s="1882" t="s">
        <v>10966</v>
      </c>
      <c r="I430" s="1882" t="s">
        <v>10967</v>
      </c>
      <c r="J430" s="1882" t="s">
        <v>8519</v>
      </c>
      <c r="K430" s="1882" t="s">
        <v>8509</v>
      </c>
      <c r="L430" s="1882"/>
      <c r="M430" s="1882" t="s">
        <v>2460</v>
      </c>
      <c r="N430" s="1882" t="s">
        <v>8695</v>
      </c>
      <c r="O430" s="1882" t="s">
        <v>49</v>
      </c>
      <c r="P430" s="1882" t="s">
        <v>9369</v>
      </c>
      <c r="Q430" s="520">
        <v>3</v>
      </c>
      <c r="R430" s="1882" t="s">
        <v>8549</v>
      </c>
      <c r="S430" s="1882">
        <v>0</v>
      </c>
      <c r="T430" s="1882">
        <v>1.0529999999999999</v>
      </c>
      <c r="U430" s="1882">
        <v>3.37</v>
      </c>
      <c r="V430" s="1882">
        <v>6.3959999999999999</v>
      </c>
      <c r="W430" s="1882">
        <v>10.86</v>
      </c>
      <c r="X430" s="1882">
        <v>17.768999999999998</v>
      </c>
      <c r="Y430" s="1882"/>
      <c r="Z430" s="1882"/>
      <c r="AA430" s="1882"/>
      <c r="AB430" s="1882"/>
      <c r="AC430" s="1882"/>
      <c r="AD430" s="1882" t="s">
        <v>2459</v>
      </c>
      <c r="AE430" s="1882"/>
      <c r="AF430" s="1882"/>
      <c r="AG430" s="1882"/>
      <c r="AH430" s="1882">
        <v>0</v>
      </c>
      <c r="AI430" s="1882"/>
      <c r="AJ430" s="1882"/>
      <c r="AK430" s="1882"/>
      <c r="AL430" s="1882" t="s">
        <v>2459</v>
      </c>
      <c r="AM430" s="1882" t="s">
        <v>2459</v>
      </c>
      <c r="AN430" s="1882"/>
      <c r="AO430" s="1882"/>
      <c r="AP430" s="1882"/>
      <c r="AQ430" s="1882"/>
      <c r="AR430" s="1882">
        <v>0</v>
      </c>
      <c r="AS430" s="1882"/>
      <c r="AT430" s="1882"/>
      <c r="AU430" s="1882"/>
      <c r="AV430" s="1882"/>
      <c r="AW430" s="1882">
        <v>17.768999999999998</v>
      </c>
      <c r="AX430" s="1882"/>
      <c r="AY430" s="1882"/>
      <c r="AZ430" s="1882"/>
      <c r="BA430" s="1882"/>
      <c r="BB430" s="1882"/>
      <c r="BC430" s="1882"/>
      <c r="BD430" s="1882"/>
      <c r="BE430" s="1882"/>
      <c r="BF430" s="1882"/>
      <c r="BG430" s="1882"/>
      <c r="BH430" s="1882" t="s">
        <v>9751</v>
      </c>
      <c r="BI430" s="1882">
        <v>8.8800000000000008</v>
      </c>
      <c r="BJ430" s="1882"/>
      <c r="BK430" s="1882"/>
      <c r="BL430" s="1882"/>
      <c r="BM430" s="1882"/>
      <c r="BN430" s="1882">
        <v>1</v>
      </c>
      <c r="BO430" s="1882" t="s">
        <v>8512</v>
      </c>
      <c r="BP430" s="520">
        <v>0</v>
      </c>
      <c r="BQ430" s="704">
        <v>1E-3</v>
      </c>
      <c r="BR430" s="1882" t="s">
        <v>2460</v>
      </c>
      <c r="BS430" s="1882" t="s">
        <v>8513</v>
      </c>
      <c r="BT430" s="1882">
        <v>0</v>
      </c>
      <c r="BU430" s="1882" t="s">
        <v>8513</v>
      </c>
      <c r="BV430" s="1882">
        <v>0</v>
      </c>
      <c r="BW430" s="1882">
        <v>0.36328700000000003</v>
      </c>
      <c r="BX430" s="1882" t="s">
        <v>2460</v>
      </c>
      <c r="BY430" s="1882">
        <v>0</v>
      </c>
      <c r="BZ430" s="1882">
        <v>0</v>
      </c>
      <c r="CA430" s="1882">
        <v>0</v>
      </c>
      <c r="CB430" s="1882">
        <v>0</v>
      </c>
      <c r="CC430" s="1882">
        <v>2.5760000000000001</v>
      </c>
      <c r="CD430" s="1882" t="s">
        <v>2460</v>
      </c>
      <c r="CE430" s="1882">
        <v>0</v>
      </c>
      <c r="CF430" s="1882">
        <v>0</v>
      </c>
      <c r="CG430" s="1882">
        <v>0</v>
      </c>
      <c r="CH430" s="1882">
        <v>0</v>
      </c>
      <c r="CI430" s="1882">
        <v>5.6849999999999996</v>
      </c>
      <c r="CJ430" s="1882" t="s">
        <v>2460</v>
      </c>
      <c r="CK430" s="1882">
        <v>0</v>
      </c>
      <c r="CL430" s="1882">
        <v>0</v>
      </c>
      <c r="CM430" s="1882">
        <v>0</v>
      </c>
      <c r="CN430" s="1882">
        <v>0</v>
      </c>
      <c r="CP430" s="1882" t="s">
        <v>10968</v>
      </c>
    </row>
    <row r="431" spans="1:94">
      <c r="A431" s="1882" t="s">
        <v>10833</v>
      </c>
      <c r="B431" s="1882" t="s">
        <v>10969</v>
      </c>
      <c r="C431" s="1882" t="s">
        <v>8352</v>
      </c>
      <c r="D431" s="1882" t="s">
        <v>8584</v>
      </c>
      <c r="E431" s="1882" t="s">
        <v>8585</v>
      </c>
      <c r="F431" s="1882" t="s">
        <v>10897</v>
      </c>
      <c r="G431" s="1882" t="s">
        <v>7236</v>
      </c>
      <c r="H431" s="1882" t="s">
        <v>10970</v>
      </c>
      <c r="I431" s="1882" t="s">
        <v>10971</v>
      </c>
      <c r="J431" s="1882" t="s">
        <v>8539</v>
      </c>
      <c r="K431" s="1882"/>
      <c r="L431" s="1882"/>
      <c r="M431" s="1882"/>
      <c r="N431" s="1882" t="s">
        <v>8599</v>
      </c>
      <c r="O431" s="1882" t="s">
        <v>732</v>
      </c>
      <c r="P431" s="1882" t="s">
        <v>8696</v>
      </c>
      <c r="Q431" s="520">
        <v>0</v>
      </c>
      <c r="R431" s="1882" t="s">
        <v>8549</v>
      </c>
      <c r="S431" s="1882">
        <v>48</v>
      </c>
      <c r="T431" s="1882">
        <v>49</v>
      </c>
      <c r="U431" s="1882">
        <v>50</v>
      </c>
      <c r="V431" s="1882">
        <v>51</v>
      </c>
      <c r="W431" s="1882">
        <v>52</v>
      </c>
      <c r="X431" s="1882">
        <v>53</v>
      </c>
      <c r="Y431" s="1882"/>
      <c r="Z431" s="1882"/>
      <c r="AA431" s="1882"/>
      <c r="AB431" s="1882"/>
      <c r="AC431" s="1882"/>
      <c r="AD431" s="1882"/>
      <c r="AE431" s="1882"/>
      <c r="AF431" s="1882"/>
      <c r="AG431" s="1882"/>
      <c r="AH431" s="1882">
        <v>0</v>
      </c>
      <c r="AI431" s="1882"/>
      <c r="AJ431" s="1882"/>
      <c r="AK431" s="1882"/>
      <c r="AL431" s="1882"/>
      <c r="AM431" s="1882"/>
      <c r="AN431" s="1882"/>
      <c r="AO431" s="1882"/>
      <c r="AP431" s="1882"/>
      <c r="AQ431" s="1882"/>
      <c r="AR431" s="1882"/>
      <c r="AS431" s="1882"/>
      <c r="AT431" s="1882"/>
      <c r="AU431" s="1882"/>
      <c r="AV431" s="1882"/>
      <c r="AW431" s="1882"/>
      <c r="AX431" s="1882"/>
      <c r="AY431" s="1882"/>
      <c r="AZ431" s="1882"/>
      <c r="BA431" s="1882"/>
      <c r="BB431" s="1882"/>
      <c r="BC431" s="1882"/>
      <c r="BD431" s="1882"/>
      <c r="BE431" s="1882"/>
      <c r="BF431" s="1882"/>
      <c r="BG431" s="1882"/>
      <c r="BH431" s="1882"/>
      <c r="BI431" s="1882"/>
      <c r="BJ431" s="1882"/>
      <c r="BK431" s="1882"/>
      <c r="BL431" s="1882"/>
      <c r="BM431" s="1882"/>
      <c r="BN431" s="1882"/>
      <c r="BO431" s="1882"/>
      <c r="BP431" s="520">
        <v>51</v>
      </c>
      <c r="BQ431" s="693">
        <v>50</v>
      </c>
      <c r="BR431" s="1882" t="s">
        <v>2459</v>
      </c>
      <c r="BS431" s="1882" t="s">
        <v>8513</v>
      </c>
      <c r="BT431" s="1882">
        <v>0</v>
      </c>
      <c r="BU431" s="1882" t="s">
        <v>8513</v>
      </c>
      <c r="BV431" s="1882">
        <v>0</v>
      </c>
      <c r="BW431" s="1882">
        <v>52</v>
      </c>
      <c r="BX431" s="1882" t="s">
        <v>2459</v>
      </c>
      <c r="BY431" s="1882">
        <v>0</v>
      </c>
      <c r="BZ431" s="1882">
        <v>0</v>
      </c>
      <c r="CA431" s="1882">
        <v>0</v>
      </c>
      <c r="CB431" s="1882">
        <v>0</v>
      </c>
      <c r="CC431" s="1882">
        <v>52</v>
      </c>
      <c r="CD431" s="1882" t="s">
        <v>2459</v>
      </c>
      <c r="CE431" s="1882">
        <v>0</v>
      </c>
      <c r="CF431" s="1882">
        <v>0</v>
      </c>
      <c r="CG431" s="1882">
        <v>0</v>
      </c>
      <c r="CH431" s="1882">
        <v>0</v>
      </c>
      <c r="CI431" s="1882">
        <v>58</v>
      </c>
      <c r="CJ431" s="1882" t="s">
        <v>2459</v>
      </c>
      <c r="CK431" s="1882">
        <v>0</v>
      </c>
      <c r="CL431" s="1882">
        <v>0</v>
      </c>
      <c r="CM431" s="1882">
        <v>0</v>
      </c>
      <c r="CN431" s="1882">
        <v>0</v>
      </c>
      <c r="CP431" s="1882" t="s">
        <v>10972</v>
      </c>
    </row>
    <row r="432" spans="1:94">
      <c r="A432" s="1882" t="s">
        <v>10833</v>
      </c>
      <c r="B432" s="1882" t="s">
        <v>10973</v>
      </c>
      <c r="C432" s="1882" t="s">
        <v>8352</v>
      </c>
      <c r="D432" s="1882" t="s">
        <v>8584</v>
      </c>
      <c r="E432" s="1882" t="s">
        <v>8585</v>
      </c>
      <c r="F432" s="1882" t="s">
        <v>10897</v>
      </c>
      <c r="G432" s="1882" t="s">
        <v>7237</v>
      </c>
      <c r="H432" s="1882" t="s">
        <v>10974</v>
      </c>
      <c r="I432" s="1882" t="s">
        <v>10975</v>
      </c>
      <c r="J432" s="1882" t="s">
        <v>8539</v>
      </c>
      <c r="K432" s="1882"/>
      <c r="L432" s="1882"/>
      <c r="M432" s="1882"/>
      <c r="N432" s="1882" t="s">
        <v>8520</v>
      </c>
      <c r="O432" s="1882" t="s">
        <v>764</v>
      </c>
      <c r="P432" s="1882" t="s">
        <v>8654</v>
      </c>
      <c r="Q432" s="520">
        <v>0</v>
      </c>
      <c r="R432" s="1882" t="s">
        <v>8511</v>
      </c>
      <c r="S432" s="1882">
        <v>297</v>
      </c>
      <c r="T432" s="1882">
        <v>294</v>
      </c>
      <c r="U432" s="1882">
        <v>292</v>
      </c>
      <c r="V432" s="1882">
        <v>289</v>
      </c>
      <c r="W432" s="1882">
        <v>286</v>
      </c>
      <c r="X432" s="1882">
        <v>284</v>
      </c>
      <c r="Y432" s="1882"/>
      <c r="Z432" s="1882"/>
      <c r="AA432" s="1882"/>
      <c r="AB432" s="1882"/>
      <c r="AC432" s="1882"/>
      <c r="AD432" s="1882"/>
      <c r="AE432" s="1882"/>
      <c r="AF432" s="1882"/>
      <c r="AG432" s="1882"/>
      <c r="AH432" s="1882">
        <v>0</v>
      </c>
      <c r="AI432" s="1882"/>
      <c r="AJ432" s="1882"/>
      <c r="AK432" s="1882"/>
      <c r="AL432" s="1882"/>
      <c r="AM432" s="1882"/>
      <c r="AN432" s="1882"/>
      <c r="AO432" s="1882"/>
      <c r="AP432" s="1882"/>
      <c r="AQ432" s="1882"/>
      <c r="AR432" s="1882"/>
      <c r="AS432" s="1882"/>
      <c r="AT432" s="1882"/>
      <c r="AU432" s="1882"/>
      <c r="AV432" s="1882"/>
      <c r="AW432" s="1882"/>
      <c r="AX432" s="1882"/>
      <c r="AY432" s="1882"/>
      <c r="AZ432" s="1882"/>
      <c r="BA432" s="1882"/>
      <c r="BB432" s="1882"/>
      <c r="BC432" s="1882"/>
      <c r="BD432" s="1882"/>
      <c r="BE432" s="1882"/>
      <c r="BF432" s="1882"/>
      <c r="BG432" s="1882"/>
      <c r="BH432" s="1882"/>
      <c r="BI432" s="1882"/>
      <c r="BJ432" s="1882"/>
      <c r="BK432" s="1882"/>
      <c r="BL432" s="1882"/>
      <c r="BM432" s="1882"/>
      <c r="BN432" s="1882"/>
      <c r="BO432" s="1882"/>
      <c r="BP432" s="520">
        <v>304.10000000000002</v>
      </c>
      <c r="BQ432" s="693">
        <v>303</v>
      </c>
      <c r="BR432" s="1882" t="s">
        <v>2460</v>
      </c>
      <c r="BS432" s="1882" t="s">
        <v>8513</v>
      </c>
      <c r="BT432" s="1882">
        <v>0</v>
      </c>
      <c r="BU432" s="1882" t="s">
        <v>8513</v>
      </c>
      <c r="BV432" s="1882">
        <v>0</v>
      </c>
      <c r="BW432" s="1882">
        <v>305</v>
      </c>
      <c r="BX432" s="1882" t="s">
        <v>2460</v>
      </c>
      <c r="BY432" s="1882">
        <v>0</v>
      </c>
      <c r="BZ432" s="1882">
        <v>0</v>
      </c>
      <c r="CA432" s="1882">
        <v>0</v>
      </c>
      <c r="CB432" s="1882">
        <v>0</v>
      </c>
      <c r="CC432" s="1882">
        <v>311</v>
      </c>
      <c r="CD432" s="1882" t="s">
        <v>2460</v>
      </c>
      <c r="CE432" s="1882">
        <v>0</v>
      </c>
      <c r="CF432" s="1882">
        <v>0</v>
      </c>
      <c r="CG432" s="1882">
        <v>0</v>
      </c>
      <c r="CH432" s="1882">
        <v>0</v>
      </c>
      <c r="CI432" s="1882">
        <v>314.0734882776373</v>
      </c>
      <c r="CJ432" s="1882" t="s">
        <v>2460</v>
      </c>
      <c r="CK432" s="1882">
        <v>0</v>
      </c>
      <c r="CL432" s="1882">
        <v>0</v>
      </c>
      <c r="CM432" s="1882">
        <v>0</v>
      </c>
      <c r="CN432" s="1882">
        <v>0</v>
      </c>
      <c r="CP432" s="1882" t="s">
        <v>10976</v>
      </c>
    </row>
    <row r="433" spans="1:94">
      <c r="A433" s="1882" t="s">
        <v>8359</v>
      </c>
      <c r="B433" s="1882" t="s">
        <v>10977</v>
      </c>
      <c r="C433" s="1882" t="s">
        <v>8352</v>
      </c>
      <c r="D433" s="1882" t="s">
        <v>1626</v>
      </c>
      <c r="E433" s="1882" t="s">
        <v>8503</v>
      </c>
      <c r="F433" s="1882" t="s">
        <v>8881</v>
      </c>
      <c r="G433" s="1882" t="s">
        <v>7234</v>
      </c>
      <c r="H433" s="1882" t="s">
        <v>10978</v>
      </c>
      <c r="I433" s="1882" t="s">
        <v>10979</v>
      </c>
      <c r="J433" s="1882" t="s">
        <v>8519</v>
      </c>
      <c r="K433" s="1882" t="s">
        <v>8509</v>
      </c>
      <c r="L433" s="1882"/>
      <c r="M433" s="1882"/>
      <c r="N433" s="1882" t="s">
        <v>8547</v>
      </c>
      <c r="O433" s="1882" t="s">
        <v>732</v>
      </c>
      <c r="P433" s="1882" t="s">
        <v>8548</v>
      </c>
      <c r="Q433" s="520">
        <v>2</v>
      </c>
      <c r="R433" s="1882" t="s">
        <v>8549</v>
      </c>
      <c r="S433" s="1882">
        <v>99.98</v>
      </c>
      <c r="T433" s="1882">
        <v>99.98</v>
      </c>
      <c r="U433" s="1882">
        <v>99.98</v>
      </c>
      <c r="V433" s="1882">
        <v>100</v>
      </c>
      <c r="W433" s="1882">
        <v>100</v>
      </c>
      <c r="X433" s="1882">
        <v>100</v>
      </c>
      <c r="Y433" s="1882" t="s">
        <v>2459</v>
      </c>
      <c r="Z433" s="1882"/>
      <c r="AA433" s="1882"/>
      <c r="AB433" s="1882"/>
      <c r="AC433" s="1882"/>
      <c r="AD433" s="1882"/>
      <c r="AE433" s="1882" t="s">
        <v>2459</v>
      </c>
      <c r="AF433" s="1882"/>
      <c r="AG433" s="1882"/>
      <c r="AH433" s="1882">
        <v>0</v>
      </c>
      <c r="AI433" s="1882" t="s">
        <v>2459</v>
      </c>
      <c r="AJ433" s="1882" t="s">
        <v>2459</v>
      </c>
      <c r="AK433" s="1882" t="s">
        <v>2459</v>
      </c>
      <c r="AL433" s="1882" t="s">
        <v>2459</v>
      </c>
      <c r="AM433" s="1882" t="s">
        <v>2459</v>
      </c>
      <c r="AN433" s="1882">
        <v>99.91</v>
      </c>
      <c r="AO433" s="1882">
        <v>99.91</v>
      </c>
      <c r="AP433" s="1882">
        <v>99.91</v>
      </c>
      <c r="AQ433" s="1882">
        <v>99.91</v>
      </c>
      <c r="AR433" s="1882">
        <v>99.91</v>
      </c>
      <c r="AS433" s="1882">
        <v>99.95</v>
      </c>
      <c r="AT433" s="1882">
        <v>99.95</v>
      </c>
      <c r="AU433" s="1882">
        <v>99.95</v>
      </c>
      <c r="AV433" s="1882">
        <v>99.95</v>
      </c>
      <c r="AW433" s="1882">
        <v>99.95</v>
      </c>
      <c r="AX433" s="1882"/>
      <c r="AY433" s="1882"/>
      <c r="AZ433" s="1882"/>
      <c r="BA433" s="1882"/>
      <c r="BB433" s="1882"/>
      <c r="BC433" s="1882"/>
      <c r="BD433" s="1882"/>
      <c r="BE433" s="1882"/>
      <c r="BF433" s="1882"/>
      <c r="BG433" s="1882"/>
      <c r="BH433" s="1882">
        <v>2.5</v>
      </c>
      <c r="BI433" s="1882"/>
      <c r="BJ433" s="1882"/>
      <c r="BK433" s="1882"/>
      <c r="BL433" s="1882"/>
      <c r="BM433" s="1882"/>
      <c r="BN433" s="1882">
        <v>100</v>
      </c>
      <c r="BO433" s="1882" t="s">
        <v>8884</v>
      </c>
      <c r="BP433" s="520">
        <v>99.94</v>
      </c>
      <c r="BQ433" s="694">
        <v>99.96</v>
      </c>
      <c r="BR433" s="1882" t="s">
        <v>2460</v>
      </c>
      <c r="BS433" s="1882" t="s">
        <v>8513</v>
      </c>
      <c r="BT433" s="1882">
        <v>0</v>
      </c>
      <c r="BU433" s="1882" t="s">
        <v>8429</v>
      </c>
      <c r="BV433" s="1882">
        <v>0</v>
      </c>
      <c r="BW433" s="1882">
        <v>99.97</v>
      </c>
      <c r="BX433" s="1882" t="s">
        <v>2460</v>
      </c>
      <c r="BY433" s="1882">
        <v>0</v>
      </c>
      <c r="BZ433" s="1882">
        <v>0</v>
      </c>
      <c r="CA433" s="1882" t="s">
        <v>8429</v>
      </c>
      <c r="CB433" s="1882">
        <v>0</v>
      </c>
      <c r="CC433" s="1882">
        <v>99.96</v>
      </c>
      <c r="CD433" s="1882" t="s">
        <v>2460</v>
      </c>
      <c r="CE433" s="1882">
        <v>0</v>
      </c>
      <c r="CF433" s="1882">
        <v>0</v>
      </c>
      <c r="CG433" s="1882" t="s">
        <v>8388</v>
      </c>
      <c r="CH433" s="1882">
        <v>0</v>
      </c>
      <c r="CI433" s="1882">
        <v>99.97</v>
      </c>
      <c r="CJ433" s="1882" t="s">
        <v>2460</v>
      </c>
      <c r="CK433" s="1882">
        <v>0</v>
      </c>
      <c r="CL433" s="1882">
        <v>0</v>
      </c>
      <c r="CM433" s="1882" t="s">
        <v>8388</v>
      </c>
      <c r="CN433" s="1882">
        <v>0</v>
      </c>
      <c r="CP433" s="1882" t="s">
        <v>10980</v>
      </c>
    </row>
    <row r="434" spans="1:94">
      <c r="A434" s="1882" t="s">
        <v>8359</v>
      </c>
      <c r="B434" s="1882" t="s">
        <v>10981</v>
      </c>
      <c r="C434" s="1882" t="s">
        <v>8352</v>
      </c>
      <c r="D434" s="1882" t="s">
        <v>1626</v>
      </c>
      <c r="E434" s="1882" t="s">
        <v>8503</v>
      </c>
      <c r="F434" s="1882" t="s">
        <v>8881</v>
      </c>
      <c r="G434" s="1882" t="s">
        <v>7235</v>
      </c>
      <c r="H434" s="1882" t="s">
        <v>10982</v>
      </c>
      <c r="I434" s="1882" t="s">
        <v>10983</v>
      </c>
      <c r="J434" s="1882" t="s">
        <v>8508</v>
      </c>
      <c r="K434" s="1882" t="s">
        <v>8509</v>
      </c>
      <c r="L434" s="1882"/>
      <c r="M434" s="1882"/>
      <c r="N434" s="1882" t="s">
        <v>8463</v>
      </c>
      <c r="O434" s="1882" t="s">
        <v>764</v>
      </c>
      <c r="P434" s="1882" t="s">
        <v>9967</v>
      </c>
      <c r="Q434" s="520">
        <v>2</v>
      </c>
      <c r="R434" s="1882" t="s">
        <v>8511</v>
      </c>
      <c r="S434" s="1882">
        <v>3.2</v>
      </c>
      <c r="T434" s="1882">
        <v>2.54</v>
      </c>
      <c r="U434" s="1882">
        <v>1.89</v>
      </c>
      <c r="V434" s="1882">
        <v>1.23</v>
      </c>
      <c r="W434" s="1882">
        <v>1.23</v>
      </c>
      <c r="X434" s="1882">
        <v>1.23</v>
      </c>
      <c r="Y434" s="1882"/>
      <c r="Z434" s="1882" t="s">
        <v>2459</v>
      </c>
      <c r="AA434" s="1882"/>
      <c r="AB434" s="1882"/>
      <c r="AC434" s="1882"/>
      <c r="AD434" s="1882"/>
      <c r="AE434" s="1882" t="s">
        <v>2459</v>
      </c>
      <c r="AF434" s="1882"/>
      <c r="AG434" s="1882"/>
      <c r="AH434" s="1882">
        <v>0</v>
      </c>
      <c r="AI434" s="1882" t="s">
        <v>2459</v>
      </c>
      <c r="AJ434" s="1882" t="s">
        <v>2459</v>
      </c>
      <c r="AK434" s="1882" t="s">
        <v>2459</v>
      </c>
      <c r="AL434" s="1882" t="s">
        <v>2459</v>
      </c>
      <c r="AM434" s="1882" t="s">
        <v>2459</v>
      </c>
      <c r="AN434" s="1882">
        <v>3.4</v>
      </c>
      <c r="AO434" s="1882">
        <v>3.4</v>
      </c>
      <c r="AP434" s="1882">
        <v>1.43</v>
      </c>
      <c r="AQ434" s="1882">
        <v>1.43</v>
      </c>
      <c r="AR434" s="1882">
        <v>1.43</v>
      </c>
      <c r="AS434" s="1882">
        <v>3.2</v>
      </c>
      <c r="AT434" s="1882">
        <v>3.2</v>
      </c>
      <c r="AU434" s="1882">
        <v>1.23</v>
      </c>
      <c r="AV434" s="1882">
        <v>1.23</v>
      </c>
      <c r="AW434" s="1882">
        <v>1.23</v>
      </c>
      <c r="AX434" s="1882">
        <v>1.23</v>
      </c>
      <c r="AY434" s="1882">
        <v>1.23</v>
      </c>
      <c r="AZ434" s="1882">
        <v>1.23</v>
      </c>
      <c r="BA434" s="1882">
        <v>1.23</v>
      </c>
      <c r="BB434" s="1882">
        <v>1.23</v>
      </c>
      <c r="BC434" s="1882">
        <v>1.03</v>
      </c>
      <c r="BD434" s="1882">
        <v>1.03</v>
      </c>
      <c r="BE434" s="1882">
        <v>1.03</v>
      </c>
      <c r="BF434" s="1882">
        <v>1.03</v>
      </c>
      <c r="BG434" s="1882">
        <v>1.03</v>
      </c>
      <c r="BH434" s="1882">
        <v>9.3000000000000007</v>
      </c>
      <c r="BI434" s="1882"/>
      <c r="BJ434" s="1882"/>
      <c r="BK434" s="1882"/>
      <c r="BL434" s="1882">
        <v>9.3000000000000007</v>
      </c>
      <c r="BM434" s="1882"/>
      <c r="BN434" s="1882">
        <v>1</v>
      </c>
      <c r="BO434" s="1882" t="s">
        <v>8512</v>
      </c>
      <c r="BP434" s="520">
        <v>3.53</v>
      </c>
      <c r="BQ434" s="694">
        <v>3.08</v>
      </c>
      <c r="BR434" s="1882" t="s">
        <v>2460</v>
      </c>
      <c r="BS434" s="1882" t="s">
        <v>8513</v>
      </c>
      <c r="BT434" s="1882">
        <v>0</v>
      </c>
      <c r="BU434" s="1882" t="s">
        <v>8429</v>
      </c>
      <c r="BV434" s="1882">
        <v>0</v>
      </c>
      <c r="BW434" s="1882">
        <v>3.2</v>
      </c>
      <c r="BX434" s="1882" t="s">
        <v>2460</v>
      </c>
      <c r="BY434" s="1882">
        <v>0</v>
      </c>
      <c r="BZ434" s="1882">
        <v>0</v>
      </c>
      <c r="CA434" s="1882" t="s">
        <v>8429</v>
      </c>
      <c r="CB434" s="1882">
        <v>0</v>
      </c>
      <c r="CC434" s="1882">
        <v>3.19</v>
      </c>
      <c r="CD434" s="1882" t="s">
        <v>2460</v>
      </c>
      <c r="CE434" s="1882">
        <v>0</v>
      </c>
      <c r="CF434" s="1882">
        <v>0</v>
      </c>
      <c r="CG434" s="1882" t="s">
        <v>8384</v>
      </c>
      <c r="CH434" s="1882">
        <v>-1.86</v>
      </c>
      <c r="CI434" s="1882">
        <v>3.28</v>
      </c>
      <c r="CJ434" s="1882" t="s">
        <v>2460</v>
      </c>
      <c r="CK434" s="1882">
        <v>0</v>
      </c>
      <c r="CL434" s="1882">
        <v>0</v>
      </c>
      <c r="CM434" s="1882" t="s">
        <v>8384</v>
      </c>
      <c r="CN434" s="1882">
        <v>-1.86</v>
      </c>
      <c r="CP434" s="1882" t="s">
        <v>10984</v>
      </c>
    </row>
    <row r="435" spans="1:94">
      <c r="A435" s="1882" t="s">
        <v>8359</v>
      </c>
      <c r="B435" s="1882" t="s">
        <v>10985</v>
      </c>
      <c r="C435" s="1882" t="s">
        <v>8352</v>
      </c>
      <c r="D435" s="1882" t="s">
        <v>1626</v>
      </c>
      <c r="E435" s="1882" t="s">
        <v>8503</v>
      </c>
      <c r="F435" s="1882" t="s">
        <v>8881</v>
      </c>
      <c r="G435" s="1882" t="s">
        <v>8233</v>
      </c>
      <c r="H435" s="1882" t="s">
        <v>10986</v>
      </c>
      <c r="I435" s="1882" t="s">
        <v>10987</v>
      </c>
      <c r="J435" s="1882" t="s">
        <v>8508</v>
      </c>
      <c r="K435" s="1882" t="s">
        <v>8509</v>
      </c>
      <c r="L435" s="1882"/>
      <c r="M435" s="1882"/>
      <c r="N435" s="1882" t="s">
        <v>2450</v>
      </c>
      <c r="O435" s="1882" t="s">
        <v>8607</v>
      </c>
      <c r="P435" s="1882" t="s">
        <v>10988</v>
      </c>
      <c r="Q435" s="520">
        <v>1</v>
      </c>
      <c r="R435" s="1882" t="s">
        <v>8511</v>
      </c>
      <c r="S435" s="1882">
        <v>48</v>
      </c>
      <c r="T435" s="1882">
        <v>36</v>
      </c>
      <c r="U435" s="1882">
        <v>24</v>
      </c>
      <c r="V435" s="1882">
        <v>12</v>
      </c>
      <c r="W435" s="1882">
        <v>12</v>
      </c>
      <c r="X435" s="1882">
        <v>12</v>
      </c>
      <c r="Y435" s="1882"/>
      <c r="Z435" s="1882"/>
      <c r="AA435" s="1882" t="s">
        <v>2459</v>
      </c>
      <c r="AB435" s="1882"/>
      <c r="AC435" s="1882"/>
      <c r="AD435" s="1882"/>
      <c r="AE435" s="1882" t="s">
        <v>2459</v>
      </c>
      <c r="AF435" s="1882"/>
      <c r="AG435" s="1882"/>
      <c r="AH435" s="1882">
        <v>0</v>
      </c>
      <c r="AI435" s="1882" t="s">
        <v>2459</v>
      </c>
      <c r="AJ435" s="1882" t="s">
        <v>2459</v>
      </c>
      <c r="AK435" s="1882" t="s">
        <v>2459</v>
      </c>
      <c r="AL435" s="1882" t="s">
        <v>2459</v>
      </c>
      <c r="AM435" s="1882" t="s">
        <v>2459</v>
      </c>
      <c r="AN435" s="1882">
        <v>68</v>
      </c>
      <c r="AO435" s="1882">
        <v>68</v>
      </c>
      <c r="AP435" s="1882">
        <v>32</v>
      </c>
      <c r="AQ435" s="1882">
        <v>32</v>
      </c>
      <c r="AR435" s="1882">
        <v>32</v>
      </c>
      <c r="AS435" s="1882">
        <v>48</v>
      </c>
      <c r="AT435" s="1882">
        <v>48</v>
      </c>
      <c r="AU435" s="1882">
        <v>12</v>
      </c>
      <c r="AV435" s="1882">
        <v>12</v>
      </c>
      <c r="AW435" s="1882">
        <v>12</v>
      </c>
      <c r="AX435" s="1882">
        <v>12</v>
      </c>
      <c r="AY435" s="1882">
        <v>12</v>
      </c>
      <c r="AZ435" s="1882">
        <v>12</v>
      </c>
      <c r="BA435" s="1882">
        <v>12</v>
      </c>
      <c r="BB435" s="1882">
        <v>12</v>
      </c>
      <c r="BC435" s="1882">
        <v>0</v>
      </c>
      <c r="BD435" s="1882">
        <v>0</v>
      </c>
      <c r="BE435" s="1882">
        <v>0</v>
      </c>
      <c r="BF435" s="1882">
        <v>0</v>
      </c>
      <c r="BG435" s="1882">
        <v>0</v>
      </c>
      <c r="BH435" s="1882">
        <v>0.19500000000000001</v>
      </c>
      <c r="BI435" s="1882"/>
      <c r="BJ435" s="1882"/>
      <c r="BK435" s="1882"/>
      <c r="BL435" s="1882">
        <v>0.19500000000000001</v>
      </c>
      <c r="BM435" s="1882"/>
      <c r="BN435" s="1882">
        <v>1</v>
      </c>
      <c r="BO435" s="1882" t="s">
        <v>8512</v>
      </c>
      <c r="BP435" s="520">
        <v>23</v>
      </c>
      <c r="BQ435" s="690">
        <v>21.7</v>
      </c>
      <c r="BR435" s="1882" t="s">
        <v>2459</v>
      </c>
      <c r="BS435" s="1882" t="s">
        <v>8513</v>
      </c>
      <c r="BT435" s="1882">
        <v>0</v>
      </c>
      <c r="BU435" s="1882" t="s">
        <v>8380</v>
      </c>
      <c r="BV435" s="1882">
        <v>0</v>
      </c>
      <c r="BW435" s="1882">
        <v>12.15</v>
      </c>
      <c r="BX435" s="1882" t="s">
        <v>2459</v>
      </c>
      <c r="BY435" s="1882">
        <v>0</v>
      </c>
      <c r="BZ435" s="1882">
        <v>0</v>
      </c>
      <c r="CA435" s="1882" t="s">
        <v>8380</v>
      </c>
      <c r="CB435" s="1882">
        <v>0</v>
      </c>
      <c r="CC435" s="1882">
        <v>43.3</v>
      </c>
      <c r="CD435" s="1882" t="s">
        <v>2460</v>
      </c>
      <c r="CE435" s="1882">
        <v>0</v>
      </c>
      <c r="CF435" s="1882">
        <v>0</v>
      </c>
      <c r="CG435" s="1882" t="s">
        <v>8384</v>
      </c>
      <c r="CH435" s="1882">
        <v>-3.9</v>
      </c>
      <c r="CI435" s="1882">
        <v>16</v>
      </c>
      <c r="CJ435" s="1882" t="s">
        <v>2460</v>
      </c>
      <c r="CK435" s="1882">
        <v>0</v>
      </c>
      <c r="CL435" s="1882">
        <v>0</v>
      </c>
      <c r="CM435" s="1882" t="s">
        <v>8384</v>
      </c>
      <c r="CN435" s="1882">
        <v>-0.78</v>
      </c>
      <c r="CP435" s="1882" t="s">
        <v>10989</v>
      </c>
    </row>
    <row r="436" spans="1:94">
      <c r="A436" s="1882" t="s">
        <v>8359</v>
      </c>
      <c r="B436" s="1882" t="s">
        <v>10990</v>
      </c>
      <c r="C436" s="1882" t="s">
        <v>8352</v>
      </c>
      <c r="D436" s="1882" t="s">
        <v>1626</v>
      </c>
      <c r="E436" s="1882" t="s">
        <v>8503</v>
      </c>
      <c r="F436" s="1882" t="s">
        <v>10991</v>
      </c>
      <c r="G436" s="1882" t="s">
        <v>7236</v>
      </c>
      <c r="H436" s="1882" t="s">
        <v>10992</v>
      </c>
      <c r="I436" s="1882" t="s">
        <v>10993</v>
      </c>
      <c r="J436" s="1882" t="s">
        <v>8539</v>
      </c>
      <c r="K436" s="1882"/>
      <c r="L436" s="1882"/>
      <c r="M436" s="1882"/>
      <c r="N436" s="1882" t="s">
        <v>8533</v>
      </c>
      <c r="O436" s="1882" t="s">
        <v>732</v>
      </c>
      <c r="P436" s="1882" t="s">
        <v>10994</v>
      </c>
      <c r="Q436" s="520">
        <v>0</v>
      </c>
      <c r="R436" s="1882" t="s">
        <v>8549</v>
      </c>
      <c r="S436" s="1882">
        <v>100</v>
      </c>
      <c r="T436" s="1882">
        <v>100</v>
      </c>
      <c r="U436" s="1882">
        <v>100</v>
      </c>
      <c r="V436" s="1882">
        <v>100</v>
      </c>
      <c r="W436" s="1882">
        <v>100</v>
      </c>
      <c r="X436" s="1882">
        <v>100</v>
      </c>
      <c r="Y436" s="1882"/>
      <c r="Z436" s="1882"/>
      <c r="AA436" s="1882"/>
      <c r="AB436" s="1882"/>
      <c r="AC436" s="1882"/>
      <c r="AD436" s="1882"/>
      <c r="AE436" s="1882"/>
      <c r="AF436" s="1882"/>
      <c r="AG436" s="1882"/>
      <c r="AH436" s="1882">
        <v>0</v>
      </c>
      <c r="AI436" s="1882"/>
      <c r="AJ436" s="1882"/>
      <c r="AK436" s="1882"/>
      <c r="AL436" s="1882"/>
      <c r="AM436" s="1882"/>
      <c r="AN436" s="1882"/>
      <c r="AO436" s="1882"/>
      <c r="AP436" s="1882"/>
      <c r="AQ436" s="1882"/>
      <c r="AR436" s="1882"/>
      <c r="AS436" s="1882"/>
      <c r="AT436" s="1882"/>
      <c r="AU436" s="1882"/>
      <c r="AV436" s="1882"/>
      <c r="AW436" s="1882"/>
      <c r="AX436" s="1882"/>
      <c r="AY436" s="1882"/>
      <c r="AZ436" s="1882"/>
      <c r="BA436" s="1882"/>
      <c r="BB436" s="1882"/>
      <c r="BC436" s="1882"/>
      <c r="BD436" s="1882"/>
      <c r="BE436" s="1882"/>
      <c r="BF436" s="1882"/>
      <c r="BG436" s="1882"/>
      <c r="BH436" s="1882"/>
      <c r="BI436" s="1882"/>
      <c r="BJ436" s="1882"/>
      <c r="BK436" s="1882"/>
      <c r="BL436" s="1882"/>
      <c r="BM436" s="1882"/>
      <c r="BN436" s="1882"/>
      <c r="BO436" s="1882"/>
      <c r="BP436" s="520">
        <v>100</v>
      </c>
      <c r="BQ436" s="693">
        <v>100</v>
      </c>
      <c r="BR436" s="1882" t="s">
        <v>2459</v>
      </c>
      <c r="BS436" s="1882" t="s">
        <v>8513</v>
      </c>
      <c r="BT436" s="1882">
        <v>0</v>
      </c>
      <c r="BU436" s="1882" t="s">
        <v>8513</v>
      </c>
      <c r="BV436" s="1882">
        <v>0</v>
      </c>
      <c r="BW436" s="1882">
        <v>100</v>
      </c>
      <c r="BX436" s="1882" t="s">
        <v>2459</v>
      </c>
      <c r="BY436" s="1882">
        <v>0</v>
      </c>
      <c r="BZ436" s="1882">
        <v>0</v>
      </c>
      <c r="CA436" s="1882">
        <v>0</v>
      </c>
      <c r="CB436" s="1882">
        <v>0</v>
      </c>
      <c r="CC436" s="1882">
        <v>100</v>
      </c>
      <c r="CD436" s="1882" t="s">
        <v>2459</v>
      </c>
      <c r="CE436" s="1882">
        <v>0</v>
      </c>
      <c r="CF436" s="1882">
        <v>0</v>
      </c>
      <c r="CG436" s="1882">
        <v>0</v>
      </c>
      <c r="CH436" s="1882">
        <v>0</v>
      </c>
      <c r="CI436" s="1882">
        <v>100</v>
      </c>
      <c r="CJ436" s="1882" t="s">
        <v>2459</v>
      </c>
      <c r="CK436" s="1882">
        <v>0</v>
      </c>
      <c r="CL436" s="1882">
        <v>0</v>
      </c>
      <c r="CM436" s="1882">
        <v>0</v>
      </c>
      <c r="CN436" s="1882">
        <v>0</v>
      </c>
      <c r="CP436" s="1882" t="s">
        <v>10995</v>
      </c>
    </row>
    <row r="437" spans="1:94">
      <c r="A437" s="1882" t="s">
        <v>8359</v>
      </c>
      <c r="B437" s="1882" t="s">
        <v>10996</v>
      </c>
      <c r="C437" s="1882" t="s">
        <v>8352</v>
      </c>
      <c r="D437" s="1882" t="s">
        <v>1626</v>
      </c>
      <c r="E437" s="1882" t="s">
        <v>8503</v>
      </c>
      <c r="F437" s="1882" t="s">
        <v>10997</v>
      </c>
      <c r="G437" s="1882" t="s">
        <v>8257</v>
      </c>
      <c r="H437" s="1882" t="s">
        <v>10998</v>
      </c>
      <c r="I437" s="1882" t="s">
        <v>10999</v>
      </c>
      <c r="J437" s="1882" t="s">
        <v>8539</v>
      </c>
      <c r="K437" s="1882"/>
      <c r="L437" s="1882"/>
      <c r="M437" s="1882"/>
      <c r="N437" s="1882" t="s">
        <v>8681</v>
      </c>
      <c r="O437" s="1882" t="s">
        <v>764</v>
      </c>
      <c r="P437" s="1882" t="s">
        <v>10606</v>
      </c>
      <c r="Q437" s="520">
        <v>2</v>
      </c>
      <c r="R437" s="1882" t="s">
        <v>8549</v>
      </c>
      <c r="S437" s="1882">
        <v>7.11</v>
      </c>
      <c r="T437" s="1882">
        <v>7.11</v>
      </c>
      <c r="U437" s="1882">
        <v>9.7799999999999994</v>
      </c>
      <c r="V437" s="1882">
        <v>12.45</v>
      </c>
      <c r="W437" s="1882">
        <v>15.11</v>
      </c>
      <c r="X437" s="1882">
        <v>17.78</v>
      </c>
      <c r="Y437" s="1882"/>
      <c r="Z437" s="1882"/>
      <c r="AA437" s="1882"/>
      <c r="AB437" s="1882"/>
      <c r="AC437" s="1882"/>
      <c r="AD437" s="1882"/>
      <c r="AE437" s="1882"/>
      <c r="AF437" s="1882"/>
      <c r="AG437" s="1882"/>
      <c r="AH437" s="1882">
        <v>0</v>
      </c>
      <c r="AI437" s="1882"/>
      <c r="AJ437" s="1882"/>
      <c r="AK437" s="1882"/>
      <c r="AL437" s="1882"/>
      <c r="AM437" s="1882"/>
      <c r="AN437" s="1882"/>
      <c r="AO437" s="1882"/>
      <c r="AP437" s="1882"/>
      <c r="AQ437" s="1882"/>
      <c r="AR437" s="1882"/>
      <c r="AS437" s="1882"/>
      <c r="AT437" s="1882"/>
      <c r="AU437" s="1882"/>
      <c r="AV437" s="1882"/>
      <c r="AW437" s="1882"/>
      <c r="AX437" s="1882"/>
      <c r="AY437" s="1882"/>
      <c r="AZ437" s="1882"/>
      <c r="BA437" s="1882"/>
      <c r="BB437" s="1882"/>
      <c r="BC437" s="1882"/>
      <c r="BD437" s="1882"/>
      <c r="BE437" s="1882"/>
      <c r="BF437" s="1882"/>
      <c r="BG437" s="1882"/>
      <c r="BH437" s="1882"/>
      <c r="BI437" s="1882"/>
      <c r="BJ437" s="1882"/>
      <c r="BK437" s="1882"/>
      <c r="BL437" s="1882"/>
      <c r="BM437" s="1882"/>
      <c r="BN437" s="1882"/>
      <c r="BO437" s="1882"/>
      <c r="BP437" s="520">
        <v>14.02</v>
      </c>
      <c r="BQ437" s="694">
        <v>50.21</v>
      </c>
      <c r="BR437" s="1882" t="s">
        <v>2459</v>
      </c>
      <c r="BS437" s="1882" t="s">
        <v>8513</v>
      </c>
      <c r="BT437" s="1882">
        <v>0</v>
      </c>
      <c r="BU437" s="1882" t="s">
        <v>8513</v>
      </c>
      <c r="BV437" s="1882">
        <v>0</v>
      </c>
      <c r="BW437" s="1882">
        <v>37.49</v>
      </c>
      <c r="BX437" s="1882" t="s">
        <v>2459</v>
      </c>
      <c r="BY437" s="1882">
        <v>0</v>
      </c>
      <c r="BZ437" s="1882">
        <v>0</v>
      </c>
      <c r="CA437" s="1882">
        <v>0</v>
      </c>
      <c r="CB437" s="1882">
        <v>0</v>
      </c>
      <c r="CC437" s="1882">
        <v>42.38</v>
      </c>
      <c r="CD437" s="1882" t="s">
        <v>2459</v>
      </c>
      <c r="CE437" s="1882">
        <v>0</v>
      </c>
      <c r="CF437" s="1882">
        <v>0</v>
      </c>
      <c r="CG437" s="1882">
        <v>0</v>
      </c>
      <c r="CH437" s="1882">
        <v>0</v>
      </c>
      <c r="CI437" s="1882">
        <v>32.590000000000003</v>
      </c>
      <c r="CJ437" s="1882" t="s">
        <v>2459</v>
      </c>
      <c r="CK437" s="1882">
        <v>0</v>
      </c>
      <c r="CL437" s="1882">
        <v>0</v>
      </c>
      <c r="CM437" s="1882">
        <v>0</v>
      </c>
      <c r="CN437" s="1882">
        <v>0</v>
      </c>
      <c r="CP437" s="1882" t="s">
        <v>11000</v>
      </c>
    </row>
    <row r="438" spans="1:94">
      <c r="A438" s="1882" t="s">
        <v>8359</v>
      </c>
      <c r="B438" s="1882" t="s">
        <v>11001</v>
      </c>
      <c r="C438" s="1882" t="s">
        <v>8352</v>
      </c>
      <c r="D438" s="1882" t="s">
        <v>1626</v>
      </c>
      <c r="E438" s="1882" t="s">
        <v>8503</v>
      </c>
      <c r="F438" s="1882" t="s">
        <v>11002</v>
      </c>
      <c r="G438" s="1882" t="s">
        <v>8261</v>
      </c>
      <c r="H438" s="1882" t="s">
        <v>11003</v>
      </c>
      <c r="I438" s="1882" t="s">
        <v>11004</v>
      </c>
      <c r="J438" s="1882" t="s">
        <v>8508</v>
      </c>
      <c r="K438" s="1882" t="s">
        <v>8509</v>
      </c>
      <c r="L438" s="1882"/>
      <c r="M438" s="1882" t="s">
        <v>2460</v>
      </c>
      <c r="N438" s="1882" t="s">
        <v>8590</v>
      </c>
      <c r="O438" s="1882" t="s">
        <v>8797</v>
      </c>
      <c r="P438" s="1882" t="s">
        <v>8951</v>
      </c>
      <c r="Q438" s="520" t="s">
        <v>8512</v>
      </c>
      <c r="R438" s="1882" t="s">
        <v>8549</v>
      </c>
      <c r="S438" s="1882" t="s">
        <v>10265</v>
      </c>
      <c r="T438" s="1882" t="s">
        <v>9441</v>
      </c>
      <c r="U438" s="1882" t="s">
        <v>9441</v>
      </c>
      <c r="V438" s="1882" t="s">
        <v>9441</v>
      </c>
      <c r="W438" s="1882" t="s">
        <v>9441</v>
      </c>
      <c r="X438" s="1882" t="s">
        <v>9441</v>
      </c>
      <c r="Y438" s="1882"/>
      <c r="Z438" s="1882"/>
      <c r="AA438" s="1882"/>
      <c r="AB438" s="1882"/>
      <c r="AC438" s="1882"/>
      <c r="AD438" s="1882"/>
      <c r="AE438" s="1882"/>
      <c r="AF438" s="1882"/>
      <c r="AG438" s="1882"/>
      <c r="AH438" s="1882">
        <v>0</v>
      </c>
      <c r="AI438" s="1882" t="s">
        <v>2459</v>
      </c>
      <c r="AJ438" s="1882" t="s">
        <v>2459</v>
      </c>
      <c r="AK438" s="1882" t="s">
        <v>2459</v>
      </c>
      <c r="AL438" s="1882" t="s">
        <v>2459</v>
      </c>
      <c r="AM438" s="1882" t="s">
        <v>2459</v>
      </c>
      <c r="AN438" s="1882" t="s">
        <v>8593</v>
      </c>
      <c r="AO438" s="1882" t="s">
        <v>8593</v>
      </c>
      <c r="AP438" s="1882" t="s">
        <v>8593</v>
      </c>
      <c r="AQ438" s="1882" t="s">
        <v>8593</v>
      </c>
      <c r="AR438" s="1882" t="s">
        <v>8593</v>
      </c>
      <c r="AS438" s="1882" t="s">
        <v>8593</v>
      </c>
      <c r="AT438" s="1882" t="s">
        <v>8593</v>
      </c>
      <c r="AU438" s="1882" t="s">
        <v>8593</v>
      </c>
      <c r="AV438" s="1882" t="s">
        <v>8593</v>
      </c>
      <c r="AW438" s="1882" t="s">
        <v>8593</v>
      </c>
      <c r="AX438" s="1882" t="s">
        <v>8593</v>
      </c>
      <c r="AY438" s="1882" t="s">
        <v>8593</v>
      </c>
      <c r="AZ438" s="1882" t="s">
        <v>8593</v>
      </c>
      <c r="BA438" s="1882" t="s">
        <v>8593</v>
      </c>
      <c r="BB438" s="1882" t="s">
        <v>8593</v>
      </c>
      <c r="BC438" s="1882" t="s">
        <v>8593</v>
      </c>
      <c r="BD438" s="1882" t="s">
        <v>8593</v>
      </c>
      <c r="BE438" s="1882" t="s">
        <v>8593</v>
      </c>
      <c r="BF438" s="1882" t="s">
        <v>8593</v>
      </c>
      <c r="BG438" s="1882" t="s">
        <v>8593</v>
      </c>
      <c r="BH438" s="1882" t="s">
        <v>8593</v>
      </c>
      <c r="BI438" s="1882"/>
      <c r="BJ438" s="1882"/>
      <c r="BK438" s="1882"/>
      <c r="BL438" s="1882" t="s">
        <v>8593</v>
      </c>
      <c r="BM438" s="1882"/>
      <c r="BN438" s="1882">
        <v>1</v>
      </c>
      <c r="BO438" s="1882" t="s">
        <v>8512</v>
      </c>
      <c r="BQ438" s="692">
        <v>83</v>
      </c>
      <c r="BR438" s="1882" t="s">
        <v>2460</v>
      </c>
      <c r="BS438" s="1882" t="s">
        <v>8513</v>
      </c>
      <c r="BT438" s="1882">
        <v>0</v>
      </c>
      <c r="BU438" s="1882" t="s">
        <v>8513</v>
      </c>
      <c r="BV438" s="1882">
        <v>0</v>
      </c>
      <c r="BW438" s="1882">
        <v>82.86</v>
      </c>
      <c r="BX438" s="1882" t="s">
        <v>2460</v>
      </c>
      <c r="BY438" s="1882">
        <v>0</v>
      </c>
      <c r="BZ438" s="1882">
        <v>0</v>
      </c>
      <c r="CA438" s="1882">
        <v>0</v>
      </c>
      <c r="CB438" s="1882">
        <v>0</v>
      </c>
      <c r="CC438" s="1882">
        <v>84.64</v>
      </c>
      <c r="CD438" s="1882" t="s">
        <v>2451</v>
      </c>
      <c r="CE438" s="1882">
        <v>0</v>
      </c>
      <c r="CF438" s="1882">
        <v>0</v>
      </c>
      <c r="CG438" s="1882">
        <v>0</v>
      </c>
      <c r="CH438" s="1882">
        <v>0</v>
      </c>
      <c r="CI438" s="1882">
        <v>86.88</v>
      </c>
      <c r="CJ438" s="1882" t="s">
        <v>2451</v>
      </c>
      <c r="CK438" s="1882">
        <v>0</v>
      </c>
      <c r="CL438" s="1882">
        <v>0</v>
      </c>
      <c r="CM438" s="1882">
        <v>0</v>
      </c>
      <c r="CN438" s="1882">
        <v>0</v>
      </c>
      <c r="CP438" s="1882" t="s">
        <v>11005</v>
      </c>
    </row>
    <row r="439" spans="1:94">
      <c r="A439" s="1882" t="s">
        <v>8359</v>
      </c>
      <c r="B439" s="1882" t="s">
        <v>11006</v>
      </c>
      <c r="C439" s="1882" t="s">
        <v>8352</v>
      </c>
      <c r="D439" s="1882" t="s">
        <v>1626</v>
      </c>
      <c r="E439" s="1882" t="s">
        <v>8503</v>
      </c>
      <c r="F439" s="1882" t="s">
        <v>11002</v>
      </c>
      <c r="G439" s="1882" t="s">
        <v>8264</v>
      </c>
      <c r="H439" s="1882" t="s">
        <v>11007</v>
      </c>
      <c r="I439" s="1882" t="s">
        <v>11008</v>
      </c>
      <c r="J439" s="1882" t="s">
        <v>8539</v>
      </c>
      <c r="K439" s="1882"/>
      <c r="L439" s="1882"/>
      <c r="M439" s="1882"/>
      <c r="N439" s="1882" t="s">
        <v>8695</v>
      </c>
      <c r="O439" s="1882" t="s">
        <v>764</v>
      </c>
      <c r="P439" s="1882" t="s">
        <v>11009</v>
      </c>
      <c r="Q439" s="520">
        <v>0</v>
      </c>
      <c r="R439" s="1882" t="s">
        <v>8511</v>
      </c>
      <c r="S439" s="1882">
        <v>850</v>
      </c>
      <c r="T439" s="1882">
        <v>850</v>
      </c>
      <c r="U439" s="1882">
        <v>750</v>
      </c>
      <c r="V439" s="1882">
        <v>650</v>
      </c>
      <c r="W439" s="1882">
        <v>550</v>
      </c>
      <c r="X439" s="1882">
        <v>425</v>
      </c>
      <c r="Y439" s="1882"/>
      <c r="Z439" s="1882"/>
      <c r="AA439" s="1882"/>
      <c r="AB439" s="1882"/>
      <c r="AC439" s="1882"/>
      <c r="AD439" s="1882"/>
      <c r="AE439" s="1882"/>
      <c r="AF439" s="1882"/>
      <c r="AG439" s="1882"/>
      <c r="AH439" s="1882">
        <v>0</v>
      </c>
      <c r="AI439" s="1882"/>
      <c r="AJ439" s="1882"/>
      <c r="AK439" s="1882"/>
      <c r="AL439" s="1882"/>
      <c r="AM439" s="1882"/>
      <c r="AN439" s="1882"/>
      <c r="AO439" s="1882"/>
      <c r="AP439" s="1882"/>
      <c r="AQ439" s="1882"/>
      <c r="AR439" s="1882"/>
      <c r="AS439" s="1882"/>
      <c r="AT439" s="1882"/>
      <c r="AU439" s="1882"/>
      <c r="AV439" s="1882"/>
      <c r="AW439" s="1882"/>
      <c r="AX439" s="1882"/>
      <c r="AY439" s="1882"/>
      <c r="AZ439" s="1882"/>
      <c r="BA439" s="1882"/>
      <c r="BB439" s="1882"/>
      <c r="BC439" s="1882"/>
      <c r="BD439" s="1882"/>
      <c r="BE439" s="1882"/>
      <c r="BF439" s="1882"/>
      <c r="BG439" s="1882"/>
      <c r="BH439" s="1882"/>
      <c r="BI439" s="1882"/>
      <c r="BJ439" s="1882"/>
      <c r="BK439" s="1882"/>
      <c r="BL439" s="1882"/>
      <c r="BM439" s="1882"/>
      <c r="BN439" s="1882"/>
      <c r="BO439" s="1882"/>
      <c r="BP439" s="520">
        <v>702</v>
      </c>
      <c r="BQ439" s="693">
        <v>648</v>
      </c>
      <c r="BR439" s="1882" t="s">
        <v>2459</v>
      </c>
      <c r="BS439" s="1882" t="s">
        <v>8513</v>
      </c>
      <c r="BT439" s="1882">
        <v>0</v>
      </c>
      <c r="BU439" s="1882" t="s">
        <v>8513</v>
      </c>
      <c r="BV439" s="1882">
        <v>0</v>
      </c>
      <c r="BW439" s="1882">
        <v>575</v>
      </c>
      <c r="BX439" s="1882" t="s">
        <v>2459</v>
      </c>
      <c r="BY439" s="1882">
        <v>0</v>
      </c>
      <c r="BZ439" s="1882">
        <v>0</v>
      </c>
      <c r="CA439" s="1882">
        <v>0</v>
      </c>
      <c r="CB439" s="1882">
        <v>0</v>
      </c>
      <c r="CC439" s="1882">
        <v>613</v>
      </c>
      <c r="CD439" s="1882" t="s">
        <v>2459</v>
      </c>
      <c r="CE439" s="1882">
        <v>0</v>
      </c>
      <c r="CF439" s="1882">
        <v>0</v>
      </c>
      <c r="CG439" s="1882">
        <v>0</v>
      </c>
      <c r="CH439" s="1882">
        <v>0</v>
      </c>
      <c r="CI439" s="1882">
        <v>641</v>
      </c>
      <c r="CJ439" s="1882" t="s">
        <v>2460</v>
      </c>
      <c r="CK439" s="1882">
        <v>0</v>
      </c>
      <c r="CL439" s="1882">
        <v>0</v>
      </c>
      <c r="CM439" s="1882">
        <v>0</v>
      </c>
      <c r="CN439" s="1882">
        <v>0</v>
      </c>
      <c r="CP439" s="1882" t="s">
        <v>11010</v>
      </c>
    </row>
    <row r="440" spans="1:94">
      <c r="A440" s="1882" t="s">
        <v>8359</v>
      </c>
      <c r="B440" s="1882" t="s">
        <v>11011</v>
      </c>
      <c r="C440" s="1882" t="s">
        <v>8352</v>
      </c>
      <c r="D440" s="1882" t="s">
        <v>1626</v>
      </c>
      <c r="E440" s="1882" t="s">
        <v>8503</v>
      </c>
      <c r="F440" s="1882" t="s">
        <v>11002</v>
      </c>
      <c r="G440" s="1882" t="s">
        <v>8273</v>
      </c>
      <c r="H440" s="1882" t="s">
        <v>11012</v>
      </c>
      <c r="I440" s="1882" t="s">
        <v>11013</v>
      </c>
      <c r="J440" s="1882" t="s">
        <v>8539</v>
      </c>
      <c r="K440" s="1882"/>
      <c r="L440" s="1882"/>
      <c r="M440" s="1882"/>
      <c r="N440" s="1882" t="s">
        <v>8695</v>
      </c>
      <c r="O440" s="1882" t="s">
        <v>732</v>
      </c>
      <c r="P440" s="1882" t="s">
        <v>8696</v>
      </c>
      <c r="Q440" s="520">
        <v>0</v>
      </c>
      <c r="R440" s="1882" t="s">
        <v>8549</v>
      </c>
      <c r="S440" s="1882">
        <v>63</v>
      </c>
      <c r="T440" s="1882">
        <v>63</v>
      </c>
      <c r="U440" s="1882">
        <v>66</v>
      </c>
      <c r="V440" s="1882">
        <v>68</v>
      </c>
      <c r="W440" s="1882">
        <v>71</v>
      </c>
      <c r="X440" s="1882">
        <v>75</v>
      </c>
      <c r="Y440" s="1882"/>
      <c r="Z440" s="1882"/>
      <c r="AA440" s="1882"/>
      <c r="AB440" s="1882"/>
      <c r="AC440" s="1882"/>
      <c r="AD440" s="1882"/>
      <c r="AE440" s="1882"/>
      <c r="AF440" s="1882"/>
      <c r="AG440" s="1882"/>
      <c r="AH440" s="1882">
        <v>0</v>
      </c>
      <c r="AI440" s="1882"/>
      <c r="AJ440" s="1882"/>
      <c r="AK440" s="1882"/>
      <c r="AL440" s="1882"/>
      <c r="AM440" s="1882"/>
      <c r="AN440" s="1882"/>
      <c r="AO440" s="1882"/>
      <c r="AP440" s="1882"/>
      <c r="AQ440" s="1882"/>
      <c r="AR440" s="1882"/>
      <c r="AS440" s="1882"/>
      <c r="AT440" s="1882"/>
      <c r="AU440" s="1882"/>
      <c r="AV440" s="1882"/>
      <c r="AW440" s="1882"/>
      <c r="AX440" s="1882"/>
      <c r="AY440" s="1882"/>
      <c r="AZ440" s="1882"/>
      <c r="BA440" s="1882"/>
      <c r="BB440" s="1882"/>
      <c r="BC440" s="1882"/>
      <c r="BD440" s="1882"/>
      <c r="BE440" s="1882"/>
      <c r="BF440" s="1882"/>
      <c r="BG440" s="1882"/>
      <c r="BH440" s="1882"/>
      <c r="BI440" s="1882"/>
      <c r="BJ440" s="1882"/>
      <c r="BK440" s="1882"/>
      <c r="BL440" s="1882"/>
      <c r="BM440" s="1882"/>
      <c r="BN440" s="1882"/>
      <c r="BO440" s="1882"/>
      <c r="BP440" s="520">
        <v>79</v>
      </c>
      <c r="BQ440" s="693">
        <v>82</v>
      </c>
      <c r="BR440" s="1882" t="s">
        <v>2459</v>
      </c>
      <c r="BS440" s="1882" t="s">
        <v>8513</v>
      </c>
      <c r="BT440" s="1882">
        <v>0</v>
      </c>
      <c r="BU440" s="1882" t="s">
        <v>8513</v>
      </c>
      <c r="BV440" s="1882">
        <v>0</v>
      </c>
      <c r="BW440" s="1882">
        <v>85</v>
      </c>
      <c r="BX440" s="1882" t="s">
        <v>2459</v>
      </c>
      <c r="BY440" s="1882">
        <v>0</v>
      </c>
      <c r="BZ440" s="1882">
        <v>0</v>
      </c>
      <c r="CA440" s="1882">
        <v>0</v>
      </c>
      <c r="CB440" s="1882">
        <v>0</v>
      </c>
      <c r="CC440" s="1882">
        <v>84</v>
      </c>
      <c r="CD440" s="1882" t="s">
        <v>2459</v>
      </c>
      <c r="CE440" s="1882">
        <v>0</v>
      </c>
      <c r="CF440" s="1882">
        <v>0</v>
      </c>
      <c r="CG440" s="1882">
        <v>0</v>
      </c>
      <c r="CH440" s="1882">
        <v>0</v>
      </c>
      <c r="CI440" s="1882">
        <v>85</v>
      </c>
      <c r="CJ440" s="1882" t="s">
        <v>2459</v>
      </c>
      <c r="CK440" s="1882">
        <v>0</v>
      </c>
      <c r="CL440" s="1882">
        <v>0</v>
      </c>
      <c r="CM440" s="1882">
        <v>0</v>
      </c>
      <c r="CN440" s="1882">
        <v>0</v>
      </c>
      <c r="CP440" s="1882" t="s">
        <v>11014</v>
      </c>
    </row>
    <row r="441" spans="1:94">
      <c r="A441" s="1882" t="s">
        <v>8359</v>
      </c>
      <c r="B441" s="1882" t="s">
        <v>11015</v>
      </c>
      <c r="C441" s="1882" t="s">
        <v>8352</v>
      </c>
      <c r="D441" s="1882" t="s">
        <v>1626</v>
      </c>
      <c r="E441" s="1882" t="s">
        <v>8503</v>
      </c>
      <c r="F441" s="1882" t="s">
        <v>11016</v>
      </c>
      <c r="G441" s="1882" t="s">
        <v>8277</v>
      </c>
      <c r="H441" s="1882" t="s">
        <v>11017</v>
      </c>
      <c r="I441" s="1882" t="s">
        <v>11018</v>
      </c>
      <c r="J441" s="1882" t="s">
        <v>8539</v>
      </c>
      <c r="K441" s="1882"/>
      <c r="L441" s="1882"/>
      <c r="M441" s="1882"/>
      <c r="N441" s="1882" t="s">
        <v>8599</v>
      </c>
      <c r="O441" s="1882" t="s">
        <v>732</v>
      </c>
      <c r="P441" s="1882" t="s">
        <v>11019</v>
      </c>
      <c r="Q441" s="520">
        <v>0</v>
      </c>
      <c r="R441" s="1882" t="s">
        <v>8511</v>
      </c>
      <c r="S441" s="1882" t="s">
        <v>11020</v>
      </c>
      <c r="T441" s="1882" t="s">
        <v>11021</v>
      </c>
      <c r="U441" s="1882" t="s">
        <v>11021</v>
      </c>
      <c r="V441" s="1882" t="s">
        <v>11021</v>
      </c>
      <c r="W441" s="1882" t="s">
        <v>11021</v>
      </c>
      <c r="X441" s="1882" t="s">
        <v>11021</v>
      </c>
      <c r="Y441" s="1882"/>
      <c r="Z441" s="1882"/>
      <c r="AA441" s="1882"/>
      <c r="AB441" s="1882"/>
      <c r="AC441" s="1882"/>
      <c r="AD441" s="1882"/>
      <c r="AE441" s="1882"/>
      <c r="AF441" s="1882"/>
      <c r="AG441" s="1882"/>
      <c r="AH441" s="1882">
        <v>0</v>
      </c>
      <c r="AI441" s="1882"/>
      <c r="AJ441" s="1882"/>
      <c r="AK441" s="1882"/>
      <c r="AL441" s="1882"/>
      <c r="AM441" s="1882"/>
      <c r="AN441" s="1882"/>
      <c r="AO441" s="1882"/>
      <c r="AP441" s="1882"/>
      <c r="AQ441" s="1882"/>
      <c r="AR441" s="1882"/>
      <c r="AS441" s="1882"/>
      <c r="AT441" s="1882"/>
      <c r="AU441" s="1882"/>
      <c r="AV441" s="1882"/>
      <c r="AW441" s="1882"/>
      <c r="AX441" s="1882"/>
      <c r="AY441" s="1882"/>
      <c r="AZ441" s="1882"/>
      <c r="BA441" s="1882"/>
      <c r="BB441" s="1882"/>
      <c r="BC441" s="1882"/>
      <c r="BD441" s="1882"/>
      <c r="BE441" s="1882"/>
      <c r="BF441" s="1882"/>
      <c r="BG441" s="1882"/>
      <c r="BH441" s="1882"/>
      <c r="BI441" s="1882"/>
      <c r="BJ441" s="1882"/>
      <c r="BK441" s="1882"/>
      <c r="BL441" s="1882"/>
      <c r="BM441" s="1882"/>
      <c r="BN441" s="1882"/>
      <c r="BO441" s="1882"/>
      <c r="BP441" s="520">
        <v>-3</v>
      </c>
      <c r="BQ441" s="692">
        <v>-1</v>
      </c>
      <c r="BR441" s="1882" t="s">
        <v>2459</v>
      </c>
      <c r="BS441" s="1882" t="s">
        <v>8513</v>
      </c>
      <c r="BT441" s="1882">
        <v>0</v>
      </c>
      <c r="BU441" s="1882" t="s">
        <v>8513</v>
      </c>
      <c r="BV441" s="1882">
        <v>0</v>
      </c>
      <c r="BW441" s="1882">
        <v>-1</v>
      </c>
      <c r="BX441" s="1882" t="s">
        <v>2459</v>
      </c>
      <c r="BY441" s="1882">
        <v>0</v>
      </c>
      <c r="BZ441" s="1882">
        <v>0</v>
      </c>
      <c r="CA441" s="1882">
        <v>0</v>
      </c>
      <c r="CB441" s="1882">
        <v>0</v>
      </c>
      <c r="CC441" s="1882">
        <v>-2</v>
      </c>
      <c r="CD441" s="1882" t="s">
        <v>2459</v>
      </c>
      <c r="CE441" s="1882">
        <v>0</v>
      </c>
      <c r="CF441" s="1882">
        <v>0</v>
      </c>
      <c r="CG441" s="1882">
        <v>0</v>
      </c>
      <c r="CH441" s="1882">
        <v>0</v>
      </c>
      <c r="CI441" s="1882">
        <v>-2</v>
      </c>
      <c r="CJ441" s="1882" t="s">
        <v>2459</v>
      </c>
      <c r="CK441" s="1882">
        <v>0</v>
      </c>
      <c r="CL441" s="1882">
        <v>0</v>
      </c>
      <c r="CM441" s="1882">
        <v>0</v>
      </c>
      <c r="CN441" s="1882">
        <v>0</v>
      </c>
      <c r="CP441" s="1882" t="s">
        <v>11022</v>
      </c>
    </row>
    <row r="442" spans="1:94">
      <c r="A442" s="1882" t="s">
        <v>8359</v>
      </c>
      <c r="B442" s="1882" t="s">
        <v>11023</v>
      </c>
      <c r="C442" s="1882" t="s">
        <v>8352</v>
      </c>
      <c r="D442" s="1882" t="s">
        <v>1626</v>
      </c>
      <c r="E442" s="1882" t="s">
        <v>8503</v>
      </c>
      <c r="F442" s="1882" t="s">
        <v>11024</v>
      </c>
      <c r="G442" s="1882" t="s">
        <v>8293</v>
      </c>
      <c r="H442" s="1882" t="s">
        <v>11025</v>
      </c>
      <c r="I442" s="1882" t="s">
        <v>11026</v>
      </c>
      <c r="J442" s="1882" t="s">
        <v>8519</v>
      </c>
      <c r="K442" s="1882" t="s">
        <v>8509</v>
      </c>
      <c r="L442" s="1882"/>
      <c r="M442" s="1882" t="s">
        <v>2460</v>
      </c>
      <c r="N442" s="1882" t="s">
        <v>8569</v>
      </c>
      <c r="O442" s="1882" t="s">
        <v>8704</v>
      </c>
      <c r="P442" s="1882" t="s">
        <v>8856</v>
      </c>
      <c r="Q442" s="520" t="s">
        <v>8512</v>
      </c>
      <c r="R442" s="1882"/>
      <c r="S442" s="1882" t="s">
        <v>8706</v>
      </c>
      <c r="T442" s="1882" t="s">
        <v>8706</v>
      </c>
      <c r="U442" s="1882" t="s">
        <v>8706</v>
      </c>
      <c r="V442" s="1882" t="s">
        <v>8706</v>
      </c>
      <c r="W442" s="1882" t="s">
        <v>8706</v>
      </c>
      <c r="X442" s="1882" t="s">
        <v>8706</v>
      </c>
      <c r="Y442" s="1882"/>
      <c r="Z442" s="1882"/>
      <c r="AA442" s="1882"/>
      <c r="AB442" s="1882"/>
      <c r="AC442" s="1882"/>
      <c r="AD442" s="1882"/>
      <c r="AE442" s="1882" t="s">
        <v>2459</v>
      </c>
      <c r="AF442" s="1882"/>
      <c r="AG442" s="1882"/>
      <c r="AH442" s="1882">
        <v>11</v>
      </c>
      <c r="AI442" s="1882" t="s">
        <v>2459</v>
      </c>
      <c r="AJ442" s="1882" t="s">
        <v>2459</v>
      </c>
      <c r="AK442" s="1882" t="s">
        <v>2459</v>
      </c>
      <c r="AL442" s="1882" t="s">
        <v>2459</v>
      </c>
      <c r="AM442" s="1882" t="s">
        <v>2459</v>
      </c>
      <c r="AN442" s="1882" t="s">
        <v>8857</v>
      </c>
      <c r="AO442" s="1882" t="s">
        <v>8857</v>
      </c>
      <c r="AP442" s="1882" t="s">
        <v>8857</v>
      </c>
      <c r="AQ442" s="1882" t="s">
        <v>8857</v>
      </c>
      <c r="AR442" s="1882" t="s">
        <v>8857</v>
      </c>
      <c r="AS442" s="1882" t="s">
        <v>8858</v>
      </c>
      <c r="AT442" s="1882" t="s">
        <v>8858</v>
      </c>
      <c r="AU442" s="1882" t="s">
        <v>8858</v>
      </c>
      <c r="AV442" s="1882" t="s">
        <v>8858</v>
      </c>
      <c r="AW442" s="1882" t="s">
        <v>8858</v>
      </c>
      <c r="AX442" s="1882"/>
      <c r="AY442" s="1882"/>
      <c r="AZ442" s="1882"/>
      <c r="BA442" s="1882"/>
      <c r="BB442" s="1882"/>
      <c r="BC442" s="1882"/>
      <c r="BD442" s="1882"/>
      <c r="BE442" s="1882"/>
      <c r="BF442" s="1882"/>
      <c r="BG442" s="1882"/>
      <c r="BH442" s="1882">
        <v>20</v>
      </c>
      <c r="BI442" s="1882"/>
      <c r="BJ442" s="1882"/>
      <c r="BK442" s="1882"/>
      <c r="BL442" s="1882"/>
      <c r="BM442" s="1882"/>
      <c r="BN442" s="1882">
        <v>1</v>
      </c>
      <c r="BO442" s="1882" t="s">
        <v>8512</v>
      </c>
      <c r="BP442" s="520" t="s">
        <v>8706</v>
      </c>
      <c r="BQ442" s="692" t="s">
        <v>8706</v>
      </c>
      <c r="BR442" s="1882" t="s">
        <v>2459</v>
      </c>
      <c r="BS442" s="1882" t="s">
        <v>8513</v>
      </c>
      <c r="BT442" s="1882">
        <v>0</v>
      </c>
      <c r="BU442" s="1882" t="s">
        <v>8513</v>
      </c>
      <c r="BV442" s="1882">
        <v>0</v>
      </c>
      <c r="BW442" s="1882" t="s">
        <v>8706</v>
      </c>
      <c r="BX442" s="1882" t="s">
        <v>2459</v>
      </c>
      <c r="BY442" s="1882">
        <v>0</v>
      </c>
      <c r="BZ442" s="1882">
        <v>0</v>
      </c>
      <c r="CA442" s="1882">
        <v>0</v>
      </c>
      <c r="CB442" s="1882">
        <v>0</v>
      </c>
      <c r="CC442" s="1882" t="s">
        <v>8706</v>
      </c>
      <c r="CD442" s="1882" t="s">
        <v>2459</v>
      </c>
      <c r="CE442" s="1882">
        <v>0</v>
      </c>
      <c r="CF442" s="1882">
        <v>0</v>
      </c>
      <c r="CG442" s="1882">
        <v>0</v>
      </c>
      <c r="CH442" s="1882">
        <v>0</v>
      </c>
      <c r="CI442" s="1882" t="s">
        <v>8706</v>
      </c>
      <c r="CJ442" s="1882" t="s">
        <v>2459</v>
      </c>
      <c r="CK442" s="1882">
        <v>0</v>
      </c>
      <c r="CL442" s="1882">
        <v>0</v>
      </c>
      <c r="CM442" s="1882">
        <v>0</v>
      </c>
      <c r="CN442" s="1882">
        <v>0</v>
      </c>
      <c r="CP442" s="1882" t="s">
        <v>11027</v>
      </c>
    </row>
    <row r="443" spans="1:94">
      <c r="A443" s="1882" t="s">
        <v>8359</v>
      </c>
      <c r="B443" s="1882" t="s">
        <v>11028</v>
      </c>
      <c r="C443" s="1882" t="s">
        <v>8352</v>
      </c>
      <c r="D443" s="1882" t="s">
        <v>1626</v>
      </c>
      <c r="E443" s="1882" t="s">
        <v>8503</v>
      </c>
      <c r="F443" s="1882" t="s">
        <v>11024</v>
      </c>
      <c r="G443" s="1882" t="s">
        <v>8296</v>
      </c>
      <c r="H443" s="1882" t="s">
        <v>11029</v>
      </c>
      <c r="I443" s="1882" t="s">
        <v>11030</v>
      </c>
      <c r="J443" s="1882" t="s">
        <v>8508</v>
      </c>
      <c r="K443" s="1882" t="s">
        <v>8509</v>
      </c>
      <c r="L443" s="1882"/>
      <c r="M443" s="1882"/>
      <c r="N443" s="1882" t="s">
        <v>2444</v>
      </c>
      <c r="O443" s="1882" t="s">
        <v>764</v>
      </c>
      <c r="P443" s="1882" t="s">
        <v>8510</v>
      </c>
      <c r="Q443" s="520">
        <v>0</v>
      </c>
      <c r="R443" s="1882" t="s">
        <v>8511</v>
      </c>
      <c r="S443" s="1882">
        <v>184</v>
      </c>
      <c r="T443" s="1882">
        <v>181</v>
      </c>
      <c r="U443" s="1882">
        <v>177</v>
      </c>
      <c r="V443" s="1882">
        <v>173</v>
      </c>
      <c r="W443" s="1882">
        <v>171</v>
      </c>
      <c r="X443" s="1882">
        <v>169</v>
      </c>
      <c r="Y443" s="1882"/>
      <c r="Z443" s="1882"/>
      <c r="AA443" s="1882"/>
      <c r="AB443" s="1882"/>
      <c r="AC443" s="1882"/>
      <c r="AD443" s="1882"/>
      <c r="AE443" s="1882" t="s">
        <v>2459</v>
      </c>
      <c r="AF443" s="1882"/>
      <c r="AG443" s="1882"/>
      <c r="AH443" s="1882">
        <v>0</v>
      </c>
      <c r="AI443" s="1882" t="s">
        <v>2459</v>
      </c>
      <c r="AJ443" s="1882" t="s">
        <v>2459</v>
      </c>
      <c r="AK443" s="1882" t="s">
        <v>2459</v>
      </c>
      <c r="AL443" s="1882" t="s">
        <v>2459</v>
      </c>
      <c r="AM443" s="1882" t="s">
        <v>2459</v>
      </c>
      <c r="AN443" s="1882">
        <v>191</v>
      </c>
      <c r="AO443" s="1882">
        <v>187</v>
      </c>
      <c r="AP443" s="1882">
        <v>183</v>
      </c>
      <c r="AQ443" s="1882">
        <v>181</v>
      </c>
      <c r="AR443" s="1882">
        <v>179</v>
      </c>
      <c r="AS443" s="1882">
        <v>186</v>
      </c>
      <c r="AT443" s="1882">
        <v>182</v>
      </c>
      <c r="AU443" s="1882">
        <v>178</v>
      </c>
      <c r="AV443" s="1882">
        <v>176</v>
      </c>
      <c r="AW443" s="1882">
        <v>174</v>
      </c>
      <c r="AX443" s="1882">
        <v>176</v>
      </c>
      <c r="AY443" s="1882">
        <v>172</v>
      </c>
      <c r="AZ443" s="1882">
        <v>168</v>
      </c>
      <c r="BA443" s="1882">
        <v>166</v>
      </c>
      <c r="BB443" s="1882">
        <v>164</v>
      </c>
      <c r="BC443" s="1882">
        <v>171</v>
      </c>
      <c r="BD443" s="1882">
        <v>167</v>
      </c>
      <c r="BE443" s="1882">
        <v>163</v>
      </c>
      <c r="BF443" s="1882">
        <v>161</v>
      </c>
      <c r="BG443" s="1882">
        <v>159</v>
      </c>
      <c r="BH443" s="1882">
        <v>1.84</v>
      </c>
      <c r="BI443" s="1882"/>
      <c r="BJ443" s="1882"/>
      <c r="BK443" s="1882"/>
      <c r="BL443" s="1882">
        <v>0.92</v>
      </c>
      <c r="BM443" s="1882"/>
      <c r="BN443" s="1882">
        <v>1</v>
      </c>
      <c r="BO443" s="1882" t="s">
        <v>8512</v>
      </c>
      <c r="BP443" s="520">
        <v>180</v>
      </c>
      <c r="BQ443" s="693">
        <v>180</v>
      </c>
      <c r="BR443" s="1882" t="s">
        <v>2459</v>
      </c>
      <c r="BS443" s="1882" t="s">
        <v>8513</v>
      </c>
      <c r="BT443" s="1882">
        <v>0</v>
      </c>
      <c r="BU443" s="1882" t="s">
        <v>8380</v>
      </c>
      <c r="BV443" s="1882">
        <v>0</v>
      </c>
      <c r="BW443" s="1882">
        <v>175</v>
      </c>
      <c r="BX443" s="1882" t="s">
        <v>2459</v>
      </c>
      <c r="BY443" s="1882">
        <v>0</v>
      </c>
      <c r="BZ443" s="1882">
        <v>0</v>
      </c>
      <c r="CA443" s="1882" t="s">
        <v>8380</v>
      </c>
      <c r="CB443" s="1882">
        <v>0</v>
      </c>
      <c r="CC443" s="1882">
        <v>173</v>
      </c>
      <c r="CD443" s="1882" t="s">
        <v>2459</v>
      </c>
      <c r="CE443" s="1882">
        <v>0</v>
      </c>
      <c r="CF443" s="1882">
        <v>0</v>
      </c>
      <c r="CG443" s="1882">
        <v>0</v>
      </c>
      <c r="CH443" s="1882">
        <v>0</v>
      </c>
      <c r="CI443" s="1882">
        <v>170</v>
      </c>
      <c r="CJ443" s="1882" t="s">
        <v>2459</v>
      </c>
      <c r="CK443" s="1882">
        <v>0</v>
      </c>
      <c r="CL443" s="1882">
        <v>0</v>
      </c>
      <c r="CM443" s="1882">
        <v>0</v>
      </c>
      <c r="CN443" s="1882">
        <v>0</v>
      </c>
      <c r="CP443" s="1882" t="s">
        <v>11031</v>
      </c>
    </row>
    <row r="444" spans="1:94">
      <c r="A444" s="1882" t="s">
        <v>8359</v>
      </c>
      <c r="B444" s="1882" t="s">
        <v>11032</v>
      </c>
      <c r="C444" s="1882" t="s">
        <v>8352</v>
      </c>
      <c r="D444" s="1882" t="s">
        <v>1626</v>
      </c>
      <c r="E444" s="1882" t="s">
        <v>8503</v>
      </c>
      <c r="F444" s="1882" t="s">
        <v>11024</v>
      </c>
      <c r="G444" s="1882" t="s">
        <v>8299</v>
      </c>
      <c r="H444" s="1882" t="s">
        <v>11033</v>
      </c>
      <c r="I444" s="1882" t="s">
        <v>11034</v>
      </c>
      <c r="J444" s="1882" t="s">
        <v>8519</v>
      </c>
      <c r="K444" s="1882" t="s">
        <v>8509</v>
      </c>
      <c r="L444" s="1882"/>
      <c r="M444" s="1882"/>
      <c r="N444" s="1882" t="s">
        <v>4580</v>
      </c>
      <c r="O444" s="1882" t="s">
        <v>732</v>
      </c>
      <c r="P444" s="1882" t="s">
        <v>11035</v>
      </c>
      <c r="Q444" s="520">
        <v>0</v>
      </c>
      <c r="R444" s="1882" t="s">
        <v>8549</v>
      </c>
      <c r="S444" s="1882">
        <v>80</v>
      </c>
      <c r="T444" s="1882">
        <v>80</v>
      </c>
      <c r="U444" s="1882">
        <v>81</v>
      </c>
      <c r="V444" s="1882">
        <v>83</v>
      </c>
      <c r="W444" s="1882">
        <v>85</v>
      </c>
      <c r="X444" s="1882">
        <v>87</v>
      </c>
      <c r="Y444" s="1882"/>
      <c r="Z444" s="1882"/>
      <c r="AA444" s="1882"/>
      <c r="AB444" s="1882"/>
      <c r="AC444" s="1882"/>
      <c r="AD444" s="1882"/>
      <c r="AE444" s="1882" t="s">
        <v>2459</v>
      </c>
      <c r="AF444" s="1882"/>
      <c r="AG444" s="1882"/>
      <c r="AH444" s="1882">
        <v>0</v>
      </c>
      <c r="AI444" s="1882"/>
      <c r="AJ444" s="1882"/>
      <c r="AK444" s="1882"/>
      <c r="AL444" s="1882"/>
      <c r="AM444" s="1882" t="s">
        <v>2459</v>
      </c>
      <c r="AN444" s="1882"/>
      <c r="AO444" s="1882"/>
      <c r="AP444" s="1882"/>
      <c r="AQ444" s="1882"/>
      <c r="AR444" s="1882">
        <v>80</v>
      </c>
      <c r="AS444" s="1882"/>
      <c r="AT444" s="1882"/>
      <c r="AU444" s="1882"/>
      <c r="AV444" s="1882"/>
      <c r="AW444" s="1882">
        <v>85</v>
      </c>
      <c r="AX444" s="1882"/>
      <c r="AY444" s="1882"/>
      <c r="AZ444" s="1882"/>
      <c r="BA444" s="1882"/>
      <c r="BB444" s="1882"/>
      <c r="BC444" s="1882"/>
      <c r="BD444" s="1882"/>
      <c r="BE444" s="1882"/>
      <c r="BF444" s="1882"/>
      <c r="BG444" s="1882"/>
      <c r="BH444" s="1882">
        <v>3.1</v>
      </c>
      <c r="BI444" s="1882"/>
      <c r="BJ444" s="1882"/>
      <c r="BK444" s="1882"/>
      <c r="BL444" s="1882"/>
      <c r="BM444" s="1882"/>
      <c r="BN444" s="1882">
        <v>1</v>
      </c>
      <c r="BO444" s="1882" t="s">
        <v>8512</v>
      </c>
      <c r="BP444" s="520">
        <v>84</v>
      </c>
      <c r="BQ444" s="693">
        <v>87</v>
      </c>
      <c r="BR444" s="1882" t="s">
        <v>2459</v>
      </c>
      <c r="BS444" s="1882" t="s">
        <v>8513</v>
      </c>
      <c r="BT444" s="1882">
        <v>0</v>
      </c>
      <c r="BU444" s="1882" t="s">
        <v>8513</v>
      </c>
      <c r="BV444" s="1882">
        <v>0</v>
      </c>
      <c r="BW444" s="1882">
        <v>89.5</v>
      </c>
      <c r="BX444" s="1882" t="s">
        <v>2459</v>
      </c>
      <c r="BY444" s="1882">
        <v>0</v>
      </c>
      <c r="BZ444" s="1882">
        <v>0</v>
      </c>
      <c r="CA444" s="1882">
        <v>0</v>
      </c>
      <c r="CB444" s="1882">
        <v>0</v>
      </c>
      <c r="CC444" s="1882">
        <v>90</v>
      </c>
      <c r="CD444" s="1882" t="s">
        <v>2459</v>
      </c>
      <c r="CE444" s="1882">
        <v>0</v>
      </c>
      <c r="CF444" s="1882">
        <v>0</v>
      </c>
      <c r="CG444" s="1882">
        <v>0</v>
      </c>
      <c r="CH444" s="1882">
        <v>0</v>
      </c>
      <c r="CI444" s="1882">
        <v>90</v>
      </c>
      <c r="CJ444" s="1882" t="s">
        <v>2459</v>
      </c>
      <c r="CK444" s="1882">
        <v>0</v>
      </c>
      <c r="CL444" s="1882">
        <v>0</v>
      </c>
      <c r="CM444" s="1882">
        <v>0</v>
      </c>
      <c r="CN444" s="1882">
        <v>0</v>
      </c>
      <c r="CP444" s="1882" t="s">
        <v>11036</v>
      </c>
    </row>
    <row r="445" spans="1:94">
      <c r="A445" s="1882" t="s">
        <v>8359</v>
      </c>
      <c r="B445" s="1882" t="s">
        <v>11037</v>
      </c>
      <c r="C445" s="1882" t="s">
        <v>8352</v>
      </c>
      <c r="D445" s="1882" t="s">
        <v>1627</v>
      </c>
      <c r="E445" s="1882" t="s">
        <v>8720</v>
      </c>
      <c r="F445" s="1882" t="s">
        <v>10991</v>
      </c>
      <c r="G445" s="1882" t="s">
        <v>7237</v>
      </c>
      <c r="H445" s="1882" t="s">
        <v>11038</v>
      </c>
      <c r="I445" s="1882" t="s">
        <v>11039</v>
      </c>
      <c r="J445" s="1882" t="s">
        <v>8539</v>
      </c>
      <c r="K445" s="1882"/>
      <c r="L445" s="1882"/>
      <c r="M445" s="1882"/>
      <c r="N445" s="1882" t="s">
        <v>8673</v>
      </c>
      <c r="O445" s="1882" t="s">
        <v>732</v>
      </c>
      <c r="P445" s="1882" t="s">
        <v>11040</v>
      </c>
      <c r="Q445" s="520">
        <v>1</v>
      </c>
      <c r="R445" s="1882" t="s">
        <v>8549</v>
      </c>
      <c r="S445" s="1882">
        <v>97.1</v>
      </c>
      <c r="T445" s="1882">
        <v>100</v>
      </c>
      <c r="U445" s="1882">
        <v>100</v>
      </c>
      <c r="V445" s="1882">
        <v>100</v>
      </c>
      <c r="W445" s="1882">
        <v>100</v>
      </c>
      <c r="X445" s="1882">
        <v>100</v>
      </c>
      <c r="Y445" s="1882"/>
      <c r="Z445" s="1882"/>
      <c r="AA445" s="1882"/>
      <c r="AB445" s="1882"/>
      <c r="AC445" s="1882"/>
      <c r="AD445" s="1882"/>
      <c r="AE445" s="1882"/>
      <c r="AF445" s="1882"/>
      <c r="AG445" s="1882"/>
      <c r="AH445" s="1882">
        <v>0</v>
      </c>
      <c r="AI445" s="1882"/>
      <c r="AJ445" s="1882"/>
      <c r="AK445" s="1882"/>
      <c r="AL445" s="1882"/>
      <c r="AM445" s="1882"/>
      <c r="AN445" s="1882"/>
      <c r="AO445" s="1882"/>
      <c r="AP445" s="1882"/>
      <c r="AQ445" s="1882"/>
      <c r="AR445" s="1882"/>
      <c r="AS445" s="1882"/>
      <c r="AT445" s="1882"/>
      <c r="AU445" s="1882"/>
      <c r="AV445" s="1882"/>
      <c r="AW445" s="1882"/>
      <c r="AX445" s="1882"/>
      <c r="AY445" s="1882"/>
      <c r="AZ445" s="1882"/>
      <c r="BA445" s="1882"/>
      <c r="BB445" s="1882"/>
      <c r="BC445" s="1882"/>
      <c r="BD445" s="1882"/>
      <c r="BE445" s="1882"/>
      <c r="BF445" s="1882"/>
      <c r="BG445" s="1882"/>
      <c r="BH445" s="1882"/>
      <c r="BI445" s="1882"/>
      <c r="BJ445" s="1882"/>
      <c r="BK445" s="1882"/>
      <c r="BL445" s="1882"/>
      <c r="BM445" s="1882"/>
      <c r="BN445" s="1882"/>
      <c r="BO445" s="1882"/>
      <c r="BP445" s="520">
        <v>99.1</v>
      </c>
      <c r="BQ445" s="690">
        <v>98.6</v>
      </c>
      <c r="BR445" s="1882" t="s">
        <v>2460</v>
      </c>
      <c r="BS445" s="1882" t="s">
        <v>8513</v>
      </c>
      <c r="BT445" s="1882">
        <v>0</v>
      </c>
      <c r="BU445" s="1882" t="s">
        <v>8513</v>
      </c>
      <c r="BV445" s="1882">
        <v>0</v>
      </c>
      <c r="BW445" s="1882">
        <v>99.47</v>
      </c>
      <c r="BX445" s="1882" t="s">
        <v>2460</v>
      </c>
      <c r="BY445" s="1882">
        <v>0</v>
      </c>
      <c r="BZ445" s="1882">
        <v>0</v>
      </c>
      <c r="CA445" s="1882">
        <v>0</v>
      </c>
      <c r="CB445" s="1882">
        <v>0</v>
      </c>
      <c r="CC445" s="1882">
        <v>98.21</v>
      </c>
      <c r="CD445" s="1882" t="s">
        <v>2460</v>
      </c>
      <c r="CE445" s="1882">
        <v>0</v>
      </c>
      <c r="CF445" s="1882">
        <v>0</v>
      </c>
      <c r="CG445" s="1882">
        <v>0</v>
      </c>
      <c r="CH445" s="1882">
        <v>0</v>
      </c>
      <c r="CI445" s="1882">
        <v>99.6</v>
      </c>
      <c r="CJ445" s="1882" t="s">
        <v>2460</v>
      </c>
      <c r="CK445" s="1882">
        <v>0</v>
      </c>
      <c r="CL445" s="1882">
        <v>0</v>
      </c>
      <c r="CM445" s="1882">
        <v>0</v>
      </c>
      <c r="CN445" s="1882">
        <v>0</v>
      </c>
      <c r="CP445" s="1882" t="s">
        <v>11041</v>
      </c>
    </row>
    <row r="446" spans="1:94">
      <c r="A446" s="1882" t="s">
        <v>8359</v>
      </c>
      <c r="B446" s="1882" t="s">
        <v>11042</v>
      </c>
      <c r="C446" s="1882" t="s">
        <v>8352</v>
      </c>
      <c r="D446" s="1882" t="s">
        <v>1627</v>
      </c>
      <c r="E446" s="1882" t="s">
        <v>8720</v>
      </c>
      <c r="F446" s="1882" t="s">
        <v>10991</v>
      </c>
      <c r="G446" s="1882" t="s">
        <v>8250</v>
      </c>
      <c r="H446" s="1882" t="s">
        <v>11043</v>
      </c>
      <c r="I446" s="1882" t="s">
        <v>11044</v>
      </c>
      <c r="J446" s="1882" t="s">
        <v>8508</v>
      </c>
      <c r="K446" s="1882" t="s">
        <v>8509</v>
      </c>
      <c r="L446" s="1882"/>
      <c r="M446" s="1882"/>
      <c r="N446" s="1882" t="s">
        <v>8760</v>
      </c>
      <c r="O446" s="1882" t="s">
        <v>764</v>
      </c>
      <c r="P446" s="1882" t="s">
        <v>8761</v>
      </c>
      <c r="Q446" s="520">
        <v>0</v>
      </c>
      <c r="R446" s="1882" t="s">
        <v>8511</v>
      </c>
      <c r="S446" s="1882">
        <v>224</v>
      </c>
      <c r="T446" s="1882">
        <v>161</v>
      </c>
      <c r="U446" s="1882">
        <v>154</v>
      </c>
      <c r="V446" s="1882">
        <v>131</v>
      </c>
      <c r="W446" s="1882">
        <v>131</v>
      </c>
      <c r="X446" s="1882">
        <v>131</v>
      </c>
      <c r="Y446" s="1882"/>
      <c r="Z446" s="1882"/>
      <c r="AA446" s="1882"/>
      <c r="AB446" s="1882" t="s">
        <v>2459</v>
      </c>
      <c r="AC446" s="1882"/>
      <c r="AD446" s="1882"/>
      <c r="AE446" s="1882" t="s">
        <v>2459</v>
      </c>
      <c r="AF446" s="1882"/>
      <c r="AG446" s="1882"/>
      <c r="AH446" s="1882">
        <v>0</v>
      </c>
      <c r="AI446" s="1882" t="s">
        <v>2459</v>
      </c>
      <c r="AJ446" s="1882" t="s">
        <v>2459</v>
      </c>
      <c r="AK446" s="1882" t="s">
        <v>2459</v>
      </c>
      <c r="AL446" s="1882" t="s">
        <v>2459</v>
      </c>
      <c r="AM446" s="1882" t="s">
        <v>2459</v>
      </c>
      <c r="AN446" s="1882">
        <v>249</v>
      </c>
      <c r="AO446" s="1882">
        <v>249</v>
      </c>
      <c r="AP446" s="1882">
        <v>156</v>
      </c>
      <c r="AQ446" s="1882">
        <v>156</v>
      </c>
      <c r="AR446" s="1882">
        <v>156</v>
      </c>
      <c r="AS446" s="1882">
        <v>224</v>
      </c>
      <c r="AT446" s="1882">
        <v>224</v>
      </c>
      <c r="AU446" s="1882">
        <v>131</v>
      </c>
      <c r="AV446" s="1882">
        <v>131</v>
      </c>
      <c r="AW446" s="1882">
        <v>131</v>
      </c>
      <c r="AX446" s="1882">
        <v>131</v>
      </c>
      <c r="AY446" s="1882">
        <v>131</v>
      </c>
      <c r="AZ446" s="1882">
        <v>131</v>
      </c>
      <c r="BA446" s="1882">
        <v>131</v>
      </c>
      <c r="BB446" s="1882">
        <v>131</v>
      </c>
      <c r="BC446" s="1882">
        <v>106</v>
      </c>
      <c r="BD446" s="1882">
        <v>106</v>
      </c>
      <c r="BE446" s="1882">
        <v>106</v>
      </c>
      <c r="BF446" s="1882">
        <v>106</v>
      </c>
      <c r="BG446" s="1882">
        <v>106</v>
      </c>
      <c r="BH446" s="1882">
        <v>0.4</v>
      </c>
      <c r="BI446" s="1882"/>
      <c r="BJ446" s="1882"/>
      <c r="BK446" s="1882"/>
      <c r="BL446" s="1882">
        <v>4.7E-2</v>
      </c>
      <c r="BM446" s="1882"/>
      <c r="BN446" s="1882">
        <v>1</v>
      </c>
      <c r="BO446" s="1882" t="s">
        <v>8512</v>
      </c>
      <c r="BP446" s="520">
        <v>117</v>
      </c>
      <c r="BQ446" s="693">
        <v>110</v>
      </c>
      <c r="BR446" s="1882" t="s">
        <v>2459</v>
      </c>
      <c r="BS446" s="1882" t="s">
        <v>8513</v>
      </c>
      <c r="BT446" s="1882">
        <v>0</v>
      </c>
      <c r="BU446" s="1882" t="s">
        <v>8376</v>
      </c>
      <c r="BV446" s="1882">
        <v>0.98699999999999999</v>
      </c>
      <c r="BW446" s="1882">
        <v>111</v>
      </c>
      <c r="BX446" s="1882" t="s">
        <v>2459</v>
      </c>
      <c r="BY446" s="1882">
        <v>0</v>
      </c>
      <c r="BZ446" s="1882">
        <v>0</v>
      </c>
      <c r="CA446" s="1882" t="s">
        <v>8376</v>
      </c>
      <c r="CB446" s="1882">
        <v>0.94</v>
      </c>
      <c r="CC446" s="1882">
        <v>112</v>
      </c>
      <c r="CD446" s="1882" t="s">
        <v>2459</v>
      </c>
      <c r="CE446" s="1882">
        <v>0</v>
      </c>
      <c r="CF446" s="1882">
        <v>0</v>
      </c>
      <c r="CG446" s="1882" t="s">
        <v>8376</v>
      </c>
      <c r="CH446" s="1882">
        <v>0.89300000000000002</v>
      </c>
      <c r="CI446" s="1882">
        <v>118</v>
      </c>
      <c r="CJ446" s="1882" t="s">
        <v>2459</v>
      </c>
      <c r="CK446" s="1882">
        <v>0</v>
      </c>
      <c r="CL446" s="1882">
        <v>0</v>
      </c>
      <c r="CM446" s="1882" t="s">
        <v>8376</v>
      </c>
      <c r="CN446" s="1882">
        <v>0.61099999999999999</v>
      </c>
      <c r="CP446" s="1882" t="s">
        <v>11045</v>
      </c>
    </row>
    <row r="447" spans="1:94">
      <c r="A447" s="1882" t="s">
        <v>8359</v>
      </c>
      <c r="B447" s="1882" t="s">
        <v>11046</v>
      </c>
      <c r="C447" s="1882" t="s">
        <v>8352</v>
      </c>
      <c r="D447" s="1882" t="s">
        <v>1627</v>
      </c>
      <c r="E447" s="1882" t="s">
        <v>8720</v>
      </c>
      <c r="F447" s="1882" t="s">
        <v>10997</v>
      </c>
      <c r="G447" s="1882" t="s">
        <v>8254</v>
      </c>
      <c r="H447" s="1882" t="s">
        <v>11047</v>
      </c>
      <c r="I447" s="1882" t="s">
        <v>11048</v>
      </c>
      <c r="J447" s="1882" t="s">
        <v>8519</v>
      </c>
      <c r="K447" s="1882" t="s">
        <v>8509</v>
      </c>
      <c r="L447" s="1882"/>
      <c r="M447" s="1882"/>
      <c r="N447" s="1882" t="s">
        <v>8737</v>
      </c>
      <c r="O447" s="1882" t="s">
        <v>764</v>
      </c>
      <c r="P447" s="1882" t="s">
        <v>11049</v>
      </c>
      <c r="Q447" s="520">
        <v>0</v>
      </c>
      <c r="R447" s="1882" t="s">
        <v>8549</v>
      </c>
      <c r="S447" s="1882">
        <v>1000</v>
      </c>
      <c r="T447" s="1882">
        <v>1000</v>
      </c>
      <c r="U447" s="1882">
        <v>1000</v>
      </c>
      <c r="V447" s="1882">
        <v>15000</v>
      </c>
      <c r="W447" s="1882">
        <v>20000</v>
      </c>
      <c r="X447" s="1882">
        <v>25000</v>
      </c>
      <c r="Y447" s="1882"/>
      <c r="Z447" s="1882"/>
      <c r="AA447" s="1882"/>
      <c r="AB447" s="1882"/>
      <c r="AC447" s="1882"/>
      <c r="AD447" s="1882"/>
      <c r="AE447" s="1882"/>
      <c r="AF447" s="1882"/>
      <c r="AG447" s="1882"/>
      <c r="AH447" s="1882">
        <v>0</v>
      </c>
      <c r="AI447" s="1882" t="s">
        <v>2459</v>
      </c>
      <c r="AJ447" s="1882" t="s">
        <v>2459</v>
      </c>
      <c r="AK447" s="1882" t="s">
        <v>2459</v>
      </c>
      <c r="AL447" s="1882" t="s">
        <v>2459</v>
      </c>
      <c r="AM447" s="1882" t="s">
        <v>2459</v>
      </c>
      <c r="AN447" s="1882">
        <v>1000</v>
      </c>
      <c r="AO447" s="1882">
        <v>1000</v>
      </c>
      <c r="AP447" s="1882">
        <v>1000</v>
      </c>
      <c r="AQ447" s="1882">
        <v>1000</v>
      </c>
      <c r="AR447" s="1882">
        <v>1000</v>
      </c>
      <c r="AS447" s="1882">
        <v>1000</v>
      </c>
      <c r="AT447" s="1882">
        <v>1000</v>
      </c>
      <c r="AU447" s="1882">
        <v>8000</v>
      </c>
      <c r="AV447" s="1882">
        <v>10500</v>
      </c>
      <c r="AW447" s="1882">
        <v>13000</v>
      </c>
      <c r="AX447" s="1882"/>
      <c r="AY447" s="1882"/>
      <c r="AZ447" s="1882"/>
      <c r="BA447" s="1882"/>
      <c r="BB447" s="1882"/>
      <c r="BC447" s="1882"/>
      <c r="BD447" s="1882"/>
      <c r="BE447" s="1882"/>
      <c r="BF447" s="1882"/>
      <c r="BG447" s="1882"/>
      <c r="BH447" s="1882">
        <v>2.0000000000000001E-4</v>
      </c>
      <c r="BI447" s="1882"/>
      <c r="BJ447" s="1882"/>
      <c r="BK447" s="1882"/>
      <c r="BL447" s="1882"/>
      <c r="BM447" s="1882"/>
      <c r="BN447" s="1882">
        <v>1</v>
      </c>
      <c r="BO447" s="1882" t="s">
        <v>8512</v>
      </c>
      <c r="BP447" s="520">
        <v>1247</v>
      </c>
      <c r="BQ447" s="693">
        <v>1531</v>
      </c>
      <c r="BR447" s="1882" t="s">
        <v>2459</v>
      </c>
      <c r="BS447" s="1882" t="s">
        <v>8513</v>
      </c>
      <c r="BT447" s="1882">
        <v>0</v>
      </c>
      <c r="BU447" s="1882" t="s">
        <v>8513</v>
      </c>
      <c r="BV447" s="1882">
        <v>0</v>
      </c>
      <c r="BW447" s="1882">
        <v>13661</v>
      </c>
      <c r="BX447" s="1882" t="s">
        <v>2459</v>
      </c>
      <c r="BY447" s="1882">
        <v>0</v>
      </c>
      <c r="BZ447" s="1882">
        <v>0</v>
      </c>
      <c r="CA447" s="1882">
        <v>0</v>
      </c>
      <c r="CB447" s="1882">
        <v>0</v>
      </c>
      <c r="CC447" s="1882">
        <v>15097</v>
      </c>
      <c r="CD447" s="1882" t="s">
        <v>2459</v>
      </c>
      <c r="CE447" s="1882">
        <v>0</v>
      </c>
      <c r="CF447" s="1882">
        <v>0</v>
      </c>
      <c r="CG447" s="1882">
        <v>0</v>
      </c>
      <c r="CH447" s="1882">
        <v>0</v>
      </c>
      <c r="CI447" s="1882">
        <v>15967</v>
      </c>
      <c r="CJ447" s="1882" t="s">
        <v>2460</v>
      </c>
      <c r="CK447" s="1882">
        <v>0</v>
      </c>
      <c r="CL447" s="1882">
        <v>0</v>
      </c>
      <c r="CM447" s="1882" t="s">
        <v>8388</v>
      </c>
      <c r="CN447" s="1882">
        <v>0</v>
      </c>
      <c r="CP447" s="1882" t="s">
        <v>11050</v>
      </c>
    </row>
    <row r="448" spans="1:94">
      <c r="A448" s="1882" t="s">
        <v>8359</v>
      </c>
      <c r="B448" s="1882" t="s">
        <v>11051</v>
      </c>
      <c r="C448" s="1882" t="s">
        <v>8352</v>
      </c>
      <c r="D448" s="1882" t="s">
        <v>1627</v>
      </c>
      <c r="E448" s="1882" t="s">
        <v>8720</v>
      </c>
      <c r="F448" s="1882" t="s">
        <v>10997</v>
      </c>
      <c r="G448" s="1882" t="s">
        <v>8257</v>
      </c>
      <c r="H448" s="1882" t="s">
        <v>11052</v>
      </c>
      <c r="I448" s="1882" t="s">
        <v>10999</v>
      </c>
      <c r="J448" s="1882" t="s">
        <v>8539</v>
      </c>
      <c r="K448" s="1882"/>
      <c r="L448" s="1882"/>
      <c r="M448" s="1882"/>
      <c r="N448" s="1882" t="s">
        <v>8681</v>
      </c>
      <c r="O448" s="1882" t="s">
        <v>764</v>
      </c>
      <c r="P448" s="1882" t="s">
        <v>10606</v>
      </c>
      <c r="Q448" s="520">
        <v>2</v>
      </c>
      <c r="R448" s="1882" t="s">
        <v>8549</v>
      </c>
      <c r="S448" s="1882">
        <v>32.89</v>
      </c>
      <c r="T448" s="1882">
        <v>32.89</v>
      </c>
      <c r="U448" s="1882">
        <v>45.22</v>
      </c>
      <c r="V448" s="1882">
        <v>57.55</v>
      </c>
      <c r="W448" s="1882">
        <v>69.89</v>
      </c>
      <c r="X448" s="1882">
        <v>82.22</v>
      </c>
      <c r="Y448" s="1882"/>
      <c r="Z448" s="1882"/>
      <c r="AA448" s="1882"/>
      <c r="AB448" s="1882"/>
      <c r="AC448" s="1882"/>
      <c r="AD448" s="1882"/>
      <c r="AE448" s="1882"/>
      <c r="AF448" s="1882"/>
      <c r="AG448" s="1882"/>
      <c r="AH448" s="1882">
        <v>0</v>
      </c>
      <c r="AI448" s="1882"/>
      <c r="AJ448" s="1882"/>
      <c r="AK448" s="1882"/>
      <c r="AL448" s="1882"/>
      <c r="AM448" s="1882"/>
      <c r="AN448" s="1882"/>
      <c r="AO448" s="1882"/>
      <c r="AP448" s="1882"/>
      <c r="AQ448" s="1882"/>
      <c r="AR448" s="1882"/>
      <c r="AS448" s="1882"/>
      <c r="AT448" s="1882"/>
      <c r="AU448" s="1882"/>
      <c r="AV448" s="1882"/>
      <c r="AW448" s="1882"/>
      <c r="AX448" s="1882"/>
      <c r="AY448" s="1882"/>
      <c r="AZ448" s="1882"/>
      <c r="BA448" s="1882"/>
      <c r="BB448" s="1882"/>
      <c r="BC448" s="1882"/>
      <c r="BD448" s="1882"/>
      <c r="BE448" s="1882"/>
      <c r="BF448" s="1882"/>
      <c r="BG448" s="1882"/>
      <c r="BH448" s="1882"/>
      <c r="BI448" s="1882"/>
      <c r="BJ448" s="1882"/>
      <c r="BK448" s="1882"/>
      <c r="BL448" s="1882"/>
      <c r="BM448" s="1882"/>
      <c r="BN448" s="1882"/>
      <c r="BO448" s="1882"/>
      <c r="BP448" s="520">
        <v>45.8</v>
      </c>
      <c r="BQ448" s="694">
        <v>47.16</v>
      </c>
      <c r="BR448" s="1882" t="s">
        <v>2459</v>
      </c>
      <c r="BS448" s="1882" t="s">
        <v>8513</v>
      </c>
      <c r="BT448" s="1882">
        <v>0</v>
      </c>
      <c r="BU448" s="1882" t="s">
        <v>8513</v>
      </c>
      <c r="BV448" s="1882">
        <v>0</v>
      </c>
      <c r="BW448" s="1882">
        <v>49.01</v>
      </c>
      <c r="BX448" s="1882" t="s">
        <v>2459</v>
      </c>
      <c r="BY448" s="1882">
        <v>0</v>
      </c>
      <c r="BZ448" s="1882">
        <v>0</v>
      </c>
      <c r="CA448" s="1882">
        <v>0</v>
      </c>
      <c r="CB448" s="1882">
        <v>0</v>
      </c>
      <c r="CC448" s="1882">
        <v>55.51</v>
      </c>
      <c r="CD448" s="1882" t="s">
        <v>2460</v>
      </c>
      <c r="CE448" s="1882">
        <v>0</v>
      </c>
      <c r="CF448" s="1882">
        <v>0</v>
      </c>
      <c r="CG448" s="1882">
        <v>0</v>
      </c>
      <c r="CH448" s="1882">
        <v>0</v>
      </c>
      <c r="CI448" s="1882">
        <v>52.43</v>
      </c>
      <c r="CJ448" s="1882" t="s">
        <v>2460</v>
      </c>
      <c r="CK448" s="1882">
        <v>0</v>
      </c>
      <c r="CL448" s="1882">
        <v>0</v>
      </c>
      <c r="CM448" s="1882">
        <v>0</v>
      </c>
      <c r="CN448" s="1882">
        <v>0</v>
      </c>
      <c r="CP448" s="1882" t="s">
        <v>11000</v>
      </c>
    </row>
    <row r="449" spans="1:94">
      <c r="A449" s="1882" t="s">
        <v>8359</v>
      </c>
      <c r="B449" s="1882" t="s">
        <v>11053</v>
      </c>
      <c r="C449" s="1882" t="s">
        <v>8352</v>
      </c>
      <c r="D449" s="1882" t="s">
        <v>1627</v>
      </c>
      <c r="E449" s="1882" t="s">
        <v>8720</v>
      </c>
      <c r="F449" s="1882" t="s">
        <v>11054</v>
      </c>
      <c r="G449" s="1882" t="s">
        <v>8261</v>
      </c>
      <c r="H449" s="1882" t="s">
        <v>11055</v>
      </c>
      <c r="I449" s="1882" t="s">
        <v>11004</v>
      </c>
      <c r="J449" s="1882" t="s">
        <v>8508</v>
      </c>
      <c r="K449" s="1882" t="s">
        <v>8509</v>
      </c>
      <c r="L449" s="1882"/>
      <c r="M449" s="1882" t="s">
        <v>2460</v>
      </c>
      <c r="N449" s="1882" t="s">
        <v>8590</v>
      </c>
      <c r="O449" s="1882" t="s">
        <v>8797</v>
      </c>
      <c r="P449" s="1882" t="s">
        <v>8951</v>
      </c>
      <c r="Q449" s="520" t="s">
        <v>8512</v>
      </c>
      <c r="R449" s="1882" t="s">
        <v>8549</v>
      </c>
      <c r="S449" s="1882" t="s">
        <v>10265</v>
      </c>
      <c r="T449" s="1882" t="s">
        <v>9441</v>
      </c>
      <c r="U449" s="1882" t="s">
        <v>9441</v>
      </c>
      <c r="V449" s="1882" t="s">
        <v>9441</v>
      </c>
      <c r="W449" s="1882" t="s">
        <v>9441</v>
      </c>
      <c r="X449" s="1882" t="s">
        <v>9441</v>
      </c>
      <c r="Y449" s="1882"/>
      <c r="Z449" s="1882"/>
      <c r="AA449" s="1882"/>
      <c r="AB449" s="1882"/>
      <c r="AC449" s="1882"/>
      <c r="AD449" s="1882"/>
      <c r="AE449" s="1882"/>
      <c r="AF449" s="1882"/>
      <c r="AG449" s="1882"/>
      <c r="AH449" s="1882">
        <v>0</v>
      </c>
      <c r="AI449" s="1882" t="s">
        <v>2459</v>
      </c>
      <c r="AJ449" s="1882" t="s">
        <v>2459</v>
      </c>
      <c r="AK449" s="1882" t="s">
        <v>2459</v>
      </c>
      <c r="AL449" s="1882" t="s">
        <v>2459</v>
      </c>
      <c r="AM449" s="1882" t="s">
        <v>2459</v>
      </c>
      <c r="AN449" s="1882" t="s">
        <v>8593</v>
      </c>
      <c r="AO449" s="1882" t="s">
        <v>8593</v>
      </c>
      <c r="AP449" s="1882" t="s">
        <v>8593</v>
      </c>
      <c r="AQ449" s="1882" t="s">
        <v>8593</v>
      </c>
      <c r="AR449" s="1882" t="s">
        <v>8593</v>
      </c>
      <c r="AS449" s="1882" t="s">
        <v>8593</v>
      </c>
      <c r="AT449" s="1882" t="s">
        <v>8593</v>
      </c>
      <c r="AU449" s="1882" t="s">
        <v>8593</v>
      </c>
      <c r="AV449" s="1882" t="s">
        <v>8593</v>
      </c>
      <c r="AW449" s="1882" t="s">
        <v>8593</v>
      </c>
      <c r="AX449" s="1882" t="s">
        <v>8593</v>
      </c>
      <c r="AY449" s="1882" t="s">
        <v>8593</v>
      </c>
      <c r="AZ449" s="1882" t="s">
        <v>8593</v>
      </c>
      <c r="BA449" s="1882" t="s">
        <v>8593</v>
      </c>
      <c r="BB449" s="1882" t="s">
        <v>8593</v>
      </c>
      <c r="BC449" s="1882" t="s">
        <v>8593</v>
      </c>
      <c r="BD449" s="1882" t="s">
        <v>8593</v>
      </c>
      <c r="BE449" s="1882" t="s">
        <v>8593</v>
      </c>
      <c r="BF449" s="1882" t="s">
        <v>8593</v>
      </c>
      <c r="BG449" s="1882" t="s">
        <v>8593</v>
      </c>
      <c r="BH449" s="1882" t="s">
        <v>8593</v>
      </c>
      <c r="BI449" s="1882"/>
      <c r="BJ449" s="1882"/>
      <c r="BK449" s="1882"/>
      <c r="BL449" s="1882" t="s">
        <v>8593</v>
      </c>
      <c r="BM449" s="1882"/>
      <c r="BN449" s="1882">
        <v>1</v>
      </c>
      <c r="BO449" s="1882" t="s">
        <v>8512</v>
      </c>
      <c r="BQ449" s="692">
        <v>83</v>
      </c>
      <c r="BR449" s="1882" t="s">
        <v>2460</v>
      </c>
      <c r="BS449" s="1882" t="s">
        <v>8513</v>
      </c>
      <c r="BT449" s="1882">
        <v>0</v>
      </c>
      <c r="BU449" s="1882" t="s">
        <v>8513</v>
      </c>
      <c r="BV449" s="1882">
        <v>0</v>
      </c>
      <c r="BW449" s="1882">
        <v>82.86</v>
      </c>
      <c r="BX449" s="1882" t="s">
        <v>2460</v>
      </c>
      <c r="BY449" s="1882">
        <v>0</v>
      </c>
      <c r="BZ449" s="1882">
        <v>0</v>
      </c>
      <c r="CA449" s="1882">
        <v>0</v>
      </c>
      <c r="CB449" s="1882">
        <v>0</v>
      </c>
      <c r="CC449" s="1882">
        <v>84.64</v>
      </c>
      <c r="CD449" s="1882" t="s">
        <v>2451</v>
      </c>
      <c r="CE449" s="1882">
        <v>0</v>
      </c>
      <c r="CF449" s="1882">
        <v>0</v>
      </c>
      <c r="CG449" s="1882">
        <v>0</v>
      </c>
      <c r="CH449" s="1882">
        <v>0</v>
      </c>
      <c r="CI449" s="1882">
        <v>86.88</v>
      </c>
      <c r="CJ449" s="1882" t="s">
        <v>2451</v>
      </c>
      <c r="CK449" s="1882">
        <v>0</v>
      </c>
      <c r="CL449" s="1882">
        <v>0</v>
      </c>
      <c r="CM449" s="1882">
        <v>0</v>
      </c>
      <c r="CN449" s="1882">
        <v>0</v>
      </c>
      <c r="CP449" s="1882" t="s">
        <v>11005</v>
      </c>
    </row>
    <row r="450" spans="1:94">
      <c r="A450" s="1882" t="s">
        <v>8359</v>
      </c>
      <c r="B450" s="1882" t="s">
        <v>11056</v>
      </c>
      <c r="C450" s="1882" t="s">
        <v>8352</v>
      </c>
      <c r="D450" s="1882" t="s">
        <v>1627</v>
      </c>
      <c r="E450" s="1882" t="s">
        <v>8720</v>
      </c>
      <c r="F450" s="1882" t="s">
        <v>11054</v>
      </c>
      <c r="G450" s="1882" t="s">
        <v>8264</v>
      </c>
      <c r="H450" s="1882" t="s">
        <v>11057</v>
      </c>
      <c r="I450" s="1882" t="s">
        <v>11008</v>
      </c>
      <c r="J450" s="1882" t="s">
        <v>8539</v>
      </c>
      <c r="K450" s="1882"/>
      <c r="L450" s="1882"/>
      <c r="M450" s="1882"/>
      <c r="N450" s="1882" t="s">
        <v>8695</v>
      </c>
      <c r="O450" s="1882" t="s">
        <v>764</v>
      </c>
      <c r="P450" s="1882" t="s">
        <v>11009</v>
      </c>
      <c r="Q450" s="520">
        <v>0</v>
      </c>
      <c r="R450" s="1882" t="s">
        <v>8511</v>
      </c>
      <c r="S450" s="1882">
        <v>850</v>
      </c>
      <c r="T450" s="1882">
        <v>850</v>
      </c>
      <c r="U450" s="1882">
        <v>750</v>
      </c>
      <c r="V450" s="1882">
        <v>650</v>
      </c>
      <c r="W450" s="1882">
        <v>550</v>
      </c>
      <c r="X450" s="1882">
        <v>425</v>
      </c>
      <c r="Y450" s="1882"/>
      <c r="Z450" s="1882"/>
      <c r="AA450" s="1882"/>
      <c r="AB450" s="1882"/>
      <c r="AC450" s="1882"/>
      <c r="AD450" s="1882"/>
      <c r="AE450" s="1882"/>
      <c r="AF450" s="1882"/>
      <c r="AG450" s="1882"/>
      <c r="AH450" s="1882">
        <v>0</v>
      </c>
      <c r="AI450" s="1882"/>
      <c r="AJ450" s="1882"/>
      <c r="AK450" s="1882"/>
      <c r="AL450" s="1882"/>
      <c r="AM450" s="1882"/>
      <c r="AN450" s="1882"/>
      <c r="AO450" s="1882"/>
      <c r="AP450" s="1882"/>
      <c r="AQ450" s="1882"/>
      <c r="AR450" s="1882"/>
      <c r="AS450" s="1882"/>
      <c r="AT450" s="1882"/>
      <c r="AU450" s="1882"/>
      <c r="AV450" s="1882"/>
      <c r="AW450" s="1882"/>
      <c r="AX450" s="1882"/>
      <c r="AY450" s="1882"/>
      <c r="AZ450" s="1882"/>
      <c r="BA450" s="1882"/>
      <c r="BB450" s="1882"/>
      <c r="BC450" s="1882"/>
      <c r="BD450" s="1882"/>
      <c r="BE450" s="1882"/>
      <c r="BF450" s="1882"/>
      <c r="BG450" s="1882"/>
      <c r="BH450" s="1882"/>
      <c r="BI450" s="1882"/>
      <c r="BJ450" s="1882"/>
      <c r="BK450" s="1882"/>
      <c r="BL450" s="1882"/>
      <c r="BM450" s="1882"/>
      <c r="BN450" s="1882"/>
      <c r="BO450" s="1882"/>
      <c r="BP450" s="520">
        <v>702</v>
      </c>
      <c r="BQ450" s="693">
        <v>648</v>
      </c>
      <c r="BR450" s="1882" t="s">
        <v>2459</v>
      </c>
      <c r="BS450" s="1882" t="s">
        <v>8513</v>
      </c>
      <c r="BT450" s="1882">
        <v>0</v>
      </c>
      <c r="BU450" s="1882" t="s">
        <v>8513</v>
      </c>
      <c r="BV450" s="1882">
        <v>0</v>
      </c>
      <c r="BW450" s="1882">
        <v>575</v>
      </c>
      <c r="BX450" s="1882" t="s">
        <v>2459</v>
      </c>
      <c r="BY450" s="1882">
        <v>0</v>
      </c>
      <c r="BZ450" s="1882">
        <v>0</v>
      </c>
      <c r="CA450" s="1882">
        <v>0</v>
      </c>
      <c r="CB450" s="1882">
        <v>0</v>
      </c>
      <c r="CC450" s="1882">
        <v>613</v>
      </c>
      <c r="CD450" s="1882" t="s">
        <v>2459</v>
      </c>
      <c r="CE450" s="1882">
        <v>0</v>
      </c>
      <c r="CF450" s="1882">
        <v>0</v>
      </c>
      <c r="CG450" s="1882">
        <v>0</v>
      </c>
      <c r="CH450" s="1882">
        <v>0</v>
      </c>
      <c r="CI450" s="1882">
        <v>641</v>
      </c>
      <c r="CJ450" s="1882" t="s">
        <v>2460</v>
      </c>
      <c r="CK450" s="1882">
        <v>0</v>
      </c>
      <c r="CL450" s="1882">
        <v>0</v>
      </c>
      <c r="CM450" s="1882">
        <v>0</v>
      </c>
      <c r="CN450" s="1882">
        <v>0</v>
      </c>
      <c r="CP450" s="1882" t="s">
        <v>11010</v>
      </c>
    </row>
    <row r="451" spans="1:94">
      <c r="A451" s="1882" t="s">
        <v>8359</v>
      </c>
      <c r="B451" s="1882" t="s">
        <v>11058</v>
      </c>
      <c r="C451" s="1882" t="s">
        <v>8352</v>
      </c>
      <c r="D451" s="1882" t="s">
        <v>1627</v>
      </c>
      <c r="E451" s="1882" t="s">
        <v>8720</v>
      </c>
      <c r="F451" s="1882" t="s">
        <v>11054</v>
      </c>
      <c r="G451" s="1882" t="s">
        <v>8267</v>
      </c>
      <c r="H451" s="1882" t="s">
        <v>11059</v>
      </c>
      <c r="I451" s="1882" t="s">
        <v>11060</v>
      </c>
      <c r="J451" s="1882" t="s">
        <v>8508</v>
      </c>
      <c r="K451" s="1882" t="s">
        <v>8509</v>
      </c>
      <c r="L451" s="1882"/>
      <c r="M451" s="1882" t="s">
        <v>2460</v>
      </c>
      <c r="N451" s="1882" t="s">
        <v>8724</v>
      </c>
      <c r="O451" s="1882" t="s">
        <v>764</v>
      </c>
      <c r="P451" s="1882" t="s">
        <v>11061</v>
      </c>
      <c r="Q451" s="520">
        <v>0</v>
      </c>
      <c r="R451" s="1882" t="s">
        <v>8511</v>
      </c>
      <c r="S451" s="1882">
        <v>313</v>
      </c>
      <c r="T451" s="1882">
        <v>310</v>
      </c>
      <c r="U451" s="1882">
        <v>300</v>
      </c>
      <c r="V451" s="1882">
        <v>292</v>
      </c>
      <c r="W451" s="1882">
        <v>282</v>
      </c>
      <c r="X451" s="1882">
        <v>269</v>
      </c>
      <c r="Y451" s="1882"/>
      <c r="Z451" s="1882"/>
      <c r="AA451" s="1882"/>
      <c r="AB451" s="1882"/>
      <c r="AC451" s="1882" t="s">
        <v>2459</v>
      </c>
      <c r="AD451" s="1882"/>
      <c r="AE451" s="1882" t="s">
        <v>2459</v>
      </c>
      <c r="AF451" s="1882"/>
      <c r="AG451" s="1882"/>
      <c r="AH451" s="1882">
        <v>0</v>
      </c>
      <c r="AI451" s="1882"/>
      <c r="AJ451" s="1882" t="s">
        <v>2459</v>
      </c>
      <c r="AK451" s="1882" t="s">
        <v>2459</v>
      </c>
      <c r="AL451" s="1882" t="s">
        <v>2459</v>
      </c>
      <c r="AM451" s="1882" t="s">
        <v>2459</v>
      </c>
      <c r="AN451" s="1882">
        <v>388</v>
      </c>
      <c r="AO451" s="1882">
        <v>374</v>
      </c>
      <c r="AP451" s="1882">
        <v>363</v>
      </c>
      <c r="AQ451" s="1882">
        <v>349</v>
      </c>
      <c r="AR451" s="1882">
        <v>331</v>
      </c>
      <c r="AS451" s="1882">
        <v>313</v>
      </c>
      <c r="AT451" s="1882">
        <v>313</v>
      </c>
      <c r="AU451" s="1882">
        <v>313</v>
      </c>
      <c r="AV451" s="1882">
        <v>313</v>
      </c>
      <c r="AW451" s="1882">
        <v>313</v>
      </c>
      <c r="AX451" s="1882">
        <v>271</v>
      </c>
      <c r="AY451" s="1882">
        <v>263</v>
      </c>
      <c r="AZ451" s="1882">
        <v>256</v>
      </c>
      <c r="BA451" s="1882">
        <v>248</v>
      </c>
      <c r="BB451" s="1882">
        <v>238</v>
      </c>
      <c r="BC451" s="1882">
        <v>232</v>
      </c>
      <c r="BD451" s="1882">
        <v>226</v>
      </c>
      <c r="BE451" s="1882">
        <v>221</v>
      </c>
      <c r="BF451" s="1882">
        <v>215</v>
      </c>
      <c r="BG451" s="1882">
        <v>207</v>
      </c>
      <c r="BH451" s="1882">
        <v>0.161</v>
      </c>
      <c r="BI451" s="1882"/>
      <c r="BJ451" s="1882"/>
      <c r="BK451" s="1882"/>
      <c r="BL451" s="1882">
        <v>6.2E-2</v>
      </c>
      <c r="BM451" s="1882"/>
      <c r="BN451" s="1882">
        <v>1</v>
      </c>
      <c r="BO451" s="1882" t="s">
        <v>8512</v>
      </c>
      <c r="BP451" s="520">
        <v>265</v>
      </c>
      <c r="BQ451" s="693">
        <v>223</v>
      </c>
      <c r="BR451" s="1882" t="s">
        <v>2459</v>
      </c>
      <c r="BS451" s="1882" t="s">
        <v>8513</v>
      </c>
      <c r="BT451" s="1882">
        <v>0</v>
      </c>
      <c r="BU451" s="1882" t="s">
        <v>8513</v>
      </c>
      <c r="BV451" s="1882">
        <v>0</v>
      </c>
      <c r="BW451" s="1882">
        <v>242</v>
      </c>
      <c r="BX451" s="1882" t="s">
        <v>2459</v>
      </c>
      <c r="BY451" s="1882">
        <v>0</v>
      </c>
      <c r="BZ451" s="1882">
        <v>0</v>
      </c>
      <c r="CA451" s="1882" t="s">
        <v>8376</v>
      </c>
      <c r="CB451" s="1882">
        <v>1.86</v>
      </c>
      <c r="CC451" s="1882">
        <v>221</v>
      </c>
      <c r="CD451" s="1882" t="s">
        <v>2459</v>
      </c>
      <c r="CE451" s="1882">
        <v>0</v>
      </c>
      <c r="CF451" s="1882">
        <v>0</v>
      </c>
      <c r="CG451" s="1882" t="s">
        <v>8376</v>
      </c>
      <c r="CH451" s="1882">
        <v>1.488</v>
      </c>
      <c r="CI451" s="1882">
        <v>221</v>
      </c>
      <c r="CJ451" s="1882" t="s">
        <v>2459</v>
      </c>
      <c r="CK451" s="1882">
        <v>0</v>
      </c>
      <c r="CL451" s="1882">
        <v>0</v>
      </c>
      <c r="CM451" s="1882" t="s">
        <v>8376</v>
      </c>
      <c r="CN451" s="1882">
        <v>1.6739999999999999</v>
      </c>
      <c r="CP451" s="1882" t="s">
        <v>11062</v>
      </c>
    </row>
    <row r="452" spans="1:94">
      <c r="A452" s="1882" t="s">
        <v>8359</v>
      </c>
      <c r="B452" s="1882" t="s">
        <v>11063</v>
      </c>
      <c r="C452" s="1882" t="s">
        <v>8352</v>
      </c>
      <c r="D452" s="1882" t="s">
        <v>1627</v>
      </c>
      <c r="E452" s="1882" t="s">
        <v>8720</v>
      </c>
      <c r="F452" s="1882" t="s">
        <v>11054</v>
      </c>
      <c r="G452" s="1882" t="s">
        <v>8273</v>
      </c>
      <c r="H452" s="1882" t="s">
        <v>11064</v>
      </c>
      <c r="I452" s="1882" t="s">
        <v>11065</v>
      </c>
      <c r="J452" s="1882" t="s">
        <v>8539</v>
      </c>
      <c r="K452" s="1882"/>
      <c r="L452" s="1882"/>
      <c r="M452" s="1882"/>
      <c r="N452" s="1882" t="s">
        <v>8695</v>
      </c>
      <c r="O452" s="1882" t="s">
        <v>732</v>
      </c>
      <c r="P452" s="1882" t="s">
        <v>8696</v>
      </c>
      <c r="Q452" s="520">
        <v>0</v>
      </c>
      <c r="R452" s="1882" t="s">
        <v>8549</v>
      </c>
      <c r="S452" s="1882">
        <v>63</v>
      </c>
      <c r="T452" s="1882">
        <v>63</v>
      </c>
      <c r="U452" s="1882">
        <v>66</v>
      </c>
      <c r="V452" s="1882">
        <v>68</v>
      </c>
      <c r="W452" s="1882">
        <v>71</v>
      </c>
      <c r="X452" s="1882">
        <v>75</v>
      </c>
      <c r="Y452" s="1882"/>
      <c r="Z452" s="1882"/>
      <c r="AA452" s="1882"/>
      <c r="AB452" s="1882"/>
      <c r="AC452" s="1882"/>
      <c r="AD452" s="1882"/>
      <c r="AE452" s="1882"/>
      <c r="AF452" s="1882"/>
      <c r="AG452" s="1882"/>
      <c r="AH452" s="1882">
        <v>0</v>
      </c>
      <c r="AI452" s="1882"/>
      <c r="AJ452" s="1882"/>
      <c r="AK452" s="1882"/>
      <c r="AL452" s="1882"/>
      <c r="AM452" s="1882"/>
      <c r="AN452" s="1882"/>
      <c r="AO452" s="1882"/>
      <c r="AP452" s="1882"/>
      <c r="AQ452" s="1882"/>
      <c r="AR452" s="1882"/>
      <c r="AS452" s="1882"/>
      <c r="AT452" s="1882"/>
      <c r="AU452" s="1882"/>
      <c r="AV452" s="1882"/>
      <c r="AW452" s="1882"/>
      <c r="AX452" s="1882"/>
      <c r="AY452" s="1882"/>
      <c r="AZ452" s="1882"/>
      <c r="BA452" s="1882"/>
      <c r="BB452" s="1882"/>
      <c r="BC452" s="1882"/>
      <c r="BD452" s="1882"/>
      <c r="BE452" s="1882"/>
      <c r="BF452" s="1882"/>
      <c r="BG452" s="1882"/>
      <c r="BH452" s="1882"/>
      <c r="BI452" s="1882"/>
      <c r="BJ452" s="1882"/>
      <c r="BK452" s="1882"/>
      <c r="BL452" s="1882"/>
      <c r="BM452" s="1882"/>
      <c r="BN452" s="1882"/>
      <c r="BO452" s="1882"/>
      <c r="BP452" s="520">
        <v>79</v>
      </c>
      <c r="BQ452" s="693">
        <v>82</v>
      </c>
      <c r="BR452" s="1882" t="s">
        <v>2459</v>
      </c>
      <c r="BS452" s="1882" t="s">
        <v>8513</v>
      </c>
      <c r="BT452" s="1882">
        <v>0</v>
      </c>
      <c r="BU452" s="1882" t="s">
        <v>8513</v>
      </c>
      <c r="BV452" s="1882">
        <v>0</v>
      </c>
      <c r="BW452" s="1882">
        <v>85</v>
      </c>
      <c r="BX452" s="1882" t="s">
        <v>2459</v>
      </c>
      <c r="BY452" s="1882">
        <v>0</v>
      </c>
      <c r="BZ452" s="1882">
        <v>0</v>
      </c>
      <c r="CA452" s="1882">
        <v>0</v>
      </c>
      <c r="CB452" s="1882">
        <v>0</v>
      </c>
      <c r="CC452" s="1882">
        <v>84</v>
      </c>
      <c r="CD452" s="1882" t="s">
        <v>2459</v>
      </c>
      <c r="CE452" s="1882">
        <v>0</v>
      </c>
      <c r="CF452" s="1882">
        <v>0</v>
      </c>
      <c r="CG452" s="1882">
        <v>0</v>
      </c>
      <c r="CH452" s="1882">
        <v>0</v>
      </c>
      <c r="CI452" s="1882">
        <v>85</v>
      </c>
      <c r="CJ452" s="1882" t="s">
        <v>2459</v>
      </c>
      <c r="CK452" s="1882">
        <v>0</v>
      </c>
      <c r="CL452" s="1882">
        <v>0</v>
      </c>
      <c r="CM452" s="1882">
        <v>0</v>
      </c>
      <c r="CN452" s="1882">
        <v>0</v>
      </c>
      <c r="CP452" s="1882" t="s">
        <v>11066</v>
      </c>
    </row>
    <row r="453" spans="1:94">
      <c r="A453" s="1882" t="s">
        <v>8359</v>
      </c>
      <c r="B453" s="1882" t="s">
        <v>11067</v>
      </c>
      <c r="C453" s="1882" t="s">
        <v>8352</v>
      </c>
      <c r="D453" s="1882" t="s">
        <v>1627</v>
      </c>
      <c r="E453" s="1882" t="s">
        <v>8720</v>
      </c>
      <c r="F453" s="1882" t="s">
        <v>11016</v>
      </c>
      <c r="G453" s="1882" t="s">
        <v>8277</v>
      </c>
      <c r="H453" s="1882" t="s">
        <v>11068</v>
      </c>
      <c r="I453" s="1882" t="s">
        <v>11018</v>
      </c>
      <c r="J453" s="1882" t="s">
        <v>8539</v>
      </c>
      <c r="K453" s="1882"/>
      <c r="L453" s="1882"/>
      <c r="M453" s="1882"/>
      <c r="N453" s="1882" t="s">
        <v>8599</v>
      </c>
      <c r="O453" s="1882" t="s">
        <v>732</v>
      </c>
      <c r="P453" s="1882" t="s">
        <v>11019</v>
      </c>
      <c r="Q453" s="520">
        <v>0</v>
      </c>
      <c r="R453" s="1882" t="s">
        <v>8511</v>
      </c>
      <c r="S453" s="1882" t="s">
        <v>11020</v>
      </c>
      <c r="T453" s="1882" t="s">
        <v>11021</v>
      </c>
      <c r="U453" s="1882" t="s">
        <v>11021</v>
      </c>
      <c r="V453" s="1882" t="s">
        <v>11021</v>
      </c>
      <c r="W453" s="1882" t="s">
        <v>11021</v>
      </c>
      <c r="X453" s="1882" t="s">
        <v>11021</v>
      </c>
      <c r="Y453" s="1882"/>
      <c r="Z453" s="1882"/>
      <c r="AA453" s="1882"/>
      <c r="AB453" s="1882"/>
      <c r="AC453" s="1882"/>
      <c r="AD453" s="1882"/>
      <c r="AE453" s="1882"/>
      <c r="AF453" s="1882"/>
      <c r="AG453" s="1882"/>
      <c r="AH453" s="1882">
        <v>0</v>
      </c>
      <c r="AI453" s="1882"/>
      <c r="AJ453" s="1882"/>
      <c r="AK453" s="1882"/>
      <c r="AL453" s="1882"/>
      <c r="AM453" s="1882"/>
      <c r="AN453" s="1882"/>
      <c r="AO453" s="1882"/>
      <c r="AP453" s="1882"/>
      <c r="AQ453" s="1882"/>
      <c r="AR453" s="1882"/>
      <c r="AS453" s="1882"/>
      <c r="AT453" s="1882"/>
      <c r="AU453" s="1882"/>
      <c r="AV453" s="1882"/>
      <c r="AW453" s="1882"/>
      <c r="AX453" s="1882"/>
      <c r="AY453" s="1882"/>
      <c r="AZ453" s="1882"/>
      <c r="BA453" s="1882"/>
      <c r="BB453" s="1882"/>
      <c r="BC453" s="1882"/>
      <c r="BD453" s="1882"/>
      <c r="BE453" s="1882"/>
      <c r="BF453" s="1882"/>
      <c r="BG453" s="1882"/>
      <c r="BH453" s="1882"/>
      <c r="BI453" s="1882"/>
      <c r="BJ453" s="1882"/>
      <c r="BK453" s="1882"/>
      <c r="BL453" s="1882"/>
      <c r="BM453" s="1882"/>
      <c r="BN453" s="1882"/>
      <c r="BO453" s="1882"/>
      <c r="BP453" s="520">
        <v>-3</v>
      </c>
      <c r="BQ453" s="692">
        <v>-1</v>
      </c>
      <c r="BR453" s="1882" t="s">
        <v>2459</v>
      </c>
      <c r="BS453" s="1882" t="s">
        <v>8513</v>
      </c>
      <c r="BT453" s="1882">
        <v>0</v>
      </c>
      <c r="BU453" s="1882" t="s">
        <v>8513</v>
      </c>
      <c r="BV453" s="1882">
        <v>0</v>
      </c>
      <c r="BW453" s="1882">
        <v>-1</v>
      </c>
      <c r="BX453" s="1882" t="s">
        <v>2459</v>
      </c>
      <c r="BY453" s="1882">
        <v>0</v>
      </c>
      <c r="BZ453" s="1882">
        <v>0</v>
      </c>
      <c r="CA453" s="1882">
        <v>0</v>
      </c>
      <c r="CB453" s="1882">
        <v>0</v>
      </c>
      <c r="CC453" s="1882">
        <v>-2</v>
      </c>
      <c r="CD453" s="1882" t="s">
        <v>2459</v>
      </c>
      <c r="CE453" s="1882">
        <v>0</v>
      </c>
      <c r="CF453" s="1882">
        <v>0</v>
      </c>
      <c r="CG453" s="1882">
        <v>0</v>
      </c>
      <c r="CH453" s="1882">
        <v>0</v>
      </c>
      <c r="CI453" s="1882">
        <v>-2</v>
      </c>
      <c r="CJ453" s="1882" t="s">
        <v>2459</v>
      </c>
      <c r="CK453" s="1882">
        <v>0</v>
      </c>
      <c r="CL453" s="1882">
        <v>0</v>
      </c>
      <c r="CM453" s="1882">
        <v>0</v>
      </c>
      <c r="CN453" s="1882">
        <v>0</v>
      </c>
      <c r="CP453" s="1882" t="s">
        <v>11022</v>
      </c>
    </row>
    <row r="454" spans="1:94">
      <c r="A454" s="1882" t="s">
        <v>8359</v>
      </c>
      <c r="B454" s="1882" t="s">
        <v>11069</v>
      </c>
      <c r="C454" s="1882" t="s">
        <v>8352</v>
      </c>
      <c r="D454" s="1882" t="s">
        <v>1627</v>
      </c>
      <c r="E454" s="1882" t="s">
        <v>8720</v>
      </c>
      <c r="F454" s="1882" t="s">
        <v>11024</v>
      </c>
      <c r="G454" s="1882" t="s">
        <v>8293</v>
      </c>
      <c r="H454" s="1882" t="s">
        <v>11070</v>
      </c>
      <c r="I454" s="1882" t="s">
        <v>11026</v>
      </c>
      <c r="J454" s="1882" t="s">
        <v>8519</v>
      </c>
      <c r="K454" s="1882" t="s">
        <v>8509</v>
      </c>
      <c r="L454" s="1882"/>
      <c r="M454" s="1882" t="s">
        <v>2460</v>
      </c>
      <c r="N454" s="1882" t="s">
        <v>8787</v>
      </c>
      <c r="O454" s="1882" t="s">
        <v>8704</v>
      </c>
      <c r="P454" s="1882" t="s">
        <v>8856</v>
      </c>
      <c r="Q454" s="520" t="s">
        <v>8512</v>
      </c>
      <c r="R454" s="1882"/>
      <c r="S454" s="1882" t="s">
        <v>8706</v>
      </c>
      <c r="T454" s="1882" t="s">
        <v>8706</v>
      </c>
      <c r="U454" s="1882" t="s">
        <v>8706</v>
      </c>
      <c r="V454" s="1882" t="s">
        <v>8706</v>
      </c>
      <c r="W454" s="1882" t="s">
        <v>8706</v>
      </c>
      <c r="X454" s="1882" t="s">
        <v>8706</v>
      </c>
      <c r="Y454" s="1882"/>
      <c r="Z454" s="1882"/>
      <c r="AA454" s="1882"/>
      <c r="AB454" s="1882"/>
      <c r="AC454" s="1882"/>
      <c r="AD454" s="1882"/>
      <c r="AE454" s="1882" t="s">
        <v>2459</v>
      </c>
      <c r="AF454" s="1882"/>
      <c r="AG454" s="1882"/>
      <c r="AH454" s="1882">
        <v>9</v>
      </c>
      <c r="AI454" s="1882" t="s">
        <v>2459</v>
      </c>
      <c r="AJ454" s="1882" t="s">
        <v>2459</v>
      </c>
      <c r="AK454" s="1882" t="s">
        <v>2459</v>
      </c>
      <c r="AL454" s="1882" t="s">
        <v>2459</v>
      </c>
      <c r="AM454" s="1882" t="s">
        <v>2459</v>
      </c>
      <c r="AN454" s="1882" t="s">
        <v>8857</v>
      </c>
      <c r="AO454" s="1882" t="s">
        <v>8857</v>
      </c>
      <c r="AP454" s="1882" t="s">
        <v>8857</v>
      </c>
      <c r="AQ454" s="1882" t="s">
        <v>8857</v>
      </c>
      <c r="AR454" s="1882" t="s">
        <v>8857</v>
      </c>
      <c r="AS454" s="1882" t="s">
        <v>8858</v>
      </c>
      <c r="AT454" s="1882" t="s">
        <v>8858</v>
      </c>
      <c r="AU454" s="1882" t="s">
        <v>8858</v>
      </c>
      <c r="AV454" s="1882" t="s">
        <v>8858</v>
      </c>
      <c r="AW454" s="1882" t="s">
        <v>8858</v>
      </c>
      <c r="AX454" s="1882"/>
      <c r="AY454" s="1882"/>
      <c r="AZ454" s="1882"/>
      <c r="BA454" s="1882"/>
      <c r="BB454" s="1882"/>
      <c r="BC454" s="1882"/>
      <c r="BD454" s="1882"/>
      <c r="BE454" s="1882"/>
      <c r="BF454" s="1882"/>
      <c r="BG454" s="1882"/>
      <c r="BH454" s="1882">
        <v>20</v>
      </c>
      <c r="BI454" s="1882"/>
      <c r="BJ454" s="1882"/>
      <c r="BK454" s="1882"/>
      <c r="BL454" s="1882"/>
      <c r="BM454" s="1882"/>
      <c r="BN454" s="1882">
        <v>1</v>
      </c>
      <c r="BO454" s="1882" t="s">
        <v>8512</v>
      </c>
      <c r="BP454" s="520" t="s">
        <v>8706</v>
      </c>
      <c r="BQ454" s="692" t="s">
        <v>8706</v>
      </c>
      <c r="BR454" s="1882" t="s">
        <v>2459</v>
      </c>
      <c r="BS454" s="1882" t="s">
        <v>8513</v>
      </c>
      <c r="BT454" s="1882">
        <v>0</v>
      </c>
      <c r="BU454" s="1882" t="s">
        <v>8513</v>
      </c>
      <c r="BV454" s="1882">
        <v>0</v>
      </c>
      <c r="BW454" s="1882" t="s">
        <v>8706</v>
      </c>
      <c r="BX454" s="1882" t="s">
        <v>2459</v>
      </c>
      <c r="BY454" s="1882">
        <v>0</v>
      </c>
      <c r="BZ454" s="1882">
        <v>0</v>
      </c>
      <c r="CA454" s="1882">
        <v>0</v>
      </c>
      <c r="CB454" s="1882">
        <v>0</v>
      </c>
      <c r="CC454" s="1882" t="s">
        <v>8706</v>
      </c>
      <c r="CD454" s="1882" t="s">
        <v>2459</v>
      </c>
      <c r="CE454" s="1882">
        <v>0</v>
      </c>
      <c r="CF454" s="1882">
        <v>0</v>
      </c>
      <c r="CG454" s="1882">
        <v>0</v>
      </c>
      <c r="CH454" s="1882">
        <v>0</v>
      </c>
      <c r="CI454" s="1882" t="s">
        <v>8706</v>
      </c>
      <c r="CJ454" s="1882" t="s">
        <v>2459</v>
      </c>
      <c r="CK454" s="1882">
        <v>0</v>
      </c>
      <c r="CL454" s="1882">
        <v>0</v>
      </c>
      <c r="CM454" s="1882">
        <v>0</v>
      </c>
      <c r="CN454" s="1882">
        <v>0</v>
      </c>
      <c r="CP454" s="1882" t="s">
        <v>11027</v>
      </c>
    </row>
    <row r="455" spans="1:94">
      <c r="A455" s="1882" t="s">
        <v>8359</v>
      </c>
      <c r="B455" s="1882" t="s">
        <v>11071</v>
      </c>
      <c r="C455" s="1882" t="s">
        <v>8352</v>
      </c>
      <c r="D455" s="1882" t="s">
        <v>1627</v>
      </c>
      <c r="E455" s="1882" t="s">
        <v>8720</v>
      </c>
      <c r="F455" s="1882" t="s">
        <v>11024</v>
      </c>
      <c r="G455" s="1882" t="s">
        <v>8299</v>
      </c>
      <c r="H455" s="1882" t="s">
        <v>11072</v>
      </c>
      <c r="I455" s="1882" t="s">
        <v>11034</v>
      </c>
      <c r="J455" s="1882" t="s">
        <v>8519</v>
      </c>
      <c r="K455" s="1882" t="s">
        <v>8509</v>
      </c>
      <c r="L455" s="1882"/>
      <c r="M455" s="1882"/>
      <c r="N455" s="1882" t="s">
        <v>4580</v>
      </c>
      <c r="O455" s="1882" t="s">
        <v>732</v>
      </c>
      <c r="P455" s="1882" t="s">
        <v>11035</v>
      </c>
      <c r="Q455" s="520">
        <v>0</v>
      </c>
      <c r="R455" s="1882" t="s">
        <v>8549</v>
      </c>
      <c r="S455" s="1882">
        <v>71</v>
      </c>
      <c r="T455" s="1882">
        <v>71</v>
      </c>
      <c r="U455" s="1882">
        <v>72</v>
      </c>
      <c r="V455" s="1882">
        <v>74</v>
      </c>
      <c r="W455" s="1882">
        <v>76</v>
      </c>
      <c r="X455" s="1882">
        <v>78</v>
      </c>
      <c r="Y455" s="1882"/>
      <c r="Z455" s="1882"/>
      <c r="AA455" s="1882"/>
      <c r="AB455" s="1882"/>
      <c r="AC455" s="1882"/>
      <c r="AD455" s="1882"/>
      <c r="AE455" s="1882" t="s">
        <v>2459</v>
      </c>
      <c r="AF455" s="1882"/>
      <c r="AG455" s="1882"/>
      <c r="AH455" s="1882">
        <v>0</v>
      </c>
      <c r="AI455" s="1882"/>
      <c r="AJ455" s="1882"/>
      <c r="AK455" s="1882"/>
      <c r="AL455" s="1882"/>
      <c r="AM455" s="1882" t="s">
        <v>2459</v>
      </c>
      <c r="AN455" s="1882"/>
      <c r="AO455" s="1882"/>
      <c r="AP455" s="1882"/>
      <c r="AQ455" s="1882"/>
      <c r="AR455" s="1882">
        <v>71</v>
      </c>
      <c r="AS455" s="1882"/>
      <c r="AT455" s="1882"/>
      <c r="AU455" s="1882"/>
      <c r="AV455" s="1882"/>
      <c r="AW455" s="1882">
        <v>76</v>
      </c>
      <c r="AX455" s="1882"/>
      <c r="AY455" s="1882"/>
      <c r="AZ455" s="1882"/>
      <c r="BA455" s="1882"/>
      <c r="BB455" s="1882"/>
      <c r="BC455" s="1882"/>
      <c r="BD455" s="1882"/>
      <c r="BE455" s="1882"/>
      <c r="BF455" s="1882"/>
      <c r="BG455" s="1882"/>
      <c r="BH455" s="1882">
        <v>2.2000000000000002</v>
      </c>
      <c r="BI455" s="1882"/>
      <c r="BJ455" s="1882"/>
      <c r="BK455" s="1882"/>
      <c r="BL455" s="1882"/>
      <c r="BM455" s="1882"/>
      <c r="BN455" s="1882">
        <v>1</v>
      </c>
      <c r="BO455" s="1882" t="s">
        <v>8512</v>
      </c>
      <c r="BP455" s="520">
        <v>75</v>
      </c>
      <c r="BQ455" s="693">
        <v>74</v>
      </c>
      <c r="BR455" s="1882" t="s">
        <v>2459</v>
      </c>
      <c r="BS455" s="1882" t="s">
        <v>8513</v>
      </c>
      <c r="BT455" s="1882">
        <v>0</v>
      </c>
      <c r="BU455" s="1882" t="s">
        <v>8513</v>
      </c>
      <c r="BV455" s="1882">
        <v>0</v>
      </c>
      <c r="BW455" s="1882">
        <v>73.599999999999994</v>
      </c>
      <c r="BX455" s="1882" t="s">
        <v>2459</v>
      </c>
      <c r="BY455" s="1882">
        <v>0</v>
      </c>
      <c r="BZ455" s="1882">
        <v>0</v>
      </c>
      <c r="CA455" s="1882">
        <v>0</v>
      </c>
      <c r="CB455" s="1882">
        <v>0</v>
      </c>
      <c r="CC455" s="1882">
        <v>77.5</v>
      </c>
      <c r="CD455" s="1882" t="s">
        <v>2459</v>
      </c>
      <c r="CE455" s="1882">
        <v>0</v>
      </c>
      <c r="CF455" s="1882">
        <v>0</v>
      </c>
      <c r="CG455" s="1882">
        <v>0</v>
      </c>
      <c r="CH455" s="1882">
        <v>0</v>
      </c>
      <c r="CI455" s="1882">
        <v>79</v>
      </c>
      <c r="CJ455" s="1882" t="s">
        <v>2459</v>
      </c>
      <c r="CK455" s="1882">
        <v>0</v>
      </c>
      <c r="CL455" s="1882">
        <v>0</v>
      </c>
      <c r="CM455" s="1882">
        <v>0</v>
      </c>
      <c r="CN455" s="1882">
        <v>0</v>
      </c>
      <c r="CP455" s="1882" t="s">
        <v>11036</v>
      </c>
    </row>
    <row r="456" spans="1:94">
      <c r="A456" s="1882" t="s">
        <v>8359</v>
      </c>
      <c r="B456" s="1882" t="s">
        <v>11073</v>
      </c>
      <c r="C456" s="1882" t="s">
        <v>8352</v>
      </c>
      <c r="D456" s="1882" t="s">
        <v>9036</v>
      </c>
      <c r="E456" s="1882" t="s">
        <v>9037</v>
      </c>
      <c r="F456" s="1882" t="s">
        <v>11074</v>
      </c>
      <c r="G456" s="1882" t="s">
        <v>8261</v>
      </c>
      <c r="H456" s="1882" t="s">
        <v>11075</v>
      </c>
      <c r="I456" s="1882" t="s">
        <v>11004</v>
      </c>
      <c r="J456" s="1882" t="s">
        <v>8508</v>
      </c>
      <c r="K456" s="1882" t="s">
        <v>8509</v>
      </c>
      <c r="L456" s="1882"/>
      <c r="M456" s="1882" t="s">
        <v>2460</v>
      </c>
      <c r="N456" s="1882" t="s">
        <v>8590</v>
      </c>
      <c r="O456" s="1882" t="s">
        <v>8797</v>
      </c>
      <c r="P456" s="1882" t="s">
        <v>8951</v>
      </c>
      <c r="Q456" s="520" t="s">
        <v>8512</v>
      </c>
      <c r="R456" s="1882" t="s">
        <v>8549</v>
      </c>
      <c r="S456" s="1882" t="s">
        <v>10265</v>
      </c>
      <c r="T456" s="1882" t="s">
        <v>9441</v>
      </c>
      <c r="U456" s="1882" t="s">
        <v>9441</v>
      </c>
      <c r="V456" s="1882" t="s">
        <v>9441</v>
      </c>
      <c r="W456" s="1882" t="s">
        <v>9441</v>
      </c>
      <c r="X456" s="1882" t="s">
        <v>9441</v>
      </c>
      <c r="Y456" s="1882"/>
      <c r="Z456" s="1882"/>
      <c r="AA456" s="1882"/>
      <c r="AB456" s="1882"/>
      <c r="AC456" s="1882"/>
      <c r="AD456" s="1882"/>
      <c r="AE456" s="1882"/>
      <c r="AF456" s="1882"/>
      <c r="AG456" s="1882"/>
      <c r="AH456" s="1882">
        <v>0</v>
      </c>
      <c r="AI456" s="1882" t="s">
        <v>2459</v>
      </c>
      <c r="AJ456" s="1882" t="s">
        <v>2459</v>
      </c>
      <c r="AK456" s="1882" t="s">
        <v>2459</v>
      </c>
      <c r="AL456" s="1882" t="s">
        <v>2459</v>
      </c>
      <c r="AM456" s="1882" t="s">
        <v>2459</v>
      </c>
      <c r="AN456" s="1882" t="s">
        <v>8593</v>
      </c>
      <c r="AO456" s="1882" t="s">
        <v>8593</v>
      </c>
      <c r="AP456" s="1882" t="s">
        <v>8593</v>
      </c>
      <c r="AQ456" s="1882" t="s">
        <v>8593</v>
      </c>
      <c r="AR456" s="1882" t="s">
        <v>8593</v>
      </c>
      <c r="AS456" s="1882" t="s">
        <v>8593</v>
      </c>
      <c r="AT456" s="1882" t="s">
        <v>8593</v>
      </c>
      <c r="AU456" s="1882" t="s">
        <v>8593</v>
      </c>
      <c r="AV456" s="1882" t="s">
        <v>8593</v>
      </c>
      <c r="AW456" s="1882" t="s">
        <v>8593</v>
      </c>
      <c r="AX456" s="1882" t="s">
        <v>8593</v>
      </c>
      <c r="AY456" s="1882" t="s">
        <v>8593</v>
      </c>
      <c r="AZ456" s="1882" t="s">
        <v>8593</v>
      </c>
      <c r="BA456" s="1882" t="s">
        <v>8593</v>
      </c>
      <c r="BB456" s="1882" t="s">
        <v>8593</v>
      </c>
      <c r="BC456" s="1882" t="s">
        <v>8593</v>
      </c>
      <c r="BD456" s="1882" t="s">
        <v>8593</v>
      </c>
      <c r="BE456" s="1882" t="s">
        <v>8593</v>
      </c>
      <c r="BF456" s="1882" t="s">
        <v>8593</v>
      </c>
      <c r="BG456" s="1882" t="s">
        <v>8593</v>
      </c>
      <c r="BH456" s="1882" t="s">
        <v>8593</v>
      </c>
      <c r="BI456" s="1882"/>
      <c r="BJ456" s="1882"/>
      <c r="BK456" s="1882"/>
      <c r="BL456" s="1882" t="s">
        <v>8593</v>
      </c>
      <c r="BM456" s="1882"/>
      <c r="BN456" s="1882">
        <v>1</v>
      </c>
      <c r="BO456" s="1882" t="s">
        <v>8512</v>
      </c>
      <c r="BQ456" s="692">
        <v>83</v>
      </c>
      <c r="BR456" s="1882" t="s">
        <v>2460</v>
      </c>
      <c r="BS456" s="1882" t="s">
        <v>8513</v>
      </c>
      <c r="BT456" s="1882">
        <v>0</v>
      </c>
      <c r="BU456" s="1882" t="s">
        <v>8513</v>
      </c>
      <c r="BV456" s="1882">
        <v>0</v>
      </c>
      <c r="BW456" s="1882">
        <v>1152</v>
      </c>
      <c r="BX456" s="1882" t="s">
        <v>2460</v>
      </c>
      <c r="BY456" s="1882">
        <v>0</v>
      </c>
      <c r="BZ456" s="1882">
        <v>0</v>
      </c>
      <c r="CA456" s="1882">
        <v>0</v>
      </c>
      <c r="CB456" s="1882">
        <v>0</v>
      </c>
      <c r="CC456" s="1882">
        <v>574</v>
      </c>
      <c r="CD456" s="1882" t="s">
        <v>2451</v>
      </c>
      <c r="CE456" s="1882">
        <v>0</v>
      </c>
      <c r="CF456" s="1882">
        <v>0</v>
      </c>
      <c r="CG456" s="1882">
        <v>0</v>
      </c>
      <c r="CH456" s="1882">
        <v>0</v>
      </c>
      <c r="CI456" s="1882">
        <v>559</v>
      </c>
      <c r="CJ456" s="1882" t="s">
        <v>2451</v>
      </c>
      <c r="CK456" s="1882">
        <v>0</v>
      </c>
      <c r="CL456" s="1882">
        <v>0</v>
      </c>
      <c r="CM456" s="1882">
        <v>0</v>
      </c>
      <c r="CN456" s="1882">
        <v>0</v>
      </c>
      <c r="CP456" s="1882" t="s">
        <v>11005</v>
      </c>
    </row>
    <row r="457" spans="1:94">
      <c r="A457" s="1882" t="s">
        <v>8359</v>
      </c>
      <c r="B457" s="1882" t="s">
        <v>11076</v>
      </c>
      <c r="C457" s="1882" t="s">
        <v>8352</v>
      </c>
      <c r="D457" s="1882" t="s">
        <v>9036</v>
      </c>
      <c r="E457" s="1882" t="s">
        <v>9037</v>
      </c>
      <c r="F457" s="1882" t="s">
        <v>11074</v>
      </c>
      <c r="G457" s="1882" t="s">
        <v>8270</v>
      </c>
      <c r="H457" s="1882" t="s">
        <v>11077</v>
      </c>
      <c r="I457" s="1882" t="s">
        <v>11078</v>
      </c>
      <c r="J457" s="1882" t="s">
        <v>8519</v>
      </c>
      <c r="K457" s="1882" t="s">
        <v>8509</v>
      </c>
      <c r="L457" s="1882"/>
      <c r="M457" s="1882"/>
      <c r="N457" s="1882" t="s">
        <v>8695</v>
      </c>
      <c r="O457" s="1882" t="s">
        <v>732</v>
      </c>
      <c r="P457" s="1882" t="s">
        <v>8696</v>
      </c>
      <c r="Q457" s="520">
        <v>0</v>
      </c>
      <c r="R457" s="1882" t="s">
        <v>8549</v>
      </c>
      <c r="S457" s="1882">
        <v>87</v>
      </c>
      <c r="T457" s="1882">
        <v>87</v>
      </c>
      <c r="U457" s="1882">
        <v>88</v>
      </c>
      <c r="V457" s="1882">
        <v>89</v>
      </c>
      <c r="W457" s="1882">
        <v>90</v>
      </c>
      <c r="X457" s="1882">
        <v>90</v>
      </c>
      <c r="Y457" s="1882"/>
      <c r="Z457" s="1882"/>
      <c r="AA457" s="1882"/>
      <c r="AB457" s="1882"/>
      <c r="AC457" s="1882"/>
      <c r="AD457" s="1882"/>
      <c r="AE457" s="1882"/>
      <c r="AF457" s="1882"/>
      <c r="AG457" s="1882"/>
      <c r="AH457" s="1882">
        <v>0</v>
      </c>
      <c r="AI457" s="1882" t="s">
        <v>2459</v>
      </c>
      <c r="AJ457" s="1882" t="s">
        <v>2459</v>
      </c>
      <c r="AK457" s="1882" t="s">
        <v>2459</v>
      </c>
      <c r="AL457" s="1882" t="s">
        <v>2459</v>
      </c>
      <c r="AM457" s="1882" t="s">
        <v>2459</v>
      </c>
      <c r="AN457" s="1882">
        <v>70</v>
      </c>
      <c r="AO457" s="1882">
        <v>70</v>
      </c>
      <c r="AP457" s="1882">
        <v>70</v>
      </c>
      <c r="AQ457" s="1882">
        <v>70</v>
      </c>
      <c r="AR457" s="1882">
        <v>70</v>
      </c>
      <c r="AS457" s="1882">
        <v>80</v>
      </c>
      <c r="AT457" s="1882">
        <v>80</v>
      </c>
      <c r="AU457" s="1882">
        <v>80</v>
      </c>
      <c r="AV457" s="1882">
        <v>80</v>
      </c>
      <c r="AW457" s="1882">
        <v>80</v>
      </c>
      <c r="AX457" s="1882"/>
      <c r="AY457" s="1882"/>
      <c r="AZ457" s="1882"/>
      <c r="BA457" s="1882"/>
      <c r="BB457" s="1882"/>
      <c r="BC457" s="1882"/>
      <c r="BD457" s="1882"/>
      <c r="BE457" s="1882"/>
      <c r="BF457" s="1882"/>
      <c r="BG457" s="1882"/>
      <c r="BH457" s="1882">
        <v>0.5</v>
      </c>
      <c r="BI457" s="1882"/>
      <c r="BJ457" s="1882"/>
      <c r="BK457" s="1882"/>
      <c r="BL457" s="1882"/>
      <c r="BM457" s="1882"/>
      <c r="BN457" s="1882">
        <v>1</v>
      </c>
      <c r="BO457" s="1882" t="s">
        <v>8512</v>
      </c>
      <c r="BP457" s="520">
        <v>89</v>
      </c>
      <c r="BQ457" s="693">
        <v>88</v>
      </c>
      <c r="BR457" s="1882" t="s">
        <v>2459</v>
      </c>
      <c r="BS457" s="1882" t="s">
        <v>8513</v>
      </c>
      <c r="BT457" s="1882">
        <v>0</v>
      </c>
      <c r="BU457" s="1882" t="s">
        <v>8513</v>
      </c>
      <c r="BV457" s="1882">
        <v>0</v>
      </c>
      <c r="BW457" s="1882">
        <v>89</v>
      </c>
      <c r="BX457" s="1882" t="s">
        <v>2459</v>
      </c>
      <c r="BY457" s="1882">
        <v>0</v>
      </c>
      <c r="BZ457" s="1882">
        <v>0</v>
      </c>
      <c r="CA457" s="1882">
        <v>0</v>
      </c>
      <c r="CB457" s="1882">
        <v>0</v>
      </c>
      <c r="CC457" s="1882">
        <v>87</v>
      </c>
      <c r="CD457" s="1882" t="s">
        <v>2460</v>
      </c>
      <c r="CE457" s="1882">
        <v>0</v>
      </c>
      <c r="CF457" s="1882">
        <v>0</v>
      </c>
      <c r="CG457" s="1882" t="s">
        <v>8388</v>
      </c>
      <c r="CH457" s="1882">
        <v>0</v>
      </c>
      <c r="CI457" s="1882">
        <v>88</v>
      </c>
      <c r="CJ457" s="1882" t="s">
        <v>2460</v>
      </c>
      <c r="CK457" s="1882">
        <v>0</v>
      </c>
      <c r="CL457" s="1882">
        <v>0</v>
      </c>
      <c r="CM457" s="1882" t="s">
        <v>8388</v>
      </c>
      <c r="CN457" s="1882">
        <v>0</v>
      </c>
      <c r="CP457" s="1882" t="s">
        <v>11079</v>
      </c>
    </row>
    <row r="458" spans="1:94">
      <c r="A458" s="1882" t="s">
        <v>8359</v>
      </c>
      <c r="B458" s="1882" t="s">
        <v>11080</v>
      </c>
      <c r="C458" s="1882" t="s">
        <v>8352</v>
      </c>
      <c r="D458" s="1882" t="s">
        <v>9036</v>
      </c>
      <c r="E458" s="1882" t="s">
        <v>9037</v>
      </c>
      <c r="F458" s="1882" t="s">
        <v>11074</v>
      </c>
      <c r="G458" s="1882" t="s">
        <v>8273</v>
      </c>
      <c r="H458" s="1882" t="s">
        <v>11081</v>
      </c>
      <c r="I458" s="1882" t="s">
        <v>11013</v>
      </c>
      <c r="J458" s="1882" t="s">
        <v>8539</v>
      </c>
      <c r="K458" s="1882"/>
      <c r="L458" s="1882"/>
      <c r="M458" s="1882"/>
      <c r="N458" s="1882" t="s">
        <v>8695</v>
      </c>
      <c r="O458" s="1882" t="s">
        <v>732</v>
      </c>
      <c r="P458" s="1882" t="s">
        <v>8696</v>
      </c>
      <c r="Q458" s="520">
        <v>0</v>
      </c>
      <c r="R458" s="1882" t="s">
        <v>8549</v>
      </c>
      <c r="S458" s="1882">
        <v>63</v>
      </c>
      <c r="T458" s="1882">
        <v>63</v>
      </c>
      <c r="U458" s="1882">
        <v>66</v>
      </c>
      <c r="V458" s="1882">
        <v>68</v>
      </c>
      <c r="W458" s="1882">
        <v>71</v>
      </c>
      <c r="X458" s="1882">
        <v>75</v>
      </c>
      <c r="Y458" s="1882"/>
      <c r="Z458" s="1882"/>
      <c r="AA458" s="1882"/>
      <c r="AB458" s="1882"/>
      <c r="AC458" s="1882"/>
      <c r="AD458" s="1882"/>
      <c r="AE458" s="1882"/>
      <c r="AF458" s="1882"/>
      <c r="AG458" s="1882"/>
      <c r="AH458" s="1882">
        <v>0</v>
      </c>
      <c r="AI458" s="1882"/>
      <c r="AJ458" s="1882"/>
      <c r="AK458" s="1882"/>
      <c r="AL458" s="1882"/>
      <c r="AM458" s="1882"/>
      <c r="AN458" s="1882"/>
      <c r="AO458" s="1882"/>
      <c r="AP458" s="1882"/>
      <c r="AQ458" s="1882"/>
      <c r="AR458" s="1882"/>
      <c r="AS458" s="1882"/>
      <c r="AT458" s="1882"/>
      <c r="AU458" s="1882"/>
      <c r="AV458" s="1882"/>
      <c r="AW458" s="1882"/>
      <c r="AX458" s="1882"/>
      <c r="AY458" s="1882"/>
      <c r="AZ458" s="1882"/>
      <c r="BA458" s="1882"/>
      <c r="BB458" s="1882"/>
      <c r="BC458" s="1882"/>
      <c r="BD458" s="1882"/>
      <c r="BE458" s="1882"/>
      <c r="BF458" s="1882"/>
      <c r="BG458" s="1882"/>
      <c r="BH458" s="1882"/>
      <c r="BI458" s="1882"/>
      <c r="BJ458" s="1882"/>
      <c r="BK458" s="1882"/>
      <c r="BL458" s="1882"/>
      <c r="BM458" s="1882"/>
      <c r="BN458" s="1882"/>
      <c r="BO458" s="1882"/>
      <c r="BP458" s="520">
        <v>79</v>
      </c>
      <c r="BQ458" s="693">
        <v>82</v>
      </c>
      <c r="BR458" s="1882" t="s">
        <v>2459</v>
      </c>
      <c r="BS458" s="1882" t="s">
        <v>8513</v>
      </c>
      <c r="BT458" s="1882">
        <v>0</v>
      </c>
      <c r="BU458" s="1882" t="s">
        <v>8513</v>
      </c>
      <c r="BV458" s="1882">
        <v>0</v>
      </c>
      <c r="BW458" s="1882">
        <v>85</v>
      </c>
      <c r="BX458" s="1882" t="s">
        <v>2459</v>
      </c>
      <c r="BY458" s="1882">
        <v>0</v>
      </c>
      <c r="BZ458" s="1882">
        <v>0</v>
      </c>
      <c r="CA458" s="1882">
        <v>0</v>
      </c>
      <c r="CB458" s="1882">
        <v>0</v>
      </c>
      <c r="CC458" s="1882">
        <v>84</v>
      </c>
      <c r="CD458" s="1882" t="s">
        <v>2459</v>
      </c>
      <c r="CE458" s="1882">
        <v>0</v>
      </c>
      <c r="CF458" s="1882">
        <v>0</v>
      </c>
      <c r="CG458" s="1882">
        <v>0</v>
      </c>
      <c r="CH458" s="1882">
        <v>0</v>
      </c>
      <c r="CI458" s="1882">
        <v>85</v>
      </c>
      <c r="CJ458" s="1882" t="s">
        <v>2459</v>
      </c>
      <c r="CK458" s="1882">
        <v>0</v>
      </c>
      <c r="CL458" s="1882">
        <v>0</v>
      </c>
      <c r="CM458" s="1882">
        <v>0</v>
      </c>
      <c r="CN458" s="1882">
        <v>0</v>
      </c>
      <c r="CP458" s="1882" t="s">
        <v>11014</v>
      </c>
    </row>
    <row r="459" spans="1:94">
      <c r="A459" s="1882" t="s">
        <v>8359</v>
      </c>
      <c r="B459" s="1882" t="s">
        <v>11082</v>
      </c>
      <c r="C459" s="1882" t="s">
        <v>8352</v>
      </c>
      <c r="D459" s="1882" t="s">
        <v>9036</v>
      </c>
      <c r="E459" s="1882" t="s">
        <v>9037</v>
      </c>
      <c r="F459" s="1882" t="s">
        <v>11016</v>
      </c>
      <c r="G459" s="1882" t="s">
        <v>8277</v>
      </c>
      <c r="H459" s="1882" t="s">
        <v>11083</v>
      </c>
      <c r="I459" s="1882" t="s">
        <v>11018</v>
      </c>
      <c r="J459" s="1882" t="s">
        <v>8539</v>
      </c>
      <c r="K459" s="1882"/>
      <c r="L459" s="1882"/>
      <c r="M459" s="1882"/>
      <c r="N459" s="1882" t="s">
        <v>8599</v>
      </c>
      <c r="O459" s="1882" t="s">
        <v>732</v>
      </c>
      <c r="P459" s="1882" t="s">
        <v>11019</v>
      </c>
      <c r="Q459" s="520">
        <v>0</v>
      </c>
      <c r="R459" s="1882" t="s">
        <v>8511</v>
      </c>
      <c r="S459" s="1882" t="s">
        <v>11020</v>
      </c>
      <c r="T459" s="1882" t="s">
        <v>11021</v>
      </c>
      <c r="U459" s="1882" t="s">
        <v>11021</v>
      </c>
      <c r="V459" s="1882" t="s">
        <v>11021</v>
      </c>
      <c r="W459" s="1882" t="s">
        <v>11021</v>
      </c>
      <c r="X459" s="1882" t="s">
        <v>11021</v>
      </c>
      <c r="Y459" s="1882"/>
      <c r="Z459" s="1882"/>
      <c r="AA459" s="1882"/>
      <c r="AB459" s="1882"/>
      <c r="AC459" s="1882"/>
      <c r="AD459" s="1882"/>
      <c r="AE459" s="1882"/>
      <c r="AF459" s="1882"/>
      <c r="AG459" s="1882"/>
      <c r="AH459" s="1882">
        <v>0</v>
      </c>
      <c r="AI459" s="1882"/>
      <c r="AJ459" s="1882"/>
      <c r="AK459" s="1882"/>
      <c r="AL459" s="1882"/>
      <c r="AM459" s="1882"/>
      <c r="AN459" s="1882"/>
      <c r="AO459" s="1882"/>
      <c r="AP459" s="1882"/>
      <c r="AQ459" s="1882"/>
      <c r="AR459" s="1882"/>
      <c r="AS459" s="1882"/>
      <c r="AT459" s="1882"/>
      <c r="AU459" s="1882"/>
      <c r="AV459" s="1882"/>
      <c r="AW459" s="1882"/>
      <c r="AX459" s="1882"/>
      <c r="AY459" s="1882"/>
      <c r="AZ459" s="1882"/>
      <c r="BA459" s="1882"/>
      <c r="BB459" s="1882"/>
      <c r="BC459" s="1882"/>
      <c r="BD459" s="1882"/>
      <c r="BE459" s="1882"/>
      <c r="BF459" s="1882"/>
      <c r="BG459" s="1882"/>
      <c r="BH459" s="1882"/>
      <c r="BI459" s="1882"/>
      <c r="BJ459" s="1882"/>
      <c r="BK459" s="1882"/>
      <c r="BL459" s="1882"/>
      <c r="BM459" s="1882"/>
      <c r="BN459" s="1882"/>
      <c r="BO459" s="1882"/>
      <c r="BP459" s="520">
        <v>-3</v>
      </c>
      <c r="BQ459" s="692">
        <v>-1</v>
      </c>
      <c r="BR459" s="1882" t="s">
        <v>2459</v>
      </c>
      <c r="BS459" s="1882" t="s">
        <v>8513</v>
      </c>
      <c r="BT459" s="1882">
        <v>0</v>
      </c>
      <c r="BU459" s="1882" t="s">
        <v>8513</v>
      </c>
      <c r="BV459" s="1882">
        <v>0</v>
      </c>
      <c r="BW459" s="1882">
        <v>-1</v>
      </c>
      <c r="BX459" s="1882" t="s">
        <v>2459</v>
      </c>
      <c r="BY459" s="1882">
        <v>0</v>
      </c>
      <c r="BZ459" s="1882">
        <v>0</v>
      </c>
      <c r="CA459" s="1882">
        <v>0</v>
      </c>
      <c r="CB459" s="1882">
        <v>0</v>
      </c>
      <c r="CC459" s="1882">
        <v>-1</v>
      </c>
      <c r="CD459" s="1882" t="s">
        <v>2459</v>
      </c>
      <c r="CE459" s="1882">
        <v>0</v>
      </c>
      <c r="CF459" s="1882">
        <v>0</v>
      </c>
      <c r="CG459" s="1882">
        <v>0</v>
      </c>
      <c r="CH459" s="1882">
        <v>0</v>
      </c>
      <c r="CI459" s="1882">
        <v>1</v>
      </c>
      <c r="CJ459" s="1882" t="s">
        <v>2460</v>
      </c>
      <c r="CK459" s="1882">
        <v>0</v>
      </c>
      <c r="CL459" s="1882">
        <v>0</v>
      </c>
      <c r="CM459" s="1882">
        <v>0</v>
      </c>
      <c r="CN459" s="1882">
        <v>0</v>
      </c>
      <c r="CP459" s="1882" t="s">
        <v>11022</v>
      </c>
    </row>
    <row r="460" spans="1:94">
      <c r="A460" s="1882" t="s">
        <v>8359</v>
      </c>
      <c r="B460" s="1882" t="s">
        <v>11084</v>
      </c>
      <c r="C460" s="1882" t="s">
        <v>8352</v>
      </c>
      <c r="D460" s="1882" t="s">
        <v>8584</v>
      </c>
      <c r="E460" s="1882" t="s">
        <v>8585</v>
      </c>
      <c r="F460" s="1882" t="s">
        <v>11054</v>
      </c>
      <c r="G460" s="1882" t="s">
        <v>8261</v>
      </c>
      <c r="H460" s="1882" t="s">
        <v>11085</v>
      </c>
      <c r="I460" s="1882" t="s">
        <v>11004</v>
      </c>
      <c r="J460" s="1882" t="s">
        <v>8508</v>
      </c>
      <c r="K460" s="1882" t="s">
        <v>8509</v>
      </c>
      <c r="L460" s="1882"/>
      <c r="M460" s="1882" t="s">
        <v>2460</v>
      </c>
      <c r="N460" s="1882" t="s">
        <v>8590</v>
      </c>
      <c r="O460" s="1882" t="s">
        <v>8797</v>
      </c>
      <c r="P460" s="1882" t="s">
        <v>8951</v>
      </c>
      <c r="Q460" s="520" t="s">
        <v>8512</v>
      </c>
      <c r="R460" s="1882" t="s">
        <v>8549</v>
      </c>
      <c r="S460" s="1882" t="s">
        <v>10265</v>
      </c>
      <c r="T460" s="1882" t="s">
        <v>9441</v>
      </c>
      <c r="U460" s="1882" t="s">
        <v>9441</v>
      </c>
      <c r="V460" s="1882" t="s">
        <v>9441</v>
      </c>
      <c r="W460" s="1882" t="s">
        <v>9441</v>
      </c>
      <c r="X460" s="1882" t="s">
        <v>9441</v>
      </c>
      <c r="Y460" s="1882"/>
      <c r="Z460" s="1882"/>
      <c r="AA460" s="1882"/>
      <c r="AB460" s="1882"/>
      <c r="AC460" s="1882"/>
      <c r="AD460" s="1882"/>
      <c r="AE460" s="1882"/>
      <c r="AF460" s="1882"/>
      <c r="AG460" s="1882"/>
      <c r="AH460" s="1882">
        <v>0</v>
      </c>
      <c r="AI460" s="1882" t="s">
        <v>2459</v>
      </c>
      <c r="AJ460" s="1882" t="s">
        <v>2459</v>
      </c>
      <c r="AK460" s="1882" t="s">
        <v>2459</v>
      </c>
      <c r="AL460" s="1882" t="s">
        <v>2459</v>
      </c>
      <c r="AM460" s="1882" t="s">
        <v>2459</v>
      </c>
      <c r="AN460" s="1882" t="s">
        <v>8593</v>
      </c>
      <c r="AO460" s="1882" t="s">
        <v>8593</v>
      </c>
      <c r="AP460" s="1882" t="s">
        <v>8593</v>
      </c>
      <c r="AQ460" s="1882" t="s">
        <v>8593</v>
      </c>
      <c r="AR460" s="1882" t="s">
        <v>8593</v>
      </c>
      <c r="AS460" s="1882" t="s">
        <v>8593</v>
      </c>
      <c r="AT460" s="1882" t="s">
        <v>8593</v>
      </c>
      <c r="AU460" s="1882" t="s">
        <v>8593</v>
      </c>
      <c r="AV460" s="1882" t="s">
        <v>8593</v>
      </c>
      <c r="AW460" s="1882" t="s">
        <v>8593</v>
      </c>
      <c r="AX460" s="1882" t="s">
        <v>8593</v>
      </c>
      <c r="AY460" s="1882" t="s">
        <v>8593</v>
      </c>
      <c r="AZ460" s="1882" t="s">
        <v>8593</v>
      </c>
      <c r="BA460" s="1882" t="s">
        <v>8593</v>
      </c>
      <c r="BB460" s="1882" t="s">
        <v>8593</v>
      </c>
      <c r="BC460" s="1882" t="s">
        <v>8593</v>
      </c>
      <c r="BD460" s="1882" t="s">
        <v>8593</v>
      </c>
      <c r="BE460" s="1882" t="s">
        <v>8593</v>
      </c>
      <c r="BF460" s="1882" t="s">
        <v>8593</v>
      </c>
      <c r="BG460" s="1882" t="s">
        <v>8593</v>
      </c>
      <c r="BH460" s="1882" t="s">
        <v>8593</v>
      </c>
      <c r="BI460" s="1882"/>
      <c r="BJ460" s="1882"/>
      <c r="BK460" s="1882"/>
      <c r="BL460" s="1882" t="s">
        <v>8593</v>
      </c>
      <c r="BM460" s="1882"/>
      <c r="BN460" s="1882">
        <v>1</v>
      </c>
      <c r="BO460" s="1882" t="s">
        <v>8512</v>
      </c>
      <c r="BQ460" s="692">
        <v>83</v>
      </c>
      <c r="BR460" s="1882" t="s">
        <v>2460</v>
      </c>
      <c r="BS460" s="1882" t="s">
        <v>8513</v>
      </c>
      <c r="BT460" s="1882">
        <v>0</v>
      </c>
      <c r="BU460" s="1882" t="s">
        <v>8513</v>
      </c>
      <c r="BV460" s="1882">
        <v>0</v>
      </c>
      <c r="BW460" s="1882">
        <v>82.86</v>
      </c>
      <c r="BX460" s="1882" t="s">
        <v>2460</v>
      </c>
      <c r="BY460" s="1882">
        <v>0</v>
      </c>
      <c r="BZ460" s="1882">
        <v>0</v>
      </c>
      <c r="CA460" s="1882">
        <v>0</v>
      </c>
      <c r="CB460" s="1882">
        <v>0</v>
      </c>
      <c r="CC460" s="1882">
        <v>84.64</v>
      </c>
      <c r="CD460" s="1882" t="s">
        <v>2451</v>
      </c>
      <c r="CE460" s="1882">
        <v>0</v>
      </c>
      <c r="CF460" s="1882">
        <v>0</v>
      </c>
      <c r="CG460" s="1882">
        <v>0</v>
      </c>
      <c r="CH460" s="1882">
        <v>0</v>
      </c>
      <c r="CI460" s="1882">
        <v>86.88</v>
      </c>
      <c r="CJ460" s="1882" t="s">
        <v>2451</v>
      </c>
      <c r="CK460" s="1882">
        <v>0</v>
      </c>
      <c r="CL460" s="1882">
        <v>0</v>
      </c>
      <c r="CM460" s="1882">
        <v>0</v>
      </c>
      <c r="CN460" s="1882">
        <v>0</v>
      </c>
      <c r="CP460" s="1882" t="s">
        <v>11005</v>
      </c>
    </row>
    <row r="461" spans="1:94">
      <c r="A461" s="1882" t="s">
        <v>8359</v>
      </c>
      <c r="B461" s="1882" t="s">
        <v>11086</v>
      </c>
      <c r="C461" s="1882" t="s">
        <v>8352</v>
      </c>
      <c r="D461" s="1882" t="s">
        <v>8584</v>
      </c>
      <c r="E461" s="1882" t="s">
        <v>8585</v>
      </c>
      <c r="F461" s="1882" t="s">
        <v>11054</v>
      </c>
      <c r="G461" s="1882" t="s">
        <v>8273</v>
      </c>
      <c r="H461" s="1882" t="s">
        <v>11087</v>
      </c>
      <c r="I461" s="1882" t="s">
        <v>11013</v>
      </c>
      <c r="J461" s="1882" t="s">
        <v>8539</v>
      </c>
      <c r="K461" s="1882"/>
      <c r="L461" s="1882"/>
      <c r="M461" s="1882"/>
      <c r="N461" s="1882" t="s">
        <v>8695</v>
      </c>
      <c r="O461" s="1882" t="s">
        <v>732</v>
      </c>
      <c r="P461" s="1882" t="s">
        <v>8696</v>
      </c>
      <c r="Q461" s="520">
        <v>0</v>
      </c>
      <c r="R461" s="1882" t="s">
        <v>8549</v>
      </c>
      <c r="S461" s="1882">
        <v>63</v>
      </c>
      <c r="T461" s="1882">
        <v>63</v>
      </c>
      <c r="U461" s="1882">
        <v>66</v>
      </c>
      <c r="V461" s="1882">
        <v>68</v>
      </c>
      <c r="W461" s="1882">
        <v>71</v>
      </c>
      <c r="X461" s="1882">
        <v>75</v>
      </c>
      <c r="Y461" s="1882"/>
      <c r="Z461" s="1882"/>
      <c r="AA461" s="1882"/>
      <c r="AB461" s="1882"/>
      <c r="AC461" s="1882"/>
      <c r="AD461" s="1882"/>
      <c r="AE461" s="1882"/>
      <c r="AF461" s="1882"/>
      <c r="AG461" s="1882"/>
      <c r="AH461" s="1882">
        <v>0</v>
      </c>
      <c r="AI461" s="1882"/>
      <c r="AJ461" s="1882"/>
      <c r="AK461" s="1882"/>
      <c r="AL461" s="1882"/>
      <c r="AM461" s="1882"/>
      <c r="AN461" s="1882"/>
      <c r="AO461" s="1882"/>
      <c r="AP461" s="1882"/>
      <c r="AQ461" s="1882"/>
      <c r="AR461" s="1882"/>
      <c r="AS461" s="1882"/>
      <c r="AT461" s="1882"/>
      <c r="AU461" s="1882"/>
      <c r="AV461" s="1882"/>
      <c r="AW461" s="1882"/>
      <c r="AX461" s="1882"/>
      <c r="AY461" s="1882"/>
      <c r="AZ461" s="1882"/>
      <c r="BA461" s="1882"/>
      <c r="BB461" s="1882"/>
      <c r="BC461" s="1882"/>
      <c r="BD461" s="1882"/>
      <c r="BE461" s="1882"/>
      <c r="BF461" s="1882"/>
      <c r="BG461" s="1882"/>
      <c r="BH461" s="1882"/>
      <c r="BI461" s="1882"/>
      <c r="BJ461" s="1882"/>
      <c r="BK461" s="1882"/>
      <c r="BL461" s="1882"/>
      <c r="BM461" s="1882"/>
      <c r="BN461" s="1882"/>
      <c r="BO461" s="1882"/>
      <c r="BP461" s="520">
        <v>79</v>
      </c>
      <c r="BQ461" s="693">
        <v>82</v>
      </c>
      <c r="BR461" s="1882" t="s">
        <v>2459</v>
      </c>
      <c r="BS461" s="1882" t="s">
        <v>8513</v>
      </c>
      <c r="BT461" s="1882">
        <v>0</v>
      </c>
      <c r="BU461" s="1882" t="s">
        <v>8513</v>
      </c>
      <c r="BV461" s="1882">
        <v>0</v>
      </c>
      <c r="BW461" s="1882">
        <v>85</v>
      </c>
      <c r="BX461" s="1882" t="s">
        <v>2459</v>
      </c>
      <c r="BY461" s="1882">
        <v>0</v>
      </c>
      <c r="BZ461" s="1882">
        <v>0</v>
      </c>
      <c r="CA461" s="1882">
        <v>0</v>
      </c>
      <c r="CB461" s="1882">
        <v>0</v>
      </c>
      <c r="CC461" s="1882">
        <v>84</v>
      </c>
      <c r="CD461" s="1882" t="s">
        <v>2459</v>
      </c>
      <c r="CE461" s="1882">
        <v>0</v>
      </c>
      <c r="CF461" s="1882">
        <v>0</v>
      </c>
      <c r="CG461" s="1882">
        <v>0</v>
      </c>
      <c r="CH461" s="1882">
        <v>0</v>
      </c>
      <c r="CI461" s="1882">
        <v>85</v>
      </c>
      <c r="CJ461" s="1882" t="s">
        <v>2459</v>
      </c>
      <c r="CK461" s="1882">
        <v>0</v>
      </c>
      <c r="CL461" s="1882">
        <v>0</v>
      </c>
      <c r="CM461" s="1882">
        <v>0</v>
      </c>
      <c r="CN461" s="1882">
        <v>0</v>
      </c>
      <c r="CP461" s="1882" t="s">
        <v>11014</v>
      </c>
    </row>
    <row r="462" spans="1:94">
      <c r="A462" s="1882" t="s">
        <v>8359</v>
      </c>
      <c r="B462" s="1882" t="s">
        <v>11088</v>
      </c>
      <c r="C462" s="1882" t="s">
        <v>8352</v>
      </c>
      <c r="D462" s="1882" t="s">
        <v>8584</v>
      </c>
      <c r="E462" s="1882" t="s">
        <v>8585</v>
      </c>
      <c r="F462" s="1882" t="s">
        <v>11016</v>
      </c>
      <c r="G462" s="1882" t="s">
        <v>8277</v>
      </c>
      <c r="H462" s="1882" t="s">
        <v>11089</v>
      </c>
      <c r="I462" s="1882" t="s">
        <v>11018</v>
      </c>
      <c r="J462" s="1882" t="s">
        <v>8539</v>
      </c>
      <c r="K462" s="1882"/>
      <c r="L462" s="1882"/>
      <c r="M462" s="1882"/>
      <c r="N462" s="1882" t="s">
        <v>8599</v>
      </c>
      <c r="O462" s="1882" t="s">
        <v>732</v>
      </c>
      <c r="P462" s="1882" t="s">
        <v>11019</v>
      </c>
      <c r="Q462" s="520">
        <v>0</v>
      </c>
      <c r="R462" s="1882" t="s">
        <v>8511</v>
      </c>
      <c r="S462" s="1882" t="s">
        <v>11020</v>
      </c>
      <c r="T462" s="1882" t="s">
        <v>11021</v>
      </c>
      <c r="U462" s="1882" t="s">
        <v>11021</v>
      </c>
      <c r="V462" s="1882" t="s">
        <v>11021</v>
      </c>
      <c r="W462" s="1882" t="s">
        <v>11021</v>
      </c>
      <c r="X462" s="1882" t="s">
        <v>11021</v>
      </c>
      <c r="Y462" s="1882"/>
      <c r="Z462" s="1882"/>
      <c r="AA462" s="1882"/>
      <c r="AB462" s="1882"/>
      <c r="AC462" s="1882"/>
      <c r="AD462" s="1882"/>
      <c r="AE462" s="1882"/>
      <c r="AF462" s="1882"/>
      <c r="AG462" s="1882"/>
      <c r="AH462" s="1882">
        <v>0</v>
      </c>
      <c r="AI462" s="1882"/>
      <c r="AJ462" s="1882"/>
      <c r="AK462" s="1882"/>
      <c r="AL462" s="1882"/>
      <c r="AM462" s="1882"/>
      <c r="AN462" s="1882"/>
      <c r="AO462" s="1882"/>
      <c r="AP462" s="1882"/>
      <c r="AQ462" s="1882"/>
      <c r="AR462" s="1882"/>
      <c r="AS462" s="1882"/>
      <c r="AT462" s="1882"/>
      <c r="AU462" s="1882"/>
      <c r="AV462" s="1882"/>
      <c r="AW462" s="1882"/>
      <c r="AX462" s="1882"/>
      <c r="AY462" s="1882"/>
      <c r="AZ462" s="1882"/>
      <c r="BA462" s="1882"/>
      <c r="BB462" s="1882"/>
      <c r="BC462" s="1882"/>
      <c r="BD462" s="1882"/>
      <c r="BE462" s="1882"/>
      <c r="BF462" s="1882"/>
      <c r="BG462" s="1882"/>
      <c r="BH462" s="1882"/>
      <c r="BI462" s="1882"/>
      <c r="BJ462" s="1882"/>
      <c r="BK462" s="1882"/>
      <c r="BL462" s="1882"/>
      <c r="BM462" s="1882"/>
      <c r="BN462" s="1882"/>
      <c r="BO462" s="1882"/>
      <c r="BP462" s="520">
        <v>-3</v>
      </c>
      <c r="BQ462" s="692">
        <v>-1</v>
      </c>
      <c r="BR462" s="1882" t="s">
        <v>2459</v>
      </c>
      <c r="BS462" s="1882" t="s">
        <v>8513</v>
      </c>
      <c r="BT462" s="1882">
        <v>0</v>
      </c>
      <c r="BU462" s="1882" t="s">
        <v>8513</v>
      </c>
      <c r="BV462" s="1882">
        <v>0</v>
      </c>
      <c r="BW462" s="1882">
        <v>-1</v>
      </c>
      <c r="BX462" s="1882" t="s">
        <v>2459</v>
      </c>
      <c r="BY462" s="1882">
        <v>0</v>
      </c>
      <c r="BZ462" s="1882">
        <v>0</v>
      </c>
      <c r="CA462" s="1882">
        <v>0</v>
      </c>
      <c r="CB462" s="1882">
        <v>0</v>
      </c>
      <c r="CC462" s="1882">
        <v>-2</v>
      </c>
      <c r="CD462" s="1882" t="s">
        <v>2459</v>
      </c>
      <c r="CE462" s="1882">
        <v>0</v>
      </c>
      <c r="CF462" s="1882">
        <v>0</v>
      </c>
      <c r="CG462" s="1882">
        <v>0</v>
      </c>
      <c r="CH462" s="1882">
        <v>0</v>
      </c>
      <c r="CI462" s="1882">
        <v>-2</v>
      </c>
      <c r="CJ462" s="1882" t="s">
        <v>2459</v>
      </c>
      <c r="CK462" s="1882">
        <v>0</v>
      </c>
      <c r="CL462" s="1882">
        <v>0</v>
      </c>
      <c r="CM462" s="1882">
        <v>0</v>
      </c>
      <c r="CN462" s="1882">
        <v>0</v>
      </c>
      <c r="CP462" s="1882" t="s">
        <v>11022</v>
      </c>
    </row>
    <row r="463" spans="1:94">
      <c r="A463" s="1882" t="s">
        <v>8359</v>
      </c>
      <c r="B463" s="1882" t="s">
        <v>11090</v>
      </c>
      <c r="C463" s="1882" t="s">
        <v>8352</v>
      </c>
      <c r="D463" s="1882" t="s">
        <v>8584</v>
      </c>
      <c r="E463" s="1882" t="s">
        <v>8585</v>
      </c>
      <c r="F463" s="1882" t="s">
        <v>11016</v>
      </c>
      <c r="G463" s="1882" t="s">
        <v>8280</v>
      </c>
      <c r="H463" s="1882" t="s">
        <v>11091</v>
      </c>
      <c r="I463" s="1882" t="s">
        <v>11092</v>
      </c>
      <c r="J463" s="1882" t="s">
        <v>8539</v>
      </c>
      <c r="K463" s="1882"/>
      <c r="L463" s="1882"/>
      <c r="M463" s="1882"/>
      <c r="N463" s="1882" t="s">
        <v>8599</v>
      </c>
      <c r="O463" s="1882" t="s">
        <v>764</v>
      </c>
      <c r="P463" s="1882" t="s">
        <v>11093</v>
      </c>
      <c r="Q463" s="520">
        <v>0</v>
      </c>
      <c r="R463" s="1882" t="s">
        <v>8549</v>
      </c>
      <c r="S463" s="1882">
        <v>52000</v>
      </c>
      <c r="T463" s="1882">
        <v>52000</v>
      </c>
      <c r="U463" s="1882">
        <v>65000</v>
      </c>
      <c r="V463" s="1882">
        <v>75000</v>
      </c>
      <c r="W463" s="1882">
        <v>85000</v>
      </c>
      <c r="X463" s="1882">
        <v>100000</v>
      </c>
      <c r="Y463" s="1882"/>
      <c r="Z463" s="1882"/>
      <c r="AA463" s="1882"/>
      <c r="AB463" s="1882"/>
      <c r="AC463" s="1882"/>
      <c r="AD463" s="1882"/>
      <c r="AE463" s="1882"/>
      <c r="AF463" s="1882"/>
      <c r="AG463" s="1882"/>
      <c r="AH463" s="1882">
        <v>0</v>
      </c>
      <c r="AI463" s="1882"/>
      <c r="AJ463" s="1882"/>
      <c r="AK463" s="1882"/>
      <c r="AL463" s="1882"/>
      <c r="AM463" s="1882"/>
      <c r="AN463" s="1882"/>
      <c r="AO463" s="1882"/>
      <c r="AP463" s="1882"/>
      <c r="AQ463" s="1882"/>
      <c r="AR463" s="1882"/>
      <c r="AS463" s="1882"/>
      <c r="AT463" s="1882"/>
      <c r="AU463" s="1882"/>
      <c r="AV463" s="1882"/>
      <c r="AW463" s="1882"/>
      <c r="AX463" s="1882"/>
      <c r="AY463" s="1882"/>
      <c r="AZ463" s="1882"/>
      <c r="BA463" s="1882"/>
      <c r="BB463" s="1882"/>
      <c r="BC463" s="1882"/>
      <c r="BD463" s="1882"/>
      <c r="BE463" s="1882"/>
      <c r="BF463" s="1882"/>
      <c r="BG463" s="1882"/>
      <c r="BH463" s="1882"/>
      <c r="BI463" s="1882"/>
      <c r="BJ463" s="1882"/>
      <c r="BK463" s="1882"/>
      <c r="BL463" s="1882"/>
      <c r="BM463" s="1882"/>
      <c r="BN463" s="1882"/>
      <c r="BO463" s="1882"/>
      <c r="BP463" s="520">
        <v>49455</v>
      </c>
      <c r="BQ463" s="693">
        <v>48734</v>
      </c>
      <c r="BR463" s="1882" t="s">
        <v>2459</v>
      </c>
      <c r="BS463" s="1882" t="s">
        <v>8513</v>
      </c>
      <c r="BT463" s="1882">
        <v>0</v>
      </c>
      <c r="BU463" s="1882" t="s">
        <v>8513</v>
      </c>
      <c r="BV463" s="1882">
        <v>0</v>
      </c>
      <c r="BW463" s="1882">
        <v>65461</v>
      </c>
      <c r="BX463" s="1882" t="s">
        <v>2459</v>
      </c>
      <c r="BY463" s="1882">
        <v>0</v>
      </c>
      <c r="BZ463" s="1882">
        <v>0</v>
      </c>
      <c r="CA463" s="1882">
        <v>0</v>
      </c>
      <c r="CB463" s="1882">
        <v>0</v>
      </c>
      <c r="CC463" s="1882">
        <v>100999</v>
      </c>
      <c r="CD463" s="1882" t="s">
        <v>2459</v>
      </c>
      <c r="CE463" s="1882">
        <v>0</v>
      </c>
      <c r="CF463" s="1882">
        <v>0</v>
      </c>
      <c r="CG463" s="1882">
        <v>0</v>
      </c>
      <c r="CH463" s="1882">
        <v>0</v>
      </c>
      <c r="CI463" s="1882">
        <v>120783</v>
      </c>
      <c r="CJ463" s="1882" t="s">
        <v>2459</v>
      </c>
      <c r="CK463" s="1882">
        <v>0</v>
      </c>
      <c r="CL463" s="1882">
        <v>0</v>
      </c>
      <c r="CM463" s="1882">
        <v>0</v>
      </c>
      <c r="CN463" s="1882">
        <v>0</v>
      </c>
      <c r="CP463" s="1882" t="s">
        <v>11094</v>
      </c>
    </row>
    <row r="464" spans="1:94">
      <c r="A464" s="1882" t="s">
        <v>8387</v>
      </c>
      <c r="B464" s="1882" t="s">
        <v>11095</v>
      </c>
      <c r="C464" s="1882" t="s">
        <v>8352</v>
      </c>
      <c r="D464" s="1882" t="s">
        <v>1626</v>
      </c>
      <c r="E464" s="1882" t="s">
        <v>8503</v>
      </c>
      <c r="F464" s="1882" t="s">
        <v>11096</v>
      </c>
      <c r="G464" s="1882" t="s">
        <v>9019</v>
      </c>
      <c r="H464" s="1882" t="s">
        <v>11097</v>
      </c>
      <c r="I464" s="1882" t="s">
        <v>11098</v>
      </c>
      <c r="J464" s="1882" t="s">
        <v>8539</v>
      </c>
      <c r="K464" s="1882"/>
      <c r="L464" s="1882"/>
      <c r="M464" s="1882"/>
      <c r="N464" s="1882" t="s">
        <v>8533</v>
      </c>
      <c r="O464" s="1882" t="s">
        <v>732</v>
      </c>
      <c r="P464" s="1882" t="s">
        <v>11099</v>
      </c>
      <c r="Q464" s="520">
        <v>1</v>
      </c>
      <c r="R464" s="1882" t="s">
        <v>8549</v>
      </c>
      <c r="S464" s="1882">
        <v>100</v>
      </c>
      <c r="T464" s="1882">
        <v>100</v>
      </c>
      <c r="U464" s="1882">
        <v>100</v>
      </c>
      <c r="V464" s="1882">
        <v>100</v>
      </c>
      <c r="W464" s="1882">
        <v>100</v>
      </c>
      <c r="X464" s="1882">
        <v>100</v>
      </c>
      <c r="Y464" s="1882"/>
      <c r="Z464" s="1882"/>
      <c r="AA464" s="1882"/>
      <c r="AB464" s="1882"/>
      <c r="AC464" s="1882"/>
      <c r="AD464" s="1882"/>
      <c r="AE464" s="1882"/>
      <c r="AF464" s="1882"/>
      <c r="AG464" s="1882"/>
      <c r="AH464" s="1882">
        <v>0</v>
      </c>
      <c r="AI464" s="1882"/>
      <c r="AJ464" s="1882"/>
      <c r="AK464" s="1882"/>
      <c r="AL464" s="1882"/>
      <c r="AM464" s="1882"/>
      <c r="AN464" s="1882"/>
      <c r="AO464" s="1882"/>
      <c r="AP464" s="1882"/>
      <c r="AQ464" s="1882"/>
      <c r="AR464" s="1882"/>
      <c r="AS464" s="1882"/>
      <c r="AT464" s="1882"/>
      <c r="AU464" s="1882"/>
      <c r="AV464" s="1882"/>
      <c r="AW464" s="1882"/>
      <c r="AX464" s="1882"/>
      <c r="AY464" s="1882"/>
      <c r="AZ464" s="1882"/>
      <c r="BA464" s="1882"/>
      <c r="BB464" s="1882"/>
      <c r="BC464" s="1882"/>
      <c r="BD464" s="1882"/>
      <c r="BE464" s="1882"/>
      <c r="BF464" s="1882"/>
      <c r="BG464" s="1882"/>
      <c r="BH464" s="1882"/>
      <c r="BI464" s="1882"/>
      <c r="BJ464" s="1882"/>
      <c r="BK464" s="1882"/>
      <c r="BL464" s="1882"/>
      <c r="BM464" s="1882"/>
      <c r="BN464" s="1882"/>
      <c r="BO464" s="1882"/>
      <c r="BP464" s="520">
        <v>100</v>
      </c>
      <c r="BQ464" s="690">
        <v>100</v>
      </c>
      <c r="BR464" s="1882" t="s">
        <v>2459</v>
      </c>
      <c r="BS464" s="1882" t="s">
        <v>8513</v>
      </c>
      <c r="BT464" s="1882">
        <v>0</v>
      </c>
      <c r="BU464" s="1882" t="s">
        <v>8513</v>
      </c>
      <c r="BV464" s="1882">
        <v>0</v>
      </c>
      <c r="BW464" s="1882">
        <v>100</v>
      </c>
      <c r="BX464" s="1882" t="s">
        <v>2459</v>
      </c>
      <c r="BY464" s="1882">
        <v>0</v>
      </c>
      <c r="BZ464" s="1882">
        <v>0</v>
      </c>
      <c r="CA464" s="1882">
        <v>0</v>
      </c>
      <c r="CB464" s="1882">
        <v>0</v>
      </c>
      <c r="CC464" s="1882">
        <v>100</v>
      </c>
      <c r="CD464" s="1882" t="s">
        <v>2459</v>
      </c>
      <c r="CE464" s="1882">
        <v>0</v>
      </c>
      <c r="CF464" s="1882">
        <v>0</v>
      </c>
      <c r="CG464" s="1882">
        <v>0</v>
      </c>
      <c r="CH464" s="1882">
        <v>0</v>
      </c>
      <c r="CI464" s="1882">
        <v>100</v>
      </c>
      <c r="CJ464" s="1882" t="s">
        <v>2459</v>
      </c>
      <c r="CK464" s="1882">
        <v>0</v>
      </c>
      <c r="CL464" s="1882">
        <v>0</v>
      </c>
      <c r="CM464" s="1882">
        <v>0</v>
      </c>
      <c r="CN464" s="1882">
        <v>0</v>
      </c>
      <c r="CP464" s="1882" t="s">
        <v>11100</v>
      </c>
    </row>
    <row r="465" spans="1:94">
      <c r="A465" s="1882" t="s">
        <v>8387</v>
      </c>
      <c r="B465" s="1882" t="s">
        <v>11101</v>
      </c>
      <c r="C465" s="1882" t="s">
        <v>8352</v>
      </c>
      <c r="D465" s="1882" t="s">
        <v>1626</v>
      </c>
      <c r="E465" s="1882" t="s">
        <v>8503</v>
      </c>
      <c r="F465" s="1882" t="s">
        <v>11096</v>
      </c>
      <c r="G465" s="1882" t="s">
        <v>9483</v>
      </c>
      <c r="H465" s="1882" t="s">
        <v>11102</v>
      </c>
      <c r="I465" s="1882" t="s">
        <v>11103</v>
      </c>
      <c r="J465" s="1882" t="s">
        <v>8519</v>
      </c>
      <c r="K465" s="1882" t="s">
        <v>8509</v>
      </c>
      <c r="L465" s="1882"/>
      <c r="M465" s="1882"/>
      <c r="N465" s="1882" t="s">
        <v>8533</v>
      </c>
      <c r="O465" s="1882" t="s">
        <v>764</v>
      </c>
      <c r="P465" s="1882" t="s">
        <v>11104</v>
      </c>
      <c r="Q465" s="520">
        <v>0</v>
      </c>
      <c r="R465" s="1882" t="s">
        <v>8511</v>
      </c>
      <c r="S465" s="1882">
        <v>100</v>
      </c>
      <c r="T465" s="1882">
        <v>100</v>
      </c>
      <c r="U465" s="1882">
        <v>100</v>
      </c>
      <c r="V465" s="1882">
        <v>100</v>
      </c>
      <c r="W465" s="1882">
        <v>100</v>
      </c>
      <c r="X465" s="1882">
        <v>100</v>
      </c>
      <c r="Y465" s="1882"/>
      <c r="Z465" s="1882"/>
      <c r="AA465" s="1882"/>
      <c r="AB465" s="1882"/>
      <c r="AC465" s="1882"/>
      <c r="AD465" s="1882"/>
      <c r="AE465" s="1882"/>
      <c r="AF465" s="1882"/>
      <c r="AG465" s="1882" t="s">
        <v>2459</v>
      </c>
      <c r="AH465" s="1882">
        <v>0</v>
      </c>
      <c r="AI465" s="1882" t="s">
        <v>2459</v>
      </c>
      <c r="AJ465" s="1882" t="s">
        <v>2459</v>
      </c>
      <c r="AK465" s="1882" t="s">
        <v>2459</v>
      </c>
      <c r="AL465" s="1882" t="s">
        <v>2459</v>
      </c>
      <c r="AM465" s="1882" t="s">
        <v>2459</v>
      </c>
      <c r="AN465" s="1882">
        <v>1350</v>
      </c>
      <c r="AO465" s="1882">
        <v>1350</v>
      </c>
      <c r="AP465" s="1882">
        <v>1350</v>
      </c>
      <c r="AQ465" s="1882">
        <v>1350</v>
      </c>
      <c r="AR465" s="1882">
        <v>1350</v>
      </c>
      <c r="AS465" s="1882">
        <v>100</v>
      </c>
      <c r="AT465" s="1882">
        <v>100</v>
      </c>
      <c r="AU465" s="1882">
        <v>100</v>
      </c>
      <c r="AV465" s="1882">
        <v>100</v>
      </c>
      <c r="AW465" s="1882">
        <v>100</v>
      </c>
      <c r="AX465" s="1882"/>
      <c r="AY465" s="1882"/>
      <c r="AZ465" s="1882"/>
      <c r="BA465" s="1882"/>
      <c r="BB465" s="1882"/>
      <c r="BC465" s="1882"/>
      <c r="BD465" s="1882"/>
      <c r="BE465" s="1882"/>
      <c r="BF465" s="1882"/>
      <c r="BG465" s="1882"/>
      <c r="BH465" s="1882">
        <v>2.5000000000000001E-5</v>
      </c>
      <c r="BI465" s="1882"/>
      <c r="BJ465" s="1882"/>
      <c r="BK465" s="1882"/>
      <c r="BL465" s="1882"/>
      <c r="BM465" s="1882"/>
      <c r="BN465" s="1882">
        <v>1</v>
      </c>
      <c r="BO465" s="1882" t="s">
        <v>8512</v>
      </c>
      <c r="BP465" s="520">
        <v>88</v>
      </c>
      <c r="BQ465" s="693">
        <v>172</v>
      </c>
      <c r="BR465" s="1882" t="s">
        <v>2460</v>
      </c>
      <c r="BS465" s="1882" t="s">
        <v>8513</v>
      </c>
      <c r="BT465" s="1882">
        <v>0</v>
      </c>
      <c r="BU465" s="1882" t="s">
        <v>8563</v>
      </c>
      <c r="BV465" s="1882">
        <v>-1.8E-3</v>
      </c>
      <c r="BW465" s="1882">
        <v>341</v>
      </c>
      <c r="BX465" s="1882" t="s">
        <v>2460</v>
      </c>
      <c r="BY465" s="1882">
        <v>0</v>
      </c>
      <c r="BZ465" s="1882">
        <v>0</v>
      </c>
      <c r="CA465" s="1882" t="s">
        <v>8563</v>
      </c>
      <c r="CB465" s="1882">
        <v>-6.0000000000000001E-3</v>
      </c>
      <c r="CC465" s="1882">
        <v>30</v>
      </c>
      <c r="CD465" s="1882" t="s">
        <v>2459</v>
      </c>
      <c r="CE465" s="1882">
        <v>0</v>
      </c>
      <c r="CF465" s="1882">
        <v>0</v>
      </c>
      <c r="CG465" s="1882">
        <v>0</v>
      </c>
      <c r="CH465" s="1882">
        <v>0</v>
      </c>
      <c r="CI465" s="1882">
        <v>6.7000000000000004E-2</v>
      </c>
      <c r="CJ465" s="1882" t="s">
        <v>2459</v>
      </c>
      <c r="CK465" s="1882">
        <v>0</v>
      </c>
      <c r="CL465" s="1882">
        <v>0</v>
      </c>
      <c r="CM465" s="1882">
        <v>0</v>
      </c>
      <c r="CN465" s="1882">
        <v>0</v>
      </c>
      <c r="CP465" s="1882" t="s">
        <v>11105</v>
      </c>
    </row>
    <row r="466" spans="1:94">
      <c r="A466" s="1882" t="s">
        <v>8387</v>
      </c>
      <c r="B466" s="1882" t="s">
        <v>11106</v>
      </c>
      <c r="C466" s="1882" t="s">
        <v>8352</v>
      </c>
      <c r="D466" s="1882" t="s">
        <v>1626</v>
      </c>
      <c r="E466" s="1882" t="s">
        <v>8503</v>
      </c>
      <c r="F466" s="1882" t="s">
        <v>11096</v>
      </c>
      <c r="G466" s="1882" t="s">
        <v>9489</v>
      </c>
      <c r="H466" s="1882" t="s">
        <v>11107</v>
      </c>
      <c r="I466" s="1882" t="s">
        <v>11108</v>
      </c>
      <c r="J466" s="1882" t="s">
        <v>8519</v>
      </c>
      <c r="K466" s="1882" t="s">
        <v>8855</v>
      </c>
      <c r="L466" s="1882"/>
      <c r="M466" s="1882"/>
      <c r="N466" s="1882" t="s">
        <v>8666</v>
      </c>
      <c r="O466" s="1882" t="s">
        <v>732</v>
      </c>
      <c r="P466" s="1882" t="s">
        <v>11109</v>
      </c>
      <c r="Q466" s="520">
        <v>0</v>
      </c>
      <c r="R466" s="1882" t="s">
        <v>8549</v>
      </c>
      <c r="S466" s="1882">
        <v>47</v>
      </c>
      <c r="T466" s="1882">
        <v>60</v>
      </c>
      <c r="U466" s="1882">
        <v>70</v>
      </c>
      <c r="V466" s="1882">
        <v>80</v>
      </c>
      <c r="W466" s="1882">
        <v>90</v>
      </c>
      <c r="X466" s="1882">
        <v>100</v>
      </c>
      <c r="Y466" s="1882"/>
      <c r="Z466" s="1882"/>
      <c r="AA466" s="1882"/>
      <c r="AB466" s="1882"/>
      <c r="AC466" s="1882"/>
      <c r="AD466" s="1882"/>
      <c r="AE466" s="1882"/>
      <c r="AF466" s="1882" t="s">
        <v>2459</v>
      </c>
      <c r="AG466" s="1882"/>
      <c r="AH466" s="1882">
        <v>0</v>
      </c>
      <c r="AI466" s="1882" t="s">
        <v>2459</v>
      </c>
      <c r="AJ466" s="1882" t="s">
        <v>2459</v>
      </c>
      <c r="AK466" s="1882" t="s">
        <v>2459</v>
      </c>
      <c r="AL466" s="1882" t="s">
        <v>2459</v>
      </c>
      <c r="AM466" s="1882" t="s">
        <v>2459</v>
      </c>
      <c r="AN466" s="1882">
        <v>50</v>
      </c>
      <c r="AO466" s="1882">
        <v>50</v>
      </c>
      <c r="AP466" s="1882">
        <v>50</v>
      </c>
      <c r="AQ466" s="1882">
        <v>50</v>
      </c>
      <c r="AR466" s="1882">
        <v>50</v>
      </c>
      <c r="AS466" s="1882">
        <v>60</v>
      </c>
      <c r="AT466" s="1882">
        <v>70</v>
      </c>
      <c r="AU466" s="1882">
        <v>80</v>
      </c>
      <c r="AV466" s="1882">
        <v>90</v>
      </c>
      <c r="AW466" s="1882">
        <v>100</v>
      </c>
      <c r="AX466" s="1882"/>
      <c r="AY466" s="1882"/>
      <c r="AZ466" s="1882"/>
      <c r="BA466" s="1882"/>
      <c r="BB466" s="1882"/>
      <c r="BC466" s="1882"/>
      <c r="BD466" s="1882"/>
      <c r="BE466" s="1882"/>
      <c r="BF466" s="1882"/>
      <c r="BG466" s="1882"/>
      <c r="BH466" s="1882">
        <v>4.0000000000000001E-3</v>
      </c>
      <c r="BI466" s="1882"/>
      <c r="BJ466" s="1882"/>
      <c r="BK466" s="1882"/>
      <c r="BL466" s="1882"/>
      <c r="BM466" s="1882"/>
      <c r="BN466" s="1882">
        <v>1</v>
      </c>
      <c r="BO466" s="1882" t="s">
        <v>8512</v>
      </c>
      <c r="BP466" s="520">
        <v>47</v>
      </c>
      <c r="BQ466" s="693">
        <v>60</v>
      </c>
      <c r="BR466" s="1882" t="s">
        <v>2459</v>
      </c>
      <c r="BS466" s="1882" t="s">
        <v>8513</v>
      </c>
      <c r="BT466" s="1882">
        <v>0</v>
      </c>
      <c r="BU466" s="1882" t="s">
        <v>8513</v>
      </c>
      <c r="BV466" s="1882">
        <v>0</v>
      </c>
      <c r="BW466" s="1882">
        <v>71</v>
      </c>
      <c r="BX466" s="1882" t="s">
        <v>2459</v>
      </c>
      <c r="BY466" s="1882">
        <v>0</v>
      </c>
      <c r="BZ466" s="1882">
        <v>0</v>
      </c>
      <c r="CA466" s="1882">
        <v>0</v>
      </c>
      <c r="CB466" s="1882">
        <v>0</v>
      </c>
      <c r="CC466" s="1882">
        <v>86</v>
      </c>
      <c r="CD466" s="1882" t="s">
        <v>2459</v>
      </c>
      <c r="CE466" s="1882">
        <v>0</v>
      </c>
      <c r="CF466" s="1882">
        <v>0</v>
      </c>
      <c r="CG466" s="1882">
        <v>0</v>
      </c>
      <c r="CH466" s="1882">
        <v>0</v>
      </c>
      <c r="CI466" s="1882">
        <v>96</v>
      </c>
      <c r="CJ466" s="1882" t="s">
        <v>2459</v>
      </c>
      <c r="CK466" s="1882">
        <v>0</v>
      </c>
      <c r="CL466" s="1882">
        <v>0</v>
      </c>
      <c r="CM466" s="1882">
        <v>0</v>
      </c>
      <c r="CN466" s="1882">
        <v>0</v>
      </c>
      <c r="CP466" s="1882" t="s">
        <v>11110</v>
      </c>
    </row>
    <row r="467" spans="1:94">
      <c r="A467" s="1882" t="s">
        <v>8387</v>
      </c>
      <c r="B467" s="1882" t="s">
        <v>11111</v>
      </c>
      <c r="C467" s="1882" t="s">
        <v>8352</v>
      </c>
      <c r="D467" s="1882" t="s">
        <v>1626</v>
      </c>
      <c r="E467" s="1882" t="s">
        <v>8503</v>
      </c>
      <c r="F467" s="1882" t="s">
        <v>11096</v>
      </c>
      <c r="G467" s="1882" t="s">
        <v>11112</v>
      </c>
      <c r="H467" s="1882" t="s">
        <v>11113</v>
      </c>
      <c r="I467" s="1882" t="s">
        <v>11114</v>
      </c>
      <c r="J467" s="1882" t="s">
        <v>8508</v>
      </c>
      <c r="K467" s="1882" t="s">
        <v>8855</v>
      </c>
      <c r="L467" s="1882"/>
      <c r="M467" s="1882"/>
      <c r="N467" s="1882" t="s">
        <v>8673</v>
      </c>
      <c r="O467" s="1882" t="s">
        <v>764</v>
      </c>
      <c r="P467" s="1882" t="s">
        <v>11115</v>
      </c>
      <c r="Q467" s="520">
        <v>0</v>
      </c>
      <c r="R467" s="1882" t="s">
        <v>8549</v>
      </c>
      <c r="S467" s="1882">
        <v>0</v>
      </c>
      <c r="T467" s="1882">
        <v>0</v>
      </c>
      <c r="U467" s="1882">
        <v>0</v>
      </c>
      <c r="V467" s="1882">
        <v>0</v>
      </c>
      <c r="W467" s="1882">
        <v>99</v>
      </c>
      <c r="X467" s="1882">
        <v>99</v>
      </c>
      <c r="Y467" s="1882"/>
      <c r="Z467" s="1882"/>
      <c r="AA467" s="1882"/>
      <c r="AB467" s="1882"/>
      <c r="AC467" s="1882"/>
      <c r="AD467" s="1882"/>
      <c r="AE467" s="1882"/>
      <c r="AF467" s="1882" t="s">
        <v>2459</v>
      </c>
      <c r="AG467" s="1882"/>
      <c r="AH467" s="1882">
        <v>0</v>
      </c>
      <c r="AI467" s="1882" t="s">
        <v>2459</v>
      </c>
      <c r="AJ467" s="1882" t="s">
        <v>2459</v>
      </c>
      <c r="AK467" s="1882" t="s">
        <v>2459</v>
      </c>
      <c r="AL467" s="1882" t="s">
        <v>2459</v>
      </c>
      <c r="AM467" s="1882" t="s">
        <v>2459</v>
      </c>
      <c r="AN467" s="1882">
        <v>0</v>
      </c>
      <c r="AO467" s="1882">
        <v>0</v>
      </c>
      <c r="AP467" s="1882">
        <v>0</v>
      </c>
      <c r="AQ467" s="1882">
        <v>0</v>
      </c>
      <c r="AR467" s="1882">
        <v>0</v>
      </c>
      <c r="AS467" s="1882">
        <v>0</v>
      </c>
      <c r="AT467" s="1882">
        <v>0</v>
      </c>
      <c r="AU467" s="1882">
        <v>0</v>
      </c>
      <c r="AV467" s="1882">
        <v>99</v>
      </c>
      <c r="AW467" s="1882">
        <v>99</v>
      </c>
      <c r="AX467" s="1882">
        <v>0</v>
      </c>
      <c r="AY467" s="1882">
        <v>0</v>
      </c>
      <c r="AZ467" s="1882">
        <v>0</v>
      </c>
      <c r="BA467" s="1882">
        <v>99</v>
      </c>
      <c r="BB467" s="1882">
        <v>99</v>
      </c>
      <c r="BC467" s="1882">
        <v>999999</v>
      </c>
      <c r="BD467" s="1882">
        <v>999999</v>
      </c>
      <c r="BE467" s="1882">
        <v>999999</v>
      </c>
      <c r="BF467" s="1882">
        <v>999999</v>
      </c>
      <c r="BG467" s="1882">
        <v>999999</v>
      </c>
      <c r="BH467" s="1882">
        <v>1.9E-2</v>
      </c>
      <c r="BI467" s="1882"/>
      <c r="BJ467" s="1882"/>
      <c r="BK467" s="1882"/>
      <c r="BL467" s="1882">
        <v>1.9E-2</v>
      </c>
      <c r="BM467" s="1882"/>
      <c r="BN467" s="1882">
        <v>1</v>
      </c>
      <c r="BO467" s="1882" t="s">
        <v>8512</v>
      </c>
      <c r="BP467" s="520">
        <v>0</v>
      </c>
      <c r="BQ467" s="693">
        <v>0</v>
      </c>
      <c r="BR467" s="1882" t="s">
        <v>2459</v>
      </c>
      <c r="BS467" s="1882" t="s">
        <v>8513</v>
      </c>
      <c r="BT467" s="1882">
        <v>0</v>
      </c>
      <c r="BU467" s="1882" t="s">
        <v>8513</v>
      </c>
      <c r="BV467" s="1882">
        <v>0</v>
      </c>
      <c r="BW467" s="1882">
        <v>0</v>
      </c>
      <c r="BX467" s="1882" t="s">
        <v>2459</v>
      </c>
      <c r="BY467" s="1882">
        <v>0</v>
      </c>
      <c r="BZ467" s="1882">
        <v>0</v>
      </c>
      <c r="CA467" s="1882">
        <v>0</v>
      </c>
      <c r="CB467" s="1882">
        <v>0</v>
      </c>
      <c r="CC467" s="1882">
        <v>78</v>
      </c>
      <c r="CD467" s="1882" t="s">
        <v>2459</v>
      </c>
      <c r="CE467" s="1882">
        <v>0</v>
      </c>
      <c r="CF467" s="1882">
        <v>0</v>
      </c>
      <c r="CG467" s="1882" t="s">
        <v>8376</v>
      </c>
      <c r="CH467" s="1882">
        <v>1.482</v>
      </c>
      <c r="CI467" s="1882">
        <v>111</v>
      </c>
      <c r="CJ467" s="1882" t="s">
        <v>2459</v>
      </c>
      <c r="CK467" s="1882">
        <v>0</v>
      </c>
      <c r="CL467" s="1882">
        <v>0</v>
      </c>
      <c r="CM467" s="1882" t="s">
        <v>8376</v>
      </c>
      <c r="CN467" s="1882">
        <v>0.22800000000000001</v>
      </c>
      <c r="CP467" s="1882" t="s">
        <v>11116</v>
      </c>
    </row>
    <row r="468" spans="1:94">
      <c r="A468" s="1882" t="s">
        <v>8387</v>
      </c>
      <c r="B468" s="1882" t="s">
        <v>11117</v>
      </c>
      <c r="C468" s="1882" t="s">
        <v>8352</v>
      </c>
      <c r="D468" s="1882" t="s">
        <v>1626</v>
      </c>
      <c r="E468" s="1882" t="s">
        <v>8503</v>
      </c>
      <c r="F468" s="1882" t="s">
        <v>11118</v>
      </c>
      <c r="G468" s="1882" t="s">
        <v>8264</v>
      </c>
      <c r="H468" s="1882" t="s">
        <v>11119</v>
      </c>
      <c r="I468" s="1882" t="s">
        <v>11120</v>
      </c>
      <c r="J468" s="1882" t="s">
        <v>8519</v>
      </c>
      <c r="K468" s="1882" t="s">
        <v>8509</v>
      </c>
      <c r="L468" s="1882"/>
      <c r="M468" s="1882" t="s">
        <v>2460</v>
      </c>
      <c r="N468" s="1882" t="s">
        <v>8635</v>
      </c>
      <c r="O468" s="1882" t="s">
        <v>764</v>
      </c>
      <c r="P468" s="1882" t="s">
        <v>11121</v>
      </c>
      <c r="Q468" s="520">
        <v>0</v>
      </c>
      <c r="R468" s="1882" t="s">
        <v>8511</v>
      </c>
      <c r="S468" s="1882">
        <v>0</v>
      </c>
      <c r="T468" s="1882">
        <v>0</v>
      </c>
      <c r="U468" s="1882">
        <v>0</v>
      </c>
      <c r="V468" s="1882">
        <v>0</v>
      </c>
      <c r="W468" s="1882">
        <v>0</v>
      </c>
      <c r="X468" s="1882">
        <v>0</v>
      </c>
      <c r="Y468" s="1882"/>
      <c r="Z468" s="1882"/>
      <c r="AA468" s="1882"/>
      <c r="AB468" s="1882"/>
      <c r="AC468" s="1882"/>
      <c r="AD468" s="1882"/>
      <c r="AE468" s="1882"/>
      <c r="AF468" s="1882"/>
      <c r="AG468" s="1882"/>
      <c r="AH468" s="1882">
        <v>0</v>
      </c>
      <c r="AI468" s="1882" t="s">
        <v>2459</v>
      </c>
      <c r="AJ468" s="1882" t="s">
        <v>2459</v>
      </c>
      <c r="AK468" s="1882" t="s">
        <v>2459</v>
      </c>
      <c r="AL468" s="1882" t="s">
        <v>2459</v>
      </c>
      <c r="AM468" s="1882" t="s">
        <v>2459</v>
      </c>
      <c r="AN468" s="1882">
        <v>1</v>
      </c>
      <c r="AO468" s="1882">
        <v>1</v>
      </c>
      <c r="AP468" s="1882">
        <v>1</v>
      </c>
      <c r="AQ468" s="1882">
        <v>1</v>
      </c>
      <c r="AR468" s="1882">
        <v>1</v>
      </c>
      <c r="AS468" s="1882">
        <v>0</v>
      </c>
      <c r="AT468" s="1882">
        <v>0</v>
      </c>
      <c r="AU468" s="1882">
        <v>0</v>
      </c>
      <c r="AV468" s="1882">
        <v>0</v>
      </c>
      <c r="AW468" s="1882">
        <v>0</v>
      </c>
      <c r="AX468" s="1882"/>
      <c r="AY468" s="1882"/>
      <c r="AZ468" s="1882"/>
      <c r="BA468" s="1882"/>
      <c r="BB468" s="1882"/>
      <c r="BC468" s="1882"/>
      <c r="BD468" s="1882"/>
      <c r="BE468" s="1882"/>
      <c r="BF468" s="1882"/>
      <c r="BG468" s="1882"/>
      <c r="BH468" s="1882">
        <v>10.1</v>
      </c>
      <c r="BI468" s="1882"/>
      <c r="BJ468" s="1882"/>
      <c r="BK468" s="1882"/>
      <c r="BL468" s="1882"/>
      <c r="BM468" s="1882"/>
      <c r="BN468" s="1882">
        <v>1</v>
      </c>
      <c r="BO468" s="1882" t="s">
        <v>8512</v>
      </c>
      <c r="BP468" s="520">
        <v>0</v>
      </c>
      <c r="BQ468" s="693">
        <v>0</v>
      </c>
      <c r="BR468" s="1882" t="s">
        <v>2459</v>
      </c>
      <c r="BS468" s="1882" t="s">
        <v>8513</v>
      </c>
      <c r="BT468" s="1882">
        <v>0</v>
      </c>
      <c r="BU468" s="1882" t="s">
        <v>8513</v>
      </c>
      <c r="BV468" s="1882">
        <v>0</v>
      </c>
      <c r="BW468" s="1882">
        <v>0</v>
      </c>
      <c r="BX468" s="1882" t="s">
        <v>2459</v>
      </c>
      <c r="BY468" s="1882">
        <v>0</v>
      </c>
      <c r="BZ468" s="1882">
        <v>0</v>
      </c>
      <c r="CA468" s="1882">
        <v>0</v>
      </c>
      <c r="CB468" s="1882">
        <v>0</v>
      </c>
      <c r="CC468" s="1882">
        <v>0</v>
      </c>
      <c r="CD468" s="1882" t="s">
        <v>2459</v>
      </c>
      <c r="CE468" s="1882">
        <v>0</v>
      </c>
      <c r="CF468" s="1882">
        <v>0</v>
      </c>
      <c r="CG468" s="1882">
        <v>0</v>
      </c>
      <c r="CH468" s="1882">
        <v>0</v>
      </c>
      <c r="CI468" s="1882">
        <v>0</v>
      </c>
      <c r="CJ468" s="1882" t="s">
        <v>2459</v>
      </c>
      <c r="CK468" s="1882">
        <v>0</v>
      </c>
      <c r="CL468" s="1882">
        <v>0</v>
      </c>
      <c r="CM468" s="1882">
        <v>0</v>
      </c>
      <c r="CN468" s="1882">
        <v>0</v>
      </c>
      <c r="CP468" s="1882" t="s">
        <v>11122</v>
      </c>
    </row>
    <row r="469" spans="1:94">
      <c r="A469" s="1882" t="s">
        <v>8387</v>
      </c>
      <c r="B469" s="1882" t="s">
        <v>11123</v>
      </c>
      <c r="C469" s="1882" t="s">
        <v>8352</v>
      </c>
      <c r="D469" s="1882" t="s">
        <v>1626</v>
      </c>
      <c r="E469" s="1882" t="s">
        <v>8503</v>
      </c>
      <c r="F469" s="1882" t="s">
        <v>11118</v>
      </c>
      <c r="G469" s="1882" t="s">
        <v>8267</v>
      </c>
      <c r="H469" s="1882" t="s">
        <v>11124</v>
      </c>
      <c r="I469" s="1882" t="s">
        <v>11125</v>
      </c>
      <c r="J469" s="1882" t="s">
        <v>8508</v>
      </c>
      <c r="K469" s="1882" t="s">
        <v>8509</v>
      </c>
      <c r="L469" s="1882"/>
      <c r="M469" s="1882"/>
      <c r="N469" s="1882" t="s">
        <v>2450</v>
      </c>
      <c r="O469" s="1882" t="s">
        <v>8607</v>
      </c>
      <c r="P469" s="1882" t="s">
        <v>8608</v>
      </c>
      <c r="Q469" s="520">
        <v>1</v>
      </c>
      <c r="R469" s="1882" t="s">
        <v>8511</v>
      </c>
      <c r="S469" s="1882">
        <v>24</v>
      </c>
      <c r="T469" s="1882">
        <v>21.3</v>
      </c>
      <c r="U469" s="1882">
        <v>16</v>
      </c>
      <c r="V469" s="1882">
        <v>12</v>
      </c>
      <c r="W469" s="1882">
        <v>12</v>
      </c>
      <c r="X469" s="1882">
        <v>12</v>
      </c>
      <c r="Y469" s="1882"/>
      <c r="Z469" s="1882"/>
      <c r="AA469" s="1882" t="s">
        <v>2459</v>
      </c>
      <c r="AB469" s="1882"/>
      <c r="AC469" s="1882"/>
      <c r="AD469" s="1882"/>
      <c r="AE469" s="1882" t="s">
        <v>2459</v>
      </c>
      <c r="AF469" s="1882"/>
      <c r="AG469" s="1882"/>
      <c r="AH469" s="1882">
        <v>0</v>
      </c>
      <c r="AI469" s="1882" t="s">
        <v>2459</v>
      </c>
      <c r="AJ469" s="1882" t="s">
        <v>2459</v>
      </c>
      <c r="AK469" s="1882" t="s">
        <v>2459</v>
      </c>
      <c r="AL469" s="1882" t="s">
        <v>2459</v>
      </c>
      <c r="AM469" s="1882" t="s">
        <v>2459</v>
      </c>
      <c r="AN469" s="1882">
        <v>44</v>
      </c>
      <c r="AO469" s="1882">
        <v>44</v>
      </c>
      <c r="AP469" s="1882">
        <v>32</v>
      </c>
      <c r="AQ469" s="1882">
        <v>32</v>
      </c>
      <c r="AR469" s="1882">
        <v>32</v>
      </c>
      <c r="AS469" s="1882">
        <v>24</v>
      </c>
      <c r="AT469" s="1882">
        <v>24</v>
      </c>
      <c r="AU469" s="1882">
        <v>12</v>
      </c>
      <c r="AV469" s="1882">
        <v>12</v>
      </c>
      <c r="AW469" s="1882">
        <v>12</v>
      </c>
      <c r="AX469" s="1882">
        <v>12</v>
      </c>
      <c r="AY469" s="1882">
        <v>12</v>
      </c>
      <c r="AZ469" s="1882">
        <v>12</v>
      </c>
      <c r="BA469" s="1882">
        <v>12</v>
      </c>
      <c r="BB469" s="1882">
        <v>12</v>
      </c>
      <c r="BC469" s="1882">
        <v>4.5</v>
      </c>
      <c r="BD469" s="1882">
        <v>4.5</v>
      </c>
      <c r="BE469" s="1882">
        <v>4.5</v>
      </c>
      <c r="BF469" s="1882">
        <v>4.5</v>
      </c>
      <c r="BG469" s="1882">
        <v>4.5</v>
      </c>
      <c r="BH469" s="1882">
        <v>4.19E-2</v>
      </c>
      <c r="BI469" s="1882"/>
      <c r="BJ469" s="1882"/>
      <c r="BK469" s="1882"/>
      <c r="BL469" s="1882">
        <v>6.4000000000000003E-3</v>
      </c>
      <c r="BM469" s="1882"/>
      <c r="BN469" s="1882">
        <v>1</v>
      </c>
      <c r="BO469" s="1882" t="s">
        <v>8512</v>
      </c>
      <c r="BP469" s="520">
        <v>20.100000000000001</v>
      </c>
      <c r="BQ469" s="690">
        <v>14.3</v>
      </c>
      <c r="BR469" s="1882" t="s">
        <v>2459</v>
      </c>
      <c r="BS469" s="1882" t="s">
        <v>8513</v>
      </c>
      <c r="BT469" s="1882">
        <v>0</v>
      </c>
      <c r="BU469" s="1882" t="s">
        <v>8380</v>
      </c>
      <c r="BV469" s="1882">
        <v>0</v>
      </c>
      <c r="BW469" s="1882">
        <v>12.8</v>
      </c>
      <c r="BX469" s="1882" t="s">
        <v>2459</v>
      </c>
      <c r="BY469" s="1882">
        <v>0</v>
      </c>
      <c r="BZ469" s="1882">
        <v>0</v>
      </c>
      <c r="CA469" s="1882" t="s">
        <v>8380</v>
      </c>
      <c r="CB469" s="1882">
        <v>0</v>
      </c>
      <c r="CC469" s="1882">
        <v>12.3</v>
      </c>
      <c r="CD469" s="1882" t="s">
        <v>2460</v>
      </c>
      <c r="CE469" s="1882">
        <v>0</v>
      </c>
      <c r="CF469" s="1882">
        <v>0</v>
      </c>
      <c r="CG469" s="1882" t="s">
        <v>8384</v>
      </c>
      <c r="CH469" s="1882">
        <v>-1.26E-2</v>
      </c>
      <c r="CI469" s="1882">
        <v>5.85</v>
      </c>
      <c r="CJ469" s="1882" t="s">
        <v>2459</v>
      </c>
      <c r="CK469" s="1882">
        <v>0</v>
      </c>
      <c r="CL469" s="1882">
        <v>0</v>
      </c>
      <c r="CM469" s="1882" t="s">
        <v>8376</v>
      </c>
      <c r="CN469" s="1882">
        <v>3.9359999999999999E-2</v>
      </c>
      <c r="CP469" s="1882" t="s">
        <v>11126</v>
      </c>
    </row>
    <row r="470" spans="1:94">
      <c r="A470" s="1882" t="s">
        <v>8387</v>
      </c>
      <c r="B470" s="1882" t="s">
        <v>11127</v>
      </c>
      <c r="C470" s="1882" t="s">
        <v>8352</v>
      </c>
      <c r="D470" s="1882" t="s">
        <v>1626</v>
      </c>
      <c r="E470" s="1882" t="s">
        <v>8503</v>
      </c>
      <c r="F470" s="1882" t="s">
        <v>11118</v>
      </c>
      <c r="G470" s="1882" t="s">
        <v>8270</v>
      </c>
      <c r="H470" s="1882" t="s">
        <v>11128</v>
      </c>
      <c r="I470" s="1882" t="s">
        <v>11129</v>
      </c>
      <c r="J470" s="1882" t="s">
        <v>8519</v>
      </c>
      <c r="K470" s="1882" t="s">
        <v>8855</v>
      </c>
      <c r="L470" s="1882"/>
      <c r="M470" s="1882" t="s">
        <v>2460</v>
      </c>
      <c r="N470" s="1882" t="s">
        <v>4580</v>
      </c>
      <c r="O470" s="1882" t="s">
        <v>764</v>
      </c>
      <c r="P470" s="1882" t="s">
        <v>11130</v>
      </c>
      <c r="Q470" s="520">
        <v>0</v>
      </c>
      <c r="R470" s="1882" t="s">
        <v>8511</v>
      </c>
      <c r="S470" s="1882">
        <v>106000</v>
      </c>
      <c r="T470" s="1882">
        <v>78000</v>
      </c>
      <c r="U470" s="1882">
        <v>78000</v>
      </c>
      <c r="V470" s="1882">
        <v>78000</v>
      </c>
      <c r="W470" s="1882">
        <v>42000</v>
      </c>
      <c r="X470" s="1882">
        <v>42000</v>
      </c>
      <c r="Y470" s="1882"/>
      <c r="Z470" s="1882"/>
      <c r="AA470" s="1882"/>
      <c r="AB470" s="1882"/>
      <c r="AC470" s="1882"/>
      <c r="AD470" s="1882" t="s">
        <v>2459</v>
      </c>
      <c r="AE470" s="1882" t="s">
        <v>2459</v>
      </c>
      <c r="AF470" s="1882"/>
      <c r="AG470" s="1882"/>
      <c r="AH470" s="1882">
        <v>0</v>
      </c>
      <c r="AI470" s="1882" t="s">
        <v>2459</v>
      </c>
      <c r="AJ470" s="1882" t="s">
        <v>2459</v>
      </c>
      <c r="AK470" s="1882" t="s">
        <v>2459</v>
      </c>
      <c r="AL470" s="1882" t="s">
        <v>2459</v>
      </c>
      <c r="AM470" s="1882" t="s">
        <v>2459</v>
      </c>
      <c r="AN470" s="1882">
        <v>106000</v>
      </c>
      <c r="AO470" s="1882">
        <v>106000</v>
      </c>
      <c r="AP470" s="1882">
        <v>106000</v>
      </c>
      <c r="AQ470" s="1882">
        <v>106000</v>
      </c>
      <c r="AR470" s="1882">
        <v>106000</v>
      </c>
      <c r="AS470" s="1882">
        <v>78000</v>
      </c>
      <c r="AT470" s="1882">
        <v>78000</v>
      </c>
      <c r="AU470" s="1882">
        <v>78000</v>
      </c>
      <c r="AV470" s="1882">
        <v>42000</v>
      </c>
      <c r="AW470" s="1882">
        <v>42000</v>
      </c>
      <c r="AX470" s="1882"/>
      <c r="AY470" s="1882"/>
      <c r="AZ470" s="1882"/>
      <c r="BA470" s="1882"/>
      <c r="BB470" s="1882"/>
      <c r="BC470" s="1882"/>
      <c r="BD470" s="1882"/>
      <c r="BE470" s="1882"/>
      <c r="BF470" s="1882"/>
      <c r="BG470" s="1882"/>
      <c r="BH470" s="1882">
        <v>7.6600000000000005E-5</v>
      </c>
      <c r="BI470" s="1882">
        <v>2.4450000000000001E-3</v>
      </c>
      <c r="BJ470" s="1882"/>
      <c r="BK470" s="1882"/>
      <c r="BL470" s="1882"/>
      <c r="BM470" s="1882"/>
      <c r="BN470" s="1882">
        <v>1</v>
      </c>
      <c r="BO470" s="1882" t="s">
        <v>8512</v>
      </c>
      <c r="BP470" s="520">
        <v>91000</v>
      </c>
      <c r="BQ470" s="693">
        <v>78000</v>
      </c>
      <c r="BR470" s="1882" t="s">
        <v>2459</v>
      </c>
      <c r="BS470" s="1882" t="s">
        <v>8513</v>
      </c>
      <c r="BT470" s="1882">
        <v>0</v>
      </c>
      <c r="BU470" s="1882" t="s">
        <v>8513</v>
      </c>
      <c r="BV470" s="1882">
        <v>0</v>
      </c>
      <c r="BW470" s="1882">
        <v>48000</v>
      </c>
      <c r="BX470" s="1882" t="s">
        <v>2459</v>
      </c>
      <c r="BY470" s="1882">
        <v>0</v>
      </c>
      <c r="BZ470" s="1882">
        <v>0</v>
      </c>
      <c r="CA470" s="1882">
        <v>0</v>
      </c>
      <c r="CB470" s="1882">
        <v>0</v>
      </c>
      <c r="CC470" s="1882">
        <v>42000</v>
      </c>
      <c r="CD470" s="1882" t="s">
        <v>2459</v>
      </c>
      <c r="CE470" s="1882">
        <v>0</v>
      </c>
      <c r="CF470" s="1882">
        <v>0</v>
      </c>
      <c r="CG470" s="1882">
        <v>0</v>
      </c>
      <c r="CH470" s="1882">
        <v>0</v>
      </c>
      <c r="CI470" s="1882">
        <v>42000</v>
      </c>
      <c r="CJ470" s="1882" t="s">
        <v>2459</v>
      </c>
      <c r="CK470" s="1882">
        <v>0</v>
      </c>
      <c r="CL470" s="1882">
        <v>0</v>
      </c>
      <c r="CM470" s="1882">
        <v>0</v>
      </c>
      <c r="CN470" s="1882">
        <v>0</v>
      </c>
      <c r="CP470" s="1882" t="s">
        <v>11131</v>
      </c>
    </row>
    <row r="471" spans="1:94">
      <c r="A471" s="1882" t="s">
        <v>8387</v>
      </c>
      <c r="B471" s="1882" t="s">
        <v>11132</v>
      </c>
      <c r="C471" s="1882" t="s">
        <v>8352</v>
      </c>
      <c r="D471" s="1882" t="s">
        <v>1626</v>
      </c>
      <c r="E471" s="1882" t="s">
        <v>8503</v>
      </c>
      <c r="F471" s="1882" t="s">
        <v>11118</v>
      </c>
      <c r="G471" s="1882" t="s">
        <v>8273</v>
      </c>
      <c r="H471" s="1882" t="s">
        <v>11133</v>
      </c>
      <c r="I471" s="1882" t="s">
        <v>11134</v>
      </c>
      <c r="J471" s="1882" t="s">
        <v>8519</v>
      </c>
      <c r="K471" s="1882" t="s">
        <v>8855</v>
      </c>
      <c r="L471" s="1882"/>
      <c r="M471" s="1882"/>
      <c r="N471" s="1882" t="s">
        <v>8569</v>
      </c>
      <c r="O471" s="1882" t="s">
        <v>764</v>
      </c>
      <c r="P471" s="1882" t="s">
        <v>11135</v>
      </c>
      <c r="Q471" s="520">
        <v>0</v>
      </c>
      <c r="R471" s="1882" t="s">
        <v>8511</v>
      </c>
      <c r="S471" s="1882" t="s">
        <v>11136</v>
      </c>
      <c r="T471" s="1882" t="s">
        <v>11137</v>
      </c>
      <c r="U471" s="1882" t="s">
        <v>11137</v>
      </c>
      <c r="V471" s="1882" t="s">
        <v>11137</v>
      </c>
      <c r="W471" s="1882" t="s">
        <v>11137</v>
      </c>
      <c r="X471" s="1882" t="s">
        <v>11137</v>
      </c>
      <c r="Y471" s="1882"/>
      <c r="Z471" s="1882"/>
      <c r="AA471" s="1882"/>
      <c r="AB471" s="1882"/>
      <c r="AC471" s="1882"/>
      <c r="AD471" s="1882"/>
      <c r="AE471" s="1882" t="s">
        <v>2459</v>
      </c>
      <c r="AF471" s="1882"/>
      <c r="AG471" s="1882"/>
      <c r="AH471" s="1882">
        <v>0</v>
      </c>
      <c r="AI471" s="1882" t="s">
        <v>2459</v>
      </c>
      <c r="AJ471" s="1882" t="s">
        <v>2459</v>
      </c>
      <c r="AK471" s="1882" t="s">
        <v>2459</v>
      </c>
      <c r="AL471" s="1882" t="s">
        <v>2459</v>
      </c>
      <c r="AM471" s="1882" t="s">
        <v>2459</v>
      </c>
      <c r="AN471" s="1882">
        <v>999999</v>
      </c>
      <c r="AO471" s="1882">
        <v>999999</v>
      </c>
      <c r="AP471" s="1882">
        <v>999999</v>
      </c>
      <c r="AQ471" s="1882">
        <v>999999</v>
      </c>
      <c r="AR471" s="1882">
        <v>999999</v>
      </c>
      <c r="AS471" s="1882">
        <v>1993</v>
      </c>
      <c r="AT471" s="1882">
        <v>1993</v>
      </c>
      <c r="AU471" s="1882">
        <v>1993</v>
      </c>
      <c r="AV471" s="1882">
        <v>1993</v>
      </c>
      <c r="AW471" s="1882">
        <v>1993</v>
      </c>
      <c r="AX471" s="1882"/>
      <c r="AY471" s="1882"/>
      <c r="AZ471" s="1882"/>
      <c r="BA471" s="1882"/>
      <c r="BB471" s="1882"/>
      <c r="BC471" s="1882"/>
      <c r="BD471" s="1882"/>
      <c r="BE471" s="1882"/>
      <c r="BF471" s="1882"/>
      <c r="BG471" s="1882"/>
      <c r="BH471" s="1882">
        <v>4.8999999999999998E-3</v>
      </c>
      <c r="BI471" s="1882"/>
      <c r="BJ471" s="1882"/>
      <c r="BK471" s="1882"/>
      <c r="BL471" s="1882"/>
      <c r="BM471" s="1882"/>
      <c r="BN471" s="1882">
        <v>1</v>
      </c>
      <c r="BO471" s="1882" t="s">
        <v>8512</v>
      </c>
      <c r="BP471" s="520">
        <v>1892</v>
      </c>
      <c r="BQ471" s="693">
        <v>1663</v>
      </c>
      <c r="BR471" s="1882" t="s">
        <v>2459</v>
      </c>
      <c r="BS471" s="1882" t="s">
        <v>8513</v>
      </c>
      <c r="BT471" s="1882">
        <v>0</v>
      </c>
      <c r="BU471" s="1882" t="s">
        <v>8513</v>
      </c>
      <c r="BV471" s="1882">
        <v>0</v>
      </c>
      <c r="BW471" s="1882">
        <v>1863</v>
      </c>
      <c r="BX471" s="1882" t="s">
        <v>2459</v>
      </c>
      <c r="BY471" s="1882">
        <v>0</v>
      </c>
      <c r="BZ471" s="1882">
        <v>0</v>
      </c>
      <c r="CA471" s="1882">
        <v>0</v>
      </c>
      <c r="CB471" s="1882">
        <v>0</v>
      </c>
      <c r="CC471" s="1882">
        <v>1920</v>
      </c>
      <c r="CD471" s="1882" t="s">
        <v>2459</v>
      </c>
      <c r="CE471" s="1882">
        <v>0</v>
      </c>
      <c r="CF471" s="1882">
        <v>0</v>
      </c>
      <c r="CG471" s="1882">
        <v>0</v>
      </c>
      <c r="CH471" s="1882">
        <v>0</v>
      </c>
      <c r="CI471" s="1882">
        <v>1939</v>
      </c>
      <c r="CJ471" s="1882" t="s">
        <v>2459</v>
      </c>
      <c r="CK471" s="1882">
        <v>0</v>
      </c>
      <c r="CL471" s="1882">
        <v>0</v>
      </c>
      <c r="CM471" s="1882">
        <v>0</v>
      </c>
      <c r="CN471" s="1882">
        <v>0</v>
      </c>
      <c r="CP471" s="1882" t="s">
        <v>11138</v>
      </c>
    </row>
    <row r="472" spans="1:94">
      <c r="A472" s="1882" t="s">
        <v>8387</v>
      </c>
      <c r="B472" s="1882" t="s">
        <v>11139</v>
      </c>
      <c r="C472" s="1882" t="s">
        <v>8352</v>
      </c>
      <c r="D472" s="1882" t="s">
        <v>1626</v>
      </c>
      <c r="E472" s="1882" t="s">
        <v>8503</v>
      </c>
      <c r="F472" s="1882" t="s">
        <v>2444</v>
      </c>
      <c r="G472" s="1882" t="s">
        <v>8293</v>
      </c>
      <c r="H472" s="1882" t="s">
        <v>11140</v>
      </c>
      <c r="I472" s="1882" t="s">
        <v>11141</v>
      </c>
      <c r="J472" s="1882" t="s">
        <v>8508</v>
      </c>
      <c r="K472" s="1882" t="s">
        <v>8509</v>
      </c>
      <c r="L472" s="1882"/>
      <c r="M472" s="1882"/>
      <c r="N472" s="1882" t="s">
        <v>2444</v>
      </c>
      <c r="O472" s="1882" t="s">
        <v>764</v>
      </c>
      <c r="P472" s="1882" t="s">
        <v>8510</v>
      </c>
      <c r="Q472" s="520">
        <v>1</v>
      </c>
      <c r="R472" s="1882" t="s">
        <v>8511</v>
      </c>
      <c r="S472" s="1882">
        <v>70</v>
      </c>
      <c r="T472" s="1882">
        <v>69.3</v>
      </c>
      <c r="U472" s="1882">
        <v>68.599999999999994</v>
      </c>
      <c r="V472" s="1882">
        <v>67.900000000000006</v>
      </c>
      <c r="W472" s="1882">
        <v>67.2</v>
      </c>
      <c r="X472" s="1882">
        <v>66.5</v>
      </c>
      <c r="Y472" s="1882"/>
      <c r="Z472" s="1882"/>
      <c r="AA472" s="1882"/>
      <c r="AB472" s="1882"/>
      <c r="AC472" s="1882"/>
      <c r="AD472" s="1882"/>
      <c r="AE472" s="1882" t="s">
        <v>2459</v>
      </c>
      <c r="AF472" s="1882"/>
      <c r="AG472" s="1882"/>
      <c r="AH472" s="1882">
        <v>0</v>
      </c>
      <c r="AI472" s="1882" t="s">
        <v>2459</v>
      </c>
      <c r="AJ472" s="1882" t="s">
        <v>2459</v>
      </c>
      <c r="AK472" s="1882" t="s">
        <v>2459</v>
      </c>
      <c r="AL472" s="1882" t="s">
        <v>2459</v>
      </c>
      <c r="AM472" s="1882" t="s">
        <v>2459</v>
      </c>
      <c r="AN472" s="1882">
        <v>76.2</v>
      </c>
      <c r="AO472" s="1882">
        <v>75.400000000000006</v>
      </c>
      <c r="AP472" s="1882">
        <v>74.7</v>
      </c>
      <c r="AQ472" s="1882">
        <v>73.900000000000006</v>
      </c>
      <c r="AR472" s="1882">
        <v>73.099999999999994</v>
      </c>
      <c r="AS472" s="1882">
        <v>69.3</v>
      </c>
      <c r="AT472" s="1882">
        <v>68.599999999999994</v>
      </c>
      <c r="AU472" s="1882">
        <v>67.900000000000006</v>
      </c>
      <c r="AV472" s="1882">
        <v>67.2</v>
      </c>
      <c r="AW472" s="1882">
        <v>66.5</v>
      </c>
      <c r="AX472" s="1882">
        <v>68.3</v>
      </c>
      <c r="AY472" s="1882">
        <v>67.599999999999994</v>
      </c>
      <c r="AZ472" s="1882">
        <v>66.900000000000006</v>
      </c>
      <c r="BA472" s="1882">
        <v>66.2</v>
      </c>
      <c r="BB472" s="1882">
        <v>65.5</v>
      </c>
      <c r="BC472" s="1882">
        <v>65.3</v>
      </c>
      <c r="BD472" s="1882">
        <v>64.599999999999994</v>
      </c>
      <c r="BE472" s="1882">
        <v>63.9</v>
      </c>
      <c r="BF472" s="1882">
        <v>63.2</v>
      </c>
      <c r="BG472" s="1882">
        <v>62.5</v>
      </c>
      <c r="BH472" s="1882">
        <v>0.30499999999999999</v>
      </c>
      <c r="BI472" s="1882"/>
      <c r="BJ472" s="1882"/>
      <c r="BK472" s="1882"/>
      <c r="BL472" s="1882">
        <v>0.11</v>
      </c>
      <c r="BM472" s="1882"/>
      <c r="BN472" s="1882">
        <v>1</v>
      </c>
      <c r="BO472" s="1882" t="s">
        <v>8512</v>
      </c>
      <c r="BP472" s="520">
        <v>68.599999999999994</v>
      </c>
      <c r="BQ472" s="690">
        <v>68.3</v>
      </c>
      <c r="BR472" s="1882" t="s">
        <v>2459</v>
      </c>
      <c r="BS472" s="1882" t="s">
        <v>8513</v>
      </c>
      <c r="BT472" s="1882">
        <v>0</v>
      </c>
      <c r="BU472" s="1882" t="s">
        <v>8380</v>
      </c>
      <c r="BV472" s="1882">
        <v>0</v>
      </c>
      <c r="BW472" s="1882">
        <v>68.3</v>
      </c>
      <c r="BX472" s="1882" t="s">
        <v>2459</v>
      </c>
      <c r="BY472" s="1882">
        <v>0</v>
      </c>
      <c r="BZ472" s="1882">
        <v>0</v>
      </c>
      <c r="CA472" s="1882" t="s">
        <v>8380</v>
      </c>
      <c r="CB472" s="1882">
        <v>0</v>
      </c>
      <c r="CC472" s="1882">
        <v>67.7</v>
      </c>
      <c r="CD472" s="1882" t="s">
        <v>2459</v>
      </c>
      <c r="CE472" s="1882">
        <v>0</v>
      </c>
      <c r="CF472" s="1882">
        <v>0</v>
      </c>
      <c r="CG472" s="1882" t="s">
        <v>8380</v>
      </c>
      <c r="CH472" s="1882">
        <v>0</v>
      </c>
      <c r="CI472" s="1882">
        <v>66.400000000000006</v>
      </c>
      <c r="CJ472" s="1882" t="s">
        <v>2459</v>
      </c>
      <c r="CK472" s="1882">
        <v>0</v>
      </c>
      <c r="CL472" s="1882">
        <v>0</v>
      </c>
      <c r="CM472" s="1882" t="s">
        <v>8380</v>
      </c>
      <c r="CN472" s="1882">
        <v>0</v>
      </c>
      <c r="CP472" s="1882" t="s">
        <v>11142</v>
      </c>
    </row>
    <row r="473" spans="1:94">
      <c r="A473" s="1882" t="s">
        <v>8387</v>
      </c>
      <c r="B473" s="1882" t="s">
        <v>11143</v>
      </c>
      <c r="C473" s="1882" t="s">
        <v>8352</v>
      </c>
      <c r="D473" s="1882" t="s">
        <v>1626</v>
      </c>
      <c r="E473" s="1882" t="s">
        <v>8503</v>
      </c>
      <c r="F473" s="1882" t="s">
        <v>2444</v>
      </c>
      <c r="G473" s="1882" t="s">
        <v>8296</v>
      </c>
      <c r="H473" s="1882" t="s">
        <v>11144</v>
      </c>
      <c r="I473" s="1882" t="s">
        <v>11145</v>
      </c>
      <c r="J473" s="1882" t="s">
        <v>8539</v>
      </c>
      <c r="K473" s="1882"/>
      <c r="L473" s="1882"/>
      <c r="M473" s="1882"/>
      <c r="N473" s="1882" t="s">
        <v>2444</v>
      </c>
      <c r="O473" s="1882" t="s">
        <v>732</v>
      </c>
      <c r="P473" s="1882" t="s">
        <v>11146</v>
      </c>
      <c r="Q473" s="520">
        <v>0</v>
      </c>
      <c r="R473" s="1882" t="s">
        <v>8549</v>
      </c>
      <c r="S473" s="1882" t="s">
        <v>9173</v>
      </c>
      <c r="T473" s="1882">
        <v>66</v>
      </c>
      <c r="U473" s="1882">
        <v>70</v>
      </c>
      <c r="V473" s="1882">
        <v>75</v>
      </c>
      <c r="W473" s="1882">
        <v>80</v>
      </c>
      <c r="X473" s="1882">
        <v>90</v>
      </c>
      <c r="Y473" s="1882"/>
      <c r="Z473" s="1882"/>
      <c r="AA473" s="1882"/>
      <c r="AB473" s="1882"/>
      <c r="AC473" s="1882"/>
      <c r="AD473" s="1882"/>
      <c r="AE473" s="1882" t="s">
        <v>2459</v>
      </c>
      <c r="AF473" s="1882"/>
      <c r="AG473" s="1882"/>
      <c r="AH473" s="1882">
        <v>0</v>
      </c>
      <c r="AI473" s="1882"/>
      <c r="AJ473" s="1882"/>
      <c r="AK473" s="1882"/>
      <c r="AL473" s="1882"/>
      <c r="AM473" s="1882"/>
      <c r="AN473" s="1882"/>
      <c r="AO473" s="1882"/>
      <c r="AP473" s="1882"/>
      <c r="AQ473" s="1882"/>
      <c r="AR473" s="1882"/>
      <c r="AS473" s="1882"/>
      <c r="AT473" s="1882"/>
      <c r="AU473" s="1882"/>
      <c r="AV473" s="1882"/>
      <c r="AW473" s="1882"/>
      <c r="AX473" s="1882"/>
      <c r="AY473" s="1882"/>
      <c r="AZ473" s="1882"/>
      <c r="BA473" s="1882"/>
      <c r="BB473" s="1882"/>
      <c r="BC473" s="1882"/>
      <c r="BD473" s="1882"/>
      <c r="BE473" s="1882"/>
      <c r="BF473" s="1882"/>
      <c r="BG473" s="1882"/>
      <c r="BH473" s="1882"/>
      <c r="BI473" s="1882"/>
      <c r="BJ473" s="1882"/>
      <c r="BK473" s="1882"/>
      <c r="BL473" s="1882"/>
      <c r="BM473" s="1882"/>
      <c r="BN473" s="1882"/>
      <c r="BO473" s="1882"/>
      <c r="BP473" s="520" t="s">
        <v>2451</v>
      </c>
      <c r="BQ473" s="693">
        <v>68</v>
      </c>
      <c r="BR473" s="1882" t="s">
        <v>2459</v>
      </c>
      <c r="BS473" s="1882" t="s">
        <v>8513</v>
      </c>
      <c r="BT473" s="1882">
        <v>0</v>
      </c>
      <c r="BU473" s="1882" t="s">
        <v>8513</v>
      </c>
      <c r="BV473" s="1882">
        <v>0</v>
      </c>
      <c r="BW473" s="1882">
        <v>70</v>
      </c>
      <c r="BX473" s="1882" t="s">
        <v>2459</v>
      </c>
      <c r="BY473" s="1882">
        <v>0</v>
      </c>
      <c r="BZ473" s="1882">
        <v>0</v>
      </c>
      <c r="CA473" s="1882">
        <v>0</v>
      </c>
      <c r="CB473" s="1882">
        <v>0</v>
      </c>
      <c r="CC473" s="1882">
        <v>76</v>
      </c>
      <c r="CD473" s="1882" t="s">
        <v>2459</v>
      </c>
      <c r="CE473" s="1882">
        <v>0</v>
      </c>
      <c r="CF473" s="1882">
        <v>0</v>
      </c>
      <c r="CG473" s="1882">
        <v>0</v>
      </c>
      <c r="CH473" s="1882">
        <v>0</v>
      </c>
      <c r="CI473" s="1882">
        <v>80</v>
      </c>
      <c r="CJ473" s="1882" t="s">
        <v>2459</v>
      </c>
      <c r="CK473" s="1882">
        <v>0</v>
      </c>
      <c r="CL473" s="1882">
        <v>0</v>
      </c>
      <c r="CM473" s="1882">
        <v>0</v>
      </c>
      <c r="CN473" s="1882">
        <v>0</v>
      </c>
      <c r="CP473" s="1882" t="s">
        <v>11147</v>
      </c>
    </row>
    <row r="474" spans="1:94">
      <c r="A474" s="1882" t="s">
        <v>8387</v>
      </c>
      <c r="B474" s="1882" t="s">
        <v>11148</v>
      </c>
      <c r="C474" s="1882" t="s">
        <v>8352</v>
      </c>
      <c r="D474" s="1882" t="s">
        <v>1626</v>
      </c>
      <c r="E474" s="1882" t="s">
        <v>8503</v>
      </c>
      <c r="F474" s="1882" t="s">
        <v>11149</v>
      </c>
      <c r="G474" s="1882" t="s">
        <v>8899</v>
      </c>
      <c r="H474" s="1882" t="s">
        <v>11150</v>
      </c>
      <c r="I474" s="1882" t="s">
        <v>11151</v>
      </c>
      <c r="J474" s="1882" t="s">
        <v>8508</v>
      </c>
      <c r="K474" s="1882" t="s">
        <v>8855</v>
      </c>
      <c r="L474" s="1882"/>
      <c r="M474" s="1882"/>
      <c r="N474" s="1882" t="s">
        <v>8463</v>
      </c>
      <c r="O474" s="1882" t="s">
        <v>764</v>
      </c>
      <c r="P474" s="1882" t="s">
        <v>11152</v>
      </c>
      <c r="Q474" s="520">
        <v>0</v>
      </c>
      <c r="R474" s="1882" t="s">
        <v>8511</v>
      </c>
      <c r="S474" s="1882">
        <v>3000</v>
      </c>
      <c r="T474" s="1882">
        <v>2536</v>
      </c>
      <c r="U474" s="1882">
        <v>2072</v>
      </c>
      <c r="V474" s="1882">
        <v>1608</v>
      </c>
      <c r="W474" s="1882">
        <v>1608</v>
      </c>
      <c r="X474" s="1882">
        <v>1608</v>
      </c>
      <c r="Y474" s="1882"/>
      <c r="Z474" s="1882" t="s">
        <v>2459</v>
      </c>
      <c r="AA474" s="1882"/>
      <c r="AB474" s="1882"/>
      <c r="AC474" s="1882"/>
      <c r="AD474" s="1882"/>
      <c r="AE474" s="1882" t="s">
        <v>2459</v>
      </c>
      <c r="AF474" s="1882"/>
      <c r="AG474" s="1882"/>
      <c r="AH474" s="1882">
        <v>0</v>
      </c>
      <c r="AI474" s="1882" t="s">
        <v>2459</v>
      </c>
      <c r="AJ474" s="1882" t="s">
        <v>2459</v>
      </c>
      <c r="AK474" s="1882" t="s">
        <v>2459</v>
      </c>
      <c r="AL474" s="1882" t="s">
        <v>2459</v>
      </c>
      <c r="AM474" s="1882" t="s">
        <v>2459</v>
      </c>
      <c r="AN474" s="1882">
        <v>3400</v>
      </c>
      <c r="AO474" s="1882">
        <v>3400</v>
      </c>
      <c r="AP474" s="1882">
        <v>2008</v>
      </c>
      <c r="AQ474" s="1882">
        <v>2008</v>
      </c>
      <c r="AR474" s="1882">
        <v>2008</v>
      </c>
      <c r="AS474" s="1882">
        <v>3000</v>
      </c>
      <c r="AT474" s="1882">
        <v>2950</v>
      </c>
      <c r="AU474" s="1882">
        <v>1608</v>
      </c>
      <c r="AV474" s="1882">
        <v>1608</v>
      </c>
      <c r="AW474" s="1882">
        <v>1608</v>
      </c>
      <c r="AX474" s="1882">
        <v>1608</v>
      </c>
      <c r="AY474" s="1882">
        <v>1608</v>
      </c>
      <c r="AZ474" s="1882">
        <v>1608</v>
      </c>
      <c r="BA474" s="1882">
        <v>1608</v>
      </c>
      <c r="BB474" s="1882">
        <v>1608</v>
      </c>
      <c r="BC474" s="1882">
        <v>1208</v>
      </c>
      <c r="BD474" s="1882">
        <v>1208</v>
      </c>
      <c r="BE474" s="1882">
        <v>1208</v>
      </c>
      <c r="BF474" s="1882">
        <v>1208</v>
      </c>
      <c r="BG474" s="1882">
        <v>1208</v>
      </c>
      <c r="BH474" s="1882">
        <v>1E-3</v>
      </c>
      <c r="BI474" s="1882"/>
      <c r="BJ474" s="1882"/>
      <c r="BK474" s="1882"/>
      <c r="BL474" s="1882">
        <v>1.75E-4</v>
      </c>
      <c r="BM474" s="1882"/>
      <c r="BN474" s="1882">
        <v>1</v>
      </c>
      <c r="BO474" s="1882" t="s">
        <v>8512</v>
      </c>
      <c r="BP474" s="520">
        <v>3006</v>
      </c>
      <c r="BQ474" s="693">
        <v>2431</v>
      </c>
      <c r="BR474" s="1882" t="s">
        <v>2459</v>
      </c>
      <c r="BS474" s="1882" t="s">
        <v>8513</v>
      </c>
      <c r="BT474" s="1882">
        <v>0</v>
      </c>
      <c r="BU474" s="1882" t="s">
        <v>8380</v>
      </c>
      <c r="BV474" s="1882">
        <v>0</v>
      </c>
      <c r="BW474" s="1882">
        <v>2172</v>
      </c>
      <c r="BX474" s="1882" t="s">
        <v>2460</v>
      </c>
      <c r="BY474" s="1882">
        <v>0</v>
      </c>
      <c r="BZ474" s="1882">
        <v>0</v>
      </c>
      <c r="CA474" s="1882" t="s">
        <v>8429</v>
      </c>
      <c r="CB474" s="1882">
        <v>0</v>
      </c>
      <c r="CC474" s="1882">
        <v>2031</v>
      </c>
      <c r="CD474" s="1882" t="s">
        <v>2460</v>
      </c>
      <c r="CE474" s="1882">
        <v>0</v>
      </c>
      <c r="CF474" s="1882">
        <v>0</v>
      </c>
      <c r="CG474" s="1882" t="s">
        <v>8384</v>
      </c>
      <c r="CH474" s="1882">
        <v>-0.4</v>
      </c>
      <c r="CI474" s="1882">
        <v>2010</v>
      </c>
      <c r="CJ474" s="1882" t="s">
        <v>2460</v>
      </c>
      <c r="CK474" s="1882">
        <v>0</v>
      </c>
      <c r="CL474" s="1882">
        <v>0</v>
      </c>
      <c r="CM474" s="1882" t="s">
        <v>8384</v>
      </c>
      <c r="CN474" s="1882">
        <v>-0.4</v>
      </c>
      <c r="CP474" s="1882" t="s">
        <v>11153</v>
      </c>
    </row>
    <row r="475" spans="1:94">
      <c r="A475" s="1882" t="s">
        <v>8387</v>
      </c>
      <c r="B475" s="1882" t="s">
        <v>11154</v>
      </c>
      <c r="C475" s="1882" t="s">
        <v>8352</v>
      </c>
      <c r="D475" s="1882" t="s">
        <v>1626</v>
      </c>
      <c r="E475" s="1882" t="s">
        <v>8503</v>
      </c>
      <c r="F475" s="1882" t="s">
        <v>11149</v>
      </c>
      <c r="G475" s="1882" t="s">
        <v>8935</v>
      </c>
      <c r="H475" s="1882" t="s">
        <v>11155</v>
      </c>
      <c r="I475" s="1882" t="s">
        <v>11156</v>
      </c>
      <c r="J475" s="1882" t="s">
        <v>8519</v>
      </c>
      <c r="K475" s="1882" t="s">
        <v>8855</v>
      </c>
      <c r="L475" s="1882"/>
      <c r="M475" s="1882" t="s">
        <v>2460</v>
      </c>
      <c r="N475" s="1882" t="s">
        <v>8547</v>
      </c>
      <c r="O475" s="1882" t="s">
        <v>732</v>
      </c>
      <c r="P475" s="1882" t="s">
        <v>8548</v>
      </c>
      <c r="Q475" s="520">
        <v>2</v>
      </c>
      <c r="R475" s="1882" t="s">
        <v>8549</v>
      </c>
      <c r="S475" s="1882">
        <v>99.98</v>
      </c>
      <c r="T475" s="1882">
        <v>99.98</v>
      </c>
      <c r="U475" s="1882">
        <v>99.98</v>
      </c>
      <c r="V475" s="1882">
        <v>100</v>
      </c>
      <c r="W475" s="1882">
        <v>100</v>
      </c>
      <c r="X475" s="1882">
        <v>100</v>
      </c>
      <c r="Y475" s="1882" t="s">
        <v>2459</v>
      </c>
      <c r="Z475" s="1882"/>
      <c r="AA475" s="1882"/>
      <c r="AB475" s="1882"/>
      <c r="AC475" s="1882"/>
      <c r="AD475" s="1882"/>
      <c r="AE475" s="1882" t="s">
        <v>2459</v>
      </c>
      <c r="AF475" s="1882"/>
      <c r="AG475" s="1882"/>
      <c r="AH475" s="1882">
        <v>0</v>
      </c>
      <c r="AI475" s="1882" t="s">
        <v>2459</v>
      </c>
      <c r="AJ475" s="1882" t="s">
        <v>2459</v>
      </c>
      <c r="AK475" s="1882" t="s">
        <v>2459</v>
      </c>
      <c r="AL475" s="1882" t="s">
        <v>2459</v>
      </c>
      <c r="AM475" s="1882" t="s">
        <v>2459</v>
      </c>
      <c r="AN475" s="1882" t="s">
        <v>11157</v>
      </c>
      <c r="AO475" s="1882" t="s">
        <v>11157</v>
      </c>
      <c r="AP475" s="1882" t="s">
        <v>11157</v>
      </c>
      <c r="AQ475" s="1882" t="s">
        <v>11157</v>
      </c>
      <c r="AR475" s="1882" t="s">
        <v>11157</v>
      </c>
      <c r="AS475" s="1882">
        <v>99.95</v>
      </c>
      <c r="AT475" s="1882">
        <v>99.95</v>
      </c>
      <c r="AU475" s="1882">
        <v>99.95</v>
      </c>
      <c r="AV475" s="1882">
        <v>99.95</v>
      </c>
      <c r="AW475" s="1882">
        <v>99.95</v>
      </c>
      <c r="AX475" s="1882"/>
      <c r="AY475" s="1882"/>
      <c r="AZ475" s="1882"/>
      <c r="BA475" s="1882"/>
      <c r="BB475" s="1882"/>
      <c r="BC475" s="1882"/>
      <c r="BD475" s="1882"/>
      <c r="BE475" s="1882"/>
      <c r="BF475" s="1882"/>
      <c r="BG475" s="1882"/>
      <c r="BH475" s="1882">
        <v>0.77</v>
      </c>
      <c r="BI475" s="1882"/>
      <c r="BJ475" s="1882"/>
      <c r="BK475" s="1882"/>
      <c r="BL475" s="1882"/>
      <c r="BM475" s="1882"/>
      <c r="BN475" s="1882">
        <v>1</v>
      </c>
      <c r="BO475" s="1882" t="s">
        <v>8512</v>
      </c>
      <c r="BP475" s="520">
        <v>99.97</v>
      </c>
      <c r="BQ475" s="694">
        <v>99.96</v>
      </c>
      <c r="BR475" s="1882" t="s">
        <v>2460</v>
      </c>
      <c r="BS475" s="1882" t="s">
        <v>8513</v>
      </c>
      <c r="BT475" s="1882">
        <v>0</v>
      </c>
      <c r="BU475" s="1882" t="s">
        <v>8429</v>
      </c>
      <c r="BV475" s="1882">
        <v>0</v>
      </c>
      <c r="BW475" s="1882">
        <v>99.95</v>
      </c>
      <c r="BX475" s="1882" t="s">
        <v>2460</v>
      </c>
      <c r="BY475" s="1882">
        <v>0</v>
      </c>
      <c r="BZ475" s="1882">
        <v>0</v>
      </c>
      <c r="CA475" s="1882" t="s">
        <v>8429</v>
      </c>
      <c r="CB475" s="1882">
        <v>0</v>
      </c>
      <c r="CC475" s="1882">
        <v>99.959000000000003</v>
      </c>
      <c r="CD475" s="1882" t="s">
        <v>2460</v>
      </c>
      <c r="CE475" s="1882">
        <v>0</v>
      </c>
      <c r="CF475" s="1882">
        <v>0</v>
      </c>
      <c r="CG475" s="1882" t="s">
        <v>8388</v>
      </c>
      <c r="CH475" s="1882">
        <v>0</v>
      </c>
      <c r="CI475" s="1882">
        <v>99.96</v>
      </c>
      <c r="CJ475" s="1882" t="s">
        <v>2460</v>
      </c>
      <c r="CK475" s="1882">
        <v>0</v>
      </c>
      <c r="CL475" s="1882">
        <v>0</v>
      </c>
      <c r="CM475" s="1882" t="s">
        <v>8388</v>
      </c>
      <c r="CN475" s="1882">
        <v>0</v>
      </c>
      <c r="CP475" s="1882" t="s">
        <v>11158</v>
      </c>
    </row>
    <row r="476" spans="1:94">
      <c r="A476" s="1882" t="s">
        <v>8387</v>
      </c>
      <c r="B476" s="1882" t="s">
        <v>11159</v>
      </c>
      <c r="C476" s="1882" t="s">
        <v>8352</v>
      </c>
      <c r="D476" s="1882" t="s">
        <v>1627</v>
      </c>
      <c r="E476" s="1882" t="s">
        <v>8720</v>
      </c>
      <c r="F476" s="1882" t="s">
        <v>11160</v>
      </c>
      <c r="G476" s="1882" t="s">
        <v>7234</v>
      </c>
      <c r="H476" s="1882" t="s">
        <v>11161</v>
      </c>
      <c r="I476" s="1882" t="s">
        <v>11162</v>
      </c>
      <c r="J476" s="1882" t="s">
        <v>8519</v>
      </c>
      <c r="K476" s="1882" t="s">
        <v>8855</v>
      </c>
      <c r="L476" s="1882"/>
      <c r="M476" s="1882"/>
      <c r="N476" s="1882" t="s">
        <v>8673</v>
      </c>
      <c r="O476" s="1882" t="s">
        <v>732</v>
      </c>
      <c r="P476" s="1882" t="s">
        <v>11163</v>
      </c>
      <c r="Q476" s="520">
        <v>0</v>
      </c>
      <c r="R476" s="1882" t="s">
        <v>8549</v>
      </c>
      <c r="S476" s="1882" t="s">
        <v>2451</v>
      </c>
      <c r="T476" s="1882">
        <v>100</v>
      </c>
      <c r="U476" s="1882">
        <v>100</v>
      </c>
      <c r="V476" s="1882">
        <v>100</v>
      </c>
      <c r="W476" s="1882">
        <v>100</v>
      </c>
      <c r="X476" s="1882">
        <v>100</v>
      </c>
      <c r="Y476" s="1882"/>
      <c r="Z476" s="1882"/>
      <c r="AA476" s="1882"/>
      <c r="AB476" s="1882"/>
      <c r="AC476" s="1882"/>
      <c r="AD476" s="1882"/>
      <c r="AE476" s="1882"/>
      <c r="AF476" s="1882" t="s">
        <v>2459</v>
      </c>
      <c r="AG476" s="1882"/>
      <c r="AH476" s="1882">
        <v>0</v>
      </c>
      <c r="AI476" s="1882" t="s">
        <v>2459</v>
      </c>
      <c r="AJ476" s="1882" t="s">
        <v>2459</v>
      </c>
      <c r="AK476" s="1882" t="s">
        <v>2459</v>
      </c>
      <c r="AL476" s="1882" t="s">
        <v>2459</v>
      </c>
      <c r="AM476" s="1882" t="s">
        <v>2459</v>
      </c>
      <c r="AN476" s="1882">
        <v>0</v>
      </c>
      <c r="AO476" s="1882">
        <v>0</v>
      </c>
      <c r="AP476" s="1882">
        <v>0</v>
      </c>
      <c r="AQ476" s="1882">
        <v>0</v>
      </c>
      <c r="AR476" s="1882">
        <v>0</v>
      </c>
      <c r="AS476" s="1882">
        <v>100</v>
      </c>
      <c r="AT476" s="1882">
        <v>100</v>
      </c>
      <c r="AU476" s="1882">
        <v>100</v>
      </c>
      <c r="AV476" s="1882">
        <v>100</v>
      </c>
      <c r="AW476" s="1882">
        <v>100</v>
      </c>
      <c r="AX476" s="1882"/>
      <c r="AY476" s="1882"/>
      <c r="AZ476" s="1882"/>
      <c r="BA476" s="1882"/>
      <c r="BB476" s="1882"/>
      <c r="BC476" s="1882"/>
      <c r="BD476" s="1882"/>
      <c r="BE476" s="1882"/>
      <c r="BF476" s="1882"/>
      <c r="BG476" s="1882"/>
      <c r="BH476" s="1882">
        <v>8.9999999999999993E-3</v>
      </c>
      <c r="BI476" s="1882"/>
      <c r="BJ476" s="1882"/>
      <c r="BK476" s="1882"/>
      <c r="BL476" s="1882"/>
      <c r="BM476" s="1882"/>
      <c r="BN476" s="1882">
        <v>1</v>
      </c>
      <c r="BO476" s="1882" t="s">
        <v>8512</v>
      </c>
      <c r="BP476" s="520" t="s">
        <v>2451</v>
      </c>
      <c r="BQ476" s="693">
        <v>100</v>
      </c>
      <c r="BR476" s="1882" t="s">
        <v>2459</v>
      </c>
      <c r="BS476" s="1882" t="s">
        <v>8513</v>
      </c>
      <c r="BT476" s="1882">
        <v>0</v>
      </c>
      <c r="BU476" s="1882" t="s">
        <v>8513</v>
      </c>
      <c r="BV476" s="1882">
        <v>0</v>
      </c>
      <c r="BW476" s="1882">
        <v>100</v>
      </c>
      <c r="BX476" s="1882" t="s">
        <v>2459</v>
      </c>
      <c r="BY476" s="1882">
        <v>0</v>
      </c>
      <c r="BZ476" s="1882">
        <v>0</v>
      </c>
      <c r="CA476" s="1882">
        <v>0</v>
      </c>
      <c r="CB476" s="1882">
        <v>0</v>
      </c>
      <c r="CC476" s="1882">
        <v>100</v>
      </c>
      <c r="CD476" s="1882" t="s">
        <v>2459</v>
      </c>
      <c r="CE476" s="1882">
        <v>0</v>
      </c>
      <c r="CF476" s="1882">
        <v>0</v>
      </c>
      <c r="CG476" s="1882">
        <v>0</v>
      </c>
      <c r="CH476" s="1882">
        <v>0</v>
      </c>
      <c r="CI476" s="1882">
        <v>100</v>
      </c>
      <c r="CJ476" s="1882" t="s">
        <v>2459</v>
      </c>
      <c r="CK476" s="1882">
        <v>0</v>
      </c>
      <c r="CL476" s="1882">
        <v>0</v>
      </c>
      <c r="CM476" s="1882">
        <v>0</v>
      </c>
      <c r="CN476" s="1882">
        <v>0</v>
      </c>
      <c r="CP476" s="1882" t="s">
        <v>11164</v>
      </c>
    </row>
    <row r="477" spans="1:94">
      <c r="A477" s="1882" t="s">
        <v>8387</v>
      </c>
      <c r="B477" s="1882" t="s">
        <v>11165</v>
      </c>
      <c r="C477" s="1882" t="s">
        <v>8352</v>
      </c>
      <c r="D477" s="1882" t="s">
        <v>1627</v>
      </c>
      <c r="E477" s="1882" t="s">
        <v>8720</v>
      </c>
      <c r="F477" s="1882" t="s">
        <v>11160</v>
      </c>
      <c r="G477" s="1882" t="s">
        <v>7235</v>
      </c>
      <c r="H477" s="1882" t="s">
        <v>11166</v>
      </c>
      <c r="I477" s="1882" t="s">
        <v>11167</v>
      </c>
      <c r="J477" s="1882" t="s">
        <v>8539</v>
      </c>
      <c r="K477" s="1882"/>
      <c r="L477" s="1882"/>
      <c r="M477" s="1882"/>
      <c r="N477" s="1882" t="s">
        <v>8673</v>
      </c>
      <c r="O477" s="1882" t="s">
        <v>732</v>
      </c>
      <c r="P477" s="1882" t="s">
        <v>11168</v>
      </c>
      <c r="Q477" s="520">
        <v>0</v>
      </c>
      <c r="R477" s="1882" t="s">
        <v>8549</v>
      </c>
      <c r="S477" s="1882" t="s">
        <v>9173</v>
      </c>
      <c r="T477" s="1882">
        <v>100</v>
      </c>
      <c r="U477" s="1882">
        <v>100</v>
      </c>
      <c r="V477" s="1882">
        <v>100</v>
      </c>
      <c r="W477" s="1882">
        <v>100</v>
      </c>
      <c r="X477" s="1882">
        <v>100</v>
      </c>
      <c r="Y477" s="1882"/>
      <c r="Z477" s="1882"/>
      <c r="AA477" s="1882"/>
      <c r="AB477" s="1882"/>
      <c r="AC477" s="1882"/>
      <c r="AD477" s="1882"/>
      <c r="AE477" s="1882"/>
      <c r="AF477" s="1882" t="s">
        <v>2459</v>
      </c>
      <c r="AG477" s="1882"/>
      <c r="AH477" s="1882">
        <v>0</v>
      </c>
      <c r="AI477" s="1882"/>
      <c r="AJ477" s="1882"/>
      <c r="AK477" s="1882"/>
      <c r="AL477" s="1882"/>
      <c r="AM477" s="1882"/>
      <c r="AN477" s="1882"/>
      <c r="AO477" s="1882"/>
      <c r="AP477" s="1882"/>
      <c r="AQ477" s="1882"/>
      <c r="AR477" s="1882"/>
      <c r="AS477" s="1882"/>
      <c r="AT477" s="1882"/>
      <c r="AU477" s="1882"/>
      <c r="AV477" s="1882"/>
      <c r="AW477" s="1882"/>
      <c r="AX477" s="1882"/>
      <c r="AY477" s="1882"/>
      <c r="AZ477" s="1882"/>
      <c r="BA477" s="1882"/>
      <c r="BB477" s="1882"/>
      <c r="BC477" s="1882"/>
      <c r="BD477" s="1882"/>
      <c r="BE477" s="1882"/>
      <c r="BF477" s="1882"/>
      <c r="BG477" s="1882"/>
      <c r="BH477" s="1882"/>
      <c r="BI477" s="1882"/>
      <c r="BJ477" s="1882"/>
      <c r="BK477" s="1882"/>
      <c r="BL477" s="1882"/>
      <c r="BM477" s="1882"/>
      <c r="BN477" s="1882"/>
      <c r="BO477" s="1882"/>
      <c r="BP477" s="520">
        <v>98</v>
      </c>
      <c r="BQ477" s="693">
        <v>98</v>
      </c>
      <c r="BR477" s="1882" t="s">
        <v>2460</v>
      </c>
      <c r="BS477" s="1882" t="s">
        <v>8513</v>
      </c>
      <c r="BT477" s="1882">
        <v>0</v>
      </c>
      <c r="BU477" s="1882" t="s">
        <v>8513</v>
      </c>
      <c r="BV477" s="1882">
        <v>0</v>
      </c>
      <c r="BW477" s="1882">
        <v>98</v>
      </c>
      <c r="BX477" s="1882" t="s">
        <v>2460</v>
      </c>
      <c r="BY477" s="1882">
        <v>0</v>
      </c>
      <c r="BZ477" s="1882">
        <v>0</v>
      </c>
      <c r="CA477" s="1882">
        <v>0</v>
      </c>
      <c r="CB477" s="1882">
        <v>0</v>
      </c>
      <c r="CC477" s="1882">
        <v>96</v>
      </c>
      <c r="CD477" s="1882" t="s">
        <v>2460</v>
      </c>
      <c r="CE477" s="1882">
        <v>0</v>
      </c>
      <c r="CF477" s="1882">
        <v>0</v>
      </c>
      <c r="CG477" s="1882">
        <v>0</v>
      </c>
      <c r="CH477" s="1882">
        <v>0</v>
      </c>
      <c r="CI477" s="1882">
        <v>96</v>
      </c>
      <c r="CJ477" s="1882" t="s">
        <v>2460</v>
      </c>
      <c r="CK477" s="1882">
        <v>0</v>
      </c>
      <c r="CL477" s="1882">
        <v>0</v>
      </c>
      <c r="CM477" s="1882">
        <v>0</v>
      </c>
      <c r="CN477" s="1882">
        <v>0</v>
      </c>
      <c r="CP477" s="1882" t="s">
        <v>11169</v>
      </c>
    </row>
    <row r="478" spans="1:94" ht="25">
      <c r="A478" s="1882" t="s">
        <v>8387</v>
      </c>
      <c r="B478" s="1882" t="s">
        <v>11170</v>
      </c>
      <c r="C478" s="1882" t="s">
        <v>8352</v>
      </c>
      <c r="D478" s="1882" t="s">
        <v>1627</v>
      </c>
      <c r="E478" s="1882" t="s">
        <v>8720</v>
      </c>
      <c r="F478" s="1882" t="s">
        <v>11096</v>
      </c>
      <c r="G478" s="1882" t="s">
        <v>7236</v>
      </c>
      <c r="H478" s="1882" t="s">
        <v>11171</v>
      </c>
      <c r="I478" s="1882" t="s">
        <v>11172</v>
      </c>
      <c r="J478" s="1882" t="s">
        <v>8508</v>
      </c>
      <c r="K478" s="1882" t="s">
        <v>8509</v>
      </c>
      <c r="L478" s="1882"/>
      <c r="M478" s="1882" t="s">
        <v>2460</v>
      </c>
      <c r="N478" s="1882" t="s">
        <v>8760</v>
      </c>
      <c r="O478" s="1882" t="s">
        <v>8797</v>
      </c>
      <c r="P478" s="1882" t="s">
        <v>11173</v>
      </c>
      <c r="Q478" s="520" t="s">
        <v>8512</v>
      </c>
      <c r="R478" s="1882"/>
      <c r="S478" s="1882" t="s">
        <v>11174</v>
      </c>
      <c r="T478" s="1882" t="s">
        <v>11175</v>
      </c>
      <c r="U478" s="1882" t="s">
        <v>11175</v>
      </c>
      <c r="V478" s="1882" t="s">
        <v>11175</v>
      </c>
      <c r="W478" s="1882" t="s">
        <v>11175</v>
      </c>
      <c r="X478" s="1882" t="s">
        <v>11175</v>
      </c>
      <c r="Y478" s="1882"/>
      <c r="Z478" s="1882"/>
      <c r="AA478" s="1882"/>
      <c r="AB478" s="1882" t="s">
        <v>2459</v>
      </c>
      <c r="AC478" s="1882"/>
      <c r="AD478" s="1882"/>
      <c r="AE478" s="1882" t="s">
        <v>2459</v>
      </c>
      <c r="AF478" s="1882"/>
      <c r="AG478" s="1882"/>
      <c r="AH478" s="1882">
        <v>0</v>
      </c>
      <c r="AI478" s="1882" t="s">
        <v>2459</v>
      </c>
      <c r="AJ478" s="1882" t="s">
        <v>2459</v>
      </c>
      <c r="AK478" s="1882" t="s">
        <v>2459</v>
      </c>
      <c r="AL478" s="1882" t="s">
        <v>2459</v>
      </c>
      <c r="AM478" s="1882" t="s">
        <v>2459</v>
      </c>
      <c r="AN478" s="1882" t="s">
        <v>11176</v>
      </c>
      <c r="AO478" s="1882" t="s">
        <v>11176</v>
      </c>
      <c r="AP478" s="1882" t="s">
        <v>11176</v>
      </c>
      <c r="AQ478" s="1882" t="s">
        <v>11176</v>
      </c>
      <c r="AR478" s="1882" t="s">
        <v>11176</v>
      </c>
      <c r="AS478" s="1882" t="s">
        <v>11177</v>
      </c>
      <c r="AT478" s="1882" t="s">
        <v>11177</v>
      </c>
      <c r="AU478" s="1882" t="s">
        <v>11177</v>
      </c>
      <c r="AV478" s="1882" t="s">
        <v>11177</v>
      </c>
      <c r="AW478" s="1882" t="s">
        <v>11177</v>
      </c>
      <c r="AX478" s="1882" t="s">
        <v>11178</v>
      </c>
      <c r="AY478" s="1882" t="s">
        <v>11178</v>
      </c>
      <c r="AZ478" s="1882" t="s">
        <v>11178</v>
      </c>
      <c r="BA478" s="1882" t="s">
        <v>11178</v>
      </c>
      <c r="BB478" s="1882" t="s">
        <v>11178</v>
      </c>
      <c r="BC478" s="1882" t="s">
        <v>11179</v>
      </c>
      <c r="BD478" s="1882" t="s">
        <v>11179</v>
      </c>
      <c r="BE478" s="1882" t="s">
        <v>11179</v>
      </c>
      <c r="BF478" s="1882" t="s">
        <v>11179</v>
      </c>
      <c r="BG478" s="1882" t="s">
        <v>11179</v>
      </c>
      <c r="BH478" s="1882">
        <v>5.9</v>
      </c>
      <c r="BI478" s="1882"/>
      <c r="BJ478" s="1882"/>
      <c r="BK478" s="1882"/>
      <c r="BL478" s="1882">
        <v>0.19</v>
      </c>
      <c r="BM478" s="1882"/>
      <c r="BN478" s="1882">
        <v>1</v>
      </c>
      <c r="BO478" s="1882" t="s">
        <v>8512</v>
      </c>
      <c r="BP478" s="520" t="s">
        <v>11180</v>
      </c>
      <c r="BQ478" s="692" t="s">
        <v>11174</v>
      </c>
      <c r="BR478" s="1882" t="s">
        <v>2459</v>
      </c>
      <c r="BS478" s="1882" t="s">
        <v>8513</v>
      </c>
      <c r="BT478" s="1882">
        <v>0</v>
      </c>
      <c r="BU478" s="1882" t="s">
        <v>8513</v>
      </c>
      <c r="BV478" s="1882">
        <v>0</v>
      </c>
      <c r="BW478" s="1882" t="s">
        <v>11174</v>
      </c>
      <c r="BX478" s="1882" t="s">
        <v>2459</v>
      </c>
      <c r="BY478" s="1882">
        <v>0</v>
      </c>
      <c r="BZ478" s="1882">
        <v>0</v>
      </c>
      <c r="CA478" s="1882">
        <v>0</v>
      </c>
      <c r="CB478" s="1882">
        <v>0</v>
      </c>
      <c r="CC478" s="1882" t="s">
        <v>11174</v>
      </c>
      <c r="CD478" s="1882" t="s">
        <v>2459</v>
      </c>
      <c r="CE478" s="1882">
        <v>0</v>
      </c>
      <c r="CF478" s="1882">
        <v>0</v>
      </c>
      <c r="CG478" s="1882" t="s">
        <v>8380</v>
      </c>
      <c r="CH478" s="1882">
        <v>0</v>
      </c>
      <c r="CI478" s="1882" t="s">
        <v>11181</v>
      </c>
      <c r="CJ478" s="1882" t="s">
        <v>2460</v>
      </c>
      <c r="CK478" s="1882">
        <v>0</v>
      </c>
      <c r="CL478" s="1882">
        <v>0</v>
      </c>
      <c r="CM478" s="1882" t="s">
        <v>8388</v>
      </c>
      <c r="CN478" s="1882">
        <v>0</v>
      </c>
      <c r="CP478" s="1882" t="s">
        <v>11182</v>
      </c>
    </row>
    <row r="479" spans="1:94">
      <c r="A479" s="1882" t="s">
        <v>8387</v>
      </c>
      <c r="B479" s="1882" t="s">
        <v>11183</v>
      </c>
      <c r="C479" s="1882" t="s">
        <v>8352</v>
      </c>
      <c r="D479" s="1882" t="s">
        <v>1627</v>
      </c>
      <c r="E479" s="1882" t="s">
        <v>8720</v>
      </c>
      <c r="F479" s="1882" t="s">
        <v>11096</v>
      </c>
      <c r="G479" s="1882" t="s">
        <v>7237</v>
      </c>
      <c r="H479" s="1882" t="s">
        <v>11184</v>
      </c>
      <c r="I479" s="1882" t="s">
        <v>11185</v>
      </c>
      <c r="J479" s="1882" t="s">
        <v>8519</v>
      </c>
      <c r="K479" s="1882" t="s">
        <v>8855</v>
      </c>
      <c r="L479" s="1882"/>
      <c r="M479" s="1882"/>
      <c r="N479" s="1882" t="s">
        <v>8673</v>
      </c>
      <c r="O479" s="1882" t="s">
        <v>732</v>
      </c>
      <c r="P479" s="1882" t="s">
        <v>11186</v>
      </c>
      <c r="Q479" s="520">
        <v>0</v>
      </c>
      <c r="R479" s="1882" t="s">
        <v>8549</v>
      </c>
      <c r="S479" s="1882">
        <v>33</v>
      </c>
      <c r="T479" s="1882">
        <v>40</v>
      </c>
      <c r="U479" s="1882">
        <v>40</v>
      </c>
      <c r="V479" s="1882">
        <v>43</v>
      </c>
      <c r="W479" s="1882">
        <v>43</v>
      </c>
      <c r="X479" s="1882">
        <v>100</v>
      </c>
      <c r="Y479" s="1882"/>
      <c r="Z479" s="1882"/>
      <c r="AA479" s="1882"/>
      <c r="AB479" s="1882"/>
      <c r="AC479" s="1882"/>
      <c r="AD479" s="1882"/>
      <c r="AE479" s="1882"/>
      <c r="AF479" s="1882" t="s">
        <v>2459</v>
      </c>
      <c r="AG479" s="1882"/>
      <c r="AH479" s="1882">
        <v>0</v>
      </c>
      <c r="AI479" s="1882" t="s">
        <v>2459</v>
      </c>
      <c r="AJ479" s="1882" t="s">
        <v>2459</v>
      </c>
      <c r="AK479" s="1882" t="s">
        <v>2459</v>
      </c>
      <c r="AL479" s="1882" t="s">
        <v>2459</v>
      </c>
      <c r="AM479" s="1882" t="s">
        <v>2459</v>
      </c>
      <c r="AN479" s="1882">
        <v>33</v>
      </c>
      <c r="AO479" s="1882">
        <v>33</v>
      </c>
      <c r="AP479" s="1882">
        <v>33</v>
      </c>
      <c r="AQ479" s="1882">
        <v>33</v>
      </c>
      <c r="AR479" s="1882">
        <v>33</v>
      </c>
      <c r="AS479" s="1882">
        <v>40</v>
      </c>
      <c r="AT479" s="1882">
        <v>40</v>
      </c>
      <c r="AU479" s="1882">
        <v>43</v>
      </c>
      <c r="AV479" s="1882">
        <v>43</v>
      </c>
      <c r="AW479" s="1882">
        <v>100</v>
      </c>
      <c r="AX479" s="1882"/>
      <c r="AY479" s="1882"/>
      <c r="AZ479" s="1882"/>
      <c r="BA479" s="1882"/>
      <c r="BB479" s="1882"/>
      <c r="BC479" s="1882"/>
      <c r="BD479" s="1882"/>
      <c r="BE479" s="1882"/>
      <c r="BF479" s="1882"/>
      <c r="BG479" s="1882"/>
      <c r="BH479" s="1882">
        <v>0.01</v>
      </c>
      <c r="BI479" s="1882"/>
      <c r="BJ479" s="1882"/>
      <c r="BK479" s="1882"/>
      <c r="BL479" s="1882"/>
      <c r="BM479" s="1882"/>
      <c r="BN479" s="1882">
        <v>1</v>
      </c>
      <c r="BO479" s="1882" t="s">
        <v>8512</v>
      </c>
      <c r="BP479" s="520">
        <v>39</v>
      </c>
      <c r="BQ479" s="693">
        <v>46</v>
      </c>
      <c r="BR479" s="1882" t="s">
        <v>2459</v>
      </c>
      <c r="BS479" s="1882" t="s">
        <v>8513</v>
      </c>
      <c r="BT479" s="1882">
        <v>0</v>
      </c>
      <c r="BU479" s="1882" t="s">
        <v>8513</v>
      </c>
      <c r="BV479" s="1882">
        <v>0</v>
      </c>
      <c r="BW479" s="1882">
        <v>50</v>
      </c>
      <c r="BX479" s="1882" t="s">
        <v>2459</v>
      </c>
      <c r="BY479" s="1882">
        <v>0</v>
      </c>
      <c r="BZ479" s="1882">
        <v>0</v>
      </c>
      <c r="CA479" s="1882">
        <v>0</v>
      </c>
      <c r="CB479" s="1882">
        <v>0</v>
      </c>
      <c r="CC479" s="1882">
        <v>60</v>
      </c>
      <c r="CD479" s="1882" t="s">
        <v>2459</v>
      </c>
      <c r="CE479" s="1882">
        <v>0</v>
      </c>
      <c r="CF479" s="1882">
        <v>0</v>
      </c>
      <c r="CG479" s="1882">
        <v>0</v>
      </c>
      <c r="CH479" s="1882">
        <v>0</v>
      </c>
      <c r="CI479" s="1882">
        <v>80</v>
      </c>
      <c r="CJ479" s="1882" t="s">
        <v>2459</v>
      </c>
      <c r="CK479" s="1882">
        <v>0</v>
      </c>
      <c r="CL479" s="1882">
        <v>0</v>
      </c>
      <c r="CM479" s="1882">
        <v>0</v>
      </c>
      <c r="CN479" s="1882">
        <v>0</v>
      </c>
      <c r="CP479" s="1882" t="s">
        <v>11187</v>
      </c>
    </row>
    <row r="480" spans="1:94">
      <c r="A480" s="1882" t="s">
        <v>8387</v>
      </c>
      <c r="B480" s="1882" t="s">
        <v>11188</v>
      </c>
      <c r="C480" s="1882" t="s">
        <v>8352</v>
      </c>
      <c r="D480" s="1882" t="s">
        <v>1627</v>
      </c>
      <c r="E480" s="1882" t="s">
        <v>8720</v>
      </c>
      <c r="F480" s="1882" t="s">
        <v>11096</v>
      </c>
      <c r="G480" s="1882" t="s">
        <v>8250</v>
      </c>
      <c r="H480" s="1882" t="s">
        <v>11189</v>
      </c>
      <c r="I480" s="1882" t="s">
        <v>11190</v>
      </c>
      <c r="J480" s="1882" t="s">
        <v>8508</v>
      </c>
      <c r="K480" s="1882" t="s">
        <v>8509</v>
      </c>
      <c r="L480" s="1882"/>
      <c r="M480" s="1882"/>
      <c r="N480" s="1882" t="s">
        <v>8673</v>
      </c>
      <c r="O480" s="1882" t="s">
        <v>764</v>
      </c>
      <c r="P480" s="1882" t="s">
        <v>11191</v>
      </c>
      <c r="Q480" s="520">
        <v>0</v>
      </c>
      <c r="R480" s="1882" t="s">
        <v>8549</v>
      </c>
      <c r="S480" s="1882">
        <v>0</v>
      </c>
      <c r="T480" s="1882">
        <v>0</v>
      </c>
      <c r="U480" s="1882">
        <v>0</v>
      </c>
      <c r="V480" s="1882">
        <v>8</v>
      </c>
      <c r="W480" s="1882">
        <v>11</v>
      </c>
      <c r="X480" s="1882">
        <v>70</v>
      </c>
      <c r="Y480" s="1882"/>
      <c r="Z480" s="1882"/>
      <c r="AA480" s="1882"/>
      <c r="AB480" s="1882"/>
      <c r="AC480" s="1882"/>
      <c r="AD480" s="1882"/>
      <c r="AE480" s="1882"/>
      <c r="AF480" s="1882" t="s">
        <v>2459</v>
      </c>
      <c r="AG480" s="1882"/>
      <c r="AH480" s="1882">
        <v>0</v>
      </c>
      <c r="AI480" s="1882"/>
      <c r="AJ480" s="1882"/>
      <c r="AK480" s="1882"/>
      <c r="AL480" s="1882"/>
      <c r="AM480" s="1882" t="s">
        <v>2459</v>
      </c>
      <c r="AN480" s="1882"/>
      <c r="AO480" s="1882"/>
      <c r="AP480" s="1882"/>
      <c r="AQ480" s="1882"/>
      <c r="AR480" s="1882">
        <v>0</v>
      </c>
      <c r="AS480" s="1882"/>
      <c r="AT480" s="1882"/>
      <c r="AU480" s="1882"/>
      <c r="AV480" s="1882"/>
      <c r="AW480" s="1882">
        <v>70</v>
      </c>
      <c r="AX480" s="1882"/>
      <c r="AY480" s="1882"/>
      <c r="AZ480" s="1882"/>
      <c r="BA480" s="1882"/>
      <c r="BB480" s="1882">
        <v>70</v>
      </c>
      <c r="BC480" s="1882"/>
      <c r="BD480" s="1882"/>
      <c r="BE480" s="1882"/>
      <c r="BF480" s="1882"/>
      <c r="BG480" s="1882">
        <v>131</v>
      </c>
      <c r="BH480" s="1882">
        <v>1.6739999999999999</v>
      </c>
      <c r="BI480" s="1882"/>
      <c r="BJ480" s="1882"/>
      <c r="BK480" s="1882"/>
      <c r="BL480" s="1882">
        <v>1.29</v>
      </c>
      <c r="BM480" s="1882"/>
      <c r="BN480" s="1882">
        <v>1</v>
      </c>
      <c r="BO480" s="1882" t="s">
        <v>8512</v>
      </c>
      <c r="BP480" s="520">
        <v>0</v>
      </c>
      <c r="BQ480" s="693">
        <v>0</v>
      </c>
      <c r="BR480" s="1882" t="s">
        <v>2459</v>
      </c>
      <c r="BS480" s="1882" t="s">
        <v>8513</v>
      </c>
      <c r="BT480" s="1882">
        <v>0</v>
      </c>
      <c r="BU480" s="1882" t="s">
        <v>8513</v>
      </c>
      <c r="BV480" s="1882">
        <v>0</v>
      </c>
      <c r="BW480" s="1882">
        <v>8</v>
      </c>
      <c r="BX480" s="1882" t="s">
        <v>2459</v>
      </c>
      <c r="BY480" s="1882">
        <v>0</v>
      </c>
      <c r="BZ480" s="1882">
        <v>0</v>
      </c>
      <c r="CA480" s="1882">
        <v>0</v>
      </c>
      <c r="CB480" s="1882">
        <v>0</v>
      </c>
      <c r="CC480" s="1882">
        <v>23</v>
      </c>
      <c r="CD480" s="1882" t="s">
        <v>2459</v>
      </c>
      <c r="CE480" s="1882">
        <v>0</v>
      </c>
      <c r="CF480" s="1882">
        <v>0</v>
      </c>
      <c r="CG480" s="1882">
        <v>0</v>
      </c>
      <c r="CH480" s="1882">
        <v>0</v>
      </c>
      <c r="CI480" s="1882">
        <v>38</v>
      </c>
      <c r="CJ480" s="1882" t="s">
        <v>2459</v>
      </c>
      <c r="CK480" s="1882">
        <v>0</v>
      </c>
      <c r="CL480" s="1882">
        <v>0</v>
      </c>
      <c r="CM480" s="1882">
        <v>0</v>
      </c>
      <c r="CN480" s="1882">
        <v>0</v>
      </c>
      <c r="CP480" s="1882" t="s">
        <v>11192</v>
      </c>
    </row>
    <row r="481" spans="1:94">
      <c r="A481" s="1882" t="s">
        <v>8387</v>
      </c>
      <c r="B481" s="1882" t="s">
        <v>11193</v>
      </c>
      <c r="C481" s="1882" t="s">
        <v>8352</v>
      </c>
      <c r="D481" s="1882" t="s">
        <v>1627</v>
      </c>
      <c r="E481" s="1882" t="s">
        <v>8720</v>
      </c>
      <c r="F481" s="1882" t="s">
        <v>11194</v>
      </c>
      <c r="G481" s="1882" t="s">
        <v>8254</v>
      </c>
      <c r="H481" s="1882" t="s">
        <v>11195</v>
      </c>
      <c r="I481" s="1882" t="s">
        <v>11196</v>
      </c>
      <c r="J481" s="1882" t="s">
        <v>8508</v>
      </c>
      <c r="K481" s="1882" t="s">
        <v>8509</v>
      </c>
      <c r="L481" s="1882"/>
      <c r="M481" s="1882"/>
      <c r="N481" s="1882" t="s">
        <v>8724</v>
      </c>
      <c r="O481" s="1882" t="s">
        <v>764</v>
      </c>
      <c r="P481" s="1882" t="s">
        <v>11197</v>
      </c>
      <c r="Q481" s="520">
        <v>2</v>
      </c>
      <c r="R481" s="1882" t="s">
        <v>8511</v>
      </c>
      <c r="S481" s="1882">
        <v>1.77</v>
      </c>
      <c r="T481" s="1882">
        <v>1.75</v>
      </c>
      <c r="U481" s="1882">
        <v>1.72</v>
      </c>
      <c r="V481" s="1882">
        <v>1.7</v>
      </c>
      <c r="W481" s="1882">
        <v>1.68</v>
      </c>
      <c r="X481" s="1882">
        <v>1.66</v>
      </c>
      <c r="Y481" s="1882"/>
      <c r="Z481" s="1882"/>
      <c r="AA481" s="1882"/>
      <c r="AB481" s="1882"/>
      <c r="AC481" s="1882" t="s">
        <v>2459</v>
      </c>
      <c r="AD481" s="1882"/>
      <c r="AE481" s="1882" t="s">
        <v>2459</v>
      </c>
      <c r="AF481" s="1882"/>
      <c r="AG481" s="1882"/>
      <c r="AH481" s="1882">
        <v>0</v>
      </c>
      <c r="AI481" s="1882" t="s">
        <v>2459</v>
      </c>
      <c r="AJ481" s="1882" t="s">
        <v>2459</v>
      </c>
      <c r="AK481" s="1882" t="s">
        <v>2459</v>
      </c>
      <c r="AL481" s="1882" t="s">
        <v>2459</v>
      </c>
      <c r="AM481" s="1882" t="s">
        <v>2459</v>
      </c>
      <c r="AN481" s="1882">
        <v>2.0699999999999998</v>
      </c>
      <c r="AO481" s="1882">
        <v>2.04</v>
      </c>
      <c r="AP481" s="1882">
        <v>2.02</v>
      </c>
      <c r="AQ481" s="1882">
        <v>2</v>
      </c>
      <c r="AR481" s="1882">
        <v>1.98</v>
      </c>
      <c r="AS481" s="1882">
        <v>1.95</v>
      </c>
      <c r="AT481" s="1882">
        <v>1.92</v>
      </c>
      <c r="AU481" s="1882">
        <v>1.9</v>
      </c>
      <c r="AV481" s="1882">
        <v>1.88</v>
      </c>
      <c r="AW481" s="1882">
        <v>1.86</v>
      </c>
      <c r="AX481" s="1882">
        <v>1.61</v>
      </c>
      <c r="AY481" s="1882">
        <v>1.59</v>
      </c>
      <c r="AZ481" s="1882">
        <v>1.57</v>
      </c>
      <c r="BA481" s="1882">
        <v>1.55</v>
      </c>
      <c r="BB481" s="1882">
        <v>1.53</v>
      </c>
      <c r="BC481" s="1882">
        <v>1.35</v>
      </c>
      <c r="BD481" s="1882">
        <v>1.32</v>
      </c>
      <c r="BE481" s="1882">
        <v>1.3</v>
      </c>
      <c r="BF481" s="1882">
        <v>1.28</v>
      </c>
      <c r="BG481" s="1882">
        <v>1.26</v>
      </c>
      <c r="BH481" s="1882">
        <v>0.31510500000000002</v>
      </c>
      <c r="BI481" s="1882"/>
      <c r="BJ481" s="1882"/>
      <c r="BK481" s="1882"/>
      <c r="BL481" s="1882">
        <v>0.20399999999999999</v>
      </c>
      <c r="BM481" s="1882"/>
      <c r="BN481" s="1882">
        <v>100</v>
      </c>
      <c r="BO481" s="1882" t="s">
        <v>11198</v>
      </c>
      <c r="BP481" s="520">
        <v>1.1499999999999999</v>
      </c>
      <c r="BQ481" s="694">
        <v>1.36</v>
      </c>
      <c r="BR481" s="1882" t="s">
        <v>2459</v>
      </c>
      <c r="BS481" s="1882" t="s">
        <v>8513</v>
      </c>
      <c r="BT481" s="1882">
        <v>0</v>
      </c>
      <c r="BU481" s="1882" t="s">
        <v>8376</v>
      </c>
      <c r="BV481" s="1882">
        <v>5.0999999999999996</v>
      </c>
      <c r="BW481" s="1882">
        <v>1.2</v>
      </c>
      <c r="BX481" s="1882" t="s">
        <v>2459</v>
      </c>
      <c r="BY481" s="1882">
        <v>0</v>
      </c>
      <c r="BZ481" s="1882">
        <v>0</v>
      </c>
      <c r="CA481" s="1882" t="s">
        <v>8376</v>
      </c>
      <c r="CB481" s="1882">
        <v>5.508</v>
      </c>
      <c r="CC481" s="1882">
        <v>1.21</v>
      </c>
      <c r="CD481" s="1882" t="s">
        <v>2459</v>
      </c>
      <c r="CE481" s="1882">
        <v>0</v>
      </c>
      <c r="CF481" s="1882">
        <v>0</v>
      </c>
      <c r="CG481" s="1882" t="s">
        <v>8376</v>
      </c>
      <c r="CH481" s="1882">
        <v>5.508</v>
      </c>
      <c r="CI481" s="1882">
        <v>1.43</v>
      </c>
      <c r="CJ481" s="1882" t="s">
        <v>2459</v>
      </c>
      <c r="CK481" s="1882">
        <v>0</v>
      </c>
      <c r="CL481" s="1882">
        <v>0</v>
      </c>
      <c r="CM481" s="1882" t="s">
        <v>8376</v>
      </c>
      <c r="CN481" s="1882">
        <v>2.448</v>
      </c>
      <c r="CP481" s="1882" t="s">
        <v>11199</v>
      </c>
    </row>
    <row r="482" spans="1:94">
      <c r="A482" s="1882" t="s">
        <v>8387</v>
      </c>
      <c r="B482" s="1882" t="s">
        <v>11200</v>
      </c>
      <c r="C482" s="1882" t="s">
        <v>8352</v>
      </c>
      <c r="D482" s="1882" t="s">
        <v>1627</v>
      </c>
      <c r="E482" s="1882" t="s">
        <v>8720</v>
      </c>
      <c r="F482" s="1882" t="s">
        <v>11194</v>
      </c>
      <c r="G482" s="1882" t="s">
        <v>8257</v>
      </c>
      <c r="H482" s="1882" t="s">
        <v>11201</v>
      </c>
      <c r="I482" s="1882" t="s">
        <v>11202</v>
      </c>
      <c r="J482" s="1882" t="s">
        <v>8508</v>
      </c>
      <c r="K482" s="1882" t="s">
        <v>8855</v>
      </c>
      <c r="L482" s="1882"/>
      <c r="M482" s="1882" t="s">
        <v>2460</v>
      </c>
      <c r="N482" s="1882" t="s">
        <v>8724</v>
      </c>
      <c r="O482" s="1882" t="s">
        <v>764</v>
      </c>
      <c r="P482" s="1882" t="s">
        <v>11203</v>
      </c>
      <c r="Q482" s="520">
        <v>0</v>
      </c>
      <c r="R482" s="1882" t="s">
        <v>8511</v>
      </c>
      <c r="S482" s="1882">
        <v>50000</v>
      </c>
      <c r="T482" s="1882">
        <v>50651</v>
      </c>
      <c r="U482" s="1882">
        <v>50651</v>
      </c>
      <c r="V482" s="1882">
        <v>50651</v>
      </c>
      <c r="W482" s="1882">
        <v>50651</v>
      </c>
      <c r="X482" s="1882">
        <v>50651</v>
      </c>
      <c r="Y482" s="1882"/>
      <c r="Z482" s="1882"/>
      <c r="AA482" s="1882"/>
      <c r="AB482" s="1882"/>
      <c r="AC482" s="1882"/>
      <c r="AD482" s="1882"/>
      <c r="AE482" s="1882" t="s">
        <v>2459</v>
      </c>
      <c r="AF482" s="1882"/>
      <c r="AG482" s="1882"/>
      <c r="AH482" s="1882">
        <v>0</v>
      </c>
      <c r="AI482" s="1882" t="s">
        <v>2459</v>
      </c>
      <c r="AJ482" s="1882" t="s">
        <v>2459</v>
      </c>
      <c r="AK482" s="1882" t="s">
        <v>2459</v>
      </c>
      <c r="AL482" s="1882" t="s">
        <v>2459</v>
      </c>
      <c r="AM482" s="1882" t="s">
        <v>2459</v>
      </c>
      <c r="AN482" s="1882" t="s">
        <v>11204</v>
      </c>
      <c r="AO482" s="1882" t="s">
        <v>11204</v>
      </c>
      <c r="AP482" s="1882" t="s">
        <v>11204</v>
      </c>
      <c r="AQ482" s="1882" t="s">
        <v>11204</v>
      </c>
      <c r="AR482" s="1882" t="s">
        <v>11204</v>
      </c>
      <c r="AS482" s="1882">
        <v>60781</v>
      </c>
      <c r="AT482" s="1882">
        <v>60781</v>
      </c>
      <c r="AU482" s="1882">
        <v>60781</v>
      </c>
      <c r="AV482" s="1882">
        <v>60781</v>
      </c>
      <c r="AW482" s="1882">
        <v>60781</v>
      </c>
      <c r="AX482" s="1882">
        <v>40521</v>
      </c>
      <c r="AY482" s="1882">
        <v>40521</v>
      </c>
      <c r="AZ482" s="1882">
        <v>40521</v>
      </c>
      <c r="BA482" s="1882">
        <v>40521</v>
      </c>
      <c r="BB482" s="1882">
        <v>40521</v>
      </c>
      <c r="BC482" s="1882">
        <v>0</v>
      </c>
      <c r="BD482" s="1882">
        <v>0</v>
      </c>
      <c r="BE482" s="1882">
        <v>0</v>
      </c>
      <c r="BF482" s="1882">
        <v>0</v>
      </c>
      <c r="BG482" s="1882">
        <v>0</v>
      </c>
      <c r="BH482" s="1882">
        <v>10.4</v>
      </c>
      <c r="BI482" s="1882"/>
      <c r="BJ482" s="1882"/>
      <c r="BK482" s="1882"/>
      <c r="BL482" s="1882">
        <v>7.4000000000000003E-3</v>
      </c>
      <c r="BM482" s="1882"/>
      <c r="BN482" s="1882">
        <v>1</v>
      </c>
      <c r="BO482" s="1882" t="s">
        <v>8512</v>
      </c>
      <c r="BP482" s="520">
        <v>50651</v>
      </c>
      <c r="BQ482" s="693">
        <v>51509</v>
      </c>
      <c r="BR482" s="1882" t="s">
        <v>2460</v>
      </c>
      <c r="BS482" s="1882" t="s">
        <v>8513</v>
      </c>
      <c r="BT482" s="1882">
        <v>0</v>
      </c>
      <c r="BU482" s="1882" t="s">
        <v>8429</v>
      </c>
      <c r="BV482" s="1882">
        <v>0</v>
      </c>
      <c r="BW482" s="1882">
        <v>51125</v>
      </c>
      <c r="BX482" s="1882" t="s">
        <v>2460</v>
      </c>
      <c r="BY482" s="1882">
        <v>0</v>
      </c>
      <c r="BZ482" s="1882">
        <v>0</v>
      </c>
      <c r="CA482" s="1882" t="s">
        <v>8429</v>
      </c>
      <c r="CB482" s="1882">
        <v>0</v>
      </c>
      <c r="CC482" s="1882">
        <v>49796</v>
      </c>
      <c r="CD482" s="1882" t="s">
        <v>2459</v>
      </c>
      <c r="CE482" s="1882">
        <v>0</v>
      </c>
      <c r="CF482" s="1882">
        <v>0</v>
      </c>
      <c r="CG482" s="1882" t="s">
        <v>8380</v>
      </c>
      <c r="CH482" s="1882">
        <v>0</v>
      </c>
      <c r="CI482" s="1882">
        <v>50176</v>
      </c>
      <c r="CJ482" s="1882" t="s">
        <v>2459</v>
      </c>
      <c r="CK482" s="1882">
        <v>0</v>
      </c>
      <c r="CL482" s="1882">
        <v>0</v>
      </c>
      <c r="CM482" s="1882" t="s">
        <v>8380</v>
      </c>
      <c r="CN482" s="1882">
        <v>0</v>
      </c>
      <c r="CP482" s="1882" t="s">
        <v>11205</v>
      </c>
    </row>
    <row r="483" spans="1:94">
      <c r="A483" s="1882" t="s">
        <v>8387</v>
      </c>
      <c r="B483" s="1882" t="s">
        <v>11206</v>
      </c>
      <c r="C483" s="1882" t="s">
        <v>8352</v>
      </c>
      <c r="D483" s="1882" t="s">
        <v>1627</v>
      </c>
      <c r="E483" s="1882" t="s">
        <v>8720</v>
      </c>
      <c r="F483" s="1882" t="s">
        <v>11194</v>
      </c>
      <c r="G483" s="1882" t="s">
        <v>11207</v>
      </c>
      <c r="H483" s="1882" t="s">
        <v>11208</v>
      </c>
      <c r="I483" s="1882" t="s">
        <v>11209</v>
      </c>
      <c r="J483" s="1882" t="s">
        <v>8519</v>
      </c>
      <c r="K483" s="1882" t="s">
        <v>8855</v>
      </c>
      <c r="L483" s="1882"/>
      <c r="M483" s="1882" t="s">
        <v>2460</v>
      </c>
      <c r="N483" s="1882" t="s">
        <v>8724</v>
      </c>
      <c r="O483" s="1882" t="s">
        <v>8797</v>
      </c>
      <c r="P483" s="1882" t="s">
        <v>11210</v>
      </c>
      <c r="Q483" s="520" t="s">
        <v>8512</v>
      </c>
      <c r="R483" s="1882"/>
      <c r="S483" s="1882"/>
      <c r="T483" s="1882"/>
      <c r="U483" s="1882"/>
      <c r="V483" s="1882"/>
      <c r="W483" s="1882"/>
      <c r="X483" s="1882" t="s">
        <v>9289</v>
      </c>
      <c r="Y483" s="1882"/>
      <c r="Z483" s="1882"/>
      <c r="AA483" s="1882"/>
      <c r="AB483" s="1882"/>
      <c r="AC483" s="1882"/>
      <c r="AD483" s="1882" t="s">
        <v>2459</v>
      </c>
      <c r="AE483" s="1882" t="s">
        <v>2459</v>
      </c>
      <c r="AF483" s="1882"/>
      <c r="AG483" s="1882"/>
      <c r="AH483" s="1882">
        <v>0</v>
      </c>
      <c r="AI483" s="1882"/>
      <c r="AJ483" s="1882"/>
      <c r="AK483" s="1882"/>
      <c r="AL483" s="1882"/>
      <c r="AM483" s="1882" t="s">
        <v>2459</v>
      </c>
      <c r="AN483" s="1882"/>
      <c r="AO483" s="1882"/>
      <c r="AP483" s="1882"/>
      <c r="AQ483" s="1882"/>
      <c r="AR483" s="1882"/>
      <c r="AS483" s="1882"/>
      <c r="AT483" s="1882"/>
      <c r="AU483" s="1882"/>
      <c r="AV483" s="1882"/>
      <c r="AW483" s="1882"/>
      <c r="AX483" s="1882"/>
      <c r="AY483" s="1882"/>
      <c r="AZ483" s="1882"/>
      <c r="BA483" s="1882"/>
      <c r="BB483" s="1882"/>
      <c r="BC483" s="1882"/>
      <c r="BD483" s="1882"/>
      <c r="BE483" s="1882"/>
      <c r="BF483" s="1882"/>
      <c r="BG483" s="1882"/>
      <c r="BH483" s="1882">
        <v>1.86</v>
      </c>
      <c r="BI483" s="1882">
        <v>24.917000000000002</v>
      </c>
      <c r="BJ483" s="1882"/>
      <c r="BK483" s="1882"/>
      <c r="BL483" s="1882"/>
      <c r="BM483" s="1882"/>
      <c r="BN483" s="1882">
        <v>1</v>
      </c>
      <c r="BO483" s="1882" t="s">
        <v>8512</v>
      </c>
      <c r="BP483" s="520" t="s">
        <v>2451</v>
      </c>
      <c r="BQ483" s="692" t="s">
        <v>2451</v>
      </c>
      <c r="BR483" s="1882" t="s">
        <v>2459</v>
      </c>
      <c r="BS483" s="1882" t="s">
        <v>8513</v>
      </c>
      <c r="BT483" s="1882">
        <v>0</v>
      </c>
      <c r="BU483" s="1882" t="s">
        <v>8513</v>
      </c>
      <c r="BV483" s="1882">
        <v>0</v>
      </c>
      <c r="BW483" s="1882" t="s">
        <v>2451</v>
      </c>
      <c r="BX483" s="1882" t="s">
        <v>2451</v>
      </c>
      <c r="BY483" s="1882">
        <v>0</v>
      </c>
      <c r="BZ483" s="1882">
        <v>0</v>
      </c>
      <c r="CA483" s="1882">
        <v>0</v>
      </c>
      <c r="CB483" s="1882">
        <v>0</v>
      </c>
      <c r="CC483" s="1882" t="s">
        <v>2451</v>
      </c>
      <c r="CD483" s="1882" t="s">
        <v>2451</v>
      </c>
      <c r="CE483" s="1882">
        <v>0</v>
      </c>
      <c r="CF483" s="1882">
        <v>0</v>
      </c>
      <c r="CG483" s="1882">
        <v>0</v>
      </c>
      <c r="CH483" s="1882">
        <v>0</v>
      </c>
      <c r="CI483" s="1882" t="s">
        <v>8992</v>
      </c>
      <c r="CJ483" s="1882" t="s">
        <v>2459</v>
      </c>
      <c r="CK483" s="1882">
        <v>0</v>
      </c>
      <c r="CL483" s="1882">
        <v>0</v>
      </c>
      <c r="CM483" s="1882">
        <v>0</v>
      </c>
      <c r="CN483" s="1882">
        <v>0</v>
      </c>
      <c r="CP483" s="1882" t="s">
        <v>11211</v>
      </c>
    </row>
    <row r="484" spans="1:94">
      <c r="A484" s="1882" t="s">
        <v>8387</v>
      </c>
      <c r="B484" s="1882" t="s">
        <v>11212</v>
      </c>
      <c r="C484" s="1882" t="s">
        <v>8352</v>
      </c>
      <c r="D484" s="1882" t="s">
        <v>1627</v>
      </c>
      <c r="E484" s="1882" t="s">
        <v>8720</v>
      </c>
      <c r="F484" s="1882" t="s">
        <v>11194</v>
      </c>
      <c r="G484" s="1882" t="s">
        <v>11213</v>
      </c>
      <c r="H484" s="1882" t="s">
        <v>11214</v>
      </c>
      <c r="I484" s="1882" t="s">
        <v>11215</v>
      </c>
      <c r="J484" s="1882" t="s">
        <v>8519</v>
      </c>
      <c r="K484" s="1882" t="s">
        <v>8855</v>
      </c>
      <c r="L484" s="1882"/>
      <c r="M484" s="1882" t="s">
        <v>2460</v>
      </c>
      <c r="N484" s="1882" t="s">
        <v>8724</v>
      </c>
      <c r="O484" s="1882" t="s">
        <v>8797</v>
      </c>
      <c r="P484" s="1882" t="s">
        <v>11216</v>
      </c>
      <c r="Q484" s="520" t="s">
        <v>8512</v>
      </c>
      <c r="R484" s="1882"/>
      <c r="S484" s="1882"/>
      <c r="T484" s="1882"/>
      <c r="U484" s="1882"/>
      <c r="V484" s="1882" t="s">
        <v>8999</v>
      </c>
      <c r="W484" s="1882"/>
      <c r="X484" s="1882"/>
      <c r="Y484" s="1882"/>
      <c r="Z484" s="1882"/>
      <c r="AA484" s="1882"/>
      <c r="AB484" s="1882"/>
      <c r="AC484" s="1882"/>
      <c r="AD484" s="1882" t="s">
        <v>2459</v>
      </c>
      <c r="AE484" s="1882" t="s">
        <v>2459</v>
      </c>
      <c r="AF484" s="1882"/>
      <c r="AG484" s="1882"/>
      <c r="AH484" s="1882">
        <v>0</v>
      </c>
      <c r="AI484" s="1882"/>
      <c r="AJ484" s="1882"/>
      <c r="AK484" s="1882" t="s">
        <v>2459</v>
      </c>
      <c r="AL484" s="1882" t="s">
        <v>2459</v>
      </c>
      <c r="AM484" s="1882" t="s">
        <v>2459</v>
      </c>
      <c r="AN484" s="1882"/>
      <c r="AO484" s="1882"/>
      <c r="AP484" s="1882"/>
      <c r="AQ484" s="1882"/>
      <c r="AR484" s="1882"/>
      <c r="AS484" s="1882"/>
      <c r="AT484" s="1882"/>
      <c r="AU484" s="1882"/>
      <c r="AV484" s="1882"/>
      <c r="AW484" s="1882"/>
      <c r="AX484" s="1882"/>
      <c r="AY484" s="1882"/>
      <c r="AZ484" s="1882"/>
      <c r="BA484" s="1882"/>
      <c r="BB484" s="1882"/>
      <c r="BC484" s="1882"/>
      <c r="BD484" s="1882"/>
      <c r="BE484" s="1882"/>
      <c r="BF484" s="1882"/>
      <c r="BG484" s="1882"/>
      <c r="BH484" s="1882">
        <v>0.97</v>
      </c>
      <c r="BI484" s="1882">
        <v>14.083</v>
      </c>
      <c r="BJ484" s="1882"/>
      <c r="BK484" s="1882"/>
      <c r="BL484" s="1882"/>
      <c r="BM484" s="1882"/>
      <c r="BN484" s="1882">
        <v>1</v>
      </c>
      <c r="BO484" s="1882" t="s">
        <v>8512</v>
      </c>
      <c r="BP484" s="520" t="s">
        <v>2451</v>
      </c>
      <c r="BQ484" s="692" t="s">
        <v>2451</v>
      </c>
      <c r="BR484" s="1882" t="s">
        <v>2459</v>
      </c>
      <c r="BS484" s="1882" t="s">
        <v>8513</v>
      </c>
      <c r="BT484" s="1882">
        <v>0</v>
      </c>
      <c r="BU484" s="1882" t="s">
        <v>8513</v>
      </c>
      <c r="BV484" s="1882">
        <v>0</v>
      </c>
      <c r="BW484" s="1882" t="s">
        <v>2451</v>
      </c>
      <c r="BX484" s="1882" t="s">
        <v>2451</v>
      </c>
      <c r="BY484" s="1882">
        <v>0</v>
      </c>
      <c r="BZ484" s="1882">
        <v>0</v>
      </c>
      <c r="CA484" s="1882">
        <v>0</v>
      </c>
      <c r="CB484" s="1882">
        <v>0</v>
      </c>
      <c r="CC484" s="1882" t="s">
        <v>11217</v>
      </c>
      <c r="CD484" s="1882" t="s">
        <v>2459</v>
      </c>
      <c r="CE484" s="1882">
        <v>0</v>
      </c>
      <c r="CF484" s="1882">
        <v>0</v>
      </c>
      <c r="CG484" s="1882">
        <v>0</v>
      </c>
      <c r="CH484" s="1882">
        <v>0</v>
      </c>
      <c r="CI484" s="1882" t="s">
        <v>2451</v>
      </c>
      <c r="CJ484" s="1882" t="s">
        <v>2451</v>
      </c>
      <c r="CK484" s="1882">
        <v>0</v>
      </c>
      <c r="CL484" s="1882">
        <v>0</v>
      </c>
      <c r="CM484" s="1882">
        <v>0</v>
      </c>
      <c r="CN484" s="1882">
        <v>0</v>
      </c>
      <c r="CP484" s="1882" t="s">
        <v>11218</v>
      </c>
    </row>
    <row r="485" spans="1:94">
      <c r="A485" s="1882" t="s">
        <v>8387</v>
      </c>
      <c r="B485" s="1882" t="s">
        <v>11219</v>
      </c>
      <c r="C485" s="1882" t="s">
        <v>8352</v>
      </c>
      <c r="D485" s="1882" t="s">
        <v>1627</v>
      </c>
      <c r="E485" s="1882" t="s">
        <v>8720</v>
      </c>
      <c r="F485" s="1882" t="s">
        <v>11118</v>
      </c>
      <c r="G485" s="1882" t="s">
        <v>8261</v>
      </c>
      <c r="H485" s="1882" t="s">
        <v>11220</v>
      </c>
      <c r="I485" s="1882" t="s">
        <v>11221</v>
      </c>
      <c r="J485" s="1882" t="s">
        <v>8519</v>
      </c>
      <c r="K485" s="1882" t="s">
        <v>8855</v>
      </c>
      <c r="L485" s="1882"/>
      <c r="M485" s="1882"/>
      <c r="N485" s="1882" t="s">
        <v>8787</v>
      </c>
      <c r="O485" s="1882" t="s">
        <v>764</v>
      </c>
      <c r="P485" s="1882" t="s">
        <v>11222</v>
      </c>
      <c r="Q485" s="520">
        <v>0</v>
      </c>
      <c r="R485" s="1882" t="s">
        <v>8511</v>
      </c>
      <c r="S485" s="1882" t="s">
        <v>11223</v>
      </c>
      <c r="T485" s="1882" t="s">
        <v>11223</v>
      </c>
      <c r="U485" s="1882" t="s">
        <v>11223</v>
      </c>
      <c r="V485" s="1882" t="s">
        <v>11223</v>
      </c>
      <c r="W485" s="1882" t="s">
        <v>11223</v>
      </c>
      <c r="X485" s="1882" t="s">
        <v>11223</v>
      </c>
      <c r="Y485" s="1882"/>
      <c r="Z485" s="1882"/>
      <c r="AA485" s="1882"/>
      <c r="AB485" s="1882"/>
      <c r="AC485" s="1882"/>
      <c r="AD485" s="1882"/>
      <c r="AE485" s="1882" t="s">
        <v>2459</v>
      </c>
      <c r="AF485" s="1882"/>
      <c r="AG485" s="1882"/>
      <c r="AH485" s="1882">
        <v>0</v>
      </c>
      <c r="AI485" s="1882" t="s">
        <v>2459</v>
      </c>
      <c r="AJ485" s="1882" t="s">
        <v>2459</v>
      </c>
      <c r="AK485" s="1882" t="s">
        <v>2459</v>
      </c>
      <c r="AL485" s="1882" t="s">
        <v>2459</v>
      </c>
      <c r="AM485" s="1882" t="s">
        <v>2459</v>
      </c>
      <c r="AN485" s="1882">
        <v>999999</v>
      </c>
      <c r="AO485" s="1882">
        <v>999999</v>
      </c>
      <c r="AP485" s="1882">
        <v>999999</v>
      </c>
      <c r="AQ485" s="1882">
        <v>999999</v>
      </c>
      <c r="AR485" s="1882">
        <v>999999</v>
      </c>
      <c r="AS485" s="1882">
        <v>300</v>
      </c>
      <c r="AT485" s="1882">
        <v>300</v>
      </c>
      <c r="AU485" s="1882">
        <v>300</v>
      </c>
      <c r="AV485" s="1882">
        <v>300</v>
      </c>
      <c r="AW485" s="1882">
        <v>300</v>
      </c>
      <c r="AX485" s="1882"/>
      <c r="AY485" s="1882"/>
      <c r="AZ485" s="1882"/>
      <c r="BA485" s="1882"/>
      <c r="BB485" s="1882"/>
      <c r="BC485" s="1882"/>
      <c r="BD485" s="1882"/>
      <c r="BE485" s="1882"/>
      <c r="BF485" s="1882"/>
      <c r="BG485" s="1882"/>
      <c r="BH485" s="1882">
        <v>8.3999999999999995E-3</v>
      </c>
      <c r="BI485" s="1882"/>
      <c r="BJ485" s="1882"/>
      <c r="BK485" s="1882"/>
      <c r="BL485" s="1882"/>
      <c r="BM485" s="1882"/>
      <c r="BN485" s="1882">
        <v>1</v>
      </c>
      <c r="BO485" s="1882" t="s">
        <v>8512</v>
      </c>
      <c r="BP485" s="520">
        <v>270</v>
      </c>
      <c r="BQ485" s="693">
        <v>282</v>
      </c>
      <c r="BR485" s="1882" t="s">
        <v>2459</v>
      </c>
      <c r="BS485" s="1882" t="s">
        <v>8513</v>
      </c>
      <c r="BT485" s="1882">
        <v>0</v>
      </c>
      <c r="BU485" s="1882" t="s">
        <v>8513</v>
      </c>
      <c r="BV485" s="1882">
        <v>0</v>
      </c>
      <c r="BW485" s="1882">
        <v>264</v>
      </c>
      <c r="BX485" s="1882" t="s">
        <v>2459</v>
      </c>
      <c r="BY485" s="1882">
        <v>0</v>
      </c>
      <c r="BZ485" s="1882">
        <v>0</v>
      </c>
      <c r="CA485" s="1882">
        <v>0</v>
      </c>
      <c r="CB485" s="1882">
        <v>0</v>
      </c>
      <c r="CC485" s="1882">
        <v>223</v>
      </c>
      <c r="CD485" s="1882" t="s">
        <v>2459</v>
      </c>
      <c r="CE485" s="1882">
        <v>0</v>
      </c>
      <c r="CF485" s="1882">
        <v>0</v>
      </c>
      <c r="CG485" s="1882">
        <v>0</v>
      </c>
      <c r="CH485" s="1882">
        <v>0</v>
      </c>
      <c r="CI485" s="1882">
        <v>257</v>
      </c>
      <c r="CJ485" s="1882" t="s">
        <v>2459</v>
      </c>
      <c r="CK485" s="1882">
        <v>0</v>
      </c>
      <c r="CL485" s="1882">
        <v>0</v>
      </c>
      <c r="CM485" s="1882">
        <v>0</v>
      </c>
      <c r="CN485" s="1882">
        <v>0</v>
      </c>
      <c r="CP485" s="1882" t="s">
        <v>11224</v>
      </c>
    </row>
    <row r="486" spans="1:94">
      <c r="A486" s="1882" t="s">
        <v>8387</v>
      </c>
      <c r="B486" s="1882" t="s">
        <v>11225</v>
      </c>
      <c r="C486" s="1882" t="s">
        <v>8352</v>
      </c>
      <c r="D486" s="1882" t="s">
        <v>1627</v>
      </c>
      <c r="E486" s="1882" t="s">
        <v>8720</v>
      </c>
      <c r="F486" s="1882" t="s">
        <v>11226</v>
      </c>
      <c r="G486" s="1882" t="s">
        <v>8277</v>
      </c>
      <c r="H486" s="1882" t="s">
        <v>11227</v>
      </c>
      <c r="I486" s="1882" t="s">
        <v>11228</v>
      </c>
      <c r="J486" s="1882" t="s">
        <v>8539</v>
      </c>
      <c r="K486" s="1882"/>
      <c r="L486" s="1882"/>
      <c r="M486" s="1882"/>
      <c r="N486" s="1882" t="s">
        <v>8681</v>
      </c>
      <c r="O486" s="1882" t="s">
        <v>764</v>
      </c>
      <c r="P486" s="1882" t="s">
        <v>9180</v>
      </c>
      <c r="Q486" s="520">
        <v>0</v>
      </c>
      <c r="R486" s="1882" t="s">
        <v>8511</v>
      </c>
      <c r="S486" s="1882">
        <v>152</v>
      </c>
      <c r="T486" s="1882">
        <v>133</v>
      </c>
      <c r="U486" s="1882">
        <v>124</v>
      </c>
      <c r="V486" s="1882">
        <v>122</v>
      </c>
      <c r="W486" s="1882">
        <v>121</v>
      </c>
      <c r="X486" s="1882">
        <v>119</v>
      </c>
      <c r="Y486" s="1882"/>
      <c r="Z486" s="1882"/>
      <c r="AA486" s="1882"/>
      <c r="AB486" s="1882"/>
      <c r="AC486" s="1882"/>
      <c r="AD486" s="1882"/>
      <c r="AE486" s="1882"/>
      <c r="AF486" s="1882"/>
      <c r="AG486" s="1882"/>
      <c r="AH486" s="1882">
        <v>0</v>
      </c>
      <c r="AI486" s="1882"/>
      <c r="AJ486" s="1882"/>
      <c r="AK486" s="1882"/>
      <c r="AL486" s="1882"/>
      <c r="AM486" s="1882"/>
      <c r="AN486" s="1882"/>
      <c r="AO486" s="1882"/>
      <c r="AP486" s="1882"/>
      <c r="AQ486" s="1882"/>
      <c r="AR486" s="1882"/>
      <c r="AS486" s="1882"/>
      <c r="AT486" s="1882"/>
      <c r="AU486" s="1882"/>
      <c r="AV486" s="1882"/>
      <c r="AW486" s="1882"/>
      <c r="AX486" s="1882"/>
      <c r="AY486" s="1882"/>
      <c r="AZ486" s="1882"/>
      <c r="BA486" s="1882"/>
      <c r="BB486" s="1882"/>
      <c r="BC486" s="1882"/>
      <c r="BD486" s="1882"/>
      <c r="BE486" s="1882"/>
      <c r="BF486" s="1882"/>
      <c r="BG486" s="1882"/>
      <c r="BH486" s="1882"/>
      <c r="BI486" s="1882"/>
      <c r="BJ486" s="1882"/>
      <c r="BK486" s="1882"/>
      <c r="BL486" s="1882"/>
      <c r="BM486" s="1882"/>
      <c r="BN486" s="1882"/>
      <c r="BO486" s="1882"/>
      <c r="BP486" s="520">
        <v>147.80000000000001</v>
      </c>
      <c r="BQ486" s="693">
        <v>138</v>
      </c>
      <c r="BR486" s="1882" t="s">
        <v>2460</v>
      </c>
      <c r="BS486" s="1882" t="s">
        <v>8513</v>
      </c>
      <c r="BT486" s="1882">
        <v>0</v>
      </c>
      <c r="BU486" s="1882" t="s">
        <v>8513</v>
      </c>
      <c r="BV486" s="1882">
        <v>0</v>
      </c>
      <c r="BW486" s="1882">
        <v>123</v>
      </c>
      <c r="BX486" s="1882" t="s">
        <v>2459</v>
      </c>
      <c r="BY486" s="1882">
        <v>0</v>
      </c>
      <c r="BZ486" s="1882">
        <v>0</v>
      </c>
      <c r="CA486" s="1882">
        <v>0</v>
      </c>
      <c r="CB486" s="1882">
        <v>0</v>
      </c>
      <c r="CC486" s="1882">
        <v>122</v>
      </c>
      <c r="CD486" s="1882" t="s">
        <v>2459</v>
      </c>
      <c r="CE486" s="1882">
        <v>0</v>
      </c>
      <c r="CF486" s="1882">
        <v>0</v>
      </c>
      <c r="CG486" s="1882">
        <v>0</v>
      </c>
      <c r="CH486" s="1882">
        <v>0</v>
      </c>
      <c r="CI486" s="1882">
        <v>118</v>
      </c>
      <c r="CJ486" s="1882" t="s">
        <v>2459</v>
      </c>
      <c r="CK486" s="1882">
        <v>0</v>
      </c>
      <c r="CL486" s="1882">
        <v>0</v>
      </c>
      <c r="CM486" s="1882">
        <v>0</v>
      </c>
      <c r="CN486" s="1882">
        <v>0</v>
      </c>
      <c r="CP486" s="1882" t="s">
        <v>11229</v>
      </c>
    </row>
    <row r="487" spans="1:94">
      <c r="A487" s="1882" t="s">
        <v>8387</v>
      </c>
      <c r="B487" s="1882" t="s">
        <v>11230</v>
      </c>
      <c r="C487" s="1882" t="s">
        <v>8352</v>
      </c>
      <c r="D487" s="1882" t="s">
        <v>1627</v>
      </c>
      <c r="E487" s="1882" t="s">
        <v>8720</v>
      </c>
      <c r="F487" s="1882" t="s">
        <v>11226</v>
      </c>
      <c r="G487" s="1882" t="s">
        <v>8280</v>
      </c>
      <c r="H487" s="1882" t="s">
        <v>11231</v>
      </c>
      <c r="I487" s="1882" t="s">
        <v>11232</v>
      </c>
      <c r="J487" s="1882" t="s">
        <v>8519</v>
      </c>
      <c r="K487" s="1882" t="s">
        <v>8855</v>
      </c>
      <c r="L487" s="1882"/>
      <c r="M487" s="1882"/>
      <c r="N487" s="1882" t="s">
        <v>8681</v>
      </c>
      <c r="O487" s="1882" t="s">
        <v>732</v>
      </c>
      <c r="P487" s="1882" t="s">
        <v>11233</v>
      </c>
      <c r="Q487" s="520">
        <v>0</v>
      </c>
      <c r="R487" s="1882" t="s">
        <v>8549</v>
      </c>
      <c r="S487" s="1882">
        <v>20</v>
      </c>
      <c r="T487" s="1882">
        <v>21</v>
      </c>
      <c r="U487" s="1882">
        <v>22</v>
      </c>
      <c r="V487" s="1882">
        <v>22</v>
      </c>
      <c r="W487" s="1882">
        <v>21</v>
      </c>
      <c r="X487" s="1882">
        <v>24</v>
      </c>
      <c r="Y487" s="1882"/>
      <c r="Z487" s="1882"/>
      <c r="AA487" s="1882"/>
      <c r="AB487" s="1882"/>
      <c r="AC487" s="1882"/>
      <c r="AD487" s="1882"/>
      <c r="AE487" s="1882"/>
      <c r="AF487" s="1882"/>
      <c r="AG487" s="1882"/>
      <c r="AH487" s="1882">
        <v>0</v>
      </c>
      <c r="AI487" s="1882" t="s">
        <v>2459</v>
      </c>
      <c r="AJ487" s="1882" t="s">
        <v>2459</v>
      </c>
      <c r="AK487" s="1882" t="s">
        <v>2459</v>
      </c>
      <c r="AL487" s="1882" t="s">
        <v>2459</v>
      </c>
      <c r="AM487" s="1882" t="s">
        <v>2459</v>
      </c>
      <c r="AN487" s="1882">
        <v>0</v>
      </c>
      <c r="AO487" s="1882">
        <v>0</v>
      </c>
      <c r="AP487" s="1882">
        <v>0</v>
      </c>
      <c r="AQ487" s="1882">
        <v>0</v>
      </c>
      <c r="AR487" s="1882">
        <v>0</v>
      </c>
      <c r="AS487" s="1882">
        <v>21</v>
      </c>
      <c r="AT487" s="1882">
        <v>22</v>
      </c>
      <c r="AU487" s="1882">
        <v>22</v>
      </c>
      <c r="AV487" s="1882">
        <v>21</v>
      </c>
      <c r="AW487" s="1882">
        <v>24</v>
      </c>
      <c r="AX487" s="1882"/>
      <c r="AY487" s="1882"/>
      <c r="AZ487" s="1882"/>
      <c r="BA487" s="1882"/>
      <c r="BB487" s="1882"/>
      <c r="BC487" s="1882"/>
      <c r="BD487" s="1882"/>
      <c r="BE487" s="1882"/>
      <c r="BF487" s="1882"/>
      <c r="BG487" s="1882"/>
      <c r="BH487" s="1882">
        <v>9.9000000000000005E-2</v>
      </c>
      <c r="BI487" s="1882"/>
      <c r="BJ487" s="1882"/>
      <c r="BK487" s="1882"/>
      <c r="BL487" s="1882"/>
      <c r="BM487" s="1882"/>
      <c r="BN487" s="1882">
        <v>1</v>
      </c>
      <c r="BO487" s="1882" t="s">
        <v>8512</v>
      </c>
      <c r="BP487" s="520">
        <v>18</v>
      </c>
      <c r="BQ487" s="693">
        <v>25</v>
      </c>
      <c r="BR487" s="1882" t="s">
        <v>2459</v>
      </c>
      <c r="BS487" s="1882" t="s">
        <v>8513</v>
      </c>
      <c r="BT487" s="1882">
        <v>0</v>
      </c>
      <c r="BU487" s="1882" t="s">
        <v>8513</v>
      </c>
      <c r="BV487" s="1882">
        <v>0</v>
      </c>
      <c r="BW487" s="1882">
        <v>29</v>
      </c>
      <c r="BX487" s="1882" t="s">
        <v>2459</v>
      </c>
      <c r="BY487" s="1882">
        <v>0</v>
      </c>
      <c r="BZ487" s="1882">
        <v>0</v>
      </c>
      <c r="CA487" s="1882">
        <v>0</v>
      </c>
      <c r="CB487" s="1882">
        <v>0</v>
      </c>
      <c r="CC487" s="1882">
        <v>25.5</v>
      </c>
      <c r="CD487" s="1882" t="s">
        <v>2459</v>
      </c>
      <c r="CE487" s="1882">
        <v>0</v>
      </c>
      <c r="CF487" s="1882">
        <v>0</v>
      </c>
      <c r="CG487" s="1882">
        <v>0</v>
      </c>
      <c r="CH487" s="1882">
        <v>0</v>
      </c>
      <c r="CI487" s="1882">
        <v>25</v>
      </c>
      <c r="CJ487" s="1882" t="s">
        <v>2459</v>
      </c>
      <c r="CK487" s="1882">
        <v>0</v>
      </c>
      <c r="CL487" s="1882">
        <v>0</v>
      </c>
      <c r="CM487" s="1882">
        <v>0</v>
      </c>
      <c r="CN487" s="1882">
        <v>0</v>
      </c>
      <c r="CP487" s="1882" t="s">
        <v>11234</v>
      </c>
    </row>
    <row r="488" spans="1:94">
      <c r="A488" s="1882" t="s">
        <v>8387</v>
      </c>
      <c r="B488" s="1882" t="s">
        <v>11235</v>
      </c>
      <c r="C488" s="1882" t="s">
        <v>8352</v>
      </c>
      <c r="D488" s="1882" t="s">
        <v>8584</v>
      </c>
      <c r="E488" s="1882" t="s">
        <v>8585</v>
      </c>
      <c r="F488" s="1882" t="s">
        <v>11236</v>
      </c>
      <c r="G488" s="1882" t="s">
        <v>7234</v>
      </c>
      <c r="H488" s="1882" t="s">
        <v>11237</v>
      </c>
      <c r="I488" s="1882" t="s">
        <v>11238</v>
      </c>
      <c r="J488" s="1882" t="s">
        <v>8508</v>
      </c>
      <c r="K488" s="1882" t="s">
        <v>8509</v>
      </c>
      <c r="L488" s="1882"/>
      <c r="M488" s="1882" t="s">
        <v>2460</v>
      </c>
      <c r="N488" s="1882" t="s">
        <v>8590</v>
      </c>
      <c r="O488" s="1882" t="s">
        <v>8591</v>
      </c>
      <c r="P488" s="1882" t="s">
        <v>8592</v>
      </c>
      <c r="Q488" s="520">
        <v>0</v>
      </c>
      <c r="R488" s="1882" t="s">
        <v>8549</v>
      </c>
      <c r="S488" s="1882" t="s">
        <v>11239</v>
      </c>
      <c r="T488" s="1882" t="s">
        <v>11239</v>
      </c>
      <c r="U488" s="1882" t="s">
        <v>11239</v>
      </c>
      <c r="V488" s="1882" t="s">
        <v>11239</v>
      </c>
      <c r="W488" s="1882" t="s">
        <v>11239</v>
      </c>
      <c r="X488" s="1882" t="s">
        <v>11239</v>
      </c>
      <c r="Y488" s="1882"/>
      <c r="Z488" s="1882"/>
      <c r="AA488" s="1882"/>
      <c r="AB488" s="1882"/>
      <c r="AC488" s="1882"/>
      <c r="AD488" s="1882"/>
      <c r="AE488" s="1882"/>
      <c r="AF488" s="1882"/>
      <c r="AG488" s="1882"/>
      <c r="AH488" s="1882">
        <v>0</v>
      </c>
      <c r="AI488" s="1882" t="s">
        <v>2459</v>
      </c>
      <c r="AJ488" s="1882" t="s">
        <v>2459</v>
      </c>
      <c r="AK488" s="1882" t="s">
        <v>2459</v>
      </c>
      <c r="AL488" s="1882" t="s">
        <v>2459</v>
      </c>
      <c r="AM488" s="1882" t="s">
        <v>2459</v>
      </c>
      <c r="AN488" s="1882" t="s">
        <v>8593</v>
      </c>
      <c r="AO488" s="1882" t="s">
        <v>8593</v>
      </c>
      <c r="AP488" s="1882" t="s">
        <v>8593</v>
      </c>
      <c r="AQ488" s="1882" t="s">
        <v>8593</v>
      </c>
      <c r="AR488" s="1882" t="s">
        <v>8593</v>
      </c>
      <c r="AS488" s="1882" t="s">
        <v>8593</v>
      </c>
      <c r="AT488" s="1882" t="s">
        <v>8593</v>
      </c>
      <c r="AU488" s="1882" t="s">
        <v>8593</v>
      </c>
      <c r="AV488" s="1882" t="s">
        <v>8593</v>
      </c>
      <c r="AW488" s="1882" t="s">
        <v>8593</v>
      </c>
      <c r="AX488" s="1882" t="s">
        <v>8593</v>
      </c>
      <c r="AY488" s="1882" t="s">
        <v>8593</v>
      </c>
      <c r="AZ488" s="1882" t="s">
        <v>8593</v>
      </c>
      <c r="BA488" s="1882" t="s">
        <v>8593</v>
      </c>
      <c r="BB488" s="1882" t="s">
        <v>8593</v>
      </c>
      <c r="BC488" s="1882" t="s">
        <v>8593</v>
      </c>
      <c r="BD488" s="1882" t="s">
        <v>8593</v>
      </c>
      <c r="BE488" s="1882" t="s">
        <v>8593</v>
      </c>
      <c r="BF488" s="1882" t="s">
        <v>8593</v>
      </c>
      <c r="BG488" s="1882" t="s">
        <v>8593</v>
      </c>
      <c r="BH488" s="1882" t="s">
        <v>8593</v>
      </c>
      <c r="BI488" s="1882"/>
      <c r="BJ488" s="1882"/>
      <c r="BK488" s="1882"/>
      <c r="BL488" s="1882" t="s">
        <v>8593</v>
      </c>
      <c r="BM488" s="1882"/>
      <c r="BN488" s="1882">
        <v>1</v>
      </c>
      <c r="BO488" s="1882" t="s">
        <v>8512</v>
      </c>
      <c r="BP488" s="520" t="s">
        <v>3514</v>
      </c>
      <c r="BQ488" s="693">
        <v>87</v>
      </c>
      <c r="BR488" s="1882" t="s">
        <v>2459</v>
      </c>
      <c r="BS488" s="1882" t="s">
        <v>8513</v>
      </c>
      <c r="BT488" s="1882">
        <v>0</v>
      </c>
      <c r="BU488" s="1882" t="s">
        <v>8513</v>
      </c>
      <c r="BV488" s="1882">
        <v>0</v>
      </c>
      <c r="BW488" s="1882">
        <v>88</v>
      </c>
      <c r="BX488" s="1882" t="s">
        <v>2459</v>
      </c>
      <c r="BY488" s="1882">
        <v>0</v>
      </c>
      <c r="BZ488" s="1882">
        <v>0</v>
      </c>
      <c r="CA488" s="1882">
        <v>0</v>
      </c>
      <c r="CB488" s="1882">
        <v>0</v>
      </c>
      <c r="CC488" s="1882">
        <v>87</v>
      </c>
      <c r="CD488" s="1882" t="s">
        <v>2459</v>
      </c>
      <c r="CE488" s="1882">
        <v>0</v>
      </c>
      <c r="CF488" s="1882">
        <v>0</v>
      </c>
      <c r="CG488" s="1882">
        <v>0</v>
      </c>
      <c r="CH488" s="1882">
        <v>0</v>
      </c>
      <c r="CI488" s="1882">
        <v>87</v>
      </c>
      <c r="CJ488" s="1882" t="s">
        <v>2459</v>
      </c>
      <c r="CK488" s="1882">
        <v>0</v>
      </c>
      <c r="CL488" s="1882">
        <v>0</v>
      </c>
      <c r="CM488" s="1882">
        <v>0</v>
      </c>
      <c r="CN488" s="1882">
        <v>0</v>
      </c>
      <c r="CP488" s="1882" t="s">
        <v>11240</v>
      </c>
    </row>
    <row r="489" spans="1:94">
      <c r="A489" s="1882" t="s">
        <v>8387</v>
      </c>
      <c r="B489" s="1882" t="s">
        <v>11241</v>
      </c>
      <c r="C489" s="1882" t="s">
        <v>8352</v>
      </c>
      <c r="D489" s="1882" t="s">
        <v>8584</v>
      </c>
      <c r="E489" s="1882" t="s">
        <v>8585</v>
      </c>
      <c r="F489" s="1882" t="s">
        <v>11236</v>
      </c>
      <c r="G489" s="1882" t="s">
        <v>7235</v>
      </c>
      <c r="H489" s="1882" t="s">
        <v>11242</v>
      </c>
      <c r="I489" s="1882" t="s">
        <v>11243</v>
      </c>
      <c r="J489" s="1882" t="s">
        <v>8539</v>
      </c>
      <c r="K489" s="1882"/>
      <c r="L489" s="1882"/>
      <c r="M489" s="1882"/>
      <c r="N489" s="1882" t="s">
        <v>8695</v>
      </c>
      <c r="O489" s="1882" t="s">
        <v>732</v>
      </c>
      <c r="P489" s="1882" t="s">
        <v>8696</v>
      </c>
      <c r="Q489" s="520">
        <v>0</v>
      </c>
      <c r="R489" s="1882" t="s">
        <v>8549</v>
      </c>
      <c r="S489" s="1882" t="s">
        <v>11244</v>
      </c>
      <c r="T489" s="1882" t="s">
        <v>11244</v>
      </c>
      <c r="U489" s="1882" t="s">
        <v>11244</v>
      </c>
      <c r="V489" s="1882" t="s">
        <v>11244</v>
      </c>
      <c r="W489" s="1882" t="s">
        <v>11244</v>
      </c>
      <c r="X489" s="1882" t="s">
        <v>11244</v>
      </c>
      <c r="Y489" s="1882"/>
      <c r="Z489" s="1882"/>
      <c r="AA489" s="1882"/>
      <c r="AB489" s="1882"/>
      <c r="AC489" s="1882"/>
      <c r="AD489" s="1882"/>
      <c r="AE489" s="1882"/>
      <c r="AF489" s="1882"/>
      <c r="AG489" s="1882"/>
      <c r="AH489" s="1882">
        <v>0</v>
      </c>
      <c r="AI489" s="1882"/>
      <c r="AJ489" s="1882"/>
      <c r="AK489" s="1882"/>
      <c r="AL489" s="1882"/>
      <c r="AM489" s="1882"/>
      <c r="AN489" s="1882"/>
      <c r="AO489" s="1882"/>
      <c r="AP489" s="1882"/>
      <c r="AQ489" s="1882"/>
      <c r="AR489" s="1882"/>
      <c r="AS489" s="1882"/>
      <c r="AT489" s="1882"/>
      <c r="AU489" s="1882"/>
      <c r="AV489" s="1882"/>
      <c r="AW489" s="1882"/>
      <c r="AX489" s="1882"/>
      <c r="AY489" s="1882"/>
      <c r="AZ489" s="1882"/>
      <c r="BA489" s="1882"/>
      <c r="BB489" s="1882"/>
      <c r="BC489" s="1882"/>
      <c r="BD489" s="1882"/>
      <c r="BE489" s="1882"/>
      <c r="BF489" s="1882"/>
      <c r="BG489" s="1882"/>
      <c r="BH489" s="1882"/>
      <c r="BI489" s="1882"/>
      <c r="BJ489" s="1882"/>
      <c r="BK489" s="1882"/>
      <c r="BL489" s="1882"/>
      <c r="BM489" s="1882"/>
      <c r="BN489" s="1882"/>
      <c r="BO489" s="1882"/>
      <c r="BP489" s="520">
        <v>96</v>
      </c>
      <c r="BQ489" s="693">
        <v>96</v>
      </c>
      <c r="BR489" s="1882" t="s">
        <v>2459</v>
      </c>
      <c r="BS489" s="1882" t="s">
        <v>8513</v>
      </c>
      <c r="BT489" s="1882">
        <v>0</v>
      </c>
      <c r="BU489" s="1882" t="s">
        <v>8513</v>
      </c>
      <c r="BV489" s="1882">
        <v>0</v>
      </c>
      <c r="BW489" s="1882">
        <v>96</v>
      </c>
      <c r="BX489" s="1882" t="s">
        <v>2459</v>
      </c>
      <c r="BY489" s="1882">
        <v>0</v>
      </c>
      <c r="BZ489" s="1882">
        <v>0</v>
      </c>
      <c r="CA489" s="1882">
        <v>0</v>
      </c>
      <c r="CB489" s="1882">
        <v>0</v>
      </c>
      <c r="CC489" s="1882">
        <v>95.69</v>
      </c>
      <c r="CD489" s="1882" t="s">
        <v>2459</v>
      </c>
      <c r="CE489" s="1882">
        <v>0</v>
      </c>
      <c r="CF489" s="1882">
        <v>0</v>
      </c>
      <c r="CG489" s="1882">
        <v>0</v>
      </c>
      <c r="CH489" s="1882">
        <v>0</v>
      </c>
      <c r="CI489" s="1882">
        <v>96</v>
      </c>
      <c r="CJ489" s="1882" t="s">
        <v>2459</v>
      </c>
      <c r="CK489" s="1882">
        <v>0</v>
      </c>
      <c r="CL489" s="1882">
        <v>0</v>
      </c>
      <c r="CM489" s="1882">
        <v>0</v>
      </c>
      <c r="CN489" s="1882">
        <v>0</v>
      </c>
      <c r="CP489" s="1882" t="s">
        <v>11245</v>
      </c>
    </row>
    <row r="490" spans="1:94">
      <c r="A490" s="1882" t="s">
        <v>8387</v>
      </c>
      <c r="B490" s="1882" t="s">
        <v>11246</v>
      </c>
      <c r="C490" s="1882" t="s">
        <v>8352</v>
      </c>
      <c r="D490" s="1882" t="s">
        <v>8584</v>
      </c>
      <c r="E490" s="1882" t="s">
        <v>8585</v>
      </c>
      <c r="F490" s="1882" t="s">
        <v>11236</v>
      </c>
      <c r="G490" s="1882" t="s">
        <v>8233</v>
      </c>
      <c r="H490" s="1882" t="s">
        <v>11247</v>
      </c>
      <c r="I490" s="1882" t="s">
        <v>11248</v>
      </c>
      <c r="J490" s="1882" t="s">
        <v>8539</v>
      </c>
      <c r="K490" s="1882"/>
      <c r="L490" s="1882"/>
      <c r="M490" s="1882"/>
      <c r="N490" s="1882" t="s">
        <v>8599</v>
      </c>
      <c r="O490" s="1882" t="s">
        <v>732</v>
      </c>
      <c r="P490" s="1882" t="s">
        <v>8696</v>
      </c>
      <c r="Q490" s="520">
        <v>0</v>
      </c>
      <c r="R490" s="1882" t="s">
        <v>8549</v>
      </c>
      <c r="S490" s="1882">
        <v>70</v>
      </c>
      <c r="T490" s="1882">
        <v>71</v>
      </c>
      <c r="U490" s="1882">
        <v>72</v>
      </c>
      <c r="V490" s="1882">
        <v>73</v>
      </c>
      <c r="W490" s="1882">
        <v>74</v>
      </c>
      <c r="X490" s="1882">
        <v>75</v>
      </c>
      <c r="Y490" s="1882"/>
      <c r="Z490" s="1882"/>
      <c r="AA490" s="1882"/>
      <c r="AB490" s="1882"/>
      <c r="AC490" s="1882"/>
      <c r="AD490" s="1882"/>
      <c r="AE490" s="1882"/>
      <c r="AF490" s="1882"/>
      <c r="AG490" s="1882"/>
      <c r="AH490" s="1882">
        <v>0</v>
      </c>
      <c r="AI490" s="1882"/>
      <c r="AJ490" s="1882"/>
      <c r="AK490" s="1882"/>
      <c r="AL490" s="1882"/>
      <c r="AM490" s="1882"/>
      <c r="AN490" s="1882"/>
      <c r="AO490" s="1882"/>
      <c r="AP490" s="1882"/>
      <c r="AQ490" s="1882"/>
      <c r="AR490" s="1882"/>
      <c r="AS490" s="1882"/>
      <c r="AT490" s="1882"/>
      <c r="AU490" s="1882"/>
      <c r="AV490" s="1882"/>
      <c r="AW490" s="1882"/>
      <c r="AX490" s="1882"/>
      <c r="AY490" s="1882"/>
      <c r="AZ490" s="1882"/>
      <c r="BA490" s="1882"/>
      <c r="BB490" s="1882"/>
      <c r="BC490" s="1882"/>
      <c r="BD490" s="1882"/>
      <c r="BE490" s="1882"/>
      <c r="BF490" s="1882"/>
      <c r="BG490" s="1882"/>
      <c r="BH490" s="1882"/>
      <c r="BI490" s="1882"/>
      <c r="BJ490" s="1882"/>
      <c r="BK490" s="1882"/>
      <c r="BL490" s="1882"/>
      <c r="BM490" s="1882"/>
      <c r="BN490" s="1882"/>
      <c r="BO490" s="1882"/>
      <c r="BP490" s="520">
        <v>65</v>
      </c>
      <c r="BQ490" s="693">
        <v>78</v>
      </c>
      <c r="BR490" s="1882" t="s">
        <v>2459</v>
      </c>
      <c r="BS490" s="1882" t="s">
        <v>8513</v>
      </c>
      <c r="BT490" s="1882">
        <v>0</v>
      </c>
      <c r="BU490" s="1882" t="s">
        <v>8513</v>
      </c>
      <c r="BV490" s="1882">
        <v>0</v>
      </c>
      <c r="BW490" s="1882">
        <v>84</v>
      </c>
      <c r="BX490" s="1882" t="s">
        <v>2459</v>
      </c>
      <c r="BY490" s="1882">
        <v>0</v>
      </c>
      <c r="BZ490" s="1882">
        <v>0</v>
      </c>
      <c r="CA490" s="1882">
        <v>0</v>
      </c>
      <c r="CB490" s="1882">
        <v>0</v>
      </c>
      <c r="CC490" s="1882">
        <v>70</v>
      </c>
      <c r="CD490" s="1882" t="s">
        <v>2460</v>
      </c>
      <c r="CE490" s="1882">
        <v>0</v>
      </c>
      <c r="CF490" s="1882">
        <v>0</v>
      </c>
      <c r="CG490" s="1882">
        <v>0</v>
      </c>
      <c r="CH490" s="1882">
        <v>0</v>
      </c>
      <c r="CI490" s="1882">
        <v>69</v>
      </c>
      <c r="CJ490" s="1882" t="s">
        <v>2460</v>
      </c>
      <c r="CK490" s="1882">
        <v>0</v>
      </c>
      <c r="CL490" s="1882">
        <v>0</v>
      </c>
      <c r="CM490" s="1882">
        <v>0</v>
      </c>
      <c r="CN490" s="1882">
        <v>0</v>
      </c>
      <c r="CP490" s="1882" t="s">
        <v>11249</v>
      </c>
    </row>
    <row r="491" spans="1:94">
      <c r="A491" s="1882" t="s">
        <v>8387</v>
      </c>
      <c r="B491" s="1882" t="s">
        <v>11250</v>
      </c>
      <c r="C491" s="1882" t="s">
        <v>8352</v>
      </c>
      <c r="D491" s="1882" t="s">
        <v>8584</v>
      </c>
      <c r="E491" s="1882" t="s">
        <v>8585</v>
      </c>
      <c r="F491" s="1882" t="s">
        <v>11236</v>
      </c>
      <c r="G491" s="1882" t="s">
        <v>8236</v>
      </c>
      <c r="H491" s="1882" t="s">
        <v>11251</v>
      </c>
      <c r="I491" s="1882" t="s">
        <v>11252</v>
      </c>
      <c r="J491" s="1882" t="s">
        <v>8539</v>
      </c>
      <c r="K491" s="1882"/>
      <c r="L491" s="1882"/>
      <c r="M491" s="1882"/>
      <c r="N491" s="1882" t="s">
        <v>8695</v>
      </c>
      <c r="O491" s="1882" t="s">
        <v>732</v>
      </c>
      <c r="P491" s="1882" t="s">
        <v>8696</v>
      </c>
      <c r="Q491" s="520">
        <v>0</v>
      </c>
      <c r="R491" s="1882" t="s">
        <v>8549</v>
      </c>
      <c r="S491" s="1882" t="s">
        <v>9173</v>
      </c>
      <c r="T491" s="1882" t="s">
        <v>11253</v>
      </c>
      <c r="U491" s="1882" t="s">
        <v>11253</v>
      </c>
      <c r="V491" s="1882" t="s">
        <v>11253</v>
      </c>
      <c r="W491" s="1882" t="s">
        <v>11253</v>
      </c>
      <c r="X491" s="1882" t="s">
        <v>11253</v>
      </c>
      <c r="Y491" s="1882"/>
      <c r="Z491" s="1882"/>
      <c r="AA491" s="1882"/>
      <c r="AB491" s="1882"/>
      <c r="AC491" s="1882"/>
      <c r="AD491" s="1882"/>
      <c r="AE491" s="1882"/>
      <c r="AF491" s="1882"/>
      <c r="AG491" s="1882"/>
      <c r="AH491" s="1882">
        <v>0</v>
      </c>
      <c r="AI491" s="1882"/>
      <c r="AJ491" s="1882"/>
      <c r="AK491" s="1882"/>
      <c r="AL491" s="1882"/>
      <c r="AM491" s="1882"/>
      <c r="AN491" s="1882"/>
      <c r="AO491" s="1882"/>
      <c r="AP491" s="1882"/>
      <c r="AQ491" s="1882"/>
      <c r="AR491" s="1882"/>
      <c r="AS491" s="1882"/>
      <c r="AT491" s="1882"/>
      <c r="AU491" s="1882"/>
      <c r="AV491" s="1882"/>
      <c r="AW491" s="1882"/>
      <c r="AX491" s="1882"/>
      <c r="AY491" s="1882"/>
      <c r="AZ491" s="1882"/>
      <c r="BA491" s="1882"/>
      <c r="BB491" s="1882"/>
      <c r="BC491" s="1882"/>
      <c r="BD491" s="1882"/>
      <c r="BE491" s="1882"/>
      <c r="BF491" s="1882"/>
      <c r="BG491" s="1882"/>
      <c r="BH491" s="1882"/>
      <c r="BI491" s="1882"/>
      <c r="BJ491" s="1882"/>
      <c r="BK491" s="1882"/>
      <c r="BL491" s="1882"/>
      <c r="BM491" s="1882"/>
      <c r="BN491" s="1882"/>
      <c r="BO491" s="1882"/>
      <c r="BP491" s="520">
        <v>79</v>
      </c>
      <c r="BQ491" s="708">
        <v>81</v>
      </c>
      <c r="BR491" s="1882" t="s">
        <v>2459</v>
      </c>
      <c r="BS491" s="1882" t="s">
        <v>8513</v>
      </c>
      <c r="BT491" s="1882">
        <v>0</v>
      </c>
      <c r="BU491" s="1882" t="s">
        <v>8513</v>
      </c>
      <c r="BV491" s="1882">
        <v>0</v>
      </c>
      <c r="BW491" s="1882">
        <v>75</v>
      </c>
      <c r="BX491" s="1882" t="s">
        <v>2460</v>
      </c>
      <c r="BY491" s="1882">
        <v>0</v>
      </c>
      <c r="BZ491" s="1882">
        <v>0</v>
      </c>
      <c r="CA491" s="1882">
        <v>0</v>
      </c>
      <c r="CB491" s="1882">
        <v>0</v>
      </c>
      <c r="CC491" s="1882">
        <v>93.1</v>
      </c>
      <c r="CD491" s="1882" t="s">
        <v>2460</v>
      </c>
      <c r="CE491" s="1882">
        <v>0</v>
      </c>
      <c r="CF491" s="1882">
        <v>0</v>
      </c>
      <c r="CG491" s="1882">
        <v>0</v>
      </c>
      <c r="CH491" s="1882">
        <v>0</v>
      </c>
      <c r="CI491" s="1882">
        <v>92</v>
      </c>
      <c r="CJ491" s="1882" t="s">
        <v>2460</v>
      </c>
      <c r="CK491" s="1882">
        <v>0</v>
      </c>
      <c r="CL491" s="1882">
        <v>0</v>
      </c>
      <c r="CM491" s="1882">
        <v>0</v>
      </c>
      <c r="CN491" s="1882">
        <v>0</v>
      </c>
      <c r="CP491" s="1882" t="s">
        <v>11254</v>
      </c>
    </row>
    <row r="492" spans="1:94" ht="50">
      <c r="A492" s="1882" t="s">
        <v>8387</v>
      </c>
      <c r="B492" s="1882" t="s">
        <v>11255</v>
      </c>
      <c r="C492" s="1882" t="s">
        <v>8352</v>
      </c>
      <c r="D492" s="1882" t="s">
        <v>8584</v>
      </c>
      <c r="E492" s="1882" t="s">
        <v>8585</v>
      </c>
      <c r="F492" s="1882" t="s">
        <v>11236</v>
      </c>
      <c r="G492" s="1882" t="s">
        <v>8239</v>
      </c>
      <c r="H492" s="1882" t="s">
        <v>11256</v>
      </c>
      <c r="I492" s="1882" t="s">
        <v>11257</v>
      </c>
      <c r="J492" s="1882" t="s">
        <v>8539</v>
      </c>
      <c r="K492" s="1882"/>
      <c r="L492" s="1882"/>
      <c r="M492" s="1882"/>
      <c r="N492" s="1882" t="s">
        <v>8695</v>
      </c>
      <c r="O492" s="1882" t="s">
        <v>8797</v>
      </c>
      <c r="P492" s="1882" t="s">
        <v>11258</v>
      </c>
      <c r="Q492" s="520" t="s">
        <v>8512</v>
      </c>
      <c r="R492" s="1882"/>
      <c r="S492" s="1882" t="s">
        <v>9173</v>
      </c>
      <c r="T492" s="1882" t="s">
        <v>3504</v>
      </c>
      <c r="U492" s="1882" t="s">
        <v>3504</v>
      </c>
      <c r="V492" s="1882" t="s">
        <v>3504</v>
      </c>
      <c r="W492" s="1882" t="s">
        <v>3504</v>
      </c>
      <c r="X492" s="1882" t="s">
        <v>11259</v>
      </c>
      <c r="Y492" s="1882"/>
      <c r="Z492" s="1882"/>
      <c r="AA492" s="1882"/>
      <c r="AB492" s="1882"/>
      <c r="AC492" s="1882"/>
      <c r="AD492" s="1882"/>
      <c r="AE492" s="1882"/>
      <c r="AF492" s="1882"/>
      <c r="AG492" s="1882"/>
      <c r="AH492" s="1882">
        <v>0</v>
      </c>
      <c r="AI492" s="1882"/>
      <c r="AJ492" s="1882"/>
      <c r="AK492" s="1882"/>
      <c r="AL492" s="1882"/>
      <c r="AM492" s="1882"/>
      <c r="AN492" s="1882"/>
      <c r="AO492" s="1882"/>
      <c r="AP492" s="1882"/>
      <c r="AQ492" s="1882"/>
      <c r="AR492" s="1882"/>
      <c r="AS492" s="1882"/>
      <c r="AT492" s="1882"/>
      <c r="AU492" s="1882"/>
      <c r="AV492" s="1882"/>
      <c r="AW492" s="1882"/>
      <c r="AX492" s="1882"/>
      <c r="AY492" s="1882"/>
      <c r="AZ492" s="1882"/>
      <c r="BA492" s="1882"/>
      <c r="BB492" s="1882"/>
      <c r="BC492" s="1882"/>
      <c r="BD492" s="1882"/>
      <c r="BE492" s="1882"/>
      <c r="BF492" s="1882"/>
      <c r="BG492" s="1882"/>
      <c r="BH492" s="1882"/>
      <c r="BI492" s="1882"/>
      <c r="BJ492" s="1882"/>
      <c r="BK492" s="1882"/>
      <c r="BL492" s="1882"/>
      <c r="BM492" s="1882"/>
      <c r="BN492" s="1882"/>
      <c r="BO492" s="1882"/>
      <c r="BP492" s="520" t="s">
        <v>11260</v>
      </c>
      <c r="BQ492" s="709" t="s">
        <v>11260</v>
      </c>
      <c r="BR492" s="1882" t="s">
        <v>2459</v>
      </c>
      <c r="BS492" s="1882" t="s">
        <v>8513</v>
      </c>
      <c r="BT492" s="1882">
        <v>0</v>
      </c>
      <c r="BU492" s="1882" t="s">
        <v>8513</v>
      </c>
      <c r="BV492" s="1882">
        <v>0</v>
      </c>
      <c r="BW492" s="1882" t="s">
        <v>11260</v>
      </c>
      <c r="BX492" s="1882" t="s">
        <v>2459</v>
      </c>
      <c r="BY492" s="1882">
        <v>0</v>
      </c>
      <c r="BZ492" s="1882">
        <v>0</v>
      </c>
      <c r="CA492" s="1882">
        <v>0</v>
      </c>
      <c r="CB492" s="1882">
        <v>0</v>
      </c>
      <c r="CC492" s="1882" t="s">
        <v>11261</v>
      </c>
      <c r="CD492" s="1882" t="s">
        <v>2459</v>
      </c>
      <c r="CE492" s="1882">
        <v>0</v>
      </c>
      <c r="CF492" s="1882">
        <v>0</v>
      </c>
      <c r="CG492" s="1882">
        <v>0</v>
      </c>
      <c r="CH492" s="1882">
        <v>0</v>
      </c>
      <c r="CI492" s="1882" t="s">
        <v>11261</v>
      </c>
      <c r="CJ492" s="1882" t="s">
        <v>2459</v>
      </c>
      <c r="CK492" s="1882">
        <v>0</v>
      </c>
      <c r="CL492" s="1882">
        <v>0</v>
      </c>
      <c r="CM492" s="1882">
        <v>0</v>
      </c>
      <c r="CN492" s="1882">
        <v>0</v>
      </c>
      <c r="CP492" s="1882" t="s">
        <v>11262</v>
      </c>
    </row>
    <row r="493" spans="1:94">
      <c r="A493" s="1882" t="s">
        <v>8387</v>
      </c>
      <c r="B493" s="1882" t="s">
        <v>11263</v>
      </c>
      <c r="C493" s="1882" t="s">
        <v>8352</v>
      </c>
      <c r="D493" s="1882" t="s">
        <v>8584</v>
      </c>
      <c r="E493" s="1882" t="s">
        <v>8585</v>
      </c>
      <c r="F493" s="1882" t="s">
        <v>8941</v>
      </c>
      <c r="G493" s="1882" t="s">
        <v>11264</v>
      </c>
      <c r="H493" s="1882" t="s">
        <v>11265</v>
      </c>
      <c r="I493" s="1882" t="s">
        <v>11266</v>
      </c>
      <c r="J493" s="1882" t="s">
        <v>8539</v>
      </c>
      <c r="K493" s="1882"/>
      <c r="L493" s="1882"/>
      <c r="M493" s="1882"/>
      <c r="N493" s="1882" t="s">
        <v>8520</v>
      </c>
      <c r="O493" s="1882" t="s">
        <v>764</v>
      </c>
      <c r="P493" s="1882" t="s">
        <v>8521</v>
      </c>
      <c r="Q493" s="520">
        <v>0</v>
      </c>
      <c r="R493" s="1882" t="s">
        <v>8511</v>
      </c>
      <c r="S493" s="1882">
        <v>137</v>
      </c>
      <c r="T493" s="1882">
        <v>135</v>
      </c>
      <c r="U493" s="1882">
        <v>134</v>
      </c>
      <c r="V493" s="1882">
        <v>133</v>
      </c>
      <c r="W493" s="1882">
        <v>132</v>
      </c>
      <c r="X493" s="1882">
        <v>131</v>
      </c>
      <c r="Y493" s="1882"/>
      <c r="Z493" s="1882"/>
      <c r="AA493" s="1882"/>
      <c r="AB493" s="1882"/>
      <c r="AC493" s="1882"/>
      <c r="AD493" s="1882"/>
      <c r="AE493" s="1882"/>
      <c r="AF493" s="1882"/>
      <c r="AG493" s="1882"/>
      <c r="AH493" s="1882">
        <v>0</v>
      </c>
      <c r="AI493" s="1882"/>
      <c r="AJ493" s="1882"/>
      <c r="AK493" s="1882"/>
      <c r="AL493" s="1882"/>
      <c r="AM493" s="1882"/>
      <c r="AN493" s="1882"/>
      <c r="AO493" s="1882"/>
      <c r="AP493" s="1882"/>
      <c r="AQ493" s="1882"/>
      <c r="AR493" s="1882"/>
      <c r="AS493" s="1882"/>
      <c r="AT493" s="1882"/>
      <c r="AU493" s="1882"/>
      <c r="AV493" s="1882"/>
      <c r="AW493" s="1882"/>
      <c r="AX493" s="1882"/>
      <c r="AY493" s="1882"/>
      <c r="AZ493" s="1882"/>
      <c r="BA493" s="1882"/>
      <c r="BB493" s="1882"/>
      <c r="BC493" s="1882"/>
      <c r="BD493" s="1882"/>
      <c r="BE493" s="1882"/>
      <c r="BF493" s="1882"/>
      <c r="BG493" s="1882"/>
      <c r="BH493" s="1882"/>
      <c r="BI493" s="1882"/>
      <c r="BJ493" s="1882"/>
      <c r="BK493" s="1882"/>
      <c r="BL493" s="1882"/>
      <c r="BM493" s="1882"/>
      <c r="BN493" s="1882"/>
      <c r="BO493" s="1882"/>
      <c r="BP493" s="520">
        <v>138</v>
      </c>
      <c r="BQ493" s="693">
        <v>138</v>
      </c>
      <c r="BR493" s="1882" t="s">
        <v>2460</v>
      </c>
      <c r="BS493" s="1882" t="s">
        <v>8513</v>
      </c>
      <c r="BT493" s="1882">
        <v>0</v>
      </c>
      <c r="BU493" s="1882" t="s">
        <v>8513</v>
      </c>
      <c r="BV493" s="1882">
        <v>0</v>
      </c>
      <c r="BW493" s="1882">
        <v>141.19999999999999</v>
      </c>
      <c r="BX493" s="1882" t="s">
        <v>2460</v>
      </c>
      <c r="BY493" s="1882">
        <v>0</v>
      </c>
      <c r="BZ493" s="1882">
        <v>0</v>
      </c>
      <c r="CA493" s="1882">
        <v>0</v>
      </c>
      <c r="CB493" s="1882">
        <v>0</v>
      </c>
      <c r="CC493" s="1882">
        <v>143.19999999999999</v>
      </c>
      <c r="CD493" s="1882" t="s">
        <v>2460</v>
      </c>
      <c r="CE493" s="1882">
        <v>0</v>
      </c>
      <c r="CF493" s="1882">
        <v>0</v>
      </c>
      <c r="CG493" s="1882">
        <v>0</v>
      </c>
      <c r="CH493" s="1882">
        <v>0</v>
      </c>
      <c r="CI493" s="1882">
        <v>147</v>
      </c>
      <c r="CJ493" s="1882" t="s">
        <v>2460</v>
      </c>
      <c r="CK493" s="1882">
        <v>0</v>
      </c>
      <c r="CL493" s="1882">
        <v>0</v>
      </c>
      <c r="CM493" s="1882">
        <v>0</v>
      </c>
      <c r="CN493" s="1882">
        <v>0</v>
      </c>
      <c r="CP493" s="1882" t="s">
        <v>11267</v>
      </c>
    </row>
    <row r="494" spans="1:94">
      <c r="A494" s="1882" t="s">
        <v>8387</v>
      </c>
      <c r="B494" s="1882" t="s">
        <v>11268</v>
      </c>
      <c r="C494" s="1882" t="s">
        <v>8352</v>
      </c>
      <c r="D494" s="1882" t="s">
        <v>8584</v>
      </c>
      <c r="E494" s="1882" t="s">
        <v>8585</v>
      </c>
      <c r="F494" s="1882" t="s">
        <v>8941</v>
      </c>
      <c r="G494" s="1882" t="s">
        <v>11269</v>
      </c>
      <c r="H494" s="1882" t="s">
        <v>11270</v>
      </c>
      <c r="I494" s="1882" t="s">
        <v>11271</v>
      </c>
      <c r="J494" s="1882" t="s">
        <v>8519</v>
      </c>
      <c r="K494" s="1882" t="s">
        <v>8509</v>
      </c>
      <c r="L494" s="1882"/>
      <c r="M494" s="1882"/>
      <c r="N494" s="1882" t="s">
        <v>8520</v>
      </c>
      <c r="O494" s="1882" t="s">
        <v>764</v>
      </c>
      <c r="P494" s="1882" t="s">
        <v>8521</v>
      </c>
      <c r="Q494" s="520">
        <v>2</v>
      </c>
      <c r="R494" s="1882" t="s">
        <v>8549</v>
      </c>
      <c r="S494" s="1882"/>
      <c r="T494" s="1882">
        <v>0.56999999999999995</v>
      </c>
      <c r="U494" s="1882">
        <v>1.25</v>
      </c>
      <c r="V494" s="1882">
        <v>1.92</v>
      </c>
      <c r="W494" s="1882">
        <v>2.59</v>
      </c>
      <c r="X494" s="1882">
        <v>3.26</v>
      </c>
      <c r="Y494" s="1882"/>
      <c r="Z494" s="1882"/>
      <c r="AA494" s="1882"/>
      <c r="AB494" s="1882"/>
      <c r="AC494" s="1882"/>
      <c r="AD494" s="1882"/>
      <c r="AE494" s="1882"/>
      <c r="AF494" s="1882"/>
      <c r="AG494" s="1882"/>
      <c r="AH494" s="1882">
        <v>0</v>
      </c>
      <c r="AI494" s="1882" t="s">
        <v>2459</v>
      </c>
      <c r="AJ494" s="1882" t="s">
        <v>2459</v>
      </c>
      <c r="AK494" s="1882" t="s">
        <v>2459</v>
      </c>
      <c r="AL494" s="1882" t="s">
        <v>2459</v>
      </c>
      <c r="AM494" s="1882" t="s">
        <v>2459</v>
      </c>
      <c r="AN494" s="1882">
        <v>0</v>
      </c>
      <c r="AO494" s="1882">
        <v>0</v>
      </c>
      <c r="AP494" s="1882">
        <v>0</v>
      </c>
      <c r="AQ494" s="1882">
        <v>0</v>
      </c>
      <c r="AR494" s="1882">
        <v>0</v>
      </c>
      <c r="AS494" s="1882">
        <v>0.56999999999999995</v>
      </c>
      <c r="AT494" s="1882">
        <v>1.25</v>
      </c>
      <c r="AU494" s="1882">
        <v>1.92</v>
      </c>
      <c r="AV494" s="1882">
        <v>2.59</v>
      </c>
      <c r="AW494" s="1882">
        <v>3.26</v>
      </c>
      <c r="AX494" s="1882"/>
      <c r="AY494" s="1882"/>
      <c r="AZ494" s="1882"/>
      <c r="BA494" s="1882"/>
      <c r="BB494" s="1882"/>
      <c r="BC494" s="1882"/>
      <c r="BD494" s="1882"/>
      <c r="BE494" s="1882"/>
      <c r="BF494" s="1882"/>
      <c r="BG494" s="1882"/>
      <c r="BH494" s="1882">
        <v>1.89</v>
      </c>
      <c r="BI494" s="1882"/>
      <c r="BJ494" s="1882"/>
      <c r="BK494" s="1882"/>
      <c r="BL494" s="1882"/>
      <c r="BM494" s="1882"/>
      <c r="BN494" s="1882">
        <v>1</v>
      </c>
      <c r="BO494" s="1882" t="s">
        <v>8512</v>
      </c>
      <c r="BP494" s="520">
        <v>0.48</v>
      </c>
      <c r="BQ494" s="694">
        <v>0.68</v>
      </c>
      <c r="BR494" s="1882" t="s">
        <v>2459</v>
      </c>
      <c r="BS494" s="1882" t="s">
        <v>8513</v>
      </c>
      <c r="BT494" s="1882">
        <v>0</v>
      </c>
      <c r="BU494" s="1882" t="s">
        <v>8513</v>
      </c>
      <c r="BV494" s="1882">
        <v>0</v>
      </c>
      <c r="BW494" s="1882">
        <v>1.56</v>
      </c>
      <c r="BX494" s="1882" t="s">
        <v>2459</v>
      </c>
      <c r="BY494" s="1882">
        <v>0</v>
      </c>
      <c r="BZ494" s="1882">
        <v>0</v>
      </c>
      <c r="CA494" s="1882">
        <v>0</v>
      </c>
      <c r="CB494" s="1882">
        <v>0</v>
      </c>
      <c r="CC494" s="1882">
        <v>2.48</v>
      </c>
      <c r="CD494" s="1882" t="s">
        <v>2459</v>
      </c>
      <c r="CE494" s="1882">
        <v>0</v>
      </c>
      <c r="CF494" s="1882">
        <v>0</v>
      </c>
      <c r="CG494" s="1882">
        <v>0</v>
      </c>
      <c r="CH494" s="1882">
        <v>0</v>
      </c>
      <c r="CI494" s="1882">
        <v>3.06</v>
      </c>
      <c r="CJ494" s="1882" t="s">
        <v>2459</v>
      </c>
      <c r="CK494" s="1882">
        <v>0</v>
      </c>
      <c r="CL494" s="1882">
        <v>0</v>
      </c>
      <c r="CM494" s="1882">
        <v>0</v>
      </c>
      <c r="CN494" s="1882">
        <v>0</v>
      </c>
      <c r="CP494" s="1882" t="s">
        <v>11272</v>
      </c>
    </row>
    <row r="495" spans="1:94">
      <c r="A495" s="1882" t="s">
        <v>8387</v>
      </c>
      <c r="B495" s="1882" t="s">
        <v>11273</v>
      </c>
      <c r="C495" s="1882" t="s">
        <v>8352</v>
      </c>
      <c r="D495" s="1882" t="s">
        <v>8584</v>
      </c>
      <c r="E495" s="1882" t="s">
        <v>8585</v>
      </c>
      <c r="F495" s="1882" t="s">
        <v>8941</v>
      </c>
      <c r="G495" s="1882" t="s">
        <v>7237</v>
      </c>
      <c r="H495" s="1882" t="s">
        <v>11274</v>
      </c>
      <c r="I495" s="1882" t="s">
        <v>11275</v>
      </c>
      <c r="J495" s="1882" t="s">
        <v>8539</v>
      </c>
      <c r="K495" s="1882"/>
      <c r="L495" s="1882"/>
      <c r="M495" s="1882"/>
      <c r="N495" s="1882" t="s">
        <v>8599</v>
      </c>
      <c r="O495" s="1882" t="s">
        <v>732</v>
      </c>
      <c r="P495" s="1882" t="s">
        <v>11276</v>
      </c>
      <c r="Q495" s="520">
        <v>1</v>
      </c>
      <c r="R495" s="1882" t="s">
        <v>8511</v>
      </c>
      <c r="S495" s="1882">
        <v>1.6E-2</v>
      </c>
      <c r="T495" s="1882" t="s">
        <v>11277</v>
      </c>
      <c r="U495" s="1882" t="s">
        <v>11277</v>
      </c>
      <c r="V495" s="1882" t="s">
        <v>11277</v>
      </c>
      <c r="W495" s="1882" t="s">
        <v>11277</v>
      </c>
      <c r="X495" s="1882" t="s">
        <v>11277</v>
      </c>
      <c r="Y495" s="1882"/>
      <c r="Z495" s="1882"/>
      <c r="AA495" s="1882"/>
      <c r="AB495" s="1882"/>
      <c r="AC495" s="1882"/>
      <c r="AD495" s="1882"/>
      <c r="AE495" s="1882"/>
      <c r="AF495" s="1882"/>
      <c r="AG495" s="1882"/>
      <c r="AH495" s="1882">
        <v>0</v>
      </c>
      <c r="AI495" s="1882"/>
      <c r="AJ495" s="1882"/>
      <c r="AK495" s="1882"/>
      <c r="AL495" s="1882"/>
      <c r="AM495" s="1882"/>
      <c r="AN495" s="1882"/>
      <c r="AO495" s="1882"/>
      <c r="AP495" s="1882"/>
      <c r="AQ495" s="1882"/>
      <c r="AR495" s="1882"/>
      <c r="AS495" s="1882"/>
      <c r="AT495" s="1882"/>
      <c r="AU495" s="1882"/>
      <c r="AV495" s="1882"/>
      <c r="AW495" s="1882"/>
      <c r="AX495" s="1882"/>
      <c r="AY495" s="1882"/>
      <c r="AZ495" s="1882"/>
      <c r="BA495" s="1882"/>
      <c r="BB495" s="1882"/>
      <c r="BC495" s="1882"/>
      <c r="BD495" s="1882"/>
      <c r="BE495" s="1882"/>
      <c r="BF495" s="1882"/>
      <c r="BG495" s="1882"/>
      <c r="BH495" s="1882"/>
      <c r="BI495" s="1882"/>
      <c r="BJ495" s="1882"/>
      <c r="BK495" s="1882"/>
      <c r="BL495" s="1882"/>
      <c r="BM495" s="1882"/>
      <c r="BN495" s="1882"/>
      <c r="BO495" s="1882"/>
      <c r="BP495" s="520">
        <v>1.6</v>
      </c>
      <c r="BQ495" s="708">
        <v>1.5</v>
      </c>
      <c r="BR495" s="1882" t="s">
        <v>2459</v>
      </c>
      <c r="BS495" s="1882" t="s">
        <v>8513</v>
      </c>
      <c r="BT495" s="1882">
        <v>0</v>
      </c>
      <c r="BU495" s="1882" t="s">
        <v>8513</v>
      </c>
      <c r="BV495" s="1882">
        <v>0</v>
      </c>
      <c r="BW495" s="1882">
        <v>1.4</v>
      </c>
      <c r="BX495" s="1882" t="s">
        <v>2459</v>
      </c>
      <c r="BY495" s="1882">
        <v>0</v>
      </c>
      <c r="BZ495" s="1882">
        <v>0</v>
      </c>
      <c r="CA495" s="1882">
        <v>0</v>
      </c>
      <c r="CB495" s="1882">
        <v>0</v>
      </c>
      <c r="CC495" s="1882">
        <v>1.46</v>
      </c>
      <c r="CD495" s="1882" t="s">
        <v>2459</v>
      </c>
      <c r="CE495" s="1882">
        <v>0</v>
      </c>
      <c r="CF495" s="1882">
        <v>0</v>
      </c>
      <c r="CG495" s="1882">
        <v>0</v>
      </c>
      <c r="CH495" s="1882">
        <v>0</v>
      </c>
      <c r="CI495" s="1882">
        <v>1.4</v>
      </c>
      <c r="CJ495" s="1882" t="s">
        <v>2459</v>
      </c>
      <c r="CK495" s="1882">
        <v>0</v>
      </c>
      <c r="CL495" s="1882">
        <v>0</v>
      </c>
      <c r="CM495" s="1882">
        <v>0</v>
      </c>
      <c r="CN495" s="1882">
        <v>0</v>
      </c>
      <c r="CP495" s="1882" t="s">
        <v>11278</v>
      </c>
    </row>
    <row r="496" spans="1:94">
      <c r="A496" s="1882" t="s">
        <v>8391</v>
      </c>
      <c r="B496" s="1882" t="s">
        <v>11279</v>
      </c>
      <c r="C496" s="1882" t="s">
        <v>8352</v>
      </c>
      <c r="D496" s="1882" t="s">
        <v>1626</v>
      </c>
      <c r="E496" s="1882" t="s">
        <v>8503</v>
      </c>
      <c r="F496" s="1882" t="s">
        <v>11280</v>
      </c>
      <c r="G496" s="1882" t="s">
        <v>10494</v>
      </c>
      <c r="H496" s="1882" t="s">
        <v>11281</v>
      </c>
      <c r="I496" s="1882" t="s">
        <v>11282</v>
      </c>
      <c r="J496" s="1882" t="s">
        <v>8519</v>
      </c>
      <c r="K496" s="1882" t="s">
        <v>11283</v>
      </c>
      <c r="L496" s="1882"/>
      <c r="M496" s="1882"/>
      <c r="N496" s="1882" t="s">
        <v>8547</v>
      </c>
      <c r="O496" s="1882" t="s">
        <v>732</v>
      </c>
      <c r="P496" s="1882" t="s">
        <v>8548</v>
      </c>
      <c r="Q496" s="520">
        <v>3</v>
      </c>
      <c r="R496" s="1882" t="s">
        <v>8549</v>
      </c>
      <c r="S496" s="1882">
        <v>99.96</v>
      </c>
      <c r="T496" s="1882">
        <v>99.96</v>
      </c>
      <c r="U496" s="1882">
        <v>99.96</v>
      </c>
      <c r="V496" s="1882">
        <v>100</v>
      </c>
      <c r="W496" s="1882">
        <v>100</v>
      </c>
      <c r="X496" s="1882">
        <v>100</v>
      </c>
      <c r="Y496" s="1882" t="s">
        <v>2459</v>
      </c>
      <c r="Z496" s="1882"/>
      <c r="AA496" s="1882"/>
      <c r="AB496" s="1882"/>
      <c r="AC496" s="1882"/>
      <c r="AD496" s="1882"/>
      <c r="AE496" s="1882" t="s">
        <v>2459</v>
      </c>
      <c r="AF496" s="1882"/>
      <c r="AG496" s="1882"/>
      <c r="AH496" s="1882">
        <v>0</v>
      </c>
      <c r="AI496" s="1882" t="s">
        <v>2459</v>
      </c>
      <c r="AJ496" s="1882" t="s">
        <v>2459</v>
      </c>
      <c r="AK496" s="1882" t="s">
        <v>2459</v>
      </c>
      <c r="AL496" s="1882" t="s">
        <v>2459</v>
      </c>
      <c r="AM496" s="1882" t="s">
        <v>2459</v>
      </c>
      <c r="AN496" s="1882">
        <v>99.929000000000002</v>
      </c>
      <c r="AO496" s="1882">
        <v>99.929000000000002</v>
      </c>
      <c r="AP496" s="1882">
        <v>99.938999999999993</v>
      </c>
      <c r="AQ496" s="1882">
        <v>99.938999999999993</v>
      </c>
      <c r="AR496" s="1882">
        <v>99.938999999999993</v>
      </c>
      <c r="AS496" s="1882">
        <v>99.94</v>
      </c>
      <c r="AT496" s="1882">
        <v>99.94</v>
      </c>
      <c r="AU496" s="1882">
        <v>99.95</v>
      </c>
      <c r="AV496" s="1882">
        <v>99.95</v>
      </c>
      <c r="AW496" s="1882">
        <v>99.95</v>
      </c>
      <c r="AX496" s="1882"/>
      <c r="AY496" s="1882"/>
      <c r="AZ496" s="1882"/>
      <c r="BA496" s="1882"/>
      <c r="BB496" s="1882"/>
      <c r="BC496" s="1882"/>
      <c r="BD496" s="1882"/>
      <c r="BE496" s="1882"/>
      <c r="BF496" s="1882"/>
      <c r="BG496" s="1882"/>
      <c r="BH496" s="1882">
        <v>8.9201160000000002</v>
      </c>
      <c r="BI496" s="1882"/>
      <c r="BJ496" s="1882"/>
      <c r="BK496" s="1882"/>
      <c r="BL496" s="1882"/>
      <c r="BM496" s="1882"/>
      <c r="BN496" s="1882">
        <v>100</v>
      </c>
      <c r="BO496" s="1882" t="s">
        <v>8884</v>
      </c>
      <c r="BP496" s="520">
        <v>99.953000000000003</v>
      </c>
      <c r="BQ496" s="704">
        <v>99.953999999999994</v>
      </c>
      <c r="BR496" s="1882" t="s">
        <v>2460</v>
      </c>
      <c r="BS496" s="1882" t="s">
        <v>8513</v>
      </c>
      <c r="BT496" s="1882">
        <v>0</v>
      </c>
      <c r="BU496" s="1882" t="s">
        <v>8429</v>
      </c>
      <c r="BV496" s="1882">
        <v>0</v>
      </c>
      <c r="BW496" s="1882">
        <v>99.962000000000003</v>
      </c>
      <c r="BX496" s="1882" t="s">
        <v>2459</v>
      </c>
      <c r="BY496" s="1882">
        <v>0</v>
      </c>
      <c r="BZ496" s="1882">
        <v>0</v>
      </c>
      <c r="CA496" s="1882">
        <v>0</v>
      </c>
      <c r="CB496" s="1882">
        <v>0</v>
      </c>
      <c r="CC496" s="1882">
        <v>99.953000000000003</v>
      </c>
      <c r="CD496" s="1882" t="s">
        <v>2460</v>
      </c>
      <c r="CE496" s="1882">
        <v>0</v>
      </c>
      <c r="CF496" s="1882">
        <v>0</v>
      </c>
      <c r="CG496" s="1882" t="s">
        <v>8388</v>
      </c>
      <c r="CH496" s="1882">
        <v>0</v>
      </c>
      <c r="CI496" s="1882">
        <v>99.962000000000003</v>
      </c>
      <c r="CJ496" s="1882" t="s">
        <v>2460</v>
      </c>
      <c r="CK496" s="1882">
        <v>0</v>
      </c>
      <c r="CL496" s="1882">
        <v>0</v>
      </c>
      <c r="CM496" s="1882" t="s">
        <v>8388</v>
      </c>
      <c r="CN496" s="1882">
        <v>0</v>
      </c>
      <c r="CP496" s="1882" t="s">
        <v>11284</v>
      </c>
    </row>
    <row r="497" spans="1:94">
      <c r="A497" s="1882" t="s">
        <v>8391</v>
      </c>
      <c r="B497" s="1882" t="s">
        <v>11285</v>
      </c>
      <c r="C497" s="1882" t="s">
        <v>8352</v>
      </c>
      <c r="D497" s="1882" t="s">
        <v>1626</v>
      </c>
      <c r="E497" s="1882" t="s">
        <v>8503</v>
      </c>
      <c r="F497" s="1882" t="s">
        <v>11280</v>
      </c>
      <c r="G497" s="1882" t="s">
        <v>10500</v>
      </c>
      <c r="H497" s="1882" t="s">
        <v>11286</v>
      </c>
      <c r="I497" s="1882" t="s">
        <v>11287</v>
      </c>
      <c r="J497" s="1882" t="s">
        <v>8539</v>
      </c>
      <c r="K497" s="1882"/>
      <c r="L497" s="1882"/>
      <c r="M497" s="1882"/>
      <c r="N497" s="1882" t="s">
        <v>8547</v>
      </c>
      <c r="O497" s="1882" t="s">
        <v>764</v>
      </c>
      <c r="P497" s="1882" t="s">
        <v>11288</v>
      </c>
      <c r="Q497" s="520">
        <v>0</v>
      </c>
      <c r="R497" s="1882" t="s">
        <v>8511</v>
      </c>
      <c r="S497" s="1882">
        <v>6</v>
      </c>
      <c r="T497" s="1882">
        <v>6</v>
      </c>
      <c r="U497" s="1882">
        <v>6</v>
      </c>
      <c r="V497" s="1882">
        <v>6</v>
      </c>
      <c r="W497" s="1882">
        <v>6</v>
      </c>
      <c r="X497" s="1882">
        <v>6</v>
      </c>
      <c r="Y497" s="1882"/>
      <c r="Z497" s="1882"/>
      <c r="AA497" s="1882"/>
      <c r="AB497" s="1882"/>
      <c r="AC497" s="1882"/>
      <c r="AD497" s="1882"/>
      <c r="AE497" s="1882" t="s">
        <v>2459</v>
      </c>
      <c r="AF497" s="1882"/>
      <c r="AG497" s="1882"/>
      <c r="AH497" s="1882">
        <v>0</v>
      </c>
      <c r="AI497" s="1882"/>
      <c r="AJ497" s="1882"/>
      <c r="AK497" s="1882"/>
      <c r="AL497" s="1882"/>
      <c r="AM497" s="1882"/>
      <c r="AN497" s="1882"/>
      <c r="AO497" s="1882"/>
      <c r="AP497" s="1882"/>
      <c r="AQ497" s="1882"/>
      <c r="AR497" s="1882"/>
      <c r="AS497" s="1882"/>
      <c r="AT497" s="1882"/>
      <c r="AU497" s="1882"/>
      <c r="AV497" s="1882"/>
      <c r="AW497" s="1882"/>
      <c r="AX497" s="1882"/>
      <c r="AY497" s="1882"/>
      <c r="AZ497" s="1882"/>
      <c r="BA497" s="1882"/>
      <c r="BB497" s="1882"/>
      <c r="BC497" s="1882"/>
      <c r="BD497" s="1882"/>
      <c r="BE497" s="1882"/>
      <c r="BF497" s="1882"/>
      <c r="BG497" s="1882"/>
      <c r="BH497" s="1882"/>
      <c r="BI497" s="1882"/>
      <c r="BJ497" s="1882"/>
      <c r="BK497" s="1882"/>
      <c r="BL497" s="1882"/>
      <c r="BM497" s="1882"/>
      <c r="BN497" s="1882"/>
      <c r="BO497" s="1882"/>
      <c r="BP497" s="520">
        <v>3</v>
      </c>
      <c r="BQ497" s="693">
        <v>5</v>
      </c>
      <c r="BR497" s="1882" t="s">
        <v>2459</v>
      </c>
      <c r="BS497" s="1882" t="s">
        <v>8513</v>
      </c>
      <c r="BT497" s="1882">
        <v>0</v>
      </c>
      <c r="BU497" s="1882" t="s">
        <v>8513</v>
      </c>
      <c r="BV497" s="1882">
        <v>0</v>
      </c>
      <c r="BW497" s="1882">
        <v>3</v>
      </c>
      <c r="BX497" s="1882" t="s">
        <v>2459</v>
      </c>
      <c r="BY497" s="1882">
        <v>0</v>
      </c>
      <c r="BZ497" s="1882">
        <v>0</v>
      </c>
      <c r="CA497" s="1882">
        <v>0</v>
      </c>
      <c r="CB497" s="1882">
        <v>0</v>
      </c>
      <c r="CC497" s="1882">
        <v>4</v>
      </c>
      <c r="CD497" s="1882" t="s">
        <v>2459</v>
      </c>
      <c r="CE497" s="1882">
        <v>0</v>
      </c>
      <c r="CF497" s="1882">
        <v>0</v>
      </c>
      <c r="CG497" s="1882">
        <v>0</v>
      </c>
      <c r="CH497" s="1882">
        <v>0</v>
      </c>
      <c r="CI497" s="1882">
        <v>5</v>
      </c>
      <c r="CJ497" s="1882" t="s">
        <v>2459</v>
      </c>
      <c r="CK497" s="1882">
        <v>0</v>
      </c>
      <c r="CL497" s="1882">
        <v>0</v>
      </c>
      <c r="CM497" s="1882">
        <v>0</v>
      </c>
      <c r="CN497" s="1882">
        <v>0</v>
      </c>
      <c r="CP497" s="1882" t="s">
        <v>11289</v>
      </c>
    </row>
    <row r="498" spans="1:94">
      <c r="A498" s="1882" t="s">
        <v>8391</v>
      </c>
      <c r="B498" s="1882" t="s">
        <v>11290</v>
      </c>
      <c r="C498" s="1882" t="s">
        <v>8352</v>
      </c>
      <c r="D498" s="1882" t="s">
        <v>1626</v>
      </c>
      <c r="E498" s="1882" t="s">
        <v>8503</v>
      </c>
      <c r="F498" s="1882" t="s">
        <v>11280</v>
      </c>
      <c r="G498" s="1882" t="s">
        <v>10506</v>
      </c>
      <c r="H498" s="1882" t="s">
        <v>11291</v>
      </c>
      <c r="I498" s="1882" t="s">
        <v>11292</v>
      </c>
      <c r="J498" s="1882" t="s">
        <v>8508</v>
      </c>
      <c r="K498" s="1882" t="s">
        <v>11293</v>
      </c>
      <c r="L498" s="1882"/>
      <c r="M498" s="1882"/>
      <c r="N498" s="1882" t="s">
        <v>8463</v>
      </c>
      <c r="O498" s="1882" t="s">
        <v>764</v>
      </c>
      <c r="P498" s="1882" t="s">
        <v>11294</v>
      </c>
      <c r="Q498" s="520">
        <v>0</v>
      </c>
      <c r="R498" s="1882" t="s">
        <v>8511</v>
      </c>
      <c r="S498" s="1882">
        <v>12143</v>
      </c>
      <c r="T498" s="1882">
        <v>10131</v>
      </c>
      <c r="U498" s="1882">
        <v>8120</v>
      </c>
      <c r="V498" s="1882">
        <v>6108</v>
      </c>
      <c r="W498" s="1882">
        <v>6108</v>
      </c>
      <c r="X498" s="1882">
        <v>6108</v>
      </c>
      <c r="Y498" s="1882"/>
      <c r="Z498" s="1882" t="s">
        <v>2459</v>
      </c>
      <c r="AA498" s="1882"/>
      <c r="AB498" s="1882"/>
      <c r="AC498" s="1882"/>
      <c r="AD498" s="1882"/>
      <c r="AE498" s="1882" t="s">
        <v>2459</v>
      </c>
      <c r="AF498" s="1882"/>
      <c r="AG498" s="1882"/>
      <c r="AH498" s="1882">
        <v>0</v>
      </c>
      <c r="AI498" s="1882" t="s">
        <v>2459</v>
      </c>
      <c r="AJ498" s="1882" t="s">
        <v>2459</v>
      </c>
      <c r="AK498" s="1882" t="s">
        <v>2459</v>
      </c>
      <c r="AL498" s="1882" t="s">
        <v>2459</v>
      </c>
      <c r="AM498" s="1882" t="s">
        <v>2459</v>
      </c>
      <c r="AN498" s="1882">
        <v>15000</v>
      </c>
      <c r="AO498" s="1882">
        <v>15000</v>
      </c>
      <c r="AP498" s="1882">
        <v>8965</v>
      </c>
      <c r="AQ498" s="1882">
        <v>8965</v>
      </c>
      <c r="AR498" s="1882">
        <v>8965</v>
      </c>
      <c r="AS498" s="1882">
        <v>12143</v>
      </c>
      <c r="AT498" s="1882">
        <v>12143</v>
      </c>
      <c r="AU498" s="1882">
        <v>6108</v>
      </c>
      <c r="AV498" s="1882">
        <v>6108</v>
      </c>
      <c r="AW498" s="1882">
        <v>6108</v>
      </c>
      <c r="AX498" s="1882">
        <v>6108</v>
      </c>
      <c r="AY498" s="1882">
        <v>6108</v>
      </c>
      <c r="AZ498" s="1882">
        <v>6108</v>
      </c>
      <c r="BA498" s="1882">
        <v>6108</v>
      </c>
      <c r="BB498" s="1882">
        <v>6108</v>
      </c>
      <c r="BC498" s="1882">
        <v>2775</v>
      </c>
      <c r="BD498" s="1882">
        <v>2775</v>
      </c>
      <c r="BE498" s="1882">
        <v>2775</v>
      </c>
      <c r="BF498" s="1882">
        <v>2775</v>
      </c>
      <c r="BG498" s="1882">
        <v>2775</v>
      </c>
      <c r="BH498" s="1882">
        <v>3.3E-3</v>
      </c>
      <c r="BI498" s="1882"/>
      <c r="BJ498" s="1882"/>
      <c r="BK498" s="1882"/>
      <c r="BL498" s="1882">
        <v>2.6649999999999998E-3</v>
      </c>
      <c r="BM498" s="1882"/>
      <c r="BN498" s="1882">
        <v>1</v>
      </c>
      <c r="BO498" s="1882" t="s">
        <v>8512</v>
      </c>
      <c r="BP498" s="520">
        <v>10570</v>
      </c>
      <c r="BQ498" s="693">
        <v>10007</v>
      </c>
      <c r="BR498" s="1882" t="s">
        <v>2459</v>
      </c>
      <c r="BS498" s="1882" t="s">
        <v>8513</v>
      </c>
      <c r="BT498" s="1882">
        <v>0</v>
      </c>
      <c r="BU498" s="1882" t="s">
        <v>8380</v>
      </c>
      <c r="BV498" s="1882">
        <v>0</v>
      </c>
      <c r="BW498" s="1882">
        <v>9093</v>
      </c>
      <c r="BX498" s="1882" t="s">
        <v>2460</v>
      </c>
      <c r="BY498" s="1882">
        <v>0</v>
      </c>
      <c r="BZ498" s="1882">
        <v>0</v>
      </c>
      <c r="CA498" s="1882" t="s">
        <v>8429</v>
      </c>
      <c r="CB498" s="1882">
        <v>0</v>
      </c>
      <c r="CC498" s="1882">
        <v>8100</v>
      </c>
      <c r="CD498" s="1882" t="s">
        <v>2460</v>
      </c>
      <c r="CE498" s="1882">
        <v>0</v>
      </c>
      <c r="CF498" s="1882">
        <v>0</v>
      </c>
      <c r="CG498" s="1882" t="s">
        <v>8384</v>
      </c>
      <c r="CH498" s="1882">
        <v>-6.5735999999999999</v>
      </c>
      <c r="CI498" s="1882">
        <v>7964</v>
      </c>
      <c r="CJ498" s="1882" t="s">
        <v>2460</v>
      </c>
      <c r="CK498" s="1882">
        <v>0</v>
      </c>
      <c r="CL498" s="1882">
        <v>0</v>
      </c>
      <c r="CM498" s="1882" t="s">
        <v>8384</v>
      </c>
      <c r="CN498" s="1882">
        <v>-6.1247999999999996</v>
      </c>
      <c r="CP498" s="1882" t="s">
        <v>11295</v>
      </c>
    </row>
    <row r="499" spans="1:94">
      <c r="A499" s="1882" t="s">
        <v>8391</v>
      </c>
      <c r="B499" s="1882" t="s">
        <v>11296</v>
      </c>
      <c r="C499" s="1882" t="s">
        <v>8352</v>
      </c>
      <c r="D499" s="1882" t="s">
        <v>1626</v>
      </c>
      <c r="E499" s="1882" t="s">
        <v>8503</v>
      </c>
      <c r="F499" s="1882" t="s">
        <v>11280</v>
      </c>
      <c r="G499" s="1882" t="s">
        <v>10512</v>
      </c>
      <c r="H499" s="1882" t="s">
        <v>11297</v>
      </c>
      <c r="I499" s="1882" t="s">
        <v>11298</v>
      </c>
      <c r="J499" s="1882" t="s">
        <v>8519</v>
      </c>
      <c r="K499" s="1882" t="s">
        <v>11283</v>
      </c>
      <c r="L499" s="1882"/>
      <c r="M499" s="1882" t="s">
        <v>2460</v>
      </c>
      <c r="N499" s="1882" t="s">
        <v>8569</v>
      </c>
      <c r="O499" s="1882" t="s">
        <v>8704</v>
      </c>
      <c r="P499" s="1882" t="s">
        <v>8856</v>
      </c>
      <c r="Q499" s="520" t="s">
        <v>8512</v>
      </c>
      <c r="R499" s="1882"/>
      <c r="S499" s="1882" t="s">
        <v>8706</v>
      </c>
      <c r="T499" s="1882"/>
      <c r="U499" s="1882"/>
      <c r="V499" s="1882"/>
      <c r="W499" s="1882"/>
      <c r="X499" s="1882" t="s">
        <v>8706</v>
      </c>
      <c r="Y499" s="1882"/>
      <c r="Z499" s="1882"/>
      <c r="AA499" s="1882"/>
      <c r="AB499" s="1882"/>
      <c r="AC499" s="1882"/>
      <c r="AD499" s="1882"/>
      <c r="AE499" s="1882" t="s">
        <v>2459</v>
      </c>
      <c r="AF499" s="1882"/>
      <c r="AG499" s="1882"/>
      <c r="AH499" s="1882">
        <v>5</v>
      </c>
      <c r="AI499" s="1882"/>
      <c r="AJ499" s="1882"/>
      <c r="AK499" s="1882"/>
      <c r="AL499" s="1882"/>
      <c r="AM499" s="1882" t="s">
        <v>2459</v>
      </c>
      <c r="AN499" s="1882"/>
      <c r="AO499" s="1882"/>
      <c r="AP499" s="1882"/>
      <c r="AQ499" s="1882"/>
      <c r="AR499" s="1882"/>
      <c r="AS499" s="1882"/>
      <c r="AT499" s="1882"/>
      <c r="AU499" s="1882"/>
      <c r="AV499" s="1882"/>
      <c r="AW499" s="1882" t="s">
        <v>8857</v>
      </c>
      <c r="AX499" s="1882"/>
      <c r="AY499" s="1882"/>
      <c r="AZ499" s="1882"/>
      <c r="BA499" s="1882"/>
      <c r="BB499" s="1882"/>
      <c r="BC499" s="1882"/>
      <c r="BD499" s="1882"/>
      <c r="BE499" s="1882"/>
      <c r="BF499" s="1882"/>
      <c r="BG499" s="1882"/>
      <c r="BH499" s="1882" t="s">
        <v>11299</v>
      </c>
      <c r="BI499" s="1882"/>
      <c r="BJ499" s="1882"/>
      <c r="BK499" s="1882"/>
      <c r="BL499" s="1882"/>
      <c r="BM499" s="1882"/>
      <c r="BN499" s="1882">
        <v>1</v>
      </c>
      <c r="BO499" s="1882" t="s">
        <v>8512</v>
      </c>
      <c r="BP499" s="520" t="s">
        <v>11300</v>
      </c>
      <c r="BQ499" s="708" t="s">
        <v>11300</v>
      </c>
      <c r="BR499" s="1882" t="s">
        <v>8513</v>
      </c>
      <c r="BS499" s="1882" t="s">
        <v>8513</v>
      </c>
      <c r="BT499" s="1882">
        <v>0</v>
      </c>
      <c r="BU499" s="1882" t="s">
        <v>8513</v>
      </c>
      <c r="BV499" s="1882">
        <v>0</v>
      </c>
      <c r="BW499" s="1882" t="s">
        <v>11300</v>
      </c>
      <c r="BX499" s="1882" t="s">
        <v>2451</v>
      </c>
      <c r="BY499" s="1882">
        <v>0</v>
      </c>
      <c r="BZ499" s="1882">
        <v>0</v>
      </c>
      <c r="CA499" s="1882">
        <v>0</v>
      </c>
      <c r="CB499" s="1882">
        <v>0</v>
      </c>
      <c r="CC499" s="1882" t="s">
        <v>8706</v>
      </c>
      <c r="CD499" s="1882" t="s">
        <v>2451</v>
      </c>
      <c r="CE499" s="1882">
        <v>0</v>
      </c>
      <c r="CF499" s="1882">
        <v>0</v>
      </c>
      <c r="CG499" s="1882">
        <v>0</v>
      </c>
      <c r="CH499" s="1882">
        <v>0</v>
      </c>
      <c r="CI499" s="1882" t="s">
        <v>8706</v>
      </c>
      <c r="CJ499" s="1882" t="s">
        <v>11301</v>
      </c>
      <c r="CK499" s="1882">
        <v>0</v>
      </c>
      <c r="CL499" s="1882">
        <v>0</v>
      </c>
      <c r="CM499" s="1882">
        <v>0</v>
      </c>
      <c r="CN499" s="1882">
        <v>0</v>
      </c>
      <c r="CP499" s="1882" t="s">
        <v>11302</v>
      </c>
    </row>
    <row r="500" spans="1:94">
      <c r="A500" s="1882" t="s">
        <v>8391</v>
      </c>
      <c r="B500" s="1882" t="s">
        <v>11303</v>
      </c>
      <c r="C500" s="1882" t="s">
        <v>8352</v>
      </c>
      <c r="D500" s="1882" t="s">
        <v>1626</v>
      </c>
      <c r="E500" s="1882" t="s">
        <v>8503</v>
      </c>
      <c r="F500" s="1882" t="s">
        <v>11304</v>
      </c>
      <c r="G500" s="1882" t="s">
        <v>10526</v>
      </c>
      <c r="H500" s="1882" t="s">
        <v>11305</v>
      </c>
      <c r="I500" s="1882" t="s">
        <v>11306</v>
      </c>
      <c r="J500" s="1882" t="s">
        <v>8508</v>
      </c>
      <c r="K500" s="1882" t="s">
        <v>11293</v>
      </c>
      <c r="L500" s="1882"/>
      <c r="M500" s="1882"/>
      <c r="N500" s="1882" t="s">
        <v>2444</v>
      </c>
      <c r="O500" s="1882" t="s">
        <v>764</v>
      </c>
      <c r="P500" s="1882" t="s">
        <v>8510</v>
      </c>
      <c r="Q500" s="520">
        <v>1</v>
      </c>
      <c r="R500" s="1882" t="s">
        <v>8511</v>
      </c>
      <c r="S500" s="1882">
        <v>297.10000000000002</v>
      </c>
      <c r="T500" s="1882">
        <v>297.10000000000002</v>
      </c>
      <c r="U500" s="1882">
        <v>297.10000000000002</v>
      </c>
      <c r="V500" s="1882">
        <v>297.10000000000002</v>
      </c>
      <c r="W500" s="1882">
        <v>292.10000000000002</v>
      </c>
      <c r="X500" s="1882">
        <v>287.10000000000002</v>
      </c>
      <c r="Y500" s="1882"/>
      <c r="Z500" s="1882"/>
      <c r="AA500" s="1882"/>
      <c r="AB500" s="1882"/>
      <c r="AC500" s="1882"/>
      <c r="AD500" s="1882"/>
      <c r="AE500" s="1882" t="s">
        <v>2459</v>
      </c>
      <c r="AF500" s="1882"/>
      <c r="AG500" s="1882"/>
      <c r="AH500" s="1882">
        <v>0</v>
      </c>
      <c r="AI500" s="1882" t="s">
        <v>2459</v>
      </c>
      <c r="AJ500" s="1882" t="s">
        <v>2459</v>
      </c>
      <c r="AK500" s="1882" t="s">
        <v>2459</v>
      </c>
      <c r="AL500" s="1882" t="s">
        <v>2459</v>
      </c>
      <c r="AM500" s="1882" t="s">
        <v>2459</v>
      </c>
      <c r="AN500" s="1882">
        <v>999999.9</v>
      </c>
      <c r="AO500" s="1882">
        <v>999999.9</v>
      </c>
      <c r="AP500" s="1882">
        <v>999999.9</v>
      </c>
      <c r="AQ500" s="1882">
        <v>999999.9</v>
      </c>
      <c r="AR500" s="1882">
        <v>999999.9</v>
      </c>
      <c r="AS500" s="1882">
        <v>302.10000000000002</v>
      </c>
      <c r="AT500" s="1882">
        <v>302.10000000000002</v>
      </c>
      <c r="AU500" s="1882">
        <v>302.10000000000002</v>
      </c>
      <c r="AV500" s="1882">
        <v>297.10000000000002</v>
      </c>
      <c r="AW500" s="1882">
        <v>292.10000000000002</v>
      </c>
      <c r="AX500" s="1882">
        <v>274</v>
      </c>
      <c r="AY500" s="1882">
        <v>274</v>
      </c>
      <c r="AZ500" s="1882">
        <v>274</v>
      </c>
      <c r="BA500" s="1882">
        <v>274</v>
      </c>
      <c r="BB500" s="1882">
        <v>274</v>
      </c>
      <c r="BC500" s="1882">
        <v>0</v>
      </c>
      <c r="BD500" s="1882">
        <v>0</v>
      </c>
      <c r="BE500" s="1882">
        <v>0</v>
      </c>
      <c r="BF500" s="1882">
        <v>0</v>
      </c>
      <c r="BG500" s="1882">
        <v>0</v>
      </c>
      <c r="BH500" s="1882">
        <v>0.100948</v>
      </c>
      <c r="BI500" s="1882"/>
      <c r="BJ500" s="1882"/>
      <c r="BK500" s="1882"/>
      <c r="BL500" s="1882">
        <v>5.0507000000000003E-2</v>
      </c>
      <c r="BM500" s="1882"/>
      <c r="BN500" s="1882">
        <v>1</v>
      </c>
      <c r="BO500" s="1882" t="s">
        <v>8512</v>
      </c>
      <c r="BP500" s="520">
        <v>288.42</v>
      </c>
      <c r="BQ500" s="690">
        <v>285.12</v>
      </c>
      <c r="BR500" s="1882" t="s">
        <v>2459</v>
      </c>
      <c r="BS500" s="1882" t="s">
        <v>8513</v>
      </c>
      <c r="BT500" s="1882">
        <v>0</v>
      </c>
      <c r="BU500" s="1882" t="s">
        <v>8380</v>
      </c>
      <c r="BV500" s="1882">
        <v>0</v>
      </c>
      <c r="BW500" s="1882">
        <v>295.16000000000003</v>
      </c>
      <c r="BX500" s="1882" t="s">
        <v>2459</v>
      </c>
      <c r="BY500" s="1882">
        <v>0</v>
      </c>
      <c r="BZ500" s="1882">
        <v>0</v>
      </c>
      <c r="CA500" s="1882" t="s">
        <v>8380</v>
      </c>
      <c r="CB500" s="1882">
        <v>0</v>
      </c>
      <c r="CC500" s="1882">
        <v>300.27999999999997</v>
      </c>
      <c r="CD500" s="1882" t="s">
        <v>2460</v>
      </c>
      <c r="CE500" s="1882">
        <v>0</v>
      </c>
      <c r="CF500" s="1882">
        <v>0</v>
      </c>
      <c r="CG500" s="1882" t="s">
        <v>8388</v>
      </c>
      <c r="CH500" s="1882">
        <v>0</v>
      </c>
      <c r="CI500" s="1882">
        <v>289.8</v>
      </c>
      <c r="CJ500" s="1882" t="s">
        <v>2459</v>
      </c>
      <c r="CK500" s="1882">
        <v>0</v>
      </c>
      <c r="CL500" s="1882">
        <v>0</v>
      </c>
      <c r="CM500" s="1882" t="s">
        <v>8380</v>
      </c>
      <c r="CN500" s="1882">
        <v>0</v>
      </c>
      <c r="CP500" s="1882" t="s">
        <v>11307</v>
      </c>
    </row>
    <row r="501" spans="1:94">
      <c r="A501" s="1882" t="s">
        <v>8391</v>
      </c>
      <c r="B501" s="1882" t="s">
        <v>11308</v>
      </c>
      <c r="C501" s="1882" t="s">
        <v>8352</v>
      </c>
      <c r="D501" s="1882" t="s">
        <v>1626</v>
      </c>
      <c r="E501" s="1882" t="s">
        <v>8503</v>
      </c>
      <c r="F501" s="1882" t="s">
        <v>11304</v>
      </c>
      <c r="G501" s="1882" t="s">
        <v>10531</v>
      </c>
      <c r="H501" s="1882" t="s">
        <v>11309</v>
      </c>
      <c r="I501" s="1882" t="s">
        <v>11310</v>
      </c>
      <c r="J501" s="1882" t="s">
        <v>8508</v>
      </c>
      <c r="K501" s="1882" t="s">
        <v>11293</v>
      </c>
      <c r="L501" s="1882"/>
      <c r="M501" s="1882"/>
      <c r="N501" s="1882" t="s">
        <v>2450</v>
      </c>
      <c r="O501" s="1882" t="s">
        <v>8607</v>
      </c>
      <c r="P501" s="1882" t="s">
        <v>11311</v>
      </c>
      <c r="Q501" s="520">
        <v>2</v>
      </c>
      <c r="R501" s="1882" t="s">
        <v>8511</v>
      </c>
      <c r="S501" s="1882">
        <v>14.44</v>
      </c>
      <c r="T501" s="1882">
        <v>13.63</v>
      </c>
      <c r="U501" s="1882">
        <v>12.81</v>
      </c>
      <c r="V501" s="1882">
        <v>12</v>
      </c>
      <c r="W501" s="1882">
        <v>12</v>
      </c>
      <c r="X501" s="1882">
        <v>12</v>
      </c>
      <c r="Y501" s="1882"/>
      <c r="Z501" s="1882"/>
      <c r="AA501" s="1882" t="s">
        <v>2459</v>
      </c>
      <c r="AB501" s="1882"/>
      <c r="AC501" s="1882"/>
      <c r="AD501" s="1882"/>
      <c r="AE501" s="1882" t="s">
        <v>2459</v>
      </c>
      <c r="AF501" s="1882"/>
      <c r="AG501" s="1882"/>
      <c r="AH501" s="1882">
        <v>0</v>
      </c>
      <c r="AI501" s="1882" t="s">
        <v>2459</v>
      </c>
      <c r="AJ501" s="1882" t="s">
        <v>2459</v>
      </c>
      <c r="AK501" s="1882" t="s">
        <v>2459</v>
      </c>
      <c r="AL501" s="1882" t="s">
        <v>2459</v>
      </c>
      <c r="AM501" s="1882" t="s">
        <v>2459</v>
      </c>
      <c r="AN501" s="1882">
        <v>18.440000000000001</v>
      </c>
      <c r="AO501" s="1882">
        <v>18.440000000000001</v>
      </c>
      <c r="AP501" s="1882">
        <v>16</v>
      </c>
      <c r="AQ501" s="1882">
        <v>16</v>
      </c>
      <c r="AR501" s="1882">
        <v>16</v>
      </c>
      <c r="AS501" s="1882">
        <v>14.44</v>
      </c>
      <c r="AT501" s="1882">
        <v>14.44</v>
      </c>
      <c r="AU501" s="1882">
        <v>12</v>
      </c>
      <c r="AV501" s="1882">
        <v>12</v>
      </c>
      <c r="AW501" s="1882">
        <v>12</v>
      </c>
      <c r="AX501" s="1882">
        <v>12</v>
      </c>
      <c r="AY501" s="1882">
        <v>12</v>
      </c>
      <c r="AZ501" s="1882">
        <v>12</v>
      </c>
      <c r="BA501" s="1882">
        <v>12</v>
      </c>
      <c r="BB501" s="1882">
        <v>12</v>
      </c>
      <c r="BC501" s="1882">
        <v>8.08</v>
      </c>
      <c r="BD501" s="1882">
        <v>8.08</v>
      </c>
      <c r="BE501" s="1882">
        <v>8.08</v>
      </c>
      <c r="BF501" s="1882">
        <v>8.08</v>
      </c>
      <c r="BG501" s="1882">
        <v>8.08</v>
      </c>
      <c r="BH501" s="1882">
        <v>2.6088819999999999</v>
      </c>
      <c r="BI501" s="1882"/>
      <c r="BJ501" s="1882"/>
      <c r="BK501" s="1882"/>
      <c r="BL501" s="1882">
        <v>2.6088819999999999</v>
      </c>
      <c r="BM501" s="1882"/>
      <c r="BN501" s="1882">
        <v>1</v>
      </c>
      <c r="BO501" s="1882" t="s">
        <v>8512</v>
      </c>
      <c r="BP501" s="520">
        <v>9.48</v>
      </c>
      <c r="BQ501" s="694">
        <v>12.89</v>
      </c>
      <c r="BR501" s="1882" t="s">
        <v>2459</v>
      </c>
      <c r="BS501" s="1882" t="s">
        <v>8513</v>
      </c>
      <c r="BT501" s="1882">
        <v>0</v>
      </c>
      <c r="BU501" s="1882" t="s">
        <v>8380</v>
      </c>
      <c r="BV501" s="1882">
        <v>0</v>
      </c>
      <c r="BW501" s="1882">
        <v>9.7799999999999994</v>
      </c>
      <c r="BX501" s="1882" t="s">
        <v>2459</v>
      </c>
      <c r="BY501" s="1882">
        <v>0</v>
      </c>
      <c r="BZ501" s="1882">
        <v>0</v>
      </c>
      <c r="CA501" s="1882" t="s">
        <v>8376</v>
      </c>
      <c r="CB501" s="1882">
        <v>5.7916999999999996</v>
      </c>
      <c r="CC501" s="1882">
        <v>6.96</v>
      </c>
      <c r="CD501" s="1882" t="s">
        <v>2459</v>
      </c>
      <c r="CE501" s="1882">
        <v>0</v>
      </c>
      <c r="CF501" s="1882">
        <v>0</v>
      </c>
      <c r="CG501" s="1882" t="s">
        <v>8376</v>
      </c>
      <c r="CH501" s="1882">
        <v>10.22681744</v>
      </c>
      <c r="CI501" s="1882">
        <v>10.46</v>
      </c>
      <c r="CJ501" s="1882" t="s">
        <v>2459</v>
      </c>
      <c r="CK501" s="1882">
        <v>0</v>
      </c>
      <c r="CL501" s="1882">
        <v>0</v>
      </c>
      <c r="CM501" s="1882" t="s">
        <v>8376</v>
      </c>
      <c r="CN501" s="1882">
        <v>4.0176782799999975</v>
      </c>
      <c r="CP501" s="1882" t="s">
        <v>11312</v>
      </c>
    </row>
    <row r="502" spans="1:94">
      <c r="A502" s="1882" t="s">
        <v>8391</v>
      </c>
      <c r="B502" s="1882" t="s">
        <v>11313</v>
      </c>
      <c r="C502" s="1882" t="s">
        <v>8352</v>
      </c>
      <c r="D502" s="1882" t="s">
        <v>1626</v>
      </c>
      <c r="E502" s="1882" t="s">
        <v>8503</v>
      </c>
      <c r="F502" s="1882" t="s">
        <v>11304</v>
      </c>
      <c r="G502" s="1882" t="s">
        <v>10536</v>
      </c>
      <c r="H502" s="1882" t="s">
        <v>11314</v>
      </c>
      <c r="I502" s="1882" t="s">
        <v>11315</v>
      </c>
      <c r="J502" s="1882" t="s">
        <v>8539</v>
      </c>
      <c r="K502" s="1882"/>
      <c r="L502" s="1882"/>
      <c r="M502" s="1882"/>
      <c r="N502" s="1882" t="s">
        <v>8520</v>
      </c>
      <c r="O502" s="1882" t="s">
        <v>764</v>
      </c>
      <c r="P502" s="1882" t="s">
        <v>8938</v>
      </c>
      <c r="Q502" s="520">
        <v>1</v>
      </c>
      <c r="R502" s="1882" t="s">
        <v>8511</v>
      </c>
      <c r="S502" s="1882">
        <v>143.69999999999999</v>
      </c>
      <c r="T502" s="1882">
        <v>142.6</v>
      </c>
      <c r="U502" s="1882">
        <v>141.5</v>
      </c>
      <c r="V502" s="1882">
        <v>140.4</v>
      </c>
      <c r="W502" s="1882">
        <v>139.30000000000001</v>
      </c>
      <c r="X502" s="1882">
        <v>138.30000000000001</v>
      </c>
      <c r="Y502" s="1882"/>
      <c r="Z502" s="1882"/>
      <c r="AA502" s="1882"/>
      <c r="AB502" s="1882"/>
      <c r="AC502" s="1882"/>
      <c r="AD502" s="1882"/>
      <c r="AE502" s="1882"/>
      <c r="AF502" s="1882"/>
      <c r="AG502" s="1882"/>
      <c r="AH502" s="1882">
        <v>0</v>
      </c>
      <c r="AI502" s="1882"/>
      <c r="AJ502" s="1882"/>
      <c r="AK502" s="1882"/>
      <c r="AL502" s="1882"/>
      <c r="AM502" s="1882"/>
      <c r="AN502" s="1882"/>
      <c r="AO502" s="1882"/>
      <c r="AP502" s="1882"/>
      <c r="AQ502" s="1882"/>
      <c r="AR502" s="1882"/>
      <c r="AS502" s="1882"/>
      <c r="AT502" s="1882"/>
      <c r="AU502" s="1882"/>
      <c r="AV502" s="1882"/>
      <c r="AW502" s="1882"/>
      <c r="AX502" s="1882"/>
      <c r="AY502" s="1882"/>
      <c r="AZ502" s="1882"/>
      <c r="BA502" s="1882"/>
      <c r="BB502" s="1882"/>
      <c r="BC502" s="1882"/>
      <c r="BD502" s="1882"/>
      <c r="BE502" s="1882"/>
      <c r="BF502" s="1882"/>
      <c r="BG502" s="1882"/>
      <c r="BH502" s="1882"/>
      <c r="BI502" s="1882"/>
      <c r="BJ502" s="1882"/>
      <c r="BK502" s="1882"/>
      <c r="BL502" s="1882"/>
      <c r="BM502" s="1882"/>
      <c r="BN502" s="1882"/>
      <c r="BO502" s="1882"/>
      <c r="BP502" s="520" t="s">
        <v>3514</v>
      </c>
      <c r="BQ502" s="690">
        <v>141.71</v>
      </c>
      <c r="BR502" s="1882" t="s">
        <v>2459</v>
      </c>
      <c r="BS502" s="1882" t="s">
        <v>8513</v>
      </c>
      <c r="BT502" s="1882">
        <v>0</v>
      </c>
      <c r="BU502" s="1882" t="s">
        <v>8513</v>
      </c>
      <c r="BV502" s="1882">
        <v>0</v>
      </c>
      <c r="BW502" s="1882">
        <v>137.4</v>
      </c>
      <c r="BX502" s="1882" t="s">
        <v>2459</v>
      </c>
      <c r="BY502" s="1882">
        <v>0</v>
      </c>
      <c r="BZ502" s="1882">
        <v>0</v>
      </c>
      <c r="CA502" s="1882">
        <v>0</v>
      </c>
      <c r="CB502" s="1882">
        <v>0</v>
      </c>
      <c r="CC502" s="1882">
        <v>135.85</v>
      </c>
      <c r="CD502" s="1882" t="s">
        <v>2459</v>
      </c>
      <c r="CE502" s="1882">
        <v>0</v>
      </c>
      <c r="CF502" s="1882">
        <v>0</v>
      </c>
      <c r="CG502" s="1882">
        <v>0</v>
      </c>
      <c r="CH502" s="1882">
        <v>0</v>
      </c>
      <c r="CI502" s="1882">
        <v>133.5</v>
      </c>
      <c r="CJ502" s="1882" t="s">
        <v>2459</v>
      </c>
      <c r="CK502" s="1882">
        <v>0</v>
      </c>
      <c r="CL502" s="1882">
        <v>0</v>
      </c>
      <c r="CM502" s="1882">
        <v>0</v>
      </c>
      <c r="CN502" s="1882">
        <v>0</v>
      </c>
      <c r="CP502" s="1882" t="s">
        <v>11316</v>
      </c>
    </row>
    <row r="503" spans="1:94">
      <c r="A503" s="1882" t="s">
        <v>8391</v>
      </c>
      <c r="B503" s="1882" t="s">
        <v>11317</v>
      </c>
      <c r="C503" s="1882" t="s">
        <v>8352</v>
      </c>
      <c r="D503" s="1882" t="s">
        <v>1626</v>
      </c>
      <c r="E503" s="1882" t="s">
        <v>8503</v>
      </c>
      <c r="F503" s="1882" t="s">
        <v>11304</v>
      </c>
      <c r="G503" s="1882" t="s">
        <v>10541</v>
      </c>
      <c r="H503" s="1882" t="s">
        <v>11318</v>
      </c>
      <c r="I503" s="1882" t="s">
        <v>11319</v>
      </c>
      <c r="J503" s="1882" t="s">
        <v>8519</v>
      </c>
      <c r="K503" s="1882" t="s">
        <v>11283</v>
      </c>
      <c r="L503" s="1882"/>
      <c r="M503" s="1882" t="s">
        <v>2460</v>
      </c>
      <c r="N503" s="1882" t="s">
        <v>8569</v>
      </c>
      <c r="O503" s="1882" t="s">
        <v>8704</v>
      </c>
      <c r="P503" s="1882" t="s">
        <v>8856</v>
      </c>
      <c r="Q503" s="520" t="s">
        <v>8512</v>
      </c>
      <c r="R503" s="1882"/>
      <c r="S503" s="1882" t="s">
        <v>8706</v>
      </c>
      <c r="T503" s="1882"/>
      <c r="U503" s="1882"/>
      <c r="V503" s="1882"/>
      <c r="W503" s="1882"/>
      <c r="X503" s="1882" t="s">
        <v>8706</v>
      </c>
      <c r="Y503" s="1882"/>
      <c r="Z503" s="1882"/>
      <c r="AA503" s="1882"/>
      <c r="AB503" s="1882"/>
      <c r="AC503" s="1882"/>
      <c r="AD503" s="1882"/>
      <c r="AE503" s="1882" t="s">
        <v>2459</v>
      </c>
      <c r="AF503" s="1882"/>
      <c r="AG503" s="1882"/>
      <c r="AH503" s="1882">
        <v>6</v>
      </c>
      <c r="AI503" s="1882"/>
      <c r="AJ503" s="1882"/>
      <c r="AK503" s="1882"/>
      <c r="AL503" s="1882"/>
      <c r="AM503" s="1882" t="s">
        <v>2459</v>
      </c>
      <c r="AN503" s="1882"/>
      <c r="AO503" s="1882"/>
      <c r="AP503" s="1882"/>
      <c r="AQ503" s="1882"/>
      <c r="AR503" s="1882"/>
      <c r="AS503" s="1882"/>
      <c r="AT503" s="1882"/>
      <c r="AU503" s="1882"/>
      <c r="AV503" s="1882"/>
      <c r="AW503" s="1882" t="s">
        <v>8857</v>
      </c>
      <c r="AX503" s="1882"/>
      <c r="AY503" s="1882"/>
      <c r="AZ503" s="1882"/>
      <c r="BA503" s="1882"/>
      <c r="BB503" s="1882"/>
      <c r="BC503" s="1882"/>
      <c r="BD503" s="1882"/>
      <c r="BE503" s="1882"/>
      <c r="BF503" s="1882"/>
      <c r="BG503" s="1882"/>
      <c r="BH503" s="1882" t="s">
        <v>11299</v>
      </c>
      <c r="BI503" s="1882"/>
      <c r="BJ503" s="1882"/>
      <c r="BK503" s="1882"/>
      <c r="BL503" s="1882"/>
      <c r="BM503" s="1882"/>
      <c r="BN503" s="1882">
        <v>1</v>
      </c>
      <c r="BO503" s="1882" t="s">
        <v>8512</v>
      </c>
      <c r="BP503" s="520" t="s">
        <v>11300</v>
      </c>
      <c r="BQ503" s="708" t="s">
        <v>11300</v>
      </c>
      <c r="BR503" s="1882" t="s">
        <v>8513</v>
      </c>
      <c r="BS503" s="1882" t="s">
        <v>8513</v>
      </c>
      <c r="BT503" s="1882">
        <v>0</v>
      </c>
      <c r="BU503" s="1882" t="s">
        <v>8513</v>
      </c>
      <c r="BV503" s="1882">
        <v>0</v>
      </c>
      <c r="BW503" s="1882" t="s">
        <v>8706</v>
      </c>
      <c r="BX503" s="1882" t="s">
        <v>2451</v>
      </c>
      <c r="BY503" s="1882">
        <v>0</v>
      </c>
      <c r="BZ503" s="1882">
        <v>0</v>
      </c>
      <c r="CA503" s="1882">
        <v>0</v>
      </c>
      <c r="CB503" s="1882">
        <v>0</v>
      </c>
      <c r="CC503" s="1882" t="s">
        <v>8706</v>
      </c>
      <c r="CD503" s="1882" t="s">
        <v>2451</v>
      </c>
      <c r="CE503" s="1882">
        <v>0</v>
      </c>
      <c r="CF503" s="1882">
        <v>0</v>
      </c>
      <c r="CG503" s="1882">
        <v>0</v>
      </c>
      <c r="CH503" s="1882">
        <v>0</v>
      </c>
      <c r="CI503" s="1882" t="s">
        <v>8706</v>
      </c>
      <c r="CJ503" s="1882" t="s">
        <v>2459</v>
      </c>
      <c r="CK503" s="1882">
        <v>0</v>
      </c>
      <c r="CL503" s="1882">
        <v>0</v>
      </c>
      <c r="CM503" s="1882">
        <v>0</v>
      </c>
      <c r="CN503" s="1882">
        <v>0</v>
      </c>
      <c r="CP503" s="1882" t="s">
        <v>11320</v>
      </c>
    </row>
    <row r="504" spans="1:94">
      <c r="A504" s="1882" t="s">
        <v>8391</v>
      </c>
      <c r="B504" s="1882" t="s">
        <v>11321</v>
      </c>
      <c r="C504" s="1882" t="s">
        <v>8352</v>
      </c>
      <c r="D504" s="1882" t="s">
        <v>1626</v>
      </c>
      <c r="E504" s="1882" t="s">
        <v>8503</v>
      </c>
      <c r="F504" s="1882" t="s">
        <v>11322</v>
      </c>
      <c r="G504" s="1882" t="s">
        <v>10571</v>
      </c>
      <c r="H504" s="1882" t="s">
        <v>11323</v>
      </c>
      <c r="I504" s="1882" t="s">
        <v>11324</v>
      </c>
      <c r="J504" s="1882" t="s">
        <v>8508</v>
      </c>
      <c r="K504" s="1882" t="s">
        <v>11293</v>
      </c>
      <c r="L504" s="1882"/>
      <c r="M504" s="1882" t="s">
        <v>2460</v>
      </c>
      <c r="N504" s="1882" t="s">
        <v>8673</v>
      </c>
      <c r="O504" s="1882" t="s">
        <v>764</v>
      </c>
      <c r="P504" s="1882" t="s">
        <v>11325</v>
      </c>
      <c r="Q504" s="520">
        <v>0</v>
      </c>
      <c r="R504" s="1882" t="s">
        <v>8549</v>
      </c>
      <c r="S504" s="1882"/>
      <c r="T504" s="1882"/>
      <c r="U504" s="1882"/>
      <c r="V504" s="1882"/>
      <c r="W504" s="1882"/>
      <c r="X504" s="1882">
        <v>100</v>
      </c>
      <c r="Y504" s="1882"/>
      <c r="Z504" s="1882"/>
      <c r="AA504" s="1882"/>
      <c r="AB504" s="1882"/>
      <c r="AC504" s="1882"/>
      <c r="AD504" s="1882"/>
      <c r="AE504" s="1882"/>
      <c r="AF504" s="1882" t="s">
        <v>2459</v>
      </c>
      <c r="AG504" s="1882"/>
      <c r="AH504" s="1882">
        <v>0</v>
      </c>
      <c r="AI504" s="1882"/>
      <c r="AJ504" s="1882"/>
      <c r="AK504" s="1882"/>
      <c r="AL504" s="1882"/>
      <c r="AM504" s="1882" t="s">
        <v>2459</v>
      </c>
      <c r="AN504" s="1882"/>
      <c r="AO504" s="1882"/>
      <c r="AP504" s="1882"/>
      <c r="AQ504" s="1882"/>
      <c r="AR504" s="1882">
        <v>0</v>
      </c>
      <c r="AS504" s="1882"/>
      <c r="AT504" s="1882"/>
      <c r="AU504" s="1882"/>
      <c r="AV504" s="1882"/>
      <c r="AW504" s="1882">
        <v>97</v>
      </c>
      <c r="AX504" s="1882"/>
      <c r="AY504" s="1882"/>
      <c r="AZ504" s="1882"/>
      <c r="BA504" s="1882"/>
      <c r="BB504" s="1882">
        <v>103</v>
      </c>
      <c r="BC504" s="1882"/>
      <c r="BD504" s="1882"/>
      <c r="BE504" s="1882"/>
      <c r="BF504" s="1882"/>
      <c r="BG504" s="1882">
        <v>999999</v>
      </c>
      <c r="BH504" s="1882">
        <v>0.14623800000000001</v>
      </c>
      <c r="BI504" s="1882"/>
      <c r="BJ504" s="1882"/>
      <c r="BK504" s="1882"/>
      <c r="BL504" s="1882">
        <v>7.6696E-2</v>
      </c>
      <c r="BM504" s="1882"/>
      <c r="BN504" s="1882">
        <v>1</v>
      </c>
      <c r="BO504" s="1882" t="s">
        <v>8512</v>
      </c>
      <c r="BP504" s="520" t="s">
        <v>3514</v>
      </c>
      <c r="BQ504" s="693">
        <v>0</v>
      </c>
      <c r="BR504" s="1882" t="s">
        <v>8513</v>
      </c>
      <c r="BS504" s="1882" t="s">
        <v>8513</v>
      </c>
      <c r="BT504" s="1882">
        <v>0</v>
      </c>
      <c r="BU504" s="1882" t="s">
        <v>8513</v>
      </c>
      <c r="BV504" s="1882">
        <v>0</v>
      </c>
      <c r="BW504" s="1882">
        <v>0</v>
      </c>
      <c r="BX504" s="1882" t="s">
        <v>2451</v>
      </c>
      <c r="BY504" s="1882">
        <v>0</v>
      </c>
      <c r="BZ504" s="1882">
        <v>0</v>
      </c>
      <c r="CA504" s="1882">
        <v>0</v>
      </c>
      <c r="CB504" s="1882">
        <v>0</v>
      </c>
      <c r="CC504" s="1882" t="s">
        <v>2451</v>
      </c>
      <c r="CD504" s="1882" t="s">
        <v>2451</v>
      </c>
      <c r="CE504" s="1882">
        <v>0</v>
      </c>
      <c r="CF504" s="1882">
        <v>0</v>
      </c>
      <c r="CG504" s="1882">
        <v>0</v>
      </c>
      <c r="CH504" s="1882">
        <v>0</v>
      </c>
      <c r="CI504" s="1882">
        <v>40</v>
      </c>
      <c r="CJ504" s="1882" t="s">
        <v>2451</v>
      </c>
      <c r="CK504" s="1882">
        <v>0</v>
      </c>
      <c r="CL504" s="1882">
        <v>0</v>
      </c>
      <c r="CM504" s="1882">
        <v>0</v>
      </c>
      <c r="CN504" s="1882">
        <v>0</v>
      </c>
      <c r="CP504" s="1882" t="s">
        <v>11326</v>
      </c>
    </row>
    <row r="505" spans="1:94">
      <c r="A505" s="1882" t="s">
        <v>8391</v>
      </c>
      <c r="B505" s="1882" t="s">
        <v>11327</v>
      </c>
      <c r="C505" s="1882" t="s">
        <v>8352</v>
      </c>
      <c r="D505" s="1882" t="s">
        <v>1626</v>
      </c>
      <c r="E505" s="1882" t="s">
        <v>8503</v>
      </c>
      <c r="F505" s="1882" t="s">
        <v>11322</v>
      </c>
      <c r="G505" s="1882" t="s">
        <v>10576</v>
      </c>
      <c r="H505" s="1882" t="s">
        <v>11328</v>
      </c>
      <c r="I505" s="1882" t="s">
        <v>11329</v>
      </c>
      <c r="J505" s="1882" t="s">
        <v>10229</v>
      </c>
      <c r="K505" s="1882" t="s">
        <v>8509</v>
      </c>
      <c r="L505" s="1882"/>
      <c r="M505" s="1882" t="s">
        <v>2460</v>
      </c>
      <c r="N505" s="1882" t="s">
        <v>9518</v>
      </c>
      <c r="O505" s="1882" t="s">
        <v>764</v>
      </c>
      <c r="P505" s="1882" t="s">
        <v>11330</v>
      </c>
      <c r="Q505" s="520">
        <v>0</v>
      </c>
      <c r="R505" s="1882" t="s">
        <v>8549</v>
      </c>
      <c r="S505" s="1882"/>
      <c r="T505" s="1882">
        <v>3</v>
      </c>
      <c r="U505" s="1882">
        <v>3</v>
      </c>
      <c r="V505" s="1882">
        <v>3</v>
      </c>
      <c r="W505" s="1882">
        <v>3</v>
      </c>
      <c r="X505" s="1882">
        <v>4</v>
      </c>
      <c r="Y505" s="1882"/>
      <c r="Z505" s="1882"/>
      <c r="AA505" s="1882"/>
      <c r="AB505" s="1882"/>
      <c r="AC505" s="1882"/>
      <c r="AD505" s="1882"/>
      <c r="AE505" s="1882"/>
      <c r="AF505" s="1882"/>
      <c r="AG505" s="1882"/>
      <c r="AH505" s="1882">
        <v>0</v>
      </c>
      <c r="AI505" s="1882" t="s">
        <v>2459</v>
      </c>
      <c r="AJ505" s="1882" t="s">
        <v>2459</v>
      </c>
      <c r="AK505" s="1882" t="s">
        <v>2459</v>
      </c>
      <c r="AL505" s="1882" t="s">
        <v>2459</v>
      </c>
      <c r="AM505" s="1882" t="s">
        <v>2459</v>
      </c>
      <c r="AN505" s="1882"/>
      <c r="AO505" s="1882"/>
      <c r="AP505" s="1882"/>
      <c r="AQ505" s="1882"/>
      <c r="AR505" s="1882"/>
      <c r="AS505" s="1882"/>
      <c r="AT505" s="1882"/>
      <c r="AU505" s="1882"/>
      <c r="AV505" s="1882"/>
      <c r="AW505" s="1882"/>
      <c r="AX505" s="1882">
        <v>3</v>
      </c>
      <c r="AY505" s="1882">
        <v>6</v>
      </c>
      <c r="AZ505" s="1882">
        <v>9</v>
      </c>
      <c r="BA505" s="1882">
        <v>12</v>
      </c>
      <c r="BB505" s="1882">
        <v>16</v>
      </c>
      <c r="BC505" s="1882">
        <v>999999</v>
      </c>
      <c r="BD505" s="1882">
        <v>999999</v>
      </c>
      <c r="BE505" s="1882">
        <v>999999</v>
      </c>
      <c r="BF505" s="1882">
        <v>999999</v>
      </c>
      <c r="BG505" s="1882">
        <v>999999</v>
      </c>
      <c r="BH505" s="1882"/>
      <c r="BI505" s="1882"/>
      <c r="BJ505" s="1882"/>
      <c r="BK505" s="1882"/>
      <c r="BL505" s="1882" t="s">
        <v>11331</v>
      </c>
      <c r="BM505" s="1882"/>
      <c r="BN505" s="1882">
        <v>1</v>
      </c>
      <c r="BO505" s="1882" t="s">
        <v>8512</v>
      </c>
      <c r="BP505" s="520" t="s">
        <v>3514</v>
      </c>
      <c r="BQ505" s="693">
        <v>4</v>
      </c>
      <c r="BR505" s="1882" t="s">
        <v>2459</v>
      </c>
      <c r="BS505" s="1882" t="s">
        <v>8513</v>
      </c>
      <c r="BT505" s="1882">
        <v>0</v>
      </c>
      <c r="BU505" s="1882" t="s">
        <v>8376</v>
      </c>
      <c r="BV505" s="1882">
        <v>2.3955E-4</v>
      </c>
      <c r="BW505" s="1882">
        <v>5</v>
      </c>
      <c r="BX505" s="1882" t="s">
        <v>2459</v>
      </c>
      <c r="BY505" s="1882">
        <v>0</v>
      </c>
      <c r="BZ505" s="1882">
        <v>0</v>
      </c>
      <c r="CA505" s="1882" t="s">
        <v>8376</v>
      </c>
      <c r="CB505" s="1882">
        <v>1.6763999999999999E-4</v>
      </c>
      <c r="CC505" s="1882">
        <v>12</v>
      </c>
      <c r="CD505" s="1882" t="s">
        <v>2459</v>
      </c>
      <c r="CE505" s="1882">
        <v>0</v>
      </c>
      <c r="CF505" s="1882">
        <v>0</v>
      </c>
      <c r="CG505" s="1882" t="s">
        <v>8376</v>
      </c>
      <c r="CH505" s="1882">
        <v>5.4502837499999998E-2</v>
      </c>
      <c r="CI505" s="1882">
        <v>11</v>
      </c>
      <c r="CJ505" s="1882" t="s">
        <v>2459</v>
      </c>
      <c r="CK505" s="1882">
        <v>0</v>
      </c>
      <c r="CL505" s="1882">
        <v>0</v>
      </c>
      <c r="CM505" s="1882" t="s">
        <v>8376</v>
      </c>
      <c r="CN505" s="1882">
        <v>9.4796727272727296E-3</v>
      </c>
      <c r="CP505" s="1882" t="s">
        <v>11332</v>
      </c>
    </row>
    <row r="506" spans="1:94">
      <c r="A506" s="1882" t="s">
        <v>8391</v>
      </c>
      <c r="B506" s="1882" t="s">
        <v>11333</v>
      </c>
      <c r="C506" s="1882" t="s">
        <v>8352</v>
      </c>
      <c r="D506" s="1882" t="s">
        <v>1626</v>
      </c>
      <c r="E506" s="1882" t="s">
        <v>8503</v>
      </c>
      <c r="F506" s="1882" t="s">
        <v>11322</v>
      </c>
      <c r="G506" s="1882" t="s">
        <v>10582</v>
      </c>
      <c r="H506" s="1882" t="s">
        <v>11334</v>
      </c>
      <c r="I506" s="1882" t="s">
        <v>11335</v>
      </c>
      <c r="J506" s="1882" t="s">
        <v>8508</v>
      </c>
      <c r="K506" s="1882" t="s">
        <v>11293</v>
      </c>
      <c r="L506" s="1882"/>
      <c r="M506" s="1882" t="s">
        <v>2460</v>
      </c>
      <c r="N506" s="1882" t="s">
        <v>8666</v>
      </c>
      <c r="O506" s="1882" t="s">
        <v>764</v>
      </c>
      <c r="P506" s="1882" t="s">
        <v>11336</v>
      </c>
      <c r="Q506" s="520">
        <v>0</v>
      </c>
      <c r="R506" s="1882" t="s">
        <v>8549</v>
      </c>
      <c r="S506" s="1882"/>
      <c r="T506" s="1882"/>
      <c r="U506" s="1882"/>
      <c r="V506" s="1882"/>
      <c r="W506" s="1882"/>
      <c r="X506" s="1882">
        <v>11736</v>
      </c>
      <c r="Y506" s="1882"/>
      <c r="Z506" s="1882"/>
      <c r="AA506" s="1882"/>
      <c r="AB506" s="1882"/>
      <c r="AC506" s="1882"/>
      <c r="AD506" s="1882"/>
      <c r="AE506" s="1882"/>
      <c r="AF506" s="1882" t="s">
        <v>2459</v>
      </c>
      <c r="AG506" s="1882"/>
      <c r="AH506" s="1882">
        <v>0</v>
      </c>
      <c r="AI506" s="1882"/>
      <c r="AJ506" s="1882"/>
      <c r="AK506" s="1882"/>
      <c r="AL506" s="1882"/>
      <c r="AM506" s="1882" t="s">
        <v>2459</v>
      </c>
      <c r="AN506" s="1882"/>
      <c r="AO506" s="1882"/>
      <c r="AP506" s="1882"/>
      <c r="AQ506" s="1882"/>
      <c r="AR506" s="1882">
        <v>10998</v>
      </c>
      <c r="AS506" s="1882"/>
      <c r="AT506" s="1882"/>
      <c r="AU506" s="1882"/>
      <c r="AV506" s="1882"/>
      <c r="AW506" s="1882">
        <v>11501</v>
      </c>
      <c r="AX506" s="1882"/>
      <c r="AY506" s="1882"/>
      <c r="AZ506" s="1882"/>
      <c r="BA506" s="1882"/>
      <c r="BB506" s="1882">
        <v>11971</v>
      </c>
      <c r="BC506" s="1882"/>
      <c r="BD506" s="1882"/>
      <c r="BE506" s="1882"/>
      <c r="BF506" s="1882"/>
      <c r="BG506" s="1882">
        <v>12049</v>
      </c>
      <c r="BH506" s="1882">
        <v>2.0263E-2</v>
      </c>
      <c r="BI506" s="1882"/>
      <c r="BJ506" s="1882"/>
      <c r="BK506" s="1882"/>
      <c r="BL506" s="1882">
        <v>1.3171E-2</v>
      </c>
      <c r="BM506" s="1882"/>
      <c r="BN506" s="1882">
        <v>1</v>
      </c>
      <c r="BO506" s="1882" t="s">
        <v>8512</v>
      </c>
      <c r="BP506" s="520">
        <v>11466</v>
      </c>
      <c r="BQ506" s="693">
        <v>11466</v>
      </c>
      <c r="BR506" s="1882" t="s">
        <v>8513</v>
      </c>
      <c r="BS506" s="1882" t="s">
        <v>8513</v>
      </c>
      <c r="BT506" s="1882">
        <v>0</v>
      </c>
      <c r="BU506" s="1882" t="s">
        <v>8513</v>
      </c>
      <c r="BV506" s="1882">
        <v>0</v>
      </c>
      <c r="BW506" s="1882">
        <v>11492</v>
      </c>
      <c r="BX506" s="1882" t="s">
        <v>2451</v>
      </c>
      <c r="BY506" s="1882">
        <v>0</v>
      </c>
      <c r="BZ506" s="1882">
        <v>0</v>
      </c>
      <c r="CA506" s="1882">
        <v>0</v>
      </c>
      <c r="CB506" s="1882">
        <v>0</v>
      </c>
      <c r="CC506" s="1882">
        <v>11479</v>
      </c>
      <c r="CD506" s="1882" t="s">
        <v>2451</v>
      </c>
      <c r="CE506" s="1882">
        <v>0</v>
      </c>
      <c r="CF506" s="1882">
        <v>0</v>
      </c>
      <c r="CG506" s="1882">
        <v>0</v>
      </c>
      <c r="CH506" s="1882">
        <v>0</v>
      </c>
      <c r="CI506" s="1882">
        <v>11524</v>
      </c>
      <c r="CJ506" s="1882" t="s">
        <v>2451</v>
      </c>
      <c r="CK506" s="1882">
        <v>0</v>
      </c>
      <c r="CL506" s="1882">
        <v>0</v>
      </c>
      <c r="CM506" s="1882">
        <v>0</v>
      </c>
      <c r="CN506" s="1882">
        <v>0</v>
      </c>
      <c r="CP506" s="1882" t="s">
        <v>11337</v>
      </c>
    </row>
    <row r="507" spans="1:94">
      <c r="A507" s="1882" t="s">
        <v>8391</v>
      </c>
      <c r="B507" s="1882" t="s">
        <v>11338</v>
      </c>
      <c r="C507" s="1882" t="s">
        <v>8352</v>
      </c>
      <c r="D507" s="1882" t="s">
        <v>1626</v>
      </c>
      <c r="E507" s="1882" t="s">
        <v>8503</v>
      </c>
      <c r="F507" s="1882" t="s">
        <v>11322</v>
      </c>
      <c r="G507" s="1882" t="s">
        <v>10590</v>
      </c>
      <c r="H507" s="1882" t="s">
        <v>11339</v>
      </c>
      <c r="I507" s="1882" t="s">
        <v>11340</v>
      </c>
      <c r="J507" s="1882" t="s">
        <v>8539</v>
      </c>
      <c r="K507" s="1882"/>
      <c r="L507" s="1882"/>
      <c r="M507" s="1882"/>
      <c r="N507" s="1882" t="s">
        <v>8695</v>
      </c>
      <c r="O507" s="1882" t="s">
        <v>8797</v>
      </c>
      <c r="P507" s="1882" t="s">
        <v>11341</v>
      </c>
      <c r="Q507" s="520" t="s">
        <v>8512</v>
      </c>
      <c r="R507" s="1882"/>
      <c r="S507" s="1882" t="s">
        <v>11342</v>
      </c>
      <c r="T507" s="1882" t="s">
        <v>11342</v>
      </c>
      <c r="U507" s="1882" t="s">
        <v>11342</v>
      </c>
      <c r="V507" s="1882" t="s">
        <v>11342</v>
      </c>
      <c r="W507" s="1882" t="s">
        <v>11342</v>
      </c>
      <c r="X507" s="1882" t="s">
        <v>11342</v>
      </c>
      <c r="Y507" s="1882"/>
      <c r="Z507" s="1882"/>
      <c r="AA507" s="1882"/>
      <c r="AB507" s="1882"/>
      <c r="AC507" s="1882"/>
      <c r="AD507" s="1882"/>
      <c r="AE507" s="1882"/>
      <c r="AF507" s="1882"/>
      <c r="AG507" s="1882"/>
      <c r="AH507" s="1882">
        <v>0</v>
      </c>
      <c r="AI507" s="1882"/>
      <c r="AJ507" s="1882"/>
      <c r="AK507" s="1882"/>
      <c r="AL507" s="1882"/>
      <c r="AM507" s="1882"/>
      <c r="AN507" s="1882"/>
      <c r="AO507" s="1882"/>
      <c r="AP507" s="1882"/>
      <c r="AQ507" s="1882"/>
      <c r="AR507" s="1882"/>
      <c r="AS507" s="1882"/>
      <c r="AT507" s="1882"/>
      <c r="AU507" s="1882"/>
      <c r="AV507" s="1882"/>
      <c r="AW507" s="1882"/>
      <c r="AX507" s="1882"/>
      <c r="AY507" s="1882"/>
      <c r="AZ507" s="1882"/>
      <c r="BA507" s="1882"/>
      <c r="BB507" s="1882"/>
      <c r="BC507" s="1882"/>
      <c r="BD507" s="1882"/>
      <c r="BE507" s="1882"/>
      <c r="BF507" s="1882"/>
      <c r="BG507" s="1882"/>
      <c r="BH507" s="1882"/>
      <c r="BI507" s="1882"/>
      <c r="BJ507" s="1882"/>
      <c r="BK507" s="1882"/>
      <c r="BL507" s="1882"/>
      <c r="BM507" s="1882"/>
      <c r="BN507" s="1882"/>
      <c r="BO507" s="1882"/>
      <c r="BP507" s="520" t="s">
        <v>3514</v>
      </c>
      <c r="BQ507" s="692" t="s">
        <v>11343</v>
      </c>
      <c r="BR507" s="1882" t="s">
        <v>2459</v>
      </c>
      <c r="BS507" s="1882" t="s">
        <v>8513</v>
      </c>
      <c r="BT507" s="1882">
        <v>0</v>
      </c>
      <c r="BU507" s="1882" t="s">
        <v>8513</v>
      </c>
      <c r="BV507" s="1882">
        <v>0</v>
      </c>
      <c r="BW507" s="1882" t="s">
        <v>11343</v>
      </c>
      <c r="BX507" s="1882" t="s">
        <v>2459</v>
      </c>
      <c r="BY507" s="1882">
        <v>0</v>
      </c>
      <c r="BZ507" s="1882">
        <v>0</v>
      </c>
      <c r="CA507" s="1882">
        <v>0</v>
      </c>
      <c r="CB507" s="1882">
        <v>0</v>
      </c>
      <c r="CC507" s="1882" t="s">
        <v>11344</v>
      </c>
      <c r="CD507" s="1882" t="s">
        <v>2459</v>
      </c>
      <c r="CE507" s="1882">
        <v>0</v>
      </c>
      <c r="CF507" s="1882">
        <v>0</v>
      </c>
      <c r="CG507" s="1882">
        <v>0</v>
      </c>
      <c r="CH507" s="1882">
        <v>0</v>
      </c>
      <c r="CI507" s="1882" t="s">
        <v>11344</v>
      </c>
      <c r="CJ507" s="1882" t="s">
        <v>2459</v>
      </c>
      <c r="CK507" s="1882">
        <v>0</v>
      </c>
      <c r="CL507" s="1882">
        <v>0</v>
      </c>
      <c r="CM507" s="1882">
        <v>0</v>
      </c>
      <c r="CN507" s="1882">
        <v>0</v>
      </c>
      <c r="CP507" s="1882" t="s">
        <v>11345</v>
      </c>
    </row>
    <row r="508" spans="1:94">
      <c r="A508" s="1882" t="s">
        <v>8391</v>
      </c>
      <c r="B508" s="1882" t="s">
        <v>11346</v>
      </c>
      <c r="C508" s="1882" t="s">
        <v>8352</v>
      </c>
      <c r="D508" s="1882" t="s">
        <v>1626</v>
      </c>
      <c r="E508" s="1882" t="s">
        <v>8503</v>
      </c>
      <c r="F508" s="1882" t="s">
        <v>11347</v>
      </c>
      <c r="G508" s="1882" t="s">
        <v>10603</v>
      </c>
      <c r="H508" s="1882" t="s">
        <v>11348</v>
      </c>
      <c r="I508" s="1882" t="s">
        <v>11349</v>
      </c>
      <c r="J508" s="1882" t="s">
        <v>8539</v>
      </c>
      <c r="K508" s="1882"/>
      <c r="L508" s="1882"/>
      <c r="M508" s="1882"/>
      <c r="N508" s="1882" t="s">
        <v>8681</v>
      </c>
      <c r="O508" s="1882" t="s">
        <v>732</v>
      </c>
      <c r="P508" s="1882" t="s">
        <v>11350</v>
      </c>
      <c r="Q508" s="520">
        <v>0</v>
      </c>
      <c r="R508" s="1882" t="s">
        <v>8549</v>
      </c>
      <c r="S508" s="1882">
        <v>8</v>
      </c>
      <c r="T508" s="1882">
        <v>12</v>
      </c>
      <c r="U508" s="1882">
        <v>12</v>
      </c>
      <c r="V508" s="1882">
        <v>12</v>
      </c>
      <c r="W508" s="1882">
        <v>12</v>
      </c>
      <c r="X508" s="1882">
        <v>12</v>
      </c>
      <c r="Y508" s="1882"/>
      <c r="Z508" s="1882"/>
      <c r="AA508" s="1882"/>
      <c r="AB508" s="1882"/>
      <c r="AC508" s="1882"/>
      <c r="AD508" s="1882"/>
      <c r="AE508" s="1882"/>
      <c r="AF508" s="1882"/>
      <c r="AG508" s="1882"/>
      <c r="AH508" s="1882">
        <v>0</v>
      </c>
      <c r="AI508" s="1882"/>
      <c r="AJ508" s="1882"/>
      <c r="AK508" s="1882"/>
      <c r="AL508" s="1882"/>
      <c r="AM508" s="1882"/>
      <c r="AN508" s="1882"/>
      <c r="AO508" s="1882"/>
      <c r="AP508" s="1882"/>
      <c r="AQ508" s="1882"/>
      <c r="AR508" s="1882"/>
      <c r="AS508" s="1882"/>
      <c r="AT508" s="1882"/>
      <c r="AU508" s="1882"/>
      <c r="AV508" s="1882"/>
      <c r="AW508" s="1882"/>
      <c r="AX508" s="1882"/>
      <c r="AY508" s="1882"/>
      <c r="AZ508" s="1882"/>
      <c r="BA508" s="1882"/>
      <c r="BB508" s="1882"/>
      <c r="BC508" s="1882"/>
      <c r="BD508" s="1882"/>
      <c r="BE508" s="1882"/>
      <c r="BF508" s="1882"/>
      <c r="BG508" s="1882"/>
      <c r="BH508" s="1882"/>
      <c r="BI508" s="1882"/>
      <c r="BJ508" s="1882"/>
      <c r="BK508" s="1882"/>
      <c r="BL508" s="1882"/>
      <c r="BM508" s="1882"/>
      <c r="BN508" s="1882"/>
      <c r="BO508" s="1882"/>
      <c r="BP508" s="520">
        <v>12.26</v>
      </c>
      <c r="BQ508" s="693">
        <v>11.257999999999999</v>
      </c>
      <c r="BR508" s="1882" t="s">
        <v>2460</v>
      </c>
      <c r="BS508" s="1882" t="s">
        <v>8513</v>
      </c>
      <c r="BT508" s="1882">
        <v>0</v>
      </c>
      <c r="BU508" s="1882" t="s">
        <v>8513</v>
      </c>
      <c r="BV508" s="1882">
        <v>0</v>
      </c>
      <c r="BW508" s="1882">
        <v>10.44</v>
      </c>
      <c r="BX508" s="1882" t="s">
        <v>2460</v>
      </c>
      <c r="BY508" s="1882">
        <v>0</v>
      </c>
      <c r="BZ508" s="1882">
        <v>0</v>
      </c>
      <c r="CA508" s="1882">
        <v>0</v>
      </c>
      <c r="CB508" s="1882">
        <v>0</v>
      </c>
      <c r="CC508" s="1882">
        <v>11.44</v>
      </c>
      <c r="CD508" s="1882" t="s">
        <v>2460</v>
      </c>
      <c r="CE508" s="1882">
        <v>0</v>
      </c>
      <c r="CF508" s="1882">
        <v>0</v>
      </c>
      <c r="CG508" s="1882">
        <v>0</v>
      </c>
      <c r="CH508" s="1882">
        <v>0</v>
      </c>
      <c r="CI508" s="1882">
        <v>11</v>
      </c>
      <c r="CJ508" s="1882" t="s">
        <v>2460</v>
      </c>
      <c r="CK508" s="1882">
        <v>0</v>
      </c>
      <c r="CL508" s="1882">
        <v>0</v>
      </c>
      <c r="CM508" s="1882">
        <v>0</v>
      </c>
      <c r="CN508" s="1882">
        <v>0</v>
      </c>
      <c r="CP508" s="1882" t="s">
        <v>11351</v>
      </c>
    </row>
    <row r="509" spans="1:94">
      <c r="A509" s="1882" t="s">
        <v>8391</v>
      </c>
      <c r="B509" s="1882" t="s">
        <v>11352</v>
      </c>
      <c r="C509" s="1882" t="s">
        <v>8352</v>
      </c>
      <c r="D509" s="1882" t="s">
        <v>1626</v>
      </c>
      <c r="E509" s="1882" t="s">
        <v>8503</v>
      </c>
      <c r="F509" s="1882" t="s">
        <v>11347</v>
      </c>
      <c r="G509" s="1882" t="s">
        <v>11353</v>
      </c>
      <c r="H509" s="1882" t="s">
        <v>11354</v>
      </c>
      <c r="I509" s="1882" t="s">
        <v>11355</v>
      </c>
      <c r="J509" s="1882" t="s">
        <v>8539</v>
      </c>
      <c r="K509" s="1882"/>
      <c r="L509" s="1882"/>
      <c r="M509" s="1882"/>
      <c r="N509" s="1882" t="s">
        <v>8931</v>
      </c>
      <c r="O509" s="1882" t="s">
        <v>732</v>
      </c>
      <c r="P509" s="1882" t="s">
        <v>11356</v>
      </c>
      <c r="Q509" s="520">
        <v>0</v>
      </c>
      <c r="R509" s="1882" t="s">
        <v>8549</v>
      </c>
      <c r="S509" s="1882">
        <v>93</v>
      </c>
      <c r="T509" s="1882">
        <v>94</v>
      </c>
      <c r="U509" s="1882">
        <v>94</v>
      </c>
      <c r="V509" s="1882">
        <v>95</v>
      </c>
      <c r="W509" s="1882">
        <v>95</v>
      </c>
      <c r="X509" s="1882">
        <v>95</v>
      </c>
      <c r="Y509" s="1882"/>
      <c r="Z509" s="1882"/>
      <c r="AA509" s="1882"/>
      <c r="AB509" s="1882"/>
      <c r="AC509" s="1882"/>
      <c r="AD509" s="1882"/>
      <c r="AE509" s="1882"/>
      <c r="AF509" s="1882"/>
      <c r="AG509" s="1882"/>
      <c r="AH509" s="1882">
        <v>0</v>
      </c>
      <c r="AI509" s="1882"/>
      <c r="AJ509" s="1882"/>
      <c r="AK509" s="1882"/>
      <c r="AL509" s="1882"/>
      <c r="AM509" s="1882"/>
      <c r="AN509" s="1882"/>
      <c r="AO509" s="1882"/>
      <c r="AP509" s="1882"/>
      <c r="AQ509" s="1882"/>
      <c r="AR509" s="1882"/>
      <c r="AS509" s="1882"/>
      <c r="AT509" s="1882"/>
      <c r="AU509" s="1882"/>
      <c r="AV509" s="1882"/>
      <c r="AW509" s="1882"/>
      <c r="AX509" s="1882"/>
      <c r="AY509" s="1882"/>
      <c r="AZ509" s="1882"/>
      <c r="BA509" s="1882"/>
      <c r="BB509" s="1882"/>
      <c r="BC509" s="1882"/>
      <c r="BD509" s="1882"/>
      <c r="BE509" s="1882"/>
      <c r="BF509" s="1882"/>
      <c r="BG509" s="1882"/>
      <c r="BH509" s="1882"/>
      <c r="BI509" s="1882"/>
      <c r="BJ509" s="1882"/>
      <c r="BK509" s="1882"/>
      <c r="BL509" s="1882"/>
      <c r="BM509" s="1882"/>
      <c r="BN509" s="1882"/>
      <c r="BO509" s="1882"/>
      <c r="BP509" s="520">
        <v>93.5</v>
      </c>
      <c r="BQ509" s="693">
        <v>98.91</v>
      </c>
      <c r="BR509" s="1882" t="s">
        <v>2459</v>
      </c>
      <c r="BS509" s="1882" t="s">
        <v>8513</v>
      </c>
      <c r="BT509" s="1882">
        <v>0</v>
      </c>
      <c r="BU509" s="1882" t="s">
        <v>8513</v>
      </c>
      <c r="BV509" s="1882">
        <v>0</v>
      </c>
      <c r="BW509" s="1882">
        <v>99.3</v>
      </c>
      <c r="BX509" s="1882" t="s">
        <v>2459</v>
      </c>
      <c r="BY509" s="1882">
        <v>0</v>
      </c>
      <c r="BZ509" s="1882">
        <v>0</v>
      </c>
      <c r="CA509" s="1882">
        <v>0</v>
      </c>
      <c r="CB509" s="1882">
        <v>0</v>
      </c>
      <c r="CC509" s="1882">
        <v>99</v>
      </c>
      <c r="CD509" s="1882" t="s">
        <v>2459</v>
      </c>
      <c r="CE509" s="1882">
        <v>0</v>
      </c>
      <c r="CF509" s="1882">
        <v>0</v>
      </c>
      <c r="CG509" s="1882">
        <v>0</v>
      </c>
      <c r="CH509" s="1882">
        <v>0</v>
      </c>
      <c r="CI509" s="1882">
        <v>100</v>
      </c>
      <c r="CJ509" s="1882" t="s">
        <v>2459</v>
      </c>
      <c r="CK509" s="1882">
        <v>0</v>
      </c>
      <c r="CL509" s="1882">
        <v>0</v>
      </c>
      <c r="CM509" s="1882">
        <v>0</v>
      </c>
      <c r="CN509" s="1882">
        <v>0</v>
      </c>
      <c r="CP509" s="1882" t="s">
        <v>11357</v>
      </c>
    </row>
    <row r="510" spans="1:94">
      <c r="A510" s="1882" t="s">
        <v>8391</v>
      </c>
      <c r="B510" s="1882" t="s">
        <v>11358</v>
      </c>
      <c r="C510" s="1882" t="s">
        <v>8352</v>
      </c>
      <c r="D510" s="1882" t="s">
        <v>1627</v>
      </c>
      <c r="E510" s="1882" t="s">
        <v>8720</v>
      </c>
      <c r="F510" s="1882" t="s">
        <v>11359</v>
      </c>
      <c r="G510" s="1882" t="s">
        <v>10609</v>
      </c>
      <c r="H510" s="1882" t="s">
        <v>11360</v>
      </c>
      <c r="I510" s="1882" t="s">
        <v>11361</v>
      </c>
      <c r="J510" s="1882" t="s">
        <v>8508</v>
      </c>
      <c r="K510" s="1882" t="s">
        <v>11293</v>
      </c>
      <c r="L510" s="1882"/>
      <c r="M510" s="1882"/>
      <c r="N510" s="1882" t="s">
        <v>8724</v>
      </c>
      <c r="O510" s="1882" t="s">
        <v>764</v>
      </c>
      <c r="P510" s="1882" t="s">
        <v>9847</v>
      </c>
      <c r="Q510" s="520">
        <v>0</v>
      </c>
      <c r="R510" s="1882"/>
      <c r="S510" s="1882">
        <v>1857</v>
      </c>
      <c r="T510" s="1882">
        <v>1877</v>
      </c>
      <c r="U510" s="1882">
        <v>1898</v>
      </c>
      <c r="V510" s="1882">
        <v>1919</v>
      </c>
      <c r="W510" s="1882">
        <v>1919</v>
      </c>
      <c r="X510" s="1882">
        <v>1919</v>
      </c>
      <c r="Y510" s="1882"/>
      <c r="Z510" s="1882"/>
      <c r="AA510" s="1882"/>
      <c r="AB510" s="1882"/>
      <c r="AC510" s="1882" t="s">
        <v>2459</v>
      </c>
      <c r="AD510" s="1882"/>
      <c r="AE510" s="1882" t="s">
        <v>2459</v>
      </c>
      <c r="AF510" s="1882"/>
      <c r="AG510" s="1882"/>
      <c r="AH510" s="1882">
        <v>0</v>
      </c>
      <c r="AI510" s="1882" t="s">
        <v>2459</v>
      </c>
      <c r="AJ510" s="1882" t="s">
        <v>2459</v>
      </c>
      <c r="AK510" s="1882" t="s">
        <v>2459</v>
      </c>
      <c r="AL510" s="1882" t="s">
        <v>2459</v>
      </c>
      <c r="AM510" s="1882" t="s">
        <v>2459</v>
      </c>
      <c r="AN510" s="1882">
        <v>1986</v>
      </c>
      <c r="AO510" s="1882">
        <v>2008</v>
      </c>
      <c r="AP510" s="1882">
        <v>2029</v>
      </c>
      <c r="AQ510" s="1882">
        <v>2029</v>
      </c>
      <c r="AR510" s="1882">
        <v>2029</v>
      </c>
      <c r="AS510" s="1882">
        <v>1945</v>
      </c>
      <c r="AT510" s="1882">
        <v>1967</v>
      </c>
      <c r="AU510" s="1882">
        <v>1988</v>
      </c>
      <c r="AV510" s="1882">
        <v>1988</v>
      </c>
      <c r="AW510" s="1882">
        <v>1988</v>
      </c>
      <c r="AX510" s="1882">
        <v>1808</v>
      </c>
      <c r="AY510" s="1882">
        <v>1808</v>
      </c>
      <c r="AZ510" s="1882">
        <v>1808</v>
      </c>
      <c r="BA510" s="1882">
        <v>1808</v>
      </c>
      <c r="BB510" s="1882">
        <v>1808</v>
      </c>
      <c r="BC510" s="1882">
        <v>1651</v>
      </c>
      <c r="BD510" s="1882">
        <v>1651</v>
      </c>
      <c r="BE510" s="1882">
        <v>1651</v>
      </c>
      <c r="BF510" s="1882">
        <v>1651</v>
      </c>
      <c r="BG510" s="1882">
        <v>1651</v>
      </c>
      <c r="BH510" s="1882">
        <v>0.22024199999999999</v>
      </c>
      <c r="BI510" s="1882"/>
      <c r="BJ510" s="1882"/>
      <c r="BK510" s="1882"/>
      <c r="BL510" s="1882">
        <v>5.7496999999999999E-2</v>
      </c>
      <c r="BM510" s="1882"/>
      <c r="BN510" s="1882">
        <v>1</v>
      </c>
      <c r="BO510" s="1882" t="s">
        <v>8512</v>
      </c>
      <c r="BP510" s="520">
        <v>1947</v>
      </c>
      <c r="BQ510" s="693">
        <v>1842</v>
      </c>
      <c r="BR510" s="1882" t="s">
        <v>2459</v>
      </c>
      <c r="BS510" s="1882" t="s">
        <v>8513</v>
      </c>
      <c r="BT510" s="1882">
        <v>0</v>
      </c>
      <c r="BU510" s="1882" t="s">
        <v>8380</v>
      </c>
      <c r="BV510" s="1882">
        <v>0</v>
      </c>
      <c r="BW510" s="1882">
        <v>1769</v>
      </c>
      <c r="BX510" s="1882" t="s">
        <v>2459</v>
      </c>
      <c r="BY510" s="1882">
        <v>0</v>
      </c>
      <c r="BZ510" s="1882">
        <v>0</v>
      </c>
      <c r="CA510" s="1882" t="s">
        <v>8376</v>
      </c>
      <c r="CB510" s="1882">
        <v>2.2423999999999999</v>
      </c>
      <c r="CC510" s="1882">
        <v>1682</v>
      </c>
      <c r="CD510" s="1882" t="s">
        <v>2459</v>
      </c>
      <c r="CE510" s="1882">
        <v>0</v>
      </c>
      <c r="CF510" s="1882">
        <v>0</v>
      </c>
      <c r="CG510" s="1882" t="s">
        <v>8376</v>
      </c>
      <c r="CH510" s="1882">
        <v>7.2446219999999997</v>
      </c>
      <c r="CI510" s="1882">
        <v>1692</v>
      </c>
      <c r="CJ510" s="1882" t="s">
        <v>2459</v>
      </c>
      <c r="CK510" s="1882">
        <v>0</v>
      </c>
      <c r="CL510" s="1882">
        <v>0</v>
      </c>
      <c r="CM510" s="1882" t="s">
        <v>8376</v>
      </c>
      <c r="CN510" s="1882">
        <v>6.6696520000000001</v>
      </c>
      <c r="CP510" s="1882" t="s">
        <v>11362</v>
      </c>
    </row>
    <row r="511" spans="1:94">
      <c r="A511" s="1882" t="s">
        <v>8391</v>
      </c>
      <c r="B511" s="1882" t="s">
        <v>11363</v>
      </c>
      <c r="C511" s="1882" t="s">
        <v>8352</v>
      </c>
      <c r="D511" s="1882" t="s">
        <v>1627</v>
      </c>
      <c r="E511" s="1882" t="s">
        <v>8720</v>
      </c>
      <c r="F511" s="1882" t="s">
        <v>11359</v>
      </c>
      <c r="G511" s="1882" t="s">
        <v>10614</v>
      </c>
      <c r="H511" s="1882" t="s">
        <v>11364</v>
      </c>
      <c r="I511" s="1882" t="s">
        <v>11365</v>
      </c>
      <c r="J511" s="1882" t="s">
        <v>8539</v>
      </c>
      <c r="K511" s="1882"/>
      <c r="L511" s="1882"/>
      <c r="M511" s="1882"/>
      <c r="N511" s="1882" t="s">
        <v>8724</v>
      </c>
      <c r="O511" s="1882" t="s">
        <v>764</v>
      </c>
      <c r="P511" s="1882" t="s">
        <v>9852</v>
      </c>
      <c r="Q511" s="520">
        <v>0</v>
      </c>
      <c r="R511" s="1882"/>
      <c r="S511" s="1882">
        <v>10125</v>
      </c>
      <c r="T511" s="1882">
        <v>10125</v>
      </c>
      <c r="U511" s="1882">
        <v>10363</v>
      </c>
      <c r="V511" s="1882">
        <v>10487</v>
      </c>
      <c r="W511" s="1882">
        <v>10487</v>
      </c>
      <c r="X511" s="1882">
        <v>10487</v>
      </c>
      <c r="Y511" s="1882"/>
      <c r="Z511" s="1882"/>
      <c r="AA511" s="1882"/>
      <c r="AB511" s="1882"/>
      <c r="AC511" s="1882"/>
      <c r="AD511" s="1882"/>
      <c r="AE511" s="1882" t="s">
        <v>2459</v>
      </c>
      <c r="AF511" s="1882"/>
      <c r="AG511" s="1882"/>
      <c r="AH511" s="1882">
        <v>0</v>
      </c>
      <c r="AI511" s="1882"/>
      <c r="AJ511" s="1882"/>
      <c r="AK511" s="1882"/>
      <c r="AL511" s="1882"/>
      <c r="AM511" s="1882"/>
      <c r="AN511" s="1882"/>
      <c r="AO511" s="1882"/>
      <c r="AP511" s="1882"/>
      <c r="AQ511" s="1882"/>
      <c r="AR511" s="1882"/>
      <c r="AS511" s="1882"/>
      <c r="AT511" s="1882"/>
      <c r="AU511" s="1882"/>
      <c r="AV511" s="1882"/>
      <c r="AW511" s="1882"/>
      <c r="AX511" s="1882"/>
      <c r="AY511" s="1882"/>
      <c r="AZ511" s="1882"/>
      <c r="BA511" s="1882"/>
      <c r="BB511" s="1882"/>
      <c r="BC511" s="1882"/>
      <c r="BD511" s="1882"/>
      <c r="BE511" s="1882"/>
      <c r="BF511" s="1882"/>
      <c r="BG511" s="1882"/>
      <c r="BH511" s="1882"/>
      <c r="BI511" s="1882"/>
      <c r="BJ511" s="1882"/>
      <c r="BK511" s="1882"/>
      <c r="BL511" s="1882"/>
      <c r="BM511" s="1882"/>
      <c r="BN511" s="1882"/>
      <c r="BO511" s="1882"/>
      <c r="BP511" s="520">
        <v>8686</v>
      </c>
      <c r="BQ511" s="693">
        <v>9037</v>
      </c>
      <c r="BR511" s="1882" t="s">
        <v>2459</v>
      </c>
      <c r="BS511" s="1882" t="s">
        <v>8513</v>
      </c>
      <c r="BT511" s="1882">
        <v>0</v>
      </c>
      <c r="BU511" s="1882" t="s">
        <v>8513</v>
      </c>
      <c r="BV511" s="1882">
        <v>0</v>
      </c>
      <c r="BW511" s="1882">
        <v>9145</v>
      </c>
      <c r="BX511" s="1882" t="s">
        <v>2459</v>
      </c>
      <c r="BY511" s="1882">
        <v>0</v>
      </c>
      <c r="BZ511" s="1882">
        <v>0</v>
      </c>
      <c r="CA511" s="1882">
        <v>0</v>
      </c>
      <c r="CB511" s="1882">
        <v>0</v>
      </c>
      <c r="CC511" s="1882">
        <v>9296</v>
      </c>
      <c r="CD511" s="1882" t="s">
        <v>2459</v>
      </c>
      <c r="CE511" s="1882">
        <v>0</v>
      </c>
      <c r="CF511" s="1882">
        <v>0</v>
      </c>
      <c r="CG511" s="1882">
        <v>0</v>
      </c>
      <c r="CH511" s="1882">
        <v>0</v>
      </c>
      <c r="CI511" s="1882">
        <v>9116</v>
      </c>
      <c r="CJ511" s="1882" t="s">
        <v>2459</v>
      </c>
      <c r="CK511" s="1882">
        <v>0</v>
      </c>
      <c r="CL511" s="1882">
        <v>0</v>
      </c>
      <c r="CM511" s="1882">
        <v>0</v>
      </c>
      <c r="CN511" s="1882">
        <v>0</v>
      </c>
      <c r="CP511" s="1882" t="s">
        <v>11366</v>
      </c>
    </row>
    <row r="512" spans="1:94">
      <c r="A512" s="1882" t="s">
        <v>8391</v>
      </c>
      <c r="B512" s="1882" t="s">
        <v>11367</v>
      </c>
      <c r="C512" s="1882" t="s">
        <v>8352</v>
      </c>
      <c r="D512" s="1882" t="s">
        <v>1627</v>
      </c>
      <c r="E512" s="1882" t="s">
        <v>8720</v>
      </c>
      <c r="F512" s="1882" t="s">
        <v>11359</v>
      </c>
      <c r="G512" s="1882" t="s">
        <v>11368</v>
      </c>
      <c r="H512" s="1882" t="s">
        <v>11369</v>
      </c>
      <c r="I512" s="1882" t="s">
        <v>11370</v>
      </c>
      <c r="J512" s="1882" t="s">
        <v>8539</v>
      </c>
      <c r="K512" s="1882"/>
      <c r="L512" s="1882"/>
      <c r="M512" s="1882"/>
      <c r="N512" s="1882" t="s">
        <v>8760</v>
      </c>
      <c r="O512" s="1882" t="s">
        <v>764</v>
      </c>
      <c r="P512" s="1882" t="s">
        <v>9893</v>
      </c>
      <c r="Q512" s="520">
        <v>0</v>
      </c>
      <c r="R512" s="1882" t="s">
        <v>8511</v>
      </c>
      <c r="S512" s="1882">
        <v>10</v>
      </c>
      <c r="T512" s="1882">
        <v>8</v>
      </c>
      <c r="U512" s="1882">
        <v>6</v>
      </c>
      <c r="V512" s="1882">
        <v>4</v>
      </c>
      <c r="W512" s="1882">
        <v>2</v>
      </c>
      <c r="X512" s="1882">
        <v>0</v>
      </c>
      <c r="Y512" s="1882"/>
      <c r="Z512" s="1882"/>
      <c r="AA512" s="1882"/>
      <c r="AB512" s="1882"/>
      <c r="AC512" s="1882"/>
      <c r="AD512" s="1882"/>
      <c r="AE512" s="1882" t="s">
        <v>2459</v>
      </c>
      <c r="AF512" s="1882"/>
      <c r="AG512" s="1882"/>
      <c r="AH512" s="1882">
        <v>0</v>
      </c>
      <c r="AI512" s="1882"/>
      <c r="AJ512" s="1882"/>
      <c r="AK512" s="1882"/>
      <c r="AL512" s="1882"/>
      <c r="AM512" s="1882"/>
      <c r="AN512" s="1882"/>
      <c r="AO512" s="1882"/>
      <c r="AP512" s="1882"/>
      <c r="AQ512" s="1882"/>
      <c r="AR512" s="1882"/>
      <c r="AS512" s="1882"/>
      <c r="AT512" s="1882"/>
      <c r="AU512" s="1882"/>
      <c r="AV512" s="1882"/>
      <c r="AW512" s="1882"/>
      <c r="AX512" s="1882"/>
      <c r="AY512" s="1882"/>
      <c r="AZ512" s="1882"/>
      <c r="BA512" s="1882"/>
      <c r="BB512" s="1882"/>
      <c r="BC512" s="1882"/>
      <c r="BD512" s="1882"/>
      <c r="BE512" s="1882"/>
      <c r="BF512" s="1882"/>
      <c r="BG512" s="1882"/>
      <c r="BH512" s="1882"/>
      <c r="BI512" s="1882"/>
      <c r="BJ512" s="1882"/>
      <c r="BK512" s="1882"/>
      <c r="BL512" s="1882"/>
      <c r="BM512" s="1882"/>
      <c r="BN512" s="1882"/>
      <c r="BO512" s="1882"/>
      <c r="BP512" s="520">
        <v>4</v>
      </c>
      <c r="BQ512" s="693">
        <v>5</v>
      </c>
      <c r="BR512" s="1882" t="s">
        <v>2459</v>
      </c>
      <c r="BS512" s="1882" t="s">
        <v>8513</v>
      </c>
      <c r="BT512" s="1882">
        <v>0</v>
      </c>
      <c r="BU512" s="1882" t="s">
        <v>8513</v>
      </c>
      <c r="BV512" s="1882">
        <v>0</v>
      </c>
      <c r="BW512" s="1882">
        <v>4</v>
      </c>
      <c r="BX512" s="1882" t="s">
        <v>2459</v>
      </c>
      <c r="BY512" s="1882">
        <v>0</v>
      </c>
      <c r="BZ512" s="1882">
        <v>0</v>
      </c>
      <c r="CA512" s="1882">
        <v>0</v>
      </c>
      <c r="CB512" s="1882">
        <v>0</v>
      </c>
      <c r="CC512" s="1882">
        <v>3</v>
      </c>
      <c r="CD512" s="1882" t="s">
        <v>2459</v>
      </c>
      <c r="CE512" s="1882">
        <v>0</v>
      </c>
      <c r="CF512" s="1882">
        <v>0</v>
      </c>
      <c r="CG512" s="1882">
        <v>0</v>
      </c>
      <c r="CH512" s="1882">
        <v>0</v>
      </c>
      <c r="CI512" s="1882">
        <v>11</v>
      </c>
      <c r="CJ512" s="1882" t="s">
        <v>2460</v>
      </c>
      <c r="CK512" s="1882">
        <v>0</v>
      </c>
      <c r="CL512" s="1882">
        <v>0</v>
      </c>
      <c r="CM512" s="1882">
        <v>0</v>
      </c>
      <c r="CN512" s="1882">
        <v>0</v>
      </c>
      <c r="CP512" s="1882" t="s">
        <v>11371</v>
      </c>
    </row>
    <row r="513" spans="1:94">
      <c r="A513" s="1882" t="s">
        <v>8391</v>
      </c>
      <c r="B513" s="1882" t="s">
        <v>11372</v>
      </c>
      <c r="C513" s="1882" t="s">
        <v>8352</v>
      </c>
      <c r="D513" s="1882" t="s">
        <v>1627</v>
      </c>
      <c r="E513" s="1882" t="s">
        <v>8720</v>
      </c>
      <c r="F513" s="1882" t="s">
        <v>11359</v>
      </c>
      <c r="G513" s="1882" t="s">
        <v>11373</v>
      </c>
      <c r="H513" s="1882" t="s">
        <v>11374</v>
      </c>
      <c r="I513" s="1882" t="s">
        <v>11375</v>
      </c>
      <c r="J513" s="1882" t="s">
        <v>8508</v>
      </c>
      <c r="K513" s="1882" t="s">
        <v>11293</v>
      </c>
      <c r="L513" s="1882"/>
      <c r="M513" s="1882"/>
      <c r="N513" s="1882" t="s">
        <v>8760</v>
      </c>
      <c r="O513" s="1882" t="s">
        <v>764</v>
      </c>
      <c r="P513" s="1882" t="s">
        <v>8761</v>
      </c>
      <c r="Q513" s="520">
        <v>0</v>
      </c>
      <c r="R513" s="1882" t="s">
        <v>8511</v>
      </c>
      <c r="S513" s="1882">
        <v>250</v>
      </c>
      <c r="T513" s="1882">
        <v>237</v>
      </c>
      <c r="U513" s="1882">
        <v>224</v>
      </c>
      <c r="V513" s="1882">
        <v>211</v>
      </c>
      <c r="W513" s="1882">
        <v>211</v>
      </c>
      <c r="X513" s="1882">
        <v>211</v>
      </c>
      <c r="Y513" s="1882"/>
      <c r="Z513" s="1882"/>
      <c r="AA513" s="1882"/>
      <c r="AB513" s="1882" t="s">
        <v>2459</v>
      </c>
      <c r="AC513" s="1882"/>
      <c r="AD513" s="1882"/>
      <c r="AE513" s="1882" t="s">
        <v>2459</v>
      </c>
      <c r="AF513" s="1882"/>
      <c r="AG513" s="1882"/>
      <c r="AH513" s="1882">
        <v>0</v>
      </c>
      <c r="AI513" s="1882" t="s">
        <v>2459</v>
      </c>
      <c r="AJ513" s="1882" t="s">
        <v>2459</v>
      </c>
      <c r="AK513" s="1882" t="s">
        <v>2459</v>
      </c>
      <c r="AL513" s="1882" t="s">
        <v>2459</v>
      </c>
      <c r="AM513" s="1882" t="s">
        <v>2459</v>
      </c>
      <c r="AN513" s="1882">
        <v>303</v>
      </c>
      <c r="AO513" s="1882">
        <v>303</v>
      </c>
      <c r="AP513" s="1882">
        <v>264</v>
      </c>
      <c r="AQ513" s="1882">
        <v>264</v>
      </c>
      <c r="AR513" s="1882">
        <v>264</v>
      </c>
      <c r="AS513" s="1882">
        <v>250</v>
      </c>
      <c r="AT513" s="1882">
        <v>250</v>
      </c>
      <c r="AU513" s="1882">
        <v>211</v>
      </c>
      <c r="AV513" s="1882">
        <v>211</v>
      </c>
      <c r="AW513" s="1882">
        <v>211</v>
      </c>
      <c r="AX513" s="1882">
        <v>211</v>
      </c>
      <c r="AY513" s="1882">
        <v>211</v>
      </c>
      <c r="AZ513" s="1882">
        <v>211</v>
      </c>
      <c r="BA513" s="1882">
        <v>211</v>
      </c>
      <c r="BB513" s="1882">
        <v>211</v>
      </c>
      <c r="BC513" s="1882">
        <v>147</v>
      </c>
      <c r="BD513" s="1882">
        <v>147</v>
      </c>
      <c r="BE513" s="1882">
        <v>147</v>
      </c>
      <c r="BF513" s="1882">
        <v>147</v>
      </c>
      <c r="BG513" s="1882">
        <v>147</v>
      </c>
      <c r="BH513" s="1882">
        <v>0.18513299999999999</v>
      </c>
      <c r="BI513" s="1882"/>
      <c r="BJ513" s="1882"/>
      <c r="BK513" s="1882"/>
      <c r="BL513" s="1882">
        <v>0.18513299999999999</v>
      </c>
      <c r="BM513" s="1882"/>
      <c r="BN513" s="1882">
        <v>1</v>
      </c>
      <c r="BO513" s="1882" t="s">
        <v>8512</v>
      </c>
      <c r="BP513" s="520">
        <v>170</v>
      </c>
      <c r="BQ513" s="693">
        <v>180</v>
      </c>
      <c r="BR513" s="1882" t="s">
        <v>2459</v>
      </c>
      <c r="BS513" s="1882" t="s">
        <v>8513</v>
      </c>
      <c r="BT513" s="1882">
        <v>0</v>
      </c>
      <c r="BU513" s="1882" t="s">
        <v>8376</v>
      </c>
      <c r="BV513" s="1882">
        <v>5.7391230000000002</v>
      </c>
      <c r="BW513" s="1882">
        <v>207</v>
      </c>
      <c r="BX513" s="1882" t="s">
        <v>2459</v>
      </c>
      <c r="BY513" s="1882">
        <v>0</v>
      </c>
      <c r="BZ513" s="1882">
        <v>0</v>
      </c>
      <c r="CA513" s="1882" t="s">
        <v>8376</v>
      </c>
      <c r="CB513" s="1882">
        <v>0.74050000000000005</v>
      </c>
      <c r="CC513" s="1882">
        <v>202</v>
      </c>
      <c r="CD513" s="1882" t="s">
        <v>2459</v>
      </c>
      <c r="CE513" s="1882">
        <v>0</v>
      </c>
      <c r="CF513" s="1882">
        <v>0</v>
      </c>
      <c r="CG513" s="1882" t="s">
        <v>8376</v>
      </c>
      <c r="CH513" s="1882">
        <v>1.6661969999999999</v>
      </c>
      <c r="CI513" s="1882">
        <v>188</v>
      </c>
      <c r="CJ513" s="1882" t="s">
        <v>2459</v>
      </c>
      <c r="CK513" s="1882">
        <v>0</v>
      </c>
      <c r="CL513" s="1882">
        <v>0</v>
      </c>
      <c r="CM513" s="1882" t="s">
        <v>8376</v>
      </c>
      <c r="CN513" s="1882">
        <v>4.2580589999999994</v>
      </c>
      <c r="CP513" s="1882" t="s">
        <v>11376</v>
      </c>
    </row>
    <row r="514" spans="1:94">
      <c r="A514" s="1882" t="s">
        <v>8391</v>
      </c>
      <c r="B514" s="1882" t="s">
        <v>11377</v>
      </c>
      <c r="C514" s="1882" t="s">
        <v>8352</v>
      </c>
      <c r="D514" s="1882" t="s">
        <v>1627</v>
      </c>
      <c r="E514" s="1882" t="s">
        <v>8720</v>
      </c>
      <c r="F514" s="1882" t="s">
        <v>11359</v>
      </c>
      <c r="G514" s="1882" t="s">
        <v>11378</v>
      </c>
      <c r="H514" s="1882" t="s">
        <v>11379</v>
      </c>
      <c r="I514" s="1882" t="s">
        <v>11380</v>
      </c>
      <c r="J514" s="1882" t="s">
        <v>8519</v>
      </c>
      <c r="K514" s="1882" t="s">
        <v>11283</v>
      </c>
      <c r="L514" s="1882"/>
      <c r="M514" s="1882" t="s">
        <v>2460</v>
      </c>
      <c r="N514" s="1882" t="s">
        <v>8787</v>
      </c>
      <c r="O514" s="1882" t="s">
        <v>8704</v>
      </c>
      <c r="P514" s="1882" t="s">
        <v>8856</v>
      </c>
      <c r="Q514" s="520" t="s">
        <v>8512</v>
      </c>
      <c r="R514" s="1882"/>
      <c r="S514" s="1882" t="s">
        <v>8706</v>
      </c>
      <c r="T514" s="1882"/>
      <c r="U514" s="1882"/>
      <c r="V514" s="1882"/>
      <c r="W514" s="1882"/>
      <c r="X514" s="1882" t="s">
        <v>8706</v>
      </c>
      <c r="Y514" s="1882"/>
      <c r="Z514" s="1882"/>
      <c r="AA514" s="1882"/>
      <c r="AB514" s="1882"/>
      <c r="AC514" s="1882"/>
      <c r="AD514" s="1882"/>
      <c r="AE514" s="1882" t="s">
        <v>2459</v>
      </c>
      <c r="AF514" s="1882"/>
      <c r="AG514" s="1882"/>
      <c r="AH514" s="1882">
        <v>6</v>
      </c>
      <c r="AI514" s="1882"/>
      <c r="AJ514" s="1882"/>
      <c r="AK514" s="1882"/>
      <c r="AL514" s="1882"/>
      <c r="AM514" s="1882" t="s">
        <v>2459</v>
      </c>
      <c r="AN514" s="1882"/>
      <c r="AO514" s="1882"/>
      <c r="AP514" s="1882"/>
      <c r="AQ514" s="1882"/>
      <c r="AR514" s="1882"/>
      <c r="AS514" s="1882"/>
      <c r="AT514" s="1882"/>
      <c r="AU514" s="1882"/>
      <c r="AV514" s="1882"/>
      <c r="AW514" s="1882" t="s">
        <v>8857</v>
      </c>
      <c r="AX514" s="1882"/>
      <c r="AY514" s="1882"/>
      <c r="AZ514" s="1882"/>
      <c r="BA514" s="1882"/>
      <c r="BB514" s="1882"/>
      <c r="BC514" s="1882"/>
      <c r="BD514" s="1882"/>
      <c r="BE514" s="1882"/>
      <c r="BF514" s="1882"/>
      <c r="BG514" s="1882"/>
      <c r="BH514" s="1882" t="s">
        <v>11299</v>
      </c>
      <c r="BI514" s="1882"/>
      <c r="BJ514" s="1882"/>
      <c r="BK514" s="1882"/>
      <c r="BL514" s="1882"/>
      <c r="BM514" s="1882"/>
      <c r="BN514" s="1882">
        <v>1</v>
      </c>
      <c r="BO514" s="1882" t="s">
        <v>8512</v>
      </c>
      <c r="BP514" s="520" t="s">
        <v>11300</v>
      </c>
      <c r="BQ514" s="692" t="s">
        <v>11300</v>
      </c>
      <c r="BR514" s="1882" t="s">
        <v>8513</v>
      </c>
      <c r="BS514" s="1882" t="s">
        <v>8513</v>
      </c>
      <c r="BT514" s="1882">
        <v>0</v>
      </c>
      <c r="BU514" s="1882" t="s">
        <v>8513</v>
      </c>
      <c r="BV514" s="1882">
        <v>0</v>
      </c>
      <c r="BW514" s="1882" t="s">
        <v>11300</v>
      </c>
      <c r="BX514" s="1882" t="s">
        <v>2451</v>
      </c>
      <c r="BY514" s="1882">
        <v>0</v>
      </c>
      <c r="BZ514" s="1882">
        <v>0</v>
      </c>
      <c r="CA514" s="1882">
        <v>0</v>
      </c>
      <c r="CB514" s="1882">
        <v>0</v>
      </c>
      <c r="CC514" s="1882" t="s">
        <v>8706</v>
      </c>
      <c r="CD514" s="1882" t="s">
        <v>2451</v>
      </c>
      <c r="CE514" s="1882">
        <v>0</v>
      </c>
      <c r="CF514" s="1882">
        <v>0</v>
      </c>
      <c r="CG514" s="1882">
        <v>0</v>
      </c>
      <c r="CH514" s="1882">
        <v>0</v>
      </c>
      <c r="CI514" s="1882" t="s">
        <v>8706</v>
      </c>
      <c r="CJ514" s="1882" t="s">
        <v>2459</v>
      </c>
      <c r="CK514" s="1882">
        <v>0</v>
      </c>
      <c r="CL514" s="1882">
        <v>0</v>
      </c>
      <c r="CM514" s="1882">
        <v>0</v>
      </c>
      <c r="CN514" s="1882">
        <v>0</v>
      </c>
      <c r="CP514" s="1882" t="s">
        <v>11381</v>
      </c>
    </row>
    <row r="515" spans="1:94">
      <c r="A515" s="1882" t="s">
        <v>8391</v>
      </c>
      <c r="B515" s="1882" t="s">
        <v>11382</v>
      </c>
      <c r="C515" s="1882" t="s">
        <v>8352</v>
      </c>
      <c r="D515" s="1882" t="s">
        <v>1627</v>
      </c>
      <c r="E515" s="1882" t="s">
        <v>8720</v>
      </c>
      <c r="F515" s="1882" t="s">
        <v>11322</v>
      </c>
      <c r="G515" s="1882" t="s">
        <v>10625</v>
      </c>
      <c r="H515" s="1882" t="s">
        <v>11383</v>
      </c>
      <c r="I515" s="1882" t="s">
        <v>11384</v>
      </c>
      <c r="J515" s="1882" t="s">
        <v>8539</v>
      </c>
      <c r="K515" s="1882"/>
      <c r="L515" s="1882"/>
      <c r="M515" s="1882"/>
      <c r="N515" s="1882" t="s">
        <v>8673</v>
      </c>
      <c r="O515" s="1882" t="s">
        <v>764</v>
      </c>
      <c r="P515" s="1882" t="s">
        <v>11385</v>
      </c>
      <c r="Q515" s="520">
        <v>0</v>
      </c>
      <c r="R515" s="1882" t="s">
        <v>8549</v>
      </c>
      <c r="S515" s="1882">
        <v>15</v>
      </c>
      <c r="T515" s="1882">
        <v>15</v>
      </c>
      <c r="U515" s="1882">
        <v>15</v>
      </c>
      <c r="V515" s="1882">
        <v>15</v>
      </c>
      <c r="W515" s="1882">
        <v>15</v>
      </c>
      <c r="X515" s="1882">
        <v>15</v>
      </c>
      <c r="Y515" s="1882"/>
      <c r="Z515" s="1882"/>
      <c r="AA515" s="1882"/>
      <c r="AB515" s="1882"/>
      <c r="AC515" s="1882"/>
      <c r="AD515" s="1882"/>
      <c r="AE515" s="1882"/>
      <c r="AF515" s="1882"/>
      <c r="AG515" s="1882"/>
      <c r="AH515" s="1882">
        <v>0</v>
      </c>
      <c r="AI515" s="1882"/>
      <c r="AJ515" s="1882"/>
      <c r="AK515" s="1882"/>
      <c r="AL515" s="1882"/>
      <c r="AM515" s="1882"/>
      <c r="AN515" s="1882"/>
      <c r="AO515" s="1882"/>
      <c r="AP515" s="1882"/>
      <c r="AQ515" s="1882"/>
      <c r="AR515" s="1882"/>
      <c r="AS515" s="1882"/>
      <c r="AT515" s="1882"/>
      <c r="AU515" s="1882"/>
      <c r="AV515" s="1882"/>
      <c r="AW515" s="1882"/>
      <c r="AX515" s="1882"/>
      <c r="AY515" s="1882"/>
      <c r="AZ515" s="1882"/>
      <c r="BA515" s="1882"/>
      <c r="BB515" s="1882"/>
      <c r="BC515" s="1882"/>
      <c r="BD515" s="1882"/>
      <c r="BE515" s="1882"/>
      <c r="BF515" s="1882"/>
      <c r="BG515" s="1882"/>
      <c r="BH515" s="1882"/>
      <c r="BI515" s="1882"/>
      <c r="BJ515" s="1882"/>
      <c r="BK515" s="1882"/>
      <c r="BL515" s="1882"/>
      <c r="BM515" s="1882"/>
      <c r="BN515" s="1882"/>
      <c r="BO515" s="1882"/>
      <c r="BP515" s="520">
        <v>18</v>
      </c>
      <c r="BQ515" s="693">
        <v>18</v>
      </c>
      <c r="BR515" s="1882" t="s">
        <v>2459</v>
      </c>
      <c r="BS515" s="1882" t="s">
        <v>8513</v>
      </c>
      <c r="BT515" s="1882">
        <v>0</v>
      </c>
      <c r="BU515" s="1882" t="s">
        <v>8513</v>
      </c>
      <c r="BV515" s="1882">
        <v>0</v>
      </c>
      <c r="BW515" s="1882">
        <v>17</v>
      </c>
      <c r="BX515" s="1882" t="s">
        <v>2459</v>
      </c>
      <c r="BY515" s="1882">
        <v>0</v>
      </c>
      <c r="BZ515" s="1882">
        <v>0</v>
      </c>
      <c r="CA515" s="1882">
        <v>0</v>
      </c>
      <c r="CB515" s="1882">
        <v>0</v>
      </c>
      <c r="CC515" s="1882">
        <v>18</v>
      </c>
      <c r="CD515" s="1882" t="s">
        <v>2459</v>
      </c>
      <c r="CE515" s="1882">
        <v>0</v>
      </c>
      <c r="CF515" s="1882">
        <v>0</v>
      </c>
      <c r="CG515" s="1882">
        <v>0</v>
      </c>
      <c r="CH515" s="1882">
        <v>0</v>
      </c>
      <c r="CI515" s="1882">
        <v>17</v>
      </c>
      <c r="CJ515" s="1882" t="s">
        <v>2459</v>
      </c>
      <c r="CK515" s="1882">
        <v>0</v>
      </c>
      <c r="CL515" s="1882">
        <v>0</v>
      </c>
      <c r="CM515" s="1882">
        <v>0</v>
      </c>
      <c r="CN515" s="1882">
        <v>0</v>
      </c>
      <c r="CP515" s="1882" t="s">
        <v>11386</v>
      </c>
    </row>
    <row r="516" spans="1:94">
      <c r="A516" s="1882" t="s">
        <v>8391</v>
      </c>
      <c r="B516" s="1882" t="s">
        <v>11387</v>
      </c>
      <c r="C516" s="1882" t="s">
        <v>8352</v>
      </c>
      <c r="D516" s="1882" t="s">
        <v>1627</v>
      </c>
      <c r="E516" s="1882" t="s">
        <v>8720</v>
      </c>
      <c r="F516" s="1882" t="s">
        <v>11322</v>
      </c>
      <c r="G516" s="1882" t="s">
        <v>10630</v>
      </c>
      <c r="H516" s="1882" t="s">
        <v>11388</v>
      </c>
      <c r="I516" s="1882" t="s">
        <v>11389</v>
      </c>
      <c r="J516" s="1882" t="s">
        <v>8519</v>
      </c>
      <c r="K516" s="1882" t="s">
        <v>11283</v>
      </c>
      <c r="L516" s="1882"/>
      <c r="M516" s="1882" t="s">
        <v>2460</v>
      </c>
      <c r="N516" s="1882" t="s">
        <v>8787</v>
      </c>
      <c r="O516" s="1882" t="s">
        <v>8704</v>
      </c>
      <c r="P516" s="1882" t="s">
        <v>8856</v>
      </c>
      <c r="Q516" s="520" t="s">
        <v>8512</v>
      </c>
      <c r="R516" s="1882"/>
      <c r="S516" s="1882" t="s">
        <v>8706</v>
      </c>
      <c r="T516" s="1882"/>
      <c r="U516" s="1882"/>
      <c r="V516" s="1882"/>
      <c r="W516" s="1882"/>
      <c r="X516" s="1882" t="s">
        <v>8706</v>
      </c>
      <c r="Y516" s="1882"/>
      <c r="Z516" s="1882"/>
      <c r="AA516" s="1882"/>
      <c r="AB516" s="1882"/>
      <c r="AC516" s="1882"/>
      <c r="AD516" s="1882"/>
      <c r="AE516" s="1882" t="s">
        <v>2459</v>
      </c>
      <c r="AF516" s="1882"/>
      <c r="AG516" s="1882"/>
      <c r="AH516" s="1882">
        <v>3</v>
      </c>
      <c r="AI516" s="1882"/>
      <c r="AJ516" s="1882"/>
      <c r="AK516" s="1882"/>
      <c r="AL516" s="1882"/>
      <c r="AM516" s="1882" t="s">
        <v>2459</v>
      </c>
      <c r="AN516" s="1882"/>
      <c r="AO516" s="1882"/>
      <c r="AP516" s="1882"/>
      <c r="AQ516" s="1882"/>
      <c r="AR516" s="1882"/>
      <c r="AS516" s="1882"/>
      <c r="AT516" s="1882"/>
      <c r="AU516" s="1882"/>
      <c r="AV516" s="1882"/>
      <c r="AW516" s="1882" t="s">
        <v>8857</v>
      </c>
      <c r="AX516" s="1882"/>
      <c r="AY516" s="1882"/>
      <c r="AZ516" s="1882"/>
      <c r="BA516" s="1882"/>
      <c r="BB516" s="1882"/>
      <c r="BC516" s="1882"/>
      <c r="BD516" s="1882"/>
      <c r="BE516" s="1882"/>
      <c r="BF516" s="1882"/>
      <c r="BG516" s="1882"/>
      <c r="BH516" s="1882" t="s">
        <v>11299</v>
      </c>
      <c r="BI516" s="1882"/>
      <c r="BJ516" s="1882"/>
      <c r="BK516" s="1882"/>
      <c r="BL516" s="1882"/>
      <c r="BM516" s="1882"/>
      <c r="BN516" s="1882">
        <v>1</v>
      </c>
      <c r="BO516" s="1882" t="s">
        <v>8512</v>
      </c>
      <c r="BP516" s="520" t="s">
        <v>11300</v>
      </c>
      <c r="BQ516" s="692" t="s">
        <v>11300</v>
      </c>
      <c r="BR516" s="1882" t="s">
        <v>8513</v>
      </c>
      <c r="BS516" s="1882" t="s">
        <v>8513</v>
      </c>
      <c r="BT516" s="1882">
        <v>0</v>
      </c>
      <c r="BU516" s="1882" t="s">
        <v>8513</v>
      </c>
      <c r="BV516" s="1882">
        <v>0</v>
      </c>
      <c r="BW516" s="1882" t="s">
        <v>11300</v>
      </c>
      <c r="BX516" s="1882" t="s">
        <v>2451</v>
      </c>
      <c r="BY516" s="1882">
        <v>0</v>
      </c>
      <c r="BZ516" s="1882">
        <v>0</v>
      </c>
      <c r="CA516" s="1882">
        <v>0</v>
      </c>
      <c r="CB516" s="1882">
        <v>0</v>
      </c>
      <c r="CC516" s="1882" t="s">
        <v>8706</v>
      </c>
      <c r="CD516" s="1882" t="s">
        <v>2451</v>
      </c>
      <c r="CE516" s="1882">
        <v>0</v>
      </c>
      <c r="CF516" s="1882">
        <v>0</v>
      </c>
      <c r="CG516" s="1882">
        <v>0</v>
      </c>
      <c r="CH516" s="1882">
        <v>0</v>
      </c>
      <c r="CI516" s="1882" t="s">
        <v>8706</v>
      </c>
      <c r="CJ516" s="1882" t="s">
        <v>2459</v>
      </c>
      <c r="CK516" s="1882">
        <v>0</v>
      </c>
      <c r="CL516" s="1882">
        <v>0</v>
      </c>
      <c r="CM516" s="1882">
        <v>0</v>
      </c>
      <c r="CN516" s="1882">
        <v>0</v>
      </c>
      <c r="CP516" s="1882" t="s">
        <v>11390</v>
      </c>
    </row>
    <row r="517" spans="1:94">
      <c r="A517" s="1882" t="s">
        <v>8391</v>
      </c>
      <c r="B517" s="1882" t="s">
        <v>11391</v>
      </c>
      <c r="C517" s="1882" t="s">
        <v>8352</v>
      </c>
      <c r="D517" s="1882" t="s">
        <v>1627</v>
      </c>
      <c r="E517" s="1882" t="s">
        <v>8720</v>
      </c>
      <c r="F517" s="1882" t="s">
        <v>11322</v>
      </c>
      <c r="G517" s="1882" t="s">
        <v>10635</v>
      </c>
      <c r="H517" s="1882" t="s">
        <v>11392</v>
      </c>
      <c r="I517" s="1882" t="s">
        <v>11393</v>
      </c>
      <c r="J517" s="1882" t="s">
        <v>10229</v>
      </c>
      <c r="K517" s="1882" t="s">
        <v>8509</v>
      </c>
      <c r="L517" s="1882"/>
      <c r="M517" s="1882" t="s">
        <v>2460</v>
      </c>
      <c r="N517" s="1882" t="s">
        <v>9518</v>
      </c>
      <c r="O517" s="1882" t="s">
        <v>764</v>
      </c>
      <c r="P517" s="1882" t="s">
        <v>11330</v>
      </c>
      <c r="Q517" s="520">
        <v>0</v>
      </c>
      <c r="R517" s="1882" t="s">
        <v>8549</v>
      </c>
      <c r="S517" s="1882"/>
      <c r="T517" s="1882">
        <v>3</v>
      </c>
      <c r="U517" s="1882">
        <v>3</v>
      </c>
      <c r="V517" s="1882">
        <v>3</v>
      </c>
      <c r="W517" s="1882">
        <v>3</v>
      </c>
      <c r="X517" s="1882">
        <v>4</v>
      </c>
      <c r="Y517" s="1882"/>
      <c r="Z517" s="1882"/>
      <c r="AA517" s="1882"/>
      <c r="AB517" s="1882"/>
      <c r="AC517" s="1882"/>
      <c r="AD517" s="1882"/>
      <c r="AE517" s="1882"/>
      <c r="AF517" s="1882"/>
      <c r="AG517" s="1882"/>
      <c r="AH517" s="1882">
        <v>0</v>
      </c>
      <c r="AI517" s="1882" t="s">
        <v>2459</v>
      </c>
      <c r="AJ517" s="1882" t="s">
        <v>2459</v>
      </c>
      <c r="AK517" s="1882" t="s">
        <v>2459</v>
      </c>
      <c r="AL517" s="1882" t="s">
        <v>2459</v>
      </c>
      <c r="AM517" s="1882" t="s">
        <v>2459</v>
      </c>
      <c r="AN517" s="1882"/>
      <c r="AO517" s="1882"/>
      <c r="AP517" s="1882"/>
      <c r="AQ517" s="1882"/>
      <c r="AR517" s="1882"/>
      <c r="AS517" s="1882"/>
      <c r="AT517" s="1882"/>
      <c r="AU517" s="1882"/>
      <c r="AV517" s="1882"/>
      <c r="AW517" s="1882"/>
      <c r="AX517" s="1882">
        <v>3</v>
      </c>
      <c r="AY517" s="1882">
        <v>6</v>
      </c>
      <c r="AZ517" s="1882">
        <v>9</v>
      </c>
      <c r="BA517" s="1882">
        <v>12</v>
      </c>
      <c r="BB517" s="1882">
        <v>16</v>
      </c>
      <c r="BC517" s="1882">
        <v>999999</v>
      </c>
      <c r="BD517" s="1882">
        <v>999999</v>
      </c>
      <c r="BE517" s="1882">
        <v>999999</v>
      </c>
      <c r="BF517" s="1882">
        <v>999999</v>
      </c>
      <c r="BG517" s="1882">
        <v>999999</v>
      </c>
      <c r="BH517" s="1882"/>
      <c r="BI517" s="1882"/>
      <c r="BJ517" s="1882"/>
      <c r="BK517" s="1882"/>
      <c r="BL517" s="1882" t="s">
        <v>11331</v>
      </c>
      <c r="BM517" s="1882"/>
      <c r="BN517" s="1882">
        <v>1</v>
      </c>
      <c r="BO517" s="1882" t="s">
        <v>8512</v>
      </c>
      <c r="BP517" s="520" t="s">
        <v>3514</v>
      </c>
      <c r="BQ517" s="693">
        <v>4</v>
      </c>
      <c r="BR517" s="1882" t="s">
        <v>2459</v>
      </c>
      <c r="BS517" s="1882" t="s">
        <v>8513</v>
      </c>
      <c r="BT517" s="1882">
        <v>0</v>
      </c>
      <c r="BU517" s="1882" t="s">
        <v>8376</v>
      </c>
      <c r="BV517" s="1882">
        <v>2.3955E-4</v>
      </c>
      <c r="BW517" s="1882">
        <v>5</v>
      </c>
      <c r="BX517" s="1882" t="s">
        <v>2459</v>
      </c>
      <c r="BY517" s="1882">
        <v>0</v>
      </c>
      <c r="BZ517" s="1882">
        <v>0</v>
      </c>
      <c r="CA517" s="1882" t="s">
        <v>8376</v>
      </c>
      <c r="CB517" s="1882">
        <v>2.1336E-4</v>
      </c>
      <c r="CC517" s="1882">
        <v>12</v>
      </c>
      <c r="CD517" s="1882" t="s">
        <v>2459</v>
      </c>
      <c r="CE517" s="1882">
        <v>0</v>
      </c>
      <c r="CF517" s="1882">
        <v>0</v>
      </c>
      <c r="CG517" s="1882" t="s">
        <v>8376</v>
      </c>
      <c r="CH517" s="1882">
        <v>3.6480825000000001E-2</v>
      </c>
      <c r="CI517" s="1882">
        <v>11</v>
      </c>
      <c r="CJ517" s="1882" t="s">
        <v>2459</v>
      </c>
      <c r="CK517" s="1882">
        <v>0</v>
      </c>
      <c r="CL517" s="1882">
        <v>0</v>
      </c>
      <c r="CM517" s="1882" t="s">
        <v>8376</v>
      </c>
      <c r="CN517" s="1882">
        <v>6.1511272727272732E-3</v>
      </c>
      <c r="CP517" s="1882" t="s">
        <v>11394</v>
      </c>
    </row>
    <row r="518" spans="1:94">
      <c r="A518" s="1882" t="s">
        <v>8391</v>
      </c>
      <c r="B518" s="1882" t="s">
        <v>11395</v>
      </c>
      <c r="C518" s="1882" t="s">
        <v>8352</v>
      </c>
      <c r="D518" s="1882" t="s">
        <v>1627</v>
      </c>
      <c r="E518" s="1882" t="s">
        <v>8720</v>
      </c>
      <c r="F518" s="1882" t="s">
        <v>11322</v>
      </c>
      <c r="G518" s="1882" t="s">
        <v>10641</v>
      </c>
      <c r="H518" s="1882" t="s">
        <v>11396</v>
      </c>
      <c r="I518" s="1882" t="s">
        <v>11397</v>
      </c>
      <c r="J518" s="1882" t="s">
        <v>8508</v>
      </c>
      <c r="K518" s="1882" t="s">
        <v>11293</v>
      </c>
      <c r="L518" s="1882"/>
      <c r="M518" s="1882" t="s">
        <v>2460</v>
      </c>
      <c r="N518" s="1882" t="s">
        <v>8673</v>
      </c>
      <c r="O518" s="1882" t="s">
        <v>764</v>
      </c>
      <c r="P518" s="1882" t="s">
        <v>11325</v>
      </c>
      <c r="Q518" s="520">
        <v>0</v>
      </c>
      <c r="R518" s="1882" t="s">
        <v>8549</v>
      </c>
      <c r="S518" s="1882"/>
      <c r="T518" s="1882"/>
      <c r="U518" s="1882"/>
      <c r="V518" s="1882"/>
      <c r="W518" s="1882"/>
      <c r="X518" s="1882">
        <v>340</v>
      </c>
      <c r="Y518" s="1882"/>
      <c r="Z518" s="1882"/>
      <c r="AA518" s="1882"/>
      <c r="AB518" s="1882"/>
      <c r="AC518" s="1882"/>
      <c r="AD518" s="1882"/>
      <c r="AE518" s="1882"/>
      <c r="AF518" s="1882" t="s">
        <v>2459</v>
      </c>
      <c r="AG518" s="1882"/>
      <c r="AH518" s="1882">
        <v>0</v>
      </c>
      <c r="AI518" s="1882"/>
      <c r="AJ518" s="1882"/>
      <c r="AK518" s="1882"/>
      <c r="AL518" s="1882"/>
      <c r="AM518" s="1882" t="s">
        <v>2459</v>
      </c>
      <c r="AN518" s="1882"/>
      <c r="AO518" s="1882"/>
      <c r="AP518" s="1882"/>
      <c r="AQ518" s="1882"/>
      <c r="AR518" s="1882">
        <v>0</v>
      </c>
      <c r="AS518" s="1882"/>
      <c r="AT518" s="1882"/>
      <c r="AU518" s="1882"/>
      <c r="AV518" s="1882"/>
      <c r="AW518" s="1882">
        <v>337</v>
      </c>
      <c r="AX518" s="1882"/>
      <c r="AY518" s="1882"/>
      <c r="AZ518" s="1882"/>
      <c r="BA518" s="1882"/>
      <c r="BB518" s="1882">
        <v>343</v>
      </c>
      <c r="BC518" s="1882"/>
      <c r="BD518" s="1882"/>
      <c r="BE518" s="1882"/>
      <c r="BF518" s="1882"/>
      <c r="BG518" s="1882">
        <v>999999</v>
      </c>
      <c r="BH518" s="1882">
        <v>0.14623800000000001</v>
      </c>
      <c r="BI518" s="1882"/>
      <c r="BJ518" s="1882"/>
      <c r="BK518" s="1882"/>
      <c r="BL518" s="1882">
        <v>7.6696E-2</v>
      </c>
      <c r="BM518" s="1882"/>
      <c r="BN518" s="1882">
        <v>1</v>
      </c>
      <c r="BO518" s="1882" t="s">
        <v>8512</v>
      </c>
      <c r="BP518" s="520" t="s">
        <v>3514</v>
      </c>
      <c r="BQ518" s="693">
        <v>0</v>
      </c>
      <c r="BR518" s="1882" t="s">
        <v>8513</v>
      </c>
      <c r="BS518" s="1882" t="s">
        <v>8513</v>
      </c>
      <c r="BT518" s="1882">
        <v>0</v>
      </c>
      <c r="BU518" s="1882" t="s">
        <v>8513</v>
      </c>
      <c r="BV518" s="1882">
        <v>0</v>
      </c>
      <c r="BW518" s="1882">
        <v>0</v>
      </c>
      <c r="BX518" s="1882" t="s">
        <v>2451</v>
      </c>
      <c r="BY518" s="1882">
        <v>0</v>
      </c>
      <c r="BZ518" s="1882">
        <v>0</v>
      </c>
      <c r="CA518" s="1882">
        <v>0</v>
      </c>
      <c r="CB518" s="1882">
        <v>0</v>
      </c>
      <c r="CC518" s="1882">
        <v>0</v>
      </c>
      <c r="CD518" s="1882" t="s">
        <v>2451</v>
      </c>
      <c r="CE518" s="1882">
        <v>0</v>
      </c>
      <c r="CF518" s="1882">
        <v>0</v>
      </c>
      <c r="CG518" s="1882">
        <v>0</v>
      </c>
      <c r="CH518" s="1882">
        <v>0</v>
      </c>
      <c r="CI518" s="1882">
        <v>0</v>
      </c>
      <c r="CJ518" s="1882" t="s">
        <v>2451</v>
      </c>
      <c r="CK518" s="1882">
        <v>0</v>
      </c>
      <c r="CL518" s="1882">
        <v>0</v>
      </c>
      <c r="CM518" s="1882">
        <v>0</v>
      </c>
      <c r="CN518" s="1882">
        <v>0</v>
      </c>
      <c r="CP518" s="1882" t="s">
        <v>11398</v>
      </c>
    </row>
    <row r="519" spans="1:94">
      <c r="A519" s="1882" t="s">
        <v>8391</v>
      </c>
      <c r="B519" s="1882" t="s">
        <v>11399</v>
      </c>
      <c r="C519" s="1882" t="s">
        <v>8352</v>
      </c>
      <c r="D519" s="1882" t="s">
        <v>1627</v>
      </c>
      <c r="E519" s="1882" t="s">
        <v>8720</v>
      </c>
      <c r="F519" s="1882" t="s">
        <v>11322</v>
      </c>
      <c r="G519" s="1882" t="s">
        <v>10647</v>
      </c>
      <c r="H519" s="1882" t="s">
        <v>11400</v>
      </c>
      <c r="I519" s="1882" t="s">
        <v>11401</v>
      </c>
      <c r="J519" s="1882" t="s">
        <v>8508</v>
      </c>
      <c r="K519" s="1882" t="s">
        <v>11293</v>
      </c>
      <c r="L519" s="1882"/>
      <c r="M519" s="1882" t="s">
        <v>2460</v>
      </c>
      <c r="N519" s="1882" t="s">
        <v>8666</v>
      </c>
      <c r="O519" s="1882" t="s">
        <v>764</v>
      </c>
      <c r="P519" s="1882" t="s">
        <v>11336</v>
      </c>
      <c r="Q519" s="520">
        <v>0</v>
      </c>
      <c r="R519" s="1882" t="s">
        <v>8549</v>
      </c>
      <c r="S519" s="1882"/>
      <c r="T519" s="1882"/>
      <c r="U519" s="1882"/>
      <c r="V519" s="1882"/>
      <c r="W519" s="1882"/>
      <c r="X519" s="1882">
        <v>11736</v>
      </c>
      <c r="Y519" s="1882"/>
      <c r="Z519" s="1882"/>
      <c r="AA519" s="1882"/>
      <c r="AB519" s="1882"/>
      <c r="AC519" s="1882"/>
      <c r="AD519" s="1882"/>
      <c r="AE519" s="1882"/>
      <c r="AF519" s="1882" t="s">
        <v>2459</v>
      </c>
      <c r="AG519" s="1882"/>
      <c r="AH519" s="1882">
        <v>0</v>
      </c>
      <c r="AI519" s="1882"/>
      <c r="AJ519" s="1882"/>
      <c r="AK519" s="1882"/>
      <c r="AL519" s="1882"/>
      <c r="AM519" s="1882" t="s">
        <v>2459</v>
      </c>
      <c r="AN519" s="1882"/>
      <c r="AO519" s="1882"/>
      <c r="AP519" s="1882"/>
      <c r="AQ519" s="1882"/>
      <c r="AR519" s="1882">
        <v>10998</v>
      </c>
      <c r="AS519" s="1882"/>
      <c r="AT519" s="1882"/>
      <c r="AU519" s="1882"/>
      <c r="AV519" s="1882"/>
      <c r="AW519" s="1882">
        <v>11501</v>
      </c>
      <c r="AX519" s="1882"/>
      <c r="AY519" s="1882"/>
      <c r="AZ519" s="1882"/>
      <c r="BA519" s="1882"/>
      <c r="BB519" s="1882">
        <v>11971</v>
      </c>
      <c r="BC519" s="1882"/>
      <c r="BD519" s="1882"/>
      <c r="BE519" s="1882"/>
      <c r="BF519" s="1882"/>
      <c r="BG519" s="1882">
        <v>12049</v>
      </c>
      <c r="BH519" s="1882">
        <v>2.0263E-2</v>
      </c>
      <c r="BI519" s="1882"/>
      <c r="BJ519" s="1882"/>
      <c r="BK519" s="1882"/>
      <c r="BL519" s="1882">
        <v>1.3171E-2</v>
      </c>
      <c r="BM519" s="1882"/>
      <c r="BN519" s="1882">
        <v>1</v>
      </c>
      <c r="BO519" s="1882" t="s">
        <v>8512</v>
      </c>
      <c r="BP519" s="520">
        <v>11466</v>
      </c>
      <c r="BQ519" s="693">
        <v>11466</v>
      </c>
      <c r="BR519" s="1882" t="s">
        <v>8513</v>
      </c>
      <c r="BS519" s="1882" t="s">
        <v>8513</v>
      </c>
      <c r="BT519" s="1882">
        <v>0</v>
      </c>
      <c r="BU519" s="1882" t="s">
        <v>8513</v>
      </c>
      <c r="BV519" s="1882">
        <v>0</v>
      </c>
      <c r="BW519" s="1882">
        <v>11492</v>
      </c>
      <c r="BX519" s="1882" t="s">
        <v>2451</v>
      </c>
      <c r="BY519" s="1882">
        <v>0</v>
      </c>
      <c r="BZ519" s="1882">
        <v>0</v>
      </c>
      <c r="CA519" s="1882">
        <v>0</v>
      </c>
      <c r="CB519" s="1882">
        <v>0</v>
      </c>
      <c r="CC519" s="1882">
        <v>11479</v>
      </c>
      <c r="CD519" s="1882" t="s">
        <v>2451</v>
      </c>
      <c r="CE519" s="1882">
        <v>0</v>
      </c>
      <c r="CF519" s="1882">
        <v>0</v>
      </c>
      <c r="CG519" s="1882">
        <v>0</v>
      </c>
      <c r="CH519" s="1882">
        <v>0</v>
      </c>
      <c r="CI519" s="1882">
        <v>11524</v>
      </c>
      <c r="CJ519" s="1882" t="s">
        <v>2451</v>
      </c>
      <c r="CK519" s="1882">
        <v>0</v>
      </c>
      <c r="CL519" s="1882">
        <v>0</v>
      </c>
      <c r="CM519" s="1882">
        <v>0</v>
      </c>
      <c r="CN519" s="1882">
        <v>0</v>
      </c>
      <c r="CP519" s="1882" t="s">
        <v>11402</v>
      </c>
    </row>
    <row r="520" spans="1:94">
      <c r="A520" s="1882" t="s">
        <v>8391</v>
      </c>
      <c r="B520" s="1882" t="s">
        <v>11403</v>
      </c>
      <c r="C520" s="1882" t="s">
        <v>8352</v>
      </c>
      <c r="D520" s="1882" t="s">
        <v>1627</v>
      </c>
      <c r="E520" s="1882" t="s">
        <v>8720</v>
      </c>
      <c r="F520" s="1882" t="s">
        <v>11347</v>
      </c>
      <c r="G520" s="1882" t="s">
        <v>10680</v>
      </c>
      <c r="H520" s="1882" t="s">
        <v>11404</v>
      </c>
      <c r="I520" s="1882" t="s">
        <v>11405</v>
      </c>
      <c r="J520" s="1882" t="s">
        <v>8539</v>
      </c>
      <c r="K520" s="1882"/>
      <c r="L520" s="1882"/>
      <c r="M520" s="1882"/>
      <c r="N520" s="1882" t="s">
        <v>8681</v>
      </c>
      <c r="O520" s="1882" t="s">
        <v>732</v>
      </c>
      <c r="P520" s="1882" t="s">
        <v>11350</v>
      </c>
      <c r="Q520" s="520">
        <v>0</v>
      </c>
      <c r="R520" s="1882" t="s">
        <v>8549</v>
      </c>
      <c r="S520" s="1882">
        <v>8</v>
      </c>
      <c r="T520" s="1882">
        <v>12</v>
      </c>
      <c r="U520" s="1882">
        <v>12</v>
      </c>
      <c r="V520" s="1882">
        <v>12</v>
      </c>
      <c r="W520" s="1882">
        <v>12</v>
      </c>
      <c r="X520" s="1882">
        <v>12</v>
      </c>
      <c r="Y520" s="1882"/>
      <c r="Z520" s="1882"/>
      <c r="AA520" s="1882"/>
      <c r="AB520" s="1882"/>
      <c r="AC520" s="1882"/>
      <c r="AD520" s="1882"/>
      <c r="AE520" s="1882"/>
      <c r="AF520" s="1882"/>
      <c r="AG520" s="1882"/>
      <c r="AH520" s="1882">
        <v>0</v>
      </c>
      <c r="AI520" s="1882"/>
      <c r="AJ520" s="1882"/>
      <c r="AK520" s="1882"/>
      <c r="AL520" s="1882"/>
      <c r="AM520" s="1882"/>
      <c r="AN520" s="1882"/>
      <c r="AO520" s="1882"/>
      <c r="AP520" s="1882"/>
      <c r="AQ520" s="1882"/>
      <c r="AR520" s="1882"/>
      <c r="AS520" s="1882"/>
      <c r="AT520" s="1882"/>
      <c r="AU520" s="1882"/>
      <c r="AV520" s="1882"/>
      <c r="AW520" s="1882"/>
      <c r="AX520" s="1882"/>
      <c r="AY520" s="1882"/>
      <c r="AZ520" s="1882"/>
      <c r="BA520" s="1882"/>
      <c r="BB520" s="1882"/>
      <c r="BC520" s="1882"/>
      <c r="BD520" s="1882"/>
      <c r="BE520" s="1882"/>
      <c r="BF520" s="1882"/>
      <c r="BG520" s="1882"/>
      <c r="BH520" s="1882"/>
      <c r="BI520" s="1882"/>
      <c r="BJ520" s="1882"/>
      <c r="BK520" s="1882"/>
      <c r="BL520" s="1882"/>
      <c r="BM520" s="1882"/>
      <c r="BN520" s="1882"/>
      <c r="BO520" s="1882"/>
      <c r="BP520" s="520">
        <v>12.26</v>
      </c>
      <c r="BQ520" s="693">
        <v>11.257999999999999</v>
      </c>
      <c r="BR520" s="1882" t="s">
        <v>2460</v>
      </c>
      <c r="BS520" s="1882" t="s">
        <v>8513</v>
      </c>
      <c r="BT520" s="1882">
        <v>0</v>
      </c>
      <c r="BU520" s="1882" t="s">
        <v>8513</v>
      </c>
      <c r="BV520" s="1882">
        <v>0</v>
      </c>
      <c r="BW520" s="1882">
        <v>10</v>
      </c>
      <c r="BX520" s="1882" t="s">
        <v>2460</v>
      </c>
      <c r="BY520" s="1882">
        <v>0</v>
      </c>
      <c r="BZ520" s="1882">
        <v>0</v>
      </c>
      <c r="CA520" s="1882">
        <v>0</v>
      </c>
      <c r="CB520" s="1882">
        <v>0</v>
      </c>
      <c r="CC520" s="1882">
        <v>11.44</v>
      </c>
      <c r="CD520" s="1882" t="s">
        <v>2460</v>
      </c>
      <c r="CE520" s="1882">
        <v>0</v>
      </c>
      <c r="CF520" s="1882">
        <v>0</v>
      </c>
      <c r="CG520" s="1882">
        <v>0</v>
      </c>
      <c r="CH520" s="1882">
        <v>0</v>
      </c>
      <c r="CI520" s="1882">
        <v>11</v>
      </c>
      <c r="CJ520" s="1882" t="s">
        <v>2460</v>
      </c>
      <c r="CK520" s="1882">
        <v>0</v>
      </c>
      <c r="CL520" s="1882">
        <v>0</v>
      </c>
      <c r="CM520" s="1882">
        <v>0</v>
      </c>
      <c r="CN520" s="1882">
        <v>0</v>
      </c>
      <c r="CP520" s="1882" t="s">
        <v>11406</v>
      </c>
    </row>
    <row r="521" spans="1:94">
      <c r="A521" s="1882" t="s">
        <v>8391</v>
      </c>
      <c r="B521" s="1882" t="s">
        <v>11407</v>
      </c>
      <c r="C521" s="1882" t="s">
        <v>8352</v>
      </c>
      <c r="D521" s="1882" t="s">
        <v>1627</v>
      </c>
      <c r="E521" s="1882" t="s">
        <v>8720</v>
      </c>
      <c r="F521" s="1882" t="s">
        <v>11347</v>
      </c>
      <c r="G521" s="1882" t="s">
        <v>10685</v>
      </c>
      <c r="H521" s="1882" t="s">
        <v>11408</v>
      </c>
      <c r="I521" s="1882" t="s">
        <v>11409</v>
      </c>
      <c r="J521" s="1882" t="s">
        <v>8539</v>
      </c>
      <c r="K521" s="1882"/>
      <c r="L521" s="1882"/>
      <c r="M521" s="1882"/>
      <c r="N521" s="1882" t="s">
        <v>8931</v>
      </c>
      <c r="O521" s="1882" t="s">
        <v>732</v>
      </c>
      <c r="P521" s="1882" t="s">
        <v>11356</v>
      </c>
      <c r="Q521" s="520">
        <v>0</v>
      </c>
      <c r="R521" s="1882" t="s">
        <v>8549</v>
      </c>
      <c r="S521" s="1882">
        <v>93</v>
      </c>
      <c r="T521" s="1882">
        <v>94</v>
      </c>
      <c r="U521" s="1882">
        <v>94</v>
      </c>
      <c r="V521" s="1882">
        <v>95</v>
      </c>
      <c r="W521" s="1882">
        <v>95</v>
      </c>
      <c r="X521" s="1882">
        <v>95</v>
      </c>
      <c r="Y521" s="1882"/>
      <c r="Z521" s="1882"/>
      <c r="AA521" s="1882"/>
      <c r="AB521" s="1882"/>
      <c r="AC521" s="1882"/>
      <c r="AD521" s="1882"/>
      <c r="AE521" s="1882"/>
      <c r="AF521" s="1882"/>
      <c r="AG521" s="1882"/>
      <c r="AH521" s="1882">
        <v>0</v>
      </c>
      <c r="AI521" s="1882"/>
      <c r="AJ521" s="1882"/>
      <c r="AK521" s="1882"/>
      <c r="AL521" s="1882"/>
      <c r="AM521" s="1882"/>
      <c r="AN521" s="1882"/>
      <c r="AO521" s="1882"/>
      <c r="AP521" s="1882"/>
      <c r="AQ521" s="1882"/>
      <c r="AR521" s="1882"/>
      <c r="AS521" s="1882"/>
      <c r="AT521" s="1882"/>
      <c r="AU521" s="1882"/>
      <c r="AV521" s="1882"/>
      <c r="AW521" s="1882"/>
      <c r="AX521" s="1882"/>
      <c r="AY521" s="1882"/>
      <c r="AZ521" s="1882"/>
      <c r="BA521" s="1882"/>
      <c r="BB521" s="1882"/>
      <c r="BC521" s="1882"/>
      <c r="BD521" s="1882"/>
      <c r="BE521" s="1882"/>
      <c r="BF521" s="1882"/>
      <c r="BG521" s="1882"/>
      <c r="BH521" s="1882"/>
      <c r="BI521" s="1882"/>
      <c r="BJ521" s="1882"/>
      <c r="BK521" s="1882"/>
      <c r="BL521" s="1882"/>
      <c r="BM521" s="1882"/>
      <c r="BN521" s="1882"/>
      <c r="BO521" s="1882"/>
      <c r="BP521" s="520">
        <v>93.5</v>
      </c>
      <c r="BQ521" s="693">
        <v>98.91</v>
      </c>
      <c r="BR521" s="1882" t="s">
        <v>2459</v>
      </c>
      <c r="BS521" s="1882" t="s">
        <v>8513</v>
      </c>
      <c r="BT521" s="1882">
        <v>0</v>
      </c>
      <c r="BU521" s="1882" t="s">
        <v>8513</v>
      </c>
      <c r="BV521" s="1882">
        <v>0</v>
      </c>
      <c r="BW521" s="1882">
        <v>99</v>
      </c>
      <c r="BX521" s="1882" t="s">
        <v>2459</v>
      </c>
      <c r="BY521" s="1882">
        <v>0</v>
      </c>
      <c r="BZ521" s="1882">
        <v>0</v>
      </c>
      <c r="CA521" s="1882">
        <v>0</v>
      </c>
      <c r="CB521" s="1882">
        <v>0</v>
      </c>
      <c r="CC521" s="1882">
        <v>99</v>
      </c>
      <c r="CD521" s="1882" t="s">
        <v>2459</v>
      </c>
      <c r="CE521" s="1882">
        <v>0</v>
      </c>
      <c r="CF521" s="1882">
        <v>0</v>
      </c>
      <c r="CG521" s="1882">
        <v>0</v>
      </c>
      <c r="CH521" s="1882">
        <v>0</v>
      </c>
      <c r="CI521" s="1882">
        <v>100</v>
      </c>
      <c r="CJ521" s="1882" t="s">
        <v>2459</v>
      </c>
      <c r="CK521" s="1882">
        <v>0</v>
      </c>
      <c r="CL521" s="1882">
        <v>0</v>
      </c>
      <c r="CM521" s="1882">
        <v>0</v>
      </c>
      <c r="CN521" s="1882">
        <v>0</v>
      </c>
      <c r="CP521" s="1882" t="s">
        <v>11410</v>
      </c>
    </row>
    <row r="522" spans="1:94">
      <c r="A522" s="1882" t="s">
        <v>8391</v>
      </c>
      <c r="B522" s="1882" t="s">
        <v>11411</v>
      </c>
      <c r="C522" s="1882" t="s">
        <v>8352</v>
      </c>
      <c r="D522" s="1882" t="s">
        <v>8584</v>
      </c>
      <c r="E522" s="1882" t="s">
        <v>8585</v>
      </c>
      <c r="F522" s="1882" t="s">
        <v>11412</v>
      </c>
      <c r="G522" s="1882" t="s">
        <v>10778</v>
      </c>
      <c r="H522" s="1882" t="s">
        <v>11413</v>
      </c>
      <c r="I522" s="1882" t="s">
        <v>11414</v>
      </c>
      <c r="J522" s="1882" t="s">
        <v>8508</v>
      </c>
      <c r="K522" s="1882" t="s">
        <v>8509</v>
      </c>
      <c r="L522" s="1882"/>
      <c r="M522" s="1882" t="s">
        <v>2460</v>
      </c>
      <c r="N522" s="1882" t="s">
        <v>8590</v>
      </c>
      <c r="O522" s="1882" t="s">
        <v>8591</v>
      </c>
      <c r="P522" s="1882" t="s">
        <v>8592</v>
      </c>
      <c r="Q522" s="520">
        <v>1</v>
      </c>
      <c r="R522" s="1882" t="s">
        <v>8549</v>
      </c>
      <c r="S522" s="1882">
        <v>82</v>
      </c>
      <c r="T522" s="1882" t="s">
        <v>11415</v>
      </c>
      <c r="U522" s="1882" t="s">
        <v>11416</v>
      </c>
      <c r="V522" s="1882" t="s">
        <v>11417</v>
      </c>
      <c r="W522" s="1882" t="s">
        <v>11418</v>
      </c>
      <c r="X522" s="1882" t="s">
        <v>11419</v>
      </c>
      <c r="Y522" s="1882"/>
      <c r="Z522" s="1882"/>
      <c r="AA522" s="1882"/>
      <c r="AB522" s="1882"/>
      <c r="AC522" s="1882"/>
      <c r="AD522" s="1882"/>
      <c r="AE522" s="1882"/>
      <c r="AF522" s="1882"/>
      <c r="AG522" s="1882"/>
      <c r="AH522" s="1882">
        <v>0</v>
      </c>
      <c r="AI522" s="1882" t="s">
        <v>2459</v>
      </c>
      <c r="AJ522" s="1882" t="s">
        <v>2459</v>
      </c>
      <c r="AK522" s="1882" t="s">
        <v>2459</v>
      </c>
      <c r="AL522" s="1882" t="s">
        <v>2459</v>
      </c>
      <c r="AM522" s="1882" t="s">
        <v>2459</v>
      </c>
      <c r="AN522" s="1882" t="s">
        <v>8593</v>
      </c>
      <c r="AO522" s="1882" t="s">
        <v>8593</v>
      </c>
      <c r="AP522" s="1882" t="s">
        <v>8593</v>
      </c>
      <c r="AQ522" s="1882" t="s">
        <v>8593</v>
      </c>
      <c r="AR522" s="1882" t="s">
        <v>8593</v>
      </c>
      <c r="AS522" s="1882" t="s">
        <v>8593</v>
      </c>
      <c r="AT522" s="1882" t="s">
        <v>8593</v>
      </c>
      <c r="AU522" s="1882" t="s">
        <v>8593</v>
      </c>
      <c r="AV522" s="1882" t="s">
        <v>8593</v>
      </c>
      <c r="AW522" s="1882" t="s">
        <v>8593</v>
      </c>
      <c r="AX522" s="1882" t="s">
        <v>8593</v>
      </c>
      <c r="AY522" s="1882" t="s">
        <v>8593</v>
      </c>
      <c r="AZ522" s="1882" t="s">
        <v>8593</v>
      </c>
      <c r="BA522" s="1882" t="s">
        <v>8593</v>
      </c>
      <c r="BB522" s="1882" t="s">
        <v>8593</v>
      </c>
      <c r="BC522" s="1882" t="s">
        <v>8593</v>
      </c>
      <c r="BD522" s="1882" t="s">
        <v>8593</v>
      </c>
      <c r="BE522" s="1882" t="s">
        <v>8593</v>
      </c>
      <c r="BF522" s="1882" t="s">
        <v>8593</v>
      </c>
      <c r="BG522" s="1882" t="s">
        <v>8593</v>
      </c>
      <c r="BH522" s="1882" t="s">
        <v>8593</v>
      </c>
      <c r="BI522" s="1882"/>
      <c r="BJ522" s="1882"/>
      <c r="BK522" s="1882"/>
      <c r="BL522" s="1882" t="s">
        <v>8593</v>
      </c>
      <c r="BM522" s="1882"/>
      <c r="BN522" s="1882">
        <v>1</v>
      </c>
      <c r="BO522" s="1882" t="s">
        <v>8512</v>
      </c>
      <c r="BP522" s="520">
        <v>82</v>
      </c>
      <c r="BQ522" s="692">
        <v>82.6</v>
      </c>
      <c r="BR522" s="1882" t="s">
        <v>2459</v>
      </c>
      <c r="BS522" s="1882" t="s">
        <v>8513</v>
      </c>
      <c r="BT522" s="1882">
        <v>0</v>
      </c>
      <c r="BU522" s="1882" t="s">
        <v>8513</v>
      </c>
      <c r="BV522" s="1882">
        <v>0</v>
      </c>
      <c r="BW522" s="1882">
        <v>83.4</v>
      </c>
      <c r="BX522" s="1882" t="s">
        <v>2459</v>
      </c>
      <c r="BY522" s="1882">
        <v>0</v>
      </c>
      <c r="BZ522" s="1882">
        <v>0</v>
      </c>
      <c r="CA522" s="1882">
        <v>0</v>
      </c>
      <c r="CB522" s="1882">
        <v>0</v>
      </c>
      <c r="CC522" s="1882">
        <v>84.27</v>
      </c>
      <c r="CD522" s="1882" t="s">
        <v>2459</v>
      </c>
      <c r="CE522" s="1882">
        <v>0</v>
      </c>
      <c r="CF522" s="1882">
        <v>0</v>
      </c>
      <c r="CG522" s="1882">
        <v>0</v>
      </c>
      <c r="CH522" s="1882">
        <v>0</v>
      </c>
      <c r="CI522" s="1882">
        <v>84</v>
      </c>
      <c r="CJ522" s="1882" t="s">
        <v>2460</v>
      </c>
      <c r="CK522" s="1882">
        <v>0</v>
      </c>
      <c r="CL522" s="1882">
        <v>0</v>
      </c>
      <c r="CM522" s="1882">
        <v>0</v>
      </c>
      <c r="CN522" s="1882">
        <v>0</v>
      </c>
      <c r="CP522" s="1882" t="s">
        <v>11420</v>
      </c>
    </row>
    <row r="523" spans="1:94">
      <c r="A523" s="1882" t="s">
        <v>8391</v>
      </c>
      <c r="B523" s="1882" t="s">
        <v>11421</v>
      </c>
      <c r="C523" s="1882" t="s">
        <v>8352</v>
      </c>
      <c r="D523" s="1882" t="s">
        <v>8584</v>
      </c>
      <c r="E523" s="1882" t="s">
        <v>8585</v>
      </c>
      <c r="F523" s="1882" t="s">
        <v>11412</v>
      </c>
      <c r="G523" s="1882" t="s">
        <v>10783</v>
      </c>
      <c r="H523" s="1882" t="s">
        <v>11422</v>
      </c>
      <c r="I523" s="1882" t="s">
        <v>11423</v>
      </c>
      <c r="J523" s="1882" t="s">
        <v>8539</v>
      </c>
      <c r="K523" s="1882"/>
      <c r="L523" s="1882"/>
      <c r="M523" s="1882"/>
      <c r="N523" s="1882" t="s">
        <v>8695</v>
      </c>
      <c r="O523" s="1882" t="s">
        <v>764</v>
      </c>
      <c r="P523" s="1882" t="s">
        <v>11424</v>
      </c>
      <c r="Q523" s="520">
        <v>0</v>
      </c>
      <c r="R523" s="1882" t="s">
        <v>8511</v>
      </c>
      <c r="S523" s="1882">
        <v>15267</v>
      </c>
      <c r="T523" s="1882"/>
      <c r="U523" s="1882"/>
      <c r="V523" s="1882"/>
      <c r="W523" s="1882"/>
      <c r="X523" s="1882" t="s">
        <v>11425</v>
      </c>
      <c r="Y523" s="1882"/>
      <c r="Z523" s="1882"/>
      <c r="AA523" s="1882"/>
      <c r="AB523" s="1882"/>
      <c r="AC523" s="1882"/>
      <c r="AD523" s="1882"/>
      <c r="AE523" s="1882"/>
      <c r="AF523" s="1882"/>
      <c r="AG523" s="1882"/>
      <c r="AH523" s="1882">
        <v>0</v>
      </c>
      <c r="AI523" s="1882"/>
      <c r="AJ523" s="1882"/>
      <c r="AK523" s="1882"/>
      <c r="AL523" s="1882"/>
      <c r="AM523" s="1882"/>
      <c r="AN523" s="1882"/>
      <c r="AO523" s="1882"/>
      <c r="AP523" s="1882"/>
      <c r="AQ523" s="1882"/>
      <c r="AR523" s="1882"/>
      <c r="AS523" s="1882"/>
      <c r="AT523" s="1882"/>
      <c r="AU523" s="1882"/>
      <c r="AV523" s="1882"/>
      <c r="AW523" s="1882"/>
      <c r="AX523" s="1882"/>
      <c r="AY523" s="1882"/>
      <c r="AZ523" s="1882"/>
      <c r="BA523" s="1882"/>
      <c r="BB523" s="1882"/>
      <c r="BC523" s="1882"/>
      <c r="BD523" s="1882"/>
      <c r="BE523" s="1882"/>
      <c r="BF523" s="1882"/>
      <c r="BG523" s="1882"/>
      <c r="BH523" s="1882"/>
      <c r="BI523" s="1882"/>
      <c r="BJ523" s="1882"/>
      <c r="BK523" s="1882"/>
      <c r="BL523" s="1882"/>
      <c r="BM523" s="1882"/>
      <c r="BN523" s="1882"/>
      <c r="BO523" s="1882"/>
      <c r="BP523" s="520">
        <v>10610</v>
      </c>
      <c r="BQ523" s="710">
        <v>10567</v>
      </c>
      <c r="BR523" s="1882" t="s">
        <v>8513</v>
      </c>
      <c r="BS523" s="1882" t="s">
        <v>8513</v>
      </c>
      <c r="BT523" s="1882">
        <v>0</v>
      </c>
      <c r="BU523" s="1882" t="s">
        <v>8513</v>
      </c>
      <c r="BV523" s="1882">
        <v>0</v>
      </c>
      <c r="BW523" s="1882">
        <v>10356</v>
      </c>
      <c r="BX523" s="1882" t="s">
        <v>2451</v>
      </c>
      <c r="BY523" s="1882">
        <v>0</v>
      </c>
      <c r="BZ523" s="1882">
        <v>0</v>
      </c>
      <c r="CA523" s="1882">
        <v>0</v>
      </c>
      <c r="CB523" s="1882">
        <v>0</v>
      </c>
      <c r="CC523" s="1882">
        <v>12203</v>
      </c>
      <c r="CD523" s="1882" t="s">
        <v>2451</v>
      </c>
      <c r="CE523" s="1882">
        <v>0</v>
      </c>
      <c r="CF523" s="1882">
        <v>0</v>
      </c>
      <c r="CG523" s="1882">
        <v>0</v>
      </c>
      <c r="CH523" s="1882">
        <v>0</v>
      </c>
      <c r="CI523" s="1882">
        <v>14221</v>
      </c>
      <c r="CJ523" s="1882" t="s">
        <v>2459</v>
      </c>
      <c r="CK523" s="1882">
        <v>0</v>
      </c>
      <c r="CL523" s="1882">
        <v>0</v>
      </c>
      <c r="CM523" s="1882">
        <v>0</v>
      </c>
      <c r="CN523" s="1882">
        <v>0</v>
      </c>
      <c r="CP523" s="1882" t="s">
        <v>11426</v>
      </c>
    </row>
    <row r="524" spans="1:94" ht="57.5">
      <c r="A524" s="1882" t="s">
        <v>8391</v>
      </c>
      <c r="B524" s="1882" t="s">
        <v>11427</v>
      </c>
      <c r="C524" s="1882" t="s">
        <v>8352</v>
      </c>
      <c r="D524" s="1882" t="s">
        <v>8584</v>
      </c>
      <c r="E524" s="1882" t="s">
        <v>8585</v>
      </c>
      <c r="F524" s="1882" t="s">
        <v>11412</v>
      </c>
      <c r="G524" s="1882" t="s">
        <v>10788</v>
      </c>
      <c r="H524" s="1882" t="s">
        <v>11428</v>
      </c>
      <c r="I524" s="1882" t="s">
        <v>11429</v>
      </c>
      <c r="J524" s="1882" t="s">
        <v>8539</v>
      </c>
      <c r="K524" s="1882"/>
      <c r="L524" s="1882"/>
      <c r="M524" s="1882"/>
      <c r="N524" s="1882" t="s">
        <v>8695</v>
      </c>
      <c r="O524" s="1882" t="s">
        <v>732</v>
      </c>
      <c r="P524" s="1882" t="s">
        <v>11430</v>
      </c>
      <c r="Q524" s="520">
        <v>0</v>
      </c>
      <c r="R524" s="1882" t="s">
        <v>8549</v>
      </c>
      <c r="S524" s="1882"/>
      <c r="T524" s="1882"/>
      <c r="U524" s="1882"/>
      <c r="V524" s="1882"/>
      <c r="W524" s="1882"/>
      <c r="X524" s="1882" t="s">
        <v>11431</v>
      </c>
      <c r="Y524" s="1882"/>
      <c r="Z524" s="1882"/>
      <c r="AA524" s="1882"/>
      <c r="AB524" s="1882"/>
      <c r="AC524" s="1882"/>
      <c r="AD524" s="1882"/>
      <c r="AE524" s="1882"/>
      <c r="AF524" s="1882"/>
      <c r="AG524" s="1882"/>
      <c r="AH524" s="1882">
        <v>0</v>
      </c>
      <c r="AI524" s="1882"/>
      <c r="AJ524" s="1882"/>
      <c r="AK524" s="1882"/>
      <c r="AL524" s="1882"/>
      <c r="AM524" s="1882"/>
      <c r="AN524" s="1882"/>
      <c r="AO524" s="1882"/>
      <c r="AP524" s="1882"/>
      <c r="AQ524" s="1882"/>
      <c r="AR524" s="1882"/>
      <c r="AS524" s="1882"/>
      <c r="AT524" s="1882"/>
      <c r="AU524" s="1882"/>
      <c r="AV524" s="1882"/>
      <c r="AW524" s="1882"/>
      <c r="AX524" s="1882"/>
      <c r="AY524" s="1882"/>
      <c r="AZ524" s="1882"/>
      <c r="BA524" s="1882"/>
      <c r="BB524" s="1882"/>
      <c r="BC524" s="1882"/>
      <c r="BD524" s="1882"/>
      <c r="BE524" s="1882"/>
      <c r="BF524" s="1882"/>
      <c r="BG524" s="1882"/>
      <c r="BH524" s="1882"/>
      <c r="BI524" s="1882"/>
      <c r="BJ524" s="1882"/>
      <c r="BK524" s="1882"/>
      <c r="BL524" s="1882"/>
      <c r="BM524" s="1882"/>
      <c r="BN524" s="1882"/>
      <c r="BO524" s="1882"/>
      <c r="BP524" s="520" t="s">
        <v>11432</v>
      </c>
      <c r="BQ524" s="706" t="s">
        <v>11433</v>
      </c>
      <c r="BR524" s="1882" t="s">
        <v>8513</v>
      </c>
      <c r="BS524" s="1882" t="s">
        <v>8513</v>
      </c>
      <c r="BT524" s="1882">
        <v>0</v>
      </c>
      <c r="BU524" s="1882" t="s">
        <v>8513</v>
      </c>
      <c r="BV524" s="1882">
        <v>0</v>
      </c>
      <c r="BW524" s="1882" t="s">
        <v>11434</v>
      </c>
      <c r="BX524" s="1882" t="s">
        <v>2451</v>
      </c>
      <c r="BY524" s="1882">
        <v>0</v>
      </c>
      <c r="BZ524" s="1882">
        <v>0</v>
      </c>
      <c r="CA524" s="1882">
        <v>0</v>
      </c>
      <c r="CB524" s="1882">
        <v>0</v>
      </c>
      <c r="CC524" s="1882" t="s">
        <v>11432</v>
      </c>
      <c r="CD524" s="1882" t="s">
        <v>2451</v>
      </c>
      <c r="CE524" s="1882">
        <v>0</v>
      </c>
      <c r="CF524" s="1882">
        <v>0</v>
      </c>
      <c r="CG524" s="1882">
        <v>0</v>
      </c>
      <c r="CH524" s="1882">
        <v>0</v>
      </c>
      <c r="CI524" s="1882" t="s">
        <v>11435</v>
      </c>
      <c r="CJ524" s="1882" t="s">
        <v>2459</v>
      </c>
      <c r="CK524" s="1882">
        <v>0</v>
      </c>
      <c r="CL524" s="1882">
        <v>0</v>
      </c>
      <c r="CM524" s="1882">
        <v>0</v>
      </c>
      <c r="CN524" s="1882">
        <v>0</v>
      </c>
      <c r="CP524" s="1882" t="s">
        <v>11436</v>
      </c>
    </row>
    <row r="525" spans="1:94">
      <c r="A525" s="1882" t="s">
        <v>8391</v>
      </c>
      <c r="B525" s="1882" t="s">
        <v>11437</v>
      </c>
      <c r="C525" s="1882" t="s">
        <v>8352</v>
      </c>
      <c r="D525" s="1882" t="s">
        <v>8584</v>
      </c>
      <c r="E525" s="1882" t="s">
        <v>8585</v>
      </c>
      <c r="F525" s="1882" t="s">
        <v>11438</v>
      </c>
      <c r="G525" s="1882" t="s">
        <v>10810</v>
      </c>
      <c r="H525" s="1882" t="s">
        <v>11439</v>
      </c>
      <c r="I525" s="1882" t="s">
        <v>11440</v>
      </c>
      <c r="J525" s="1882" t="s">
        <v>8539</v>
      </c>
      <c r="K525" s="1882"/>
      <c r="L525" s="1882"/>
      <c r="M525" s="1882"/>
      <c r="N525" s="1882" t="s">
        <v>8599</v>
      </c>
      <c r="O525" s="1882" t="s">
        <v>732</v>
      </c>
      <c r="P525" s="1882" t="s">
        <v>11441</v>
      </c>
      <c r="Q525" s="520">
        <v>2</v>
      </c>
      <c r="R525" s="1882" t="s">
        <v>8511</v>
      </c>
      <c r="S525" s="1882">
        <v>3.1</v>
      </c>
      <c r="T525" s="1882">
        <v>3.16</v>
      </c>
      <c r="U525" s="1882">
        <v>3.16</v>
      </c>
      <c r="V525" s="1882">
        <v>3.16</v>
      </c>
      <c r="W525" s="1882">
        <v>3.16</v>
      </c>
      <c r="X525" s="1882">
        <v>3.16</v>
      </c>
      <c r="Y525" s="1882"/>
      <c r="Z525" s="1882"/>
      <c r="AA525" s="1882"/>
      <c r="AB525" s="1882"/>
      <c r="AC525" s="1882"/>
      <c r="AD525" s="1882"/>
      <c r="AE525" s="1882"/>
      <c r="AF525" s="1882"/>
      <c r="AG525" s="1882"/>
      <c r="AH525" s="1882">
        <v>0</v>
      </c>
      <c r="AI525" s="1882"/>
      <c r="AJ525" s="1882"/>
      <c r="AK525" s="1882"/>
      <c r="AL525" s="1882"/>
      <c r="AM525" s="1882"/>
      <c r="AN525" s="1882"/>
      <c r="AO525" s="1882"/>
      <c r="AP525" s="1882"/>
      <c r="AQ525" s="1882"/>
      <c r="AR525" s="1882"/>
      <c r="AS525" s="1882"/>
      <c r="AT525" s="1882"/>
      <c r="AU525" s="1882"/>
      <c r="AV525" s="1882"/>
      <c r="AW525" s="1882"/>
      <c r="AX525" s="1882"/>
      <c r="AY525" s="1882"/>
      <c r="AZ525" s="1882"/>
      <c r="BA525" s="1882"/>
      <c r="BB525" s="1882"/>
      <c r="BC525" s="1882"/>
      <c r="BD525" s="1882"/>
      <c r="BE525" s="1882"/>
      <c r="BF525" s="1882"/>
      <c r="BG525" s="1882"/>
      <c r="BH525" s="1882"/>
      <c r="BI525" s="1882"/>
      <c r="BJ525" s="1882"/>
      <c r="BK525" s="1882"/>
      <c r="BL525" s="1882"/>
      <c r="BM525" s="1882"/>
      <c r="BN525" s="1882"/>
      <c r="BO525" s="1882"/>
      <c r="BP525" s="520">
        <v>3.18</v>
      </c>
      <c r="BQ525" s="694">
        <v>3.05</v>
      </c>
      <c r="BR525" s="1882" t="s">
        <v>2459</v>
      </c>
      <c r="BS525" s="1882" t="s">
        <v>8513</v>
      </c>
      <c r="BT525" s="1882">
        <v>0</v>
      </c>
      <c r="BU525" s="1882" t="s">
        <v>8513</v>
      </c>
      <c r="BV525" s="1882">
        <v>0</v>
      </c>
      <c r="BW525" s="1882">
        <v>2.94</v>
      </c>
      <c r="BX525" s="1882" t="s">
        <v>2459</v>
      </c>
      <c r="BY525" s="1882">
        <v>0</v>
      </c>
      <c r="BZ525" s="1882">
        <v>0</v>
      </c>
      <c r="CA525" s="1882">
        <v>0</v>
      </c>
      <c r="CB525" s="1882">
        <v>0</v>
      </c>
      <c r="CC525" s="1882">
        <v>3.1</v>
      </c>
      <c r="CD525" s="1882" t="s">
        <v>2459</v>
      </c>
      <c r="CE525" s="1882">
        <v>0</v>
      </c>
      <c r="CF525" s="1882">
        <v>0</v>
      </c>
      <c r="CG525" s="1882">
        <v>0</v>
      </c>
      <c r="CH525" s="1882">
        <v>0</v>
      </c>
      <c r="CI525" s="1882">
        <v>3.02</v>
      </c>
      <c r="CJ525" s="1882" t="s">
        <v>2459</v>
      </c>
      <c r="CK525" s="1882">
        <v>0</v>
      </c>
      <c r="CL525" s="1882">
        <v>0</v>
      </c>
      <c r="CM525" s="1882">
        <v>0</v>
      </c>
      <c r="CN525" s="1882">
        <v>0</v>
      </c>
      <c r="CP525" s="1882" t="s">
        <v>11442</v>
      </c>
    </row>
    <row r="526" spans="1:94">
      <c r="A526" s="1882" t="s">
        <v>8391</v>
      </c>
      <c r="B526" s="1882" t="s">
        <v>11443</v>
      </c>
      <c r="C526" s="1882" t="s">
        <v>8352</v>
      </c>
      <c r="D526" s="1882" t="s">
        <v>8584</v>
      </c>
      <c r="E526" s="1882" t="s">
        <v>8585</v>
      </c>
      <c r="F526" s="1882" t="s">
        <v>11438</v>
      </c>
      <c r="G526" s="1882" t="s">
        <v>11444</v>
      </c>
      <c r="H526" s="1882" t="s">
        <v>11445</v>
      </c>
      <c r="I526" s="1882" t="s">
        <v>11446</v>
      </c>
      <c r="J526" s="1882" t="s">
        <v>8539</v>
      </c>
      <c r="K526" s="1882"/>
      <c r="L526" s="1882"/>
      <c r="M526" s="1882"/>
      <c r="N526" s="1882" t="s">
        <v>8599</v>
      </c>
      <c r="O526" s="1882" t="s">
        <v>764</v>
      </c>
      <c r="P526" s="1882" t="s">
        <v>11447</v>
      </c>
      <c r="Q526" s="520">
        <v>0</v>
      </c>
      <c r="R526" s="1882"/>
      <c r="S526" s="1882"/>
      <c r="T526" s="1882" t="s">
        <v>11448</v>
      </c>
      <c r="U526" s="1882" t="s">
        <v>11448</v>
      </c>
      <c r="V526" s="1882" t="s">
        <v>11448</v>
      </c>
      <c r="W526" s="1882" t="s">
        <v>11448</v>
      </c>
      <c r="X526" s="1882" t="s">
        <v>11449</v>
      </c>
      <c r="Y526" s="1882"/>
      <c r="Z526" s="1882"/>
      <c r="AA526" s="1882"/>
      <c r="AB526" s="1882"/>
      <c r="AC526" s="1882"/>
      <c r="AD526" s="1882"/>
      <c r="AE526" s="1882"/>
      <c r="AF526" s="1882"/>
      <c r="AG526" s="1882"/>
      <c r="AH526" s="1882">
        <v>0</v>
      </c>
      <c r="AI526" s="1882"/>
      <c r="AJ526" s="1882"/>
      <c r="AK526" s="1882"/>
      <c r="AL526" s="1882"/>
      <c r="AM526" s="1882"/>
      <c r="AN526" s="1882"/>
      <c r="AO526" s="1882"/>
      <c r="AP526" s="1882"/>
      <c r="AQ526" s="1882"/>
      <c r="AR526" s="1882"/>
      <c r="AS526" s="1882"/>
      <c r="AT526" s="1882"/>
      <c r="AU526" s="1882"/>
      <c r="AV526" s="1882"/>
      <c r="AW526" s="1882"/>
      <c r="AX526" s="1882"/>
      <c r="AY526" s="1882"/>
      <c r="AZ526" s="1882"/>
      <c r="BA526" s="1882"/>
      <c r="BB526" s="1882"/>
      <c r="BC526" s="1882"/>
      <c r="BD526" s="1882"/>
      <c r="BE526" s="1882"/>
      <c r="BF526" s="1882"/>
      <c r="BG526" s="1882"/>
      <c r="BH526" s="1882"/>
      <c r="BI526" s="1882"/>
      <c r="BJ526" s="1882"/>
      <c r="BK526" s="1882"/>
      <c r="BL526" s="1882"/>
      <c r="BM526" s="1882"/>
      <c r="BN526" s="1882"/>
      <c r="BO526" s="1882"/>
      <c r="BP526" s="520" t="s">
        <v>3514</v>
      </c>
      <c r="BQ526" s="706">
        <v>22735</v>
      </c>
      <c r="BR526" s="1882" t="s">
        <v>8513</v>
      </c>
      <c r="BS526" s="1882" t="s">
        <v>8513</v>
      </c>
      <c r="BT526" s="1882">
        <v>0</v>
      </c>
      <c r="BU526" s="1882" t="s">
        <v>8513</v>
      </c>
      <c r="BV526" s="1882">
        <v>0</v>
      </c>
      <c r="BW526" s="1882">
        <v>26902</v>
      </c>
      <c r="BX526" s="1882" t="s">
        <v>2451</v>
      </c>
      <c r="BY526" s="1882">
        <v>0</v>
      </c>
      <c r="BZ526" s="1882">
        <v>0</v>
      </c>
      <c r="CA526" s="1882">
        <v>0</v>
      </c>
      <c r="CB526" s="1882">
        <v>0</v>
      </c>
      <c r="CC526" s="1882">
        <v>28853</v>
      </c>
      <c r="CD526" s="1882" t="s">
        <v>2451</v>
      </c>
      <c r="CE526" s="1882">
        <v>0</v>
      </c>
      <c r="CF526" s="1882">
        <v>0</v>
      </c>
      <c r="CG526" s="1882">
        <v>0</v>
      </c>
      <c r="CH526" s="1882">
        <v>0</v>
      </c>
      <c r="CI526" s="1882">
        <v>31606</v>
      </c>
      <c r="CJ526" s="1882" t="s">
        <v>2459</v>
      </c>
      <c r="CK526" s="1882">
        <v>0</v>
      </c>
      <c r="CL526" s="1882">
        <v>0</v>
      </c>
      <c r="CM526" s="1882">
        <v>0</v>
      </c>
      <c r="CN526" s="1882">
        <v>0</v>
      </c>
      <c r="CP526" s="1882" t="s">
        <v>11450</v>
      </c>
    </row>
    <row r="527" spans="1:94" ht="57.5">
      <c r="A527" s="1882" t="s">
        <v>8391</v>
      </c>
      <c r="B527" s="1882" t="s">
        <v>11451</v>
      </c>
      <c r="C527" s="1882" t="s">
        <v>8352</v>
      </c>
      <c r="D527" s="1882" t="s">
        <v>8584</v>
      </c>
      <c r="E527" s="1882" t="s">
        <v>8585</v>
      </c>
      <c r="F527" s="1882" t="s">
        <v>11438</v>
      </c>
      <c r="G527" s="1882" t="s">
        <v>11452</v>
      </c>
      <c r="H527" s="1882" t="s">
        <v>11453</v>
      </c>
      <c r="I527" s="1882" t="s">
        <v>11454</v>
      </c>
      <c r="J527" s="1882" t="s">
        <v>8539</v>
      </c>
      <c r="K527" s="1882"/>
      <c r="L527" s="1882"/>
      <c r="M527" s="1882"/>
      <c r="N527" s="1882" t="s">
        <v>8599</v>
      </c>
      <c r="O527" s="1882" t="s">
        <v>732</v>
      </c>
      <c r="P527" s="1882" t="s">
        <v>11455</v>
      </c>
      <c r="Q527" s="520">
        <v>0</v>
      </c>
      <c r="R527" s="1882" t="s">
        <v>8549</v>
      </c>
      <c r="S527" s="1882"/>
      <c r="T527" s="1882"/>
      <c r="U527" s="1882"/>
      <c r="V527" s="1882"/>
      <c r="W527" s="1882"/>
      <c r="X527" s="1882" t="s">
        <v>11456</v>
      </c>
      <c r="Y527" s="1882"/>
      <c r="Z527" s="1882"/>
      <c r="AA527" s="1882"/>
      <c r="AB527" s="1882"/>
      <c r="AC527" s="1882"/>
      <c r="AD527" s="1882"/>
      <c r="AE527" s="1882"/>
      <c r="AF527" s="1882"/>
      <c r="AG527" s="1882"/>
      <c r="AH527" s="1882">
        <v>0</v>
      </c>
      <c r="AI527" s="1882"/>
      <c r="AJ527" s="1882"/>
      <c r="AK527" s="1882"/>
      <c r="AL527" s="1882"/>
      <c r="AM527" s="1882"/>
      <c r="AN527" s="1882"/>
      <c r="AO527" s="1882"/>
      <c r="AP527" s="1882"/>
      <c r="AQ527" s="1882"/>
      <c r="AR527" s="1882"/>
      <c r="AS527" s="1882"/>
      <c r="AT527" s="1882"/>
      <c r="AU527" s="1882"/>
      <c r="AV527" s="1882"/>
      <c r="AW527" s="1882"/>
      <c r="AX527" s="1882"/>
      <c r="AY527" s="1882"/>
      <c r="AZ527" s="1882"/>
      <c r="BA527" s="1882"/>
      <c r="BB527" s="1882"/>
      <c r="BC527" s="1882"/>
      <c r="BD527" s="1882"/>
      <c r="BE527" s="1882"/>
      <c r="BF527" s="1882"/>
      <c r="BG527" s="1882"/>
      <c r="BH527" s="1882"/>
      <c r="BI527" s="1882"/>
      <c r="BJ527" s="1882"/>
      <c r="BK527" s="1882"/>
      <c r="BL527" s="1882"/>
      <c r="BM527" s="1882"/>
      <c r="BN527" s="1882"/>
      <c r="BO527" s="1882"/>
      <c r="BP527" s="520" t="s">
        <v>11457</v>
      </c>
      <c r="BQ527" s="706" t="s">
        <v>11458</v>
      </c>
      <c r="BR527" s="1882" t="s">
        <v>8513</v>
      </c>
      <c r="BS527" s="1882" t="s">
        <v>8513</v>
      </c>
      <c r="BT527" s="1882">
        <v>0</v>
      </c>
      <c r="BU527" s="1882" t="s">
        <v>8513</v>
      </c>
      <c r="BV527" s="1882">
        <v>0</v>
      </c>
      <c r="BW527" s="1882" t="s">
        <v>11459</v>
      </c>
      <c r="BX527" s="1882" t="s">
        <v>2451</v>
      </c>
      <c r="BY527" s="1882">
        <v>0</v>
      </c>
      <c r="BZ527" s="1882">
        <v>0</v>
      </c>
      <c r="CA527" s="1882">
        <v>0</v>
      </c>
      <c r="CB527" s="1882">
        <v>0</v>
      </c>
      <c r="CC527" s="1882" t="s">
        <v>11460</v>
      </c>
      <c r="CD527" s="1882" t="s">
        <v>2451</v>
      </c>
      <c r="CE527" s="1882">
        <v>0</v>
      </c>
      <c r="CF527" s="1882">
        <v>0</v>
      </c>
      <c r="CG527" s="1882">
        <v>0</v>
      </c>
      <c r="CH527" s="1882">
        <v>0</v>
      </c>
      <c r="CI527" s="1882" t="s">
        <v>11461</v>
      </c>
      <c r="CJ527" s="1882" t="s">
        <v>2459</v>
      </c>
      <c r="CK527" s="1882">
        <v>0</v>
      </c>
      <c r="CL527" s="1882">
        <v>0</v>
      </c>
      <c r="CM527" s="1882">
        <v>0</v>
      </c>
      <c r="CN527" s="1882">
        <v>0</v>
      </c>
      <c r="CP527" s="1882" t="s">
        <v>11462</v>
      </c>
    </row>
    <row r="528" spans="1:94">
      <c r="A528" s="1882" t="s">
        <v>8391</v>
      </c>
      <c r="B528" s="1882" t="s">
        <v>11463</v>
      </c>
      <c r="C528" s="1882" t="s">
        <v>8352</v>
      </c>
      <c r="D528" s="1882" t="s">
        <v>8584</v>
      </c>
      <c r="E528" s="1882" t="s">
        <v>8585</v>
      </c>
      <c r="F528" s="1882" t="s">
        <v>11347</v>
      </c>
      <c r="G528" s="1882" t="s">
        <v>10822</v>
      </c>
      <c r="H528" s="1882" t="s">
        <v>11464</v>
      </c>
      <c r="I528" s="1882" t="s">
        <v>11465</v>
      </c>
      <c r="J528" s="1882" t="s">
        <v>8539</v>
      </c>
      <c r="K528" s="1882"/>
      <c r="L528" s="1882"/>
      <c r="M528" s="1882"/>
      <c r="N528" s="1882" t="s">
        <v>8681</v>
      </c>
      <c r="O528" s="1882" t="s">
        <v>732</v>
      </c>
      <c r="P528" s="1882" t="s">
        <v>11350</v>
      </c>
      <c r="Q528" s="520">
        <v>0</v>
      </c>
      <c r="R528" s="1882" t="s">
        <v>8549</v>
      </c>
      <c r="S528" s="1882">
        <v>8</v>
      </c>
      <c r="T528" s="1882">
        <v>12</v>
      </c>
      <c r="U528" s="1882">
        <v>12</v>
      </c>
      <c r="V528" s="1882">
        <v>12</v>
      </c>
      <c r="W528" s="1882">
        <v>12</v>
      </c>
      <c r="X528" s="1882">
        <v>12</v>
      </c>
      <c r="Y528" s="1882"/>
      <c r="Z528" s="1882"/>
      <c r="AA528" s="1882"/>
      <c r="AB528" s="1882"/>
      <c r="AC528" s="1882"/>
      <c r="AD528" s="1882"/>
      <c r="AE528" s="1882"/>
      <c r="AF528" s="1882"/>
      <c r="AG528" s="1882"/>
      <c r="AH528" s="1882">
        <v>0</v>
      </c>
      <c r="AI528" s="1882"/>
      <c r="AJ528" s="1882"/>
      <c r="AK528" s="1882"/>
      <c r="AL528" s="1882"/>
      <c r="AM528" s="1882"/>
      <c r="AN528" s="1882"/>
      <c r="AO528" s="1882"/>
      <c r="AP528" s="1882"/>
      <c r="AQ528" s="1882"/>
      <c r="AR528" s="1882"/>
      <c r="AS528" s="1882"/>
      <c r="AT528" s="1882"/>
      <c r="AU528" s="1882"/>
      <c r="AV528" s="1882"/>
      <c r="AW528" s="1882"/>
      <c r="AX528" s="1882"/>
      <c r="AY528" s="1882"/>
      <c r="AZ528" s="1882"/>
      <c r="BA528" s="1882"/>
      <c r="BB528" s="1882"/>
      <c r="BC528" s="1882"/>
      <c r="BD528" s="1882"/>
      <c r="BE528" s="1882"/>
      <c r="BF528" s="1882"/>
      <c r="BG528" s="1882"/>
      <c r="BH528" s="1882"/>
      <c r="BI528" s="1882"/>
      <c r="BJ528" s="1882"/>
      <c r="BK528" s="1882"/>
      <c r="BL528" s="1882"/>
      <c r="BM528" s="1882"/>
      <c r="BN528" s="1882"/>
      <c r="BO528" s="1882"/>
      <c r="BP528" s="520">
        <v>12.26</v>
      </c>
      <c r="BQ528" s="693">
        <v>11.257999999999999</v>
      </c>
      <c r="BR528" s="1882" t="s">
        <v>2460</v>
      </c>
      <c r="BS528" s="1882" t="s">
        <v>8513</v>
      </c>
      <c r="BT528" s="1882">
        <v>0</v>
      </c>
      <c r="BU528" s="1882" t="s">
        <v>8513</v>
      </c>
      <c r="BV528" s="1882">
        <v>0</v>
      </c>
      <c r="BW528" s="1882">
        <v>10</v>
      </c>
      <c r="BX528" s="1882" t="s">
        <v>2460</v>
      </c>
      <c r="BY528" s="1882">
        <v>0</v>
      </c>
      <c r="BZ528" s="1882">
        <v>0</v>
      </c>
      <c r="CA528" s="1882">
        <v>0</v>
      </c>
      <c r="CB528" s="1882">
        <v>0</v>
      </c>
      <c r="CC528" s="1882">
        <v>11.44</v>
      </c>
      <c r="CD528" s="1882" t="s">
        <v>2460</v>
      </c>
      <c r="CE528" s="1882">
        <v>0</v>
      </c>
      <c r="CF528" s="1882">
        <v>0</v>
      </c>
      <c r="CG528" s="1882">
        <v>0</v>
      </c>
      <c r="CH528" s="1882">
        <v>0</v>
      </c>
      <c r="CI528" s="1882">
        <v>11</v>
      </c>
      <c r="CJ528" s="1882" t="s">
        <v>2460</v>
      </c>
      <c r="CK528" s="1882">
        <v>0</v>
      </c>
      <c r="CL528" s="1882">
        <v>0</v>
      </c>
      <c r="CM528" s="1882">
        <v>0</v>
      </c>
      <c r="CN528" s="1882">
        <v>0</v>
      </c>
      <c r="CP528" s="1882" t="s">
        <v>11466</v>
      </c>
    </row>
    <row r="529" spans="1:94">
      <c r="A529" s="1882" t="s">
        <v>8391</v>
      </c>
      <c r="B529" s="1882" t="s">
        <v>11467</v>
      </c>
      <c r="C529" s="1882" t="s">
        <v>8352</v>
      </c>
      <c r="D529" s="1882" t="s">
        <v>8584</v>
      </c>
      <c r="E529" s="1882" t="s">
        <v>8585</v>
      </c>
      <c r="F529" s="1882" t="s">
        <v>11347</v>
      </c>
      <c r="G529" s="1882" t="s">
        <v>10828</v>
      </c>
      <c r="H529" s="1882" t="s">
        <v>11468</v>
      </c>
      <c r="I529" s="1882" t="s">
        <v>11469</v>
      </c>
      <c r="J529" s="1882" t="s">
        <v>8539</v>
      </c>
      <c r="K529" s="1882"/>
      <c r="L529" s="1882"/>
      <c r="M529" s="1882"/>
      <c r="N529" s="1882" t="s">
        <v>8931</v>
      </c>
      <c r="O529" s="1882" t="s">
        <v>732</v>
      </c>
      <c r="P529" s="1882" t="s">
        <v>11356</v>
      </c>
      <c r="Q529" s="520">
        <v>0</v>
      </c>
      <c r="R529" s="1882" t="s">
        <v>8549</v>
      </c>
      <c r="S529" s="1882">
        <v>93</v>
      </c>
      <c r="T529" s="1882">
        <v>94</v>
      </c>
      <c r="U529" s="1882">
        <v>94</v>
      </c>
      <c r="V529" s="1882">
        <v>95</v>
      </c>
      <c r="W529" s="1882">
        <v>95</v>
      </c>
      <c r="X529" s="1882">
        <v>95</v>
      </c>
      <c r="Y529" s="1882"/>
      <c r="Z529" s="1882"/>
      <c r="AA529" s="1882"/>
      <c r="AB529" s="1882"/>
      <c r="AC529" s="1882"/>
      <c r="AD529" s="1882"/>
      <c r="AE529" s="1882"/>
      <c r="AF529" s="1882"/>
      <c r="AG529" s="1882"/>
      <c r="AH529" s="1882">
        <v>0</v>
      </c>
      <c r="AI529" s="1882"/>
      <c r="AJ529" s="1882"/>
      <c r="AK529" s="1882"/>
      <c r="AL529" s="1882"/>
      <c r="AM529" s="1882"/>
      <c r="AN529" s="1882"/>
      <c r="AO529" s="1882"/>
      <c r="AP529" s="1882"/>
      <c r="AQ529" s="1882"/>
      <c r="AR529" s="1882"/>
      <c r="AS529" s="1882"/>
      <c r="AT529" s="1882"/>
      <c r="AU529" s="1882"/>
      <c r="AV529" s="1882"/>
      <c r="AW529" s="1882"/>
      <c r="AX529" s="1882"/>
      <c r="AY529" s="1882"/>
      <c r="AZ529" s="1882"/>
      <c r="BA529" s="1882"/>
      <c r="BB529" s="1882"/>
      <c r="BC529" s="1882"/>
      <c r="BD529" s="1882"/>
      <c r="BE529" s="1882"/>
      <c r="BF529" s="1882"/>
      <c r="BG529" s="1882"/>
      <c r="BH529" s="1882"/>
      <c r="BI529" s="1882"/>
      <c r="BJ529" s="1882"/>
      <c r="BK529" s="1882"/>
      <c r="BL529" s="1882"/>
      <c r="BM529" s="1882"/>
      <c r="BN529" s="1882"/>
      <c r="BO529" s="1882"/>
      <c r="BP529" s="520">
        <v>93.5</v>
      </c>
      <c r="BQ529" s="693">
        <v>98.91</v>
      </c>
      <c r="BR529" s="1882" t="s">
        <v>2459</v>
      </c>
      <c r="BS529" s="1882" t="s">
        <v>8513</v>
      </c>
      <c r="BT529" s="1882">
        <v>0</v>
      </c>
      <c r="BU529" s="1882" t="s">
        <v>8513</v>
      </c>
      <c r="BV529" s="1882">
        <v>0</v>
      </c>
      <c r="BW529" s="1882">
        <v>99</v>
      </c>
      <c r="BX529" s="1882" t="s">
        <v>2459</v>
      </c>
      <c r="BY529" s="1882">
        <v>0</v>
      </c>
      <c r="BZ529" s="1882">
        <v>0</v>
      </c>
      <c r="CA529" s="1882">
        <v>0</v>
      </c>
      <c r="CB529" s="1882">
        <v>0</v>
      </c>
      <c r="CC529" s="1882">
        <v>99</v>
      </c>
      <c r="CD529" s="1882" t="s">
        <v>2459</v>
      </c>
      <c r="CH529" s="1882"/>
      <c r="CI529" s="1882">
        <v>100</v>
      </c>
      <c r="CJ529" s="1882" t="s">
        <v>2459</v>
      </c>
      <c r="CK529" s="1882">
        <v>0</v>
      </c>
      <c r="CL529" s="1882">
        <v>0</v>
      </c>
      <c r="CM529" s="1882">
        <v>0</v>
      </c>
      <c r="CN529" s="1882">
        <v>0</v>
      </c>
      <c r="CP529" s="1882" t="s">
        <v>11470</v>
      </c>
    </row>
    <row r="530" spans="1:94">
      <c r="A530" s="1882" t="s">
        <v>8421</v>
      </c>
      <c r="B530" s="1882" t="s">
        <v>11471</v>
      </c>
      <c r="C530" s="1882" t="s">
        <v>8352</v>
      </c>
      <c r="D530" s="1882" t="s">
        <v>1626</v>
      </c>
      <c r="E530" s="1882" t="s">
        <v>8503</v>
      </c>
      <c r="F530" s="1882" t="s">
        <v>8980</v>
      </c>
      <c r="G530" s="1882" t="s">
        <v>7234</v>
      </c>
      <c r="H530" s="1882" t="s">
        <v>8981</v>
      </c>
      <c r="I530" s="1882" t="s">
        <v>8982</v>
      </c>
      <c r="J530" s="1882" t="s">
        <v>8508</v>
      </c>
      <c r="K530" s="1882" t="s">
        <v>8509</v>
      </c>
      <c r="L530" s="1882"/>
      <c r="M530" s="1882"/>
      <c r="N530" s="1882" t="s">
        <v>8463</v>
      </c>
      <c r="O530" s="1882" t="s">
        <v>764</v>
      </c>
      <c r="P530" s="1882" t="s">
        <v>8555</v>
      </c>
      <c r="Q530" s="520">
        <v>2</v>
      </c>
      <c r="R530" s="1882"/>
      <c r="S530" s="1882"/>
      <c r="T530" s="1882"/>
      <c r="U530" s="1882"/>
      <c r="V530" s="1882"/>
      <c r="W530" s="1882"/>
      <c r="X530" s="1882"/>
      <c r="Y530" s="1882"/>
      <c r="Z530" s="1882"/>
      <c r="AA530" s="1882"/>
      <c r="AB530" s="1882"/>
      <c r="AC530" s="1882"/>
      <c r="AD530" s="1882"/>
      <c r="AE530" s="1882"/>
      <c r="AF530" s="1882"/>
      <c r="AG530" s="1882"/>
      <c r="AH530" s="1882"/>
      <c r="AI530" s="1882"/>
      <c r="AJ530" s="1882"/>
      <c r="AK530" s="1882"/>
      <c r="AL530" s="1882"/>
      <c r="AM530" s="1882"/>
      <c r="AN530" s="1882"/>
      <c r="AO530" s="1882"/>
      <c r="AP530" s="1882"/>
      <c r="AQ530" s="1882"/>
      <c r="AR530" s="1882"/>
      <c r="AS530" s="1882"/>
      <c r="AT530" s="1882"/>
      <c r="AU530" s="1882"/>
      <c r="AV530" s="1882"/>
      <c r="AW530" s="1882"/>
      <c r="AX530" s="1882"/>
      <c r="AY530" s="1882"/>
      <c r="AZ530" s="1882"/>
      <c r="BA530" s="1882"/>
      <c r="BB530" s="1882"/>
      <c r="BC530" s="1882"/>
      <c r="BD530" s="1882"/>
      <c r="BE530" s="1882"/>
      <c r="BF530" s="1882"/>
      <c r="BG530" s="1882"/>
      <c r="BH530" s="1882"/>
      <c r="BI530" s="1882"/>
      <c r="BJ530" s="1882"/>
      <c r="BK530" s="1882"/>
      <c r="BL530" s="1882"/>
      <c r="BM530" s="1882"/>
      <c r="BN530" s="1882"/>
      <c r="BO530" s="1882"/>
      <c r="BQ530" s="1882"/>
      <c r="BR530" s="1882"/>
      <c r="BS530" s="1882"/>
      <c r="BT530" s="1882"/>
      <c r="BU530" s="1882"/>
      <c r="BV530" s="1882"/>
      <c r="BW530" s="1882"/>
      <c r="BX530" s="1882"/>
      <c r="BY530" s="1882"/>
      <c r="BZ530" s="1882"/>
      <c r="CA530" s="1882"/>
      <c r="CB530" s="1882"/>
      <c r="CC530" s="1882" t="s">
        <v>2451</v>
      </c>
      <c r="CH530" s="1882"/>
      <c r="CI530" s="1882">
        <v>1.02</v>
      </c>
      <c r="CJ530" s="1882" t="s">
        <v>2460</v>
      </c>
      <c r="CK530" s="1882">
        <v>0</v>
      </c>
      <c r="CL530" s="1882">
        <v>0</v>
      </c>
      <c r="CM530" s="1882" t="s">
        <v>8384</v>
      </c>
      <c r="CN530" s="1882">
        <v>-1.1000000000000001E-3</v>
      </c>
      <c r="CP530" s="1882" t="s">
        <v>11472</v>
      </c>
    </row>
    <row r="531" spans="1:94">
      <c r="A531" s="1882" t="s">
        <v>8421</v>
      </c>
      <c r="B531" s="1882" t="s">
        <v>11473</v>
      </c>
      <c r="C531" s="1882" t="s">
        <v>8352</v>
      </c>
      <c r="D531" s="1882" t="s">
        <v>1626</v>
      </c>
      <c r="E531" s="1882" t="s">
        <v>8503</v>
      </c>
      <c r="F531" s="1882" t="s">
        <v>8980</v>
      </c>
      <c r="G531" s="1882" t="s">
        <v>7235</v>
      </c>
      <c r="H531" s="1882" t="s">
        <v>8985</v>
      </c>
      <c r="I531" s="1882" t="s">
        <v>8986</v>
      </c>
      <c r="J531" s="1882" t="s">
        <v>8519</v>
      </c>
      <c r="K531" s="1882" t="s">
        <v>8509</v>
      </c>
      <c r="L531" s="1882"/>
      <c r="M531" s="1882"/>
      <c r="N531" s="1882" t="s">
        <v>8547</v>
      </c>
      <c r="O531" s="1882" t="s">
        <v>732</v>
      </c>
      <c r="P531" s="1882" t="s">
        <v>8548</v>
      </c>
      <c r="Q531" s="520">
        <v>2</v>
      </c>
      <c r="R531" s="1882"/>
      <c r="S531" s="1882"/>
      <c r="T531" s="1882"/>
      <c r="U531" s="1882"/>
      <c r="V531" s="1882"/>
      <c r="W531" s="1882"/>
      <c r="X531" s="1882"/>
      <c r="Y531" s="1882"/>
      <c r="Z531" s="1882"/>
      <c r="AA531" s="1882"/>
      <c r="AB531" s="1882"/>
      <c r="AC531" s="1882"/>
      <c r="AD531" s="1882"/>
      <c r="AE531" s="1882"/>
      <c r="AF531" s="1882"/>
      <c r="AG531" s="1882"/>
      <c r="AH531" s="1882"/>
      <c r="AI531" s="1882"/>
      <c r="AJ531" s="1882"/>
      <c r="AK531" s="1882"/>
      <c r="AL531" s="1882"/>
      <c r="AM531" s="1882"/>
      <c r="AN531" s="1882"/>
      <c r="AO531" s="1882"/>
      <c r="AP531" s="1882"/>
      <c r="AQ531" s="1882"/>
      <c r="AR531" s="1882"/>
      <c r="AS531" s="1882"/>
      <c r="AT531" s="1882"/>
      <c r="AU531" s="1882"/>
      <c r="AV531" s="1882"/>
      <c r="AW531" s="1882"/>
      <c r="AX531" s="1882"/>
      <c r="AY531" s="1882"/>
      <c r="AZ531" s="1882"/>
      <c r="BA531" s="1882"/>
      <c r="BB531" s="1882"/>
      <c r="BC531" s="1882"/>
      <c r="BD531" s="1882"/>
      <c r="BE531" s="1882"/>
      <c r="BF531" s="1882"/>
      <c r="BG531" s="1882"/>
      <c r="BH531" s="1882"/>
      <c r="BI531" s="1882"/>
      <c r="BJ531" s="1882"/>
      <c r="BK531" s="1882"/>
      <c r="BL531" s="1882"/>
      <c r="BM531" s="1882"/>
      <c r="BN531" s="1882"/>
      <c r="BO531" s="1882"/>
      <c r="BQ531" s="1882"/>
      <c r="BR531" s="1882"/>
      <c r="BS531" s="1882"/>
      <c r="BT531" s="1882"/>
      <c r="BU531" s="1882"/>
      <c r="BV531" s="1882"/>
      <c r="BW531" s="1882"/>
      <c r="BX531" s="1882"/>
      <c r="BY531" s="1882"/>
      <c r="BZ531" s="1882"/>
      <c r="CA531" s="1882"/>
      <c r="CB531" s="1882"/>
      <c r="CC531" s="1882" t="s">
        <v>2451</v>
      </c>
      <c r="CH531" s="1882"/>
      <c r="CI531" s="1882">
        <v>99.94</v>
      </c>
      <c r="CJ531" s="1882" t="s">
        <v>2460</v>
      </c>
      <c r="CK531" s="1882">
        <v>0</v>
      </c>
      <c r="CL531" s="1882">
        <v>0</v>
      </c>
      <c r="CM531" s="1882" t="s">
        <v>8384</v>
      </c>
      <c r="CN531" s="1882">
        <v>-2.8500000000000001E-2</v>
      </c>
      <c r="CP531" s="1882" t="s">
        <v>11474</v>
      </c>
    </row>
    <row r="532" spans="1:94">
      <c r="A532" s="1882" t="s">
        <v>8421</v>
      </c>
      <c r="B532" s="1882" t="s">
        <v>11475</v>
      </c>
      <c r="C532" s="1882" t="s">
        <v>8352</v>
      </c>
      <c r="D532" s="1882" t="s">
        <v>1626</v>
      </c>
      <c r="E532" s="1882" t="s">
        <v>8503</v>
      </c>
      <c r="F532" s="1882" t="s">
        <v>8980</v>
      </c>
      <c r="G532" s="1882" t="s">
        <v>8233</v>
      </c>
      <c r="H532" s="1882" t="s">
        <v>8989</v>
      </c>
      <c r="I532" s="1882" t="s">
        <v>8990</v>
      </c>
      <c r="J532" s="1882" t="s">
        <v>8519</v>
      </c>
      <c r="K532" s="1882" t="s">
        <v>8855</v>
      </c>
      <c r="L532" s="1882"/>
      <c r="M532" s="1882" t="s">
        <v>2460</v>
      </c>
      <c r="N532" s="1882" t="s">
        <v>8547</v>
      </c>
      <c r="O532" s="1882" t="s">
        <v>8797</v>
      </c>
      <c r="P532" s="1882" t="s">
        <v>8991</v>
      </c>
      <c r="Q532" s="520" t="s">
        <v>8512</v>
      </c>
      <c r="R532" s="1882"/>
      <c r="S532" s="1882"/>
      <c r="T532" s="1882"/>
      <c r="U532" s="1882"/>
      <c r="V532" s="1882"/>
      <c r="W532" s="1882"/>
      <c r="X532" s="1882"/>
      <c r="Y532" s="1882"/>
      <c r="Z532" s="1882"/>
      <c r="AA532" s="1882"/>
      <c r="AB532" s="1882"/>
      <c r="AC532" s="1882"/>
      <c r="AD532" s="1882"/>
      <c r="AE532" s="1882"/>
      <c r="AF532" s="1882"/>
      <c r="AG532" s="1882"/>
      <c r="AH532" s="1882"/>
      <c r="AI532" s="1882"/>
      <c r="AJ532" s="1882"/>
      <c r="AK532" s="1882"/>
      <c r="AL532" s="1882"/>
      <c r="AM532" s="1882"/>
      <c r="AN532" s="1882"/>
      <c r="AO532" s="1882"/>
      <c r="AP532" s="1882"/>
      <c r="AQ532" s="1882"/>
      <c r="AR532" s="1882"/>
      <c r="AS532" s="1882"/>
      <c r="AT532" s="1882"/>
      <c r="AU532" s="1882"/>
      <c r="AV532" s="1882"/>
      <c r="AW532" s="1882"/>
      <c r="AX532" s="1882"/>
      <c r="AY532" s="1882"/>
      <c r="AZ532" s="1882"/>
      <c r="BA532" s="1882"/>
      <c r="BB532" s="1882"/>
      <c r="BC532" s="1882"/>
      <c r="BD532" s="1882"/>
      <c r="BE532" s="1882"/>
      <c r="BF532" s="1882"/>
      <c r="BG532" s="1882"/>
      <c r="BH532" s="1882"/>
      <c r="BI532" s="1882"/>
      <c r="BJ532" s="1882"/>
      <c r="BK532" s="1882"/>
      <c r="BL532" s="1882"/>
      <c r="BM532" s="1882"/>
      <c r="BN532" s="1882"/>
      <c r="BO532" s="1882"/>
      <c r="BQ532" s="1882"/>
      <c r="BR532" s="1882"/>
      <c r="BS532" s="1882"/>
      <c r="BT532" s="1882"/>
      <c r="BU532" s="1882"/>
      <c r="BV532" s="1882"/>
      <c r="BW532" s="1882"/>
      <c r="BX532" s="1882"/>
      <c r="BY532" s="1882"/>
      <c r="BZ532" s="1882"/>
      <c r="CA532" s="1882"/>
      <c r="CB532" s="1882"/>
      <c r="CC532" s="1882" t="s">
        <v>2451</v>
      </c>
      <c r="CH532" s="1882"/>
      <c r="CI532" s="1882" t="s">
        <v>10106</v>
      </c>
      <c r="CJ532" s="1882" t="s">
        <v>2451</v>
      </c>
      <c r="CK532" s="1882">
        <v>0</v>
      </c>
      <c r="CL532" s="1882">
        <v>0</v>
      </c>
      <c r="CM532" s="1882">
        <v>0</v>
      </c>
      <c r="CN532" s="1882">
        <v>0</v>
      </c>
      <c r="CP532" s="1882" t="s">
        <v>11476</v>
      </c>
    </row>
    <row r="533" spans="1:94">
      <c r="A533" s="1882" t="s">
        <v>8421</v>
      </c>
      <c r="B533" s="1882" t="s">
        <v>11477</v>
      </c>
      <c r="C533" s="1882" t="s">
        <v>8352</v>
      </c>
      <c r="D533" s="1882" t="s">
        <v>1626</v>
      </c>
      <c r="E533" s="1882" t="s">
        <v>8503</v>
      </c>
      <c r="F533" s="1882" t="s">
        <v>8980</v>
      </c>
      <c r="G533" s="1882" t="s">
        <v>8236</v>
      </c>
      <c r="H533" s="1882" t="s">
        <v>8996</v>
      </c>
      <c r="I533" s="1882" t="s">
        <v>8997</v>
      </c>
      <c r="J533" s="1882" t="s">
        <v>8519</v>
      </c>
      <c r="K533" s="1882" t="s">
        <v>8855</v>
      </c>
      <c r="L533" s="1882"/>
      <c r="M533" s="1882" t="s">
        <v>2460</v>
      </c>
      <c r="N533" s="1882" t="s">
        <v>8547</v>
      </c>
      <c r="O533" s="1882" t="s">
        <v>8797</v>
      </c>
      <c r="P533" s="1882" t="s">
        <v>8998</v>
      </c>
      <c r="Q533" s="520" t="s">
        <v>8512</v>
      </c>
      <c r="R533" s="1882"/>
      <c r="S533" s="1882"/>
      <c r="T533" s="1882"/>
      <c r="U533" s="1882"/>
      <c r="V533" s="1882"/>
      <c r="W533" s="1882"/>
      <c r="X533" s="1882"/>
      <c r="Y533" s="1882"/>
      <c r="Z533" s="1882"/>
      <c r="AA533" s="1882"/>
      <c r="AB533" s="1882"/>
      <c r="AC533" s="1882"/>
      <c r="AD533" s="1882"/>
      <c r="AE533" s="1882"/>
      <c r="AF533" s="1882"/>
      <c r="AG533" s="1882"/>
      <c r="AH533" s="1882"/>
      <c r="AI533" s="1882"/>
      <c r="AJ533" s="1882"/>
      <c r="AK533" s="1882"/>
      <c r="AL533" s="1882"/>
      <c r="AM533" s="1882"/>
      <c r="AN533" s="1882"/>
      <c r="AO533" s="1882"/>
      <c r="AP533" s="1882"/>
      <c r="AQ533" s="1882"/>
      <c r="AR533" s="1882"/>
      <c r="AS533" s="1882"/>
      <c r="AT533" s="1882"/>
      <c r="AU533" s="1882"/>
      <c r="AV533" s="1882"/>
      <c r="AW533" s="1882"/>
      <c r="AX533" s="1882"/>
      <c r="AY533" s="1882"/>
      <c r="AZ533" s="1882"/>
      <c r="BA533" s="1882"/>
      <c r="BB533" s="1882"/>
      <c r="BC533" s="1882"/>
      <c r="BD533" s="1882"/>
      <c r="BE533" s="1882"/>
      <c r="BF533" s="1882"/>
      <c r="BG533" s="1882"/>
      <c r="BH533" s="1882"/>
      <c r="BI533" s="1882"/>
      <c r="BJ533" s="1882"/>
      <c r="BK533" s="1882"/>
      <c r="BL533" s="1882"/>
      <c r="BM533" s="1882"/>
      <c r="BN533" s="1882"/>
      <c r="BO533" s="1882"/>
      <c r="BQ533" s="1882"/>
      <c r="BR533" s="1882"/>
      <c r="BS533" s="1882"/>
      <c r="BT533" s="1882"/>
      <c r="BU533" s="1882"/>
      <c r="BV533" s="1882"/>
      <c r="BW533" s="1882"/>
      <c r="BX533" s="1882"/>
      <c r="BY533" s="1882"/>
      <c r="BZ533" s="1882"/>
      <c r="CA533" s="1882"/>
      <c r="CB533" s="1882"/>
      <c r="CC533" s="1882" t="s">
        <v>2451</v>
      </c>
      <c r="CH533" s="1882"/>
      <c r="CI533" s="1882" t="s">
        <v>8999</v>
      </c>
      <c r="CJ533" s="1882" t="s">
        <v>2459</v>
      </c>
      <c r="CK533" s="1882">
        <v>0</v>
      </c>
      <c r="CL533" s="1882">
        <v>0</v>
      </c>
      <c r="CM533" s="1882">
        <v>0</v>
      </c>
      <c r="CN533" s="1882">
        <v>0</v>
      </c>
      <c r="CP533" s="1882" t="s">
        <v>11478</v>
      </c>
    </row>
    <row r="534" spans="1:94">
      <c r="A534" s="1882" t="s">
        <v>8421</v>
      </c>
      <c r="B534" s="1882" t="s">
        <v>11479</v>
      </c>
      <c r="C534" s="1882" t="s">
        <v>8352</v>
      </c>
      <c r="D534" s="1882" t="s">
        <v>1626</v>
      </c>
      <c r="E534" s="1882" t="s">
        <v>8503</v>
      </c>
      <c r="F534" s="1882" t="s">
        <v>9003</v>
      </c>
      <c r="G534" s="1882" t="s">
        <v>7236</v>
      </c>
      <c r="H534" s="1882" t="s">
        <v>9004</v>
      </c>
      <c r="I534" s="1882" t="s">
        <v>9005</v>
      </c>
      <c r="J534" s="1882" t="s">
        <v>8508</v>
      </c>
      <c r="K534" s="1882" t="s">
        <v>8509</v>
      </c>
      <c r="L534" s="1882"/>
      <c r="M534" s="1882"/>
      <c r="N534" s="1882" t="s">
        <v>2450</v>
      </c>
      <c r="O534" s="1882" t="s">
        <v>8607</v>
      </c>
      <c r="P534" s="1882" t="s">
        <v>9006</v>
      </c>
      <c r="Q534" s="520">
        <v>2</v>
      </c>
      <c r="R534" s="1882"/>
      <c r="S534" s="1882"/>
      <c r="T534" s="1882"/>
      <c r="U534" s="1882"/>
      <c r="V534" s="1882"/>
      <c r="W534" s="1882"/>
      <c r="X534" s="1882"/>
      <c r="Y534" s="1882"/>
      <c r="Z534" s="1882"/>
      <c r="AA534" s="1882"/>
      <c r="AB534" s="1882"/>
      <c r="AC534" s="1882"/>
      <c r="AD534" s="1882"/>
      <c r="AE534" s="1882"/>
      <c r="AF534" s="1882"/>
      <c r="AG534" s="1882"/>
      <c r="AH534" s="1882"/>
      <c r="AI534" s="1882"/>
      <c r="AJ534" s="1882"/>
      <c r="AK534" s="1882"/>
      <c r="AL534" s="1882"/>
      <c r="AM534" s="1882"/>
      <c r="AN534" s="1882"/>
      <c r="AO534" s="1882"/>
      <c r="AP534" s="1882"/>
      <c r="AQ534" s="1882"/>
      <c r="AR534" s="1882"/>
      <c r="AS534" s="1882"/>
      <c r="AT534" s="1882"/>
      <c r="AU534" s="1882"/>
      <c r="AV534" s="1882"/>
      <c r="AW534" s="1882"/>
      <c r="AX534" s="1882"/>
      <c r="AY534" s="1882"/>
      <c r="AZ534" s="1882"/>
      <c r="BA534" s="1882"/>
      <c r="BB534" s="1882"/>
      <c r="BC534" s="1882"/>
      <c r="BD534" s="1882"/>
      <c r="BE534" s="1882"/>
      <c r="BF534" s="1882"/>
      <c r="BG534" s="1882"/>
      <c r="BH534" s="1882"/>
      <c r="BI534" s="1882"/>
      <c r="BJ534" s="1882"/>
      <c r="BK534" s="1882"/>
      <c r="BL534" s="1882"/>
      <c r="BM534" s="1882"/>
      <c r="BN534" s="1882"/>
      <c r="BO534" s="1882"/>
      <c r="BQ534" s="1882"/>
      <c r="BR534" s="1882"/>
      <c r="BS534" s="1882"/>
      <c r="BT534" s="1882"/>
      <c r="BU534" s="1882"/>
      <c r="BV534" s="1882"/>
      <c r="BW534" s="1882"/>
      <c r="BX534" s="1882"/>
      <c r="BY534" s="1882"/>
      <c r="BZ534" s="1882"/>
      <c r="CA534" s="1882"/>
      <c r="CB534" s="1882"/>
      <c r="CC534" s="1882" t="s">
        <v>2451</v>
      </c>
      <c r="CH534" s="1882"/>
      <c r="CI534" s="1882">
        <v>0.11799999999999999</v>
      </c>
      <c r="CJ534" s="1882" t="s">
        <v>2459</v>
      </c>
      <c r="CK534" s="1882">
        <v>0</v>
      </c>
      <c r="CL534" s="1882">
        <v>0</v>
      </c>
      <c r="CM534" s="1882" t="s">
        <v>8376</v>
      </c>
      <c r="CN534" s="1882">
        <v>8.8979999999999997E-3</v>
      </c>
      <c r="CP534" s="1882" t="s">
        <v>11480</v>
      </c>
    </row>
    <row r="535" spans="1:94">
      <c r="A535" s="1882" t="s">
        <v>8421</v>
      </c>
      <c r="B535" s="1882" t="s">
        <v>11481</v>
      </c>
      <c r="C535" s="1882" t="s">
        <v>8352</v>
      </c>
      <c r="D535" s="1882" t="s">
        <v>1626</v>
      </c>
      <c r="E535" s="1882" t="s">
        <v>8503</v>
      </c>
      <c r="F535" s="1882" t="s">
        <v>9003</v>
      </c>
      <c r="G535" s="1882" t="s">
        <v>7237</v>
      </c>
      <c r="H535" s="1882" t="s">
        <v>9010</v>
      </c>
      <c r="I535" s="1882" t="s">
        <v>9011</v>
      </c>
      <c r="J535" s="1882" t="s">
        <v>8508</v>
      </c>
      <c r="K535" s="1882" t="s">
        <v>8509</v>
      </c>
      <c r="L535" s="1882"/>
      <c r="M535" s="1882"/>
      <c r="N535" s="1882" t="s">
        <v>2444</v>
      </c>
      <c r="O535" s="1882" t="s">
        <v>764</v>
      </c>
      <c r="P535" s="1882" t="s">
        <v>9012</v>
      </c>
      <c r="Q535" s="520">
        <v>1</v>
      </c>
      <c r="R535" s="1882"/>
      <c r="S535" s="1882"/>
      <c r="T535" s="1882"/>
      <c r="U535" s="1882"/>
      <c r="V535" s="1882"/>
      <c r="W535" s="1882"/>
      <c r="X535" s="1882"/>
      <c r="Y535" s="1882"/>
      <c r="Z535" s="1882"/>
      <c r="AA535" s="1882"/>
      <c r="AB535" s="1882"/>
      <c r="AC535" s="1882"/>
      <c r="AD535" s="1882"/>
      <c r="AE535" s="1882"/>
      <c r="AF535" s="1882"/>
      <c r="AG535" s="1882"/>
      <c r="AH535" s="1882"/>
      <c r="AI535" s="1882"/>
      <c r="AJ535" s="1882"/>
      <c r="AK535" s="1882"/>
      <c r="AL535" s="1882"/>
      <c r="AM535" s="1882"/>
      <c r="AN535" s="1882"/>
      <c r="AO535" s="1882"/>
      <c r="AP535" s="1882"/>
      <c r="AQ535" s="1882"/>
      <c r="AR535" s="1882"/>
      <c r="AS535" s="1882"/>
      <c r="AT535" s="1882"/>
      <c r="AU535" s="1882"/>
      <c r="AV535" s="1882"/>
      <c r="AW535" s="1882"/>
      <c r="AX535" s="1882"/>
      <c r="AY535" s="1882"/>
      <c r="AZ535" s="1882"/>
      <c r="BA535" s="1882"/>
      <c r="BB535" s="1882"/>
      <c r="BC535" s="1882"/>
      <c r="BD535" s="1882"/>
      <c r="BE535" s="1882"/>
      <c r="BF535" s="1882"/>
      <c r="BG535" s="1882"/>
      <c r="BH535" s="1882"/>
      <c r="BI535" s="1882"/>
      <c r="BJ535" s="1882"/>
      <c r="BK535" s="1882"/>
      <c r="BL535" s="1882"/>
      <c r="BM535" s="1882"/>
      <c r="BN535" s="1882"/>
      <c r="BO535" s="1882"/>
      <c r="BQ535" s="1882"/>
      <c r="BR535" s="1882"/>
      <c r="BS535" s="1882"/>
      <c r="BT535" s="1882"/>
      <c r="BU535" s="1882"/>
      <c r="BV535" s="1882"/>
      <c r="BW535" s="1882"/>
      <c r="BX535" s="1882"/>
      <c r="BY535" s="1882"/>
      <c r="BZ535" s="1882"/>
      <c r="CA535" s="1882"/>
      <c r="CB535" s="1882"/>
      <c r="CC535" s="1882" t="s">
        <v>2451</v>
      </c>
      <c r="CH535" s="1882"/>
      <c r="CI535" s="1882">
        <v>107.79897272165408</v>
      </c>
      <c r="CJ535" s="1882" t="s">
        <v>2460</v>
      </c>
      <c r="CK535" s="1882">
        <v>0</v>
      </c>
      <c r="CL535" s="1882">
        <v>0</v>
      </c>
      <c r="CM535" s="1882" t="s">
        <v>8384</v>
      </c>
      <c r="CN535" s="1882">
        <v>-3.9699999999999999E-2</v>
      </c>
      <c r="CP535" s="1882" t="s">
        <v>11482</v>
      </c>
    </row>
    <row r="536" spans="1:94">
      <c r="A536" s="1882" t="s">
        <v>8421</v>
      </c>
      <c r="B536" s="1882" t="s">
        <v>11483</v>
      </c>
      <c r="C536" s="1882" t="s">
        <v>8352</v>
      </c>
      <c r="D536" s="1882" t="s">
        <v>1626</v>
      </c>
      <c r="E536" s="1882" t="s">
        <v>8503</v>
      </c>
      <c r="F536" s="1882" t="s">
        <v>9003</v>
      </c>
      <c r="G536" s="1882" t="s">
        <v>8250</v>
      </c>
      <c r="H536" s="1882" t="s">
        <v>9015</v>
      </c>
      <c r="I536" s="1882" t="s">
        <v>9016</v>
      </c>
      <c r="J536" s="1882" t="s">
        <v>8539</v>
      </c>
      <c r="K536" s="1882"/>
      <c r="L536" s="1882"/>
      <c r="M536" s="1882"/>
      <c r="N536" s="1882" t="s">
        <v>8527</v>
      </c>
      <c r="O536" s="1882" t="s">
        <v>8591</v>
      </c>
      <c r="P536" s="1882" t="s">
        <v>8643</v>
      </c>
      <c r="Q536" s="520">
        <v>0</v>
      </c>
      <c r="R536" s="1882"/>
      <c r="S536" s="1882"/>
      <c r="T536" s="1882"/>
      <c r="U536" s="1882"/>
      <c r="V536" s="1882"/>
      <c r="W536" s="1882"/>
      <c r="X536" s="1882"/>
      <c r="Y536" s="1882"/>
      <c r="Z536" s="1882"/>
      <c r="AA536" s="1882"/>
      <c r="AB536" s="1882"/>
      <c r="AC536" s="1882"/>
      <c r="AD536" s="1882"/>
      <c r="AE536" s="1882"/>
      <c r="AF536" s="1882"/>
      <c r="AG536" s="1882"/>
      <c r="AH536" s="1882"/>
      <c r="AI536" s="1882"/>
      <c r="AJ536" s="1882"/>
      <c r="AK536" s="1882"/>
      <c r="AL536" s="1882"/>
      <c r="AM536" s="1882"/>
      <c r="AN536" s="1882"/>
      <c r="AO536" s="1882"/>
      <c r="AP536" s="1882"/>
      <c r="AQ536" s="1882"/>
      <c r="AR536" s="1882"/>
      <c r="AS536" s="1882"/>
      <c r="AT536" s="1882"/>
      <c r="AU536" s="1882"/>
      <c r="AV536" s="1882"/>
      <c r="AW536" s="1882"/>
      <c r="AX536" s="1882"/>
      <c r="AY536" s="1882"/>
      <c r="AZ536" s="1882"/>
      <c r="BA536" s="1882"/>
      <c r="BB536" s="1882"/>
      <c r="BC536" s="1882"/>
      <c r="BD536" s="1882"/>
      <c r="BE536" s="1882"/>
      <c r="BF536" s="1882"/>
      <c r="BG536" s="1882"/>
      <c r="BH536" s="1882"/>
      <c r="BI536" s="1882"/>
      <c r="BJ536" s="1882"/>
      <c r="BK536" s="1882"/>
      <c r="BL536" s="1882"/>
      <c r="BM536" s="1882"/>
      <c r="BN536" s="1882"/>
      <c r="BO536" s="1882"/>
      <c r="BQ536" s="1882"/>
      <c r="BR536" s="1882"/>
      <c r="BS536" s="1882"/>
      <c r="BT536" s="1882"/>
      <c r="BU536" s="1882"/>
      <c r="BV536" s="1882"/>
      <c r="BW536" s="1882"/>
      <c r="BX536" s="1882"/>
      <c r="BY536" s="1882"/>
      <c r="BZ536" s="1882"/>
      <c r="CA536" s="1882"/>
      <c r="CB536" s="1882"/>
      <c r="CC536" s="1882" t="s">
        <v>2451</v>
      </c>
      <c r="CH536" s="1882"/>
      <c r="CI536" s="1882">
        <v>100</v>
      </c>
      <c r="CJ536" s="1882" t="s">
        <v>2459</v>
      </c>
      <c r="CK536" s="1882">
        <v>0</v>
      </c>
      <c r="CL536" s="1882">
        <v>0</v>
      </c>
      <c r="CM536" s="1882">
        <v>0</v>
      </c>
      <c r="CN536" s="1882">
        <v>0</v>
      </c>
      <c r="CP536" s="1882" t="s">
        <v>11484</v>
      </c>
    </row>
    <row r="537" spans="1:94">
      <c r="A537" s="1882" t="s">
        <v>8421</v>
      </c>
      <c r="B537" s="1882" t="s">
        <v>11485</v>
      </c>
      <c r="C537" s="1882" t="s">
        <v>8352</v>
      </c>
      <c r="D537" s="1882" t="s">
        <v>1626</v>
      </c>
      <c r="E537" s="1882" t="s">
        <v>8503</v>
      </c>
      <c r="F537" s="1882" t="s">
        <v>9003</v>
      </c>
      <c r="G537" s="1882" t="s">
        <v>9019</v>
      </c>
      <c r="H537" s="1882" t="s">
        <v>9020</v>
      </c>
      <c r="I537" s="1882" t="s">
        <v>9021</v>
      </c>
      <c r="J537" s="1882" t="s">
        <v>8508</v>
      </c>
      <c r="K537" s="1882" t="s">
        <v>8509</v>
      </c>
      <c r="L537" s="1882"/>
      <c r="M537" s="1882"/>
      <c r="N537" s="1882" t="s">
        <v>8569</v>
      </c>
      <c r="O537" s="1882" t="s">
        <v>764</v>
      </c>
      <c r="P537" s="1882" t="s">
        <v>8570</v>
      </c>
      <c r="Q537" s="520">
        <v>0</v>
      </c>
      <c r="R537" s="1882"/>
      <c r="S537" s="1882"/>
      <c r="T537" s="1882"/>
      <c r="U537" s="1882"/>
      <c r="V537" s="1882"/>
      <c r="W537" s="1882"/>
      <c r="X537" s="1882"/>
      <c r="Y537" s="1882"/>
      <c r="Z537" s="1882"/>
      <c r="AA537" s="1882"/>
      <c r="AB537" s="1882"/>
      <c r="AC537" s="1882"/>
      <c r="AD537" s="1882"/>
      <c r="AE537" s="1882"/>
      <c r="AF537" s="1882"/>
      <c r="AG537" s="1882"/>
      <c r="AH537" s="1882"/>
      <c r="AI537" s="1882"/>
      <c r="AJ537" s="1882"/>
      <c r="AK537" s="1882"/>
      <c r="AL537" s="1882"/>
      <c r="AM537" s="1882"/>
      <c r="AN537" s="1882"/>
      <c r="AO537" s="1882"/>
      <c r="AP537" s="1882"/>
      <c r="AQ537" s="1882"/>
      <c r="AR537" s="1882"/>
      <c r="AS537" s="1882"/>
      <c r="AT537" s="1882"/>
      <c r="AU537" s="1882"/>
      <c r="AV537" s="1882"/>
      <c r="AW537" s="1882"/>
      <c r="AX537" s="1882"/>
      <c r="AY537" s="1882"/>
      <c r="AZ537" s="1882"/>
      <c r="BA537" s="1882"/>
      <c r="BB537" s="1882"/>
      <c r="BC537" s="1882"/>
      <c r="BD537" s="1882"/>
      <c r="BE537" s="1882"/>
      <c r="BF537" s="1882"/>
      <c r="BG537" s="1882"/>
      <c r="BH537" s="1882"/>
      <c r="BI537" s="1882"/>
      <c r="BJ537" s="1882"/>
      <c r="BK537" s="1882"/>
      <c r="BL537" s="1882"/>
      <c r="BM537" s="1882"/>
      <c r="BN537" s="1882"/>
      <c r="BO537" s="1882"/>
      <c r="BQ537" s="1882"/>
      <c r="BR537" s="1882"/>
      <c r="BS537" s="1882"/>
      <c r="BT537" s="1882"/>
      <c r="BU537" s="1882"/>
      <c r="BV537" s="1882"/>
      <c r="BW537" s="1882"/>
      <c r="BX537" s="1882"/>
      <c r="BY537" s="1882"/>
      <c r="BZ537" s="1882"/>
      <c r="CA537" s="1882"/>
      <c r="CB537" s="1882"/>
      <c r="CC537" s="1882" t="s">
        <v>2451</v>
      </c>
      <c r="CH537" s="1882"/>
      <c r="CI537" s="1882">
        <v>185</v>
      </c>
      <c r="CJ537" s="1882" t="s">
        <v>2460</v>
      </c>
      <c r="CK537" s="1882">
        <v>0</v>
      </c>
      <c r="CL537" s="1882">
        <v>0</v>
      </c>
      <c r="CM537" s="1882" t="s">
        <v>8388</v>
      </c>
      <c r="CN537" s="1882">
        <v>0</v>
      </c>
      <c r="CP537" s="1882" t="s">
        <v>11486</v>
      </c>
    </row>
    <row r="538" spans="1:94">
      <c r="A538" s="1882" t="s">
        <v>8421</v>
      </c>
      <c r="B538" s="1882" t="s">
        <v>11487</v>
      </c>
      <c r="C538" s="1882" t="s">
        <v>8352</v>
      </c>
      <c r="D538" s="1882" t="s">
        <v>1626</v>
      </c>
      <c r="E538" s="1882" t="s">
        <v>8503</v>
      </c>
      <c r="F538" s="1882" t="s">
        <v>9024</v>
      </c>
      <c r="G538" s="1882" t="s">
        <v>8254</v>
      </c>
      <c r="H538" s="1882" t="s">
        <v>9025</v>
      </c>
      <c r="I538" s="1882" t="s">
        <v>9026</v>
      </c>
      <c r="J538" s="1882" t="s">
        <v>8539</v>
      </c>
      <c r="K538" s="1882"/>
      <c r="L538" s="1882"/>
      <c r="M538" s="1882"/>
      <c r="N538" s="1882" t="s">
        <v>8681</v>
      </c>
      <c r="O538" s="1882" t="s">
        <v>764</v>
      </c>
      <c r="P538" s="1882" t="s">
        <v>9027</v>
      </c>
      <c r="Q538" s="520">
        <v>0</v>
      </c>
      <c r="R538" s="1882"/>
      <c r="S538" s="1882"/>
      <c r="T538" s="1882"/>
      <c r="U538" s="1882"/>
      <c r="V538" s="1882"/>
      <c r="W538" s="1882"/>
      <c r="X538" s="1882"/>
      <c r="Y538" s="1882"/>
      <c r="Z538" s="1882"/>
      <c r="AA538" s="1882"/>
      <c r="AB538" s="1882"/>
      <c r="AC538" s="1882"/>
      <c r="AD538" s="1882"/>
      <c r="AE538" s="1882"/>
      <c r="AF538" s="1882"/>
      <c r="AG538" s="1882"/>
      <c r="AH538" s="1882"/>
      <c r="AI538" s="1882"/>
      <c r="AJ538" s="1882"/>
      <c r="AK538" s="1882"/>
      <c r="AL538" s="1882"/>
      <c r="AM538" s="1882"/>
      <c r="AN538" s="1882"/>
      <c r="AO538" s="1882"/>
      <c r="AP538" s="1882"/>
      <c r="AQ538" s="1882"/>
      <c r="AR538" s="1882"/>
      <c r="AS538" s="1882"/>
      <c r="AT538" s="1882"/>
      <c r="AU538" s="1882"/>
      <c r="AV538" s="1882"/>
      <c r="AW538" s="1882"/>
      <c r="AX538" s="1882"/>
      <c r="AY538" s="1882"/>
      <c r="AZ538" s="1882"/>
      <c r="BA538" s="1882"/>
      <c r="BB538" s="1882"/>
      <c r="BC538" s="1882"/>
      <c r="BD538" s="1882"/>
      <c r="BE538" s="1882"/>
      <c r="BF538" s="1882"/>
      <c r="BG538" s="1882"/>
      <c r="BH538" s="1882"/>
      <c r="BI538" s="1882"/>
      <c r="BJ538" s="1882"/>
      <c r="BK538" s="1882"/>
      <c r="BL538" s="1882"/>
      <c r="BM538" s="1882"/>
      <c r="BN538" s="1882"/>
      <c r="BO538" s="1882"/>
      <c r="BQ538" s="1882"/>
      <c r="BR538" s="1882"/>
      <c r="BS538" s="1882"/>
      <c r="BT538" s="1882"/>
      <c r="BU538" s="1882"/>
      <c r="BV538" s="1882"/>
      <c r="BW538" s="1882"/>
      <c r="BX538" s="1882"/>
      <c r="BY538" s="1882"/>
      <c r="BZ538" s="1882"/>
      <c r="CA538" s="1882"/>
      <c r="CB538" s="1882"/>
      <c r="CC538" s="1882" t="s">
        <v>2451</v>
      </c>
      <c r="CH538" s="1882"/>
      <c r="CI538" s="1882">
        <v>4986.6100000000006</v>
      </c>
      <c r="CJ538" s="1882" t="s">
        <v>2459</v>
      </c>
      <c r="CK538" s="1882">
        <v>0</v>
      </c>
      <c r="CL538" s="1882">
        <v>0</v>
      </c>
      <c r="CM538" s="1882">
        <v>0</v>
      </c>
      <c r="CN538" s="1882">
        <v>0</v>
      </c>
      <c r="CP538" s="1882" t="s">
        <v>11488</v>
      </c>
    </row>
    <row r="539" spans="1:94">
      <c r="A539" s="1882" t="s">
        <v>8421</v>
      </c>
      <c r="B539" s="1882" t="s">
        <v>11489</v>
      </c>
      <c r="C539" s="1882" t="s">
        <v>8352</v>
      </c>
      <c r="D539" s="1882" t="s">
        <v>1626</v>
      </c>
      <c r="E539" s="1882" t="s">
        <v>8503</v>
      </c>
      <c r="F539" s="1882" t="s">
        <v>9030</v>
      </c>
      <c r="G539" s="1882" t="s">
        <v>8261</v>
      </c>
      <c r="H539" s="1882" t="s">
        <v>9031</v>
      </c>
      <c r="I539" s="1882" t="s">
        <v>9032</v>
      </c>
      <c r="J539" s="1882" t="s">
        <v>8539</v>
      </c>
      <c r="K539" s="1882"/>
      <c r="L539" s="1882"/>
      <c r="M539" s="1882"/>
      <c r="N539" s="1882" t="s">
        <v>8695</v>
      </c>
      <c r="O539" s="1882" t="s">
        <v>732</v>
      </c>
      <c r="P539" s="1882" t="s">
        <v>8696</v>
      </c>
      <c r="Q539" s="520" t="s">
        <v>8512</v>
      </c>
      <c r="R539" s="1882"/>
      <c r="S539" s="1882"/>
      <c r="T539" s="1882"/>
      <c r="U539" s="1882"/>
      <c r="V539" s="1882"/>
      <c r="W539" s="1882"/>
      <c r="X539" s="1882"/>
      <c r="Y539" s="1882"/>
      <c r="Z539" s="1882"/>
      <c r="AA539" s="1882"/>
      <c r="AB539" s="1882"/>
      <c r="AC539" s="1882"/>
      <c r="AD539" s="1882"/>
      <c r="AE539" s="1882"/>
      <c r="AF539" s="1882"/>
      <c r="AG539" s="1882"/>
      <c r="AH539" s="1882"/>
      <c r="AI539" s="1882"/>
      <c r="AJ539" s="1882"/>
      <c r="AK539" s="1882"/>
      <c r="AL539" s="1882"/>
      <c r="AM539" s="1882"/>
      <c r="AN539" s="1882"/>
      <c r="AO539" s="1882"/>
      <c r="AP539" s="1882"/>
      <c r="AQ539" s="1882"/>
      <c r="AR539" s="1882"/>
      <c r="AS539" s="1882"/>
      <c r="AT539" s="1882"/>
      <c r="AU539" s="1882"/>
      <c r="AV539" s="1882"/>
      <c r="AW539" s="1882"/>
      <c r="AX539" s="1882"/>
      <c r="AY539" s="1882"/>
      <c r="AZ539" s="1882"/>
      <c r="BA539" s="1882"/>
      <c r="BB539" s="1882"/>
      <c r="BC539" s="1882"/>
      <c r="BD539" s="1882"/>
      <c r="BE539" s="1882"/>
      <c r="BF539" s="1882"/>
      <c r="BG539" s="1882"/>
      <c r="BH539" s="1882"/>
      <c r="BI539" s="1882"/>
      <c r="BJ539" s="1882"/>
      <c r="BK539" s="1882"/>
      <c r="BL539" s="1882"/>
      <c r="BM539" s="1882"/>
      <c r="BN539" s="1882"/>
      <c r="BO539" s="1882"/>
      <c r="BQ539" s="1882"/>
      <c r="BR539" s="1882"/>
      <c r="BS539" s="1882"/>
      <c r="BT539" s="1882"/>
      <c r="BU539" s="1882"/>
      <c r="BV539" s="1882"/>
      <c r="BW539" s="1882"/>
      <c r="BX539" s="1882"/>
      <c r="BY539" s="1882"/>
      <c r="BZ539" s="1882"/>
      <c r="CA539" s="1882"/>
      <c r="CB539" s="1882"/>
      <c r="CC539" s="1882" t="s">
        <v>2451</v>
      </c>
      <c r="CH539" s="1882"/>
      <c r="CI539" s="1882">
        <v>70</v>
      </c>
      <c r="CJ539" s="1882" t="s">
        <v>2460</v>
      </c>
      <c r="CK539" s="1882">
        <v>0</v>
      </c>
      <c r="CL539" s="1882">
        <v>0</v>
      </c>
      <c r="CM539" s="1882">
        <v>0</v>
      </c>
      <c r="CN539" s="1882">
        <v>0</v>
      </c>
      <c r="CP539" s="1882" t="s">
        <v>11490</v>
      </c>
    </row>
    <row r="540" spans="1:94">
      <c r="A540" s="1882" t="s">
        <v>8421</v>
      </c>
      <c r="B540" s="1882" t="s">
        <v>11491</v>
      </c>
      <c r="C540" s="1882" t="s">
        <v>8352</v>
      </c>
      <c r="D540" s="1882" t="s">
        <v>9036</v>
      </c>
      <c r="E540" s="1882" t="s">
        <v>9037</v>
      </c>
      <c r="F540" s="1882" t="s">
        <v>9038</v>
      </c>
      <c r="G540" s="1882" t="s">
        <v>8293</v>
      </c>
      <c r="H540" s="1882" t="s">
        <v>9039</v>
      </c>
      <c r="I540" s="1882" t="s">
        <v>9040</v>
      </c>
      <c r="J540" s="1882" t="s">
        <v>8508</v>
      </c>
      <c r="K540" s="1882" t="s">
        <v>8509</v>
      </c>
      <c r="L540" s="1882"/>
      <c r="M540" s="1882" t="s">
        <v>2460</v>
      </c>
      <c r="N540" s="1882" t="s">
        <v>8590</v>
      </c>
      <c r="O540" s="1882" t="s">
        <v>8591</v>
      </c>
      <c r="P540" s="1882" t="s">
        <v>8592</v>
      </c>
      <c r="Q540" s="520">
        <v>1</v>
      </c>
      <c r="R540" s="1882"/>
      <c r="S540" s="1882"/>
      <c r="T540" s="1882"/>
      <c r="U540" s="1882"/>
      <c r="V540" s="1882"/>
      <c r="W540" s="1882"/>
      <c r="X540" s="1882"/>
      <c r="Y540" s="1882"/>
      <c r="Z540" s="1882"/>
      <c r="AA540" s="1882"/>
      <c r="AB540" s="1882"/>
      <c r="AC540" s="1882"/>
      <c r="AD540" s="1882"/>
      <c r="AE540" s="1882"/>
      <c r="AF540" s="1882"/>
      <c r="AG540" s="1882"/>
      <c r="AH540" s="1882"/>
      <c r="AI540" s="1882"/>
      <c r="AJ540" s="1882"/>
      <c r="AK540" s="1882"/>
      <c r="AL540" s="1882"/>
      <c r="AM540" s="1882"/>
      <c r="AN540" s="1882"/>
      <c r="AO540" s="1882"/>
      <c r="AP540" s="1882"/>
      <c r="AQ540" s="1882"/>
      <c r="AR540" s="1882"/>
      <c r="AS540" s="1882"/>
      <c r="AT540" s="1882"/>
      <c r="AU540" s="1882"/>
      <c r="AV540" s="1882"/>
      <c r="AW540" s="1882"/>
      <c r="AX540" s="1882"/>
      <c r="AY540" s="1882"/>
      <c r="AZ540" s="1882"/>
      <c r="BA540" s="1882"/>
      <c r="BB540" s="1882"/>
      <c r="BC540" s="1882"/>
      <c r="BD540" s="1882"/>
      <c r="BE540" s="1882"/>
      <c r="BF540" s="1882"/>
      <c r="BG540" s="1882"/>
      <c r="BH540" s="1882"/>
      <c r="BI540" s="1882"/>
      <c r="BJ540" s="1882"/>
      <c r="BK540" s="1882"/>
      <c r="BL540" s="1882"/>
      <c r="BM540" s="1882"/>
      <c r="BN540" s="1882"/>
      <c r="BO540" s="1882"/>
      <c r="BQ540" s="1882"/>
      <c r="BR540" s="1882"/>
      <c r="BS540" s="1882"/>
      <c r="BT540" s="1882"/>
      <c r="BU540" s="1882"/>
      <c r="BV540" s="1882"/>
      <c r="BW540" s="1882"/>
      <c r="BX540" s="1882"/>
      <c r="BY540" s="1882"/>
      <c r="BZ540" s="1882"/>
      <c r="CA540" s="1882"/>
      <c r="CB540" s="1882"/>
      <c r="CC540" s="1882" t="s">
        <v>2451</v>
      </c>
      <c r="CH540" s="1882"/>
      <c r="CI540" s="1882">
        <v>83.86</v>
      </c>
      <c r="CJ540" s="1882" t="s">
        <v>2459</v>
      </c>
      <c r="CK540" s="1882">
        <v>0</v>
      </c>
      <c r="CL540" s="1882">
        <v>0</v>
      </c>
      <c r="CM540" s="1882">
        <v>0</v>
      </c>
      <c r="CN540" s="1882">
        <v>0</v>
      </c>
      <c r="CP540" s="1882" t="s">
        <v>11492</v>
      </c>
    </row>
    <row r="541" spans="1:94">
      <c r="A541" s="1882" t="s">
        <v>8421</v>
      </c>
      <c r="B541" s="1882" t="s">
        <v>11493</v>
      </c>
      <c r="C541" s="1882" t="s">
        <v>8352</v>
      </c>
      <c r="D541" s="1882" t="s">
        <v>8584</v>
      </c>
      <c r="E541" s="1882" t="s">
        <v>8585</v>
      </c>
      <c r="F541" s="1882" t="s">
        <v>9043</v>
      </c>
      <c r="G541" s="1882" t="s">
        <v>8277</v>
      </c>
      <c r="H541" s="1882" t="s">
        <v>9044</v>
      </c>
      <c r="I541" s="1882" t="s">
        <v>9045</v>
      </c>
      <c r="J541" s="1882" t="s">
        <v>8539</v>
      </c>
      <c r="K541" s="1882"/>
      <c r="L541" s="1882"/>
      <c r="M541" s="1882"/>
      <c r="N541" s="1882" t="s">
        <v>8520</v>
      </c>
      <c r="O541" s="1882" t="s">
        <v>764</v>
      </c>
      <c r="P541" s="1882" t="s">
        <v>9046</v>
      </c>
      <c r="Q541" s="520">
        <v>2</v>
      </c>
      <c r="R541" s="1882"/>
      <c r="S541" s="1882"/>
      <c r="T541" s="1882"/>
      <c r="U541" s="1882"/>
      <c r="V541" s="1882"/>
      <c r="W541" s="1882"/>
      <c r="X541" s="1882"/>
      <c r="Y541" s="1882"/>
      <c r="Z541" s="1882"/>
      <c r="AA541" s="1882"/>
      <c r="AB541" s="1882"/>
      <c r="AC541" s="1882"/>
      <c r="AD541" s="1882"/>
      <c r="AE541" s="1882"/>
      <c r="AF541" s="1882"/>
      <c r="AG541" s="1882"/>
      <c r="AH541" s="1882"/>
      <c r="AI541" s="1882"/>
      <c r="AJ541" s="1882"/>
      <c r="AK541" s="1882"/>
      <c r="AL541" s="1882"/>
      <c r="AM541" s="1882"/>
      <c r="AN541" s="1882"/>
      <c r="AO541" s="1882"/>
      <c r="AP541" s="1882"/>
      <c r="AQ541" s="1882"/>
      <c r="AR541" s="1882"/>
      <c r="AS541" s="1882"/>
      <c r="AT541" s="1882"/>
      <c r="AU541" s="1882"/>
      <c r="AV541" s="1882"/>
      <c r="AW541" s="1882"/>
      <c r="AX541" s="1882"/>
      <c r="AY541" s="1882"/>
      <c r="AZ541" s="1882"/>
      <c r="BA541" s="1882"/>
      <c r="BB541" s="1882"/>
      <c r="BC541" s="1882"/>
      <c r="BD541" s="1882"/>
      <c r="BE541" s="1882"/>
      <c r="BF541" s="1882"/>
      <c r="BG541" s="1882"/>
      <c r="BH541" s="1882"/>
      <c r="BI541" s="1882"/>
      <c r="BJ541" s="1882"/>
      <c r="BK541" s="1882"/>
      <c r="BL541" s="1882"/>
      <c r="BM541" s="1882"/>
      <c r="BN541" s="1882"/>
      <c r="BO541" s="1882"/>
      <c r="BQ541" s="1882"/>
      <c r="BR541" s="1882"/>
      <c r="BS541" s="1882"/>
      <c r="BT541" s="1882"/>
      <c r="BU541" s="1882"/>
      <c r="BV541" s="1882"/>
      <c r="BW541" s="1882"/>
      <c r="BX541" s="1882"/>
      <c r="BY541" s="1882"/>
      <c r="BZ541" s="1882"/>
      <c r="CA541" s="1882"/>
      <c r="CB541" s="1882"/>
      <c r="CC541" s="1882" t="s">
        <v>2451</v>
      </c>
      <c r="CH541" s="1882"/>
      <c r="CI541" s="1882">
        <v>140.40690574617878</v>
      </c>
      <c r="CJ541" s="1882" t="s">
        <v>2460</v>
      </c>
      <c r="CK541" s="1882">
        <v>0</v>
      </c>
      <c r="CL541" s="1882">
        <v>0</v>
      </c>
      <c r="CM541" s="1882">
        <v>0</v>
      </c>
      <c r="CN541" s="1882">
        <v>0</v>
      </c>
      <c r="CP541" s="1882" t="s">
        <v>11494</v>
      </c>
    </row>
    <row r="542" spans="1:94">
      <c r="A542" s="1882" t="s">
        <v>8421</v>
      </c>
      <c r="B542" s="1882" t="s">
        <v>11495</v>
      </c>
      <c r="C542" s="1882" t="s">
        <v>8352</v>
      </c>
      <c r="D542" s="1882" t="s">
        <v>8584</v>
      </c>
      <c r="E542" s="1882" t="s">
        <v>8585</v>
      </c>
      <c r="F542" s="1882" t="s">
        <v>9043</v>
      </c>
      <c r="G542" s="1882" t="s">
        <v>8280</v>
      </c>
      <c r="H542" s="1882" t="s">
        <v>9049</v>
      </c>
      <c r="I542" s="1882" t="s">
        <v>9050</v>
      </c>
      <c r="J542" s="1882" t="s">
        <v>8508</v>
      </c>
      <c r="K542" s="1882" t="s">
        <v>8509</v>
      </c>
      <c r="L542" s="1882"/>
      <c r="M542" s="1882" t="s">
        <v>2460</v>
      </c>
      <c r="N542" s="1882" t="s">
        <v>8590</v>
      </c>
      <c r="O542" s="1882" t="s">
        <v>8591</v>
      </c>
      <c r="P542" s="1882" t="s">
        <v>8592</v>
      </c>
      <c r="Q542" s="520">
        <v>1</v>
      </c>
      <c r="R542" s="1882"/>
      <c r="S542" s="1882"/>
      <c r="T542" s="1882"/>
      <c r="U542" s="1882"/>
      <c r="V542" s="1882"/>
      <c r="W542" s="1882"/>
      <c r="X542" s="1882"/>
      <c r="Y542" s="1882"/>
      <c r="Z542" s="1882"/>
      <c r="AA542" s="1882"/>
      <c r="AB542" s="1882"/>
      <c r="AC542" s="1882"/>
      <c r="AD542" s="1882"/>
      <c r="AE542" s="1882"/>
      <c r="AF542" s="1882"/>
      <c r="AG542" s="1882"/>
      <c r="AH542" s="1882"/>
      <c r="AI542" s="1882"/>
      <c r="AJ542" s="1882"/>
      <c r="AK542" s="1882"/>
      <c r="AL542" s="1882"/>
      <c r="AM542" s="1882"/>
      <c r="AN542" s="1882"/>
      <c r="AO542" s="1882"/>
      <c r="AP542" s="1882"/>
      <c r="AQ542" s="1882"/>
      <c r="AR542" s="1882"/>
      <c r="AS542" s="1882"/>
      <c r="AT542" s="1882"/>
      <c r="AU542" s="1882"/>
      <c r="AV542" s="1882"/>
      <c r="AW542" s="1882"/>
      <c r="AX542" s="1882"/>
      <c r="AY542" s="1882"/>
      <c r="AZ542" s="1882"/>
      <c r="BA542" s="1882"/>
      <c r="BB542" s="1882"/>
      <c r="BC542" s="1882"/>
      <c r="BD542" s="1882"/>
      <c r="BE542" s="1882"/>
      <c r="BF542" s="1882"/>
      <c r="BG542" s="1882"/>
      <c r="BH542" s="1882"/>
      <c r="BI542" s="1882"/>
      <c r="BJ542" s="1882"/>
      <c r="BK542" s="1882"/>
      <c r="BL542" s="1882"/>
      <c r="BM542" s="1882"/>
      <c r="BN542" s="1882"/>
      <c r="BO542" s="1882"/>
      <c r="BQ542" s="1882"/>
      <c r="BR542" s="1882"/>
      <c r="BS542" s="1882"/>
      <c r="BT542" s="1882"/>
      <c r="BU542" s="1882"/>
      <c r="BV542" s="1882"/>
      <c r="BW542" s="1882"/>
      <c r="BX542" s="1882"/>
      <c r="BY542" s="1882"/>
      <c r="BZ542" s="1882"/>
      <c r="CA542" s="1882"/>
      <c r="CB542" s="1882"/>
      <c r="CC542" s="1882" t="s">
        <v>2451</v>
      </c>
      <c r="CH542" s="1882"/>
      <c r="CI542" s="1882">
        <v>78.400000000000006</v>
      </c>
      <c r="CJ542" s="1882" t="s">
        <v>2460</v>
      </c>
      <c r="CK542" s="1882">
        <v>0</v>
      </c>
      <c r="CL542" s="1882">
        <v>0</v>
      </c>
      <c r="CM542" s="1882">
        <v>0</v>
      </c>
      <c r="CN542" s="1882">
        <v>0</v>
      </c>
      <c r="CP542" s="1882" t="s">
        <v>11496</v>
      </c>
    </row>
    <row r="543" spans="1:94">
      <c r="A543" s="1882" t="s">
        <v>8421</v>
      </c>
      <c r="B543" s="1882" t="s">
        <v>11497</v>
      </c>
      <c r="C543" s="1882" t="s">
        <v>8352</v>
      </c>
      <c r="D543" s="1882" t="s">
        <v>1626</v>
      </c>
      <c r="E543" s="1882" t="s">
        <v>8503</v>
      </c>
      <c r="F543" s="1882" t="s">
        <v>10034</v>
      </c>
      <c r="G543" s="1882" t="s">
        <v>8505</v>
      </c>
      <c r="H543" s="1882" t="s">
        <v>10035</v>
      </c>
      <c r="I543" s="1882" t="s">
        <v>10036</v>
      </c>
      <c r="J543" s="1882" t="s">
        <v>8508</v>
      </c>
      <c r="K543" s="1882" t="s">
        <v>8509</v>
      </c>
      <c r="L543" s="1882" t="s">
        <v>2459</v>
      </c>
      <c r="M543" s="1882"/>
      <c r="N543" s="1882" t="s">
        <v>8463</v>
      </c>
      <c r="O543" s="1882" t="s">
        <v>764</v>
      </c>
      <c r="P543" s="1882" t="s">
        <v>10037</v>
      </c>
      <c r="Q543" s="520">
        <v>0</v>
      </c>
      <c r="R543" s="1882"/>
      <c r="S543" s="1882"/>
      <c r="T543" s="1882"/>
      <c r="U543" s="1882"/>
      <c r="V543" s="1882"/>
      <c r="W543" s="1882"/>
      <c r="X543" s="1882"/>
      <c r="Y543" s="1882"/>
      <c r="Z543" s="1882"/>
      <c r="AA543" s="1882"/>
      <c r="AB543" s="1882"/>
      <c r="AC543" s="1882"/>
      <c r="AD543" s="1882"/>
      <c r="AE543" s="1882"/>
      <c r="AF543" s="1882"/>
      <c r="AG543" s="1882"/>
      <c r="AH543" s="1882"/>
      <c r="AI543" s="1882"/>
      <c r="AJ543" s="1882"/>
      <c r="AK543" s="1882"/>
      <c r="AL543" s="1882"/>
      <c r="AM543" s="1882"/>
      <c r="AN543" s="1882"/>
      <c r="AO543" s="1882"/>
      <c r="AP543" s="1882"/>
      <c r="AQ543" s="1882"/>
      <c r="AR543" s="1882"/>
      <c r="AS543" s="1882"/>
      <c r="AT543" s="1882"/>
      <c r="AU543" s="1882"/>
      <c r="AV543" s="1882"/>
      <c r="AW543" s="1882"/>
      <c r="AX543" s="1882"/>
      <c r="AY543" s="1882"/>
      <c r="AZ543" s="1882"/>
      <c r="BA543" s="1882"/>
      <c r="BB543" s="1882"/>
      <c r="BC543" s="1882"/>
      <c r="BD543" s="1882"/>
      <c r="BE543" s="1882"/>
      <c r="BF543" s="1882"/>
      <c r="BG543" s="1882"/>
      <c r="BH543" s="1882"/>
      <c r="BI543" s="1882"/>
      <c r="BJ543" s="1882"/>
      <c r="BK543" s="1882"/>
      <c r="BL543" s="1882"/>
      <c r="BM543" s="1882"/>
      <c r="BN543" s="1882"/>
      <c r="BO543" s="1882"/>
      <c r="BQ543" s="1882"/>
      <c r="BR543" s="1882"/>
      <c r="BS543" s="1882"/>
      <c r="BT543" s="1882"/>
      <c r="BU543" s="1882"/>
      <c r="BV543" s="1882"/>
      <c r="BW543" s="1882"/>
      <c r="BX543" s="1882"/>
      <c r="BY543" s="1882"/>
      <c r="BZ543" s="1882"/>
      <c r="CA543" s="1882"/>
      <c r="CB543" s="1882"/>
      <c r="CC543" s="1882" t="s">
        <v>2451</v>
      </c>
      <c r="CH543" s="1882"/>
      <c r="CI543" s="1882">
        <v>67</v>
      </c>
      <c r="CJ543" s="1882" t="s">
        <v>2460</v>
      </c>
      <c r="CK543" s="1882" t="s">
        <v>8384</v>
      </c>
      <c r="CL543" s="1882">
        <v>-3.09E-2</v>
      </c>
      <c r="CM543" s="1882">
        <v>0</v>
      </c>
      <c r="CN543" s="1882">
        <v>0</v>
      </c>
      <c r="CP543" s="1882" t="s">
        <v>11498</v>
      </c>
    </row>
    <row r="544" spans="1:94">
      <c r="A544" s="1882" t="s">
        <v>8421</v>
      </c>
      <c r="B544" s="1882" t="s">
        <v>11499</v>
      </c>
      <c r="C544" s="1882" t="s">
        <v>8352</v>
      </c>
      <c r="D544" s="1882" t="s">
        <v>1626</v>
      </c>
      <c r="E544" s="1882" t="s">
        <v>8503</v>
      </c>
      <c r="F544" s="1882" t="s">
        <v>10034</v>
      </c>
      <c r="G544" s="1882" t="s">
        <v>8516</v>
      </c>
      <c r="H544" s="1882" t="s">
        <v>10040</v>
      </c>
      <c r="I544" s="1882" t="s">
        <v>10041</v>
      </c>
      <c r="J544" s="1882" t="s">
        <v>8519</v>
      </c>
      <c r="K544" s="1882" t="s">
        <v>8509</v>
      </c>
      <c r="L544" s="1882" t="s">
        <v>2459</v>
      </c>
      <c r="M544" s="1882"/>
      <c r="N544" s="1882" t="s">
        <v>8547</v>
      </c>
      <c r="O544" s="1882" t="s">
        <v>732</v>
      </c>
      <c r="P544" s="1882" t="s">
        <v>8548</v>
      </c>
      <c r="Q544" s="520">
        <v>3</v>
      </c>
      <c r="R544" s="1882"/>
      <c r="S544" s="1882"/>
      <c r="T544" s="1882"/>
      <c r="U544" s="1882"/>
      <c r="V544" s="1882"/>
      <c r="W544" s="1882"/>
      <c r="X544" s="1882"/>
      <c r="Y544" s="1882"/>
      <c r="Z544" s="1882"/>
      <c r="AA544" s="1882"/>
      <c r="AB544" s="1882"/>
      <c r="AC544" s="1882"/>
      <c r="AD544" s="1882"/>
      <c r="AE544" s="1882"/>
      <c r="AF544" s="1882"/>
      <c r="AG544" s="1882"/>
      <c r="AH544" s="1882"/>
      <c r="AI544" s="1882"/>
      <c r="AJ544" s="1882"/>
      <c r="AK544" s="1882"/>
      <c r="AL544" s="1882"/>
      <c r="AM544" s="1882"/>
      <c r="AN544" s="1882"/>
      <c r="AO544" s="1882"/>
      <c r="AP544" s="1882"/>
      <c r="AQ544" s="1882"/>
      <c r="AR544" s="1882"/>
      <c r="AS544" s="1882"/>
      <c r="AT544" s="1882"/>
      <c r="AU544" s="1882"/>
      <c r="AV544" s="1882"/>
      <c r="AW544" s="1882"/>
      <c r="AX544" s="1882"/>
      <c r="AY544" s="1882"/>
      <c r="AZ544" s="1882"/>
      <c r="BA544" s="1882"/>
      <c r="BB544" s="1882"/>
      <c r="BC544" s="1882"/>
      <c r="BD544" s="1882"/>
      <c r="BE544" s="1882"/>
      <c r="BF544" s="1882"/>
      <c r="BG544" s="1882"/>
      <c r="BH544" s="1882"/>
      <c r="BI544" s="1882"/>
      <c r="BJ544" s="1882"/>
      <c r="BK544" s="1882"/>
      <c r="BL544" s="1882"/>
      <c r="BM544" s="1882"/>
      <c r="BN544" s="1882"/>
      <c r="BO544" s="1882"/>
      <c r="BQ544" s="1882"/>
      <c r="BR544" s="1882"/>
      <c r="BS544" s="1882"/>
      <c r="BT544" s="1882"/>
      <c r="BU544" s="1882"/>
      <c r="BV544" s="1882"/>
      <c r="BW544" s="1882"/>
      <c r="BX544" s="1882"/>
      <c r="BY544" s="1882"/>
      <c r="BZ544" s="1882"/>
      <c r="CA544" s="1882"/>
      <c r="CB544" s="1882"/>
      <c r="CC544" s="1882" t="s">
        <v>2451</v>
      </c>
      <c r="CH544" s="1882"/>
      <c r="CI544" s="1882">
        <v>99.94</v>
      </c>
      <c r="CJ544" s="1882" t="s">
        <v>2460</v>
      </c>
      <c r="CK544" s="1882" t="s">
        <v>8384</v>
      </c>
      <c r="CL544" s="1882">
        <v>-0.01</v>
      </c>
      <c r="CM544" s="1882">
        <v>0</v>
      </c>
      <c r="CN544" s="1882">
        <v>0</v>
      </c>
      <c r="CP544" s="1882" t="s">
        <v>11500</v>
      </c>
    </row>
    <row r="545" spans="1:94">
      <c r="A545" s="1882" t="s">
        <v>8421</v>
      </c>
      <c r="B545" s="1882" t="s">
        <v>11501</v>
      </c>
      <c r="C545" s="1882" t="s">
        <v>8352</v>
      </c>
      <c r="D545" s="1882" t="s">
        <v>1626</v>
      </c>
      <c r="E545" s="1882" t="s">
        <v>8503</v>
      </c>
      <c r="F545" s="1882" t="s">
        <v>10034</v>
      </c>
      <c r="G545" s="1882" t="s">
        <v>8524</v>
      </c>
      <c r="H545" s="1882" t="s">
        <v>10044</v>
      </c>
      <c r="I545" s="1882" t="s">
        <v>10045</v>
      </c>
      <c r="J545" s="1882" t="s">
        <v>8519</v>
      </c>
      <c r="K545" s="1882" t="s">
        <v>8855</v>
      </c>
      <c r="L545" s="1882"/>
      <c r="M545" s="1882" t="s">
        <v>2460</v>
      </c>
      <c r="N545" s="1882" t="s">
        <v>8569</v>
      </c>
      <c r="O545" s="1882" t="s">
        <v>764</v>
      </c>
      <c r="P545" s="1882" t="s">
        <v>10046</v>
      </c>
      <c r="Q545" s="520">
        <v>0</v>
      </c>
      <c r="R545" s="1882"/>
      <c r="S545" s="1882"/>
      <c r="T545" s="1882"/>
      <c r="U545" s="1882"/>
      <c r="V545" s="1882"/>
      <c r="W545" s="1882"/>
      <c r="X545" s="1882"/>
      <c r="Y545" s="1882"/>
      <c r="Z545" s="1882"/>
      <c r="AA545" s="1882"/>
      <c r="AB545" s="1882"/>
      <c r="AC545" s="1882"/>
      <c r="AD545" s="1882"/>
      <c r="AE545" s="1882"/>
      <c r="AF545" s="1882"/>
      <c r="AG545" s="1882"/>
      <c r="AH545" s="1882"/>
      <c r="AI545" s="1882"/>
      <c r="AJ545" s="1882"/>
      <c r="AK545" s="1882"/>
      <c r="AL545" s="1882"/>
      <c r="AM545" s="1882"/>
      <c r="AN545" s="1882"/>
      <c r="AO545" s="1882"/>
      <c r="AP545" s="1882"/>
      <c r="AQ545" s="1882"/>
      <c r="AR545" s="1882"/>
      <c r="AS545" s="1882"/>
      <c r="AT545" s="1882"/>
      <c r="AU545" s="1882"/>
      <c r="AV545" s="1882"/>
      <c r="AW545" s="1882"/>
      <c r="AX545" s="1882"/>
      <c r="AY545" s="1882"/>
      <c r="AZ545" s="1882"/>
      <c r="BA545" s="1882"/>
      <c r="BB545" s="1882"/>
      <c r="BC545" s="1882"/>
      <c r="BD545" s="1882"/>
      <c r="BE545" s="1882"/>
      <c r="BF545" s="1882"/>
      <c r="BG545" s="1882"/>
      <c r="BH545" s="1882"/>
      <c r="BI545" s="1882"/>
      <c r="BJ545" s="1882"/>
      <c r="BK545" s="1882"/>
      <c r="BL545" s="1882"/>
      <c r="BM545" s="1882"/>
      <c r="BN545" s="1882"/>
      <c r="BO545" s="1882"/>
      <c r="BQ545" s="1882"/>
      <c r="BR545" s="1882"/>
      <c r="BS545" s="1882"/>
      <c r="BT545" s="1882"/>
      <c r="BU545" s="1882"/>
      <c r="BV545" s="1882"/>
      <c r="BW545" s="1882"/>
      <c r="BX545" s="1882"/>
      <c r="BY545" s="1882"/>
      <c r="BZ545" s="1882"/>
      <c r="CA545" s="1882"/>
      <c r="CB545" s="1882"/>
      <c r="CC545" s="1882" t="s">
        <v>2451</v>
      </c>
      <c r="CH545" s="1882"/>
      <c r="CI545" s="1882">
        <v>0</v>
      </c>
      <c r="CJ545" s="1882" t="s">
        <v>2459</v>
      </c>
      <c r="CK545" s="1882">
        <v>0</v>
      </c>
      <c r="CL545" s="1882">
        <v>0</v>
      </c>
      <c r="CM545" s="1882">
        <v>0</v>
      </c>
      <c r="CN545" s="1882">
        <v>0</v>
      </c>
      <c r="CP545" s="1882" t="s">
        <v>11502</v>
      </c>
    </row>
    <row r="546" spans="1:94">
      <c r="A546" s="1882" t="s">
        <v>8421</v>
      </c>
      <c r="B546" s="1882" t="s">
        <v>11503</v>
      </c>
      <c r="C546" s="1882" t="s">
        <v>8352</v>
      </c>
      <c r="D546" s="1882" t="s">
        <v>1626</v>
      </c>
      <c r="E546" s="1882" t="s">
        <v>8503</v>
      </c>
      <c r="F546" s="1882" t="s">
        <v>10057</v>
      </c>
      <c r="G546" s="1882" t="s">
        <v>8544</v>
      </c>
      <c r="H546" s="1882" t="s">
        <v>10058</v>
      </c>
      <c r="I546" s="1882" t="s">
        <v>10059</v>
      </c>
      <c r="J546" s="1882" t="s">
        <v>8539</v>
      </c>
      <c r="K546" s="1882"/>
      <c r="L546" s="1882"/>
      <c r="M546" s="1882"/>
      <c r="N546" s="1882" t="s">
        <v>8533</v>
      </c>
      <c r="O546" s="1882" t="s">
        <v>764</v>
      </c>
      <c r="P546" s="1882" t="s">
        <v>8521</v>
      </c>
      <c r="Q546" s="520">
        <v>0</v>
      </c>
      <c r="R546" s="1882"/>
      <c r="S546" s="1882"/>
      <c r="T546" s="1882"/>
      <c r="U546" s="1882"/>
      <c r="V546" s="1882"/>
      <c r="W546" s="1882"/>
      <c r="X546" s="1882"/>
      <c r="Y546" s="1882"/>
      <c r="Z546" s="1882"/>
      <c r="AA546" s="1882"/>
      <c r="AB546" s="1882"/>
      <c r="AC546" s="1882"/>
      <c r="AD546" s="1882"/>
      <c r="AE546" s="1882"/>
      <c r="AF546" s="1882"/>
      <c r="AG546" s="1882"/>
      <c r="AH546" s="1882"/>
      <c r="AI546" s="1882"/>
      <c r="AJ546" s="1882"/>
      <c r="AK546" s="1882"/>
      <c r="AL546" s="1882"/>
      <c r="AM546" s="1882"/>
      <c r="AN546" s="1882"/>
      <c r="AO546" s="1882"/>
      <c r="AP546" s="1882"/>
      <c r="AQ546" s="1882"/>
      <c r="AR546" s="1882"/>
      <c r="AS546" s="1882"/>
      <c r="AT546" s="1882"/>
      <c r="AU546" s="1882"/>
      <c r="AV546" s="1882"/>
      <c r="AW546" s="1882"/>
      <c r="AX546" s="1882"/>
      <c r="AY546" s="1882"/>
      <c r="AZ546" s="1882"/>
      <c r="BA546" s="1882"/>
      <c r="BB546" s="1882"/>
      <c r="BC546" s="1882"/>
      <c r="BD546" s="1882"/>
      <c r="BE546" s="1882"/>
      <c r="BF546" s="1882"/>
      <c r="BG546" s="1882"/>
      <c r="BH546" s="1882"/>
      <c r="BI546" s="1882"/>
      <c r="BJ546" s="1882"/>
      <c r="BK546" s="1882"/>
      <c r="BL546" s="1882"/>
      <c r="BM546" s="1882"/>
      <c r="BN546" s="1882"/>
      <c r="BO546" s="1882"/>
      <c r="BQ546" s="1882"/>
      <c r="BR546" s="1882"/>
      <c r="BS546" s="1882"/>
      <c r="BT546" s="1882"/>
      <c r="BU546" s="1882"/>
      <c r="BV546" s="1882"/>
      <c r="BW546" s="1882"/>
      <c r="BX546" s="1882"/>
      <c r="BY546" s="1882"/>
      <c r="BZ546" s="1882"/>
      <c r="CA546" s="1882"/>
      <c r="CB546" s="1882"/>
      <c r="CC546" s="1882" t="s">
        <v>2451</v>
      </c>
      <c r="CH546" s="1882"/>
      <c r="CI546" s="1882">
        <v>348</v>
      </c>
      <c r="CJ546" s="1882" t="s">
        <v>2460</v>
      </c>
      <c r="CK546" s="1882">
        <v>0</v>
      </c>
      <c r="CL546" s="1882">
        <v>0</v>
      </c>
      <c r="CM546" s="1882">
        <v>0</v>
      </c>
      <c r="CN546" s="1882">
        <v>0</v>
      </c>
      <c r="CP546" s="1882" t="s">
        <v>11504</v>
      </c>
    </row>
    <row r="547" spans="1:94">
      <c r="A547" s="1882" t="s">
        <v>8421</v>
      </c>
      <c r="B547" s="1882" t="s">
        <v>11505</v>
      </c>
      <c r="C547" s="1882" t="s">
        <v>8352</v>
      </c>
      <c r="D547" s="1882" t="s">
        <v>1626</v>
      </c>
      <c r="E547" s="1882" t="s">
        <v>8503</v>
      </c>
      <c r="F547" s="1882" t="s">
        <v>10057</v>
      </c>
      <c r="G547" s="1882" t="s">
        <v>8552</v>
      </c>
      <c r="H547" s="1882" t="s">
        <v>10062</v>
      </c>
      <c r="I547" s="1882" t="s">
        <v>10063</v>
      </c>
      <c r="J547" s="1882" t="s">
        <v>8508</v>
      </c>
      <c r="K547" s="1882" t="s">
        <v>8509</v>
      </c>
      <c r="L547" s="1882" t="s">
        <v>2459</v>
      </c>
      <c r="M547" s="1882" t="s">
        <v>2460</v>
      </c>
      <c r="N547" s="1882" t="s">
        <v>2444</v>
      </c>
      <c r="O547" s="1882" t="s">
        <v>764</v>
      </c>
      <c r="P547" s="1882" t="s">
        <v>8510</v>
      </c>
      <c r="Q547" s="520">
        <v>0</v>
      </c>
      <c r="R547" s="1882"/>
      <c r="S547" s="1882"/>
      <c r="T547" s="1882"/>
      <c r="U547" s="1882"/>
      <c r="V547" s="1882"/>
      <c r="W547" s="1882"/>
      <c r="X547" s="1882"/>
      <c r="Y547" s="1882"/>
      <c r="Z547" s="1882"/>
      <c r="AA547" s="1882"/>
      <c r="AB547" s="1882"/>
      <c r="AC547" s="1882"/>
      <c r="AD547" s="1882"/>
      <c r="AE547" s="1882"/>
      <c r="AF547" s="1882"/>
      <c r="AG547" s="1882"/>
      <c r="AH547" s="1882"/>
      <c r="AI547" s="1882"/>
      <c r="AJ547" s="1882"/>
      <c r="AK547" s="1882"/>
      <c r="AL547" s="1882"/>
      <c r="AM547" s="1882"/>
      <c r="AN547" s="1882"/>
      <c r="AO547" s="1882"/>
      <c r="AP547" s="1882"/>
      <c r="AQ547" s="1882"/>
      <c r="AR547" s="1882"/>
      <c r="AS547" s="1882"/>
      <c r="AT547" s="1882"/>
      <c r="AU547" s="1882"/>
      <c r="AV547" s="1882"/>
      <c r="AW547" s="1882"/>
      <c r="AX547" s="1882"/>
      <c r="AY547" s="1882"/>
      <c r="AZ547" s="1882"/>
      <c r="BA547" s="1882"/>
      <c r="BB547" s="1882"/>
      <c r="BC547" s="1882"/>
      <c r="BD547" s="1882"/>
      <c r="BE547" s="1882"/>
      <c r="BF547" s="1882"/>
      <c r="BG547" s="1882"/>
      <c r="BH547" s="1882"/>
      <c r="BI547" s="1882"/>
      <c r="BJ547" s="1882"/>
      <c r="BK547" s="1882"/>
      <c r="BL547" s="1882"/>
      <c r="BM547" s="1882"/>
      <c r="BN547" s="1882"/>
      <c r="BO547" s="1882"/>
      <c r="BQ547" s="1882"/>
      <c r="BR547" s="1882"/>
      <c r="BS547" s="1882"/>
      <c r="BT547" s="1882"/>
      <c r="BU547" s="1882"/>
      <c r="BV547" s="1882"/>
      <c r="BW547" s="1882"/>
      <c r="BX547" s="1882"/>
      <c r="BY547" s="1882"/>
      <c r="BZ547" s="1882"/>
      <c r="CA547" s="1882"/>
      <c r="CB547" s="1882"/>
      <c r="CC547" s="1882" t="s">
        <v>2451</v>
      </c>
      <c r="CH547" s="1882"/>
      <c r="CI547" s="1882">
        <v>7.89</v>
      </c>
      <c r="CJ547" s="1882" t="s">
        <v>2460</v>
      </c>
      <c r="CK547" s="1882" t="s">
        <v>8388</v>
      </c>
      <c r="CL547" s="1882">
        <v>0</v>
      </c>
      <c r="CM547" s="1882">
        <v>0</v>
      </c>
      <c r="CN547" s="1882">
        <v>0</v>
      </c>
      <c r="CP547" s="1882" t="s">
        <v>11506</v>
      </c>
    </row>
    <row r="548" spans="1:94">
      <c r="A548" s="1882" t="s">
        <v>8421</v>
      </c>
      <c r="B548" s="1882" t="s">
        <v>11507</v>
      </c>
      <c r="C548" s="1882" t="s">
        <v>8352</v>
      </c>
      <c r="D548" s="1882" t="s">
        <v>1626</v>
      </c>
      <c r="E548" s="1882" t="s">
        <v>8503</v>
      </c>
      <c r="F548" s="1882" t="s">
        <v>10057</v>
      </c>
      <c r="G548" s="1882" t="s">
        <v>9085</v>
      </c>
      <c r="H548" s="1882" t="s">
        <v>10066</v>
      </c>
      <c r="I548" s="1882" t="s">
        <v>10067</v>
      </c>
      <c r="J548" s="1882" t="s">
        <v>8508</v>
      </c>
      <c r="K548" s="1882" t="s">
        <v>8509</v>
      </c>
      <c r="L548" s="1882" t="s">
        <v>2459</v>
      </c>
      <c r="M548" s="1882"/>
      <c r="N548" s="1882" t="s">
        <v>2444</v>
      </c>
      <c r="O548" s="1882" t="s">
        <v>732</v>
      </c>
      <c r="P548" s="1882" t="s">
        <v>10068</v>
      </c>
      <c r="Q548" s="520">
        <v>0</v>
      </c>
      <c r="R548" s="1882"/>
      <c r="S548" s="1882"/>
      <c r="T548" s="1882"/>
      <c r="U548" s="1882"/>
      <c r="V548" s="1882"/>
      <c r="W548" s="1882"/>
      <c r="X548" s="1882"/>
      <c r="Y548" s="1882"/>
      <c r="Z548" s="1882"/>
      <c r="AA548" s="1882"/>
      <c r="AB548" s="1882"/>
      <c r="AC548" s="1882"/>
      <c r="AD548" s="1882"/>
      <c r="AE548" s="1882"/>
      <c r="AF548" s="1882"/>
      <c r="AG548" s="1882"/>
      <c r="AH548" s="1882"/>
      <c r="AI548" s="1882"/>
      <c r="AJ548" s="1882"/>
      <c r="AK548" s="1882"/>
      <c r="AL548" s="1882"/>
      <c r="AM548" s="1882"/>
      <c r="AN548" s="1882"/>
      <c r="AO548" s="1882"/>
      <c r="AP548" s="1882"/>
      <c r="AQ548" s="1882"/>
      <c r="AR548" s="1882"/>
      <c r="AS548" s="1882"/>
      <c r="AT548" s="1882"/>
      <c r="AU548" s="1882"/>
      <c r="AV548" s="1882"/>
      <c r="AW548" s="1882"/>
      <c r="AX548" s="1882"/>
      <c r="AY548" s="1882"/>
      <c r="AZ548" s="1882"/>
      <c r="BA548" s="1882"/>
      <c r="BB548" s="1882"/>
      <c r="BC548" s="1882"/>
      <c r="BD548" s="1882"/>
      <c r="BE548" s="1882"/>
      <c r="BF548" s="1882"/>
      <c r="BG548" s="1882"/>
      <c r="BH548" s="1882"/>
      <c r="BI548" s="1882"/>
      <c r="BJ548" s="1882"/>
      <c r="BK548" s="1882"/>
      <c r="BL548" s="1882"/>
      <c r="BM548" s="1882"/>
      <c r="BN548" s="1882"/>
      <c r="BO548" s="1882"/>
      <c r="BQ548" s="1882"/>
      <c r="BR548" s="1882"/>
      <c r="BS548" s="1882"/>
      <c r="BT548" s="1882"/>
      <c r="BU548" s="1882"/>
      <c r="BV548" s="1882"/>
      <c r="BW548" s="1882"/>
      <c r="BX548" s="1882"/>
      <c r="BY548" s="1882"/>
      <c r="BZ548" s="1882"/>
      <c r="CA548" s="1882"/>
      <c r="CB548" s="1882"/>
      <c r="CC548" s="1882" t="s">
        <v>2451</v>
      </c>
      <c r="CH548" s="1882"/>
      <c r="CI548" s="1882">
        <v>26</v>
      </c>
      <c r="CJ548" s="1882" t="s">
        <v>2460</v>
      </c>
      <c r="CK548" s="1882" t="s">
        <v>8384</v>
      </c>
      <c r="CL548" s="1882">
        <v>-7.7000000000000002E-3</v>
      </c>
      <c r="CM548" s="1882">
        <v>0</v>
      </c>
      <c r="CN548" s="1882">
        <v>0</v>
      </c>
      <c r="CP548" s="1882" t="s">
        <v>11508</v>
      </c>
    </row>
    <row r="549" spans="1:94">
      <c r="A549" s="1882" t="s">
        <v>8421</v>
      </c>
      <c r="B549" s="1882" t="s">
        <v>11509</v>
      </c>
      <c r="C549" s="1882" t="s">
        <v>8352</v>
      </c>
      <c r="D549" s="1882" t="s">
        <v>1626</v>
      </c>
      <c r="E549" s="1882" t="s">
        <v>8503</v>
      </c>
      <c r="F549" s="1882" t="s">
        <v>10057</v>
      </c>
      <c r="G549" s="1882" t="s">
        <v>10071</v>
      </c>
      <c r="H549" s="1882" t="s">
        <v>10072</v>
      </c>
      <c r="I549" s="1882" t="s">
        <v>10073</v>
      </c>
      <c r="J549" s="1882" t="s">
        <v>8508</v>
      </c>
      <c r="K549" s="1882" t="s">
        <v>8509</v>
      </c>
      <c r="L549" s="1882" t="s">
        <v>2459</v>
      </c>
      <c r="M549" s="1882" t="s">
        <v>2460</v>
      </c>
      <c r="N549" s="1882" t="s">
        <v>2450</v>
      </c>
      <c r="O549" s="1882" t="s">
        <v>8607</v>
      </c>
      <c r="P549" s="1882" t="s">
        <v>8608</v>
      </c>
      <c r="Q549" s="520">
        <v>2</v>
      </c>
      <c r="R549" s="1882"/>
      <c r="S549" s="1882"/>
      <c r="T549" s="1882"/>
      <c r="U549" s="1882"/>
      <c r="V549" s="1882"/>
      <c r="W549" s="1882"/>
      <c r="X549" s="1882"/>
      <c r="Y549" s="1882"/>
      <c r="Z549" s="1882"/>
      <c r="AA549" s="1882"/>
      <c r="AB549" s="1882"/>
      <c r="AC549" s="1882"/>
      <c r="AD549" s="1882"/>
      <c r="AE549" s="1882"/>
      <c r="AF549" s="1882"/>
      <c r="AG549" s="1882"/>
      <c r="AH549" s="1882"/>
      <c r="AI549" s="1882"/>
      <c r="AJ549" s="1882"/>
      <c r="AK549" s="1882"/>
      <c r="AL549" s="1882"/>
      <c r="AM549" s="1882"/>
      <c r="AN549" s="1882"/>
      <c r="AO549" s="1882"/>
      <c r="AP549" s="1882"/>
      <c r="AQ549" s="1882"/>
      <c r="AR549" s="1882"/>
      <c r="AS549" s="1882"/>
      <c r="AT549" s="1882"/>
      <c r="AU549" s="1882"/>
      <c r="AV549" s="1882"/>
      <c r="AW549" s="1882"/>
      <c r="AX549" s="1882"/>
      <c r="AY549" s="1882"/>
      <c r="AZ549" s="1882"/>
      <c r="BA549" s="1882"/>
      <c r="BB549" s="1882"/>
      <c r="BC549" s="1882"/>
      <c r="BD549" s="1882"/>
      <c r="BE549" s="1882"/>
      <c r="BF549" s="1882"/>
      <c r="BG549" s="1882"/>
      <c r="BH549" s="1882"/>
      <c r="BI549" s="1882"/>
      <c r="BJ549" s="1882"/>
      <c r="BK549" s="1882"/>
      <c r="BL549" s="1882"/>
      <c r="BM549" s="1882"/>
      <c r="BN549" s="1882"/>
      <c r="BO549" s="1882"/>
      <c r="BQ549" s="1882"/>
      <c r="BR549" s="1882"/>
      <c r="BS549" s="1882"/>
      <c r="BT549" s="1882"/>
      <c r="BU549" s="1882"/>
      <c r="BV549" s="1882"/>
      <c r="BW549" s="1882"/>
      <c r="BX549" s="1882"/>
      <c r="BY549" s="1882"/>
      <c r="BZ549" s="1882"/>
      <c r="CA549" s="1882"/>
      <c r="CB549" s="1882"/>
      <c r="CC549" s="1882" t="s">
        <v>2451</v>
      </c>
      <c r="CH549" s="1882"/>
      <c r="CI549" s="1882">
        <v>93.744790337089739</v>
      </c>
      <c r="CJ549" s="1882" t="s">
        <v>2460</v>
      </c>
      <c r="CK549" s="1882" t="s">
        <v>8384</v>
      </c>
      <c r="CL549" s="1882">
        <v>-0.27939999999999998</v>
      </c>
      <c r="CM549" s="1882">
        <v>0</v>
      </c>
      <c r="CN549" s="1882">
        <v>0</v>
      </c>
      <c r="CP549" s="1882" t="s">
        <v>11510</v>
      </c>
    </row>
    <row r="550" spans="1:94">
      <c r="A550" s="1882" t="s">
        <v>8421</v>
      </c>
      <c r="B550" s="1882" t="s">
        <v>11511</v>
      </c>
      <c r="C550" s="1882" t="s">
        <v>8352</v>
      </c>
      <c r="D550" s="1882" t="s">
        <v>1626</v>
      </c>
      <c r="E550" s="1882" t="s">
        <v>8503</v>
      </c>
      <c r="F550" s="1882" t="s">
        <v>10057</v>
      </c>
      <c r="G550" s="1882" t="s">
        <v>10076</v>
      </c>
      <c r="H550" s="1882" t="s">
        <v>10077</v>
      </c>
      <c r="I550" s="1882" t="s">
        <v>10078</v>
      </c>
      <c r="J550" s="1882" t="s">
        <v>8508</v>
      </c>
      <c r="K550" s="1882" t="s">
        <v>8509</v>
      </c>
      <c r="L550" s="1882"/>
      <c r="M550" s="1882"/>
      <c r="N550" s="1882" t="s">
        <v>4580</v>
      </c>
      <c r="O550" s="1882" t="s">
        <v>732</v>
      </c>
      <c r="P550" s="1882" t="s">
        <v>10079</v>
      </c>
      <c r="Q550" s="520">
        <v>1</v>
      </c>
      <c r="R550" s="1882"/>
      <c r="S550" s="1882"/>
      <c r="T550" s="1882"/>
      <c r="U550" s="1882"/>
      <c r="V550" s="1882"/>
      <c r="W550" s="1882"/>
      <c r="X550" s="1882"/>
      <c r="Y550" s="1882"/>
      <c r="Z550" s="1882"/>
      <c r="AA550" s="1882"/>
      <c r="AB550" s="1882"/>
      <c r="AC550" s="1882"/>
      <c r="AD550" s="1882"/>
      <c r="AE550" s="1882"/>
      <c r="AF550" s="1882"/>
      <c r="AG550" s="1882"/>
      <c r="AH550" s="1882"/>
      <c r="AI550" s="1882"/>
      <c r="AJ550" s="1882"/>
      <c r="AK550" s="1882"/>
      <c r="AL550" s="1882"/>
      <c r="AM550" s="1882"/>
      <c r="AN550" s="1882"/>
      <c r="AO550" s="1882"/>
      <c r="AP550" s="1882"/>
      <c r="AQ550" s="1882"/>
      <c r="AR550" s="1882"/>
      <c r="AS550" s="1882"/>
      <c r="AT550" s="1882"/>
      <c r="AU550" s="1882"/>
      <c r="AV550" s="1882"/>
      <c r="AW550" s="1882"/>
      <c r="AX550" s="1882"/>
      <c r="AY550" s="1882"/>
      <c r="AZ550" s="1882"/>
      <c r="BA550" s="1882"/>
      <c r="BB550" s="1882"/>
      <c r="BC550" s="1882"/>
      <c r="BD550" s="1882"/>
      <c r="BE550" s="1882"/>
      <c r="BF550" s="1882"/>
      <c r="BG550" s="1882"/>
      <c r="BH550" s="1882"/>
      <c r="BI550" s="1882"/>
      <c r="BJ550" s="1882"/>
      <c r="BK550" s="1882"/>
      <c r="BL550" s="1882"/>
      <c r="BM550" s="1882"/>
      <c r="BN550" s="1882"/>
      <c r="BO550" s="1882"/>
      <c r="BQ550" s="1882"/>
      <c r="BR550" s="1882"/>
      <c r="BS550" s="1882"/>
      <c r="BT550" s="1882"/>
      <c r="BU550" s="1882"/>
      <c r="BV550" s="1882"/>
      <c r="BW550" s="1882"/>
      <c r="BX550" s="1882"/>
      <c r="BY550" s="1882"/>
      <c r="BZ550" s="1882"/>
      <c r="CA550" s="1882"/>
      <c r="CB550" s="1882"/>
      <c r="CC550" s="1882" t="s">
        <v>2451</v>
      </c>
      <c r="CH550" s="1882"/>
      <c r="CI550" s="1882">
        <v>27.500000000000004</v>
      </c>
      <c r="CJ550" s="1882" t="s">
        <v>2451</v>
      </c>
      <c r="CK550" s="1882">
        <v>0</v>
      </c>
      <c r="CL550" s="1882">
        <v>0</v>
      </c>
      <c r="CM550" s="1882">
        <v>0</v>
      </c>
      <c r="CN550" s="1882">
        <v>0</v>
      </c>
      <c r="CP550" s="1882" t="s">
        <v>11512</v>
      </c>
    </row>
    <row r="551" spans="1:94">
      <c r="A551" s="1882" t="s">
        <v>8421</v>
      </c>
      <c r="B551" s="1882" t="s">
        <v>11513</v>
      </c>
      <c r="C551" s="1882" t="s">
        <v>8352</v>
      </c>
      <c r="D551" s="1882" t="s">
        <v>1626</v>
      </c>
      <c r="E551" s="1882" t="s">
        <v>8503</v>
      </c>
      <c r="F551" s="1882" t="s">
        <v>10057</v>
      </c>
      <c r="G551" s="1882" t="s">
        <v>10082</v>
      </c>
      <c r="H551" s="1882" t="s">
        <v>10083</v>
      </c>
      <c r="I551" s="1882" t="s">
        <v>10084</v>
      </c>
      <c r="J551" s="1882" t="s">
        <v>8519</v>
      </c>
      <c r="K551" s="1882" t="s">
        <v>8855</v>
      </c>
      <c r="L551" s="1882"/>
      <c r="M551" s="1882" t="s">
        <v>2460</v>
      </c>
      <c r="N551" s="1882" t="s">
        <v>8569</v>
      </c>
      <c r="O551" s="1882" t="s">
        <v>764</v>
      </c>
      <c r="P551" s="1882" t="s">
        <v>8570</v>
      </c>
      <c r="Q551" s="520">
        <v>0</v>
      </c>
      <c r="R551" s="1882"/>
      <c r="S551" s="1882"/>
      <c r="T551" s="1882"/>
      <c r="U551" s="1882"/>
      <c r="V551" s="1882"/>
      <c r="W551" s="1882"/>
      <c r="X551" s="1882"/>
      <c r="Y551" s="1882"/>
      <c r="Z551" s="1882"/>
      <c r="AA551" s="1882"/>
      <c r="AB551" s="1882"/>
      <c r="AC551" s="1882"/>
      <c r="AD551" s="1882"/>
      <c r="AE551" s="1882"/>
      <c r="AF551" s="1882"/>
      <c r="AG551" s="1882"/>
      <c r="AH551" s="1882"/>
      <c r="AI551" s="1882"/>
      <c r="AJ551" s="1882"/>
      <c r="AK551" s="1882"/>
      <c r="AL551" s="1882"/>
      <c r="AM551" s="1882"/>
      <c r="AN551" s="1882"/>
      <c r="AO551" s="1882"/>
      <c r="AP551" s="1882"/>
      <c r="AQ551" s="1882"/>
      <c r="AR551" s="1882"/>
      <c r="AS551" s="1882"/>
      <c r="AT551" s="1882"/>
      <c r="AU551" s="1882"/>
      <c r="AV551" s="1882"/>
      <c r="AW551" s="1882"/>
      <c r="AX551" s="1882"/>
      <c r="AY551" s="1882"/>
      <c r="AZ551" s="1882"/>
      <c r="BA551" s="1882"/>
      <c r="BB551" s="1882"/>
      <c r="BC551" s="1882"/>
      <c r="BD551" s="1882"/>
      <c r="BE551" s="1882"/>
      <c r="BF551" s="1882"/>
      <c r="BG551" s="1882"/>
      <c r="BH551" s="1882"/>
      <c r="BI551" s="1882"/>
      <c r="BJ551" s="1882"/>
      <c r="BK551" s="1882"/>
      <c r="BL551" s="1882"/>
      <c r="BM551" s="1882"/>
      <c r="BN551" s="1882"/>
      <c r="BO551" s="1882"/>
      <c r="BQ551" s="1882"/>
      <c r="BR551" s="1882"/>
      <c r="BS551" s="1882"/>
      <c r="BT551" s="1882"/>
      <c r="BU551" s="1882"/>
      <c r="BV551" s="1882"/>
      <c r="BW551" s="1882"/>
      <c r="BX551" s="1882"/>
      <c r="BY551" s="1882"/>
      <c r="BZ551" s="1882"/>
      <c r="CA551" s="1882"/>
      <c r="CB551" s="1882"/>
      <c r="CC551" s="1882" t="s">
        <v>2451</v>
      </c>
      <c r="CH551" s="1882"/>
      <c r="CI551" s="1882">
        <v>148</v>
      </c>
      <c r="CJ551" s="1882" t="s">
        <v>2459</v>
      </c>
      <c r="CK551" s="1882">
        <v>0</v>
      </c>
      <c r="CL551" s="1882">
        <v>0</v>
      </c>
      <c r="CM551" s="1882">
        <v>0</v>
      </c>
      <c r="CN551" s="1882">
        <v>0</v>
      </c>
      <c r="CP551" s="1882" t="s">
        <v>11514</v>
      </c>
    </row>
    <row r="552" spans="1:94">
      <c r="A552" s="1882" t="s">
        <v>8421</v>
      </c>
      <c r="B552" s="1882" t="s">
        <v>11515</v>
      </c>
      <c r="C552" s="1882" t="s">
        <v>8352</v>
      </c>
      <c r="D552" s="1882" t="s">
        <v>1626</v>
      </c>
      <c r="E552" s="1882" t="s">
        <v>8503</v>
      </c>
      <c r="F552" s="1882" t="s">
        <v>10057</v>
      </c>
      <c r="G552" s="1882" t="s">
        <v>10088</v>
      </c>
      <c r="H552" s="1882" t="s">
        <v>10089</v>
      </c>
      <c r="I552" s="1882" t="s">
        <v>10090</v>
      </c>
      <c r="J552" s="1882" t="s">
        <v>8508</v>
      </c>
      <c r="K552" s="1882" t="s">
        <v>8509</v>
      </c>
      <c r="L552" s="1882" t="s">
        <v>2459</v>
      </c>
      <c r="M552" s="1882"/>
      <c r="N552" s="1882" t="s">
        <v>8613</v>
      </c>
      <c r="O552" s="1882" t="s">
        <v>764</v>
      </c>
      <c r="P552" s="1882" t="s">
        <v>10091</v>
      </c>
      <c r="Q552" s="520">
        <v>0</v>
      </c>
      <c r="R552" s="1882"/>
      <c r="S552" s="1882"/>
      <c r="T552" s="1882"/>
      <c r="U552" s="1882"/>
      <c r="V552" s="1882"/>
      <c r="W552" s="1882"/>
      <c r="X552" s="1882"/>
      <c r="Y552" s="1882"/>
      <c r="Z552" s="1882"/>
      <c r="AA552" s="1882"/>
      <c r="AB552" s="1882"/>
      <c r="AC552" s="1882"/>
      <c r="AD552" s="1882"/>
      <c r="AE552" s="1882"/>
      <c r="AF552" s="1882"/>
      <c r="AG552" s="1882"/>
      <c r="AH552" s="1882"/>
      <c r="AI552" s="1882"/>
      <c r="AJ552" s="1882"/>
      <c r="AK552" s="1882"/>
      <c r="AL552" s="1882"/>
      <c r="AM552" s="1882"/>
      <c r="AN552" s="1882"/>
      <c r="AO552" s="1882"/>
      <c r="AP552" s="1882"/>
      <c r="AQ552" s="1882"/>
      <c r="AR552" s="1882"/>
      <c r="AS552" s="1882"/>
      <c r="AT552" s="1882"/>
      <c r="AU552" s="1882"/>
      <c r="AV552" s="1882"/>
      <c r="AW552" s="1882"/>
      <c r="AX552" s="1882"/>
      <c r="AY552" s="1882"/>
      <c r="AZ552" s="1882"/>
      <c r="BA552" s="1882"/>
      <c r="BB552" s="1882"/>
      <c r="BC552" s="1882"/>
      <c r="BD552" s="1882"/>
      <c r="BE552" s="1882"/>
      <c r="BF552" s="1882"/>
      <c r="BG552" s="1882"/>
      <c r="BH552" s="1882"/>
      <c r="BI552" s="1882"/>
      <c r="BJ552" s="1882"/>
      <c r="BK552" s="1882"/>
      <c r="BL552" s="1882"/>
      <c r="BM552" s="1882"/>
      <c r="BN552" s="1882"/>
      <c r="BO552" s="1882"/>
      <c r="BQ552" s="1882"/>
      <c r="BR552" s="1882"/>
      <c r="BS552" s="1882"/>
      <c r="BT552" s="1882"/>
      <c r="BU552" s="1882"/>
      <c r="BV552" s="1882"/>
      <c r="BW552" s="1882"/>
      <c r="BX552" s="1882"/>
      <c r="BY552" s="1882"/>
      <c r="BZ552" s="1882"/>
      <c r="CA552" s="1882"/>
      <c r="CB552" s="1882"/>
      <c r="CC552" s="1882" t="s">
        <v>2451</v>
      </c>
      <c r="CH552" s="1882"/>
      <c r="CI552" s="1882">
        <v>11</v>
      </c>
      <c r="CJ552" s="1882" t="s">
        <v>2459</v>
      </c>
      <c r="CK552" s="1882" t="s">
        <v>8376</v>
      </c>
      <c r="CL552" s="1882">
        <v>4.7400000000000003E-3</v>
      </c>
      <c r="CM552" s="1882">
        <v>0</v>
      </c>
      <c r="CN552" s="1882">
        <v>0</v>
      </c>
      <c r="CP552" s="1882" t="s">
        <v>11516</v>
      </c>
    </row>
    <row r="553" spans="1:94">
      <c r="A553" s="1882" t="s">
        <v>8421</v>
      </c>
      <c r="B553" s="1882" t="s">
        <v>11517</v>
      </c>
      <c r="C553" s="1882" t="s">
        <v>8352</v>
      </c>
      <c r="D553" s="1882" t="s">
        <v>1626</v>
      </c>
      <c r="E553" s="1882" t="s">
        <v>8503</v>
      </c>
      <c r="F553" s="1882" t="s">
        <v>10057</v>
      </c>
      <c r="G553" s="1882" t="s">
        <v>10094</v>
      </c>
      <c r="H553" s="1882" t="s">
        <v>10095</v>
      </c>
      <c r="I553" s="1882" t="s">
        <v>10096</v>
      </c>
      <c r="J553" s="1882" t="s">
        <v>8508</v>
      </c>
      <c r="K553" s="1882" t="s">
        <v>8509</v>
      </c>
      <c r="L553" s="1882" t="s">
        <v>2459</v>
      </c>
      <c r="M553" s="1882" t="s">
        <v>2460</v>
      </c>
      <c r="N553" s="1882" t="s">
        <v>8635</v>
      </c>
      <c r="O553" s="1882" t="s">
        <v>764</v>
      </c>
      <c r="P553" s="1882" t="s">
        <v>10097</v>
      </c>
      <c r="Q553" s="520">
        <v>0</v>
      </c>
      <c r="R553" s="1882"/>
      <c r="S553" s="1882"/>
      <c r="T553" s="1882"/>
      <c r="U553" s="1882"/>
      <c r="V553" s="1882"/>
      <c r="W553" s="1882"/>
      <c r="X553" s="1882"/>
      <c r="Y553" s="1882"/>
      <c r="Z553" s="1882"/>
      <c r="AA553" s="1882"/>
      <c r="AB553" s="1882"/>
      <c r="AC553" s="1882"/>
      <c r="AD553" s="1882"/>
      <c r="AE553" s="1882"/>
      <c r="AF553" s="1882"/>
      <c r="AG553" s="1882"/>
      <c r="AH553" s="1882"/>
      <c r="AI553" s="1882"/>
      <c r="AJ553" s="1882"/>
      <c r="AK553" s="1882"/>
      <c r="AL553" s="1882"/>
      <c r="AM553" s="1882"/>
      <c r="AN553" s="1882"/>
      <c r="AO553" s="1882"/>
      <c r="AP553" s="1882"/>
      <c r="AQ553" s="1882"/>
      <c r="AR553" s="1882"/>
      <c r="AS553" s="1882"/>
      <c r="AT553" s="1882"/>
      <c r="AU553" s="1882"/>
      <c r="AV553" s="1882"/>
      <c r="AW553" s="1882"/>
      <c r="AX553" s="1882"/>
      <c r="AY553" s="1882"/>
      <c r="AZ553" s="1882"/>
      <c r="BA553" s="1882"/>
      <c r="BB553" s="1882"/>
      <c r="BC553" s="1882"/>
      <c r="BD553" s="1882"/>
      <c r="BE553" s="1882"/>
      <c r="BF553" s="1882"/>
      <c r="BG553" s="1882"/>
      <c r="BH553" s="1882"/>
      <c r="BI553" s="1882"/>
      <c r="BJ553" s="1882"/>
      <c r="BK553" s="1882"/>
      <c r="BL553" s="1882"/>
      <c r="BM553" s="1882"/>
      <c r="BN553" s="1882"/>
      <c r="BO553" s="1882"/>
      <c r="BQ553" s="1882"/>
      <c r="BR553" s="1882"/>
      <c r="BS553" s="1882"/>
      <c r="BT553" s="1882"/>
      <c r="BU553" s="1882"/>
      <c r="BV553" s="1882"/>
      <c r="BW553" s="1882"/>
      <c r="BX553" s="1882"/>
      <c r="BY553" s="1882"/>
      <c r="BZ553" s="1882"/>
      <c r="CA553" s="1882"/>
      <c r="CB553" s="1882"/>
      <c r="CC553" s="1882" t="s">
        <v>2451</v>
      </c>
      <c r="CH553" s="1882"/>
      <c r="CI553" s="1882">
        <v>0</v>
      </c>
      <c r="CJ553" s="1882" t="s">
        <v>2459</v>
      </c>
      <c r="CK553" s="1882">
        <v>0</v>
      </c>
      <c r="CL553" s="1882">
        <v>0</v>
      </c>
      <c r="CM553" s="1882">
        <v>0</v>
      </c>
      <c r="CN553" s="1882">
        <v>0</v>
      </c>
      <c r="CP553" s="1882" t="s">
        <v>11518</v>
      </c>
    </row>
    <row r="554" spans="1:94">
      <c r="A554" s="1882" t="s">
        <v>8421</v>
      </c>
      <c r="B554" s="1882" t="s">
        <v>11519</v>
      </c>
      <c r="C554" s="1882" t="s">
        <v>8352</v>
      </c>
      <c r="D554" s="1882" t="s">
        <v>1626</v>
      </c>
      <c r="E554" s="1882" t="s">
        <v>8503</v>
      </c>
      <c r="F554" s="1882" t="s">
        <v>10138</v>
      </c>
      <c r="G554" s="1882" t="s">
        <v>8559</v>
      </c>
      <c r="H554" s="1882" t="s">
        <v>10139</v>
      </c>
      <c r="I554" s="1882" t="s">
        <v>10140</v>
      </c>
      <c r="J554" s="1882" t="s">
        <v>8508</v>
      </c>
      <c r="K554" s="1882" t="s">
        <v>8509</v>
      </c>
      <c r="L554" s="1882" t="s">
        <v>2459</v>
      </c>
      <c r="M554" s="1882"/>
      <c r="N554" s="1882" t="s">
        <v>8599</v>
      </c>
      <c r="O554" s="1882" t="s">
        <v>732</v>
      </c>
      <c r="P554" s="1882" t="s">
        <v>8696</v>
      </c>
      <c r="Q554" s="520">
        <v>0</v>
      </c>
      <c r="R554" s="1882"/>
      <c r="S554" s="1882"/>
      <c r="T554" s="1882"/>
      <c r="U554" s="1882"/>
      <c r="V554" s="1882"/>
      <c r="W554" s="1882"/>
      <c r="X554" s="1882"/>
      <c r="Y554" s="1882"/>
      <c r="Z554" s="1882"/>
      <c r="AA554" s="1882"/>
      <c r="AB554" s="1882"/>
      <c r="AC554" s="1882"/>
      <c r="AD554" s="1882"/>
      <c r="AE554" s="1882"/>
      <c r="AF554" s="1882"/>
      <c r="AG554" s="1882"/>
      <c r="AH554" s="1882"/>
      <c r="AI554" s="1882"/>
      <c r="AJ554" s="1882"/>
      <c r="AK554" s="1882"/>
      <c r="AL554" s="1882"/>
      <c r="AM554" s="1882"/>
      <c r="AN554" s="1882"/>
      <c r="AO554" s="1882"/>
      <c r="AP554" s="1882"/>
      <c r="AQ554" s="1882"/>
      <c r="AR554" s="1882"/>
      <c r="AS554" s="1882"/>
      <c r="AT554" s="1882"/>
      <c r="AU554" s="1882"/>
      <c r="AV554" s="1882"/>
      <c r="AW554" s="1882"/>
      <c r="AX554" s="1882"/>
      <c r="AY554" s="1882"/>
      <c r="AZ554" s="1882"/>
      <c r="BA554" s="1882"/>
      <c r="BB554" s="1882"/>
      <c r="BC554" s="1882"/>
      <c r="BD554" s="1882"/>
      <c r="BE554" s="1882"/>
      <c r="BF554" s="1882"/>
      <c r="BG554" s="1882"/>
      <c r="BH554" s="1882"/>
      <c r="BI554" s="1882"/>
      <c r="BJ554" s="1882"/>
      <c r="BK554" s="1882"/>
      <c r="BL554" s="1882"/>
      <c r="BM554" s="1882"/>
      <c r="BN554" s="1882"/>
      <c r="BO554" s="1882"/>
      <c r="BQ554" s="1882"/>
      <c r="BR554" s="1882"/>
      <c r="BS554" s="1882"/>
      <c r="BT554" s="1882"/>
      <c r="BU554" s="1882"/>
      <c r="BV554" s="1882"/>
      <c r="BW554" s="1882"/>
      <c r="BX554" s="1882"/>
      <c r="BY554" s="1882"/>
      <c r="BZ554" s="1882"/>
      <c r="CA554" s="1882"/>
      <c r="CB554" s="1882"/>
      <c r="CC554" s="1882" t="s">
        <v>2451</v>
      </c>
      <c r="CH554" s="1882"/>
      <c r="CI554" s="1882" t="s">
        <v>10106</v>
      </c>
      <c r="CJ554" s="1882" t="s">
        <v>2451</v>
      </c>
      <c r="CK554" s="1882" t="s">
        <v>8376</v>
      </c>
      <c r="CL554" s="1882">
        <v>7.2499999999999995E-4</v>
      </c>
      <c r="CM554" s="1882">
        <v>0</v>
      </c>
      <c r="CN554" s="1882">
        <v>0</v>
      </c>
      <c r="CP554" s="1882" t="s">
        <v>11520</v>
      </c>
    </row>
    <row r="555" spans="1:94">
      <c r="A555" s="1882" t="s">
        <v>8421</v>
      </c>
      <c r="B555" s="1882" t="s">
        <v>11521</v>
      </c>
      <c r="C555" s="1882" t="s">
        <v>8352</v>
      </c>
      <c r="D555" s="1882" t="s">
        <v>1626</v>
      </c>
      <c r="E555" s="1882" t="s">
        <v>8503</v>
      </c>
      <c r="F555" s="1882" t="s">
        <v>10143</v>
      </c>
      <c r="G555" s="1882" t="s">
        <v>8646</v>
      </c>
      <c r="H555" s="1882" t="s">
        <v>10149</v>
      </c>
      <c r="I555" s="1882" t="s">
        <v>10150</v>
      </c>
      <c r="J555" s="1882" t="s">
        <v>8539</v>
      </c>
      <c r="K555" s="1882"/>
      <c r="L555" s="1882"/>
      <c r="M555" s="1882"/>
      <c r="N555" s="1882" t="s">
        <v>8673</v>
      </c>
      <c r="O555" s="1882" t="s">
        <v>732</v>
      </c>
      <c r="P555" s="1882" t="s">
        <v>10151</v>
      </c>
      <c r="Q555" s="520">
        <v>0</v>
      </c>
      <c r="R555" s="1882"/>
      <c r="S555" s="1882"/>
      <c r="T555" s="1882"/>
      <c r="U555" s="1882"/>
      <c r="V555" s="1882"/>
      <c r="W555" s="1882"/>
      <c r="X555" s="1882"/>
      <c r="Y555" s="1882"/>
      <c r="Z555" s="1882"/>
      <c r="AA555" s="1882"/>
      <c r="AB555" s="1882"/>
      <c r="AC555" s="1882"/>
      <c r="AD555" s="1882"/>
      <c r="AE555" s="1882"/>
      <c r="AF555" s="1882"/>
      <c r="AG555" s="1882"/>
      <c r="AH555" s="1882"/>
      <c r="AI555" s="1882"/>
      <c r="AJ555" s="1882"/>
      <c r="AK555" s="1882"/>
      <c r="AL555" s="1882"/>
      <c r="AM555" s="1882"/>
      <c r="AN555" s="1882"/>
      <c r="AO555" s="1882"/>
      <c r="AP555" s="1882"/>
      <c r="AQ555" s="1882"/>
      <c r="AR555" s="1882"/>
      <c r="AS555" s="1882"/>
      <c r="AT555" s="1882"/>
      <c r="AU555" s="1882"/>
      <c r="AV555" s="1882"/>
      <c r="AW555" s="1882"/>
      <c r="AX555" s="1882"/>
      <c r="AY555" s="1882"/>
      <c r="AZ555" s="1882"/>
      <c r="BA555" s="1882"/>
      <c r="BB555" s="1882"/>
      <c r="BC555" s="1882"/>
      <c r="BD555" s="1882"/>
      <c r="BE555" s="1882"/>
      <c r="BF555" s="1882"/>
      <c r="BG555" s="1882"/>
      <c r="BH555" s="1882"/>
      <c r="BI555" s="1882"/>
      <c r="BJ555" s="1882"/>
      <c r="BK555" s="1882"/>
      <c r="BL555" s="1882"/>
      <c r="BM555" s="1882"/>
      <c r="BN555" s="1882"/>
      <c r="BO555" s="1882"/>
      <c r="BQ555" s="1882"/>
      <c r="BR555" s="1882"/>
      <c r="BS555" s="1882"/>
      <c r="BT555" s="1882"/>
      <c r="BU555" s="1882"/>
      <c r="BV555" s="1882"/>
      <c r="BW555" s="1882"/>
      <c r="BX555" s="1882"/>
      <c r="BY555" s="1882"/>
      <c r="BZ555" s="1882"/>
      <c r="CA555" s="1882"/>
      <c r="CB555" s="1882"/>
      <c r="CC555" s="1882" t="s">
        <v>2451</v>
      </c>
      <c r="CH555" s="1882"/>
      <c r="CI555" s="1882">
        <v>97.694825362658506</v>
      </c>
      <c r="CJ555" s="1882" t="s">
        <v>2460</v>
      </c>
      <c r="CK555" s="1882">
        <v>0</v>
      </c>
      <c r="CL555" s="1882">
        <v>0</v>
      </c>
      <c r="CM555" s="1882">
        <v>0</v>
      </c>
      <c r="CN555" s="1882">
        <v>0</v>
      </c>
      <c r="CP555" s="1882" t="s">
        <v>11522</v>
      </c>
    </row>
    <row r="556" spans="1:94">
      <c r="A556" s="1882" t="s">
        <v>8421</v>
      </c>
      <c r="B556" s="1882" t="s">
        <v>11523</v>
      </c>
      <c r="C556" s="1882" t="s">
        <v>8352</v>
      </c>
      <c r="D556" s="1882" t="s">
        <v>1626</v>
      </c>
      <c r="E556" s="1882" t="s">
        <v>8503</v>
      </c>
      <c r="F556" s="1882" t="s">
        <v>10164</v>
      </c>
      <c r="G556" s="1882" t="s">
        <v>8663</v>
      </c>
      <c r="H556" s="1882" t="s">
        <v>10165</v>
      </c>
      <c r="I556" s="1882" t="s">
        <v>10166</v>
      </c>
      <c r="J556" s="1882" t="s">
        <v>8508</v>
      </c>
      <c r="K556" s="1882" t="s">
        <v>8509</v>
      </c>
      <c r="L556" s="1882" t="s">
        <v>2459</v>
      </c>
      <c r="M556" s="1882"/>
      <c r="N556" s="1882" t="s">
        <v>8681</v>
      </c>
      <c r="O556" s="1882" t="s">
        <v>764</v>
      </c>
      <c r="P556" s="1882" t="s">
        <v>9180</v>
      </c>
      <c r="Q556" s="520">
        <v>3</v>
      </c>
      <c r="R556" s="1882"/>
      <c r="S556" s="1882"/>
      <c r="T556" s="1882"/>
      <c r="U556" s="1882"/>
      <c r="V556" s="1882"/>
      <c r="W556" s="1882"/>
      <c r="X556" s="1882"/>
      <c r="Y556" s="1882"/>
      <c r="Z556" s="1882"/>
      <c r="AA556" s="1882"/>
      <c r="AB556" s="1882"/>
      <c r="AC556" s="1882"/>
      <c r="AD556" s="1882"/>
      <c r="AE556" s="1882"/>
      <c r="AF556" s="1882"/>
      <c r="AG556" s="1882"/>
      <c r="AH556" s="1882"/>
      <c r="AI556" s="1882"/>
      <c r="AJ556" s="1882"/>
      <c r="AK556" s="1882"/>
      <c r="AL556" s="1882"/>
      <c r="AM556" s="1882"/>
      <c r="AN556" s="1882"/>
      <c r="AO556" s="1882"/>
      <c r="AP556" s="1882"/>
      <c r="AQ556" s="1882"/>
      <c r="AR556" s="1882"/>
      <c r="AS556" s="1882"/>
      <c r="AT556" s="1882"/>
      <c r="AU556" s="1882"/>
      <c r="AV556" s="1882"/>
      <c r="AW556" s="1882"/>
      <c r="AX556" s="1882"/>
      <c r="AY556" s="1882"/>
      <c r="AZ556" s="1882"/>
      <c r="BA556" s="1882"/>
      <c r="BB556" s="1882"/>
      <c r="BC556" s="1882"/>
      <c r="BD556" s="1882"/>
      <c r="BE556" s="1882"/>
      <c r="BF556" s="1882"/>
      <c r="BG556" s="1882"/>
      <c r="BH556" s="1882"/>
      <c r="BI556" s="1882"/>
      <c r="BJ556" s="1882"/>
      <c r="BK556" s="1882"/>
      <c r="BL556" s="1882"/>
      <c r="BM556" s="1882"/>
      <c r="BN556" s="1882"/>
      <c r="BO556" s="1882"/>
      <c r="BQ556" s="1882"/>
      <c r="BR556" s="1882"/>
      <c r="BS556" s="1882"/>
      <c r="BT556" s="1882"/>
      <c r="BU556" s="1882"/>
      <c r="BV556" s="1882"/>
      <c r="BW556" s="1882"/>
      <c r="BX556" s="1882"/>
      <c r="BY556" s="1882"/>
      <c r="BZ556" s="1882"/>
      <c r="CA556" s="1882"/>
      <c r="CB556" s="1882"/>
      <c r="CC556" s="1882" t="s">
        <v>2451</v>
      </c>
      <c r="CH556" s="1882"/>
      <c r="CI556" s="1882">
        <v>1</v>
      </c>
      <c r="CJ556" s="1882" t="s">
        <v>2459</v>
      </c>
      <c r="CK556" s="1882">
        <v>0</v>
      </c>
      <c r="CL556" s="1882">
        <v>0</v>
      </c>
      <c r="CM556" s="1882">
        <v>0</v>
      </c>
      <c r="CN556" s="1882">
        <v>0</v>
      </c>
      <c r="CP556" s="1882" t="s">
        <v>11524</v>
      </c>
    </row>
    <row r="557" spans="1:94">
      <c r="A557" s="1882" t="s">
        <v>8421</v>
      </c>
      <c r="B557" s="1882" t="s">
        <v>11525</v>
      </c>
      <c r="C557" s="1882" t="s">
        <v>8352</v>
      </c>
      <c r="D557" s="1882" t="s">
        <v>1626</v>
      </c>
      <c r="E557" s="1882" t="s">
        <v>8503</v>
      </c>
      <c r="F557" s="1882" t="s">
        <v>10169</v>
      </c>
      <c r="G557" s="1882" t="s">
        <v>8678</v>
      </c>
      <c r="H557" s="1882" t="s">
        <v>10170</v>
      </c>
      <c r="I557" s="1882" t="s">
        <v>10171</v>
      </c>
      <c r="J557" s="1882" t="s">
        <v>8539</v>
      </c>
      <c r="K557" s="1882"/>
      <c r="L557" s="1882"/>
      <c r="M557" s="1882"/>
      <c r="N557" s="1882" t="s">
        <v>9592</v>
      </c>
      <c r="O557" s="1882" t="s">
        <v>764</v>
      </c>
      <c r="P557" s="1882" t="s">
        <v>10172</v>
      </c>
      <c r="Q557" s="520">
        <v>0</v>
      </c>
      <c r="R557" s="1882"/>
      <c r="S557" s="1882"/>
      <c r="T557" s="1882"/>
      <c r="U557" s="1882"/>
      <c r="V557" s="1882"/>
      <c r="W557" s="1882"/>
      <c r="X557" s="1882"/>
      <c r="Y557" s="1882"/>
      <c r="Z557" s="1882"/>
      <c r="AA557" s="1882"/>
      <c r="AB557" s="1882"/>
      <c r="AC557" s="1882"/>
      <c r="AD557" s="1882"/>
      <c r="AE557" s="1882"/>
      <c r="AF557" s="1882"/>
      <c r="AG557" s="1882"/>
      <c r="AH557" s="1882"/>
      <c r="AI557" s="1882"/>
      <c r="AJ557" s="1882"/>
      <c r="AK557" s="1882"/>
      <c r="AL557" s="1882"/>
      <c r="AM557" s="1882"/>
      <c r="AN557" s="1882"/>
      <c r="AO557" s="1882"/>
      <c r="AP557" s="1882"/>
      <c r="AQ557" s="1882"/>
      <c r="AR557" s="1882"/>
      <c r="AS557" s="1882"/>
      <c r="AT557" s="1882"/>
      <c r="AU557" s="1882"/>
      <c r="AV557" s="1882"/>
      <c r="AW557" s="1882"/>
      <c r="AX557" s="1882"/>
      <c r="AY557" s="1882"/>
      <c r="AZ557" s="1882"/>
      <c r="BA557" s="1882"/>
      <c r="BB557" s="1882"/>
      <c r="BC557" s="1882"/>
      <c r="BD557" s="1882"/>
      <c r="BE557" s="1882"/>
      <c r="BF557" s="1882"/>
      <c r="BG557" s="1882"/>
      <c r="BH557" s="1882"/>
      <c r="BI557" s="1882"/>
      <c r="BJ557" s="1882"/>
      <c r="BK557" s="1882"/>
      <c r="BL557" s="1882"/>
      <c r="BM557" s="1882"/>
      <c r="BN557" s="1882"/>
      <c r="BO557" s="1882"/>
      <c r="BQ557" s="1882"/>
      <c r="BR557" s="1882"/>
      <c r="BS557" s="1882"/>
      <c r="BT557" s="1882"/>
      <c r="BU557" s="1882"/>
      <c r="BV557" s="1882"/>
      <c r="BW557" s="1882"/>
      <c r="BX557" s="1882"/>
      <c r="BY557" s="1882"/>
      <c r="BZ557" s="1882"/>
      <c r="CA557" s="1882"/>
      <c r="CB557" s="1882"/>
      <c r="CC557" s="1882" t="s">
        <v>2451</v>
      </c>
      <c r="CH557" s="1882"/>
      <c r="CI557" s="1882">
        <v>534</v>
      </c>
      <c r="CJ557" s="1882" t="s">
        <v>2460</v>
      </c>
      <c r="CK557" s="1882">
        <v>0</v>
      </c>
      <c r="CL557" s="1882">
        <v>0</v>
      </c>
      <c r="CM557" s="1882">
        <v>0</v>
      </c>
      <c r="CN557" s="1882">
        <v>0</v>
      </c>
      <c r="CP557" s="1882" t="s">
        <v>11526</v>
      </c>
    </row>
    <row r="558" spans="1:94">
      <c r="A558" s="1882" t="s">
        <v>8421</v>
      </c>
      <c r="B558" s="1882" t="s">
        <v>11527</v>
      </c>
      <c r="C558" s="1882" t="s">
        <v>8352</v>
      </c>
      <c r="D558" s="1882" t="s">
        <v>1627</v>
      </c>
      <c r="E558" s="1882" t="s">
        <v>8720</v>
      </c>
      <c r="F558" s="1882" t="s">
        <v>10175</v>
      </c>
      <c r="G558" s="1882" t="s">
        <v>9193</v>
      </c>
      <c r="H558" s="1882" t="s">
        <v>10176</v>
      </c>
      <c r="I558" s="1882" t="s">
        <v>10177</v>
      </c>
      <c r="J558" s="1882" t="s">
        <v>8508</v>
      </c>
      <c r="K558" s="1882" t="s">
        <v>8509</v>
      </c>
      <c r="L558" s="1882" t="s">
        <v>2459</v>
      </c>
      <c r="M558" s="1882" t="s">
        <v>2460</v>
      </c>
      <c r="N558" s="1882" t="s">
        <v>8724</v>
      </c>
      <c r="O558" s="1882" t="s">
        <v>764</v>
      </c>
      <c r="P558" s="1882" t="s">
        <v>9847</v>
      </c>
      <c r="Q558" s="520">
        <v>0</v>
      </c>
      <c r="R558" s="1882"/>
      <c r="S558" s="1882"/>
      <c r="T558" s="1882"/>
      <c r="U558" s="1882"/>
      <c r="V558" s="1882"/>
      <c r="W558" s="1882"/>
      <c r="X558" s="1882"/>
      <c r="Y558" s="1882"/>
      <c r="Z558" s="1882"/>
      <c r="AA558" s="1882"/>
      <c r="AB558" s="1882"/>
      <c r="AC558" s="1882"/>
      <c r="AD558" s="1882"/>
      <c r="AE558" s="1882"/>
      <c r="AF558" s="1882"/>
      <c r="AG558" s="1882"/>
      <c r="AH558" s="1882"/>
      <c r="AI558" s="1882"/>
      <c r="AJ558" s="1882"/>
      <c r="AK558" s="1882"/>
      <c r="AL558" s="1882"/>
      <c r="AM558" s="1882"/>
      <c r="AN558" s="1882"/>
      <c r="AO558" s="1882"/>
      <c r="AP558" s="1882"/>
      <c r="AQ558" s="1882"/>
      <c r="AR558" s="1882"/>
      <c r="AS558" s="1882"/>
      <c r="AT558" s="1882"/>
      <c r="AU558" s="1882"/>
      <c r="AV558" s="1882"/>
      <c r="AW558" s="1882"/>
      <c r="AX558" s="1882"/>
      <c r="AY558" s="1882"/>
      <c r="AZ558" s="1882"/>
      <c r="BA558" s="1882"/>
      <c r="BB558" s="1882"/>
      <c r="BC558" s="1882"/>
      <c r="BD558" s="1882"/>
      <c r="BE558" s="1882"/>
      <c r="BF558" s="1882"/>
      <c r="BG558" s="1882"/>
      <c r="BH558" s="1882"/>
      <c r="BI558" s="1882"/>
      <c r="BJ558" s="1882"/>
      <c r="BK558" s="1882"/>
      <c r="BL558" s="1882"/>
      <c r="BM558" s="1882"/>
      <c r="BN558" s="1882"/>
      <c r="BO558" s="1882"/>
      <c r="BQ558" s="1882"/>
      <c r="BR558" s="1882"/>
      <c r="BS558" s="1882"/>
      <c r="BT558" s="1882"/>
      <c r="BU558" s="1882"/>
      <c r="BV558" s="1882"/>
      <c r="BW558" s="1882"/>
      <c r="BX558" s="1882"/>
      <c r="BY558" s="1882"/>
      <c r="BZ558" s="1882"/>
      <c r="CA558" s="1882"/>
      <c r="CB558" s="1882"/>
      <c r="CC558" s="1882" t="s">
        <v>2451</v>
      </c>
      <c r="CH558" s="1882"/>
      <c r="CI558" s="1882">
        <v>4</v>
      </c>
      <c r="CJ558" s="1882" t="s">
        <v>2459</v>
      </c>
      <c r="CK558" s="1882" t="s">
        <v>8376</v>
      </c>
      <c r="CL558" s="1882">
        <v>1.2329999999999999E-3</v>
      </c>
      <c r="CM558" s="1882">
        <v>0</v>
      </c>
      <c r="CN558" s="1882">
        <v>0</v>
      </c>
      <c r="CP558" s="1882" t="s">
        <v>11528</v>
      </c>
    </row>
    <row r="559" spans="1:94">
      <c r="A559" s="1882" t="s">
        <v>8421</v>
      </c>
      <c r="B559" s="1882" t="s">
        <v>11529</v>
      </c>
      <c r="C559" s="1882" t="s">
        <v>8352</v>
      </c>
      <c r="D559" s="1882" t="s">
        <v>1627</v>
      </c>
      <c r="E559" s="1882" t="s">
        <v>8720</v>
      </c>
      <c r="F559" s="1882" t="s">
        <v>10175</v>
      </c>
      <c r="G559" s="1882" t="s">
        <v>8721</v>
      </c>
      <c r="H559" s="1882" t="s">
        <v>10180</v>
      </c>
      <c r="I559" s="1882" t="s">
        <v>10181</v>
      </c>
      <c r="J559" s="1882" t="s">
        <v>8508</v>
      </c>
      <c r="K559" s="1882" t="s">
        <v>8509</v>
      </c>
      <c r="L559" s="1882" t="s">
        <v>2459</v>
      </c>
      <c r="M559" s="1882" t="s">
        <v>2460</v>
      </c>
      <c r="N559" s="1882" t="s">
        <v>8724</v>
      </c>
      <c r="O559" s="1882" t="s">
        <v>764</v>
      </c>
      <c r="P559" s="1882" t="s">
        <v>9852</v>
      </c>
      <c r="Q559" s="520">
        <v>0</v>
      </c>
      <c r="R559" s="1882"/>
      <c r="S559" s="1882"/>
      <c r="T559" s="1882"/>
      <c r="U559" s="1882"/>
      <c r="V559" s="1882"/>
      <c r="W559" s="1882"/>
      <c r="X559" s="1882"/>
      <c r="Y559" s="1882"/>
      <c r="Z559" s="1882"/>
      <c r="AA559" s="1882"/>
      <c r="AB559" s="1882"/>
      <c r="AC559" s="1882"/>
      <c r="AD559" s="1882"/>
      <c r="AE559" s="1882"/>
      <c r="AF559" s="1882"/>
      <c r="AG559" s="1882"/>
      <c r="AH559" s="1882"/>
      <c r="AI559" s="1882"/>
      <c r="AJ559" s="1882"/>
      <c r="AK559" s="1882"/>
      <c r="AL559" s="1882"/>
      <c r="AM559" s="1882"/>
      <c r="AN559" s="1882"/>
      <c r="AO559" s="1882"/>
      <c r="AP559" s="1882"/>
      <c r="AQ559" s="1882"/>
      <c r="AR559" s="1882"/>
      <c r="AS559" s="1882"/>
      <c r="AT559" s="1882"/>
      <c r="AU559" s="1882"/>
      <c r="AV559" s="1882"/>
      <c r="AW559" s="1882"/>
      <c r="AX559" s="1882"/>
      <c r="AY559" s="1882"/>
      <c r="AZ559" s="1882"/>
      <c r="BA559" s="1882"/>
      <c r="BB559" s="1882"/>
      <c r="BC559" s="1882"/>
      <c r="BD559" s="1882"/>
      <c r="BE559" s="1882"/>
      <c r="BF559" s="1882"/>
      <c r="BG559" s="1882"/>
      <c r="BH559" s="1882"/>
      <c r="BI559" s="1882"/>
      <c r="BJ559" s="1882"/>
      <c r="BK559" s="1882"/>
      <c r="BL559" s="1882"/>
      <c r="BM559" s="1882"/>
      <c r="BN559" s="1882"/>
      <c r="BO559" s="1882"/>
      <c r="BQ559" s="1882"/>
      <c r="BR559" s="1882"/>
      <c r="BS559" s="1882"/>
      <c r="BT559" s="1882"/>
      <c r="BU559" s="1882"/>
      <c r="BV559" s="1882"/>
      <c r="BW559" s="1882"/>
      <c r="BX559" s="1882"/>
      <c r="BY559" s="1882"/>
      <c r="BZ559" s="1882"/>
      <c r="CA559" s="1882"/>
      <c r="CB559" s="1882"/>
      <c r="CC559" s="1882" t="s">
        <v>2451</v>
      </c>
      <c r="CH559" s="1882"/>
      <c r="CI559" s="1882">
        <v>29</v>
      </c>
      <c r="CJ559" s="1882" t="s">
        <v>2459</v>
      </c>
      <c r="CK559" s="1882" t="s">
        <v>8376</v>
      </c>
      <c r="CL559" s="1882">
        <v>2.0576000000000001E-2</v>
      </c>
      <c r="CM559" s="1882">
        <v>0</v>
      </c>
      <c r="CN559" s="1882">
        <v>0</v>
      </c>
      <c r="CP559" s="1882" t="s">
        <v>11530</v>
      </c>
    </row>
    <row r="560" spans="1:94">
      <c r="A560" s="1882" t="s">
        <v>8421</v>
      </c>
      <c r="B560" s="1882" t="s">
        <v>11531</v>
      </c>
      <c r="C560" s="1882" t="s">
        <v>8352</v>
      </c>
      <c r="D560" s="1882" t="s">
        <v>1627</v>
      </c>
      <c r="E560" s="1882" t="s">
        <v>8720</v>
      </c>
      <c r="F560" s="1882" t="s">
        <v>10175</v>
      </c>
      <c r="G560" s="1882" t="s">
        <v>8728</v>
      </c>
      <c r="H560" s="1882" t="s">
        <v>10184</v>
      </c>
      <c r="I560" s="1882" t="s">
        <v>10185</v>
      </c>
      <c r="J560" s="1882" t="s">
        <v>8508</v>
      </c>
      <c r="K560" s="1882" t="s">
        <v>8509</v>
      </c>
      <c r="L560" s="1882"/>
      <c r="M560" s="1882"/>
      <c r="N560" s="1882" t="s">
        <v>9518</v>
      </c>
      <c r="O560" s="1882" t="s">
        <v>764</v>
      </c>
      <c r="P560" s="1882" t="s">
        <v>10186</v>
      </c>
      <c r="Q560" s="520">
        <v>0</v>
      </c>
      <c r="R560" s="1882"/>
      <c r="S560" s="1882"/>
      <c r="T560" s="1882"/>
      <c r="U560" s="1882"/>
      <c r="V560" s="1882"/>
      <c r="W560" s="1882"/>
      <c r="X560" s="1882"/>
      <c r="Y560" s="1882"/>
      <c r="Z560" s="1882"/>
      <c r="AA560" s="1882"/>
      <c r="AB560" s="1882"/>
      <c r="AC560" s="1882"/>
      <c r="AD560" s="1882"/>
      <c r="AE560" s="1882"/>
      <c r="AF560" s="1882"/>
      <c r="AG560" s="1882"/>
      <c r="AH560" s="1882"/>
      <c r="AI560" s="1882"/>
      <c r="AJ560" s="1882"/>
      <c r="AK560" s="1882"/>
      <c r="AL560" s="1882"/>
      <c r="AM560" s="1882"/>
      <c r="AN560" s="1882"/>
      <c r="AO560" s="1882"/>
      <c r="AP560" s="1882"/>
      <c r="AQ560" s="1882"/>
      <c r="AR560" s="1882"/>
      <c r="AS560" s="1882"/>
      <c r="AT560" s="1882"/>
      <c r="AU560" s="1882"/>
      <c r="AV560" s="1882"/>
      <c r="AW560" s="1882"/>
      <c r="AX560" s="1882"/>
      <c r="AY560" s="1882"/>
      <c r="AZ560" s="1882"/>
      <c r="BA560" s="1882"/>
      <c r="BB560" s="1882"/>
      <c r="BC560" s="1882"/>
      <c r="BD560" s="1882"/>
      <c r="BE560" s="1882"/>
      <c r="BF560" s="1882"/>
      <c r="BG560" s="1882"/>
      <c r="BH560" s="1882"/>
      <c r="BI560" s="1882"/>
      <c r="BJ560" s="1882"/>
      <c r="BK560" s="1882"/>
      <c r="BL560" s="1882"/>
      <c r="BM560" s="1882"/>
      <c r="BN560" s="1882"/>
      <c r="BO560" s="1882"/>
      <c r="BQ560" s="1882"/>
      <c r="BR560" s="1882"/>
      <c r="BS560" s="1882"/>
      <c r="BT560" s="1882"/>
      <c r="BU560" s="1882"/>
      <c r="BV560" s="1882"/>
      <c r="BW560" s="1882"/>
      <c r="BX560" s="1882"/>
      <c r="BY560" s="1882"/>
      <c r="BZ560" s="1882"/>
      <c r="CA560" s="1882"/>
      <c r="CB560" s="1882"/>
      <c r="CC560" s="1882" t="s">
        <v>2451</v>
      </c>
      <c r="CH560" s="1882"/>
      <c r="CI560" s="1882">
        <v>0</v>
      </c>
      <c r="CJ560" s="1882" t="s">
        <v>2459</v>
      </c>
      <c r="CK560" s="1882">
        <v>0</v>
      </c>
      <c r="CL560" s="1882">
        <v>0</v>
      </c>
      <c r="CM560" s="1882">
        <v>0</v>
      </c>
      <c r="CN560" s="1882">
        <v>0</v>
      </c>
      <c r="CP560" s="1882" t="s">
        <v>11532</v>
      </c>
    </row>
    <row r="561" spans="1:94">
      <c r="A561" s="1882" t="s">
        <v>8421</v>
      </c>
      <c r="B561" s="1882" t="s">
        <v>11533</v>
      </c>
      <c r="C561" s="1882" t="s">
        <v>8352</v>
      </c>
      <c r="D561" s="1882" t="s">
        <v>1627</v>
      </c>
      <c r="E561" s="1882" t="s">
        <v>8720</v>
      </c>
      <c r="F561" s="1882" t="s">
        <v>10175</v>
      </c>
      <c r="G561" s="1882" t="s">
        <v>8734</v>
      </c>
      <c r="H561" s="1882" t="s">
        <v>10189</v>
      </c>
      <c r="I561" s="1882" t="s">
        <v>10190</v>
      </c>
      <c r="J561" s="1882" t="s">
        <v>8519</v>
      </c>
      <c r="K561" s="1882" t="s">
        <v>8855</v>
      </c>
      <c r="L561" s="1882"/>
      <c r="M561" s="1882"/>
      <c r="N561" s="1882" t="s">
        <v>8787</v>
      </c>
      <c r="O561" s="1882" t="s">
        <v>764</v>
      </c>
      <c r="P561" s="1882" t="s">
        <v>10191</v>
      </c>
      <c r="Q561" s="520">
        <v>0</v>
      </c>
      <c r="R561" s="1882"/>
      <c r="S561" s="1882"/>
      <c r="T561" s="1882"/>
      <c r="U561" s="1882"/>
      <c r="V561" s="1882"/>
      <c r="W561" s="1882"/>
      <c r="X561" s="1882"/>
      <c r="Y561" s="1882"/>
      <c r="Z561" s="1882"/>
      <c r="AA561" s="1882"/>
      <c r="AB561" s="1882"/>
      <c r="AC561" s="1882"/>
      <c r="AD561" s="1882"/>
      <c r="AE561" s="1882"/>
      <c r="AF561" s="1882"/>
      <c r="AG561" s="1882"/>
      <c r="AH561" s="1882"/>
      <c r="AI561" s="1882"/>
      <c r="AJ561" s="1882"/>
      <c r="AK561" s="1882"/>
      <c r="AL561" s="1882"/>
      <c r="AM561" s="1882"/>
      <c r="AN561" s="1882"/>
      <c r="AO561" s="1882"/>
      <c r="AP561" s="1882"/>
      <c r="AQ561" s="1882"/>
      <c r="AR561" s="1882"/>
      <c r="AS561" s="1882"/>
      <c r="AT561" s="1882"/>
      <c r="AU561" s="1882"/>
      <c r="AV561" s="1882"/>
      <c r="AW561" s="1882"/>
      <c r="AX561" s="1882"/>
      <c r="AY561" s="1882"/>
      <c r="AZ561" s="1882"/>
      <c r="BA561" s="1882"/>
      <c r="BB561" s="1882"/>
      <c r="BC561" s="1882"/>
      <c r="BD561" s="1882"/>
      <c r="BE561" s="1882"/>
      <c r="BF561" s="1882"/>
      <c r="BG561" s="1882"/>
      <c r="BH561" s="1882"/>
      <c r="BI561" s="1882"/>
      <c r="BJ561" s="1882"/>
      <c r="BK561" s="1882"/>
      <c r="BL561" s="1882"/>
      <c r="BM561" s="1882"/>
      <c r="BN561" s="1882"/>
      <c r="BO561" s="1882"/>
      <c r="BQ561" s="1882"/>
      <c r="BR561" s="1882"/>
      <c r="BS561" s="1882"/>
      <c r="BT561" s="1882"/>
      <c r="BU561" s="1882"/>
      <c r="BV561" s="1882"/>
      <c r="BW561" s="1882"/>
      <c r="BX561" s="1882"/>
      <c r="BY561" s="1882"/>
      <c r="BZ561" s="1882"/>
      <c r="CA561" s="1882"/>
      <c r="CB561" s="1882"/>
      <c r="CC561" s="1882" t="s">
        <v>2451</v>
      </c>
      <c r="CH561" s="1882"/>
      <c r="CI561" s="1882">
        <v>252</v>
      </c>
      <c r="CJ561" s="1882" t="s">
        <v>2460</v>
      </c>
      <c r="CK561" s="1882">
        <v>0</v>
      </c>
      <c r="CL561" s="1882">
        <v>0</v>
      </c>
      <c r="CM561" s="1882" t="s">
        <v>8384</v>
      </c>
      <c r="CN561" s="1882">
        <v>-8.10081E-2</v>
      </c>
      <c r="CP561" s="1882" t="s">
        <v>11534</v>
      </c>
    </row>
    <row r="562" spans="1:94">
      <c r="A562" s="1882" t="s">
        <v>8421</v>
      </c>
      <c r="B562" s="1882" t="s">
        <v>11535</v>
      </c>
      <c r="C562" s="1882" t="s">
        <v>8352</v>
      </c>
      <c r="D562" s="1882" t="s">
        <v>1627</v>
      </c>
      <c r="E562" s="1882" t="s">
        <v>8720</v>
      </c>
      <c r="F562" s="1882" t="s">
        <v>10175</v>
      </c>
      <c r="G562" s="1882" t="s">
        <v>10199</v>
      </c>
      <c r="H562" s="1882" t="s">
        <v>10200</v>
      </c>
      <c r="I562" s="1882" t="s">
        <v>10201</v>
      </c>
      <c r="J562" s="1882" t="s">
        <v>8539</v>
      </c>
      <c r="K562" s="1882"/>
      <c r="L562" s="1882"/>
      <c r="M562" s="1882"/>
      <c r="N562" s="1882" t="s">
        <v>8673</v>
      </c>
      <c r="O562" s="1882" t="s">
        <v>764</v>
      </c>
      <c r="P562" s="1882" t="s">
        <v>10202</v>
      </c>
      <c r="Q562" s="520">
        <v>0</v>
      </c>
      <c r="R562" s="1882"/>
      <c r="S562" s="1882"/>
      <c r="T562" s="1882"/>
      <c r="U562" s="1882"/>
      <c r="V562" s="1882"/>
      <c r="W562" s="1882"/>
      <c r="X562" s="1882"/>
      <c r="Y562" s="1882"/>
      <c r="Z562" s="1882"/>
      <c r="AA562" s="1882"/>
      <c r="AB562" s="1882"/>
      <c r="AC562" s="1882"/>
      <c r="AD562" s="1882"/>
      <c r="AE562" s="1882"/>
      <c r="AF562" s="1882"/>
      <c r="AG562" s="1882"/>
      <c r="AH562" s="1882"/>
      <c r="AI562" s="1882"/>
      <c r="AJ562" s="1882"/>
      <c r="AK562" s="1882"/>
      <c r="AL562" s="1882"/>
      <c r="AM562" s="1882"/>
      <c r="AN562" s="1882"/>
      <c r="AO562" s="1882"/>
      <c r="AP562" s="1882"/>
      <c r="AQ562" s="1882"/>
      <c r="AR562" s="1882"/>
      <c r="AS562" s="1882"/>
      <c r="AT562" s="1882"/>
      <c r="AU562" s="1882"/>
      <c r="AV562" s="1882"/>
      <c r="AW562" s="1882"/>
      <c r="AX562" s="1882"/>
      <c r="AY562" s="1882"/>
      <c r="AZ562" s="1882"/>
      <c r="BA562" s="1882"/>
      <c r="BB562" s="1882"/>
      <c r="BC562" s="1882"/>
      <c r="BD562" s="1882"/>
      <c r="BE562" s="1882"/>
      <c r="BF562" s="1882"/>
      <c r="BG562" s="1882"/>
      <c r="BH562" s="1882"/>
      <c r="BI562" s="1882"/>
      <c r="BJ562" s="1882"/>
      <c r="BK562" s="1882"/>
      <c r="BL562" s="1882"/>
      <c r="BM562" s="1882"/>
      <c r="BN562" s="1882"/>
      <c r="BO562" s="1882"/>
      <c r="BQ562" s="1882"/>
      <c r="BR562" s="1882"/>
      <c r="BS562" s="1882"/>
      <c r="BT562" s="1882"/>
      <c r="BU562" s="1882"/>
      <c r="BV562" s="1882"/>
      <c r="BW562" s="1882"/>
      <c r="BX562" s="1882"/>
      <c r="BY562" s="1882"/>
      <c r="BZ562" s="1882"/>
      <c r="CA562" s="1882"/>
      <c r="CB562" s="1882"/>
      <c r="CC562" s="1882" t="s">
        <v>2451</v>
      </c>
      <c r="CH562" s="1882"/>
      <c r="CI562" s="1882">
        <v>0</v>
      </c>
      <c r="CJ562" s="1882" t="s">
        <v>2451</v>
      </c>
      <c r="CK562" s="1882">
        <v>0</v>
      </c>
      <c r="CL562" s="1882">
        <v>0</v>
      </c>
      <c r="CM562" s="1882">
        <v>0</v>
      </c>
      <c r="CN562" s="1882">
        <v>0</v>
      </c>
      <c r="CP562" s="1882" t="s">
        <v>11536</v>
      </c>
    </row>
    <row r="563" spans="1:94">
      <c r="A563" s="1882" t="s">
        <v>8421</v>
      </c>
      <c r="B563" s="1882" t="s">
        <v>11537</v>
      </c>
      <c r="C563" s="1882" t="s">
        <v>8352</v>
      </c>
      <c r="D563" s="1882" t="s">
        <v>1627</v>
      </c>
      <c r="E563" s="1882" t="s">
        <v>8720</v>
      </c>
      <c r="F563" s="1882" t="s">
        <v>10138</v>
      </c>
      <c r="G563" s="1882" t="s">
        <v>8741</v>
      </c>
      <c r="H563" s="1882" t="s">
        <v>10205</v>
      </c>
      <c r="I563" s="1882" t="s">
        <v>10206</v>
      </c>
      <c r="J563" s="1882" t="s">
        <v>8508</v>
      </c>
      <c r="K563" s="1882" t="s">
        <v>8509</v>
      </c>
      <c r="L563" s="1882" t="s">
        <v>2459</v>
      </c>
      <c r="M563" s="1882"/>
      <c r="N563" s="1882" t="s">
        <v>8599</v>
      </c>
      <c r="O563" s="1882" t="s">
        <v>732</v>
      </c>
      <c r="P563" s="1882" t="s">
        <v>8696</v>
      </c>
      <c r="Q563" s="520">
        <v>0</v>
      </c>
      <c r="R563" s="1882"/>
      <c r="S563" s="1882"/>
      <c r="T563" s="1882"/>
      <c r="U563" s="1882"/>
      <c r="V563" s="1882"/>
      <c r="W563" s="1882"/>
      <c r="X563" s="1882"/>
      <c r="Y563" s="1882"/>
      <c r="Z563" s="1882"/>
      <c r="AA563" s="1882"/>
      <c r="AB563" s="1882"/>
      <c r="AC563" s="1882"/>
      <c r="AD563" s="1882"/>
      <c r="AE563" s="1882"/>
      <c r="AF563" s="1882"/>
      <c r="AG563" s="1882"/>
      <c r="AH563" s="1882"/>
      <c r="AI563" s="1882"/>
      <c r="AJ563" s="1882"/>
      <c r="AK563" s="1882"/>
      <c r="AL563" s="1882"/>
      <c r="AM563" s="1882"/>
      <c r="AN563" s="1882"/>
      <c r="AO563" s="1882"/>
      <c r="AP563" s="1882"/>
      <c r="AQ563" s="1882"/>
      <c r="AR563" s="1882"/>
      <c r="AS563" s="1882"/>
      <c r="AT563" s="1882"/>
      <c r="AU563" s="1882"/>
      <c r="AV563" s="1882"/>
      <c r="AW563" s="1882"/>
      <c r="AX563" s="1882"/>
      <c r="AY563" s="1882"/>
      <c r="AZ563" s="1882"/>
      <c r="BA563" s="1882"/>
      <c r="BB563" s="1882"/>
      <c r="BC563" s="1882"/>
      <c r="BD563" s="1882"/>
      <c r="BE563" s="1882"/>
      <c r="BF563" s="1882"/>
      <c r="BG563" s="1882"/>
      <c r="BH563" s="1882"/>
      <c r="BI563" s="1882"/>
      <c r="BJ563" s="1882"/>
      <c r="BK563" s="1882"/>
      <c r="BL563" s="1882"/>
      <c r="BM563" s="1882"/>
      <c r="BN563" s="1882"/>
      <c r="BO563" s="1882"/>
      <c r="BQ563" s="1882"/>
      <c r="BR563" s="1882"/>
      <c r="BS563" s="1882"/>
      <c r="BT563" s="1882"/>
      <c r="BU563" s="1882"/>
      <c r="BV563" s="1882"/>
      <c r="BW563" s="1882"/>
      <c r="BX563" s="1882"/>
      <c r="BY563" s="1882"/>
      <c r="BZ563" s="1882"/>
      <c r="CA563" s="1882"/>
      <c r="CB563" s="1882"/>
      <c r="CC563" s="1882" t="s">
        <v>2451</v>
      </c>
      <c r="CH563" s="1882"/>
      <c r="CI563" s="1882" t="s">
        <v>10106</v>
      </c>
      <c r="CJ563" s="1882" t="s">
        <v>2451</v>
      </c>
      <c r="CK563" s="1882" t="s">
        <v>8376</v>
      </c>
      <c r="CL563" s="1882">
        <v>0</v>
      </c>
      <c r="CM563" s="1882">
        <v>0</v>
      </c>
      <c r="CN563" s="1882">
        <v>0</v>
      </c>
      <c r="CP563" s="1882" t="s">
        <v>11538</v>
      </c>
    </row>
    <row r="564" spans="1:94">
      <c r="A564" s="1882" t="s">
        <v>8421</v>
      </c>
      <c r="B564" s="1882" t="s">
        <v>11539</v>
      </c>
      <c r="C564" s="1882" t="s">
        <v>8352</v>
      </c>
      <c r="D564" s="1882" t="s">
        <v>1627</v>
      </c>
      <c r="E564" s="1882" t="s">
        <v>8720</v>
      </c>
      <c r="F564" s="1882" t="s">
        <v>10143</v>
      </c>
      <c r="G564" s="1882" t="s">
        <v>8752</v>
      </c>
      <c r="H564" s="1882" t="s">
        <v>10214</v>
      </c>
      <c r="I564" s="1882" t="s">
        <v>10215</v>
      </c>
      <c r="J564" s="1882" t="s">
        <v>8508</v>
      </c>
      <c r="K564" s="1882" t="s">
        <v>8509</v>
      </c>
      <c r="L564" s="1882" t="s">
        <v>2459</v>
      </c>
      <c r="M564" s="1882" t="s">
        <v>2460</v>
      </c>
      <c r="N564" s="1882" t="s">
        <v>8760</v>
      </c>
      <c r="O564" s="1882" t="s">
        <v>764</v>
      </c>
      <c r="P564" s="1882" t="s">
        <v>8761</v>
      </c>
      <c r="Q564" s="520">
        <v>0</v>
      </c>
      <c r="R564" s="1882"/>
      <c r="S564" s="1882"/>
      <c r="T564" s="1882"/>
      <c r="U564" s="1882"/>
      <c r="V564" s="1882"/>
      <c r="W564" s="1882"/>
      <c r="X564" s="1882"/>
      <c r="Y564" s="1882"/>
      <c r="Z564" s="1882"/>
      <c r="AA564" s="1882"/>
      <c r="AB564" s="1882"/>
      <c r="AC564" s="1882"/>
      <c r="AD564" s="1882"/>
      <c r="AE564" s="1882"/>
      <c r="AF564" s="1882"/>
      <c r="AG564" s="1882"/>
      <c r="AH564" s="1882"/>
      <c r="AI564" s="1882"/>
      <c r="AJ564" s="1882"/>
      <c r="AK564" s="1882"/>
      <c r="AL564" s="1882"/>
      <c r="AM564" s="1882"/>
      <c r="AN564" s="1882"/>
      <c r="AO564" s="1882"/>
      <c r="AP564" s="1882"/>
      <c r="AQ564" s="1882"/>
      <c r="AR564" s="1882"/>
      <c r="AS564" s="1882"/>
      <c r="AT564" s="1882"/>
      <c r="AU564" s="1882"/>
      <c r="AV564" s="1882"/>
      <c r="AW564" s="1882"/>
      <c r="AX564" s="1882"/>
      <c r="AY564" s="1882"/>
      <c r="AZ564" s="1882"/>
      <c r="BA564" s="1882"/>
      <c r="BB564" s="1882"/>
      <c r="BC564" s="1882"/>
      <c r="BD564" s="1882"/>
      <c r="BE564" s="1882"/>
      <c r="BF564" s="1882"/>
      <c r="BG564" s="1882"/>
      <c r="BH564" s="1882"/>
      <c r="BI564" s="1882"/>
      <c r="BJ564" s="1882"/>
      <c r="BK564" s="1882"/>
      <c r="BL564" s="1882"/>
      <c r="BM564" s="1882"/>
      <c r="BN564" s="1882"/>
      <c r="BO564" s="1882"/>
      <c r="BQ564" s="1882"/>
      <c r="BR564" s="1882"/>
      <c r="BS564" s="1882"/>
      <c r="BT564" s="1882"/>
      <c r="BU564" s="1882"/>
      <c r="BV564" s="1882"/>
      <c r="BW564" s="1882"/>
      <c r="BX564" s="1882"/>
      <c r="BY564" s="1882"/>
      <c r="BZ564" s="1882"/>
      <c r="CA564" s="1882"/>
      <c r="CB564" s="1882"/>
      <c r="CC564" s="1882" t="s">
        <v>2451</v>
      </c>
      <c r="CH564" s="1882"/>
      <c r="CI564" s="1882">
        <v>1</v>
      </c>
      <c r="CJ564" s="1882" t="s">
        <v>2459</v>
      </c>
      <c r="CK564" s="1882" t="s">
        <v>8376</v>
      </c>
      <c r="CL564" s="1882">
        <v>2.0695000000000002E-3</v>
      </c>
      <c r="CM564" s="1882">
        <v>0</v>
      </c>
      <c r="CN564" s="1882">
        <v>0</v>
      </c>
      <c r="CP564" s="1882" t="s">
        <v>11540</v>
      </c>
    </row>
    <row r="565" spans="1:94">
      <c r="A565" s="1882" t="s">
        <v>8421</v>
      </c>
      <c r="B565" s="1882" t="s">
        <v>11541</v>
      </c>
      <c r="C565" s="1882" t="s">
        <v>8352</v>
      </c>
      <c r="D565" s="1882" t="s">
        <v>1627</v>
      </c>
      <c r="E565" s="1882" t="s">
        <v>8720</v>
      </c>
      <c r="F565" s="1882" t="s">
        <v>10143</v>
      </c>
      <c r="G565" s="1882" t="s">
        <v>8757</v>
      </c>
      <c r="H565" s="1882" t="s">
        <v>10218</v>
      </c>
      <c r="I565" s="1882" t="s">
        <v>10219</v>
      </c>
      <c r="J565" s="1882" t="s">
        <v>8519</v>
      </c>
      <c r="K565" s="1882" t="s">
        <v>8855</v>
      </c>
      <c r="L565" s="1882"/>
      <c r="M565" s="1882" t="s">
        <v>2460</v>
      </c>
      <c r="N565" s="1882" t="s">
        <v>8673</v>
      </c>
      <c r="O565" s="1882" t="s">
        <v>732</v>
      </c>
      <c r="P565" s="1882" t="s">
        <v>9868</v>
      </c>
      <c r="Q565" s="520">
        <v>2</v>
      </c>
      <c r="R565" s="1882"/>
      <c r="S565" s="1882"/>
      <c r="T565" s="1882"/>
      <c r="U565" s="1882"/>
      <c r="V565" s="1882"/>
      <c r="W565" s="1882"/>
      <c r="X565" s="1882"/>
      <c r="Y565" s="1882"/>
      <c r="Z565" s="1882"/>
      <c r="AA565" s="1882"/>
      <c r="AB565" s="1882"/>
      <c r="AC565" s="1882"/>
      <c r="AD565" s="1882"/>
      <c r="AE565" s="1882"/>
      <c r="AF565" s="1882"/>
      <c r="AG565" s="1882"/>
      <c r="AH565" s="1882"/>
      <c r="AI565" s="1882"/>
      <c r="AJ565" s="1882"/>
      <c r="AK565" s="1882"/>
      <c r="AL565" s="1882"/>
      <c r="AM565" s="1882"/>
      <c r="AN565" s="1882"/>
      <c r="AO565" s="1882"/>
      <c r="AP565" s="1882"/>
      <c r="AQ565" s="1882"/>
      <c r="AR565" s="1882"/>
      <c r="AS565" s="1882"/>
      <c r="AT565" s="1882"/>
      <c r="AU565" s="1882"/>
      <c r="AV565" s="1882"/>
      <c r="AW565" s="1882"/>
      <c r="AX565" s="1882"/>
      <c r="AY565" s="1882"/>
      <c r="AZ565" s="1882"/>
      <c r="BA565" s="1882"/>
      <c r="BB565" s="1882"/>
      <c r="BC565" s="1882"/>
      <c r="BD565" s="1882"/>
      <c r="BE565" s="1882"/>
      <c r="BF565" s="1882"/>
      <c r="BG565" s="1882"/>
      <c r="BH565" s="1882"/>
      <c r="BI565" s="1882"/>
      <c r="BJ565" s="1882"/>
      <c r="BK565" s="1882"/>
      <c r="BL565" s="1882"/>
      <c r="BM565" s="1882"/>
      <c r="BN565" s="1882"/>
      <c r="BO565" s="1882"/>
      <c r="BQ565" s="1882"/>
      <c r="BR565" s="1882"/>
      <c r="BS565" s="1882"/>
      <c r="BT565" s="1882"/>
      <c r="BU565" s="1882"/>
      <c r="BV565" s="1882"/>
      <c r="BW565" s="1882"/>
      <c r="BX565" s="1882"/>
      <c r="BY565" s="1882"/>
      <c r="BZ565" s="1882"/>
      <c r="CA565" s="1882"/>
      <c r="CB565" s="1882"/>
      <c r="CC565" s="1882" t="s">
        <v>2451</v>
      </c>
      <c r="CH565" s="1882"/>
      <c r="CI565" s="1882">
        <v>97.694825362658506</v>
      </c>
      <c r="CJ565" s="1882" t="s">
        <v>2460</v>
      </c>
      <c r="CK565" s="1882">
        <v>0</v>
      </c>
      <c r="CL565" s="1882">
        <v>0</v>
      </c>
      <c r="CM565" s="1882" t="s">
        <v>8388</v>
      </c>
      <c r="CN565" s="1882">
        <v>0</v>
      </c>
      <c r="CP565" s="1882" t="s">
        <v>11542</v>
      </c>
    </row>
    <row r="566" spans="1:94">
      <c r="A566" s="1882" t="s">
        <v>8421</v>
      </c>
      <c r="B566" s="1882" t="s">
        <v>11543</v>
      </c>
      <c r="C566" s="1882" t="s">
        <v>8352</v>
      </c>
      <c r="D566" s="1882" t="s">
        <v>1627</v>
      </c>
      <c r="E566" s="1882" t="s">
        <v>8720</v>
      </c>
      <c r="F566" s="1882" t="s">
        <v>10143</v>
      </c>
      <c r="G566" s="1882" t="s">
        <v>10226</v>
      </c>
      <c r="H566" s="1882" t="s">
        <v>10227</v>
      </c>
      <c r="I566" s="1882" t="s">
        <v>10228</v>
      </c>
      <c r="J566" s="1882" t="s">
        <v>10229</v>
      </c>
      <c r="K566" s="1882" t="s">
        <v>8509</v>
      </c>
      <c r="L566" s="1882"/>
      <c r="M566" s="1882"/>
      <c r="N566" s="1882" t="s">
        <v>8737</v>
      </c>
      <c r="O566" s="1882" t="s">
        <v>764</v>
      </c>
      <c r="P566" s="1882" t="s">
        <v>10230</v>
      </c>
      <c r="Q566" s="520">
        <v>0</v>
      </c>
      <c r="R566" s="1882"/>
      <c r="S566" s="1882"/>
      <c r="T566" s="1882"/>
      <c r="U566" s="1882"/>
      <c r="V566" s="1882"/>
      <c r="W566" s="1882"/>
      <c r="X566" s="1882"/>
      <c r="Y566" s="1882"/>
      <c r="Z566" s="1882"/>
      <c r="AA566" s="1882"/>
      <c r="AB566" s="1882"/>
      <c r="AC566" s="1882"/>
      <c r="AD566" s="1882"/>
      <c r="AE566" s="1882"/>
      <c r="AF566" s="1882"/>
      <c r="AG566" s="1882"/>
      <c r="AH566" s="1882"/>
      <c r="AI566" s="1882"/>
      <c r="AJ566" s="1882"/>
      <c r="AK566" s="1882"/>
      <c r="AL566" s="1882"/>
      <c r="AM566" s="1882"/>
      <c r="AN566" s="1882"/>
      <c r="AO566" s="1882"/>
      <c r="AP566" s="1882"/>
      <c r="AQ566" s="1882"/>
      <c r="AR566" s="1882"/>
      <c r="AS566" s="1882"/>
      <c r="AT566" s="1882"/>
      <c r="AU566" s="1882"/>
      <c r="AV566" s="1882"/>
      <c r="AW566" s="1882"/>
      <c r="AX566" s="1882"/>
      <c r="AY566" s="1882"/>
      <c r="AZ566" s="1882"/>
      <c r="BA566" s="1882"/>
      <c r="BB566" s="1882"/>
      <c r="BC566" s="1882"/>
      <c r="BD566" s="1882"/>
      <c r="BE566" s="1882"/>
      <c r="BF566" s="1882"/>
      <c r="BG566" s="1882"/>
      <c r="BH566" s="1882"/>
      <c r="BI566" s="1882"/>
      <c r="BJ566" s="1882"/>
      <c r="BK566" s="1882"/>
      <c r="BL566" s="1882"/>
      <c r="BM566" s="1882"/>
      <c r="BN566" s="1882"/>
      <c r="BO566" s="1882"/>
      <c r="BQ566" s="1882"/>
      <c r="BR566" s="1882"/>
      <c r="BS566" s="1882"/>
      <c r="BT566" s="1882"/>
      <c r="BU566" s="1882"/>
      <c r="BV566" s="1882"/>
      <c r="BW566" s="1882"/>
      <c r="BX566" s="1882"/>
      <c r="BY566" s="1882"/>
      <c r="BZ566" s="1882"/>
      <c r="CA566" s="1882"/>
      <c r="CB566" s="1882"/>
      <c r="CC566" s="1882" t="s">
        <v>2451</v>
      </c>
      <c r="CH566" s="1882"/>
      <c r="CI566" s="1882">
        <v>0</v>
      </c>
      <c r="CJ566" s="1882" t="s">
        <v>2459</v>
      </c>
      <c r="CK566" s="1882">
        <v>0</v>
      </c>
      <c r="CL566" s="1882">
        <v>0</v>
      </c>
      <c r="CM566" s="1882">
        <v>0</v>
      </c>
      <c r="CN566" s="1882">
        <v>0</v>
      </c>
      <c r="CP566" s="1882" t="s">
        <v>11544</v>
      </c>
    </row>
    <row r="567" spans="1:94">
      <c r="A567" s="1882" t="s">
        <v>8421</v>
      </c>
      <c r="B567" s="1882" t="s">
        <v>11545</v>
      </c>
      <c r="C567" s="1882" t="s">
        <v>8352</v>
      </c>
      <c r="D567" s="1882" t="s">
        <v>1627</v>
      </c>
      <c r="E567" s="1882" t="s">
        <v>8720</v>
      </c>
      <c r="F567" s="1882" t="s">
        <v>10143</v>
      </c>
      <c r="G567" s="1882" t="s">
        <v>10233</v>
      </c>
      <c r="H567" s="1882" t="s">
        <v>10234</v>
      </c>
      <c r="I567" s="1882" t="s">
        <v>10235</v>
      </c>
      <c r="J567" s="1882" t="s">
        <v>8539</v>
      </c>
      <c r="K567" s="1882"/>
      <c r="L567" s="1882"/>
      <c r="M567" s="1882"/>
      <c r="N567" s="1882" t="s">
        <v>8760</v>
      </c>
      <c r="O567" s="1882" t="s">
        <v>764</v>
      </c>
      <c r="P567" s="1882" t="s">
        <v>9893</v>
      </c>
      <c r="Q567" s="520">
        <v>0</v>
      </c>
      <c r="R567" s="1882"/>
      <c r="S567" s="1882"/>
      <c r="T567" s="1882"/>
      <c r="U567" s="1882"/>
      <c r="V567" s="1882"/>
      <c r="W567" s="1882"/>
      <c r="X567" s="1882"/>
      <c r="Y567" s="1882"/>
      <c r="Z567" s="1882"/>
      <c r="AA567" s="1882"/>
      <c r="AB567" s="1882"/>
      <c r="AC567" s="1882"/>
      <c r="AD567" s="1882"/>
      <c r="AE567" s="1882"/>
      <c r="AF567" s="1882"/>
      <c r="AG567" s="1882"/>
      <c r="AH567" s="1882"/>
      <c r="AI567" s="1882"/>
      <c r="AJ567" s="1882"/>
      <c r="AK567" s="1882"/>
      <c r="AL567" s="1882"/>
      <c r="AM567" s="1882"/>
      <c r="AN567" s="1882"/>
      <c r="AO567" s="1882"/>
      <c r="AP567" s="1882"/>
      <c r="AQ567" s="1882"/>
      <c r="AR567" s="1882"/>
      <c r="AS567" s="1882"/>
      <c r="AT567" s="1882"/>
      <c r="AU567" s="1882"/>
      <c r="AV567" s="1882"/>
      <c r="AW567" s="1882"/>
      <c r="AX567" s="1882"/>
      <c r="AY567" s="1882"/>
      <c r="AZ567" s="1882"/>
      <c r="BA567" s="1882"/>
      <c r="BB567" s="1882"/>
      <c r="BC567" s="1882"/>
      <c r="BD567" s="1882"/>
      <c r="BE567" s="1882"/>
      <c r="BF567" s="1882"/>
      <c r="BG567" s="1882"/>
      <c r="BH567" s="1882"/>
      <c r="BI567" s="1882"/>
      <c r="BJ567" s="1882"/>
      <c r="BK567" s="1882"/>
      <c r="BL567" s="1882"/>
      <c r="BM567" s="1882"/>
      <c r="BN567" s="1882"/>
      <c r="BO567" s="1882"/>
      <c r="BQ567" s="1882"/>
      <c r="BR567" s="1882"/>
      <c r="BS567" s="1882"/>
      <c r="BT567" s="1882"/>
      <c r="BU567" s="1882"/>
      <c r="BV567" s="1882"/>
      <c r="BW567" s="1882"/>
      <c r="BX567" s="1882"/>
      <c r="BY567" s="1882"/>
      <c r="BZ567" s="1882"/>
      <c r="CA567" s="1882"/>
      <c r="CB567" s="1882"/>
      <c r="CC567" s="1882" t="s">
        <v>2451</v>
      </c>
      <c r="CH567" s="1882"/>
      <c r="CI567" s="1882">
        <v>0</v>
      </c>
      <c r="CJ567" s="1882" t="s">
        <v>2459</v>
      </c>
      <c r="CK567" s="1882">
        <v>0</v>
      </c>
      <c r="CL567" s="1882">
        <v>0</v>
      </c>
      <c r="CM567" s="1882">
        <v>0</v>
      </c>
      <c r="CN567" s="1882">
        <v>0</v>
      </c>
      <c r="CP567" s="1882" t="s">
        <v>11546</v>
      </c>
    </row>
    <row r="568" spans="1:94">
      <c r="A568" s="1882" t="s">
        <v>8421</v>
      </c>
      <c r="B568" s="1882" t="s">
        <v>11547</v>
      </c>
      <c r="C568" s="1882" t="s">
        <v>8352</v>
      </c>
      <c r="D568" s="1882" t="s">
        <v>1627</v>
      </c>
      <c r="E568" s="1882" t="s">
        <v>8720</v>
      </c>
      <c r="F568" s="1882" t="s">
        <v>10143</v>
      </c>
      <c r="G568" s="1882" t="s">
        <v>10238</v>
      </c>
      <c r="H568" s="1882" t="s">
        <v>10239</v>
      </c>
      <c r="I568" s="1882" t="s">
        <v>10240</v>
      </c>
      <c r="J568" s="1882" t="s">
        <v>8508</v>
      </c>
      <c r="K568" s="1882" t="s">
        <v>8509</v>
      </c>
      <c r="L568" s="1882"/>
      <c r="M568" s="1882"/>
      <c r="N568" s="1882" t="s">
        <v>8673</v>
      </c>
      <c r="O568" s="1882" t="s">
        <v>764</v>
      </c>
      <c r="P568" s="1882" t="s">
        <v>10241</v>
      </c>
      <c r="Q568" s="520">
        <v>0</v>
      </c>
      <c r="R568" s="1882"/>
      <c r="S568" s="1882"/>
      <c r="T568" s="1882"/>
      <c r="U568" s="1882"/>
      <c r="V568" s="1882"/>
      <c r="W568" s="1882"/>
      <c r="X568" s="1882"/>
      <c r="Y568" s="1882"/>
      <c r="Z568" s="1882"/>
      <c r="AA568" s="1882"/>
      <c r="AB568" s="1882"/>
      <c r="AC568" s="1882"/>
      <c r="AD568" s="1882"/>
      <c r="AE568" s="1882"/>
      <c r="AF568" s="1882"/>
      <c r="AG568" s="1882"/>
      <c r="AH568" s="1882"/>
      <c r="AI568" s="1882"/>
      <c r="AJ568" s="1882"/>
      <c r="AK568" s="1882"/>
      <c r="AL568" s="1882"/>
      <c r="AM568" s="1882"/>
      <c r="AN568" s="1882"/>
      <c r="AO568" s="1882"/>
      <c r="AP568" s="1882"/>
      <c r="AQ568" s="1882"/>
      <c r="AR568" s="1882"/>
      <c r="AS568" s="1882"/>
      <c r="AT568" s="1882"/>
      <c r="AU568" s="1882"/>
      <c r="AV568" s="1882"/>
      <c r="AW568" s="1882"/>
      <c r="AX568" s="1882"/>
      <c r="AY568" s="1882"/>
      <c r="AZ568" s="1882"/>
      <c r="BA568" s="1882"/>
      <c r="BB568" s="1882"/>
      <c r="BC568" s="1882"/>
      <c r="BD568" s="1882"/>
      <c r="BE568" s="1882"/>
      <c r="BF568" s="1882"/>
      <c r="BG568" s="1882"/>
      <c r="BH568" s="1882"/>
      <c r="BI568" s="1882"/>
      <c r="BJ568" s="1882"/>
      <c r="BK568" s="1882"/>
      <c r="BL568" s="1882"/>
      <c r="BM568" s="1882"/>
      <c r="BN568" s="1882"/>
      <c r="BO568" s="1882"/>
      <c r="BQ568" s="1882"/>
      <c r="BR568" s="1882"/>
      <c r="BS568" s="1882"/>
      <c r="BT568" s="1882"/>
      <c r="BU568" s="1882"/>
      <c r="BV568" s="1882"/>
      <c r="BW568" s="1882"/>
      <c r="BX568" s="1882"/>
      <c r="BY568" s="1882"/>
      <c r="BZ568" s="1882"/>
      <c r="CA568" s="1882"/>
      <c r="CB568" s="1882"/>
      <c r="CC568" s="1882" t="s">
        <v>2451</v>
      </c>
      <c r="CH568" s="1882"/>
      <c r="CI568" s="1882" t="s">
        <v>10106</v>
      </c>
      <c r="CJ568" s="1882" t="s">
        <v>2451</v>
      </c>
      <c r="CK568" s="1882">
        <v>0</v>
      </c>
      <c r="CL568" s="1882">
        <v>0</v>
      </c>
      <c r="CM568" s="1882" t="s">
        <v>8376</v>
      </c>
      <c r="CN568" s="1882">
        <v>1.06E-2</v>
      </c>
      <c r="CP568" s="1882" t="s">
        <v>11548</v>
      </c>
    </row>
    <row r="569" spans="1:94">
      <c r="A569" s="1882" t="s">
        <v>8421</v>
      </c>
      <c r="B569" s="1882" t="s">
        <v>11549</v>
      </c>
      <c r="C569" s="1882" t="s">
        <v>8352</v>
      </c>
      <c r="D569" s="1882" t="s">
        <v>1627</v>
      </c>
      <c r="E569" s="1882" t="s">
        <v>8720</v>
      </c>
      <c r="F569" s="1882" t="s">
        <v>10143</v>
      </c>
      <c r="G569" s="1882" t="s">
        <v>10246</v>
      </c>
      <c r="H569" s="1882" t="s">
        <v>10247</v>
      </c>
      <c r="I569" s="1882" t="s">
        <v>10248</v>
      </c>
      <c r="J569" s="1882" t="s">
        <v>8539</v>
      </c>
      <c r="K569" s="1882"/>
      <c r="L569" s="1882"/>
      <c r="M569" s="1882"/>
      <c r="N569" s="1882" t="s">
        <v>8760</v>
      </c>
      <c r="O569" s="1882" t="s">
        <v>764</v>
      </c>
      <c r="P569" s="1882" t="s">
        <v>10249</v>
      </c>
      <c r="Q569" s="520">
        <v>0</v>
      </c>
      <c r="R569" s="1882"/>
      <c r="S569" s="1882"/>
      <c r="T569" s="1882"/>
      <c r="U569" s="1882"/>
      <c r="V569" s="1882"/>
      <c r="W569" s="1882"/>
      <c r="X569" s="1882"/>
      <c r="Y569" s="1882"/>
      <c r="Z569" s="1882"/>
      <c r="AA569" s="1882"/>
      <c r="AB569" s="1882"/>
      <c r="AC569" s="1882"/>
      <c r="AD569" s="1882"/>
      <c r="AE569" s="1882"/>
      <c r="AF569" s="1882"/>
      <c r="AG569" s="1882"/>
      <c r="AH569" s="1882"/>
      <c r="AI569" s="1882"/>
      <c r="AJ569" s="1882"/>
      <c r="AK569" s="1882"/>
      <c r="AL569" s="1882"/>
      <c r="AM569" s="1882"/>
      <c r="AN569" s="1882"/>
      <c r="AO569" s="1882"/>
      <c r="AP569" s="1882"/>
      <c r="AQ569" s="1882"/>
      <c r="AR569" s="1882"/>
      <c r="AS569" s="1882"/>
      <c r="AT569" s="1882"/>
      <c r="AU569" s="1882"/>
      <c r="AV569" s="1882"/>
      <c r="AW569" s="1882"/>
      <c r="AX569" s="1882"/>
      <c r="AY569" s="1882"/>
      <c r="AZ569" s="1882"/>
      <c r="BA569" s="1882"/>
      <c r="BB569" s="1882"/>
      <c r="BC569" s="1882"/>
      <c r="BD569" s="1882"/>
      <c r="BE569" s="1882"/>
      <c r="BF569" s="1882"/>
      <c r="BG569" s="1882"/>
      <c r="BH569" s="1882"/>
      <c r="BI569" s="1882"/>
      <c r="BJ569" s="1882"/>
      <c r="BK569" s="1882"/>
      <c r="BL569" s="1882"/>
      <c r="BM569" s="1882"/>
      <c r="BN569" s="1882"/>
      <c r="BO569" s="1882"/>
      <c r="BQ569" s="1882"/>
      <c r="BR569" s="1882"/>
      <c r="BS569" s="1882"/>
      <c r="BT569" s="1882"/>
      <c r="BU569" s="1882"/>
      <c r="BV569" s="1882"/>
      <c r="BW569" s="1882"/>
      <c r="BX569" s="1882"/>
      <c r="BY569" s="1882"/>
      <c r="BZ569" s="1882"/>
      <c r="CA569" s="1882"/>
      <c r="CB569" s="1882"/>
      <c r="CC569" s="1882" t="s">
        <v>2451</v>
      </c>
      <c r="CH569" s="1882"/>
      <c r="CI569" s="1882">
        <v>5</v>
      </c>
      <c r="CJ569" s="1882" t="s">
        <v>2459</v>
      </c>
      <c r="CK569" s="1882">
        <v>0</v>
      </c>
      <c r="CL569" s="1882">
        <v>0</v>
      </c>
      <c r="CM569" s="1882">
        <v>0</v>
      </c>
      <c r="CN569" s="1882">
        <v>0</v>
      </c>
      <c r="CP569" s="1882" t="s">
        <v>11550</v>
      </c>
    </row>
    <row r="570" spans="1:94">
      <c r="A570" s="1882" t="s">
        <v>8421</v>
      </c>
      <c r="B570" s="1882" t="s">
        <v>11551</v>
      </c>
      <c r="C570" s="1882" t="s">
        <v>8352</v>
      </c>
      <c r="D570" s="1882" t="s">
        <v>1627</v>
      </c>
      <c r="E570" s="1882" t="s">
        <v>8720</v>
      </c>
      <c r="F570" s="1882" t="s">
        <v>10164</v>
      </c>
      <c r="G570" s="1882" t="s">
        <v>8769</v>
      </c>
      <c r="H570" s="1882" t="s">
        <v>10252</v>
      </c>
      <c r="I570" s="1882" t="s">
        <v>10253</v>
      </c>
      <c r="J570" s="1882" t="s">
        <v>8508</v>
      </c>
      <c r="K570" s="1882" t="s">
        <v>8509</v>
      </c>
      <c r="L570" s="1882" t="s">
        <v>2459</v>
      </c>
      <c r="M570" s="1882"/>
      <c r="N570" s="1882" t="s">
        <v>8681</v>
      </c>
      <c r="O570" s="1882" t="s">
        <v>764</v>
      </c>
      <c r="P570" s="1882" t="s">
        <v>9180</v>
      </c>
      <c r="Q570" s="520">
        <v>3</v>
      </c>
      <c r="R570" s="1882"/>
      <c r="S570" s="1882"/>
      <c r="T570" s="1882"/>
      <c r="U570" s="1882"/>
      <c r="V570" s="1882"/>
      <c r="W570" s="1882"/>
      <c r="X570" s="1882"/>
      <c r="Y570" s="1882"/>
      <c r="Z570" s="1882"/>
      <c r="AA570" s="1882"/>
      <c r="AB570" s="1882"/>
      <c r="AC570" s="1882"/>
      <c r="AD570" s="1882"/>
      <c r="AE570" s="1882"/>
      <c r="AF570" s="1882"/>
      <c r="AG570" s="1882"/>
      <c r="AH570" s="1882"/>
      <c r="AI570" s="1882"/>
      <c r="AJ570" s="1882"/>
      <c r="AK570" s="1882"/>
      <c r="AL570" s="1882"/>
      <c r="AM570" s="1882"/>
      <c r="AN570" s="1882"/>
      <c r="AO570" s="1882"/>
      <c r="AP570" s="1882"/>
      <c r="AQ570" s="1882"/>
      <c r="AR570" s="1882"/>
      <c r="AS570" s="1882"/>
      <c r="AT570" s="1882"/>
      <c r="AU570" s="1882"/>
      <c r="AV570" s="1882"/>
      <c r="AW570" s="1882"/>
      <c r="AX570" s="1882"/>
      <c r="AY570" s="1882"/>
      <c r="AZ570" s="1882"/>
      <c r="BA570" s="1882"/>
      <c r="BB570" s="1882"/>
      <c r="BC570" s="1882"/>
      <c r="BD570" s="1882"/>
      <c r="BE570" s="1882"/>
      <c r="BF570" s="1882"/>
      <c r="BG570" s="1882"/>
      <c r="BH570" s="1882"/>
      <c r="BI570" s="1882"/>
      <c r="BJ570" s="1882"/>
      <c r="BK570" s="1882"/>
      <c r="BL570" s="1882"/>
      <c r="BM570" s="1882"/>
      <c r="BN570" s="1882"/>
      <c r="BO570" s="1882"/>
      <c r="BQ570" s="1882"/>
      <c r="BR570" s="1882"/>
      <c r="BS570" s="1882"/>
      <c r="BT570" s="1882"/>
      <c r="BU570" s="1882"/>
      <c r="BV570" s="1882"/>
      <c r="BW570" s="1882"/>
      <c r="BX570" s="1882"/>
      <c r="BY570" s="1882"/>
      <c r="BZ570" s="1882"/>
      <c r="CA570" s="1882"/>
      <c r="CB570" s="1882"/>
      <c r="CC570" s="1882" t="s">
        <v>2451</v>
      </c>
      <c r="CH570" s="1882"/>
      <c r="CI570" s="1882">
        <v>1</v>
      </c>
      <c r="CJ570" s="1882" t="s">
        <v>2459</v>
      </c>
      <c r="CK570" s="1882" t="s">
        <v>8376</v>
      </c>
      <c r="CL570" s="1882">
        <v>0</v>
      </c>
      <c r="CM570" s="1882">
        <v>0</v>
      </c>
      <c r="CN570" s="1882">
        <v>0</v>
      </c>
      <c r="CP570" s="1882" t="s">
        <v>11552</v>
      </c>
    </row>
    <row r="571" spans="1:94">
      <c r="A571" s="1882" t="s">
        <v>8421</v>
      </c>
      <c r="B571" s="1882" t="s">
        <v>11553</v>
      </c>
      <c r="C571" s="1882" t="s">
        <v>8352</v>
      </c>
      <c r="D571" s="1882" t="s">
        <v>1627</v>
      </c>
      <c r="E571" s="1882" t="s">
        <v>8720</v>
      </c>
      <c r="F571" s="1882" t="s">
        <v>10169</v>
      </c>
      <c r="G571" s="1882" t="s">
        <v>8779</v>
      </c>
      <c r="H571" s="1882" t="s">
        <v>10256</v>
      </c>
      <c r="I571" s="1882" t="s">
        <v>10257</v>
      </c>
      <c r="J571" s="1882" t="s">
        <v>8539</v>
      </c>
      <c r="K571" s="1882"/>
      <c r="L571" s="1882"/>
      <c r="M571" s="1882"/>
      <c r="N571" s="1882" t="s">
        <v>9592</v>
      </c>
      <c r="O571" s="1882" t="s">
        <v>764</v>
      </c>
      <c r="P571" s="1882" t="s">
        <v>10172</v>
      </c>
      <c r="Q571" s="520">
        <v>0</v>
      </c>
      <c r="R571" s="1882"/>
      <c r="S571" s="1882"/>
      <c r="T571" s="1882"/>
      <c r="U571" s="1882"/>
      <c r="V571" s="1882"/>
      <c r="W571" s="1882"/>
      <c r="X571" s="1882"/>
      <c r="Y571" s="1882"/>
      <c r="Z571" s="1882"/>
      <c r="AA571" s="1882"/>
      <c r="AB571" s="1882"/>
      <c r="AC571" s="1882"/>
      <c r="AD571" s="1882"/>
      <c r="AE571" s="1882"/>
      <c r="AF571" s="1882"/>
      <c r="AG571" s="1882"/>
      <c r="AH571" s="1882"/>
      <c r="AI571" s="1882"/>
      <c r="AJ571" s="1882"/>
      <c r="AK571" s="1882"/>
      <c r="AL571" s="1882"/>
      <c r="AM571" s="1882"/>
      <c r="AN571" s="1882"/>
      <c r="AO571" s="1882"/>
      <c r="AP571" s="1882"/>
      <c r="AQ571" s="1882"/>
      <c r="AR571" s="1882"/>
      <c r="AS571" s="1882"/>
      <c r="AT571" s="1882"/>
      <c r="AU571" s="1882"/>
      <c r="AV571" s="1882"/>
      <c r="AW571" s="1882"/>
      <c r="AX571" s="1882"/>
      <c r="AY571" s="1882"/>
      <c r="AZ571" s="1882"/>
      <c r="BA571" s="1882"/>
      <c r="BB571" s="1882"/>
      <c r="BC571" s="1882"/>
      <c r="BD571" s="1882"/>
      <c r="BE571" s="1882"/>
      <c r="BF571" s="1882"/>
      <c r="BG571" s="1882"/>
      <c r="BH571" s="1882"/>
      <c r="BI571" s="1882"/>
      <c r="BJ571" s="1882"/>
      <c r="BK571" s="1882"/>
      <c r="BL571" s="1882"/>
      <c r="BM571" s="1882"/>
      <c r="BN571" s="1882"/>
      <c r="BO571" s="1882"/>
      <c r="BQ571" s="1882"/>
      <c r="BR571" s="1882"/>
      <c r="BS571" s="1882"/>
      <c r="BT571" s="1882"/>
      <c r="BU571" s="1882"/>
      <c r="BV571" s="1882"/>
      <c r="BW571" s="1882"/>
      <c r="BX571" s="1882"/>
      <c r="BY571" s="1882"/>
      <c r="BZ571" s="1882"/>
      <c r="CA571" s="1882"/>
      <c r="CB571" s="1882"/>
      <c r="CC571" s="1882" t="s">
        <v>2451</v>
      </c>
      <c r="CH571" s="1882"/>
      <c r="CI571" s="1882">
        <v>534</v>
      </c>
      <c r="CJ571" s="1882" t="s">
        <v>2460</v>
      </c>
      <c r="CK571" s="1882">
        <v>0</v>
      </c>
      <c r="CL571" s="1882">
        <v>0</v>
      </c>
      <c r="CM571" s="1882">
        <v>0</v>
      </c>
      <c r="CN571" s="1882">
        <v>0</v>
      </c>
      <c r="CP571" s="1882" t="s">
        <v>11554</v>
      </c>
    </row>
    <row r="572" spans="1:94">
      <c r="A572" s="1882" t="s">
        <v>8421</v>
      </c>
      <c r="B572" s="1882" t="s">
        <v>11555</v>
      </c>
      <c r="C572" s="1882" t="s">
        <v>8352</v>
      </c>
      <c r="D572" s="1882" t="s">
        <v>8584</v>
      </c>
      <c r="E572" s="1882" t="s">
        <v>8585</v>
      </c>
      <c r="F572" s="1882" t="s">
        <v>10260</v>
      </c>
      <c r="G572" s="1882" t="s">
        <v>8587</v>
      </c>
      <c r="H572" s="1882" t="s">
        <v>10261</v>
      </c>
      <c r="I572" s="1882" t="s">
        <v>10262</v>
      </c>
      <c r="J572" s="1882" t="s">
        <v>8539</v>
      </c>
      <c r="K572" s="1882"/>
      <c r="L572" s="1882"/>
      <c r="M572" s="1882"/>
      <c r="N572" s="1882" t="s">
        <v>8695</v>
      </c>
      <c r="O572" s="1882" t="s">
        <v>8797</v>
      </c>
      <c r="P572" s="1882" t="s">
        <v>10263</v>
      </c>
      <c r="Q572" s="520" t="s">
        <v>8512</v>
      </c>
      <c r="R572" s="1882"/>
      <c r="S572" s="1882"/>
      <c r="T572" s="1882"/>
      <c r="U572" s="1882"/>
      <c r="V572" s="1882"/>
      <c r="W572" s="1882"/>
      <c r="X572" s="1882"/>
      <c r="Y572" s="1882"/>
      <c r="Z572" s="1882"/>
      <c r="AA572" s="1882"/>
      <c r="AB572" s="1882"/>
      <c r="AC572" s="1882"/>
      <c r="AD572" s="1882"/>
      <c r="AE572" s="1882"/>
      <c r="AF572" s="1882"/>
      <c r="AG572" s="1882"/>
      <c r="AH572" s="1882"/>
      <c r="AI572" s="1882"/>
      <c r="AJ572" s="1882"/>
      <c r="AK572" s="1882"/>
      <c r="AL572" s="1882"/>
      <c r="AM572" s="1882"/>
      <c r="AN572" s="1882"/>
      <c r="AO572" s="1882"/>
      <c r="AP572" s="1882"/>
      <c r="AQ572" s="1882"/>
      <c r="AR572" s="1882"/>
      <c r="AS572" s="1882"/>
      <c r="AT572" s="1882"/>
      <c r="AU572" s="1882"/>
      <c r="AV572" s="1882"/>
      <c r="AW572" s="1882"/>
      <c r="AX572" s="1882"/>
      <c r="AY572" s="1882"/>
      <c r="AZ572" s="1882"/>
      <c r="BA572" s="1882"/>
      <c r="BB572" s="1882"/>
      <c r="BC572" s="1882"/>
      <c r="BD572" s="1882"/>
      <c r="BE572" s="1882"/>
      <c r="BF572" s="1882"/>
      <c r="BG572" s="1882"/>
      <c r="BH572" s="1882"/>
      <c r="BI572" s="1882"/>
      <c r="BJ572" s="1882"/>
      <c r="BK572" s="1882"/>
      <c r="BL572" s="1882"/>
      <c r="BM572" s="1882"/>
      <c r="BN572" s="1882"/>
      <c r="BO572" s="1882"/>
      <c r="BQ572" s="1882"/>
      <c r="BR572" s="1882"/>
      <c r="BS572" s="1882"/>
      <c r="BT572" s="1882"/>
      <c r="BU572" s="1882"/>
      <c r="BV572" s="1882"/>
      <c r="BW572" s="1882"/>
      <c r="BX572" s="1882"/>
      <c r="BY572" s="1882"/>
      <c r="BZ572" s="1882"/>
      <c r="CA572" s="1882"/>
      <c r="CB572" s="1882"/>
      <c r="CC572" s="1882" t="s">
        <v>2451</v>
      </c>
      <c r="CH572" s="1882"/>
      <c r="CI572" s="1882" t="s">
        <v>11556</v>
      </c>
      <c r="CJ572" s="1882" t="s">
        <v>2459</v>
      </c>
      <c r="CK572" s="1882">
        <v>0</v>
      </c>
      <c r="CL572" s="1882">
        <v>0</v>
      </c>
      <c r="CM572" s="1882">
        <v>0</v>
      </c>
      <c r="CN572" s="1882">
        <v>0</v>
      </c>
      <c r="CP572" s="1882" t="s">
        <v>11557</v>
      </c>
    </row>
    <row r="573" spans="1:94">
      <c r="A573" s="1882" t="s">
        <v>8421</v>
      </c>
      <c r="B573" s="1882" t="s">
        <v>11558</v>
      </c>
      <c r="C573" s="1882" t="s">
        <v>8352</v>
      </c>
      <c r="D573" s="1882" t="s">
        <v>8584</v>
      </c>
      <c r="E573" s="1882" t="s">
        <v>8585</v>
      </c>
      <c r="F573" s="1882" t="s">
        <v>10260</v>
      </c>
      <c r="G573" s="1882" t="s">
        <v>8596</v>
      </c>
      <c r="H573" s="1882" t="s">
        <v>10268</v>
      </c>
      <c r="I573" s="1882" t="s">
        <v>10269</v>
      </c>
      <c r="J573" s="1882" t="s">
        <v>8508</v>
      </c>
      <c r="K573" s="1882" t="s">
        <v>8509</v>
      </c>
      <c r="L573" s="1882"/>
      <c r="M573" s="1882" t="s">
        <v>2460</v>
      </c>
      <c r="N573" s="1882" t="s">
        <v>8590</v>
      </c>
      <c r="O573" s="1882" t="s">
        <v>8797</v>
      </c>
      <c r="P573" s="1882" t="s">
        <v>8951</v>
      </c>
      <c r="Q573" s="520" t="s">
        <v>8512</v>
      </c>
      <c r="R573" s="1882"/>
      <c r="S573" s="1882"/>
      <c r="T573" s="1882"/>
      <c r="U573" s="1882"/>
      <c r="V573" s="1882"/>
      <c r="W573" s="1882"/>
      <c r="X573" s="1882"/>
      <c r="Y573" s="1882"/>
      <c r="Z573" s="1882"/>
      <c r="AA573" s="1882"/>
      <c r="AB573" s="1882"/>
      <c r="AC573" s="1882"/>
      <c r="AD573" s="1882"/>
      <c r="AE573" s="1882"/>
      <c r="AF573" s="1882"/>
      <c r="AG573" s="1882"/>
      <c r="AH573" s="1882"/>
      <c r="AI573" s="1882"/>
      <c r="AJ573" s="1882"/>
      <c r="AK573" s="1882"/>
      <c r="AL573" s="1882"/>
      <c r="AM573" s="1882"/>
      <c r="AN573" s="1882"/>
      <c r="AO573" s="1882"/>
      <c r="AP573" s="1882"/>
      <c r="AQ573" s="1882"/>
      <c r="AR573" s="1882"/>
      <c r="AS573" s="1882"/>
      <c r="AT573" s="1882"/>
      <c r="AU573" s="1882"/>
      <c r="AV573" s="1882"/>
      <c r="AW573" s="1882"/>
      <c r="AX573" s="1882"/>
      <c r="AY573" s="1882"/>
      <c r="AZ573" s="1882"/>
      <c r="BA573" s="1882"/>
      <c r="BB573" s="1882"/>
      <c r="BC573" s="1882"/>
      <c r="BD573" s="1882"/>
      <c r="BE573" s="1882"/>
      <c r="BF573" s="1882"/>
      <c r="BG573" s="1882"/>
      <c r="BH573" s="1882"/>
      <c r="BI573" s="1882"/>
      <c r="BJ573" s="1882"/>
      <c r="BK573" s="1882"/>
      <c r="BL573" s="1882"/>
      <c r="BM573" s="1882"/>
      <c r="BN573" s="1882"/>
      <c r="BO573" s="1882"/>
      <c r="BQ573" s="1882"/>
      <c r="BR573" s="1882"/>
      <c r="BS573" s="1882"/>
      <c r="BT573" s="1882"/>
      <c r="BU573" s="1882"/>
      <c r="BV573" s="1882"/>
      <c r="BW573" s="1882"/>
      <c r="BX573" s="1882"/>
      <c r="BY573" s="1882"/>
      <c r="BZ573" s="1882"/>
      <c r="CA573" s="1882"/>
      <c r="CB573" s="1882"/>
      <c r="CC573" s="1882" t="s">
        <v>2451</v>
      </c>
      <c r="CH573" s="1882"/>
      <c r="CI573" s="1882">
        <v>81.45</v>
      </c>
      <c r="CJ573" s="1882" t="s">
        <v>2451</v>
      </c>
      <c r="CK573" s="1882">
        <v>0</v>
      </c>
      <c r="CL573" s="1882">
        <v>0</v>
      </c>
      <c r="CM573" s="1882">
        <v>0</v>
      </c>
      <c r="CN573" s="1882">
        <v>0</v>
      </c>
      <c r="CP573" s="1882" t="s">
        <v>11559</v>
      </c>
    </row>
    <row r="574" spans="1:94">
      <c r="A574" s="1882" t="s">
        <v>8421</v>
      </c>
      <c r="B574" s="1882" t="s">
        <v>11560</v>
      </c>
      <c r="C574" s="1882" t="s">
        <v>8352</v>
      </c>
      <c r="D574" s="1882" t="s">
        <v>8584</v>
      </c>
      <c r="E574" s="1882" t="s">
        <v>8585</v>
      </c>
      <c r="F574" s="1882" t="s">
        <v>10272</v>
      </c>
      <c r="G574" s="1882" t="s">
        <v>8822</v>
      </c>
      <c r="H574" s="1882" t="s">
        <v>10273</v>
      </c>
      <c r="I574" s="1882" t="s">
        <v>10274</v>
      </c>
      <c r="J574" s="1882" t="s">
        <v>8539</v>
      </c>
      <c r="K574" s="1882"/>
      <c r="L574" s="1882"/>
      <c r="M574" s="1882"/>
      <c r="N574" s="1882" t="s">
        <v>8599</v>
      </c>
      <c r="O574" s="1882" t="s">
        <v>764</v>
      </c>
      <c r="P574" s="1882" t="s">
        <v>10017</v>
      </c>
      <c r="Q574" s="520">
        <v>0</v>
      </c>
      <c r="R574" s="1882"/>
      <c r="S574" s="1882"/>
      <c r="T574" s="1882"/>
      <c r="U574" s="1882"/>
      <c r="V574" s="1882"/>
      <c r="W574" s="1882"/>
      <c r="X574" s="1882"/>
      <c r="Y574" s="1882"/>
      <c r="Z574" s="1882"/>
      <c r="AA574" s="1882"/>
      <c r="AB574" s="1882"/>
      <c r="AC574" s="1882"/>
      <c r="AD574" s="1882"/>
      <c r="AE574" s="1882"/>
      <c r="AF574" s="1882"/>
      <c r="AG574" s="1882"/>
      <c r="AH574" s="1882"/>
      <c r="AI574" s="1882"/>
      <c r="AJ574" s="1882"/>
      <c r="AK574" s="1882"/>
      <c r="AL574" s="1882"/>
      <c r="AM574" s="1882"/>
      <c r="AN574" s="1882"/>
      <c r="AO574" s="1882"/>
      <c r="AP574" s="1882"/>
      <c r="AQ574" s="1882"/>
      <c r="AR574" s="1882"/>
      <c r="AS574" s="1882"/>
      <c r="AT574" s="1882"/>
      <c r="AU574" s="1882"/>
      <c r="AV574" s="1882"/>
      <c r="AW574" s="1882"/>
      <c r="AX574" s="1882"/>
      <c r="AY574" s="1882"/>
      <c r="AZ574" s="1882"/>
      <c r="BA574" s="1882"/>
      <c r="BB574" s="1882"/>
      <c r="BC574" s="1882"/>
      <c r="BD574" s="1882"/>
      <c r="BE574" s="1882"/>
      <c r="BF574" s="1882"/>
      <c r="BG574" s="1882"/>
      <c r="BH574" s="1882"/>
      <c r="BI574" s="1882"/>
      <c r="BJ574" s="1882"/>
      <c r="BK574" s="1882"/>
      <c r="BL574" s="1882"/>
      <c r="BM574" s="1882"/>
      <c r="BN574" s="1882"/>
      <c r="BO574" s="1882"/>
      <c r="BQ574" s="1882"/>
      <c r="BR574" s="1882"/>
      <c r="BS574" s="1882"/>
      <c r="BT574" s="1882"/>
      <c r="BU574" s="1882"/>
      <c r="BV574" s="1882"/>
      <c r="BW574" s="1882"/>
      <c r="BX574" s="1882"/>
      <c r="BY574" s="1882"/>
      <c r="BZ574" s="1882"/>
      <c r="CA574" s="1882"/>
      <c r="CB574" s="1882"/>
      <c r="CC574" s="1882" t="s">
        <v>2451</v>
      </c>
      <c r="CH574" s="1882"/>
      <c r="CI574" s="1882">
        <v>291</v>
      </c>
      <c r="CJ574" s="1882" t="s">
        <v>2459</v>
      </c>
      <c r="CK574" s="1882">
        <v>0</v>
      </c>
      <c r="CL574" s="1882">
        <v>0</v>
      </c>
      <c r="CM574" s="1882">
        <v>0</v>
      </c>
      <c r="CN574" s="1882">
        <v>0</v>
      </c>
      <c r="CP574" s="1882" t="s">
        <v>11561</v>
      </c>
    </row>
    <row r="575" spans="1:94">
      <c r="A575" s="1882" t="s">
        <v>8421</v>
      </c>
      <c r="B575" s="1882" t="s">
        <v>11562</v>
      </c>
      <c r="C575" s="1882" t="s">
        <v>8352</v>
      </c>
      <c r="D575" s="1882" t="s">
        <v>8584</v>
      </c>
      <c r="E575" s="1882" t="s">
        <v>8585</v>
      </c>
      <c r="F575" s="1882" t="s">
        <v>10272</v>
      </c>
      <c r="G575" s="1882" t="s">
        <v>8827</v>
      </c>
      <c r="H575" s="1882" t="s">
        <v>10277</v>
      </c>
      <c r="I575" s="1882" t="s">
        <v>10278</v>
      </c>
      <c r="J575" s="1882" t="s">
        <v>8539</v>
      </c>
      <c r="K575" s="1882"/>
      <c r="L575" s="1882"/>
      <c r="M575" s="1882"/>
      <c r="N575" s="1882" t="s">
        <v>8599</v>
      </c>
      <c r="O575" s="1882" t="s">
        <v>732</v>
      </c>
      <c r="P575" s="1882" t="s">
        <v>10279</v>
      </c>
      <c r="Q575" s="520">
        <v>2</v>
      </c>
      <c r="R575" s="1882"/>
      <c r="S575" s="1882"/>
      <c r="T575" s="1882"/>
      <c r="U575" s="1882"/>
      <c r="V575" s="1882"/>
      <c r="W575" s="1882"/>
      <c r="X575" s="1882"/>
      <c r="Y575" s="1882"/>
      <c r="Z575" s="1882"/>
      <c r="AA575" s="1882"/>
      <c r="AB575" s="1882"/>
      <c r="AC575" s="1882"/>
      <c r="AD575" s="1882"/>
      <c r="AE575" s="1882"/>
      <c r="AF575" s="1882"/>
      <c r="AG575" s="1882"/>
      <c r="AH575" s="1882"/>
      <c r="AI575" s="1882"/>
      <c r="AJ575" s="1882"/>
      <c r="AK575" s="1882"/>
      <c r="AL575" s="1882"/>
      <c r="AM575" s="1882"/>
      <c r="AN575" s="1882"/>
      <c r="AO575" s="1882"/>
      <c r="AP575" s="1882"/>
      <c r="AQ575" s="1882"/>
      <c r="AR575" s="1882"/>
      <c r="AS575" s="1882"/>
      <c r="AT575" s="1882"/>
      <c r="AU575" s="1882"/>
      <c r="AV575" s="1882"/>
      <c r="AW575" s="1882"/>
      <c r="AX575" s="1882"/>
      <c r="AY575" s="1882"/>
      <c r="AZ575" s="1882"/>
      <c r="BA575" s="1882"/>
      <c r="BB575" s="1882"/>
      <c r="BC575" s="1882"/>
      <c r="BD575" s="1882"/>
      <c r="BE575" s="1882"/>
      <c r="BF575" s="1882"/>
      <c r="BG575" s="1882"/>
      <c r="BH575" s="1882"/>
      <c r="BI575" s="1882"/>
      <c r="BJ575" s="1882"/>
      <c r="BK575" s="1882"/>
      <c r="BL575" s="1882"/>
      <c r="BM575" s="1882"/>
      <c r="BN575" s="1882"/>
      <c r="BO575" s="1882"/>
      <c r="BQ575" s="1882"/>
      <c r="BR575" s="1882"/>
      <c r="BS575" s="1882"/>
      <c r="BT575" s="1882"/>
      <c r="BU575" s="1882"/>
      <c r="BV575" s="1882"/>
      <c r="BW575" s="1882"/>
      <c r="BX575" s="1882"/>
      <c r="BY575" s="1882"/>
      <c r="BZ575" s="1882"/>
      <c r="CA575" s="1882"/>
      <c r="CB575" s="1882"/>
      <c r="CC575" s="1882" t="s">
        <v>2451</v>
      </c>
      <c r="CH575" s="1882"/>
      <c r="CI575" s="1882">
        <v>3.1592040781496702</v>
      </c>
      <c r="CJ575" s="1882" t="s">
        <v>2460</v>
      </c>
      <c r="CK575" s="1882">
        <v>0</v>
      </c>
      <c r="CL575" s="1882">
        <v>0</v>
      </c>
      <c r="CM575" s="1882">
        <v>0</v>
      </c>
      <c r="CN575" s="1882">
        <v>0</v>
      </c>
      <c r="CP575" s="1882" t="s">
        <v>11563</v>
      </c>
    </row>
    <row r="576" spans="1:94">
      <c r="A576" s="1882" t="s">
        <v>8424</v>
      </c>
      <c r="B576" s="1882" t="s">
        <v>11564</v>
      </c>
      <c r="C576" s="1882" t="s">
        <v>8352</v>
      </c>
      <c r="D576" s="1882" t="s">
        <v>1626</v>
      </c>
      <c r="E576" s="1882" t="s">
        <v>8503</v>
      </c>
      <c r="F576" s="1882" t="s">
        <v>10034</v>
      </c>
      <c r="G576" s="1882" t="s">
        <v>8505</v>
      </c>
      <c r="H576" s="1882" t="s">
        <v>10035</v>
      </c>
      <c r="I576" s="1882" t="s">
        <v>10036</v>
      </c>
      <c r="J576" s="1882" t="s">
        <v>8508</v>
      </c>
      <c r="K576" s="1882" t="s">
        <v>8509</v>
      </c>
      <c r="L576" s="1882" t="s">
        <v>2459</v>
      </c>
      <c r="M576" s="1882"/>
      <c r="N576" s="1882" t="s">
        <v>8463</v>
      </c>
      <c r="O576" s="1882" t="s">
        <v>764</v>
      </c>
      <c r="P576" s="1882" t="s">
        <v>10037</v>
      </c>
      <c r="Q576" s="520">
        <v>0</v>
      </c>
      <c r="R576" s="1882"/>
      <c r="S576" s="1882"/>
      <c r="T576" s="1882"/>
      <c r="U576" s="1882"/>
      <c r="V576" s="1882"/>
      <c r="W576" s="1882"/>
      <c r="X576" s="1882"/>
      <c r="Y576" s="1882"/>
      <c r="Z576" s="1882"/>
      <c r="AA576" s="1882"/>
      <c r="AB576" s="1882"/>
      <c r="AC576" s="1882"/>
      <c r="AD576" s="1882"/>
      <c r="AE576" s="1882"/>
      <c r="AF576" s="1882"/>
      <c r="AG576" s="1882"/>
      <c r="AH576" s="1882"/>
      <c r="AI576" s="1882"/>
      <c r="AJ576" s="1882"/>
      <c r="AK576" s="1882"/>
      <c r="AL576" s="1882"/>
      <c r="AM576" s="1882"/>
      <c r="AN576" s="1882"/>
      <c r="AO576" s="1882"/>
      <c r="AP576" s="1882"/>
      <c r="AQ576" s="1882"/>
      <c r="AR576" s="1882"/>
      <c r="AS576" s="1882"/>
      <c r="AT576" s="1882"/>
      <c r="AU576" s="1882"/>
      <c r="AV576" s="1882"/>
      <c r="AW576" s="1882"/>
      <c r="AX576" s="1882"/>
      <c r="AY576" s="1882"/>
      <c r="AZ576" s="1882"/>
      <c r="BA576" s="1882"/>
      <c r="BB576" s="1882"/>
      <c r="BC576" s="1882"/>
      <c r="BD576" s="1882"/>
      <c r="BE576" s="1882"/>
      <c r="BF576" s="1882"/>
      <c r="BG576" s="1882"/>
      <c r="BH576" s="1882"/>
      <c r="BI576" s="1882"/>
      <c r="BJ576" s="1882"/>
      <c r="BK576" s="1882"/>
      <c r="BL576" s="1882"/>
      <c r="BM576" s="1882"/>
      <c r="BN576" s="1882"/>
      <c r="BO576" s="1882"/>
      <c r="BQ576" s="1882"/>
      <c r="BR576" s="1882"/>
      <c r="BS576" s="1882"/>
      <c r="BT576" s="1882"/>
      <c r="BU576" s="1882"/>
      <c r="BV576" s="1882"/>
      <c r="BW576" s="1882"/>
      <c r="BX576" s="1882"/>
      <c r="BY576" s="1882"/>
      <c r="BZ576" s="1882"/>
      <c r="CA576" s="1882"/>
      <c r="CB576" s="1882"/>
      <c r="CC576" s="1882" t="s">
        <v>2451</v>
      </c>
      <c r="CH576" s="1882"/>
      <c r="CI576" s="1882">
        <v>11856</v>
      </c>
      <c r="CJ576" s="1882" t="s">
        <v>2460</v>
      </c>
      <c r="CK576" s="1882" t="s">
        <v>8384</v>
      </c>
      <c r="CL576" s="1882">
        <v>-1.7070000000000001</v>
      </c>
      <c r="CM576" s="1882">
        <v>0</v>
      </c>
      <c r="CN576" s="1882">
        <v>0</v>
      </c>
      <c r="CP576" s="1882" t="s">
        <v>11565</v>
      </c>
    </row>
    <row r="577" spans="1:94">
      <c r="A577" s="1882" t="s">
        <v>8424</v>
      </c>
      <c r="B577" s="1882" t="s">
        <v>11566</v>
      </c>
      <c r="C577" s="1882" t="s">
        <v>8352</v>
      </c>
      <c r="D577" s="1882" t="s">
        <v>1626</v>
      </c>
      <c r="E577" s="1882" t="s">
        <v>8503</v>
      </c>
      <c r="F577" s="1882" t="s">
        <v>10034</v>
      </c>
      <c r="G577" s="1882" t="s">
        <v>8516</v>
      </c>
      <c r="H577" s="1882" t="s">
        <v>10040</v>
      </c>
      <c r="I577" s="1882" t="s">
        <v>10041</v>
      </c>
      <c r="J577" s="1882" t="s">
        <v>8519</v>
      </c>
      <c r="K577" s="1882" t="s">
        <v>8509</v>
      </c>
      <c r="L577" s="1882" t="s">
        <v>2459</v>
      </c>
      <c r="M577" s="1882"/>
      <c r="N577" s="1882" t="s">
        <v>8547</v>
      </c>
      <c r="O577" s="1882" t="s">
        <v>732</v>
      </c>
      <c r="P577" s="1882" t="s">
        <v>8548</v>
      </c>
      <c r="Q577" s="520">
        <v>3</v>
      </c>
      <c r="R577" s="1882"/>
      <c r="S577" s="1882"/>
      <c r="T577" s="1882"/>
      <c r="U577" s="1882"/>
      <c r="V577" s="1882"/>
      <c r="W577" s="1882"/>
      <c r="X577" s="1882"/>
      <c r="Y577" s="1882"/>
      <c r="Z577" s="1882"/>
      <c r="AA577" s="1882"/>
      <c r="AB577" s="1882"/>
      <c r="AC577" s="1882"/>
      <c r="AD577" s="1882"/>
      <c r="AE577" s="1882"/>
      <c r="AF577" s="1882"/>
      <c r="AG577" s="1882"/>
      <c r="AH577" s="1882"/>
      <c r="AI577" s="1882"/>
      <c r="AJ577" s="1882"/>
      <c r="AK577" s="1882"/>
      <c r="AL577" s="1882"/>
      <c r="AM577" s="1882"/>
      <c r="AN577" s="1882"/>
      <c r="AO577" s="1882"/>
      <c r="AP577" s="1882"/>
      <c r="AQ577" s="1882"/>
      <c r="AR577" s="1882"/>
      <c r="AS577" s="1882"/>
      <c r="AT577" s="1882"/>
      <c r="AU577" s="1882"/>
      <c r="AV577" s="1882"/>
      <c r="AW577" s="1882"/>
      <c r="AX577" s="1882"/>
      <c r="AY577" s="1882"/>
      <c r="AZ577" s="1882"/>
      <c r="BA577" s="1882"/>
      <c r="BB577" s="1882"/>
      <c r="BC577" s="1882"/>
      <c r="BD577" s="1882"/>
      <c r="BE577" s="1882"/>
      <c r="BF577" s="1882"/>
      <c r="BG577" s="1882"/>
      <c r="BH577" s="1882"/>
      <c r="BI577" s="1882"/>
      <c r="BJ577" s="1882"/>
      <c r="BK577" s="1882"/>
      <c r="BL577" s="1882"/>
      <c r="BM577" s="1882"/>
      <c r="BN577" s="1882"/>
      <c r="BO577" s="1882"/>
      <c r="BQ577" s="1882"/>
      <c r="BR577" s="1882"/>
      <c r="BS577" s="1882"/>
      <c r="BT577" s="1882"/>
      <c r="BU577" s="1882"/>
      <c r="BV577" s="1882"/>
      <c r="BW577" s="1882"/>
      <c r="BX577" s="1882"/>
      <c r="BY577" s="1882"/>
      <c r="BZ577" s="1882"/>
      <c r="CA577" s="1882"/>
      <c r="CB577" s="1882"/>
      <c r="CC577" s="1882" t="s">
        <v>2451</v>
      </c>
      <c r="CH577" s="1882"/>
      <c r="CI577" s="1882">
        <v>99.94</v>
      </c>
      <c r="CJ577" s="1882" t="s">
        <v>2460</v>
      </c>
      <c r="CK577" s="1882" t="s">
        <v>8384</v>
      </c>
      <c r="CL577" s="1882">
        <v>-1.7070000000000001</v>
      </c>
      <c r="CM577" s="1882">
        <v>0</v>
      </c>
      <c r="CN577" s="1882">
        <v>0</v>
      </c>
      <c r="CP577" s="1882" t="s">
        <v>11567</v>
      </c>
    </row>
    <row r="578" spans="1:94">
      <c r="A578" s="1882" t="s">
        <v>8424</v>
      </c>
      <c r="B578" s="1882" t="s">
        <v>11568</v>
      </c>
      <c r="C578" s="1882" t="s">
        <v>8352</v>
      </c>
      <c r="D578" s="1882" t="s">
        <v>1626</v>
      </c>
      <c r="E578" s="1882" t="s">
        <v>8503</v>
      </c>
      <c r="F578" s="1882" t="s">
        <v>10034</v>
      </c>
      <c r="G578" s="1882" t="s">
        <v>8524</v>
      </c>
      <c r="H578" s="1882" t="s">
        <v>10044</v>
      </c>
      <c r="I578" s="1882" t="s">
        <v>10045</v>
      </c>
      <c r="J578" s="1882" t="s">
        <v>8519</v>
      </c>
      <c r="K578" s="1882" t="s">
        <v>8855</v>
      </c>
      <c r="L578" s="1882"/>
      <c r="M578" s="1882" t="s">
        <v>2460</v>
      </c>
      <c r="N578" s="1882" t="s">
        <v>8569</v>
      </c>
      <c r="O578" s="1882" t="s">
        <v>764</v>
      </c>
      <c r="P578" s="1882" t="s">
        <v>10046</v>
      </c>
      <c r="Q578" s="520">
        <v>0</v>
      </c>
      <c r="R578" s="1882"/>
      <c r="S578" s="1882"/>
      <c r="T578" s="1882"/>
      <c r="U578" s="1882"/>
      <c r="V578" s="1882"/>
      <c r="W578" s="1882"/>
      <c r="X578" s="1882"/>
      <c r="Y578" s="1882"/>
      <c r="Z578" s="1882"/>
      <c r="AA578" s="1882"/>
      <c r="AB578" s="1882"/>
      <c r="AC578" s="1882"/>
      <c r="AD578" s="1882"/>
      <c r="AE578" s="1882"/>
      <c r="AF578" s="1882"/>
      <c r="AG578" s="1882"/>
      <c r="AH578" s="1882"/>
      <c r="AI578" s="1882"/>
      <c r="AJ578" s="1882"/>
      <c r="AK578" s="1882"/>
      <c r="AL578" s="1882"/>
      <c r="AM578" s="1882"/>
      <c r="AN578" s="1882"/>
      <c r="AO578" s="1882"/>
      <c r="AP578" s="1882"/>
      <c r="AQ578" s="1882"/>
      <c r="AR578" s="1882"/>
      <c r="AS578" s="1882"/>
      <c r="AT578" s="1882"/>
      <c r="AU578" s="1882"/>
      <c r="AV578" s="1882"/>
      <c r="AW578" s="1882"/>
      <c r="AX578" s="1882"/>
      <c r="AY578" s="1882"/>
      <c r="AZ578" s="1882"/>
      <c r="BA578" s="1882"/>
      <c r="BB578" s="1882"/>
      <c r="BC578" s="1882"/>
      <c r="BD578" s="1882"/>
      <c r="BE578" s="1882"/>
      <c r="BF578" s="1882"/>
      <c r="BG578" s="1882"/>
      <c r="BH578" s="1882"/>
      <c r="BI578" s="1882"/>
      <c r="BJ578" s="1882"/>
      <c r="BK578" s="1882"/>
      <c r="BL578" s="1882"/>
      <c r="BM578" s="1882"/>
      <c r="BN578" s="1882"/>
      <c r="BO578" s="1882"/>
      <c r="BQ578" s="1882"/>
      <c r="BR578" s="1882"/>
      <c r="BS578" s="1882"/>
      <c r="BT578" s="1882"/>
      <c r="BU578" s="1882"/>
      <c r="BV578" s="1882"/>
      <c r="BW578" s="1882"/>
      <c r="BX578" s="1882"/>
      <c r="BY578" s="1882"/>
      <c r="BZ578" s="1882"/>
      <c r="CA578" s="1882"/>
      <c r="CB578" s="1882"/>
      <c r="CC578" s="1882" t="s">
        <v>2451</v>
      </c>
      <c r="CH578" s="1882"/>
      <c r="CI578" s="1882">
        <v>13</v>
      </c>
      <c r="CJ578" s="1882" t="s">
        <v>2460</v>
      </c>
      <c r="CK578" s="1882">
        <v>0</v>
      </c>
      <c r="CL578" s="1882">
        <v>0</v>
      </c>
      <c r="CM578" s="1882" t="s">
        <v>8384</v>
      </c>
      <c r="CN578" s="1882">
        <v>-3.7040000000000002</v>
      </c>
      <c r="CP578" s="1882" t="s">
        <v>11569</v>
      </c>
    </row>
    <row r="579" spans="1:94">
      <c r="A579" s="1882" t="s">
        <v>8424</v>
      </c>
      <c r="B579" s="1882" t="s">
        <v>11570</v>
      </c>
      <c r="C579" s="1882" t="s">
        <v>8352</v>
      </c>
      <c r="D579" s="1882" t="s">
        <v>1626</v>
      </c>
      <c r="E579" s="1882" t="s">
        <v>8503</v>
      </c>
      <c r="F579" s="1882" t="s">
        <v>10034</v>
      </c>
      <c r="G579" s="1882" t="s">
        <v>8530</v>
      </c>
      <c r="H579" s="1882" t="s">
        <v>10051</v>
      </c>
      <c r="I579" s="1882" t="s">
        <v>10052</v>
      </c>
      <c r="J579" s="1882" t="s">
        <v>8508</v>
      </c>
      <c r="K579" s="1882" t="s">
        <v>8509</v>
      </c>
      <c r="L579" s="1882" t="s">
        <v>2459</v>
      </c>
      <c r="M579" s="1882" t="s">
        <v>2460</v>
      </c>
      <c r="N579" s="1882" t="s">
        <v>10053</v>
      </c>
      <c r="O579" s="1882" t="s">
        <v>764</v>
      </c>
      <c r="P579" s="1882" t="s">
        <v>10054</v>
      </c>
      <c r="Q579" s="520">
        <v>0</v>
      </c>
      <c r="R579" s="1882"/>
      <c r="S579" s="1882"/>
      <c r="T579" s="1882"/>
      <c r="U579" s="1882"/>
      <c r="V579" s="1882"/>
      <c r="W579" s="1882"/>
      <c r="X579" s="1882"/>
      <c r="Y579" s="1882"/>
      <c r="Z579" s="1882"/>
      <c r="AA579" s="1882"/>
      <c r="AB579" s="1882"/>
      <c r="AC579" s="1882"/>
      <c r="AD579" s="1882"/>
      <c r="AE579" s="1882"/>
      <c r="AF579" s="1882"/>
      <c r="AG579" s="1882"/>
      <c r="AH579" s="1882"/>
      <c r="AI579" s="1882"/>
      <c r="AJ579" s="1882"/>
      <c r="AK579" s="1882"/>
      <c r="AL579" s="1882"/>
      <c r="AM579" s="1882"/>
      <c r="AN579" s="1882"/>
      <c r="AO579" s="1882"/>
      <c r="AP579" s="1882"/>
      <c r="AQ579" s="1882"/>
      <c r="AR579" s="1882"/>
      <c r="AS579" s="1882"/>
      <c r="AT579" s="1882"/>
      <c r="AU579" s="1882"/>
      <c r="AV579" s="1882"/>
      <c r="AW579" s="1882"/>
      <c r="AX579" s="1882"/>
      <c r="AY579" s="1882"/>
      <c r="AZ579" s="1882"/>
      <c r="BA579" s="1882"/>
      <c r="BB579" s="1882"/>
      <c r="BC579" s="1882"/>
      <c r="BD579" s="1882"/>
      <c r="BE579" s="1882"/>
      <c r="BF579" s="1882"/>
      <c r="BG579" s="1882"/>
      <c r="BH579" s="1882"/>
      <c r="BI579" s="1882"/>
      <c r="BJ579" s="1882"/>
      <c r="BK579" s="1882"/>
      <c r="BL579" s="1882"/>
      <c r="BM579" s="1882"/>
      <c r="BN579" s="1882"/>
      <c r="BO579" s="1882"/>
      <c r="BQ579" s="1882"/>
      <c r="BR579" s="1882"/>
      <c r="BS579" s="1882"/>
      <c r="BT579" s="1882"/>
      <c r="BU579" s="1882"/>
      <c r="BV579" s="1882"/>
      <c r="BW579" s="1882"/>
      <c r="BX579" s="1882"/>
      <c r="BY579" s="1882"/>
      <c r="BZ579" s="1882"/>
      <c r="CA579" s="1882"/>
      <c r="CB579" s="1882"/>
      <c r="CC579" s="1882" t="s">
        <v>2451</v>
      </c>
      <c r="CH579" s="1882"/>
      <c r="CI579" s="1882">
        <v>26</v>
      </c>
      <c r="CJ579" s="1882" t="s">
        <v>2459</v>
      </c>
      <c r="CK579" s="1882" t="s">
        <v>8376</v>
      </c>
      <c r="CL579" s="1882">
        <v>9.27</v>
      </c>
      <c r="CM579" s="1882">
        <v>0</v>
      </c>
      <c r="CN579" s="1882">
        <v>0</v>
      </c>
      <c r="CP579" s="1882" t="s">
        <v>11571</v>
      </c>
    </row>
    <row r="580" spans="1:94">
      <c r="A580" s="1882" t="s">
        <v>8424</v>
      </c>
      <c r="B580" s="1882" t="s">
        <v>11572</v>
      </c>
      <c r="C580" s="1882" t="s">
        <v>8352</v>
      </c>
      <c r="D580" s="1882" t="s">
        <v>1626</v>
      </c>
      <c r="E580" s="1882" t="s">
        <v>8503</v>
      </c>
      <c r="F580" s="1882" t="s">
        <v>10057</v>
      </c>
      <c r="G580" s="1882" t="s">
        <v>8544</v>
      </c>
      <c r="H580" s="1882" t="s">
        <v>10058</v>
      </c>
      <c r="I580" s="1882" t="s">
        <v>10059</v>
      </c>
      <c r="J580" s="1882" t="s">
        <v>8539</v>
      </c>
      <c r="K580" s="1882"/>
      <c r="L580" s="1882"/>
      <c r="M580" s="1882"/>
      <c r="N580" s="1882" t="s">
        <v>8533</v>
      </c>
      <c r="O580" s="1882" t="s">
        <v>764</v>
      </c>
      <c r="P580" s="1882" t="s">
        <v>8521</v>
      </c>
      <c r="Q580" s="520">
        <v>0</v>
      </c>
      <c r="R580" s="1882"/>
      <c r="S580" s="1882"/>
      <c r="T580" s="1882"/>
      <c r="U580" s="1882"/>
      <c r="V580" s="1882"/>
      <c r="W580" s="1882"/>
      <c r="X580" s="1882"/>
      <c r="Y580" s="1882"/>
      <c r="Z580" s="1882"/>
      <c r="AA580" s="1882"/>
      <c r="AB580" s="1882"/>
      <c r="AC580" s="1882"/>
      <c r="AD580" s="1882"/>
      <c r="AE580" s="1882"/>
      <c r="AF580" s="1882"/>
      <c r="AG580" s="1882"/>
      <c r="AH580" s="1882"/>
      <c r="AI580" s="1882"/>
      <c r="AJ580" s="1882"/>
      <c r="AK580" s="1882"/>
      <c r="AL580" s="1882"/>
      <c r="AM580" s="1882"/>
      <c r="AN580" s="1882"/>
      <c r="AO580" s="1882"/>
      <c r="AP580" s="1882"/>
      <c r="AQ580" s="1882"/>
      <c r="AR580" s="1882"/>
      <c r="AS580" s="1882"/>
      <c r="AT580" s="1882"/>
      <c r="AU580" s="1882"/>
      <c r="AV580" s="1882"/>
      <c r="AW580" s="1882"/>
      <c r="AX580" s="1882"/>
      <c r="AY580" s="1882"/>
      <c r="AZ580" s="1882"/>
      <c r="BA580" s="1882"/>
      <c r="BB580" s="1882"/>
      <c r="BC580" s="1882"/>
      <c r="BD580" s="1882"/>
      <c r="BE580" s="1882"/>
      <c r="BF580" s="1882"/>
      <c r="BG580" s="1882"/>
      <c r="BH580" s="1882"/>
      <c r="BI580" s="1882"/>
      <c r="BJ580" s="1882"/>
      <c r="BK580" s="1882"/>
      <c r="BL580" s="1882"/>
      <c r="BM580" s="1882"/>
      <c r="BN580" s="1882"/>
      <c r="BO580" s="1882"/>
      <c r="BQ580" s="1882"/>
      <c r="BR580" s="1882"/>
      <c r="BS580" s="1882"/>
      <c r="BT580" s="1882"/>
      <c r="BU580" s="1882"/>
      <c r="BV580" s="1882"/>
      <c r="BW580" s="1882"/>
      <c r="BX580" s="1882"/>
      <c r="BY580" s="1882"/>
      <c r="BZ580" s="1882"/>
      <c r="CA580" s="1882"/>
      <c r="CB580" s="1882"/>
      <c r="CC580" s="1882" t="s">
        <v>2451</v>
      </c>
      <c r="CH580" s="1882"/>
      <c r="CI580" s="1882">
        <v>225</v>
      </c>
      <c r="CJ580" s="1882" t="s">
        <v>2460</v>
      </c>
      <c r="CK580" s="1882">
        <v>0</v>
      </c>
      <c r="CL580" s="1882">
        <v>0</v>
      </c>
      <c r="CM580" s="1882">
        <v>0</v>
      </c>
      <c r="CN580" s="1882">
        <v>0</v>
      </c>
      <c r="CP580" s="1882" t="s">
        <v>11573</v>
      </c>
    </row>
    <row r="581" spans="1:94">
      <c r="A581" s="1882" t="s">
        <v>8424</v>
      </c>
      <c r="B581" s="1882" t="s">
        <v>11574</v>
      </c>
      <c r="C581" s="1882" t="s">
        <v>8352</v>
      </c>
      <c r="D581" s="1882" t="s">
        <v>1626</v>
      </c>
      <c r="E581" s="1882" t="s">
        <v>8503</v>
      </c>
      <c r="F581" s="1882" t="s">
        <v>10057</v>
      </c>
      <c r="G581" s="1882" t="s">
        <v>8552</v>
      </c>
      <c r="H581" s="1882" t="s">
        <v>10062</v>
      </c>
      <c r="I581" s="1882" t="s">
        <v>10063</v>
      </c>
      <c r="J581" s="1882" t="s">
        <v>8508</v>
      </c>
      <c r="K581" s="1882" t="s">
        <v>8509</v>
      </c>
      <c r="L581" s="1882" t="s">
        <v>2459</v>
      </c>
      <c r="M581" s="1882" t="s">
        <v>2460</v>
      </c>
      <c r="N581" s="1882" t="s">
        <v>2444</v>
      </c>
      <c r="O581" s="1882" t="s">
        <v>764</v>
      </c>
      <c r="P581" s="1882" t="s">
        <v>8510</v>
      </c>
      <c r="Q581" s="520">
        <v>0</v>
      </c>
      <c r="R581" s="1882"/>
      <c r="S581" s="1882"/>
      <c r="T581" s="1882"/>
      <c r="U581" s="1882"/>
      <c r="V581" s="1882"/>
      <c r="W581" s="1882"/>
      <c r="X581" s="1882"/>
      <c r="Y581" s="1882"/>
      <c r="Z581" s="1882"/>
      <c r="AA581" s="1882"/>
      <c r="AB581" s="1882"/>
      <c r="AC581" s="1882"/>
      <c r="AD581" s="1882"/>
      <c r="AE581" s="1882"/>
      <c r="AF581" s="1882"/>
      <c r="AG581" s="1882"/>
      <c r="AH581" s="1882"/>
      <c r="AI581" s="1882"/>
      <c r="AJ581" s="1882"/>
      <c r="AK581" s="1882"/>
      <c r="AL581" s="1882"/>
      <c r="AM581" s="1882"/>
      <c r="AN581" s="1882"/>
      <c r="AO581" s="1882"/>
      <c r="AP581" s="1882"/>
      <c r="AQ581" s="1882"/>
      <c r="AR581" s="1882"/>
      <c r="AS581" s="1882"/>
      <c r="AT581" s="1882"/>
      <c r="AU581" s="1882"/>
      <c r="AV581" s="1882"/>
      <c r="AW581" s="1882"/>
      <c r="AX581" s="1882"/>
      <c r="AY581" s="1882"/>
      <c r="AZ581" s="1882"/>
      <c r="BA581" s="1882"/>
      <c r="BB581" s="1882"/>
      <c r="BC581" s="1882"/>
      <c r="BD581" s="1882"/>
      <c r="BE581" s="1882"/>
      <c r="BF581" s="1882"/>
      <c r="BG581" s="1882"/>
      <c r="BH581" s="1882"/>
      <c r="BI581" s="1882"/>
      <c r="BJ581" s="1882"/>
      <c r="BK581" s="1882"/>
      <c r="BL581" s="1882"/>
      <c r="BM581" s="1882"/>
      <c r="BN581" s="1882"/>
      <c r="BO581" s="1882"/>
      <c r="BQ581" s="1882"/>
      <c r="BR581" s="1882"/>
      <c r="BS581" s="1882"/>
      <c r="BT581" s="1882"/>
      <c r="BU581" s="1882"/>
      <c r="BV581" s="1882"/>
      <c r="BW581" s="1882"/>
      <c r="BX581" s="1882"/>
      <c r="BY581" s="1882"/>
      <c r="BZ581" s="1882"/>
      <c r="CA581" s="1882"/>
      <c r="CB581" s="1882"/>
      <c r="CC581" s="1882" t="s">
        <v>2451</v>
      </c>
      <c r="CH581" s="1882"/>
      <c r="CI581" s="1882">
        <v>419.5</v>
      </c>
      <c r="CJ581" s="1882" t="s">
        <v>2459</v>
      </c>
      <c r="CK581" s="1882" t="s">
        <v>8384</v>
      </c>
      <c r="CL581" s="1882">
        <v>-2.2545999999999999</v>
      </c>
      <c r="CM581" s="1882">
        <v>0</v>
      </c>
      <c r="CN581" s="1882">
        <v>0</v>
      </c>
      <c r="CP581" s="1882" t="s">
        <v>11575</v>
      </c>
    </row>
    <row r="582" spans="1:94">
      <c r="A582" s="1882" t="s">
        <v>8424</v>
      </c>
      <c r="B582" s="1882" t="s">
        <v>11576</v>
      </c>
      <c r="C582" s="1882" t="s">
        <v>8352</v>
      </c>
      <c r="D582" s="1882" t="s">
        <v>1626</v>
      </c>
      <c r="E582" s="1882" t="s">
        <v>8503</v>
      </c>
      <c r="F582" s="1882" t="s">
        <v>10057</v>
      </c>
      <c r="G582" s="1882" t="s">
        <v>9085</v>
      </c>
      <c r="H582" s="1882" t="s">
        <v>10066</v>
      </c>
      <c r="I582" s="1882" t="s">
        <v>10067</v>
      </c>
      <c r="J582" s="1882" t="s">
        <v>8508</v>
      </c>
      <c r="K582" s="1882" t="s">
        <v>8509</v>
      </c>
      <c r="L582" s="1882" t="s">
        <v>2459</v>
      </c>
      <c r="M582" s="1882"/>
      <c r="N582" s="1882" t="s">
        <v>2444</v>
      </c>
      <c r="O582" s="1882" t="s">
        <v>732</v>
      </c>
      <c r="P582" s="1882" t="s">
        <v>10068</v>
      </c>
      <c r="Q582" s="520">
        <v>0</v>
      </c>
      <c r="R582" s="1882"/>
      <c r="S582" s="1882"/>
      <c r="T582" s="1882"/>
      <c r="U582" s="1882"/>
      <c r="V582" s="1882"/>
      <c r="W582" s="1882"/>
      <c r="X582" s="1882"/>
      <c r="Y582" s="1882"/>
      <c r="Z582" s="1882"/>
      <c r="AA582" s="1882"/>
      <c r="AB582" s="1882"/>
      <c r="AC582" s="1882"/>
      <c r="AD582" s="1882"/>
      <c r="AE582" s="1882"/>
      <c r="AF582" s="1882"/>
      <c r="AG582" s="1882"/>
      <c r="AH582" s="1882"/>
      <c r="AI582" s="1882"/>
      <c r="AJ582" s="1882"/>
      <c r="AK582" s="1882"/>
      <c r="AL582" s="1882"/>
      <c r="AM582" s="1882"/>
      <c r="AN582" s="1882"/>
      <c r="AO582" s="1882"/>
      <c r="AP582" s="1882"/>
      <c r="AQ582" s="1882"/>
      <c r="AR582" s="1882"/>
      <c r="AS582" s="1882"/>
      <c r="AT582" s="1882"/>
      <c r="AU582" s="1882"/>
      <c r="AV582" s="1882"/>
      <c r="AW582" s="1882"/>
      <c r="AX582" s="1882"/>
      <c r="AY582" s="1882"/>
      <c r="AZ582" s="1882"/>
      <c r="BA582" s="1882"/>
      <c r="BB582" s="1882"/>
      <c r="BC582" s="1882"/>
      <c r="BD582" s="1882"/>
      <c r="BE582" s="1882"/>
      <c r="BF582" s="1882"/>
      <c r="BG582" s="1882"/>
      <c r="BH582" s="1882"/>
      <c r="BI582" s="1882"/>
      <c r="BJ582" s="1882"/>
      <c r="BK582" s="1882"/>
      <c r="BL582" s="1882"/>
      <c r="BM582" s="1882"/>
      <c r="BN582" s="1882"/>
      <c r="BO582" s="1882"/>
      <c r="BQ582" s="1882"/>
      <c r="BR582" s="1882"/>
      <c r="BS582" s="1882"/>
      <c r="BT582" s="1882"/>
      <c r="BU582" s="1882"/>
      <c r="BV582" s="1882"/>
      <c r="BW582" s="1882"/>
      <c r="BX582" s="1882"/>
      <c r="BY582" s="1882"/>
      <c r="BZ582" s="1882"/>
      <c r="CA582" s="1882"/>
      <c r="CB582" s="1882"/>
      <c r="CC582" s="1882" t="s">
        <v>2451</v>
      </c>
      <c r="CH582" s="1882"/>
      <c r="CI582" s="1882">
        <v>32</v>
      </c>
      <c r="CJ582" s="1882" t="s">
        <v>2460</v>
      </c>
      <c r="CK582" s="1882" t="s">
        <v>8384</v>
      </c>
      <c r="CL582" s="1882">
        <v>-1.3265</v>
      </c>
      <c r="CM582" s="1882">
        <v>0</v>
      </c>
      <c r="CN582" s="1882">
        <v>0</v>
      </c>
      <c r="CP582" s="1882" t="s">
        <v>11577</v>
      </c>
    </row>
    <row r="583" spans="1:94">
      <c r="A583" s="1882" t="s">
        <v>8424</v>
      </c>
      <c r="B583" s="1882" t="s">
        <v>11578</v>
      </c>
      <c r="C583" s="1882" t="s">
        <v>8352</v>
      </c>
      <c r="D583" s="1882" t="s">
        <v>1626</v>
      </c>
      <c r="E583" s="1882" t="s">
        <v>8503</v>
      </c>
      <c r="F583" s="1882" t="s">
        <v>10057</v>
      </c>
      <c r="G583" s="1882" t="s">
        <v>10071</v>
      </c>
      <c r="H583" s="1882" t="s">
        <v>10072</v>
      </c>
      <c r="I583" s="1882" t="s">
        <v>10073</v>
      </c>
      <c r="J583" s="1882" t="s">
        <v>8508</v>
      </c>
      <c r="K583" s="1882" t="s">
        <v>8509</v>
      </c>
      <c r="L583" s="1882" t="s">
        <v>2459</v>
      </c>
      <c r="M583" s="1882" t="s">
        <v>2460</v>
      </c>
      <c r="N583" s="1882" t="s">
        <v>2450</v>
      </c>
      <c r="O583" s="1882" t="s">
        <v>8607</v>
      </c>
      <c r="P583" s="1882" t="s">
        <v>8608</v>
      </c>
      <c r="Q583" s="520">
        <v>2</v>
      </c>
      <c r="R583" s="1882"/>
      <c r="S583" s="1882"/>
      <c r="T583" s="1882"/>
      <c r="U583" s="1882"/>
      <c r="V583" s="1882"/>
      <c r="W583" s="1882"/>
      <c r="X583" s="1882"/>
      <c r="Y583" s="1882"/>
      <c r="Z583" s="1882"/>
      <c r="AA583" s="1882"/>
      <c r="AB583" s="1882"/>
      <c r="AC583" s="1882"/>
      <c r="AD583" s="1882"/>
      <c r="AE583" s="1882"/>
      <c r="AF583" s="1882"/>
      <c r="AG583" s="1882"/>
      <c r="AH583" s="1882"/>
      <c r="AI583" s="1882"/>
      <c r="AJ583" s="1882"/>
      <c r="AK583" s="1882"/>
      <c r="AL583" s="1882"/>
      <c r="AM583" s="1882"/>
      <c r="AN583" s="1882"/>
      <c r="AO583" s="1882"/>
      <c r="AP583" s="1882"/>
      <c r="AQ583" s="1882"/>
      <c r="AR583" s="1882"/>
      <c r="AS583" s="1882"/>
      <c r="AT583" s="1882"/>
      <c r="AU583" s="1882"/>
      <c r="AV583" s="1882"/>
      <c r="AW583" s="1882"/>
      <c r="AX583" s="1882"/>
      <c r="AY583" s="1882"/>
      <c r="AZ583" s="1882"/>
      <c r="BA583" s="1882"/>
      <c r="BB583" s="1882"/>
      <c r="BC583" s="1882"/>
      <c r="BD583" s="1882"/>
      <c r="BE583" s="1882"/>
      <c r="BF583" s="1882"/>
      <c r="BG583" s="1882"/>
      <c r="BH583" s="1882"/>
      <c r="BI583" s="1882"/>
      <c r="BJ583" s="1882"/>
      <c r="BK583" s="1882"/>
      <c r="BL583" s="1882"/>
      <c r="BM583" s="1882"/>
      <c r="BN583" s="1882"/>
      <c r="BO583" s="1882"/>
      <c r="BQ583" s="1882"/>
      <c r="BR583" s="1882"/>
      <c r="BS583" s="1882"/>
      <c r="BT583" s="1882"/>
      <c r="BU583" s="1882"/>
      <c r="BV583" s="1882"/>
      <c r="BW583" s="1882"/>
      <c r="BX583" s="1882"/>
      <c r="BY583" s="1882"/>
      <c r="BZ583" s="1882"/>
      <c r="CA583" s="1882"/>
      <c r="CB583" s="1882"/>
      <c r="CC583" s="1882" t="s">
        <v>2451</v>
      </c>
      <c r="CH583" s="1882"/>
      <c r="CI583" s="1882">
        <v>19.059999999999999</v>
      </c>
      <c r="CJ583" s="1882" t="s">
        <v>2460</v>
      </c>
      <c r="CK583" s="1882" t="s">
        <v>8384</v>
      </c>
      <c r="CL583" s="1882">
        <v>-7.7199</v>
      </c>
      <c r="CM583" s="1882">
        <v>0</v>
      </c>
      <c r="CN583" s="1882">
        <v>0</v>
      </c>
      <c r="CP583" s="1882" t="s">
        <v>11579</v>
      </c>
    </row>
    <row r="584" spans="1:94">
      <c r="A584" s="1882" t="s">
        <v>8424</v>
      </c>
      <c r="B584" s="1882" t="s">
        <v>11580</v>
      </c>
      <c r="C584" s="1882" t="s">
        <v>8352</v>
      </c>
      <c r="D584" s="1882" t="s">
        <v>1626</v>
      </c>
      <c r="E584" s="1882" t="s">
        <v>8503</v>
      </c>
      <c r="F584" s="1882" t="s">
        <v>10057</v>
      </c>
      <c r="G584" s="1882" t="s">
        <v>10076</v>
      </c>
      <c r="H584" s="1882" t="s">
        <v>10077</v>
      </c>
      <c r="I584" s="1882" t="s">
        <v>10078</v>
      </c>
      <c r="J584" s="1882" t="s">
        <v>8508</v>
      </c>
      <c r="K584" s="1882" t="s">
        <v>8509</v>
      </c>
      <c r="L584" s="1882"/>
      <c r="M584" s="1882"/>
      <c r="N584" s="1882" t="s">
        <v>4580</v>
      </c>
      <c r="O584" s="1882" t="s">
        <v>732</v>
      </c>
      <c r="P584" s="1882" t="s">
        <v>10079</v>
      </c>
      <c r="Q584" s="520">
        <v>1</v>
      </c>
      <c r="R584" s="1882"/>
      <c r="S584" s="1882"/>
      <c r="T584" s="1882"/>
      <c r="U584" s="1882"/>
      <c r="V584" s="1882"/>
      <c r="W584" s="1882"/>
      <c r="X584" s="1882"/>
      <c r="Y584" s="1882"/>
      <c r="Z584" s="1882"/>
      <c r="AA584" s="1882"/>
      <c r="AB584" s="1882"/>
      <c r="AC584" s="1882"/>
      <c r="AD584" s="1882"/>
      <c r="AE584" s="1882"/>
      <c r="AF584" s="1882"/>
      <c r="AG584" s="1882"/>
      <c r="AH584" s="1882"/>
      <c r="AI584" s="1882"/>
      <c r="AJ584" s="1882"/>
      <c r="AK584" s="1882"/>
      <c r="AL584" s="1882"/>
      <c r="AM584" s="1882"/>
      <c r="AN584" s="1882"/>
      <c r="AO584" s="1882"/>
      <c r="AP584" s="1882"/>
      <c r="AQ584" s="1882"/>
      <c r="AR584" s="1882"/>
      <c r="AS584" s="1882"/>
      <c r="AT584" s="1882"/>
      <c r="AU584" s="1882"/>
      <c r="AV584" s="1882"/>
      <c r="AW584" s="1882"/>
      <c r="AX584" s="1882"/>
      <c r="AY584" s="1882"/>
      <c r="AZ584" s="1882"/>
      <c r="BA584" s="1882"/>
      <c r="BB584" s="1882"/>
      <c r="BC584" s="1882"/>
      <c r="BD584" s="1882"/>
      <c r="BE584" s="1882"/>
      <c r="BF584" s="1882"/>
      <c r="BG584" s="1882"/>
      <c r="BH584" s="1882"/>
      <c r="BI584" s="1882"/>
      <c r="BJ584" s="1882"/>
      <c r="BK584" s="1882"/>
      <c r="BL584" s="1882"/>
      <c r="BM584" s="1882"/>
      <c r="BN584" s="1882"/>
      <c r="BO584" s="1882"/>
      <c r="BQ584" s="1882"/>
      <c r="BR584" s="1882"/>
      <c r="BS584" s="1882"/>
      <c r="BT584" s="1882"/>
      <c r="BU584" s="1882"/>
      <c r="BV584" s="1882"/>
      <c r="BW584" s="1882"/>
      <c r="BX584" s="1882"/>
      <c r="BY584" s="1882"/>
      <c r="BZ584" s="1882"/>
      <c r="CA584" s="1882"/>
      <c r="CB584" s="1882"/>
      <c r="CC584" s="1882" t="s">
        <v>2451</v>
      </c>
      <c r="CH584" s="1882"/>
      <c r="CI584" s="1882">
        <v>78.100000000000009</v>
      </c>
      <c r="CJ584" s="1882" t="s">
        <v>2451</v>
      </c>
      <c r="CK584" s="1882">
        <v>0</v>
      </c>
      <c r="CL584" s="1882">
        <v>0</v>
      </c>
      <c r="CM584" s="1882">
        <v>0</v>
      </c>
      <c r="CN584" s="1882">
        <v>0</v>
      </c>
      <c r="CP584" s="1882" t="s">
        <v>11581</v>
      </c>
    </row>
    <row r="585" spans="1:94">
      <c r="A585" s="1882" t="s">
        <v>8424</v>
      </c>
      <c r="B585" s="1882" t="s">
        <v>11582</v>
      </c>
      <c r="C585" s="1882" t="s">
        <v>8352</v>
      </c>
      <c r="D585" s="1882" t="s">
        <v>1626</v>
      </c>
      <c r="E585" s="1882" t="s">
        <v>8503</v>
      </c>
      <c r="F585" s="1882" t="s">
        <v>10057</v>
      </c>
      <c r="G585" s="1882" t="s">
        <v>10082</v>
      </c>
      <c r="H585" s="1882" t="s">
        <v>10083</v>
      </c>
      <c r="I585" s="1882" t="s">
        <v>10084</v>
      </c>
      <c r="J585" s="1882" t="s">
        <v>8519</v>
      </c>
      <c r="K585" s="1882" t="s">
        <v>8855</v>
      </c>
      <c r="L585" s="1882"/>
      <c r="M585" s="1882" t="s">
        <v>2460</v>
      </c>
      <c r="N585" s="1882" t="s">
        <v>8569</v>
      </c>
      <c r="O585" s="1882" t="s">
        <v>764</v>
      </c>
      <c r="P585" s="1882" t="s">
        <v>8570</v>
      </c>
      <c r="Q585" s="520">
        <v>0</v>
      </c>
      <c r="R585" s="1882"/>
      <c r="S585" s="1882"/>
      <c r="T585" s="1882"/>
      <c r="U585" s="1882"/>
      <c r="V585" s="1882"/>
      <c r="W585" s="1882"/>
      <c r="X585" s="1882"/>
      <c r="Y585" s="1882"/>
      <c r="Z585" s="1882"/>
      <c r="AA585" s="1882"/>
      <c r="AB585" s="1882"/>
      <c r="AC585" s="1882"/>
      <c r="AD585" s="1882"/>
      <c r="AE585" s="1882"/>
      <c r="AF585" s="1882"/>
      <c r="AG585" s="1882"/>
      <c r="AH585" s="1882"/>
      <c r="AI585" s="1882"/>
      <c r="AJ585" s="1882"/>
      <c r="AK585" s="1882"/>
      <c r="AL585" s="1882"/>
      <c r="AM585" s="1882"/>
      <c r="AN585" s="1882"/>
      <c r="AO585" s="1882"/>
      <c r="AP585" s="1882"/>
      <c r="AQ585" s="1882"/>
      <c r="AR585" s="1882"/>
      <c r="AS585" s="1882"/>
      <c r="AT585" s="1882"/>
      <c r="AU585" s="1882"/>
      <c r="AV585" s="1882"/>
      <c r="AW585" s="1882"/>
      <c r="AX585" s="1882"/>
      <c r="AY585" s="1882"/>
      <c r="AZ585" s="1882"/>
      <c r="BA585" s="1882"/>
      <c r="BB585" s="1882"/>
      <c r="BC585" s="1882"/>
      <c r="BD585" s="1882"/>
      <c r="BE585" s="1882"/>
      <c r="BF585" s="1882"/>
      <c r="BG585" s="1882"/>
      <c r="BH585" s="1882"/>
      <c r="BI585" s="1882"/>
      <c r="BJ585" s="1882"/>
      <c r="BK585" s="1882"/>
      <c r="BL585" s="1882"/>
      <c r="BM585" s="1882"/>
      <c r="BN585" s="1882"/>
      <c r="BO585" s="1882"/>
      <c r="BQ585" s="1882"/>
      <c r="BR585" s="1882"/>
      <c r="BS585" s="1882"/>
      <c r="BT585" s="1882"/>
      <c r="BU585" s="1882"/>
      <c r="BV585" s="1882"/>
      <c r="BW585" s="1882"/>
      <c r="BX585" s="1882"/>
      <c r="BY585" s="1882"/>
      <c r="BZ585" s="1882"/>
      <c r="CA585" s="1882"/>
      <c r="CB585" s="1882"/>
      <c r="CC585" s="1882" t="s">
        <v>2451</v>
      </c>
      <c r="CH585" s="1882"/>
      <c r="CI585" s="1882">
        <v>6453</v>
      </c>
      <c r="CJ585" s="1882" t="s">
        <v>2459</v>
      </c>
      <c r="CK585" s="1882">
        <v>0</v>
      </c>
      <c r="CL585" s="1882">
        <v>0</v>
      </c>
      <c r="CM585" s="1882">
        <v>0</v>
      </c>
      <c r="CN585" s="1882">
        <v>0</v>
      </c>
      <c r="CP585" s="1882" t="s">
        <v>11583</v>
      </c>
    </row>
    <row r="586" spans="1:94">
      <c r="A586" s="1882" t="s">
        <v>8424</v>
      </c>
      <c r="B586" s="1882" t="s">
        <v>11584</v>
      </c>
      <c r="C586" s="1882" t="s">
        <v>8352</v>
      </c>
      <c r="D586" s="1882" t="s">
        <v>1626</v>
      </c>
      <c r="E586" s="1882" t="s">
        <v>8503</v>
      </c>
      <c r="F586" s="1882" t="s">
        <v>10057</v>
      </c>
      <c r="G586" s="1882" t="s">
        <v>10088</v>
      </c>
      <c r="H586" s="1882" t="s">
        <v>10089</v>
      </c>
      <c r="I586" s="1882" t="s">
        <v>10090</v>
      </c>
      <c r="J586" s="1882" t="s">
        <v>8508</v>
      </c>
      <c r="K586" s="1882" t="s">
        <v>8509</v>
      </c>
      <c r="L586" s="1882" t="s">
        <v>2459</v>
      </c>
      <c r="M586" s="1882"/>
      <c r="N586" s="1882" t="s">
        <v>8613</v>
      </c>
      <c r="O586" s="1882" t="s">
        <v>764</v>
      </c>
      <c r="P586" s="1882" t="s">
        <v>10091</v>
      </c>
      <c r="Q586" s="520">
        <v>0</v>
      </c>
      <c r="R586" s="1882"/>
      <c r="S586" s="1882"/>
      <c r="T586" s="1882"/>
      <c r="U586" s="1882"/>
      <c r="V586" s="1882"/>
      <c r="W586" s="1882"/>
      <c r="X586" s="1882"/>
      <c r="Y586" s="1882"/>
      <c r="Z586" s="1882"/>
      <c r="AA586" s="1882"/>
      <c r="AB586" s="1882"/>
      <c r="AC586" s="1882"/>
      <c r="AD586" s="1882"/>
      <c r="AE586" s="1882"/>
      <c r="AF586" s="1882"/>
      <c r="AG586" s="1882"/>
      <c r="AH586" s="1882"/>
      <c r="AI586" s="1882"/>
      <c r="AJ586" s="1882"/>
      <c r="AK586" s="1882"/>
      <c r="AL586" s="1882"/>
      <c r="AM586" s="1882"/>
      <c r="AN586" s="1882"/>
      <c r="AO586" s="1882"/>
      <c r="AP586" s="1882"/>
      <c r="AQ586" s="1882"/>
      <c r="AR586" s="1882"/>
      <c r="AS586" s="1882"/>
      <c r="AT586" s="1882"/>
      <c r="AU586" s="1882"/>
      <c r="AV586" s="1882"/>
      <c r="AW586" s="1882"/>
      <c r="AX586" s="1882"/>
      <c r="AY586" s="1882"/>
      <c r="AZ586" s="1882"/>
      <c r="BA586" s="1882"/>
      <c r="BB586" s="1882"/>
      <c r="BC586" s="1882"/>
      <c r="BD586" s="1882"/>
      <c r="BE586" s="1882"/>
      <c r="BF586" s="1882"/>
      <c r="BG586" s="1882"/>
      <c r="BH586" s="1882"/>
      <c r="BI586" s="1882"/>
      <c r="BJ586" s="1882"/>
      <c r="BK586" s="1882"/>
      <c r="BL586" s="1882"/>
      <c r="BM586" s="1882"/>
      <c r="BN586" s="1882"/>
      <c r="BO586" s="1882"/>
      <c r="BQ586" s="1882"/>
      <c r="BR586" s="1882"/>
      <c r="BS586" s="1882"/>
      <c r="BT586" s="1882"/>
      <c r="BU586" s="1882"/>
      <c r="BV586" s="1882"/>
      <c r="BW586" s="1882"/>
      <c r="BX586" s="1882"/>
      <c r="BY586" s="1882"/>
      <c r="BZ586" s="1882"/>
      <c r="CA586" s="1882"/>
      <c r="CB586" s="1882"/>
      <c r="CC586" s="1882" t="s">
        <v>2451</v>
      </c>
      <c r="CH586" s="1882"/>
      <c r="CI586" s="1882">
        <v>158</v>
      </c>
      <c r="CJ586" s="1882" t="s">
        <v>2459</v>
      </c>
      <c r="CK586" s="1882" t="s">
        <v>8384</v>
      </c>
      <c r="CL586" s="1882">
        <v>-1.975E-2</v>
      </c>
      <c r="CM586" s="1882">
        <v>0</v>
      </c>
      <c r="CN586" s="1882">
        <v>0</v>
      </c>
      <c r="CP586" s="1882" t="s">
        <v>11585</v>
      </c>
    </row>
    <row r="587" spans="1:94">
      <c r="A587" s="1882" t="s">
        <v>8424</v>
      </c>
      <c r="B587" s="1882" t="s">
        <v>11586</v>
      </c>
      <c r="C587" s="1882" t="s">
        <v>8352</v>
      </c>
      <c r="D587" s="1882" t="s">
        <v>1626</v>
      </c>
      <c r="E587" s="1882" t="s">
        <v>8503</v>
      </c>
      <c r="F587" s="1882" t="s">
        <v>10057</v>
      </c>
      <c r="G587" s="1882" t="s">
        <v>10094</v>
      </c>
      <c r="H587" s="1882" t="s">
        <v>10095</v>
      </c>
      <c r="I587" s="1882" t="s">
        <v>10096</v>
      </c>
      <c r="J587" s="1882" t="s">
        <v>8508</v>
      </c>
      <c r="K587" s="1882" t="s">
        <v>8509</v>
      </c>
      <c r="L587" s="1882" t="s">
        <v>2459</v>
      </c>
      <c r="M587" s="1882" t="s">
        <v>2460</v>
      </c>
      <c r="N587" s="1882" t="s">
        <v>8635</v>
      </c>
      <c r="O587" s="1882" t="s">
        <v>764</v>
      </c>
      <c r="P587" s="1882" t="s">
        <v>10097</v>
      </c>
      <c r="Q587" s="520">
        <v>0</v>
      </c>
      <c r="R587" s="1882"/>
      <c r="S587" s="1882"/>
      <c r="T587" s="1882"/>
      <c r="U587" s="1882"/>
      <c r="V587" s="1882"/>
      <c r="W587" s="1882"/>
      <c r="X587" s="1882"/>
      <c r="Y587" s="1882"/>
      <c r="Z587" s="1882"/>
      <c r="AA587" s="1882"/>
      <c r="AB587" s="1882"/>
      <c r="AC587" s="1882"/>
      <c r="AD587" s="1882"/>
      <c r="AE587" s="1882"/>
      <c r="AF587" s="1882"/>
      <c r="AG587" s="1882"/>
      <c r="AH587" s="1882"/>
      <c r="AI587" s="1882"/>
      <c r="AJ587" s="1882"/>
      <c r="AK587" s="1882"/>
      <c r="AL587" s="1882"/>
      <c r="AM587" s="1882"/>
      <c r="AN587" s="1882"/>
      <c r="AO587" s="1882"/>
      <c r="AP587" s="1882"/>
      <c r="AQ587" s="1882"/>
      <c r="AR587" s="1882"/>
      <c r="AS587" s="1882"/>
      <c r="AT587" s="1882"/>
      <c r="AU587" s="1882"/>
      <c r="AV587" s="1882"/>
      <c r="AW587" s="1882"/>
      <c r="AX587" s="1882"/>
      <c r="AY587" s="1882"/>
      <c r="AZ587" s="1882"/>
      <c r="BA587" s="1882"/>
      <c r="BB587" s="1882"/>
      <c r="BC587" s="1882"/>
      <c r="BD587" s="1882"/>
      <c r="BE587" s="1882"/>
      <c r="BF587" s="1882"/>
      <c r="BG587" s="1882"/>
      <c r="BH587" s="1882"/>
      <c r="BI587" s="1882"/>
      <c r="BJ587" s="1882"/>
      <c r="BK587" s="1882"/>
      <c r="BL587" s="1882"/>
      <c r="BM587" s="1882"/>
      <c r="BN587" s="1882"/>
      <c r="BO587" s="1882"/>
      <c r="BQ587" s="1882"/>
      <c r="BR587" s="1882"/>
      <c r="BS587" s="1882"/>
      <c r="BT587" s="1882"/>
      <c r="BU587" s="1882"/>
      <c r="BV587" s="1882"/>
      <c r="BW587" s="1882"/>
      <c r="BX587" s="1882"/>
      <c r="BY587" s="1882"/>
      <c r="BZ587" s="1882"/>
      <c r="CA587" s="1882"/>
      <c r="CB587" s="1882"/>
      <c r="CC587" s="1882" t="s">
        <v>2451</v>
      </c>
      <c r="CH587" s="1882"/>
      <c r="CI587" s="1882">
        <v>0</v>
      </c>
      <c r="CJ587" s="1882" t="s">
        <v>2459</v>
      </c>
      <c r="CK587" s="1882">
        <v>0</v>
      </c>
      <c r="CL587" s="1882">
        <v>0</v>
      </c>
      <c r="CM587" s="1882">
        <v>0</v>
      </c>
      <c r="CN587" s="1882">
        <v>0</v>
      </c>
      <c r="CP587" s="1882" t="s">
        <v>11587</v>
      </c>
    </row>
    <row r="588" spans="1:94">
      <c r="A588" s="1882" t="s">
        <v>8424</v>
      </c>
      <c r="B588" s="1882" t="s">
        <v>11588</v>
      </c>
      <c r="C588" s="1882" t="s">
        <v>8352</v>
      </c>
      <c r="D588" s="1882" t="s">
        <v>1626</v>
      </c>
      <c r="E588" s="1882" t="s">
        <v>8503</v>
      </c>
      <c r="F588" s="1882" t="s">
        <v>10057</v>
      </c>
      <c r="G588" s="1882" t="s">
        <v>10100</v>
      </c>
      <c r="H588" s="1882" t="s">
        <v>10101</v>
      </c>
      <c r="I588" s="1882" t="s">
        <v>10102</v>
      </c>
      <c r="J588" s="1882" t="s">
        <v>8519</v>
      </c>
      <c r="K588" s="1882" t="s">
        <v>8509</v>
      </c>
      <c r="L588" s="1882"/>
      <c r="M588" s="1882" t="s">
        <v>2460</v>
      </c>
      <c r="N588" s="1882" t="s">
        <v>4580</v>
      </c>
      <c r="O588" s="1882" t="s">
        <v>8797</v>
      </c>
      <c r="P588" s="1882" t="s">
        <v>10103</v>
      </c>
      <c r="Q588" s="520" t="s">
        <v>8512</v>
      </c>
      <c r="R588" s="1882"/>
      <c r="S588" s="1882"/>
      <c r="T588" s="1882"/>
      <c r="U588" s="1882"/>
      <c r="V588" s="1882"/>
      <c r="W588" s="1882"/>
      <c r="X588" s="1882"/>
      <c r="Y588" s="1882"/>
      <c r="Z588" s="1882"/>
      <c r="AA588" s="1882"/>
      <c r="AB588" s="1882"/>
      <c r="AC588" s="1882"/>
      <c r="AD588" s="1882"/>
      <c r="AE588" s="1882"/>
      <c r="AF588" s="1882"/>
      <c r="AG588" s="1882"/>
      <c r="AH588" s="1882"/>
      <c r="AI588" s="1882"/>
      <c r="AJ588" s="1882"/>
      <c r="AK588" s="1882"/>
      <c r="AL588" s="1882"/>
      <c r="AM588" s="1882"/>
      <c r="AN588" s="1882"/>
      <c r="AO588" s="1882"/>
      <c r="AP588" s="1882"/>
      <c r="AQ588" s="1882"/>
      <c r="AR588" s="1882"/>
      <c r="AS588" s="1882"/>
      <c r="AT588" s="1882"/>
      <c r="AU588" s="1882"/>
      <c r="AV588" s="1882"/>
      <c r="AW588" s="1882"/>
      <c r="AX588" s="1882"/>
      <c r="AY588" s="1882"/>
      <c r="AZ588" s="1882"/>
      <c r="BA588" s="1882"/>
      <c r="BB588" s="1882"/>
      <c r="BC588" s="1882"/>
      <c r="BD588" s="1882"/>
      <c r="BE588" s="1882"/>
      <c r="BF588" s="1882"/>
      <c r="BG588" s="1882"/>
      <c r="BH588" s="1882"/>
      <c r="BI588" s="1882"/>
      <c r="BJ588" s="1882"/>
      <c r="BK588" s="1882"/>
      <c r="BL588" s="1882"/>
      <c r="BM588" s="1882"/>
      <c r="BN588" s="1882"/>
      <c r="BO588" s="1882"/>
      <c r="BQ588" s="1882"/>
      <c r="BR588" s="1882"/>
      <c r="BS588" s="1882"/>
      <c r="BT588" s="1882"/>
      <c r="BU588" s="1882"/>
      <c r="BV588" s="1882"/>
      <c r="BW588" s="1882"/>
      <c r="BX588" s="1882"/>
      <c r="BY588" s="1882"/>
      <c r="BZ588" s="1882"/>
      <c r="CA588" s="1882"/>
      <c r="CB588" s="1882"/>
      <c r="CC588" s="1882" t="s">
        <v>2451</v>
      </c>
      <c r="CH588" s="1882"/>
      <c r="CI588" s="1882" t="s">
        <v>10107</v>
      </c>
      <c r="CJ588" s="1882" t="s">
        <v>2459</v>
      </c>
      <c r="CK588" s="1882">
        <v>0</v>
      </c>
      <c r="CL588" s="1882">
        <v>0</v>
      </c>
      <c r="CM588" s="1882">
        <v>0</v>
      </c>
      <c r="CN588" s="1882">
        <v>0</v>
      </c>
      <c r="CP588" s="1882" t="s">
        <v>11589</v>
      </c>
    </row>
    <row r="589" spans="1:94">
      <c r="A589" s="1882" t="s">
        <v>8424</v>
      </c>
      <c r="B589" s="1882" t="s">
        <v>11590</v>
      </c>
      <c r="C589" s="1882" t="s">
        <v>8352</v>
      </c>
      <c r="D589" s="1882" t="s">
        <v>1626</v>
      </c>
      <c r="E589" s="1882" t="s">
        <v>8503</v>
      </c>
      <c r="F589" s="1882" t="s">
        <v>10057</v>
      </c>
      <c r="G589" s="1882" t="s">
        <v>10110</v>
      </c>
      <c r="H589" s="1882" t="s">
        <v>10111</v>
      </c>
      <c r="I589" s="1882" t="s">
        <v>10112</v>
      </c>
      <c r="J589" s="1882" t="s">
        <v>8519</v>
      </c>
      <c r="K589" s="1882" t="s">
        <v>8855</v>
      </c>
      <c r="L589" s="1882"/>
      <c r="M589" s="1882" t="s">
        <v>2460</v>
      </c>
      <c r="N589" s="1882" t="s">
        <v>4580</v>
      </c>
      <c r="O589" s="1882" t="s">
        <v>8797</v>
      </c>
      <c r="P589" s="1882" t="s">
        <v>10103</v>
      </c>
      <c r="Q589" s="520" t="s">
        <v>8512</v>
      </c>
      <c r="R589" s="1882"/>
      <c r="S589" s="1882"/>
      <c r="T589" s="1882"/>
      <c r="U589" s="1882"/>
      <c r="V589" s="1882"/>
      <c r="W589" s="1882"/>
      <c r="X589" s="1882"/>
      <c r="Y589" s="1882"/>
      <c r="Z589" s="1882"/>
      <c r="AA589" s="1882"/>
      <c r="AB589" s="1882"/>
      <c r="AC589" s="1882"/>
      <c r="AD589" s="1882"/>
      <c r="AE589" s="1882"/>
      <c r="AF589" s="1882"/>
      <c r="AG589" s="1882"/>
      <c r="AH589" s="1882"/>
      <c r="AI589" s="1882"/>
      <c r="AJ589" s="1882"/>
      <c r="AK589" s="1882"/>
      <c r="AL589" s="1882"/>
      <c r="AM589" s="1882"/>
      <c r="AN589" s="1882"/>
      <c r="AO589" s="1882"/>
      <c r="AP589" s="1882"/>
      <c r="AQ589" s="1882"/>
      <c r="AR589" s="1882"/>
      <c r="AS589" s="1882"/>
      <c r="AT589" s="1882"/>
      <c r="AU589" s="1882"/>
      <c r="AV589" s="1882"/>
      <c r="AW589" s="1882"/>
      <c r="AX589" s="1882"/>
      <c r="AY589" s="1882"/>
      <c r="AZ589" s="1882"/>
      <c r="BA589" s="1882"/>
      <c r="BB589" s="1882"/>
      <c r="BC589" s="1882"/>
      <c r="BD589" s="1882"/>
      <c r="BE589" s="1882"/>
      <c r="BF589" s="1882"/>
      <c r="BG589" s="1882"/>
      <c r="BH589" s="1882"/>
      <c r="BI589" s="1882"/>
      <c r="BJ589" s="1882"/>
      <c r="BK589" s="1882"/>
      <c r="BL589" s="1882"/>
      <c r="BM589" s="1882"/>
      <c r="BN589" s="1882"/>
      <c r="BO589" s="1882"/>
      <c r="BQ589" s="1882"/>
      <c r="BR589" s="1882"/>
      <c r="BS589" s="1882"/>
      <c r="BT589" s="1882"/>
      <c r="BU589" s="1882"/>
      <c r="BV589" s="1882"/>
      <c r="BW589" s="1882"/>
      <c r="BX589" s="1882"/>
      <c r="BY589" s="1882"/>
      <c r="BZ589" s="1882"/>
      <c r="CA589" s="1882"/>
      <c r="CB589" s="1882"/>
      <c r="CC589" s="1882" t="s">
        <v>2451</v>
      </c>
      <c r="CH589" s="1882"/>
      <c r="CI589" s="1882" t="s">
        <v>10107</v>
      </c>
      <c r="CJ589" s="1882" t="s">
        <v>2459</v>
      </c>
      <c r="CK589" s="1882">
        <v>0</v>
      </c>
      <c r="CL589" s="1882">
        <v>0</v>
      </c>
      <c r="CM589" s="1882">
        <v>0</v>
      </c>
      <c r="CN589" s="1882">
        <v>0</v>
      </c>
      <c r="CP589" s="1882" t="s">
        <v>11591</v>
      </c>
    </row>
    <row r="590" spans="1:94">
      <c r="A590" s="1882" t="s">
        <v>8424</v>
      </c>
      <c r="B590" s="1882" t="s">
        <v>11592</v>
      </c>
      <c r="C590" s="1882" t="s">
        <v>8352</v>
      </c>
      <c r="D590" s="1882" t="s">
        <v>1626</v>
      </c>
      <c r="E590" s="1882" t="s">
        <v>8503</v>
      </c>
      <c r="F590" s="1882" t="s">
        <v>10057</v>
      </c>
      <c r="G590" s="1882" t="s">
        <v>10115</v>
      </c>
      <c r="H590" s="1882" t="s">
        <v>10116</v>
      </c>
      <c r="I590" s="1882" t="s">
        <v>10117</v>
      </c>
      <c r="J590" s="1882" t="s">
        <v>8519</v>
      </c>
      <c r="K590" s="1882" t="s">
        <v>8509</v>
      </c>
      <c r="L590" s="1882"/>
      <c r="M590" s="1882" t="s">
        <v>2460</v>
      </c>
      <c r="N590" s="1882" t="s">
        <v>4580</v>
      </c>
      <c r="O590" s="1882" t="s">
        <v>8797</v>
      </c>
      <c r="P590" s="1882" t="s">
        <v>10103</v>
      </c>
      <c r="Q590" s="520" t="s">
        <v>8512</v>
      </c>
      <c r="R590" s="1882"/>
      <c r="S590" s="1882"/>
      <c r="T590" s="1882"/>
      <c r="U590" s="1882"/>
      <c r="V590" s="1882"/>
      <c r="W590" s="1882"/>
      <c r="X590" s="1882"/>
      <c r="Y590" s="1882"/>
      <c r="Z590" s="1882"/>
      <c r="AA590" s="1882"/>
      <c r="AB590" s="1882"/>
      <c r="AC590" s="1882"/>
      <c r="AD590" s="1882"/>
      <c r="AE590" s="1882"/>
      <c r="AF590" s="1882"/>
      <c r="AG590" s="1882"/>
      <c r="AH590" s="1882"/>
      <c r="AI590" s="1882"/>
      <c r="AJ590" s="1882"/>
      <c r="AK590" s="1882"/>
      <c r="AL590" s="1882"/>
      <c r="AM590" s="1882"/>
      <c r="AN590" s="1882"/>
      <c r="AO590" s="1882"/>
      <c r="AP590" s="1882"/>
      <c r="AQ590" s="1882"/>
      <c r="AR590" s="1882"/>
      <c r="AS590" s="1882"/>
      <c r="AT590" s="1882"/>
      <c r="AU590" s="1882"/>
      <c r="AV590" s="1882"/>
      <c r="AW590" s="1882"/>
      <c r="AX590" s="1882"/>
      <c r="AY590" s="1882"/>
      <c r="AZ590" s="1882"/>
      <c r="BA590" s="1882"/>
      <c r="BB590" s="1882"/>
      <c r="BC590" s="1882"/>
      <c r="BD590" s="1882"/>
      <c r="BE590" s="1882"/>
      <c r="BF590" s="1882"/>
      <c r="BG590" s="1882"/>
      <c r="BH590" s="1882"/>
      <c r="BI590" s="1882"/>
      <c r="BJ590" s="1882"/>
      <c r="BK590" s="1882"/>
      <c r="BL590" s="1882"/>
      <c r="BM590" s="1882"/>
      <c r="BN590" s="1882"/>
      <c r="BO590" s="1882"/>
      <c r="BQ590" s="1882"/>
      <c r="BR590" s="1882"/>
      <c r="BS590" s="1882"/>
      <c r="BT590" s="1882"/>
      <c r="BU590" s="1882"/>
      <c r="BV590" s="1882"/>
      <c r="BW590" s="1882"/>
      <c r="BX590" s="1882"/>
      <c r="BY590" s="1882"/>
      <c r="BZ590" s="1882"/>
      <c r="CA590" s="1882"/>
      <c r="CB590" s="1882"/>
      <c r="CC590" s="1882" t="s">
        <v>2451</v>
      </c>
      <c r="CH590" s="1882"/>
      <c r="CI590" s="1882" t="s">
        <v>10107</v>
      </c>
      <c r="CJ590" s="1882" t="s">
        <v>2459</v>
      </c>
      <c r="CK590" s="1882">
        <v>0</v>
      </c>
      <c r="CL590" s="1882">
        <v>0</v>
      </c>
      <c r="CM590" s="1882">
        <v>0</v>
      </c>
      <c r="CN590" s="1882">
        <v>0</v>
      </c>
      <c r="CP590" s="1882" t="s">
        <v>11593</v>
      </c>
    </row>
    <row r="591" spans="1:94">
      <c r="A591" s="1882" t="s">
        <v>8424</v>
      </c>
      <c r="B591" s="1882" t="s">
        <v>11594</v>
      </c>
      <c r="C591" s="1882" t="s">
        <v>8352</v>
      </c>
      <c r="D591" s="1882" t="s">
        <v>1626</v>
      </c>
      <c r="E591" s="1882" t="s">
        <v>8503</v>
      </c>
      <c r="F591" s="1882" t="s">
        <v>10057</v>
      </c>
      <c r="G591" s="1882" t="s">
        <v>10122</v>
      </c>
      <c r="H591" s="1882" t="s">
        <v>10123</v>
      </c>
      <c r="I591" s="1882" t="s">
        <v>10124</v>
      </c>
      <c r="J591" s="1882" t="s">
        <v>8519</v>
      </c>
      <c r="K591" s="1882" t="s">
        <v>8855</v>
      </c>
      <c r="L591" s="1882"/>
      <c r="M591" s="1882" t="s">
        <v>2460</v>
      </c>
      <c r="N591" s="1882" t="s">
        <v>4580</v>
      </c>
      <c r="O591" s="1882" t="s">
        <v>8797</v>
      </c>
      <c r="P591" s="1882" t="s">
        <v>10103</v>
      </c>
      <c r="Q591" s="520" t="s">
        <v>8512</v>
      </c>
      <c r="R591" s="1882"/>
      <c r="S591" s="1882"/>
      <c r="T591" s="1882"/>
      <c r="U591" s="1882"/>
      <c r="V591" s="1882"/>
      <c r="W591" s="1882"/>
      <c r="X591" s="1882"/>
      <c r="Y591" s="1882"/>
      <c r="Z591" s="1882"/>
      <c r="AA591" s="1882"/>
      <c r="AB591" s="1882"/>
      <c r="AC591" s="1882"/>
      <c r="AD591" s="1882"/>
      <c r="AE591" s="1882"/>
      <c r="AF591" s="1882"/>
      <c r="AG591" s="1882"/>
      <c r="AH591" s="1882"/>
      <c r="AI591" s="1882"/>
      <c r="AJ591" s="1882"/>
      <c r="AK591" s="1882"/>
      <c r="AL591" s="1882"/>
      <c r="AM591" s="1882"/>
      <c r="AN591" s="1882"/>
      <c r="AO591" s="1882"/>
      <c r="AP591" s="1882"/>
      <c r="AQ591" s="1882"/>
      <c r="AR591" s="1882"/>
      <c r="AS591" s="1882"/>
      <c r="AT591" s="1882"/>
      <c r="AU591" s="1882"/>
      <c r="AV591" s="1882"/>
      <c r="AW591" s="1882"/>
      <c r="AX591" s="1882"/>
      <c r="AY591" s="1882"/>
      <c r="AZ591" s="1882"/>
      <c r="BA591" s="1882"/>
      <c r="BB591" s="1882"/>
      <c r="BC591" s="1882"/>
      <c r="BD591" s="1882"/>
      <c r="BE591" s="1882"/>
      <c r="BF591" s="1882"/>
      <c r="BG591" s="1882"/>
      <c r="BH591" s="1882"/>
      <c r="BI591" s="1882"/>
      <c r="BJ591" s="1882"/>
      <c r="BK591" s="1882"/>
      <c r="BL591" s="1882"/>
      <c r="BM591" s="1882"/>
      <c r="BN591" s="1882"/>
      <c r="BO591" s="1882"/>
      <c r="BQ591" s="1882"/>
      <c r="BR591" s="1882"/>
      <c r="BS591" s="1882"/>
      <c r="BT591" s="1882"/>
      <c r="BU591" s="1882"/>
      <c r="BV591" s="1882"/>
      <c r="BW591" s="1882"/>
      <c r="BX591" s="1882"/>
      <c r="BY591" s="1882"/>
      <c r="BZ591" s="1882"/>
      <c r="CA591" s="1882"/>
      <c r="CB591" s="1882"/>
      <c r="CC591" s="1882" t="s">
        <v>2451</v>
      </c>
      <c r="CH591" s="1882"/>
      <c r="CI591" s="1882" t="s">
        <v>10107</v>
      </c>
      <c r="CJ591" s="1882" t="s">
        <v>2459</v>
      </c>
      <c r="CK591" s="1882">
        <v>0</v>
      </c>
      <c r="CL591" s="1882">
        <v>0</v>
      </c>
      <c r="CM591" s="1882">
        <v>0</v>
      </c>
      <c r="CN591" s="1882">
        <v>0</v>
      </c>
      <c r="CP591" s="1882" t="s">
        <v>11595</v>
      </c>
    </row>
    <row r="592" spans="1:94">
      <c r="A592" s="1882" t="s">
        <v>8424</v>
      </c>
      <c r="B592" s="1882" t="s">
        <v>11596</v>
      </c>
      <c r="C592" s="1882" t="s">
        <v>8352</v>
      </c>
      <c r="D592" s="1882" t="s">
        <v>1626</v>
      </c>
      <c r="E592" s="1882" t="s">
        <v>8503</v>
      </c>
      <c r="F592" s="1882" t="s">
        <v>10057</v>
      </c>
      <c r="G592" s="1882" t="s">
        <v>10127</v>
      </c>
      <c r="H592" s="1882" t="s">
        <v>10128</v>
      </c>
      <c r="I592" s="1882" t="s">
        <v>10129</v>
      </c>
      <c r="J592" s="1882" t="s">
        <v>8519</v>
      </c>
      <c r="K592" s="1882" t="s">
        <v>8509</v>
      </c>
      <c r="L592" s="1882"/>
      <c r="M592" s="1882" t="s">
        <v>2460</v>
      </c>
      <c r="N592" s="1882" t="s">
        <v>4580</v>
      </c>
      <c r="O592" s="1882" t="s">
        <v>8797</v>
      </c>
      <c r="P592" s="1882" t="s">
        <v>9904</v>
      </c>
      <c r="Q592" s="520" t="s">
        <v>8512</v>
      </c>
      <c r="R592" s="1882"/>
      <c r="S592" s="1882"/>
      <c r="T592" s="1882"/>
      <c r="U592" s="1882"/>
      <c r="V592" s="1882"/>
      <c r="W592" s="1882"/>
      <c r="X592" s="1882"/>
      <c r="Y592" s="1882"/>
      <c r="Z592" s="1882"/>
      <c r="AA592" s="1882"/>
      <c r="AB592" s="1882"/>
      <c r="AC592" s="1882"/>
      <c r="AD592" s="1882"/>
      <c r="AE592" s="1882"/>
      <c r="AF592" s="1882"/>
      <c r="AG592" s="1882"/>
      <c r="AH592" s="1882"/>
      <c r="AI592" s="1882"/>
      <c r="AJ592" s="1882"/>
      <c r="AK592" s="1882"/>
      <c r="AL592" s="1882"/>
      <c r="AM592" s="1882"/>
      <c r="AN592" s="1882"/>
      <c r="AO592" s="1882"/>
      <c r="AP592" s="1882"/>
      <c r="AQ592" s="1882"/>
      <c r="AR592" s="1882"/>
      <c r="AS592" s="1882"/>
      <c r="AT592" s="1882"/>
      <c r="AU592" s="1882"/>
      <c r="AV592" s="1882"/>
      <c r="AW592" s="1882"/>
      <c r="AX592" s="1882"/>
      <c r="AY592" s="1882"/>
      <c r="AZ592" s="1882"/>
      <c r="BA592" s="1882"/>
      <c r="BB592" s="1882"/>
      <c r="BC592" s="1882"/>
      <c r="BD592" s="1882"/>
      <c r="BE592" s="1882"/>
      <c r="BF592" s="1882"/>
      <c r="BG592" s="1882"/>
      <c r="BH592" s="1882"/>
      <c r="BI592" s="1882"/>
      <c r="BJ592" s="1882"/>
      <c r="BK592" s="1882"/>
      <c r="BL592" s="1882"/>
      <c r="BM592" s="1882"/>
      <c r="BN592" s="1882"/>
      <c r="BO592" s="1882"/>
      <c r="BQ592" s="1882"/>
      <c r="BR592" s="1882"/>
      <c r="BS592" s="1882"/>
      <c r="BT592" s="1882"/>
      <c r="BU592" s="1882"/>
      <c r="BV592" s="1882"/>
      <c r="BW592" s="1882"/>
      <c r="BX592" s="1882"/>
      <c r="BY592" s="1882"/>
      <c r="BZ592" s="1882"/>
      <c r="CA592" s="1882"/>
      <c r="CB592" s="1882"/>
      <c r="CC592" s="1882" t="s">
        <v>2451</v>
      </c>
      <c r="CH592" s="1882"/>
      <c r="CI592" s="1882" t="s">
        <v>9289</v>
      </c>
      <c r="CJ592" s="1882" t="s">
        <v>2451</v>
      </c>
      <c r="CK592" s="1882">
        <v>0</v>
      </c>
      <c r="CL592" s="1882">
        <v>0</v>
      </c>
      <c r="CM592" s="1882">
        <v>0</v>
      </c>
      <c r="CN592" s="1882">
        <v>0</v>
      </c>
      <c r="CP592" s="1882" t="s">
        <v>11597</v>
      </c>
    </row>
    <row r="593" spans="1:94">
      <c r="A593" s="1882" t="s">
        <v>8424</v>
      </c>
      <c r="B593" s="1882" t="s">
        <v>11598</v>
      </c>
      <c r="C593" s="1882" t="s">
        <v>8352</v>
      </c>
      <c r="D593" s="1882" t="s">
        <v>1626</v>
      </c>
      <c r="E593" s="1882" t="s">
        <v>8503</v>
      </c>
      <c r="F593" s="1882" t="s">
        <v>10057</v>
      </c>
      <c r="G593" s="1882" t="s">
        <v>10133</v>
      </c>
      <c r="H593" s="1882" t="s">
        <v>10134</v>
      </c>
      <c r="I593" s="1882" t="s">
        <v>10135</v>
      </c>
      <c r="J593" s="1882" t="s">
        <v>8519</v>
      </c>
      <c r="K593" s="1882" t="s">
        <v>8855</v>
      </c>
      <c r="L593" s="1882"/>
      <c r="M593" s="1882" t="s">
        <v>2460</v>
      </c>
      <c r="N593" s="1882" t="s">
        <v>4580</v>
      </c>
      <c r="O593" s="1882" t="s">
        <v>8797</v>
      </c>
      <c r="P593" s="1882" t="s">
        <v>9904</v>
      </c>
      <c r="Q593" s="520" t="s">
        <v>8512</v>
      </c>
      <c r="R593" s="1882"/>
      <c r="S593" s="1882"/>
      <c r="T593" s="1882"/>
      <c r="U593" s="1882"/>
      <c r="V593" s="1882"/>
      <c r="W593" s="1882"/>
      <c r="X593" s="1882"/>
      <c r="Y593" s="1882"/>
      <c r="Z593" s="1882"/>
      <c r="AA593" s="1882"/>
      <c r="AB593" s="1882"/>
      <c r="AC593" s="1882"/>
      <c r="AD593" s="1882"/>
      <c r="AE593" s="1882"/>
      <c r="AF593" s="1882"/>
      <c r="AG593" s="1882"/>
      <c r="AH593" s="1882"/>
      <c r="AI593" s="1882"/>
      <c r="AJ593" s="1882"/>
      <c r="AK593" s="1882"/>
      <c r="AL593" s="1882"/>
      <c r="AM593" s="1882"/>
      <c r="AN593" s="1882"/>
      <c r="AO593" s="1882"/>
      <c r="AP593" s="1882"/>
      <c r="AQ593" s="1882"/>
      <c r="AR593" s="1882"/>
      <c r="AS593" s="1882"/>
      <c r="AT593" s="1882"/>
      <c r="AU593" s="1882"/>
      <c r="AV593" s="1882"/>
      <c r="AW593" s="1882"/>
      <c r="AX593" s="1882"/>
      <c r="AY593" s="1882"/>
      <c r="AZ593" s="1882"/>
      <c r="BA593" s="1882"/>
      <c r="BB593" s="1882"/>
      <c r="BC593" s="1882"/>
      <c r="BD593" s="1882"/>
      <c r="BE593" s="1882"/>
      <c r="BF593" s="1882"/>
      <c r="BG593" s="1882"/>
      <c r="BH593" s="1882"/>
      <c r="BI593" s="1882"/>
      <c r="BJ593" s="1882"/>
      <c r="BK593" s="1882"/>
      <c r="BL593" s="1882"/>
      <c r="BM593" s="1882"/>
      <c r="BN593" s="1882"/>
      <c r="BO593" s="1882"/>
      <c r="BQ593" s="1882"/>
      <c r="BR593" s="1882"/>
      <c r="BS593" s="1882"/>
      <c r="BT593" s="1882"/>
      <c r="BU593" s="1882"/>
      <c r="BV593" s="1882"/>
      <c r="BW593" s="1882"/>
      <c r="BX593" s="1882"/>
      <c r="BY593" s="1882"/>
      <c r="BZ593" s="1882"/>
      <c r="CA593" s="1882"/>
      <c r="CB593" s="1882"/>
      <c r="CC593" s="1882" t="s">
        <v>2451</v>
      </c>
      <c r="CH593" s="1882"/>
      <c r="CI593" s="1882" t="s">
        <v>9289</v>
      </c>
      <c r="CJ593" s="1882" t="s">
        <v>2451</v>
      </c>
      <c r="CK593" s="1882">
        <v>0</v>
      </c>
      <c r="CL593" s="1882">
        <v>0</v>
      </c>
      <c r="CM593" s="1882">
        <v>0</v>
      </c>
      <c r="CN593" s="1882">
        <v>0</v>
      </c>
      <c r="CP593" s="1882" t="s">
        <v>11599</v>
      </c>
    </row>
    <row r="594" spans="1:94">
      <c r="A594" s="1882" t="s">
        <v>8424</v>
      </c>
      <c r="B594" s="1882" t="s">
        <v>11600</v>
      </c>
      <c r="C594" s="1882" t="s">
        <v>8352</v>
      </c>
      <c r="D594" s="1882" t="s">
        <v>1626</v>
      </c>
      <c r="E594" s="1882" t="s">
        <v>8503</v>
      </c>
      <c r="F594" s="1882" t="s">
        <v>10138</v>
      </c>
      <c r="G594" s="1882" t="s">
        <v>8559</v>
      </c>
      <c r="H594" s="1882" t="s">
        <v>10139</v>
      </c>
      <c r="I594" s="1882" t="s">
        <v>10140</v>
      </c>
      <c r="J594" s="1882" t="s">
        <v>8508</v>
      </c>
      <c r="K594" s="1882" t="s">
        <v>8509</v>
      </c>
      <c r="L594" s="1882" t="s">
        <v>2459</v>
      </c>
      <c r="M594" s="1882"/>
      <c r="N594" s="1882" t="s">
        <v>8599</v>
      </c>
      <c r="O594" s="1882" t="s">
        <v>732</v>
      </c>
      <c r="P594" s="1882" t="s">
        <v>8696</v>
      </c>
      <c r="Q594" s="520">
        <v>0</v>
      </c>
      <c r="R594" s="1882"/>
      <c r="S594" s="1882"/>
      <c r="T594" s="1882"/>
      <c r="U594" s="1882"/>
      <c r="V594" s="1882"/>
      <c r="W594" s="1882"/>
      <c r="X594" s="1882"/>
      <c r="Y594" s="1882"/>
      <c r="Z594" s="1882"/>
      <c r="AA594" s="1882"/>
      <c r="AB594" s="1882"/>
      <c r="AC594" s="1882"/>
      <c r="AD594" s="1882"/>
      <c r="AE594" s="1882"/>
      <c r="AF594" s="1882"/>
      <c r="AG594" s="1882"/>
      <c r="AH594" s="1882"/>
      <c r="AI594" s="1882"/>
      <c r="AJ594" s="1882"/>
      <c r="AK594" s="1882"/>
      <c r="AL594" s="1882"/>
      <c r="AM594" s="1882"/>
      <c r="AN594" s="1882"/>
      <c r="AO594" s="1882"/>
      <c r="AP594" s="1882"/>
      <c r="AQ594" s="1882"/>
      <c r="AR594" s="1882"/>
      <c r="AS594" s="1882"/>
      <c r="AT594" s="1882"/>
      <c r="AU594" s="1882"/>
      <c r="AV594" s="1882"/>
      <c r="AW594" s="1882"/>
      <c r="AX594" s="1882"/>
      <c r="AY594" s="1882"/>
      <c r="AZ594" s="1882"/>
      <c r="BA594" s="1882"/>
      <c r="BB594" s="1882"/>
      <c r="BC594" s="1882"/>
      <c r="BD594" s="1882"/>
      <c r="BE594" s="1882"/>
      <c r="BF594" s="1882"/>
      <c r="BG594" s="1882"/>
      <c r="BH594" s="1882"/>
      <c r="BI594" s="1882"/>
      <c r="BJ594" s="1882"/>
      <c r="BK594" s="1882"/>
      <c r="BL594" s="1882"/>
      <c r="BM594" s="1882"/>
      <c r="BN594" s="1882"/>
      <c r="BO594" s="1882"/>
      <c r="BQ594" s="1882"/>
      <c r="BR594" s="1882"/>
      <c r="BS594" s="1882"/>
      <c r="BT594" s="1882"/>
      <c r="BU594" s="1882"/>
      <c r="BV594" s="1882"/>
      <c r="BW594" s="1882"/>
      <c r="BX594" s="1882"/>
      <c r="BY594" s="1882"/>
      <c r="BZ594" s="1882"/>
      <c r="CA594" s="1882"/>
      <c r="CB594" s="1882"/>
      <c r="CC594" s="1882" t="s">
        <v>2451</v>
      </c>
      <c r="CH594" s="1882"/>
      <c r="CI594" s="1882">
        <v>63</v>
      </c>
      <c r="CJ594" s="1882" t="s">
        <v>2459</v>
      </c>
      <c r="CK594" s="1882" t="s">
        <v>8376</v>
      </c>
      <c r="CL594" s="1882">
        <v>0.12429999999999999</v>
      </c>
      <c r="CM594" s="1882">
        <v>0</v>
      </c>
      <c r="CN594" s="1882">
        <v>0</v>
      </c>
      <c r="CP594" s="1882" t="s">
        <v>11601</v>
      </c>
    </row>
    <row r="595" spans="1:94">
      <c r="A595" s="1882" t="s">
        <v>8424</v>
      </c>
      <c r="B595" s="1882" t="s">
        <v>11602</v>
      </c>
      <c r="C595" s="1882" t="s">
        <v>8352</v>
      </c>
      <c r="D595" s="1882" t="s">
        <v>1626</v>
      </c>
      <c r="E595" s="1882" t="s">
        <v>8503</v>
      </c>
      <c r="F595" s="1882" t="s">
        <v>10143</v>
      </c>
      <c r="G595" s="1882" t="s">
        <v>8640</v>
      </c>
      <c r="H595" s="1882" t="s">
        <v>10144</v>
      </c>
      <c r="I595" s="1882" t="s">
        <v>10145</v>
      </c>
      <c r="J595" s="1882" t="s">
        <v>8508</v>
      </c>
      <c r="K595" s="1882" t="s">
        <v>8509</v>
      </c>
      <c r="L595" s="1882"/>
      <c r="M595" s="1882"/>
      <c r="N595" s="1882" t="s">
        <v>8673</v>
      </c>
      <c r="O595" s="1882" t="s">
        <v>764</v>
      </c>
      <c r="P595" s="1882" t="s">
        <v>10146</v>
      </c>
      <c r="Q595" s="520">
        <v>0</v>
      </c>
      <c r="R595" s="1882"/>
      <c r="S595" s="1882"/>
      <c r="T595" s="1882"/>
      <c r="U595" s="1882"/>
      <c r="V595" s="1882"/>
      <c r="W595" s="1882"/>
      <c r="X595" s="1882"/>
      <c r="Y595" s="1882"/>
      <c r="Z595" s="1882"/>
      <c r="AA595" s="1882"/>
      <c r="AB595" s="1882"/>
      <c r="AC595" s="1882"/>
      <c r="AD595" s="1882"/>
      <c r="AE595" s="1882"/>
      <c r="AF595" s="1882"/>
      <c r="AG595" s="1882"/>
      <c r="AH595" s="1882"/>
      <c r="AI595" s="1882"/>
      <c r="AJ595" s="1882"/>
      <c r="AK595" s="1882"/>
      <c r="AL595" s="1882"/>
      <c r="AM595" s="1882"/>
      <c r="AN595" s="1882"/>
      <c r="AO595" s="1882"/>
      <c r="AP595" s="1882"/>
      <c r="AQ595" s="1882"/>
      <c r="AR595" s="1882"/>
      <c r="AS595" s="1882"/>
      <c r="AT595" s="1882"/>
      <c r="AU595" s="1882"/>
      <c r="AV595" s="1882"/>
      <c r="AW595" s="1882"/>
      <c r="AX595" s="1882"/>
      <c r="AY595" s="1882"/>
      <c r="AZ595" s="1882"/>
      <c r="BA595" s="1882"/>
      <c r="BB595" s="1882"/>
      <c r="BC595" s="1882"/>
      <c r="BD595" s="1882"/>
      <c r="BE595" s="1882"/>
      <c r="BF595" s="1882"/>
      <c r="BG595" s="1882"/>
      <c r="BH595" s="1882"/>
      <c r="BI595" s="1882"/>
      <c r="BJ595" s="1882"/>
      <c r="BK595" s="1882"/>
      <c r="BL595" s="1882"/>
      <c r="BM595" s="1882"/>
      <c r="BN595" s="1882"/>
      <c r="BO595" s="1882"/>
      <c r="BQ595" s="1882"/>
      <c r="BR595" s="1882"/>
      <c r="BS595" s="1882"/>
      <c r="BT595" s="1882"/>
      <c r="BU595" s="1882"/>
      <c r="BV595" s="1882"/>
      <c r="BW595" s="1882"/>
      <c r="BX595" s="1882"/>
      <c r="BY595" s="1882"/>
      <c r="BZ595" s="1882"/>
      <c r="CA595" s="1882"/>
      <c r="CB595" s="1882"/>
      <c r="CC595" s="1882" t="s">
        <v>2451</v>
      </c>
      <c r="CH595" s="1882"/>
      <c r="CI595" s="1882">
        <v>0</v>
      </c>
      <c r="CJ595" s="1882" t="s">
        <v>2451</v>
      </c>
      <c r="CK595" s="1882">
        <v>0</v>
      </c>
      <c r="CL595" s="1882">
        <v>0</v>
      </c>
      <c r="CM595" s="1882">
        <v>0</v>
      </c>
      <c r="CN595" s="1882">
        <v>0</v>
      </c>
      <c r="CP595" s="1882" t="s">
        <v>11603</v>
      </c>
    </row>
    <row r="596" spans="1:94">
      <c r="A596" s="1882" t="s">
        <v>8424</v>
      </c>
      <c r="B596" s="1882" t="s">
        <v>11604</v>
      </c>
      <c r="C596" s="1882" t="s">
        <v>8352</v>
      </c>
      <c r="D596" s="1882" t="s">
        <v>1626</v>
      </c>
      <c r="E596" s="1882" t="s">
        <v>8503</v>
      </c>
      <c r="F596" s="1882" t="s">
        <v>10143</v>
      </c>
      <c r="G596" s="1882" t="s">
        <v>8646</v>
      </c>
      <c r="H596" s="1882" t="s">
        <v>10149</v>
      </c>
      <c r="I596" s="1882" t="s">
        <v>10150</v>
      </c>
      <c r="J596" s="1882" t="s">
        <v>8539</v>
      </c>
      <c r="K596" s="1882"/>
      <c r="L596" s="1882"/>
      <c r="M596" s="1882"/>
      <c r="N596" s="1882" t="s">
        <v>8673</v>
      </c>
      <c r="O596" s="1882" t="s">
        <v>732</v>
      </c>
      <c r="P596" s="1882" t="s">
        <v>10151</v>
      </c>
      <c r="Q596" s="520">
        <v>0</v>
      </c>
      <c r="R596" s="1882"/>
      <c r="S596" s="1882"/>
      <c r="T596" s="1882"/>
      <c r="U596" s="1882"/>
      <c r="V596" s="1882"/>
      <c r="W596" s="1882"/>
      <c r="X596" s="1882"/>
      <c r="Y596" s="1882"/>
      <c r="Z596" s="1882"/>
      <c r="AA596" s="1882"/>
      <c r="AB596" s="1882"/>
      <c r="AC596" s="1882"/>
      <c r="AD596" s="1882"/>
      <c r="AE596" s="1882"/>
      <c r="AF596" s="1882"/>
      <c r="AG596" s="1882"/>
      <c r="AH596" s="1882"/>
      <c r="AI596" s="1882"/>
      <c r="AJ596" s="1882"/>
      <c r="AK596" s="1882"/>
      <c r="AL596" s="1882"/>
      <c r="AM596" s="1882"/>
      <c r="AN596" s="1882"/>
      <c r="AO596" s="1882"/>
      <c r="AP596" s="1882"/>
      <c r="AQ596" s="1882"/>
      <c r="AR596" s="1882"/>
      <c r="AS596" s="1882"/>
      <c r="AT596" s="1882"/>
      <c r="AU596" s="1882"/>
      <c r="AV596" s="1882"/>
      <c r="AW596" s="1882"/>
      <c r="AX596" s="1882"/>
      <c r="AY596" s="1882"/>
      <c r="AZ596" s="1882"/>
      <c r="BA596" s="1882"/>
      <c r="BB596" s="1882"/>
      <c r="BC596" s="1882"/>
      <c r="BD596" s="1882"/>
      <c r="BE596" s="1882"/>
      <c r="BF596" s="1882"/>
      <c r="BG596" s="1882"/>
      <c r="BH596" s="1882"/>
      <c r="BI596" s="1882"/>
      <c r="BJ596" s="1882"/>
      <c r="BK596" s="1882"/>
      <c r="BL596" s="1882"/>
      <c r="BM596" s="1882"/>
      <c r="BN596" s="1882"/>
      <c r="BO596" s="1882"/>
      <c r="BQ596" s="1882"/>
      <c r="BR596" s="1882"/>
      <c r="BS596" s="1882"/>
      <c r="BT596" s="1882"/>
      <c r="BU596" s="1882"/>
      <c r="BV596" s="1882"/>
      <c r="BW596" s="1882"/>
      <c r="BX596" s="1882"/>
      <c r="BY596" s="1882"/>
      <c r="BZ596" s="1882"/>
      <c r="CA596" s="1882"/>
      <c r="CB596" s="1882"/>
      <c r="CC596" s="1882" t="s">
        <v>2451</v>
      </c>
      <c r="CH596" s="1882"/>
      <c r="CI596" s="1882">
        <v>97.69</v>
      </c>
      <c r="CJ596" s="1882" t="s">
        <v>2460</v>
      </c>
      <c r="CK596" s="1882">
        <v>0</v>
      </c>
      <c r="CL596" s="1882">
        <v>0</v>
      </c>
      <c r="CM596" s="1882">
        <v>0</v>
      </c>
      <c r="CN596" s="1882">
        <v>0</v>
      </c>
      <c r="CP596" s="1882" t="s">
        <v>11605</v>
      </c>
    </row>
    <row r="597" spans="1:94">
      <c r="A597" s="1882" t="s">
        <v>8424</v>
      </c>
      <c r="B597" s="1882" t="s">
        <v>11606</v>
      </c>
      <c r="C597" s="1882" t="s">
        <v>8352</v>
      </c>
      <c r="D597" s="1882" t="s">
        <v>1626</v>
      </c>
      <c r="E597" s="1882" t="s">
        <v>8503</v>
      </c>
      <c r="F597" s="1882" t="s">
        <v>10143</v>
      </c>
      <c r="G597" s="1882" t="s">
        <v>8651</v>
      </c>
      <c r="H597" s="1882" t="s">
        <v>10154</v>
      </c>
      <c r="I597" s="1882" t="s">
        <v>10155</v>
      </c>
      <c r="J597" s="1882" t="s">
        <v>8539</v>
      </c>
      <c r="K597" s="1882"/>
      <c r="L597" s="1882"/>
      <c r="M597" s="1882"/>
      <c r="N597" s="1882" t="s">
        <v>8666</v>
      </c>
      <c r="O597" s="1882" t="s">
        <v>764</v>
      </c>
      <c r="P597" s="1882" t="s">
        <v>10156</v>
      </c>
      <c r="Q597" s="520">
        <v>0</v>
      </c>
      <c r="R597" s="1882"/>
      <c r="S597" s="1882"/>
      <c r="T597" s="1882"/>
      <c r="U597" s="1882"/>
      <c r="V597" s="1882"/>
      <c r="W597" s="1882"/>
      <c r="X597" s="1882"/>
      <c r="Y597" s="1882"/>
      <c r="Z597" s="1882"/>
      <c r="AA597" s="1882"/>
      <c r="AB597" s="1882"/>
      <c r="AC597" s="1882"/>
      <c r="AD597" s="1882"/>
      <c r="AE597" s="1882"/>
      <c r="AF597" s="1882"/>
      <c r="AG597" s="1882"/>
      <c r="AH597" s="1882"/>
      <c r="AI597" s="1882"/>
      <c r="AJ597" s="1882"/>
      <c r="AK597" s="1882"/>
      <c r="AL597" s="1882"/>
      <c r="AM597" s="1882"/>
      <c r="AN597" s="1882"/>
      <c r="AO597" s="1882"/>
      <c r="AP597" s="1882"/>
      <c r="AQ597" s="1882"/>
      <c r="AR597" s="1882"/>
      <c r="AS597" s="1882"/>
      <c r="AT597" s="1882"/>
      <c r="AU597" s="1882"/>
      <c r="AV597" s="1882"/>
      <c r="AW597" s="1882"/>
      <c r="AX597" s="1882"/>
      <c r="AY597" s="1882"/>
      <c r="AZ597" s="1882"/>
      <c r="BA597" s="1882"/>
      <c r="BB597" s="1882"/>
      <c r="BC597" s="1882"/>
      <c r="BD597" s="1882"/>
      <c r="BE597" s="1882"/>
      <c r="BF597" s="1882"/>
      <c r="BG597" s="1882"/>
      <c r="BH597" s="1882"/>
      <c r="BI597" s="1882"/>
      <c r="BJ597" s="1882"/>
      <c r="BK597" s="1882"/>
      <c r="BL597" s="1882"/>
      <c r="BM597" s="1882"/>
      <c r="BN597" s="1882"/>
      <c r="BO597" s="1882"/>
      <c r="BQ597" s="1882"/>
      <c r="BR597" s="1882"/>
      <c r="BS597" s="1882"/>
      <c r="BT597" s="1882"/>
      <c r="BU597" s="1882"/>
      <c r="BV597" s="1882"/>
      <c r="BW597" s="1882"/>
      <c r="BX597" s="1882"/>
      <c r="BY597" s="1882"/>
      <c r="BZ597" s="1882"/>
      <c r="CA597" s="1882"/>
      <c r="CB597" s="1882"/>
      <c r="CC597" s="1882" t="s">
        <v>2451</v>
      </c>
      <c r="CH597" s="1882"/>
      <c r="CI597" s="1882">
        <v>343</v>
      </c>
      <c r="CJ597" s="1882" t="s">
        <v>2451</v>
      </c>
      <c r="CK597" s="1882">
        <v>0</v>
      </c>
      <c r="CL597" s="1882">
        <v>0</v>
      </c>
      <c r="CM597" s="1882">
        <v>0</v>
      </c>
      <c r="CN597" s="1882">
        <v>0</v>
      </c>
      <c r="CP597" s="1882" t="s">
        <v>11607</v>
      </c>
    </row>
    <row r="598" spans="1:94">
      <c r="A598" s="1882" t="s">
        <v>8424</v>
      </c>
      <c r="B598" s="1882" t="s">
        <v>11608</v>
      </c>
      <c r="C598" s="1882" t="s">
        <v>8352</v>
      </c>
      <c r="D598" s="1882" t="s">
        <v>1626</v>
      </c>
      <c r="E598" s="1882" t="s">
        <v>8503</v>
      </c>
      <c r="F598" s="1882" t="s">
        <v>10143</v>
      </c>
      <c r="G598" s="1882" t="s">
        <v>8657</v>
      </c>
      <c r="H598" s="1882" t="s">
        <v>10159</v>
      </c>
      <c r="I598" s="1882" t="s">
        <v>10160</v>
      </c>
      <c r="J598" s="1882" t="s">
        <v>8539</v>
      </c>
      <c r="K598" s="1882"/>
      <c r="L598" s="1882"/>
      <c r="M598" s="1882"/>
      <c r="N598" s="1882" t="s">
        <v>8673</v>
      </c>
      <c r="O598" s="1882" t="s">
        <v>764</v>
      </c>
      <c r="P598" s="1882" t="s">
        <v>10161</v>
      </c>
      <c r="Q598" s="520">
        <v>0</v>
      </c>
      <c r="R598" s="1882"/>
      <c r="S598" s="1882"/>
      <c r="T598" s="1882"/>
      <c r="U598" s="1882"/>
      <c r="V598" s="1882"/>
      <c r="W598" s="1882"/>
      <c r="X598" s="1882"/>
      <c r="Y598" s="1882"/>
      <c r="Z598" s="1882"/>
      <c r="AA598" s="1882"/>
      <c r="AB598" s="1882"/>
      <c r="AC598" s="1882"/>
      <c r="AD598" s="1882"/>
      <c r="AE598" s="1882"/>
      <c r="AF598" s="1882"/>
      <c r="AG598" s="1882"/>
      <c r="AH598" s="1882"/>
      <c r="AI598" s="1882"/>
      <c r="AJ598" s="1882"/>
      <c r="AK598" s="1882"/>
      <c r="AL598" s="1882"/>
      <c r="AM598" s="1882"/>
      <c r="AN598" s="1882"/>
      <c r="AO598" s="1882"/>
      <c r="AP598" s="1882"/>
      <c r="AQ598" s="1882"/>
      <c r="AR598" s="1882"/>
      <c r="AS598" s="1882"/>
      <c r="AT598" s="1882"/>
      <c r="AU598" s="1882"/>
      <c r="AV598" s="1882"/>
      <c r="AW598" s="1882"/>
      <c r="AX598" s="1882"/>
      <c r="AY598" s="1882"/>
      <c r="AZ598" s="1882"/>
      <c r="BA598" s="1882"/>
      <c r="BB598" s="1882"/>
      <c r="BC598" s="1882"/>
      <c r="BD598" s="1882"/>
      <c r="BE598" s="1882"/>
      <c r="BF598" s="1882"/>
      <c r="BG598" s="1882"/>
      <c r="BH598" s="1882"/>
      <c r="BI598" s="1882"/>
      <c r="BJ598" s="1882"/>
      <c r="BK598" s="1882"/>
      <c r="BL598" s="1882"/>
      <c r="BM598" s="1882"/>
      <c r="BN598" s="1882"/>
      <c r="BO598" s="1882"/>
      <c r="BQ598" s="1882"/>
      <c r="BR598" s="1882"/>
      <c r="BS598" s="1882"/>
      <c r="BT598" s="1882"/>
      <c r="BU598" s="1882"/>
      <c r="BV598" s="1882"/>
      <c r="BW598" s="1882"/>
      <c r="BX598" s="1882"/>
      <c r="BY598" s="1882"/>
      <c r="BZ598" s="1882"/>
      <c r="CA598" s="1882"/>
      <c r="CB598" s="1882"/>
      <c r="CC598" s="1882" t="s">
        <v>2451</v>
      </c>
      <c r="CH598" s="1882"/>
      <c r="CI598" s="1882" t="s">
        <v>10107</v>
      </c>
      <c r="CJ598" s="1882" t="s">
        <v>2459</v>
      </c>
      <c r="CK598" s="1882">
        <v>0</v>
      </c>
      <c r="CL598" s="1882">
        <v>0</v>
      </c>
      <c r="CM598" s="1882">
        <v>0</v>
      </c>
      <c r="CN598" s="1882">
        <v>0</v>
      </c>
      <c r="CP598" s="1882" t="s">
        <v>11609</v>
      </c>
    </row>
    <row r="599" spans="1:94">
      <c r="A599" s="1882" t="s">
        <v>8424</v>
      </c>
      <c r="B599" s="1882" t="s">
        <v>11610</v>
      </c>
      <c r="C599" s="1882" t="s">
        <v>8352</v>
      </c>
      <c r="D599" s="1882" t="s">
        <v>1626</v>
      </c>
      <c r="E599" s="1882" t="s">
        <v>8503</v>
      </c>
      <c r="F599" s="1882" t="s">
        <v>10164</v>
      </c>
      <c r="G599" s="1882" t="s">
        <v>8663</v>
      </c>
      <c r="H599" s="1882" t="s">
        <v>10165</v>
      </c>
      <c r="I599" s="1882" t="s">
        <v>10166</v>
      </c>
      <c r="J599" s="1882" t="s">
        <v>8508</v>
      </c>
      <c r="K599" s="1882" t="s">
        <v>8509</v>
      </c>
      <c r="L599" s="1882" t="s">
        <v>2459</v>
      </c>
      <c r="M599" s="1882"/>
      <c r="N599" s="1882" t="s">
        <v>8681</v>
      </c>
      <c r="O599" s="1882" t="s">
        <v>764</v>
      </c>
      <c r="P599" s="1882" t="s">
        <v>9180</v>
      </c>
      <c r="Q599" s="520">
        <v>3</v>
      </c>
      <c r="R599" s="1882"/>
      <c r="S599" s="1882"/>
      <c r="T599" s="1882"/>
      <c r="U599" s="1882"/>
      <c r="V599" s="1882"/>
      <c r="W599" s="1882"/>
      <c r="X599" s="1882"/>
      <c r="Y599" s="1882"/>
      <c r="Z599" s="1882"/>
      <c r="AA599" s="1882"/>
      <c r="AB599" s="1882"/>
      <c r="AC599" s="1882"/>
      <c r="AD599" s="1882"/>
      <c r="AE599" s="1882"/>
      <c r="AF599" s="1882"/>
      <c r="AG599" s="1882"/>
      <c r="AH599" s="1882"/>
      <c r="AI599" s="1882"/>
      <c r="AJ599" s="1882"/>
      <c r="AK599" s="1882"/>
      <c r="AL599" s="1882"/>
      <c r="AM599" s="1882"/>
      <c r="AN599" s="1882"/>
      <c r="AO599" s="1882"/>
      <c r="AP599" s="1882"/>
      <c r="AQ599" s="1882"/>
      <c r="AR599" s="1882"/>
      <c r="AS599" s="1882"/>
      <c r="AT599" s="1882"/>
      <c r="AU599" s="1882"/>
      <c r="AV599" s="1882"/>
      <c r="AW599" s="1882"/>
      <c r="AX599" s="1882"/>
      <c r="AY599" s="1882"/>
      <c r="AZ599" s="1882"/>
      <c r="BA599" s="1882"/>
      <c r="BB599" s="1882"/>
      <c r="BC599" s="1882"/>
      <c r="BD599" s="1882"/>
      <c r="BE599" s="1882"/>
      <c r="BF599" s="1882"/>
      <c r="BG599" s="1882"/>
      <c r="BH599" s="1882"/>
      <c r="BI599" s="1882"/>
      <c r="BJ599" s="1882"/>
      <c r="BK599" s="1882"/>
      <c r="BL599" s="1882"/>
      <c r="BM599" s="1882"/>
      <c r="BN599" s="1882"/>
      <c r="BO599" s="1882"/>
      <c r="BQ599" s="1882"/>
      <c r="BR599" s="1882"/>
      <c r="BS599" s="1882"/>
      <c r="BT599" s="1882"/>
      <c r="BU599" s="1882"/>
      <c r="BV599" s="1882"/>
      <c r="BW599" s="1882"/>
      <c r="BX599" s="1882"/>
      <c r="BY599" s="1882"/>
      <c r="BZ599" s="1882"/>
      <c r="CA599" s="1882"/>
      <c r="CB599" s="1882"/>
      <c r="CC599" s="1882" t="s">
        <v>2451</v>
      </c>
      <c r="CH599" s="1882"/>
      <c r="CI599" s="1882">
        <v>219</v>
      </c>
      <c r="CJ599" s="1882" t="s">
        <v>2459</v>
      </c>
      <c r="CK599" s="1882">
        <v>0</v>
      </c>
      <c r="CL599" s="1882">
        <v>0</v>
      </c>
      <c r="CM599" s="1882">
        <v>0</v>
      </c>
      <c r="CN599" s="1882">
        <v>0</v>
      </c>
      <c r="CP599" s="1882" t="s">
        <v>11611</v>
      </c>
    </row>
    <row r="600" spans="1:94">
      <c r="A600" s="1882" t="s">
        <v>8424</v>
      </c>
      <c r="B600" s="1882" t="s">
        <v>11612</v>
      </c>
      <c r="C600" s="1882" t="s">
        <v>8352</v>
      </c>
      <c r="D600" s="1882" t="s">
        <v>1626</v>
      </c>
      <c r="E600" s="1882" t="s">
        <v>8503</v>
      </c>
      <c r="F600" s="1882" t="s">
        <v>10169</v>
      </c>
      <c r="G600" s="1882" t="s">
        <v>8678</v>
      </c>
      <c r="H600" s="1882" t="s">
        <v>10170</v>
      </c>
      <c r="I600" s="1882" t="s">
        <v>10171</v>
      </c>
      <c r="J600" s="1882" t="s">
        <v>8539</v>
      </c>
      <c r="K600" s="1882"/>
      <c r="L600" s="1882"/>
      <c r="M600" s="1882"/>
      <c r="N600" s="1882" t="s">
        <v>9592</v>
      </c>
      <c r="O600" s="1882" t="s">
        <v>764</v>
      </c>
      <c r="P600" s="1882" t="s">
        <v>10172</v>
      </c>
      <c r="Q600" s="520">
        <v>0</v>
      </c>
      <c r="R600" s="1882"/>
      <c r="S600" s="1882"/>
      <c r="T600" s="1882"/>
      <c r="U600" s="1882"/>
      <c r="V600" s="1882"/>
      <c r="W600" s="1882"/>
      <c r="X600" s="1882"/>
      <c r="Y600" s="1882"/>
      <c r="Z600" s="1882"/>
      <c r="AA600" s="1882"/>
      <c r="AB600" s="1882"/>
      <c r="AC600" s="1882"/>
      <c r="AD600" s="1882"/>
      <c r="AE600" s="1882"/>
      <c r="AF600" s="1882"/>
      <c r="AG600" s="1882"/>
      <c r="AH600" s="1882"/>
      <c r="AI600" s="1882"/>
      <c r="AJ600" s="1882"/>
      <c r="AK600" s="1882"/>
      <c r="AL600" s="1882"/>
      <c r="AM600" s="1882"/>
      <c r="AN600" s="1882"/>
      <c r="AO600" s="1882"/>
      <c r="AP600" s="1882"/>
      <c r="AQ600" s="1882"/>
      <c r="AR600" s="1882"/>
      <c r="AS600" s="1882"/>
      <c r="AT600" s="1882"/>
      <c r="AU600" s="1882"/>
      <c r="AV600" s="1882"/>
      <c r="AW600" s="1882"/>
      <c r="AX600" s="1882"/>
      <c r="AY600" s="1882"/>
      <c r="AZ600" s="1882"/>
      <c r="BA600" s="1882"/>
      <c r="BB600" s="1882"/>
      <c r="BC600" s="1882"/>
      <c r="BD600" s="1882"/>
      <c r="BE600" s="1882"/>
      <c r="BF600" s="1882"/>
      <c r="BG600" s="1882"/>
      <c r="BH600" s="1882"/>
      <c r="BI600" s="1882"/>
      <c r="BJ600" s="1882"/>
      <c r="BK600" s="1882"/>
      <c r="BL600" s="1882"/>
      <c r="BM600" s="1882"/>
      <c r="BN600" s="1882"/>
      <c r="BO600" s="1882"/>
      <c r="BQ600" s="1882"/>
      <c r="BR600" s="1882"/>
      <c r="BS600" s="1882"/>
      <c r="BT600" s="1882"/>
      <c r="BU600" s="1882"/>
      <c r="BV600" s="1882"/>
      <c r="BW600" s="1882"/>
      <c r="BX600" s="1882"/>
      <c r="BY600" s="1882"/>
      <c r="BZ600" s="1882"/>
      <c r="CA600" s="1882"/>
      <c r="CB600" s="1882"/>
      <c r="CC600" s="1882" t="s">
        <v>2451</v>
      </c>
      <c r="CH600" s="1882"/>
      <c r="CI600" s="1882">
        <v>185371</v>
      </c>
      <c r="CJ600" s="1882" t="s">
        <v>2459</v>
      </c>
      <c r="CK600" s="1882">
        <v>0</v>
      </c>
      <c r="CL600" s="1882">
        <v>0</v>
      </c>
      <c r="CM600" s="1882">
        <v>0</v>
      </c>
      <c r="CN600" s="1882">
        <v>0</v>
      </c>
      <c r="CP600" s="1882" t="s">
        <v>11613</v>
      </c>
    </row>
    <row r="601" spans="1:94">
      <c r="A601" s="1882" t="s">
        <v>8424</v>
      </c>
      <c r="B601" s="1882" t="s">
        <v>11614</v>
      </c>
      <c r="C601" s="1882" t="s">
        <v>8352</v>
      </c>
      <c r="D601" s="1882" t="s">
        <v>1627</v>
      </c>
      <c r="E601" s="1882" t="s">
        <v>8720</v>
      </c>
      <c r="F601" s="1882" t="s">
        <v>10175</v>
      </c>
      <c r="G601" s="1882" t="s">
        <v>9193</v>
      </c>
      <c r="H601" s="1882" t="s">
        <v>10176</v>
      </c>
      <c r="I601" s="1882" t="s">
        <v>10177</v>
      </c>
      <c r="J601" s="1882" t="s">
        <v>8508</v>
      </c>
      <c r="K601" s="1882" t="s">
        <v>8509</v>
      </c>
      <c r="L601" s="1882" t="s">
        <v>2459</v>
      </c>
      <c r="M601" s="1882" t="s">
        <v>2460</v>
      </c>
      <c r="N601" s="1882" t="s">
        <v>8724</v>
      </c>
      <c r="O601" s="1882" t="s">
        <v>764</v>
      </c>
      <c r="P601" s="1882" t="s">
        <v>9847</v>
      </c>
      <c r="Q601" s="520">
        <v>0</v>
      </c>
      <c r="R601" s="1882"/>
      <c r="S601" s="1882"/>
      <c r="T601" s="1882"/>
      <c r="U601" s="1882"/>
      <c r="V601" s="1882"/>
      <c r="W601" s="1882"/>
      <c r="X601" s="1882"/>
      <c r="Y601" s="1882"/>
      <c r="Z601" s="1882"/>
      <c r="AA601" s="1882"/>
      <c r="AB601" s="1882"/>
      <c r="AC601" s="1882"/>
      <c r="AD601" s="1882"/>
      <c r="AE601" s="1882"/>
      <c r="AF601" s="1882"/>
      <c r="AG601" s="1882"/>
      <c r="AH601" s="1882"/>
      <c r="AI601" s="1882"/>
      <c r="AJ601" s="1882"/>
      <c r="AK601" s="1882"/>
      <c r="AL601" s="1882"/>
      <c r="AM601" s="1882"/>
      <c r="AN601" s="1882"/>
      <c r="AO601" s="1882"/>
      <c r="AP601" s="1882"/>
      <c r="AQ601" s="1882"/>
      <c r="AR601" s="1882"/>
      <c r="AS601" s="1882"/>
      <c r="AT601" s="1882"/>
      <c r="AU601" s="1882"/>
      <c r="AV601" s="1882"/>
      <c r="AW601" s="1882"/>
      <c r="AX601" s="1882"/>
      <c r="AY601" s="1882"/>
      <c r="AZ601" s="1882"/>
      <c r="BA601" s="1882"/>
      <c r="BB601" s="1882"/>
      <c r="BC601" s="1882"/>
      <c r="BD601" s="1882"/>
      <c r="BE601" s="1882"/>
      <c r="BF601" s="1882"/>
      <c r="BG601" s="1882"/>
      <c r="BH601" s="1882"/>
      <c r="BI601" s="1882"/>
      <c r="BJ601" s="1882"/>
      <c r="BK601" s="1882"/>
      <c r="BL601" s="1882"/>
      <c r="BM601" s="1882"/>
      <c r="BN601" s="1882"/>
      <c r="BO601" s="1882"/>
      <c r="BQ601" s="1882"/>
      <c r="BR601" s="1882"/>
      <c r="BS601" s="1882"/>
      <c r="BT601" s="1882"/>
      <c r="BU601" s="1882"/>
      <c r="BV601" s="1882"/>
      <c r="BW601" s="1882"/>
      <c r="BX601" s="1882"/>
      <c r="BY601" s="1882"/>
      <c r="BZ601" s="1882"/>
      <c r="CA601" s="1882"/>
      <c r="CB601" s="1882"/>
      <c r="CC601" s="1882" t="s">
        <v>2451</v>
      </c>
      <c r="CH601" s="1882"/>
      <c r="CI601" s="1882">
        <v>725</v>
      </c>
      <c r="CJ601" s="1882" t="s">
        <v>2460</v>
      </c>
      <c r="CK601" s="1882" t="s">
        <v>8384</v>
      </c>
      <c r="CL601" s="1882">
        <v>-1.0055829999999999</v>
      </c>
      <c r="CM601" s="1882">
        <v>0</v>
      </c>
      <c r="CN601" s="1882">
        <v>0</v>
      </c>
      <c r="CP601" s="1882" t="s">
        <v>11615</v>
      </c>
    </row>
    <row r="602" spans="1:94">
      <c r="A602" s="1882" t="s">
        <v>8424</v>
      </c>
      <c r="B602" s="1882" t="s">
        <v>11616</v>
      </c>
      <c r="C602" s="1882" t="s">
        <v>8352</v>
      </c>
      <c r="D602" s="1882" t="s">
        <v>1627</v>
      </c>
      <c r="E602" s="1882" t="s">
        <v>8720</v>
      </c>
      <c r="F602" s="1882" t="s">
        <v>10175</v>
      </c>
      <c r="G602" s="1882" t="s">
        <v>8721</v>
      </c>
      <c r="H602" s="1882" t="s">
        <v>10180</v>
      </c>
      <c r="I602" s="1882" t="s">
        <v>10181</v>
      </c>
      <c r="J602" s="1882" t="s">
        <v>8508</v>
      </c>
      <c r="K602" s="1882" t="s">
        <v>8509</v>
      </c>
      <c r="L602" s="1882" t="s">
        <v>2459</v>
      </c>
      <c r="M602" s="1882" t="s">
        <v>2460</v>
      </c>
      <c r="N602" s="1882" t="s">
        <v>8724</v>
      </c>
      <c r="O602" s="1882" t="s">
        <v>764</v>
      </c>
      <c r="P602" s="1882" t="s">
        <v>9852</v>
      </c>
      <c r="Q602" s="520">
        <v>0</v>
      </c>
      <c r="R602" s="1882"/>
      <c r="S602" s="1882"/>
      <c r="T602" s="1882"/>
      <c r="U602" s="1882"/>
      <c r="V602" s="1882"/>
      <c r="W602" s="1882"/>
      <c r="X602" s="1882"/>
      <c r="Y602" s="1882"/>
      <c r="Z602" s="1882"/>
      <c r="AA602" s="1882"/>
      <c r="AB602" s="1882"/>
      <c r="AC602" s="1882"/>
      <c r="AD602" s="1882"/>
      <c r="AE602" s="1882"/>
      <c r="AF602" s="1882"/>
      <c r="AG602" s="1882"/>
      <c r="AH602" s="1882"/>
      <c r="AI602" s="1882"/>
      <c r="AJ602" s="1882"/>
      <c r="AK602" s="1882"/>
      <c r="AL602" s="1882"/>
      <c r="AM602" s="1882"/>
      <c r="AN602" s="1882"/>
      <c r="AO602" s="1882"/>
      <c r="AP602" s="1882"/>
      <c r="AQ602" s="1882"/>
      <c r="AR602" s="1882"/>
      <c r="AS602" s="1882"/>
      <c r="AT602" s="1882"/>
      <c r="AU602" s="1882"/>
      <c r="AV602" s="1882"/>
      <c r="AW602" s="1882"/>
      <c r="AX602" s="1882"/>
      <c r="AY602" s="1882"/>
      <c r="AZ602" s="1882"/>
      <c r="BA602" s="1882"/>
      <c r="BB602" s="1882"/>
      <c r="BC602" s="1882"/>
      <c r="BD602" s="1882"/>
      <c r="BE602" s="1882"/>
      <c r="BF602" s="1882"/>
      <c r="BG602" s="1882"/>
      <c r="BH602" s="1882"/>
      <c r="BI602" s="1882"/>
      <c r="BJ602" s="1882"/>
      <c r="BK602" s="1882"/>
      <c r="BL602" s="1882"/>
      <c r="BM602" s="1882"/>
      <c r="BN602" s="1882"/>
      <c r="BO602" s="1882"/>
      <c r="BQ602" s="1882"/>
      <c r="BR602" s="1882"/>
      <c r="BS602" s="1882"/>
      <c r="BT602" s="1882"/>
      <c r="BU602" s="1882"/>
      <c r="BV602" s="1882"/>
      <c r="BW602" s="1882"/>
      <c r="BX602" s="1882"/>
      <c r="BY602" s="1882"/>
      <c r="BZ602" s="1882"/>
      <c r="CA602" s="1882"/>
      <c r="CB602" s="1882"/>
      <c r="CC602" s="1882" t="s">
        <v>2451</v>
      </c>
      <c r="CH602" s="1882"/>
      <c r="CI602" s="1882">
        <v>3766</v>
      </c>
      <c r="CJ602" s="1882" t="s">
        <v>2459</v>
      </c>
      <c r="CK602" s="1882" t="s">
        <v>8376</v>
      </c>
      <c r="CL602" s="1882">
        <v>3.7568630000000001</v>
      </c>
      <c r="CM602" s="1882">
        <v>0</v>
      </c>
      <c r="CN602" s="1882">
        <v>0</v>
      </c>
      <c r="CP602" s="1882" t="s">
        <v>11617</v>
      </c>
    </row>
    <row r="603" spans="1:94">
      <c r="A603" s="1882" t="s">
        <v>8424</v>
      </c>
      <c r="B603" s="1882" t="s">
        <v>11618</v>
      </c>
      <c r="C603" s="1882" t="s">
        <v>8352</v>
      </c>
      <c r="D603" s="1882" t="s">
        <v>1627</v>
      </c>
      <c r="E603" s="1882" t="s">
        <v>8720</v>
      </c>
      <c r="F603" s="1882" t="s">
        <v>10175</v>
      </c>
      <c r="G603" s="1882" t="s">
        <v>8728</v>
      </c>
      <c r="H603" s="1882" t="s">
        <v>10184</v>
      </c>
      <c r="I603" s="1882" t="s">
        <v>10185</v>
      </c>
      <c r="J603" s="1882" t="s">
        <v>8508</v>
      </c>
      <c r="K603" s="1882" t="s">
        <v>8509</v>
      </c>
      <c r="L603" s="1882"/>
      <c r="M603" s="1882"/>
      <c r="N603" s="1882" t="s">
        <v>9518</v>
      </c>
      <c r="O603" s="1882" t="s">
        <v>764</v>
      </c>
      <c r="P603" s="1882" t="s">
        <v>10186</v>
      </c>
      <c r="Q603" s="520">
        <v>0</v>
      </c>
      <c r="R603" s="1882"/>
      <c r="S603" s="1882"/>
      <c r="T603" s="1882"/>
      <c r="U603" s="1882"/>
      <c r="V603" s="1882"/>
      <c r="W603" s="1882"/>
      <c r="X603" s="1882"/>
      <c r="Y603" s="1882"/>
      <c r="Z603" s="1882"/>
      <c r="AA603" s="1882"/>
      <c r="AB603" s="1882"/>
      <c r="AC603" s="1882"/>
      <c r="AD603" s="1882"/>
      <c r="AE603" s="1882"/>
      <c r="AF603" s="1882"/>
      <c r="AG603" s="1882"/>
      <c r="AH603" s="1882"/>
      <c r="AI603" s="1882"/>
      <c r="AJ603" s="1882"/>
      <c r="AK603" s="1882"/>
      <c r="AL603" s="1882"/>
      <c r="AM603" s="1882"/>
      <c r="AN603" s="1882"/>
      <c r="AO603" s="1882"/>
      <c r="AP603" s="1882"/>
      <c r="AQ603" s="1882"/>
      <c r="AR603" s="1882"/>
      <c r="AS603" s="1882"/>
      <c r="AT603" s="1882"/>
      <c r="AU603" s="1882"/>
      <c r="AV603" s="1882"/>
      <c r="AW603" s="1882"/>
      <c r="AX603" s="1882"/>
      <c r="AY603" s="1882"/>
      <c r="AZ603" s="1882"/>
      <c r="BA603" s="1882"/>
      <c r="BB603" s="1882"/>
      <c r="BC603" s="1882"/>
      <c r="BD603" s="1882"/>
      <c r="BE603" s="1882"/>
      <c r="BF603" s="1882"/>
      <c r="BG603" s="1882"/>
      <c r="BH603" s="1882"/>
      <c r="BI603" s="1882"/>
      <c r="BJ603" s="1882"/>
      <c r="BK603" s="1882"/>
      <c r="BL603" s="1882"/>
      <c r="BM603" s="1882"/>
      <c r="BN603" s="1882"/>
      <c r="BO603" s="1882"/>
      <c r="BQ603" s="1882"/>
      <c r="BR603" s="1882"/>
      <c r="BS603" s="1882"/>
      <c r="BT603" s="1882"/>
      <c r="BU603" s="1882"/>
      <c r="BV603" s="1882"/>
      <c r="BW603" s="1882"/>
      <c r="BX603" s="1882"/>
      <c r="BY603" s="1882"/>
      <c r="BZ603" s="1882"/>
      <c r="CA603" s="1882"/>
      <c r="CB603" s="1882"/>
      <c r="CC603" s="1882" t="s">
        <v>2451</v>
      </c>
      <c r="CH603" s="1882"/>
      <c r="CI603" s="1882">
        <v>5</v>
      </c>
      <c r="CJ603" s="1882" t="s">
        <v>2451</v>
      </c>
      <c r="CK603" s="1882">
        <v>0</v>
      </c>
      <c r="CL603" s="1882">
        <v>0</v>
      </c>
      <c r="CM603" s="1882">
        <v>0</v>
      </c>
      <c r="CN603" s="1882">
        <v>0</v>
      </c>
      <c r="CP603" s="1882" t="s">
        <v>11619</v>
      </c>
    </row>
    <row r="604" spans="1:94">
      <c r="A604" s="1882" t="s">
        <v>8424</v>
      </c>
      <c r="B604" s="1882" t="s">
        <v>11620</v>
      </c>
      <c r="C604" s="1882" t="s">
        <v>8352</v>
      </c>
      <c r="D604" s="1882" t="s">
        <v>1627</v>
      </c>
      <c r="E604" s="1882" t="s">
        <v>8720</v>
      </c>
      <c r="F604" s="1882" t="s">
        <v>10175</v>
      </c>
      <c r="G604" s="1882" t="s">
        <v>8734</v>
      </c>
      <c r="H604" s="1882" t="s">
        <v>10189</v>
      </c>
      <c r="I604" s="1882" t="s">
        <v>10190</v>
      </c>
      <c r="J604" s="1882" t="s">
        <v>8519</v>
      </c>
      <c r="K604" s="1882" t="s">
        <v>8855</v>
      </c>
      <c r="L604" s="1882"/>
      <c r="M604" s="1882"/>
      <c r="N604" s="1882" t="s">
        <v>8787</v>
      </c>
      <c r="O604" s="1882" t="s">
        <v>764</v>
      </c>
      <c r="P604" s="1882" t="s">
        <v>10191</v>
      </c>
      <c r="Q604" s="520">
        <v>0</v>
      </c>
      <c r="R604" s="1882"/>
      <c r="S604" s="1882"/>
      <c r="T604" s="1882"/>
      <c r="U604" s="1882"/>
      <c r="V604" s="1882"/>
      <c r="W604" s="1882"/>
      <c r="X604" s="1882"/>
      <c r="Y604" s="1882"/>
      <c r="Z604" s="1882"/>
      <c r="AA604" s="1882"/>
      <c r="AB604" s="1882"/>
      <c r="AC604" s="1882"/>
      <c r="AD604" s="1882"/>
      <c r="AE604" s="1882"/>
      <c r="AF604" s="1882"/>
      <c r="AG604" s="1882"/>
      <c r="AH604" s="1882"/>
      <c r="AI604" s="1882"/>
      <c r="AJ604" s="1882"/>
      <c r="AK604" s="1882"/>
      <c r="AL604" s="1882"/>
      <c r="AM604" s="1882"/>
      <c r="AN604" s="1882"/>
      <c r="AO604" s="1882"/>
      <c r="AP604" s="1882"/>
      <c r="AQ604" s="1882"/>
      <c r="AR604" s="1882"/>
      <c r="AS604" s="1882"/>
      <c r="AT604" s="1882"/>
      <c r="AU604" s="1882"/>
      <c r="AV604" s="1882"/>
      <c r="AW604" s="1882"/>
      <c r="AX604" s="1882"/>
      <c r="AY604" s="1882"/>
      <c r="AZ604" s="1882"/>
      <c r="BA604" s="1882"/>
      <c r="BB604" s="1882"/>
      <c r="BC604" s="1882"/>
      <c r="BD604" s="1882"/>
      <c r="BE604" s="1882"/>
      <c r="BF604" s="1882"/>
      <c r="BG604" s="1882"/>
      <c r="BH604" s="1882"/>
      <c r="BI604" s="1882"/>
      <c r="BJ604" s="1882"/>
      <c r="BK604" s="1882"/>
      <c r="BL604" s="1882"/>
      <c r="BM604" s="1882"/>
      <c r="BN604" s="1882"/>
      <c r="BO604" s="1882"/>
      <c r="BQ604" s="1882"/>
      <c r="BR604" s="1882"/>
      <c r="BS604" s="1882"/>
      <c r="BT604" s="1882"/>
      <c r="BU604" s="1882"/>
      <c r="BV604" s="1882"/>
      <c r="BW604" s="1882"/>
      <c r="BX604" s="1882"/>
      <c r="BY604" s="1882"/>
      <c r="BZ604" s="1882"/>
      <c r="CA604" s="1882"/>
      <c r="CB604" s="1882"/>
      <c r="CC604" s="1882" t="s">
        <v>2451</v>
      </c>
      <c r="CH604" s="1882"/>
      <c r="CI604" s="1882">
        <v>46898</v>
      </c>
      <c r="CJ604" s="1882" t="s">
        <v>2459</v>
      </c>
      <c r="CK604" s="1882">
        <v>0</v>
      </c>
      <c r="CL604" s="1882">
        <v>0</v>
      </c>
      <c r="CM604" s="1882">
        <v>0</v>
      </c>
      <c r="CN604" s="1882">
        <v>0</v>
      </c>
      <c r="CP604" s="1882" t="s">
        <v>11621</v>
      </c>
    </row>
    <row r="605" spans="1:94">
      <c r="A605" s="1882" t="s">
        <v>8424</v>
      </c>
      <c r="B605" s="1882" t="s">
        <v>11622</v>
      </c>
      <c r="C605" s="1882" t="s">
        <v>8352</v>
      </c>
      <c r="D605" s="1882" t="s">
        <v>1627</v>
      </c>
      <c r="E605" s="1882" t="s">
        <v>8720</v>
      </c>
      <c r="F605" s="1882" t="s">
        <v>10175</v>
      </c>
      <c r="G605" s="1882" t="s">
        <v>10199</v>
      </c>
      <c r="H605" s="1882" t="s">
        <v>10200</v>
      </c>
      <c r="I605" s="1882" t="s">
        <v>10201</v>
      </c>
      <c r="J605" s="1882" t="s">
        <v>8539</v>
      </c>
      <c r="K605" s="1882"/>
      <c r="L605" s="1882"/>
      <c r="M605" s="1882"/>
      <c r="N605" s="1882" t="s">
        <v>8673</v>
      </c>
      <c r="O605" s="1882" t="s">
        <v>764</v>
      </c>
      <c r="P605" s="1882" t="s">
        <v>10202</v>
      </c>
      <c r="Q605" s="520">
        <v>0</v>
      </c>
      <c r="R605" s="1882"/>
      <c r="S605" s="1882"/>
      <c r="T605" s="1882"/>
      <c r="U605" s="1882"/>
      <c r="V605" s="1882"/>
      <c r="W605" s="1882"/>
      <c r="X605" s="1882"/>
      <c r="Y605" s="1882"/>
      <c r="Z605" s="1882"/>
      <c r="AA605" s="1882"/>
      <c r="AB605" s="1882"/>
      <c r="AC605" s="1882"/>
      <c r="AD605" s="1882"/>
      <c r="AE605" s="1882"/>
      <c r="AF605" s="1882"/>
      <c r="AG605" s="1882"/>
      <c r="AH605" s="1882"/>
      <c r="AI605" s="1882"/>
      <c r="AJ605" s="1882"/>
      <c r="AK605" s="1882"/>
      <c r="AL605" s="1882"/>
      <c r="AM605" s="1882"/>
      <c r="AN605" s="1882"/>
      <c r="AO605" s="1882"/>
      <c r="AP605" s="1882"/>
      <c r="AQ605" s="1882"/>
      <c r="AR605" s="1882"/>
      <c r="AS605" s="1882"/>
      <c r="AT605" s="1882"/>
      <c r="AU605" s="1882"/>
      <c r="AV605" s="1882"/>
      <c r="AW605" s="1882"/>
      <c r="AX605" s="1882"/>
      <c r="AY605" s="1882"/>
      <c r="AZ605" s="1882"/>
      <c r="BA605" s="1882"/>
      <c r="BB605" s="1882"/>
      <c r="BC605" s="1882"/>
      <c r="BD605" s="1882"/>
      <c r="BE605" s="1882"/>
      <c r="BF605" s="1882"/>
      <c r="BG605" s="1882"/>
      <c r="BH605" s="1882"/>
      <c r="BI605" s="1882"/>
      <c r="BJ605" s="1882"/>
      <c r="BK605" s="1882"/>
      <c r="BL605" s="1882"/>
      <c r="BM605" s="1882"/>
      <c r="BN605" s="1882"/>
      <c r="BO605" s="1882"/>
      <c r="BQ605" s="1882"/>
      <c r="BR605" s="1882"/>
      <c r="BS605" s="1882"/>
      <c r="BT605" s="1882"/>
      <c r="BU605" s="1882"/>
      <c r="BV605" s="1882"/>
      <c r="BW605" s="1882"/>
      <c r="BX605" s="1882"/>
      <c r="BY605" s="1882"/>
      <c r="BZ605" s="1882"/>
      <c r="CA605" s="1882"/>
      <c r="CB605" s="1882"/>
      <c r="CC605" s="1882" t="s">
        <v>2451</v>
      </c>
      <c r="CH605" s="1882"/>
      <c r="CI605" s="1882">
        <v>19</v>
      </c>
      <c r="CJ605" s="1882" t="s">
        <v>2451</v>
      </c>
      <c r="CK605" s="1882">
        <v>0</v>
      </c>
      <c r="CL605" s="1882">
        <v>0</v>
      </c>
      <c r="CM605" s="1882">
        <v>0</v>
      </c>
      <c r="CN605" s="1882">
        <v>0</v>
      </c>
      <c r="CP605" s="1882" t="s">
        <v>11623</v>
      </c>
    </row>
    <row r="606" spans="1:94">
      <c r="A606" s="1882" t="s">
        <v>8424</v>
      </c>
      <c r="B606" s="1882" t="s">
        <v>11624</v>
      </c>
      <c r="C606" s="1882" t="s">
        <v>8352</v>
      </c>
      <c r="D606" s="1882" t="s">
        <v>1627</v>
      </c>
      <c r="E606" s="1882" t="s">
        <v>8720</v>
      </c>
      <c r="F606" s="1882" t="s">
        <v>10138</v>
      </c>
      <c r="G606" s="1882" t="s">
        <v>8741</v>
      </c>
      <c r="H606" s="1882" t="s">
        <v>10205</v>
      </c>
      <c r="I606" s="1882" t="s">
        <v>10206</v>
      </c>
      <c r="J606" s="1882" t="s">
        <v>8508</v>
      </c>
      <c r="K606" s="1882" t="s">
        <v>8509</v>
      </c>
      <c r="L606" s="1882" t="s">
        <v>2459</v>
      </c>
      <c r="M606" s="1882"/>
      <c r="N606" s="1882" t="s">
        <v>8599</v>
      </c>
      <c r="O606" s="1882" t="s">
        <v>732</v>
      </c>
      <c r="P606" s="1882" t="s">
        <v>8696</v>
      </c>
      <c r="Q606" s="520">
        <v>0</v>
      </c>
      <c r="R606" s="1882"/>
      <c r="S606" s="1882"/>
      <c r="T606" s="1882"/>
      <c r="U606" s="1882"/>
      <c r="V606" s="1882"/>
      <c r="W606" s="1882"/>
      <c r="X606" s="1882"/>
      <c r="Y606" s="1882"/>
      <c r="Z606" s="1882"/>
      <c r="AA606" s="1882"/>
      <c r="AB606" s="1882"/>
      <c r="AC606" s="1882"/>
      <c r="AD606" s="1882"/>
      <c r="AE606" s="1882"/>
      <c r="AF606" s="1882"/>
      <c r="AG606" s="1882"/>
      <c r="AH606" s="1882"/>
      <c r="AI606" s="1882"/>
      <c r="AJ606" s="1882"/>
      <c r="AK606" s="1882"/>
      <c r="AL606" s="1882"/>
      <c r="AM606" s="1882"/>
      <c r="AN606" s="1882"/>
      <c r="AO606" s="1882"/>
      <c r="AP606" s="1882"/>
      <c r="AQ606" s="1882"/>
      <c r="AR606" s="1882"/>
      <c r="AS606" s="1882"/>
      <c r="AT606" s="1882"/>
      <c r="AU606" s="1882"/>
      <c r="AV606" s="1882"/>
      <c r="AW606" s="1882"/>
      <c r="AX606" s="1882"/>
      <c r="AY606" s="1882"/>
      <c r="AZ606" s="1882"/>
      <c r="BA606" s="1882"/>
      <c r="BB606" s="1882"/>
      <c r="BC606" s="1882"/>
      <c r="BD606" s="1882"/>
      <c r="BE606" s="1882"/>
      <c r="BF606" s="1882"/>
      <c r="BG606" s="1882"/>
      <c r="BH606" s="1882"/>
      <c r="BI606" s="1882"/>
      <c r="BJ606" s="1882"/>
      <c r="BK606" s="1882"/>
      <c r="BL606" s="1882"/>
      <c r="BM606" s="1882"/>
      <c r="BN606" s="1882"/>
      <c r="BO606" s="1882"/>
      <c r="BQ606" s="1882"/>
      <c r="BR606" s="1882"/>
      <c r="BS606" s="1882"/>
      <c r="BT606" s="1882"/>
      <c r="BU606" s="1882"/>
      <c r="BV606" s="1882"/>
      <c r="BW606" s="1882"/>
      <c r="BX606" s="1882"/>
      <c r="BY606" s="1882"/>
      <c r="BZ606" s="1882"/>
      <c r="CA606" s="1882"/>
      <c r="CB606" s="1882"/>
      <c r="CC606" s="1882" t="s">
        <v>2451</v>
      </c>
      <c r="CH606" s="1882"/>
      <c r="CI606" s="1882">
        <v>63</v>
      </c>
      <c r="CJ606" s="1882" t="s">
        <v>2459</v>
      </c>
      <c r="CK606" s="1882" t="s">
        <v>8376</v>
      </c>
      <c r="CL606" s="1882">
        <v>0.1245</v>
      </c>
      <c r="CM606" s="1882">
        <v>0</v>
      </c>
      <c r="CN606" s="1882">
        <v>0</v>
      </c>
      <c r="CP606" s="1882" t="s">
        <v>11625</v>
      </c>
    </row>
    <row r="607" spans="1:94">
      <c r="A607" s="1882" t="s">
        <v>8424</v>
      </c>
      <c r="B607" s="1882" t="s">
        <v>11626</v>
      </c>
      <c r="C607" s="1882" t="s">
        <v>8352</v>
      </c>
      <c r="D607" s="1882" t="s">
        <v>1627</v>
      </c>
      <c r="E607" s="1882" t="s">
        <v>8720</v>
      </c>
      <c r="F607" s="1882" t="s">
        <v>10143</v>
      </c>
      <c r="G607" s="1882" t="s">
        <v>8746</v>
      </c>
      <c r="H607" s="1882" t="s">
        <v>10209</v>
      </c>
      <c r="I607" s="1882" t="s">
        <v>10210</v>
      </c>
      <c r="J607" s="1882" t="s">
        <v>8508</v>
      </c>
      <c r="K607" s="1882" t="s">
        <v>8509</v>
      </c>
      <c r="L607" s="1882"/>
      <c r="M607" s="1882" t="s">
        <v>2460</v>
      </c>
      <c r="N607" s="1882" t="s">
        <v>8673</v>
      </c>
      <c r="O607" s="1882" t="s">
        <v>764</v>
      </c>
      <c r="P607" s="1882" t="s">
        <v>10211</v>
      </c>
      <c r="Q607" s="520">
        <v>0</v>
      </c>
      <c r="R607" s="1882"/>
      <c r="S607" s="1882"/>
      <c r="T607" s="1882"/>
      <c r="U607" s="1882"/>
      <c r="V607" s="1882"/>
      <c r="W607" s="1882"/>
      <c r="X607" s="1882"/>
      <c r="Y607" s="1882"/>
      <c r="Z607" s="1882"/>
      <c r="AA607" s="1882"/>
      <c r="AB607" s="1882"/>
      <c r="AC607" s="1882"/>
      <c r="AD607" s="1882"/>
      <c r="AE607" s="1882"/>
      <c r="AF607" s="1882"/>
      <c r="AG607" s="1882"/>
      <c r="AH607" s="1882"/>
      <c r="AI607" s="1882"/>
      <c r="AJ607" s="1882"/>
      <c r="AK607" s="1882"/>
      <c r="AL607" s="1882"/>
      <c r="AM607" s="1882"/>
      <c r="AN607" s="1882"/>
      <c r="AO607" s="1882"/>
      <c r="AP607" s="1882"/>
      <c r="AQ607" s="1882"/>
      <c r="AR607" s="1882"/>
      <c r="AS607" s="1882"/>
      <c r="AT607" s="1882"/>
      <c r="AU607" s="1882"/>
      <c r="AV607" s="1882"/>
      <c r="AW607" s="1882"/>
      <c r="AX607" s="1882"/>
      <c r="AY607" s="1882"/>
      <c r="AZ607" s="1882"/>
      <c r="BA607" s="1882"/>
      <c r="BB607" s="1882"/>
      <c r="BC607" s="1882"/>
      <c r="BD607" s="1882"/>
      <c r="BE607" s="1882"/>
      <c r="BF607" s="1882"/>
      <c r="BG607" s="1882"/>
      <c r="BH607" s="1882"/>
      <c r="BI607" s="1882"/>
      <c r="BJ607" s="1882"/>
      <c r="BK607" s="1882"/>
      <c r="BL607" s="1882"/>
      <c r="BM607" s="1882"/>
      <c r="BN607" s="1882"/>
      <c r="BO607" s="1882"/>
      <c r="BQ607" s="1882"/>
      <c r="BR607" s="1882"/>
      <c r="BS607" s="1882"/>
      <c r="BT607" s="1882"/>
      <c r="BU607" s="1882"/>
      <c r="BV607" s="1882"/>
      <c r="BW607" s="1882"/>
      <c r="BX607" s="1882"/>
      <c r="BY607" s="1882"/>
      <c r="BZ607" s="1882"/>
      <c r="CA607" s="1882"/>
      <c r="CB607" s="1882"/>
      <c r="CC607" s="1882" t="s">
        <v>2451</v>
      </c>
      <c r="CH607" s="1882"/>
      <c r="CI607" s="1882">
        <v>53</v>
      </c>
      <c r="CJ607" s="1882" t="s">
        <v>2451</v>
      </c>
      <c r="CK607" s="1882">
        <v>0</v>
      </c>
      <c r="CL607" s="1882">
        <v>0</v>
      </c>
      <c r="CM607" s="1882">
        <v>0</v>
      </c>
      <c r="CN607" s="1882">
        <v>0</v>
      </c>
      <c r="CP607" s="1882" t="s">
        <v>11627</v>
      </c>
    </row>
    <row r="608" spans="1:94">
      <c r="A608" s="1882" t="s">
        <v>8424</v>
      </c>
      <c r="B608" s="1882" t="s">
        <v>11628</v>
      </c>
      <c r="C608" s="1882" t="s">
        <v>8352</v>
      </c>
      <c r="D608" s="1882" t="s">
        <v>1627</v>
      </c>
      <c r="E608" s="1882" t="s">
        <v>8720</v>
      </c>
      <c r="F608" s="1882" t="s">
        <v>10143</v>
      </c>
      <c r="G608" s="1882" t="s">
        <v>8752</v>
      </c>
      <c r="H608" s="1882" t="s">
        <v>10214</v>
      </c>
      <c r="I608" s="1882" t="s">
        <v>10215</v>
      </c>
      <c r="J608" s="1882" t="s">
        <v>8508</v>
      </c>
      <c r="K608" s="1882" t="s">
        <v>8509</v>
      </c>
      <c r="L608" s="1882" t="s">
        <v>2459</v>
      </c>
      <c r="M608" s="1882" t="s">
        <v>2460</v>
      </c>
      <c r="N608" s="1882" t="s">
        <v>8760</v>
      </c>
      <c r="O608" s="1882" t="s">
        <v>764</v>
      </c>
      <c r="P608" s="1882" t="s">
        <v>8761</v>
      </c>
      <c r="Q608" s="520">
        <v>0</v>
      </c>
      <c r="R608" s="1882"/>
      <c r="S608" s="1882"/>
      <c r="T608" s="1882"/>
      <c r="U608" s="1882"/>
      <c r="V608" s="1882"/>
      <c r="W608" s="1882"/>
      <c r="X608" s="1882"/>
      <c r="Y608" s="1882"/>
      <c r="Z608" s="1882"/>
      <c r="AA608" s="1882"/>
      <c r="AB608" s="1882"/>
      <c r="AC608" s="1882"/>
      <c r="AD608" s="1882"/>
      <c r="AE608" s="1882"/>
      <c r="AF608" s="1882"/>
      <c r="AG608" s="1882"/>
      <c r="AH608" s="1882"/>
      <c r="AI608" s="1882"/>
      <c r="AJ608" s="1882"/>
      <c r="AK608" s="1882"/>
      <c r="AL608" s="1882"/>
      <c r="AM608" s="1882"/>
      <c r="AN608" s="1882"/>
      <c r="AO608" s="1882"/>
      <c r="AP608" s="1882"/>
      <c r="AQ608" s="1882"/>
      <c r="AR608" s="1882"/>
      <c r="AS608" s="1882"/>
      <c r="AT608" s="1882"/>
      <c r="AU608" s="1882"/>
      <c r="AV608" s="1882"/>
      <c r="AW608" s="1882"/>
      <c r="AX608" s="1882"/>
      <c r="AY608" s="1882"/>
      <c r="AZ608" s="1882"/>
      <c r="BA608" s="1882"/>
      <c r="BB608" s="1882"/>
      <c r="BC608" s="1882"/>
      <c r="BD608" s="1882"/>
      <c r="BE608" s="1882"/>
      <c r="BF608" s="1882"/>
      <c r="BG608" s="1882"/>
      <c r="BH608" s="1882"/>
      <c r="BI608" s="1882"/>
      <c r="BJ608" s="1882"/>
      <c r="BK608" s="1882"/>
      <c r="BL608" s="1882"/>
      <c r="BM608" s="1882"/>
      <c r="BN608" s="1882"/>
      <c r="BO608" s="1882"/>
      <c r="BQ608" s="1882"/>
      <c r="BR608" s="1882"/>
      <c r="BS608" s="1882"/>
      <c r="BT608" s="1882"/>
      <c r="BU608" s="1882"/>
      <c r="BV608" s="1882"/>
      <c r="BW608" s="1882"/>
      <c r="BX608" s="1882"/>
      <c r="BY608" s="1882"/>
      <c r="BZ608" s="1882"/>
      <c r="CA608" s="1882"/>
      <c r="CB608" s="1882"/>
      <c r="CC608" s="1882" t="s">
        <v>2451</v>
      </c>
      <c r="CH608" s="1882"/>
      <c r="CI608" s="1882">
        <v>328</v>
      </c>
      <c r="CJ608" s="1882" t="s">
        <v>2459</v>
      </c>
      <c r="CK608" s="1882" t="s">
        <v>8376</v>
      </c>
      <c r="CL608" s="1882">
        <v>0.46828599999999998</v>
      </c>
      <c r="CM608" s="1882">
        <v>0</v>
      </c>
      <c r="CN608" s="1882">
        <v>0</v>
      </c>
      <c r="CP608" s="1882" t="s">
        <v>11629</v>
      </c>
    </row>
    <row r="609" spans="1:94">
      <c r="A609" s="1882" t="s">
        <v>8424</v>
      </c>
      <c r="B609" s="1882" t="s">
        <v>11630</v>
      </c>
      <c r="C609" s="1882" t="s">
        <v>8352</v>
      </c>
      <c r="D609" s="1882" t="s">
        <v>1627</v>
      </c>
      <c r="E609" s="1882" t="s">
        <v>8720</v>
      </c>
      <c r="F609" s="1882" t="s">
        <v>10143</v>
      </c>
      <c r="G609" s="1882" t="s">
        <v>8757</v>
      </c>
      <c r="H609" s="1882" t="s">
        <v>10218</v>
      </c>
      <c r="I609" s="1882" t="s">
        <v>10219</v>
      </c>
      <c r="J609" s="1882" t="s">
        <v>8519</v>
      </c>
      <c r="K609" s="1882" t="s">
        <v>8855</v>
      </c>
      <c r="L609" s="1882"/>
      <c r="M609" s="1882" t="s">
        <v>2460</v>
      </c>
      <c r="N609" s="1882" t="s">
        <v>8673</v>
      </c>
      <c r="O609" s="1882" t="s">
        <v>732</v>
      </c>
      <c r="P609" s="1882" t="s">
        <v>9868</v>
      </c>
      <c r="Q609" s="520">
        <v>2</v>
      </c>
      <c r="R609" s="1882"/>
      <c r="S609" s="1882"/>
      <c r="T609" s="1882"/>
      <c r="U609" s="1882"/>
      <c r="V609" s="1882"/>
      <c r="W609" s="1882"/>
      <c r="X609" s="1882"/>
      <c r="Y609" s="1882"/>
      <c r="Z609" s="1882"/>
      <c r="AA609" s="1882"/>
      <c r="AB609" s="1882"/>
      <c r="AC609" s="1882"/>
      <c r="AD609" s="1882"/>
      <c r="AE609" s="1882"/>
      <c r="AF609" s="1882"/>
      <c r="AG609" s="1882"/>
      <c r="AH609" s="1882"/>
      <c r="AI609" s="1882"/>
      <c r="AJ609" s="1882"/>
      <c r="AK609" s="1882"/>
      <c r="AL609" s="1882"/>
      <c r="AM609" s="1882"/>
      <c r="AN609" s="1882"/>
      <c r="AO609" s="1882"/>
      <c r="AP609" s="1882"/>
      <c r="AQ609" s="1882"/>
      <c r="AR609" s="1882"/>
      <c r="AS609" s="1882"/>
      <c r="AT609" s="1882"/>
      <c r="AU609" s="1882"/>
      <c r="AV609" s="1882"/>
      <c r="AW609" s="1882"/>
      <c r="AX609" s="1882"/>
      <c r="AY609" s="1882"/>
      <c r="AZ609" s="1882"/>
      <c r="BA609" s="1882"/>
      <c r="BB609" s="1882"/>
      <c r="BC609" s="1882"/>
      <c r="BD609" s="1882"/>
      <c r="BE609" s="1882"/>
      <c r="BF609" s="1882"/>
      <c r="BG609" s="1882"/>
      <c r="BH609" s="1882"/>
      <c r="BI609" s="1882"/>
      <c r="BJ609" s="1882"/>
      <c r="BK609" s="1882"/>
      <c r="BL609" s="1882"/>
      <c r="BM609" s="1882"/>
      <c r="BN609" s="1882"/>
      <c r="BO609" s="1882"/>
      <c r="BQ609" s="1882"/>
      <c r="BR609" s="1882"/>
      <c r="BS609" s="1882"/>
      <c r="BT609" s="1882"/>
      <c r="BU609" s="1882"/>
      <c r="BV609" s="1882"/>
      <c r="BW609" s="1882"/>
      <c r="BX609" s="1882"/>
      <c r="BY609" s="1882"/>
      <c r="BZ609" s="1882"/>
      <c r="CA609" s="1882"/>
      <c r="CB609" s="1882"/>
      <c r="CC609" s="1882" t="s">
        <v>2451</v>
      </c>
      <c r="CH609" s="1882"/>
      <c r="CI609" s="1882">
        <v>97.69</v>
      </c>
      <c r="CJ609" s="1882" t="s">
        <v>2460</v>
      </c>
      <c r="CK609" s="1882" t="s">
        <v>8388</v>
      </c>
      <c r="CL609" s="1882">
        <v>0</v>
      </c>
      <c r="CM609" s="1882">
        <v>0</v>
      </c>
      <c r="CN609" s="1882">
        <v>0</v>
      </c>
      <c r="CP609" s="1882" t="s">
        <v>11631</v>
      </c>
    </row>
    <row r="610" spans="1:94">
      <c r="A610" s="1882" t="s">
        <v>8424</v>
      </c>
      <c r="B610" s="1882" t="s">
        <v>11632</v>
      </c>
      <c r="C610" s="1882" t="s">
        <v>8352</v>
      </c>
      <c r="D610" s="1882" t="s">
        <v>1627</v>
      </c>
      <c r="E610" s="1882" t="s">
        <v>8720</v>
      </c>
      <c r="F610" s="1882" t="s">
        <v>10143</v>
      </c>
      <c r="G610" s="1882" t="s">
        <v>8764</v>
      </c>
      <c r="H610" s="1882" t="s">
        <v>10222</v>
      </c>
      <c r="I610" s="1882" t="s">
        <v>10223</v>
      </c>
      <c r="J610" s="1882" t="s">
        <v>8508</v>
      </c>
      <c r="K610" s="1882" t="s">
        <v>8509</v>
      </c>
      <c r="L610" s="1882"/>
      <c r="M610" s="1882"/>
      <c r="N610" s="1882" t="s">
        <v>8666</v>
      </c>
      <c r="O610" s="1882" t="s">
        <v>764</v>
      </c>
      <c r="P610" s="1882" t="s">
        <v>10156</v>
      </c>
      <c r="Q610" s="520">
        <v>0</v>
      </c>
      <c r="R610" s="1882"/>
      <c r="S610" s="1882"/>
      <c r="T610" s="1882"/>
      <c r="U610" s="1882"/>
      <c r="V610" s="1882"/>
      <c r="W610" s="1882"/>
      <c r="X610" s="1882"/>
      <c r="Y610" s="1882"/>
      <c r="Z610" s="1882"/>
      <c r="AA610" s="1882"/>
      <c r="AB610" s="1882"/>
      <c r="AC610" s="1882"/>
      <c r="AD610" s="1882"/>
      <c r="AE610" s="1882"/>
      <c r="AF610" s="1882"/>
      <c r="AG610" s="1882"/>
      <c r="AH610" s="1882"/>
      <c r="AI610" s="1882"/>
      <c r="AJ610" s="1882"/>
      <c r="AK610" s="1882"/>
      <c r="AL610" s="1882"/>
      <c r="AM610" s="1882"/>
      <c r="AN610" s="1882"/>
      <c r="AO610" s="1882"/>
      <c r="AP610" s="1882"/>
      <c r="AQ610" s="1882"/>
      <c r="AR610" s="1882"/>
      <c r="AS610" s="1882"/>
      <c r="AT610" s="1882"/>
      <c r="AU610" s="1882"/>
      <c r="AV610" s="1882"/>
      <c r="AW610" s="1882"/>
      <c r="AX610" s="1882"/>
      <c r="AY610" s="1882"/>
      <c r="AZ610" s="1882"/>
      <c r="BA610" s="1882"/>
      <c r="BB610" s="1882"/>
      <c r="BC610" s="1882"/>
      <c r="BD610" s="1882"/>
      <c r="BE610" s="1882"/>
      <c r="BF610" s="1882"/>
      <c r="BG610" s="1882"/>
      <c r="BH610" s="1882"/>
      <c r="BI610" s="1882"/>
      <c r="BJ610" s="1882"/>
      <c r="BK610" s="1882"/>
      <c r="BL610" s="1882"/>
      <c r="BM610" s="1882"/>
      <c r="BN610" s="1882"/>
      <c r="BO610" s="1882"/>
      <c r="BQ610" s="1882"/>
      <c r="BR610" s="1882"/>
      <c r="BS610" s="1882"/>
      <c r="BT610" s="1882"/>
      <c r="BU610" s="1882"/>
      <c r="BV610" s="1882"/>
      <c r="BW610" s="1882"/>
      <c r="BX610" s="1882"/>
      <c r="BY610" s="1882"/>
      <c r="BZ610" s="1882"/>
      <c r="CA610" s="1882"/>
      <c r="CB610" s="1882"/>
      <c r="CC610" s="1882" t="s">
        <v>2451</v>
      </c>
      <c r="CH610" s="1882"/>
      <c r="CI610" s="1882">
        <v>343</v>
      </c>
      <c r="CJ610" s="1882" t="s">
        <v>2451</v>
      </c>
      <c r="CK610" s="1882">
        <v>0</v>
      </c>
      <c r="CL610" s="1882">
        <v>0</v>
      </c>
      <c r="CM610" s="1882">
        <v>0</v>
      </c>
      <c r="CN610" s="1882">
        <v>0</v>
      </c>
      <c r="CP610" s="1882" t="s">
        <v>11633</v>
      </c>
    </row>
    <row r="611" spans="1:94">
      <c r="A611" s="1882" t="s">
        <v>8424</v>
      </c>
      <c r="B611" s="1882" t="s">
        <v>11634</v>
      </c>
      <c r="C611" s="1882" t="s">
        <v>8352</v>
      </c>
      <c r="D611" s="1882" t="s">
        <v>1627</v>
      </c>
      <c r="E611" s="1882" t="s">
        <v>8720</v>
      </c>
      <c r="F611" s="1882" t="s">
        <v>10143</v>
      </c>
      <c r="G611" s="1882" t="s">
        <v>10226</v>
      </c>
      <c r="H611" s="1882" t="s">
        <v>10227</v>
      </c>
      <c r="I611" s="1882" t="s">
        <v>10228</v>
      </c>
      <c r="J611" s="1882" t="s">
        <v>10229</v>
      </c>
      <c r="K611" s="1882" t="s">
        <v>8509</v>
      </c>
      <c r="L611" s="1882"/>
      <c r="M611" s="1882"/>
      <c r="N611" s="1882" t="s">
        <v>8737</v>
      </c>
      <c r="O611" s="1882" t="s">
        <v>764</v>
      </c>
      <c r="P611" s="1882" t="s">
        <v>10230</v>
      </c>
      <c r="Q611" s="520">
        <v>0</v>
      </c>
      <c r="R611" s="1882"/>
      <c r="S611" s="1882"/>
      <c r="T611" s="1882"/>
      <c r="U611" s="1882"/>
      <c r="V611" s="1882"/>
      <c r="W611" s="1882"/>
      <c r="X611" s="1882"/>
      <c r="Y611" s="1882"/>
      <c r="Z611" s="1882"/>
      <c r="AA611" s="1882"/>
      <c r="AB611" s="1882"/>
      <c r="AC611" s="1882"/>
      <c r="AD611" s="1882"/>
      <c r="AE611" s="1882"/>
      <c r="AF611" s="1882"/>
      <c r="AG611" s="1882"/>
      <c r="AH611" s="1882"/>
      <c r="AI611" s="1882"/>
      <c r="AJ611" s="1882"/>
      <c r="AK611" s="1882"/>
      <c r="AL611" s="1882"/>
      <c r="AM611" s="1882"/>
      <c r="AN611" s="1882"/>
      <c r="AO611" s="1882"/>
      <c r="AP611" s="1882"/>
      <c r="AQ611" s="1882"/>
      <c r="AR611" s="1882"/>
      <c r="AS611" s="1882"/>
      <c r="AT611" s="1882"/>
      <c r="AU611" s="1882"/>
      <c r="AV611" s="1882"/>
      <c r="AW611" s="1882"/>
      <c r="AX611" s="1882"/>
      <c r="AY611" s="1882"/>
      <c r="AZ611" s="1882"/>
      <c r="BA611" s="1882"/>
      <c r="BB611" s="1882"/>
      <c r="BC611" s="1882"/>
      <c r="BD611" s="1882"/>
      <c r="BE611" s="1882"/>
      <c r="BF611" s="1882"/>
      <c r="BG611" s="1882"/>
      <c r="BH611" s="1882"/>
      <c r="BI611" s="1882"/>
      <c r="BJ611" s="1882"/>
      <c r="BK611" s="1882"/>
      <c r="BL611" s="1882"/>
      <c r="BM611" s="1882"/>
      <c r="BN611" s="1882"/>
      <c r="BO611" s="1882"/>
      <c r="BQ611" s="1882"/>
      <c r="BR611" s="1882"/>
      <c r="BS611" s="1882"/>
      <c r="BT611" s="1882"/>
      <c r="BU611" s="1882"/>
      <c r="BV611" s="1882"/>
      <c r="BW611" s="1882"/>
      <c r="BX611" s="1882"/>
      <c r="BY611" s="1882"/>
      <c r="BZ611" s="1882"/>
      <c r="CA611" s="1882"/>
      <c r="CB611" s="1882"/>
      <c r="CC611" s="1882" t="s">
        <v>2451</v>
      </c>
      <c r="CH611" s="1882"/>
      <c r="CI611" s="1882">
        <v>0</v>
      </c>
      <c r="CJ611" s="1882" t="s">
        <v>2451</v>
      </c>
      <c r="CK611" s="1882">
        <v>0</v>
      </c>
      <c r="CL611" s="1882">
        <v>0</v>
      </c>
      <c r="CM611" s="1882">
        <v>0</v>
      </c>
      <c r="CN611" s="1882">
        <v>0</v>
      </c>
      <c r="CP611" s="1882" t="s">
        <v>11635</v>
      </c>
    </row>
    <row r="612" spans="1:94">
      <c r="A612" s="1882" t="s">
        <v>8424</v>
      </c>
      <c r="B612" s="1882" t="s">
        <v>11636</v>
      </c>
      <c r="C612" s="1882" t="s">
        <v>8352</v>
      </c>
      <c r="D612" s="1882" t="s">
        <v>1627</v>
      </c>
      <c r="E612" s="1882" t="s">
        <v>8720</v>
      </c>
      <c r="F612" s="1882" t="s">
        <v>10143</v>
      </c>
      <c r="G612" s="1882" t="s">
        <v>10233</v>
      </c>
      <c r="H612" s="1882" t="s">
        <v>10234</v>
      </c>
      <c r="I612" s="1882" t="s">
        <v>10235</v>
      </c>
      <c r="J612" s="1882" t="s">
        <v>8539</v>
      </c>
      <c r="K612" s="1882"/>
      <c r="L612" s="1882"/>
      <c r="M612" s="1882"/>
      <c r="N612" s="1882" t="s">
        <v>8760</v>
      </c>
      <c r="O612" s="1882" t="s">
        <v>764</v>
      </c>
      <c r="P612" s="1882" t="s">
        <v>9893</v>
      </c>
      <c r="Q612" s="520">
        <v>0</v>
      </c>
      <c r="R612" s="1882"/>
      <c r="S612" s="1882"/>
      <c r="T612" s="1882"/>
      <c r="U612" s="1882"/>
      <c r="V612" s="1882"/>
      <c r="W612" s="1882"/>
      <c r="X612" s="1882"/>
      <c r="Y612" s="1882"/>
      <c r="Z612" s="1882"/>
      <c r="AA612" s="1882"/>
      <c r="AB612" s="1882"/>
      <c r="AC612" s="1882"/>
      <c r="AD612" s="1882"/>
      <c r="AE612" s="1882"/>
      <c r="AF612" s="1882"/>
      <c r="AG612" s="1882"/>
      <c r="AH612" s="1882"/>
      <c r="AI612" s="1882"/>
      <c r="AJ612" s="1882"/>
      <c r="AK612" s="1882"/>
      <c r="AL612" s="1882"/>
      <c r="AM612" s="1882"/>
      <c r="AN612" s="1882"/>
      <c r="AO612" s="1882"/>
      <c r="AP612" s="1882"/>
      <c r="AQ612" s="1882"/>
      <c r="AR612" s="1882"/>
      <c r="AS612" s="1882"/>
      <c r="AT612" s="1882"/>
      <c r="AU612" s="1882"/>
      <c r="AV612" s="1882"/>
      <c r="AW612" s="1882"/>
      <c r="AX612" s="1882"/>
      <c r="AY612" s="1882"/>
      <c r="AZ612" s="1882"/>
      <c r="BA612" s="1882"/>
      <c r="BB612" s="1882"/>
      <c r="BC612" s="1882"/>
      <c r="BD612" s="1882"/>
      <c r="BE612" s="1882"/>
      <c r="BF612" s="1882"/>
      <c r="BG612" s="1882"/>
      <c r="BH612" s="1882"/>
      <c r="BI612" s="1882"/>
      <c r="BJ612" s="1882"/>
      <c r="BK612" s="1882"/>
      <c r="BL612" s="1882"/>
      <c r="BM612" s="1882"/>
      <c r="BN612" s="1882"/>
      <c r="BO612" s="1882"/>
      <c r="BQ612" s="1882"/>
      <c r="BR612" s="1882"/>
      <c r="BS612" s="1882"/>
      <c r="BT612" s="1882"/>
      <c r="BU612" s="1882"/>
      <c r="BV612" s="1882"/>
      <c r="BW612" s="1882"/>
      <c r="BX612" s="1882"/>
      <c r="BY612" s="1882"/>
      <c r="BZ612" s="1882"/>
      <c r="CA612" s="1882"/>
      <c r="CB612" s="1882"/>
      <c r="CC612" s="1882" t="s">
        <v>2451</v>
      </c>
      <c r="CH612" s="1882"/>
      <c r="CI612" s="1882">
        <v>7</v>
      </c>
      <c r="CJ612" s="1882" t="s">
        <v>2460</v>
      </c>
      <c r="CK612" s="1882">
        <v>0</v>
      </c>
      <c r="CL612" s="1882">
        <v>0</v>
      </c>
      <c r="CM612" s="1882">
        <v>0</v>
      </c>
      <c r="CN612" s="1882">
        <v>0</v>
      </c>
      <c r="CP612" s="1882" t="s">
        <v>11637</v>
      </c>
    </row>
    <row r="613" spans="1:94">
      <c r="A613" s="1882" t="s">
        <v>8424</v>
      </c>
      <c r="B613" s="1882" t="s">
        <v>11638</v>
      </c>
      <c r="C613" s="1882" t="s">
        <v>8352</v>
      </c>
      <c r="D613" s="1882" t="s">
        <v>1627</v>
      </c>
      <c r="E613" s="1882" t="s">
        <v>8720</v>
      </c>
      <c r="F613" s="1882" t="s">
        <v>10143</v>
      </c>
      <c r="G613" s="1882" t="s">
        <v>10238</v>
      </c>
      <c r="H613" s="1882" t="s">
        <v>10239</v>
      </c>
      <c r="I613" s="1882" t="s">
        <v>10240</v>
      </c>
      <c r="J613" s="1882" t="s">
        <v>8508</v>
      </c>
      <c r="K613" s="1882" t="s">
        <v>8509</v>
      </c>
      <c r="L613" s="1882"/>
      <c r="M613" s="1882"/>
      <c r="N613" s="1882" t="s">
        <v>8673</v>
      </c>
      <c r="O613" s="1882" t="s">
        <v>764</v>
      </c>
      <c r="P613" s="1882" t="s">
        <v>10241</v>
      </c>
      <c r="Q613" s="520">
        <v>0</v>
      </c>
      <c r="R613" s="1882"/>
      <c r="S613" s="1882"/>
      <c r="T613" s="1882"/>
      <c r="U613" s="1882"/>
      <c r="V613" s="1882"/>
      <c r="W613" s="1882"/>
      <c r="X613" s="1882"/>
      <c r="Y613" s="1882"/>
      <c r="Z613" s="1882"/>
      <c r="AA613" s="1882"/>
      <c r="AB613" s="1882"/>
      <c r="AC613" s="1882"/>
      <c r="AD613" s="1882"/>
      <c r="AE613" s="1882"/>
      <c r="AF613" s="1882"/>
      <c r="AG613" s="1882"/>
      <c r="AH613" s="1882"/>
      <c r="AI613" s="1882"/>
      <c r="AJ613" s="1882"/>
      <c r="AK613" s="1882"/>
      <c r="AL613" s="1882"/>
      <c r="AM613" s="1882"/>
      <c r="AN613" s="1882"/>
      <c r="AO613" s="1882"/>
      <c r="AP613" s="1882"/>
      <c r="AQ613" s="1882"/>
      <c r="AR613" s="1882"/>
      <c r="AS613" s="1882"/>
      <c r="AT613" s="1882"/>
      <c r="AU613" s="1882"/>
      <c r="AV613" s="1882"/>
      <c r="AW613" s="1882"/>
      <c r="AX613" s="1882"/>
      <c r="AY613" s="1882"/>
      <c r="AZ613" s="1882"/>
      <c r="BA613" s="1882"/>
      <c r="BB613" s="1882"/>
      <c r="BC613" s="1882"/>
      <c r="BD613" s="1882"/>
      <c r="BE613" s="1882"/>
      <c r="BF613" s="1882"/>
      <c r="BG613" s="1882"/>
      <c r="BH613" s="1882"/>
      <c r="BI613" s="1882"/>
      <c r="BJ613" s="1882"/>
      <c r="BK613" s="1882"/>
      <c r="BL613" s="1882"/>
      <c r="BM613" s="1882"/>
      <c r="BN613" s="1882"/>
      <c r="BO613" s="1882"/>
      <c r="BQ613" s="1882"/>
      <c r="BR613" s="1882"/>
      <c r="BS613" s="1882"/>
      <c r="BT613" s="1882"/>
      <c r="BU613" s="1882"/>
      <c r="BV613" s="1882"/>
      <c r="BW613" s="1882"/>
      <c r="BX613" s="1882"/>
      <c r="BY613" s="1882"/>
      <c r="BZ613" s="1882"/>
      <c r="CA613" s="1882"/>
      <c r="CB613" s="1882"/>
      <c r="CC613" s="1882" t="s">
        <v>2451</v>
      </c>
      <c r="CH613" s="1882"/>
      <c r="CI613" s="1882">
        <v>4</v>
      </c>
      <c r="CJ613" s="1882" t="s">
        <v>2459</v>
      </c>
      <c r="CK613" s="1882">
        <v>0</v>
      </c>
      <c r="CL613" s="1882">
        <v>0</v>
      </c>
      <c r="CM613" s="1882" t="s">
        <v>8376</v>
      </c>
      <c r="CN613" s="1882">
        <v>2.38944</v>
      </c>
      <c r="CP613" s="1882" t="s">
        <v>11639</v>
      </c>
    </row>
    <row r="614" spans="1:94">
      <c r="A614" s="1882" t="s">
        <v>8424</v>
      </c>
      <c r="B614" s="1882" t="s">
        <v>11640</v>
      </c>
      <c r="C614" s="1882" t="s">
        <v>8352</v>
      </c>
      <c r="D614" s="1882" t="s">
        <v>1627</v>
      </c>
      <c r="E614" s="1882" t="s">
        <v>8720</v>
      </c>
      <c r="F614" s="1882" t="s">
        <v>10143</v>
      </c>
      <c r="G614" s="1882" t="s">
        <v>10246</v>
      </c>
      <c r="H614" s="1882" t="s">
        <v>10247</v>
      </c>
      <c r="I614" s="1882" t="s">
        <v>10248</v>
      </c>
      <c r="J614" s="1882" t="s">
        <v>8539</v>
      </c>
      <c r="K614" s="1882"/>
      <c r="L614" s="1882"/>
      <c r="M614" s="1882"/>
      <c r="N614" s="1882" t="s">
        <v>8760</v>
      </c>
      <c r="O614" s="1882" t="s">
        <v>764</v>
      </c>
      <c r="P614" s="1882" t="s">
        <v>10249</v>
      </c>
      <c r="Q614" s="520">
        <v>0</v>
      </c>
      <c r="R614" s="1882"/>
      <c r="S614" s="1882"/>
      <c r="T614" s="1882"/>
      <c r="U614" s="1882"/>
      <c r="V614" s="1882"/>
      <c r="W614" s="1882"/>
      <c r="X614" s="1882"/>
      <c r="Y614" s="1882"/>
      <c r="Z614" s="1882"/>
      <c r="AA614" s="1882"/>
      <c r="AB614" s="1882"/>
      <c r="AC614" s="1882"/>
      <c r="AD614" s="1882"/>
      <c r="AE614" s="1882"/>
      <c r="AF614" s="1882"/>
      <c r="AG614" s="1882"/>
      <c r="AH614" s="1882"/>
      <c r="AI614" s="1882"/>
      <c r="AJ614" s="1882"/>
      <c r="AK614" s="1882"/>
      <c r="AL614" s="1882"/>
      <c r="AM614" s="1882"/>
      <c r="AN614" s="1882"/>
      <c r="AO614" s="1882"/>
      <c r="AP614" s="1882"/>
      <c r="AQ614" s="1882"/>
      <c r="AR614" s="1882"/>
      <c r="AS614" s="1882"/>
      <c r="AT614" s="1882"/>
      <c r="AU614" s="1882"/>
      <c r="AV614" s="1882"/>
      <c r="AW614" s="1882"/>
      <c r="AX614" s="1882"/>
      <c r="AY614" s="1882"/>
      <c r="AZ614" s="1882"/>
      <c r="BA614" s="1882"/>
      <c r="BB614" s="1882"/>
      <c r="BC614" s="1882"/>
      <c r="BD614" s="1882"/>
      <c r="BE614" s="1882"/>
      <c r="BF614" s="1882"/>
      <c r="BG614" s="1882"/>
      <c r="BH614" s="1882"/>
      <c r="BI614" s="1882"/>
      <c r="BJ614" s="1882"/>
      <c r="BK614" s="1882"/>
      <c r="BL614" s="1882"/>
      <c r="BM614" s="1882"/>
      <c r="BN614" s="1882"/>
      <c r="BO614" s="1882"/>
      <c r="BQ614" s="1882"/>
      <c r="BR614" s="1882"/>
      <c r="BS614" s="1882"/>
      <c r="BT614" s="1882"/>
      <c r="BU614" s="1882"/>
      <c r="BV614" s="1882"/>
      <c r="BW614" s="1882"/>
      <c r="BX614" s="1882"/>
      <c r="BY614" s="1882"/>
      <c r="BZ614" s="1882"/>
      <c r="CA614" s="1882"/>
      <c r="CB614" s="1882"/>
      <c r="CC614" s="1882" t="s">
        <v>2451</v>
      </c>
      <c r="CH614" s="1882"/>
      <c r="CI614" s="1882">
        <v>217</v>
      </c>
      <c r="CJ614" s="1882" t="s">
        <v>2460</v>
      </c>
      <c r="CK614" s="1882">
        <v>0</v>
      </c>
      <c r="CL614" s="1882">
        <v>0</v>
      </c>
      <c r="CM614" s="1882">
        <v>0</v>
      </c>
      <c r="CN614" s="1882">
        <v>0</v>
      </c>
      <c r="CP614" s="1882" t="s">
        <v>11641</v>
      </c>
    </row>
    <row r="615" spans="1:94">
      <c r="A615" s="1882" t="s">
        <v>8424</v>
      </c>
      <c r="B615" s="1882" t="s">
        <v>11642</v>
      </c>
      <c r="C615" s="1882" t="s">
        <v>8352</v>
      </c>
      <c r="D615" s="1882" t="s">
        <v>1627</v>
      </c>
      <c r="E615" s="1882" t="s">
        <v>8720</v>
      </c>
      <c r="F615" s="1882" t="s">
        <v>10164</v>
      </c>
      <c r="G615" s="1882" t="s">
        <v>8769</v>
      </c>
      <c r="H615" s="1882" t="s">
        <v>10252</v>
      </c>
      <c r="I615" s="1882" t="s">
        <v>10253</v>
      </c>
      <c r="J615" s="1882" t="s">
        <v>8508</v>
      </c>
      <c r="K615" s="1882" t="s">
        <v>8509</v>
      </c>
      <c r="L615" s="1882" t="s">
        <v>2459</v>
      </c>
      <c r="M615" s="1882"/>
      <c r="N615" s="1882" t="s">
        <v>8681</v>
      </c>
      <c r="O615" s="1882" t="s">
        <v>764</v>
      </c>
      <c r="P615" s="1882" t="s">
        <v>9180</v>
      </c>
      <c r="Q615" s="520">
        <v>3</v>
      </c>
      <c r="R615" s="1882"/>
      <c r="S615" s="1882"/>
      <c r="T615" s="1882"/>
      <c r="U615" s="1882"/>
      <c r="V615" s="1882"/>
      <c r="W615" s="1882"/>
      <c r="X615" s="1882"/>
      <c r="Y615" s="1882"/>
      <c r="Z615" s="1882"/>
      <c r="AA615" s="1882"/>
      <c r="AB615" s="1882"/>
      <c r="AC615" s="1882"/>
      <c r="AD615" s="1882"/>
      <c r="AE615" s="1882"/>
      <c r="AF615" s="1882"/>
      <c r="AG615" s="1882"/>
      <c r="AH615" s="1882"/>
      <c r="AI615" s="1882"/>
      <c r="AJ615" s="1882"/>
      <c r="AK615" s="1882"/>
      <c r="AL615" s="1882"/>
      <c r="AM615" s="1882"/>
      <c r="AN615" s="1882"/>
      <c r="AO615" s="1882"/>
      <c r="AP615" s="1882"/>
      <c r="AQ615" s="1882"/>
      <c r="AR615" s="1882"/>
      <c r="AS615" s="1882"/>
      <c r="AT615" s="1882"/>
      <c r="AU615" s="1882"/>
      <c r="AV615" s="1882"/>
      <c r="AW615" s="1882"/>
      <c r="AX615" s="1882"/>
      <c r="AY615" s="1882"/>
      <c r="AZ615" s="1882"/>
      <c r="BA615" s="1882"/>
      <c r="BB615" s="1882"/>
      <c r="BC615" s="1882"/>
      <c r="BD615" s="1882"/>
      <c r="BE615" s="1882"/>
      <c r="BF615" s="1882"/>
      <c r="BG615" s="1882"/>
      <c r="BH615" s="1882"/>
      <c r="BI615" s="1882"/>
      <c r="BJ615" s="1882"/>
      <c r="BK615" s="1882"/>
      <c r="BL615" s="1882"/>
      <c r="BM615" s="1882"/>
      <c r="BN615" s="1882"/>
      <c r="BO615" s="1882"/>
      <c r="BQ615" s="1882"/>
      <c r="BR615" s="1882"/>
      <c r="BS615" s="1882"/>
      <c r="BT615" s="1882"/>
      <c r="BU615" s="1882"/>
      <c r="BV615" s="1882"/>
      <c r="BW615" s="1882"/>
      <c r="BX615" s="1882"/>
      <c r="BY615" s="1882"/>
      <c r="BZ615" s="1882"/>
      <c r="CA615" s="1882"/>
      <c r="CB615" s="1882"/>
      <c r="CC615" s="1882" t="s">
        <v>2451</v>
      </c>
      <c r="CH615" s="1882"/>
      <c r="CI615" s="1882">
        <v>204</v>
      </c>
      <c r="CJ615" s="1882" t="s">
        <v>2459</v>
      </c>
      <c r="CK615" s="1882" t="s">
        <v>8376</v>
      </c>
      <c r="CL615" s="1882">
        <v>4.3889999999999998E-2</v>
      </c>
      <c r="CM615" s="1882">
        <v>0</v>
      </c>
      <c r="CN615" s="1882">
        <v>0</v>
      </c>
      <c r="CP615" s="1882" t="s">
        <v>11643</v>
      </c>
    </row>
    <row r="616" spans="1:94">
      <c r="A616" s="1882" t="s">
        <v>8424</v>
      </c>
      <c r="B616" s="1882" t="s">
        <v>11644</v>
      </c>
      <c r="C616" s="1882" t="s">
        <v>8352</v>
      </c>
      <c r="D616" s="1882" t="s">
        <v>1627</v>
      </c>
      <c r="E616" s="1882" t="s">
        <v>8720</v>
      </c>
      <c r="F616" s="1882" t="s">
        <v>10169</v>
      </c>
      <c r="G616" s="1882" t="s">
        <v>8779</v>
      </c>
      <c r="H616" s="1882" t="s">
        <v>10256</v>
      </c>
      <c r="I616" s="1882" t="s">
        <v>10257</v>
      </c>
      <c r="J616" s="1882" t="s">
        <v>8539</v>
      </c>
      <c r="K616" s="1882"/>
      <c r="L616" s="1882"/>
      <c r="M616" s="1882"/>
      <c r="N616" s="1882" t="s">
        <v>9592</v>
      </c>
      <c r="O616" s="1882" t="s">
        <v>764</v>
      </c>
      <c r="P616" s="1882" t="s">
        <v>10172</v>
      </c>
      <c r="Q616" s="520">
        <v>0</v>
      </c>
      <c r="R616" s="1882"/>
      <c r="S616" s="1882"/>
      <c r="T616" s="1882"/>
      <c r="U616" s="1882"/>
      <c r="V616" s="1882"/>
      <c r="W616" s="1882"/>
      <c r="X616" s="1882"/>
      <c r="Y616" s="1882"/>
      <c r="Z616" s="1882"/>
      <c r="AA616" s="1882"/>
      <c r="AB616" s="1882"/>
      <c r="AC616" s="1882"/>
      <c r="AD616" s="1882"/>
      <c r="AE616" s="1882"/>
      <c r="AF616" s="1882"/>
      <c r="AG616" s="1882"/>
      <c r="AH616" s="1882"/>
      <c r="AI616" s="1882"/>
      <c r="AJ616" s="1882"/>
      <c r="AK616" s="1882"/>
      <c r="AL616" s="1882"/>
      <c r="AM616" s="1882"/>
      <c r="AN616" s="1882"/>
      <c r="AO616" s="1882"/>
      <c r="AP616" s="1882"/>
      <c r="AQ616" s="1882"/>
      <c r="AR616" s="1882"/>
      <c r="AS616" s="1882"/>
      <c r="AT616" s="1882"/>
      <c r="AU616" s="1882"/>
      <c r="AV616" s="1882"/>
      <c r="AW616" s="1882"/>
      <c r="AX616" s="1882"/>
      <c r="AY616" s="1882"/>
      <c r="AZ616" s="1882"/>
      <c r="BA616" s="1882"/>
      <c r="BB616" s="1882"/>
      <c r="BC616" s="1882"/>
      <c r="BD616" s="1882"/>
      <c r="BE616" s="1882"/>
      <c r="BF616" s="1882"/>
      <c r="BG616" s="1882"/>
      <c r="BH616" s="1882"/>
      <c r="BI616" s="1882"/>
      <c r="BJ616" s="1882"/>
      <c r="BK616" s="1882"/>
      <c r="BL616" s="1882"/>
      <c r="BM616" s="1882"/>
      <c r="BN616" s="1882"/>
      <c r="BO616" s="1882"/>
      <c r="BQ616" s="1882"/>
      <c r="BR616" s="1882"/>
      <c r="BS616" s="1882"/>
      <c r="BT616" s="1882"/>
      <c r="BU616" s="1882"/>
      <c r="BV616" s="1882"/>
      <c r="BW616" s="1882"/>
      <c r="BX616" s="1882"/>
      <c r="BY616" s="1882"/>
      <c r="BZ616" s="1882"/>
      <c r="CA616" s="1882"/>
      <c r="CB616" s="1882"/>
      <c r="CC616" s="1882" t="s">
        <v>2451</v>
      </c>
      <c r="CH616" s="1882"/>
      <c r="CI616" s="1882">
        <v>185371</v>
      </c>
      <c r="CJ616" s="1882" t="s">
        <v>2459</v>
      </c>
      <c r="CK616" s="1882">
        <v>0</v>
      </c>
      <c r="CL616" s="1882">
        <v>0</v>
      </c>
      <c r="CM616" s="1882">
        <v>0</v>
      </c>
      <c r="CN616" s="1882">
        <v>0</v>
      </c>
      <c r="CP616" s="1882" t="s">
        <v>11645</v>
      </c>
    </row>
    <row r="617" spans="1:94">
      <c r="A617" s="1882" t="s">
        <v>8424</v>
      </c>
      <c r="B617" s="1882" t="s">
        <v>11646</v>
      </c>
      <c r="C617" s="1882" t="s">
        <v>8352</v>
      </c>
      <c r="D617" s="1882" t="s">
        <v>8584</v>
      </c>
      <c r="E617" s="1882" t="s">
        <v>8585</v>
      </c>
      <c r="F617" s="1882" t="s">
        <v>10260</v>
      </c>
      <c r="G617" s="1882" t="s">
        <v>8587</v>
      </c>
      <c r="H617" s="1882" t="s">
        <v>10261</v>
      </c>
      <c r="I617" s="1882" t="s">
        <v>10262</v>
      </c>
      <c r="J617" s="1882" t="s">
        <v>8539</v>
      </c>
      <c r="K617" s="1882"/>
      <c r="L617" s="1882"/>
      <c r="M617" s="1882"/>
      <c r="N617" s="1882" t="s">
        <v>8695</v>
      </c>
      <c r="O617" s="1882" t="s">
        <v>8797</v>
      </c>
      <c r="P617" s="1882" t="s">
        <v>10263</v>
      </c>
      <c r="Q617" s="520" t="s">
        <v>8512</v>
      </c>
      <c r="R617" s="1882"/>
      <c r="S617" s="1882"/>
      <c r="T617" s="1882"/>
      <c r="U617" s="1882"/>
      <c r="V617" s="1882"/>
      <c r="W617" s="1882"/>
      <c r="X617" s="1882"/>
      <c r="Y617" s="1882"/>
      <c r="Z617" s="1882"/>
      <c r="AA617" s="1882"/>
      <c r="AB617" s="1882"/>
      <c r="AC617" s="1882"/>
      <c r="AD617" s="1882"/>
      <c r="AE617" s="1882"/>
      <c r="AF617" s="1882"/>
      <c r="AG617" s="1882"/>
      <c r="AH617" s="1882"/>
      <c r="AI617" s="1882"/>
      <c r="AJ617" s="1882"/>
      <c r="AK617" s="1882"/>
      <c r="AL617" s="1882"/>
      <c r="AM617" s="1882"/>
      <c r="AN617" s="1882"/>
      <c r="AO617" s="1882"/>
      <c r="AP617" s="1882"/>
      <c r="AQ617" s="1882"/>
      <c r="AR617" s="1882"/>
      <c r="AS617" s="1882"/>
      <c r="AT617" s="1882"/>
      <c r="AU617" s="1882"/>
      <c r="AV617" s="1882"/>
      <c r="AW617" s="1882"/>
      <c r="AX617" s="1882"/>
      <c r="AY617" s="1882"/>
      <c r="AZ617" s="1882"/>
      <c r="BA617" s="1882"/>
      <c r="BB617" s="1882"/>
      <c r="BC617" s="1882"/>
      <c r="BD617" s="1882"/>
      <c r="BE617" s="1882"/>
      <c r="BF617" s="1882"/>
      <c r="BG617" s="1882"/>
      <c r="BH617" s="1882"/>
      <c r="BI617" s="1882"/>
      <c r="BJ617" s="1882"/>
      <c r="BK617" s="1882"/>
      <c r="BL617" s="1882"/>
      <c r="BM617" s="1882"/>
      <c r="BN617" s="1882"/>
      <c r="BO617" s="1882"/>
      <c r="BQ617" s="1882"/>
      <c r="BR617" s="1882"/>
      <c r="BS617" s="1882"/>
      <c r="BT617" s="1882"/>
      <c r="BU617" s="1882"/>
      <c r="BV617" s="1882"/>
      <c r="BW617" s="1882"/>
      <c r="BX617" s="1882"/>
      <c r="BY617" s="1882"/>
      <c r="BZ617" s="1882"/>
      <c r="CA617" s="1882"/>
      <c r="CB617" s="1882"/>
      <c r="CC617" s="1882" t="s">
        <v>2451</v>
      </c>
      <c r="CH617" s="1882"/>
      <c r="CI617" s="1882" t="s">
        <v>11556</v>
      </c>
      <c r="CJ617" s="1882" t="s">
        <v>2459</v>
      </c>
      <c r="CK617" s="1882">
        <v>0</v>
      </c>
      <c r="CL617" s="1882">
        <v>0</v>
      </c>
      <c r="CM617" s="1882">
        <v>0</v>
      </c>
      <c r="CN617" s="1882">
        <v>0</v>
      </c>
      <c r="CP617" s="1882" t="s">
        <v>11647</v>
      </c>
    </row>
    <row r="618" spans="1:94">
      <c r="A618" s="1882" t="s">
        <v>8424</v>
      </c>
      <c r="B618" s="1882" t="s">
        <v>11648</v>
      </c>
      <c r="C618" s="1882" t="s">
        <v>8352</v>
      </c>
      <c r="D618" s="1882" t="s">
        <v>8584</v>
      </c>
      <c r="E618" s="1882" t="s">
        <v>8585</v>
      </c>
      <c r="F618" s="1882" t="s">
        <v>10260</v>
      </c>
      <c r="G618" s="1882" t="s">
        <v>8596</v>
      </c>
      <c r="H618" s="1882" t="s">
        <v>10268</v>
      </c>
      <c r="I618" s="1882" t="s">
        <v>10269</v>
      </c>
      <c r="J618" s="1882" t="s">
        <v>8508</v>
      </c>
      <c r="K618" s="1882" t="s">
        <v>8509</v>
      </c>
      <c r="L618" s="1882"/>
      <c r="M618" s="1882" t="s">
        <v>2460</v>
      </c>
      <c r="N618" s="1882" t="s">
        <v>8590</v>
      </c>
      <c r="O618" s="1882" t="s">
        <v>8797</v>
      </c>
      <c r="P618" s="1882" t="s">
        <v>8951</v>
      </c>
      <c r="Q618" s="520" t="s">
        <v>8512</v>
      </c>
      <c r="R618" s="1882"/>
      <c r="S618" s="1882"/>
      <c r="T618" s="1882"/>
      <c r="U618" s="1882"/>
      <c r="V618" s="1882"/>
      <c r="W618" s="1882"/>
      <c r="X618" s="1882"/>
      <c r="Y618" s="1882"/>
      <c r="Z618" s="1882"/>
      <c r="AA618" s="1882"/>
      <c r="AB618" s="1882"/>
      <c r="AC618" s="1882"/>
      <c r="AD618" s="1882"/>
      <c r="AE618" s="1882"/>
      <c r="AF618" s="1882"/>
      <c r="AG618" s="1882"/>
      <c r="AH618" s="1882"/>
      <c r="AI618" s="1882"/>
      <c r="AJ618" s="1882"/>
      <c r="AK618" s="1882"/>
      <c r="AL618" s="1882"/>
      <c r="AM618" s="1882"/>
      <c r="AN618" s="1882"/>
      <c r="AO618" s="1882"/>
      <c r="AP618" s="1882"/>
      <c r="AQ618" s="1882"/>
      <c r="AR618" s="1882"/>
      <c r="AS618" s="1882"/>
      <c r="AT618" s="1882"/>
      <c r="AU618" s="1882"/>
      <c r="AV618" s="1882"/>
      <c r="AW618" s="1882"/>
      <c r="AX618" s="1882"/>
      <c r="AY618" s="1882"/>
      <c r="AZ618" s="1882"/>
      <c r="BA618" s="1882"/>
      <c r="BB618" s="1882"/>
      <c r="BC618" s="1882"/>
      <c r="BD618" s="1882"/>
      <c r="BE618" s="1882"/>
      <c r="BF618" s="1882"/>
      <c r="BG618" s="1882"/>
      <c r="BH618" s="1882"/>
      <c r="BI618" s="1882"/>
      <c r="BJ618" s="1882"/>
      <c r="BK618" s="1882"/>
      <c r="BL618" s="1882"/>
      <c r="BM618" s="1882"/>
      <c r="BN618" s="1882"/>
      <c r="BO618" s="1882"/>
      <c r="BQ618" s="1882"/>
      <c r="BR618" s="1882"/>
      <c r="BS618" s="1882"/>
      <c r="BT618" s="1882"/>
      <c r="BU618" s="1882"/>
      <c r="BV618" s="1882"/>
      <c r="BW618" s="1882"/>
      <c r="BX618" s="1882"/>
      <c r="BY618" s="1882"/>
      <c r="BZ618" s="1882"/>
      <c r="CA618" s="1882"/>
      <c r="CB618" s="1882"/>
      <c r="CC618" s="1882" t="s">
        <v>2451</v>
      </c>
      <c r="CH618" s="1882"/>
      <c r="CI618" s="1882">
        <v>81.45</v>
      </c>
      <c r="CJ618" s="1882" t="s">
        <v>2451</v>
      </c>
      <c r="CK618" s="1882">
        <v>0</v>
      </c>
      <c r="CL618" s="1882">
        <v>0</v>
      </c>
      <c r="CM618" s="1882">
        <v>0</v>
      </c>
      <c r="CN618" s="1882">
        <v>0</v>
      </c>
      <c r="CP618" s="1882" t="s">
        <v>11649</v>
      </c>
    </row>
    <row r="619" spans="1:94">
      <c r="A619" s="1882" t="s">
        <v>8424</v>
      </c>
      <c r="B619" s="1882" t="s">
        <v>11650</v>
      </c>
      <c r="C619" s="1882" t="s">
        <v>8352</v>
      </c>
      <c r="D619" s="1882" t="s">
        <v>8584</v>
      </c>
      <c r="E619" s="1882" t="s">
        <v>8585</v>
      </c>
      <c r="F619" s="1882" t="s">
        <v>10272</v>
      </c>
      <c r="G619" s="1882" t="s">
        <v>8822</v>
      </c>
      <c r="H619" s="1882" t="s">
        <v>10273</v>
      </c>
      <c r="I619" s="1882" t="s">
        <v>10274</v>
      </c>
      <c r="J619" s="1882" t="s">
        <v>8539</v>
      </c>
      <c r="K619" s="1882"/>
      <c r="L619" s="1882"/>
      <c r="M619" s="1882"/>
      <c r="N619" s="1882" t="s">
        <v>8599</v>
      </c>
      <c r="O619" s="1882" t="s">
        <v>764</v>
      </c>
      <c r="P619" s="1882" t="s">
        <v>10017</v>
      </c>
      <c r="Q619" s="520">
        <v>0</v>
      </c>
      <c r="R619" s="1882"/>
      <c r="S619" s="1882"/>
      <c r="T619" s="1882"/>
      <c r="U619" s="1882"/>
      <c r="V619" s="1882"/>
      <c r="W619" s="1882"/>
      <c r="X619" s="1882"/>
      <c r="Y619" s="1882"/>
      <c r="Z619" s="1882"/>
      <c r="AA619" s="1882"/>
      <c r="AB619" s="1882"/>
      <c r="AC619" s="1882"/>
      <c r="AD619" s="1882"/>
      <c r="AE619" s="1882"/>
      <c r="AF619" s="1882"/>
      <c r="AG619" s="1882"/>
      <c r="AH619" s="1882"/>
      <c r="AI619" s="1882"/>
      <c r="AJ619" s="1882"/>
      <c r="AK619" s="1882"/>
      <c r="AL619" s="1882"/>
      <c r="AM619" s="1882"/>
      <c r="AN619" s="1882"/>
      <c r="AO619" s="1882"/>
      <c r="AP619" s="1882"/>
      <c r="AQ619" s="1882"/>
      <c r="AR619" s="1882"/>
      <c r="AS619" s="1882"/>
      <c r="AT619" s="1882"/>
      <c r="AU619" s="1882"/>
      <c r="AV619" s="1882"/>
      <c r="AW619" s="1882"/>
      <c r="AX619" s="1882"/>
      <c r="AY619" s="1882"/>
      <c r="AZ619" s="1882"/>
      <c r="BA619" s="1882"/>
      <c r="BB619" s="1882"/>
      <c r="BC619" s="1882"/>
      <c r="BD619" s="1882"/>
      <c r="BE619" s="1882"/>
      <c r="BF619" s="1882"/>
      <c r="BG619" s="1882"/>
      <c r="BH619" s="1882"/>
      <c r="BI619" s="1882"/>
      <c r="BJ619" s="1882"/>
      <c r="BK619" s="1882"/>
      <c r="BL619" s="1882"/>
      <c r="BM619" s="1882"/>
      <c r="BN619" s="1882"/>
      <c r="BO619" s="1882"/>
      <c r="BQ619" s="1882"/>
      <c r="BR619" s="1882"/>
      <c r="BS619" s="1882"/>
      <c r="BT619" s="1882"/>
      <c r="BU619" s="1882"/>
      <c r="BV619" s="1882"/>
      <c r="BW619" s="1882"/>
      <c r="BX619" s="1882"/>
      <c r="BY619" s="1882"/>
      <c r="BZ619" s="1882"/>
      <c r="CA619" s="1882"/>
      <c r="CB619" s="1882"/>
      <c r="CC619" s="1882" t="s">
        <v>2451</v>
      </c>
      <c r="CH619" s="1882"/>
      <c r="CI619" s="1882">
        <v>52547</v>
      </c>
      <c r="CJ619" s="1882" t="s">
        <v>2459</v>
      </c>
      <c r="CK619" s="1882">
        <v>0</v>
      </c>
      <c r="CL619" s="1882">
        <v>0</v>
      </c>
      <c r="CM619" s="1882">
        <v>0</v>
      </c>
      <c r="CN619" s="1882">
        <v>0</v>
      </c>
      <c r="CP619" s="1882" t="s">
        <v>11651</v>
      </c>
    </row>
    <row r="620" spans="1:94">
      <c r="A620" s="1882" t="s">
        <v>8424</v>
      </c>
      <c r="B620" s="1882" t="s">
        <v>11652</v>
      </c>
      <c r="C620" s="1882" t="s">
        <v>8352</v>
      </c>
      <c r="D620" s="1882" t="s">
        <v>8584</v>
      </c>
      <c r="E620" s="1882" t="s">
        <v>8585</v>
      </c>
      <c r="F620" s="1882" t="s">
        <v>10272</v>
      </c>
      <c r="G620" s="1882" t="s">
        <v>8827</v>
      </c>
      <c r="H620" s="1882" t="s">
        <v>10277</v>
      </c>
      <c r="I620" s="1882" t="s">
        <v>10278</v>
      </c>
      <c r="J620" s="1882" t="s">
        <v>8539</v>
      </c>
      <c r="K620" s="1882"/>
      <c r="L620" s="1882"/>
      <c r="M620" s="1882"/>
      <c r="N620" s="1882" t="s">
        <v>8599</v>
      </c>
      <c r="O620" s="1882" t="s">
        <v>732</v>
      </c>
      <c r="P620" s="1882" t="s">
        <v>10279</v>
      </c>
      <c r="Q620" s="520">
        <v>2</v>
      </c>
      <c r="R620" s="1882"/>
      <c r="S620" s="1882"/>
      <c r="T620" s="1882"/>
      <c r="U620" s="1882"/>
      <c r="V620" s="1882"/>
      <c r="W620" s="1882"/>
      <c r="X620" s="1882"/>
      <c r="Y620" s="1882"/>
      <c r="Z620" s="1882"/>
      <c r="AA620" s="1882"/>
      <c r="AB620" s="1882"/>
      <c r="AC620" s="1882"/>
      <c r="AD620" s="1882"/>
      <c r="AE620" s="1882"/>
      <c r="AF620" s="1882"/>
      <c r="AG620" s="1882"/>
      <c r="AH620" s="1882"/>
      <c r="AI620" s="1882"/>
      <c r="AJ620" s="1882"/>
      <c r="AK620" s="1882"/>
      <c r="AL620" s="1882"/>
      <c r="AM620" s="1882"/>
      <c r="AN620" s="1882"/>
      <c r="AO620" s="1882"/>
      <c r="AP620" s="1882"/>
      <c r="AQ620" s="1882"/>
      <c r="AR620" s="1882"/>
      <c r="AS620" s="1882"/>
      <c r="AT620" s="1882"/>
      <c r="AU620" s="1882"/>
      <c r="AV620" s="1882"/>
      <c r="AW620" s="1882"/>
      <c r="AX620" s="1882"/>
      <c r="AY620" s="1882"/>
      <c r="AZ620" s="1882"/>
      <c r="BA620" s="1882"/>
      <c r="BB620" s="1882"/>
      <c r="BC620" s="1882"/>
      <c r="BD620" s="1882"/>
      <c r="BE620" s="1882"/>
      <c r="BF620" s="1882"/>
      <c r="BG620" s="1882"/>
      <c r="BH620" s="1882"/>
      <c r="BI620" s="1882"/>
      <c r="BJ620" s="1882"/>
      <c r="BK620" s="1882"/>
      <c r="BL620" s="1882"/>
      <c r="BM620" s="1882"/>
      <c r="BN620" s="1882"/>
      <c r="BO620" s="1882"/>
      <c r="BQ620" s="1882"/>
      <c r="BR620" s="1882"/>
      <c r="BS620" s="1882"/>
      <c r="BT620" s="1882"/>
      <c r="BU620" s="1882"/>
      <c r="BV620" s="1882"/>
      <c r="BW620" s="1882"/>
      <c r="BX620" s="1882"/>
      <c r="BY620" s="1882"/>
      <c r="BZ620" s="1882"/>
      <c r="CA620" s="1882"/>
      <c r="CB620" s="1882"/>
      <c r="CC620" s="1882" t="s">
        <v>2451</v>
      </c>
      <c r="CH620" s="1882"/>
      <c r="CI620" s="1882">
        <v>2</v>
      </c>
      <c r="CJ620" s="1882" t="s">
        <v>2459</v>
      </c>
      <c r="CK620" s="1882">
        <v>0</v>
      </c>
      <c r="CL620" s="1882">
        <v>0</v>
      </c>
      <c r="CM620" s="1882">
        <v>0</v>
      </c>
      <c r="CN620" s="1882">
        <v>0</v>
      </c>
      <c r="CP620" s="1882" t="s">
        <v>11653</v>
      </c>
    </row>
    <row r="621" spans="1:94">
      <c r="A621" s="1882" t="s">
        <v>8424</v>
      </c>
      <c r="B621" s="1882" t="s">
        <v>11654</v>
      </c>
      <c r="C621" s="1882" t="s">
        <v>8352</v>
      </c>
      <c r="D621" s="1882" t="s">
        <v>1626</v>
      </c>
      <c r="E621" s="1882" t="s">
        <v>8503</v>
      </c>
      <c r="F621" s="1882" t="s">
        <v>8980</v>
      </c>
      <c r="G621" s="1882" t="s">
        <v>7234</v>
      </c>
      <c r="H621" s="1882" t="s">
        <v>8981</v>
      </c>
      <c r="I621" s="1882" t="s">
        <v>8982</v>
      </c>
      <c r="J621" s="1882" t="s">
        <v>8508</v>
      </c>
      <c r="K621" s="1882" t="s">
        <v>8509</v>
      </c>
      <c r="L621" s="1882"/>
      <c r="M621" s="1882"/>
      <c r="N621" s="1882" t="s">
        <v>8463</v>
      </c>
      <c r="O621" s="1882" t="s">
        <v>764</v>
      </c>
      <c r="P621" s="1882" t="s">
        <v>8555</v>
      </c>
      <c r="Q621" s="520">
        <v>2</v>
      </c>
      <c r="R621" s="1882"/>
      <c r="S621" s="1882"/>
      <c r="T621" s="1882"/>
      <c r="U621" s="1882"/>
      <c r="V621" s="1882"/>
      <c r="W621" s="1882"/>
      <c r="X621" s="1882"/>
      <c r="Y621" s="1882"/>
      <c r="Z621" s="1882"/>
      <c r="AA621" s="1882"/>
      <c r="AB621" s="1882"/>
      <c r="AC621" s="1882"/>
      <c r="AD621" s="1882"/>
      <c r="AE621" s="1882"/>
      <c r="AF621" s="1882"/>
      <c r="AG621" s="1882"/>
      <c r="AH621" s="1882"/>
      <c r="AI621" s="1882"/>
      <c r="AJ621" s="1882"/>
      <c r="AK621" s="1882"/>
      <c r="AL621" s="1882"/>
      <c r="AM621" s="1882"/>
      <c r="AN621" s="1882"/>
      <c r="AO621" s="1882"/>
      <c r="AP621" s="1882"/>
      <c r="AQ621" s="1882"/>
      <c r="AR621" s="1882"/>
      <c r="AS621" s="1882"/>
      <c r="AT621" s="1882"/>
      <c r="AU621" s="1882"/>
      <c r="AV621" s="1882"/>
      <c r="AW621" s="1882"/>
      <c r="AX621" s="1882"/>
      <c r="AY621" s="1882"/>
      <c r="AZ621" s="1882"/>
      <c r="BA621" s="1882"/>
      <c r="BB621" s="1882"/>
      <c r="BC621" s="1882"/>
      <c r="BD621" s="1882"/>
      <c r="BE621" s="1882"/>
      <c r="BF621" s="1882"/>
      <c r="BG621" s="1882"/>
      <c r="BH621" s="1882"/>
      <c r="BI621" s="1882"/>
      <c r="BJ621" s="1882"/>
      <c r="BK621" s="1882"/>
      <c r="BL621" s="1882"/>
      <c r="BM621" s="1882"/>
      <c r="BN621" s="1882"/>
      <c r="BO621" s="1882"/>
      <c r="BQ621" s="1882"/>
      <c r="BR621" s="1882"/>
      <c r="BS621" s="1882"/>
      <c r="BT621" s="1882"/>
      <c r="BU621" s="1882"/>
      <c r="BV621" s="1882"/>
      <c r="BW621" s="1882"/>
      <c r="BX621" s="1882"/>
      <c r="BY621" s="1882"/>
      <c r="BZ621" s="1882"/>
      <c r="CA621" s="1882"/>
      <c r="CB621" s="1882"/>
      <c r="CC621" s="1882" t="s">
        <v>2451</v>
      </c>
      <c r="CH621" s="1882"/>
      <c r="CI621" s="1882">
        <v>0.45</v>
      </c>
      <c r="CJ621" s="1882" t="s">
        <v>2459</v>
      </c>
      <c r="CK621" s="1882">
        <v>0</v>
      </c>
      <c r="CL621" s="1882">
        <v>0</v>
      </c>
      <c r="CM621" s="1882" t="s">
        <v>8376</v>
      </c>
      <c r="CN621" s="1882">
        <v>1.9E-3</v>
      </c>
      <c r="CP621" s="1882" t="s">
        <v>11655</v>
      </c>
    </row>
    <row r="622" spans="1:94">
      <c r="A622" s="1882" t="s">
        <v>8424</v>
      </c>
      <c r="B622" s="1882" t="s">
        <v>11656</v>
      </c>
      <c r="C622" s="1882" t="s">
        <v>8352</v>
      </c>
      <c r="D622" s="1882" t="s">
        <v>1626</v>
      </c>
      <c r="E622" s="1882" t="s">
        <v>8503</v>
      </c>
      <c r="F622" s="1882" t="s">
        <v>8980</v>
      </c>
      <c r="G622" s="1882" t="s">
        <v>7235</v>
      </c>
      <c r="H622" s="1882" t="s">
        <v>8985</v>
      </c>
      <c r="I622" s="1882" t="s">
        <v>8986</v>
      </c>
      <c r="J622" s="1882" t="s">
        <v>8519</v>
      </c>
      <c r="K622" s="1882" t="s">
        <v>8509</v>
      </c>
      <c r="L622" s="1882"/>
      <c r="M622" s="1882"/>
      <c r="N622" s="1882" t="s">
        <v>8547</v>
      </c>
      <c r="O622" s="1882" t="s">
        <v>732</v>
      </c>
      <c r="P622" s="1882" t="s">
        <v>8548</v>
      </c>
      <c r="Q622" s="520">
        <v>2</v>
      </c>
      <c r="R622" s="1882"/>
      <c r="S622" s="1882"/>
      <c r="T622" s="1882"/>
      <c r="U622" s="1882"/>
      <c r="V622" s="1882"/>
      <c r="W622" s="1882"/>
      <c r="X622" s="1882"/>
      <c r="Y622" s="1882"/>
      <c r="Z622" s="1882"/>
      <c r="AA622" s="1882"/>
      <c r="AB622" s="1882"/>
      <c r="AC622" s="1882"/>
      <c r="AD622" s="1882"/>
      <c r="AE622" s="1882"/>
      <c r="AF622" s="1882"/>
      <c r="AG622" s="1882"/>
      <c r="AH622" s="1882"/>
      <c r="AI622" s="1882"/>
      <c r="AJ622" s="1882"/>
      <c r="AK622" s="1882"/>
      <c r="AL622" s="1882"/>
      <c r="AM622" s="1882"/>
      <c r="AN622" s="1882"/>
      <c r="AO622" s="1882"/>
      <c r="AP622" s="1882"/>
      <c r="AQ622" s="1882"/>
      <c r="AR622" s="1882"/>
      <c r="AS622" s="1882"/>
      <c r="AT622" s="1882"/>
      <c r="AU622" s="1882"/>
      <c r="AV622" s="1882"/>
      <c r="AW622" s="1882"/>
      <c r="AX622" s="1882"/>
      <c r="AY622" s="1882"/>
      <c r="AZ622" s="1882"/>
      <c r="BA622" s="1882"/>
      <c r="BB622" s="1882"/>
      <c r="BC622" s="1882"/>
      <c r="BD622" s="1882"/>
      <c r="BE622" s="1882"/>
      <c r="BF622" s="1882"/>
      <c r="BG622" s="1882"/>
      <c r="BH622" s="1882"/>
      <c r="BI622" s="1882"/>
      <c r="BJ622" s="1882"/>
      <c r="BK622" s="1882"/>
      <c r="BL622" s="1882"/>
      <c r="BM622" s="1882"/>
      <c r="BN622" s="1882"/>
      <c r="BO622" s="1882"/>
      <c r="BQ622" s="1882"/>
      <c r="BR622" s="1882"/>
      <c r="BS622" s="1882"/>
      <c r="BT622" s="1882"/>
      <c r="BU622" s="1882"/>
      <c r="BV622" s="1882"/>
      <c r="BW622" s="1882"/>
      <c r="BX622" s="1882"/>
      <c r="BY622" s="1882"/>
      <c r="BZ622" s="1882"/>
      <c r="CA622" s="1882"/>
      <c r="CB622" s="1882"/>
      <c r="CC622" s="1882" t="s">
        <v>2451</v>
      </c>
      <c r="CH622" s="1882"/>
      <c r="CI622" s="1882">
        <v>99.94</v>
      </c>
      <c r="CJ622" s="1882" t="s">
        <v>2460</v>
      </c>
      <c r="CK622" s="1882">
        <v>0</v>
      </c>
      <c r="CL622" s="1882">
        <v>0</v>
      </c>
      <c r="CM622" s="1882" t="s">
        <v>8384</v>
      </c>
      <c r="CN622" s="1882">
        <v>-1.89E-2</v>
      </c>
      <c r="CP622" s="1882" t="s">
        <v>11657</v>
      </c>
    </row>
    <row r="623" spans="1:94">
      <c r="A623" s="1882" t="s">
        <v>8424</v>
      </c>
      <c r="B623" s="1882" t="s">
        <v>11658</v>
      </c>
      <c r="C623" s="1882" t="s">
        <v>8352</v>
      </c>
      <c r="D623" s="1882" t="s">
        <v>1626</v>
      </c>
      <c r="E623" s="1882" t="s">
        <v>8503</v>
      </c>
      <c r="F623" s="1882" t="s">
        <v>9003</v>
      </c>
      <c r="G623" s="1882" t="s">
        <v>7236</v>
      </c>
      <c r="H623" s="1882" t="s">
        <v>9004</v>
      </c>
      <c r="I623" s="1882" t="s">
        <v>9005</v>
      </c>
      <c r="J623" s="1882" t="s">
        <v>8508</v>
      </c>
      <c r="K623" s="1882" t="s">
        <v>8509</v>
      </c>
      <c r="L623" s="1882"/>
      <c r="M623" s="1882"/>
      <c r="N623" s="1882" t="s">
        <v>2450</v>
      </c>
      <c r="O623" s="1882" t="s">
        <v>8607</v>
      </c>
      <c r="P623" s="1882" t="s">
        <v>9006</v>
      </c>
      <c r="Q623" s="520">
        <v>2</v>
      </c>
      <c r="R623" s="1882"/>
      <c r="S623" s="1882"/>
      <c r="T623" s="1882"/>
      <c r="U623" s="1882"/>
      <c r="V623" s="1882"/>
      <c r="W623" s="1882"/>
      <c r="X623" s="1882"/>
      <c r="Y623" s="1882"/>
      <c r="Z623" s="1882"/>
      <c r="AA623" s="1882"/>
      <c r="AB623" s="1882"/>
      <c r="AC623" s="1882"/>
      <c r="AD623" s="1882"/>
      <c r="AE623" s="1882"/>
      <c r="AF623" s="1882"/>
      <c r="AG623" s="1882"/>
      <c r="AH623" s="1882"/>
      <c r="AI623" s="1882"/>
      <c r="AJ623" s="1882"/>
      <c r="AK623" s="1882"/>
      <c r="AL623" s="1882"/>
      <c r="AM623" s="1882"/>
      <c r="AN623" s="1882"/>
      <c r="AO623" s="1882"/>
      <c r="AP623" s="1882"/>
      <c r="AQ623" s="1882"/>
      <c r="AR623" s="1882"/>
      <c r="AS623" s="1882"/>
      <c r="AT623" s="1882"/>
      <c r="AU623" s="1882"/>
      <c r="AV623" s="1882"/>
      <c r="AW623" s="1882"/>
      <c r="AX623" s="1882"/>
      <c r="AY623" s="1882"/>
      <c r="AZ623" s="1882"/>
      <c r="BA623" s="1882"/>
      <c r="BB623" s="1882"/>
      <c r="BC623" s="1882"/>
      <c r="BD623" s="1882"/>
      <c r="BE623" s="1882"/>
      <c r="BF623" s="1882"/>
      <c r="BG623" s="1882"/>
      <c r="BH623" s="1882"/>
      <c r="BI623" s="1882"/>
      <c r="BJ623" s="1882"/>
      <c r="BK623" s="1882"/>
      <c r="BL623" s="1882"/>
      <c r="BM623" s="1882"/>
      <c r="BN623" s="1882"/>
      <c r="BO623" s="1882"/>
      <c r="BQ623" s="1882"/>
      <c r="BR623" s="1882"/>
      <c r="BS623" s="1882"/>
      <c r="BT623" s="1882"/>
      <c r="BU623" s="1882"/>
      <c r="BV623" s="1882"/>
      <c r="BW623" s="1882"/>
      <c r="BX623" s="1882"/>
      <c r="BY623" s="1882"/>
      <c r="BZ623" s="1882"/>
      <c r="CA623" s="1882"/>
      <c r="CB623" s="1882"/>
      <c r="CC623" s="1882" t="s">
        <v>2451</v>
      </c>
      <c r="CH623" s="1882"/>
      <c r="CI623" s="1882">
        <v>0.03</v>
      </c>
      <c r="CJ623" s="1882" t="s">
        <v>2459</v>
      </c>
      <c r="CK623" s="1882">
        <v>0</v>
      </c>
      <c r="CL623" s="1882">
        <v>0</v>
      </c>
      <c r="CM623" s="1882" t="s">
        <v>8376</v>
      </c>
      <c r="CN623" s="1882">
        <v>7.3879999999999996E-3</v>
      </c>
      <c r="CP623" s="1882" t="s">
        <v>11659</v>
      </c>
    </row>
    <row r="624" spans="1:94">
      <c r="A624" s="1882" t="s">
        <v>8424</v>
      </c>
      <c r="B624" s="1882" t="s">
        <v>11660</v>
      </c>
      <c r="C624" s="1882" t="s">
        <v>8352</v>
      </c>
      <c r="D624" s="1882" t="s">
        <v>1626</v>
      </c>
      <c r="E624" s="1882" t="s">
        <v>8503</v>
      </c>
      <c r="F624" s="1882" t="s">
        <v>9003</v>
      </c>
      <c r="G624" s="1882" t="s">
        <v>7237</v>
      </c>
      <c r="H624" s="1882" t="s">
        <v>9010</v>
      </c>
      <c r="I624" s="1882" t="s">
        <v>9011</v>
      </c>
      <c r="J624" s="1882" t="s">
        <v>8508</v>
      </c>
      <c r="K624" s="1882" t="s">
        <v>8509</v>
      </c>
      <c r="L624" s="1882"/>
      <c r="M624" s="1882"/>
      <c r="N624" s="1882" t="s">
        <v>2444</v>
      </c>
      <c r="O624" s="1882" t="s">
        <v>764</v>
      </c>
      <c r="P624" s="1882" t="s">
        <v>9012</v>
      </c>
      <c r="Q624" s="520">
        <v>1</v>
      </c>
      <c r="R624" s="1882"/>
      <c r="S624" s="1882"/>
      <c r="T624" s="1882"/>
      <c r="U624" s="1882"/>
      <c r="V624" s="1882"/>
      <c r="W624" s="1882"/>
      <c r="X624" s="1882"/>
      <c r="Y624" s="1882"/>
      <c r="Z624" s="1882"/>
      <c r="AA624" s="1882"/>
      <c r="AB624" s="1882"/>
      <c r="AC624" s="1882"/>
      <c r="AD624" s="1882"/>
      <c r="AE624" s="1882"/>
      <c r="AF624" s="1882"/>
      <c r="AG624" s="1882"/>
      <c r="AH624" s="1882"/>
      <c r="AI624" s="1882"/>
      <c r="AJ624" s="1882"/>
      <c r="AK624" s="1882"/>
      <c r="AL624" s="1882"/>
      <c r="AM624" s="1882"/>
      <c r="AN624" s="1882"/>
      <c r="AO624" s="1882"/>
      <c r="AP624" s="1882"/>
      <c r="AQ624" s="1882"/>
      <c r="AR624" s="1882"/>
      <c r="AS624" s="1882"/>
      <c r="AT624" s="1882"/>
      <c r="AU624" s="1882"/>
      <c r="AV624" s="1882"/>
      <c r="AW624" s="1882"/>
      <c r="AX624" s="1882"/>
      <c r="AY624" s="1882"/>
      <c r="AZ624" s="1882"/>
      <c r="BA624" s="1882"/>
      <c r="BB624" s="1882"/>
      <c r="BC624" s="1882"/>
      <c r="BD624" s="1882"/>
      <c r="BE624" s="1882"/>
      <c r="BF624" s="1882"/>
      <c r="BG624" s="1882"/>
      <c r="BH624" s="1882"/>
      <c r="BI624" s="1882"/>
      <c r="BJ624" s="1882"/>
      <c r="BK624" s="1882"/>
      <c r="BL624" s="1882"/>
      <c r="BM624" s="1882"/>
      <c r="BN624" s="1882"/>
      <c r="BO624" s="1882"/>
      <c r="BQ624" s="1882"/>
      <c r="BR624" s="1882"/>
      <c r="BS624" s="1882"/>
      <c r="BT624" s="1882"/>
      <c r="BU624" s="1882"/>
      <c r="BV624" s="1882"/>
      <c r="BW624" s="1882"/>
      <c r="BX624" s="1882"/>
      <c r="BY624" s="1882"/>
      <c r="BZ624" s="1882"/>
      <c r="CA624" s="1882"/>
      <c r="CB624" s="1882"/>
      <c r="CC624" s="1882" t="s">
        <v>2451</v>
      </c>
      <c r="CH624" s="1882"/>
      <c r="CI624" s="1882">
        <v>97.8</v>
      </c>
      <c r="CJ624" s="1882" t="s">
        <v>2460</v>
      </c>
      <c r="CK624" s="1882">
        <v>0</v>
      </c>
      <c r="CL624" s="1882">
        <v>0</v>
      </c>
      <c r="CM624" s="1882" t="s">
        <v>8384</v>
      </c>
      <c r="CN624" s="1882">
        <v>-2.6200000000000001E-2</v>
      </c>
      <c r="CP624" s="1882" t="s">
        <v>11661</v>
      </c>
    </row>
    <row r="625" spans="1:94">
      <c r="A625" s="1882" t="s">
        <v>8424</v>
      </c>
      <c r="B625" s="1882" t="s">
        <v>11662</v>
      </c>
      <c r="C625" s="1882" t="s">
        <v>8352</v>
      </c>
      <c r="D625" s="1882" t="s">
        <v>1626</v>
      </c>
      <c r="E625" s="1882" t="s">
        <v>8503</v>
      </c>
      <c r="F625" s="1882" t="s">
        <v>9003</v>
      </c>
      <c r="G625" s="1882" t="s">
        <v>8250</v>
      </c>
      <c r="H625" s="1882" t="s">
        <v>9015</v>
      </c>
      <c r="I625" s="1882" t="s">
        <v>9016</v>
      </c>
      <c r="J625" s="1882" t="s">
        <v>8539</v>
      </c>
      <c r="K625" s="1882"/>
      <c r="L625" s="1882"/>
      <c r="M625" s="1882"/>
      <c r="N625" s="1882" t="s">
        <v>8527</v>
      </c>
      <c r="O625" s="1882" t="s">
        <v>8591</v>
      </c>
      <c r="P625" s="1882" t="s">
        <v>8643</v>
      </c>
      <c r="Q625" s="520">
        <v>0</v>
      </c>
      <c r="R625" s="1882"/>
      <c r="S625" s="1882"/>
      <c r="T625" s="1882"/>
      <c r="U625" s="1882"/>
      <c r="V625" s="1882"/>
      <c r="W625" s="1882"/>
      <c r="X625" s="1882"/>
      <c r="Y625" s="1882"/>
      <c r="Z625" s="1882"/>
      <c r="AA625" s="1882"/>
      <c r="AB625" s="1882"/>
      <c r="AC625" s="1882"/>
      <c r="AD625" s="1882"/>
      <c r="AE625" s="1882"/>
      <c r="AF625" s="1882"/>
      <c r="AG625" s="1882"/>
      <c r="AH625" s="1882"/>
      <c r="AI625" s="1882"/>
      <c r="AJ625" s="1882"/>
      <c r="AK625" s="1882"/>
      <c r="AL625" s="1882"/>
      <c r="AM625" s="1882"/>
      <c r="AN625" s="1882"/>
      <c r="AO625" s="1882"/>
      <c r="AP625" s="1882"/>
      <c r="AQ625" s="1882"/>
      <c r="AR625" s="1882"/>
      <c r="AS625" s="1882"/>
      <c r="AT625" s="1882"/>
      <c r="AU625" s="1882"/>
      <c r="AV625" s="1882"/>
      <c r="AW625" s="1882"/>
      <c r="AX625" s="1882"/>
      <c r="AY625" s="1882"/>
      <c r="AZ625" s="1882"/>
      <c r="BA625" s="1882"/>
      <c r="BB625" s="1882"/>
      <c r="BC625" s="1882"/>
      <c r="BD625" s="1882"/>
      <c r="BE625" s="1882"/>
      <c r="BF625" s="1882"/>
      <c r="BG625" s="1882"/>
      <c r="BH625" s="1882"/>
      <c r="BI625" s="1882"/>
      <c r="BJ625" s="1882"/>
      <c r="BK625" s="1882"/>
      <c r="BL625" s="1882"/>
      <c r="BM625" s="1882"/>
      <c r="BN625" s="1882"/>
      <c r="BO625" s="1882"/>
      <c r="BQ625" s="1882"/>
      <c r="BR625" s="1882"/>
      <c r="BS625" s="1882"/>
      <c r="BT625" s="1882"/>
      <c r="BU625" s="1882"/>
      <c r="BV625" s="1882"/>
      <c r="BW625" s="1882"/>
      <c r="BX625" s="1882"/>
      <c r="BY625" s="1882"/>
      <c r="BZ625" s="1882"/>
      <c r="CA625" s="1882"/>
      <c r="CB625" s="1882"/>
      <c r="CC625" s="1882" t="s">
        <v>2451</v>
      </c>
      <c r="CH625" s="1882"/>
      <c r="CI625" s="1882">
        <v>100</v>
      </c>
      <c r="CJ625" s="1882" t="s">
        <v>2459</v>
      </c>
      <c r="CK625" s="1882">
        <v>0</v>
      </c>
      <c r="CL625" s="1882">
        <v>0</v>
      </c>
      <c r="CM625" s="1882">
        <v>0</v>
      </c>
      <c r="CN625" s="1882">
        <v>0</v>
      </c>
      <c r="CP625" s="1882" t="s">
        <v>11663</v>
      </c>
    </row>
    <row r="626" spans="1:94">
      <c r="A626" s="1882" t="s">
        <v>8424</v>
      </c>
      <c r="B626" s="1882" t="s">
        <v>11664</v>
      </c>
      <c r="C626" s="1882" t="s">
        <v>8352</v>
      </c>
      <c r="D626" s="1882" t="s">
        <v>1626</v>
      </c>
      <c r="E626" s="1882" t="s">
        <v>8503</v>
      </c>
      <c r="F626" s="1882" t="s">
        <v>9003</v>
      </c>
      <c r="G626" s="1882" t="s">
        <v>9019</v>
      </c>
      <c r="H626" s="1882" t="s">
        <v>9020</v>
      </c>
      <c r="I626" s="1882" t="s">
        <v>9021</v>
      </c>
      <c r="J626" s="1882" t="s">
        <v>8508</v>
      </c>
      <c r="K626" s="1882" t="s">
        <v>8509</v>
      </c>
      <c r="L626" s="1882"/>
      <c r="M626" s="1882"/>
      <c r="N626" s="1882" t="s">
        <v>8569</v>
      </c>
      <c r="O626" s="1882" t="s">
        <v>764</v>
      </c>
      <c r="P626" s="1882" t="s">
        <v>8570</v>
      </c>
      <c r="Q626" s="520">
        <v>0</v>
      </c>
      <c r="R626" s="1882"/>
      <c r="S626" s="1882"/>
      <c r="T626" s="1882"/>
      <c r="U626" s="1882"/>
      <c r="V626" s="1882"/>
      <c r="W626" s="1882"/>
      <c r="X626" s="1882"/>
      <c r="Y626" s="1882"/>
      <c r="Z626" s="1882"/>
      <c r="AA626" s="1882"/>
      <c r="AB626" s="1882"/>
      <c r="AC626" s="1882"/>
      <c r="AD626" s="1882"/>
      <c r="AE626" s="1882"/>
      <c r="AF626" s="1882"/>
      <c r="AG626" s="1882"/>
      <c r="AH626" s="1882"/>
      <c r="AI626" s="1882"/>
      <c r="AJ626" s="1882"/>
      <c r="AK626" s="1882"/>
      <c r="AL626" s="1882"/>
      <c r="AM626" s="1882"/>
      <c r="AN626" s="1882"/>
      <c r="AO626" s="1882"/>
      <c r="AP626" s="1882"/>
      <c r="AQ626" s="1882"/>
      <c r="AR626" s="1882"/>
      <c r="AS626" s="1882"/>
      <c r="AT626" s="1882"/>
      <c r="AU626" s="1882"/>
      <c r="AV626" s="1882"/>
      <c r="AW626" s="1882"/>
      <c r="AX626" s="1882"/>
      <c r="AY626" s="1882"/>
      <c r="AZ626" s="1882"/>
      <c r="BA626" s="1882"/>
      <c r="BB626" s="1882"/>
      <c r="BC626" s="1882"/>
      <c r="BD626" s="1882"/>
      <c r="BE626" s="1882"/>
      <c r="BF626" s="1882"/>
      <c r="BG626" s="1882"/>
      <c r="BH626" s="1882"/>
      <c r="BI626" s="1882"/>
      <c r="BJ626" s="1882"/>
      <c r="BK626" s="1882"/>
      <c r="BL626" s="1882"/>
      <c r="BM626" s="1882"/>
      <c r="BN626" s="1882"/>
      <c r="BO626" s="1882"/>
      <c r="BQ626" s="1882"/>
      <c r="BR626" s="1882"/>
      <c r="BS626" s="1882"/>
      <c r="BT626" s="1882"/>
      <c r="BU626" s="1882"/>
      <c r="BV626" s="1882"/>
      <c r="BW626" s="1882"/>
      <c r="BX626" s="1882"/>
      <c r="BY626" s="1882"/>
      <c r="BZ626" s="1882"/>
      <c r="CA626" s="1882"/>
      <c r="CB626" s="1882"/>
      <c r="CC626" s="1882" t="s">
        <v>2451</v>
      </c>
      <c r="CH626" s="1882"/>
      <c r="CI626" s="1882">
        <v>68</v>
      </c>
      <c r="CJ626" s="1882" t="s">
        <v>2460</v>
      </c>
      <c r="CK626" s="1882">
        <v>0</v>
      </c>
      <c r="CL626" s="1882">
        <v>0</v>
      </c>
      <c r="CM626" s="1882" t="s">
        <v>8388</v>
      </c>
      <c r="CN626" s="1882">
        <v>0</v>
      </c>
      <c r="CP626" s="1882" t="s">
        <v>11665</v>
      </c>
    </row>
    <row r="627" spans="1:94">
      <c r="A627" s="1882" t="s">
        <v>8424</v>
      </c>
      <c r="B627" s="1882" t="s">
        <v>11666</v>
      </c>
      <c r="C627" s="1882" t="s">
        <v>8352</v>
      </c>
      <c r="D627" s="1882" t="s">
        <v>1626</v>
      </c>
      <c r="E627" s="1882" t="s">
        <v>8503</v>
      </c>
      <c r="F627" s="1882" t="s">
        <v>9024</v>
      </c>
      <c r="G627" s="1882" t="s">
        <v>8254</v>
      </c>
      <c r="H627" s="1882" t="s">
        <v>9025</v>
      </c>
      <c r="I627" s="1882" t="s">
        <v>9026</v>
      </c>
      <c r="J627" s="1882" t="s">
        <v>8539</v>
      </c>
      <c r="K627" s="1882"/>
      <c r="L627" s="1882"/>
      <c r="M627" s="1882"/>
      <c r="N627" s="1882" t="s">
        <v>8681</v>
      </c>
      <c r="O627" s="1882" t="s">
        <v>764</v>
      </c>
      <c r="P627" s="1882" t="s">
        <v>9027</v>
      </c>
      <c r="Q627" s="520">
        <v>0</v>
      </c>
      <c r="R627" s="1882"/>
      <c r="S627" s="1882"/>
      <c r="T627" s="1882"/>
      <c r="U627" s="1882"/>
      <c r="V627" s="1882"/>
      <c r="W627" s="1882"/>
      <c r="X627" s="1882"/>
      <c r="Y627" s="1882"/>
      <c r="Z627" s="1882"/>
      <c r="AA627" s="1882"/>
      <c r="AB627" s="1882"/>
      <c r="AC627" s="1882"/>
      <c r="AD627" s="1882"/>
      <c r="AE627" s="1882"/>
      <c r="AF627" s="1882"/>
      <c r="AG627" s="1882"/>
      <c r="AH627" s="1882"/>
      <c r="AI627" s="1882"/>
      <c r="AJ627" s="1882"/>
      <c r="AK627" s="1882"/>
      <c r="AL627" s="1882"/>
      <c r="AM627" s="1882"/>
      <c r="AN627" s="1882"/>
      <c r="AO627" s="1882"/>
      <c r="AP627" s="1882"/>
      <c r="AQ627" s="1882"/>
      <c r="AR627" s="1882"/>
      <c r="AS627" s="1882"/>
      <c r="AT627" s="1882"/>
      <c r="AU627" s="1882"/>
      <c r="AV627" s="1882"/>
      <c r="AW627" s="1882"/>
      <c r="AX627" s="1882"/>
      <c r="AY627" s="1882"/>
      <c r="AZ627" s="1882"/>
      <c r="BA627" s="1882"/>
      <c r="BB627" s="1882"/>
      <c r="BC627" s="1882"/>
      <c r="BD627" s="1882"/>
      <c r="BE627" s="1882"/>
      <c r="BF627" s="1882"/>
      <c r="BG627" s="1882"/>
      <c r="BH627" s="1882"/>
      <c r="BI627" s="1882"/>
      <c r="BJ627" s="1882"/>
      <c r="BK627" s="1882"/>
      <c r="BL627" s="1882"/>
      <c r="BM627" s="1882"/>
      <c r="BN627" s="1882"/>
      <c r="BO627" s="1882"/>
      <c r="BQ627" s="1882"/>
      <c r="BR627" s="1882"/>
      <c r="BS627" s="1882"/>
      <c r="BT627" s="1882"/>
      <c r="BU627" s="1882"/>
      <c r="BV627" s="1882"/>
      <c r="BW627" s="1882"/>
      <c r="BX627" s="1882"/>
      <c r="BY627" s="1882"/>
      <c r="BZ627" s="1882"/>
      <c r="CA627" s="1882"/>
      <c r="CB627" s="1882"/>
      <c r="CC627" s="1882" t="s">
        <v>2451</v>
      </c>
      <c r="CH627" s="1882"/>
      <c r="CI627" s="1882">
        <v>951</v>
      </c>
      <c r="CJ627" s="1882" t="s">
        <v>2459</v>
      </c>
      <c r="CK627" s="1882">
        <v>0</v>
      </c>
      <c r="CL627" s="1882">
        <v>0</v>
      </c>
      <c r="CM627" s="1882">
        <v>0</v>
      </c>
      <c r="CN627" s="1882">
        <v>0</v>
      </c>
      <c r="CP627" s="1882" t="s">
        <v>11667</v>
      </c>
    </row>
    <row r="628" spans="1:94">
      <c r="A628" s="1882" t="s">
        <v>8424</v>
      </c>
      <c r="B628" s="1882" t="s">
        <v>11668</v>
      </c>
      <c r="C628" s="1882" t="s">
        <v>8352</v>
      </c>
      <c r="D628" s="1882" t="s">
        <v>1626</v>
      </c>
      <c r="E628" s="1882" t="s">
        <v>8503</v>
      </c>
      <c r="F628" s="1882" t="s">
        <v>9030</v>
      </c>
      <c r="G628" s="1882" t="s">
        <v>8261</v>
      </c>
      <c r="H628" s="1882" t="s">
        <v>9031</v>
      </c>
      <c r="I628" s="1882" t="s">
        <v>9032</v>
      </c>
      <c r="J628" s="1882" t="s">
        <v>8539</v>
      </c>
      <c r="K628" s="1882"/>
      <c r="L628" s="1882"/>
      <c r="M628" s="1882"/>
      <c r="N628" s="1882" t="s">
        <v>8695</v>
      </c>
      <c r="O628" s="1882" t="s">
        <v>732</v>
      </c>
      <c r="P628" s="1882" t="s">
        <v>8696</v>
      </c>
      <c r="Q628" s="520" t="s">
        <v>8512</v>
      </c>
      <c r="R628" s="1882"/>
      <c r="S628" s="1882"/>
      <c r="T628" s="1882"/>
      <c r="U628" s="1882"/>
      <c r="V628" s="1882"/>
      <c r="W628" s="1882"/>
      <c r="X628" s="1882"/>
      <c r="Y628" s="1882"/>
      <c r="Z628" s="1882"/>
      <c r="AA628" s="1882"/>
      <c r="AB628" s="1882"/>
      <c r="AC628" s="1882"/>
      <c r="AD628" s="1882"/>
      <c r="AE628" s="1882"/>
      <c r="AF628" s="1882"/>
      <c r="AG628" s="1882"/>
      <c r="AH628" s="1882"/>
      <c r="AI628" s="1882"/>
      <c r="AJ628" s="1882"/>
      <c r="AK628" s="1882"/>
      <c r="AL628" s="1882"/>
      <c r="AM628" s="1882"/>
      <c r="AN628" s="1882"/>
      <c r="AO628" s="1882"/>
      <c r="AP628" s="1882"/>
      <c r="AQ628" s="1882"/>
      <c r="AR628" s="1882"/>
      <c r="AS628" s="1882"/>
      <c r="AT628" s="1882"/>
      <c r="AU628" s="1882"/>
      <c r="AV628" s="1882"/>
      <c r="AW628" s="1882"/>
      <c r="AX628" s="1882"/>
      <c r="AY628" s="1882"/>
      <c r="AZ628" s="1882"/>
      <c r="BA628" s="1882"/>
      <c r="BB628" s="1882"/>
      <c r="BC628" s="1882"/>
      <c r="BD628" s="1882"/>
      <c r="BE628" s="1882"/>
      <c r="BF628" s="1882"/>
      <c r="BG628" s="1882"/>
      <c r="BH628" s="1882"/>
      <c r="BI628" s="1882"/>
      <c r="BJ628" s="1882"/>
      <c r="BK628" s="1882"/>
      <c r="BL628" s="1882"/>
      <c r="BM628" s="1882"/>
      <c r="BN628" s="1882"/>
      <c r="BO628" s="1882"/>
      <c r="BQ628" s="1882"/>
      <c r="BR628" s="1882"/>
      <c r="BS628" s="1882"/>
      <c r="BT628" s="1882"/>
      <c r="BU628" s="1882"/>
      <c r="BV628" s="1882"/>
      <c r="BW628" s="1882"/>
      <c r="BX628" s="1882"/>
      <c r="BY628" s="1882"/>
      <c r="BZ628" s="1882"/>
      <c r="CA628" s="1882"/>
      <c r="CB628" s="1882"/>
      <c r="CC628" s="1882" t="s">
        <v>2451</v>
      </c>
      <c r="CH628" s="1882"/>
      <c r="CI628" s="1882">
        <v>67</v>
      </c>
      <c r="CJ628" s="1882" t="s">
        <v>2460</v>
      </c>
      <c r="CK628" s="1882">
        <v>0</v>
      </c>
      <c r="CL628" s="1882">
        <v>0</v>
      </c>
      <c r="CM628" s="1882">
        <v>0</v>
      </c>
      <c r="CN628" s="1882">
        <v>0</v>
      </c>
      <c r="CP628" s="1882" t="s">
        <v>11669</v>
      </c>
    </row>
    <row r="629" spans="1:94">
      <c r="A629" s="1882" t="s">
        <v>8424</v>
      </c>
      <c r="B629" s="1882" t="s">
        <v>11670</v>
      </c>
      <c r="C629" s="1882" t="s">
        <v>8352</v>
      </c>
      <c r="D629" s="1882" t="s">
        <v>9036</v>
      </c>
      <c r="E629" s="1882" t="s">
        <v>9037</v>
      </c>
      <c r="F629" s="1882" t="s">
        <v>9038</v>
      </c>
      <c r="G629" s="1882" t="s">
        <v>8293</v>
      </c>
      <c r="H629" s="1882" t="s">
        <v>9039</v>
      </c>
      <c r="I629" s="1882" t="s">
        <v>9040</v>
      </c>
      <c r="J629" s="1882" t="s">
        <v>8508</v>
      </c>
      <c r="K629" s="1882" t="s">
        <v>8509</v>
      </c>
      <c r="L629" s="1882"/>
      <c r="M629" s="1882" t="s">
        <v>2460</v>
      </c>
      <c r="N629" s="1882" t="s">
        <v>8590</v>
      </c>
      <c r="O629" s="1882" t="s">
        <v>8591</v>
      </c>
      <c r="P629" s="1882" t="s">
        <v>8592</v>
      </c>
      <c r="Q629" s="520">
        <v>1</v>
      </c>
      <c r="R629" s="1882"/>
      <c r="S629" s="1882"/>
      <c r="T629" s="1882"/>
      <c r="U629" s="1882"/>
      <c r="V629" s="1882"/>
      <c r="W629" s="1882"/>
      <c r="X629" s="1882"/>
      <c r="Y629" s="1882"/>
      <c r="Z629" s="1882"/>
      <c r="AA629" s="1882"/>
      <c r="AB629" s="1882"/>
      <c r="AC629" s="1882"/>
      <c r="AD629" s="1882"/>
      <c r="AE629" s="1882"/>
      <c r="AF629" s="1882"/>
      <c r="AG629" s="1882"/>
      <c r="AH629" s="1882"/>
      <c r="AI629" s="1882"/>
      <c r="AJ629" s="1882"/>
      <c r="AK629" s="1882"/>
      <c r="AL629" s="1882"/>
      <c r="AM629" s="1882"/>
      <c r="AN629" s="1882"/>
      <c r="AO629" s="1882"/>
      <c r="AP629" s="1882"/>
      <c r="AQ629" s="1882"/>
      <c r="AR629" s="1882"/>
      <c r="AS629" s="1882"/>
      <c r="AT629" s="1882"/>
      <c r="AU629" s="1882"/>
      <c r="AV629" s="1882"/>
      <c r="AW629" s="1882"/>
      <c r="AX629" s="1882"/>
      <c r="AY629" s="1882"/>
      <c r="AZ629" s="1882"/>
      <c r="BA629" s="1882"/>
      <c r="BB629" s="1882"/>
      <c r="BC629" s="1882"/>
      <c r="BD629" s="1882"/>
      <c r="BE629" s="1882"/>
      <c r="BF629" s="1882"/>
      <c r="BG629" s="1882"/>
      <c r="BH629" s="1882"/>
      <c r="BI629" s="1882"/>
      <c r="BJ629" s="1882"/>
      <c r="BK629" s="1882"/>
      <c r="BL629" s="1882"/>
      <c r="BM629" s="1882"/>
      <c r="BN629" s="1882"/>
      <c r="BO629" s="1882"/>
      <c r="BQ629" s="1882"/>
      <c r="BR629" s="1882"/>
      <c r="BS629" s="1882"/>
      <c r="BT629" s="1882"/>
      <c r="BU629" s="1882"/>
      <c r="BV629" s="1882"/>
      <c r="BW629" s="1882"/>
      <c r="BX629" s="1882"/>
      <c r="BY629" s="1882"/>
      <c r="BZ629" s="1882"/>
      <c r="CA629" s="1882"/>
      <c r="CB629" s="1882"/>
      <c r="CC629" s="1882" t="s">
        <v>2451</v>
      </c>
      <c r="CH629" s="1882"/>
      <c r="CI629" s="1882">
        <v>83.9</v>
      </c>
      <c r="CJ629" s="1882" t="s">
        <v>2459</v>
      </c>
      <c r="CK629" s="1882">
        <v>0</v>
      </c>
      <c r="CL629" s="1882">
        <v>0</v>
      </c>
      <c r="CM629" s="1882">
        <v>0</v>
      </c>
      <c r="CN629" s="1882">
        <v>0</v>
      </c>
      <c r="CP629" s="1882" t="s">
        <v>11671</v>
      </c>
    </row>
    <row r="630" spans="1:94">
      <c r="A630" s="1882" t="s">
        <v>8424</v>
      </c>
      <c r="B630" s="1882" t="s">
        <v>11672</v>
      </c>
      <c r="C630" s="1882" t="s">
        <v>8352</v>
      </c>
      <c r="D630" s="1882" t="s">
        <v>8584</v>
      </c>
      <c r="E630" s="1882" t="s">
        <v>8585</v>
      </c>
      <c r="F630" s="1882" t="s">
        <v>9043</v>
      </c>
      <c r="G630" s="1882" t="s">
        <v>8277</v>
      </c>
      <c r="H630" s="1882" t="s">
        <v>9044</v>
      </c>
      <c r="I630" s="1882" t="s">
        <v>9045</v>
      </c>
      <c r="J630" s="1882" t="s">
        <v>8539</v>
      </c>
      <c r="K630" s="1882"/>
      <c r="L630" s="1882"/>
      <c r="M630" s="1882"/>
      <c r="N630" s="1882" t="s">
        <v>8520</v>
      </c>
      <c r="O630" s="1882" t="s">
        <v>764</v>
      </c>
      <c r="P630" s="1882" t="s">
        <v>9046</v>
      </c>
      <c r="Q630" s="520">
        <v>2</v>
      </c>
      <c r="R630" s="1882"/>
      <c r="S630" s="1882"/>
      <c r="T630" s="1882"/>
      <c r="U630" s="1882"/>
      <c r="V630" s="1882"/>
      <c r="W630" s="1882"/>
      <c r="X630" s="1882"/>
      <c r="Y630" s="1882"/>
      <c r="Z630" s="1882"/>
      <c r="AA630" s="1882"/>
      <c r="AB630" s="1882"/>
      <c r="AC630" s="1882"/>
      <c r="AD630" s="1882"/>
      <c r="AE630" s="1882"/>
      <c r="AF630" s="1882"/>
      <c r="AG630" s="1882"/>
      <c r="AH630" s="1882"/>
      <c r="AI630" s="1882"/>
      <c r="AJ630" s="1882"/>
      <c r="AK630" s="1882"/>
      <c r="AL630" s="1882"/>
      <c r="AM630" s="1882"/>
      <c r="AN630" s="1882"/>
      <c r="AO630" s="1882"/>
      <c r="AP630" s="1882"/>
      <c r="AQ630" s="1882"/>
      <c r="AR630" s="1882"/>
      <c r="AS630" s="1882"/>
      <c r="AT630" s="1882"/>
      <c r="AU630" s="1882"/>
      <c r="AV630" s="1882"/>
      <c r="AW630" s="1882"/>
      <c r="AX630" s="1882"/>
      <c r="AY630" s="1882"/>
      <c r="AZ630" s="1882"/>
      <c r="BA630" s="1882"/>
      <c r="BB630" s="1882"/>
      <c r="BC630" s="1882"/>
      <c r="BD630" s="1882"/>
      <c r="BE630" s="1882"/>
      <c r="BF630" s="1882"/>
      <c r="BG630" s="1882"/>
      <c r="BH630" s="1882"/>
      <c r="BI630" s="1882"/>
      <c r="BJ630" s="1882"/>
      <c r="BK630" s="1882"/>
      <c r="BL630" s="1882"/>
      <c r="BM630" s="1882"/>
      <c r="BN630" s="1882"/>
      <c r="BO630" s="1882"/>
      <c r="BQ630" s="1882"/>
      <c r="BR630" s="1882"/>
      <c r="BS630" s="1882"/>
      <c r="BT630" s="1882"/>
      <c r="BU630" s="1882"/>
      <c r="BV630" s="1882"/>
      <c r="BW630" s="1882"/>
      <c r="BX630" s="1882"/>
      <c r="BY630" s="1882"/>
      <c r="BZ630" s="1882"/>
      <c r="CA630" s="1882"/>
      <c r="CB630" s="1882"/>
      <c r="CC630" s="1882" t="s">
        <v>2451</v>
      </c>
      <c r="CH630" s="1882"/>
      <c r="CI630" s="1882">
        <v>132.76</v>
      </c>
      <c r="CJ630" s="1882" t="s">
        <v>2460</v>
      </c>
      <c r="CK630" s="1882">
        <v>0</v>
      </c>
      <c r="CL630" s="1882">
        <v>0</v>
      </c>
      <c r="CM630" s="1882">
        <v>0</v>
      </c>
      <c r="CN630" s="1882">
        <v>0</v>
      </c>
      <c r="CP630" s="1882" t="s">
        <v>11673</v>
      </c>
    </row>
    <row r="631" spans="1:94">
      <c r="A631" s="1882" t="s">
        <v>8424</v>
      </c>
      <c r="B631" s="1882" t="s">
        <v>11674</v>
      </c>
      <c r="C631" s="1882" t="s">
        <v>8352</v>
      </c>
      <c r="D631" s="1882" t="s">
        <v>8584</v>
      </c>
      <c r="E631" s="1882" t="s">
        <v>8585</v>
      </c>
      <c r="F631" s="1882" t="s">
        <v>9043</v>
      </c>
      <c r="G631" s="1882" t="s">
        <v>8280</v>
      </c>
      <c r="H631" s="1882" t="s">
        <v>9049</v>
      </c>
      <c r="I631" s="1882" t="s">
        <v>9050</v>
      </c>
      <c r="J631" s="1882" t="s">
        <v>8508</v>
      </c>
      <c r="K631" s="1882" t="s">
        <v>8509</v>
      </c>
      <c r="L631" s="1882"/>
      <c r="M631" s="1882" t="s">
        <v>2460</v>
      </c>
      <c r="N631" s="1882" t="s">
        <v>8590</v>
      </c>
      <c r="O631" s="1882" t="s">
        <v>8591</v>
      </c>
      <c r="P631" s="1882" t="s">
        <v>8592</v>
      </c>
      <c r="Q631" s="520">
        <v>1</v>
      </c>
      <c r="R631" s="1882"/>
      <c r="S631" s="1882"/>
      <c r="T631" s="1882"/>
      <c r="U631" s="1882"/>
      <c r="V631" s="1882"/>
      <c r="W631" s="1882"/>
      <c r="X631" s="1882"/>
      <c r="Y631" s="1882"/>
      <c r="Z631" s="1882"/>
      <c r="AA631" s="1882"/>
      <c r="AB631" s="1882"/>
      <c r="AC631" s="1882"/>
      <c r="AD631" s="1882"/>
      <c r="AE631" s="1882"/>
      <c r="AF631" s="1882"/>
      <c r="AG631" s="1882"/>
      <c r="AH631" s="1882"/>
      <c r="AI631" s="1882"/>
      <c r="AJ631" s="1882"/>
      <c r="AK631" s="1882"/>
      <c r="AL631" s="1882"/>
      <c r="AM631" s="1882"/>
      <c r="AN631" s="1882"/>
      <c r="AO631" s="1882"/>
      <c r="AP631" s="1882"/>
      <c r="AQ631" s="1882"/>
      <c r="AR631" s="1882"/>
      <c r="AS631" s="1882"/>
      <c r="AT631" s="1882"/>
      <c r="AU631" s="1882"/>
      <c r="AV631" s="1882"/>
      <c r="AW631" s="1882"/>
      <c r="AX631" s="1882"/>
      <c r="AY631" s="1882"/>
      <c r="AZ631" s="1882"/>
      <c r="BA631" s="1882"/>
      <c r="BB631" s="1882"/>
      <c r="BC631" s="1882"/>
      <c r="BD631" s="1882"/>
      <c r="BE631" s="1882"/>
      <c r="BF631" s="1882"/>
      <c r="BG631" s="1882"/>
      <c r="BH631" s="1882"/>
      <c r="BI631" s="1882"/>
      <c r="BJ631" s="1882"/>
      <c r="BK631" s="1882"/>
      <c r="BL631" s="1882"/>
      <c r="BM631" s="1882"/>
      <c r="BN631" s="1882"/>
      <c r="BO631" s="1882"/>
      <c r="BQ631" s="1882"/>
      <c r="BR631" s="1882"/>
      <c r="BS631" s="1882"/>
      <c r="BT631" s="1882"/>
      <c r="BU631" s="1882"/>
      <c r="BV631" s="1882"/>
      <c r="BW631" s="1882"/>
      <c r="BX631" s="1882"/>
      <c r="BY631" s="1882"/>
      <c r="BZ631" s="1882"/>
      <c r="CA631" s="1882"/>
      <c r="CB631" s="1882"/>
      <c r="CC631" s="1882" t="s">
        <v>2451</v>
      </c>
      <c r="CH631" s="1882"/>
      <c r="CI631" s="1882">
        <v>78.400000000000006</v>
      </c>
      <c r="CJ631" s="1882" t="s">
        <v>2460</v>
      </c>
      <c r="CK631" s="1882">
        <v>0</v>
      </c>
      <c r="CL631" s="1882">
        <v>0</v>
      </c>
      <c r="CM631" s="1882">
        <v>0</v>
      </c>
      <c r="CN631" s="1882">
        <v>0</v>
      </c>
      <c r="CP631" s="1882" t="s">
        <v>11675</v>
      </c>
    </row>
    <row r="632" spans="1:94" ht="7.5" customHeight="1">
      <c r="A632" s="2067"/>
      <c r="B632" s="2067"/>
      <c r="C632" s="2067"/>
      <c r="D632" s="2067"/>
      <c r="E632" s="2067"/>
      <c r="F632" s="2067"/>
      <c r="G632" s="2067"/>
      <c r="H632" s="2067"/>
      <c r="I632" s="2067"/>
      <c r="J632" s="2067"/>
      <c r="K632" s="2067"/>
      <c r="L632" s="2067"/>
      <c r="M632" s="2067"/>
      <c r="N632" s="2067"/>
      <c r="O632" s="2067"/>
      <c r="P632" s="2067"/>
      <c r="Q632" s="2068"/>
      <c r="R632" s="2067"/>
      <c r="S632" s="2067"/>
      <c r="T632" s="2067"/>
      <c r="U632" s="2067"/>
      <c r="V632" s="2067"/>
      <c r="W632" s="2067"/>
      <c r="X632" s="2067"/>
      <c r="Y632" s="2067"/>
      <c r="Z632" s="2067"/>
      <c r="AA632" s="2067"/>
      <c r="AB632" s="2067"/>
      <c r="AC632" s="2067"/>
      <c r="AD632" s="2067"/>
      <c r="AE632" s="2067"/>
      <c r="AF632" s="2067"/>
      <c r="AG632" s="2067"/>
      <c r="AH632" s="2067"/>
      <c r="AI632" s="2067"/>
      <c r="AJ632" s="2067"/>
      <c r="AK632" s="2067"/>
      <c r="AL632" s="2067"/>
      <c r="AM632" s="2067"/>
      <c r="AN632" s="2067"/>
      <c r="AO632" s="2067"/>
      <c r="AP632" s="2067"/>
      <c r="AQ632" s="2067"/>
      <c r="AR632" s="2067"/>
      <c r="AS632" s="2067"/>
      <c r="AT632" s="2067"/>
      <c r="AU632" s="2067"/>
      <c r="AV632" s="2067"/>
      <c r="AW632" s="2067"/>
      <c r="AX632" s="2067"/>
      <c r="AY632" s="2067"/>
      <c r="AZ632" s="2067"/>
      <c r="BA632" s="2067"/>
      <c r="BB632" s="2067"/>
      <c r="BC632" s="2067"/>
      <c r="BD632" s="2067"/>
      <c r="BE632" s="2067"/>
      <c r="BF632" s="2067"/>
      <c r="BG632" s="2067"/>
      <c r="BH632" s="2067"/>
      <c r="BI632" s="2067"/>
      <c r="BJ632" s="2067"/>
      <c r="BK632" s="2067"/>
      <c r="BL632" s="2067"/>
      <c r="BM632" s="2067"/>
      <c r="BN632" s="2067"/>
      <c r="BO632" s="2067"/>
      <c r="BP632" s="2068"/>
      <c r="BQ632" s="2067"/>
      <c r="BR632" s="2067"/>
      <c r="BS632" s="2067"/>
      <c r="BT632" s="2067"/>
      <c r="BU632" s="2067"/>
      <c r="BV632" s="2067"/>
      <c r="BW632" s="2067"/>
      <c r="BX632" s="2067"/>
      <c r="BY632" s="2067"/>
      <c r="BZ632" s="2067"/>
      <c r="CA632" s="2067"/>
      <c r="CB632" s="2067"/>
      <c r="CC632" s="2067"/>
      <c r="CD632" s="2067"/>
      <c r="CE632" s="2067"/>
      <c r="CF632" s="2067"/>
      <c r="CG632" s="2067"/>
      <c r="CH632" s="2067"/>
      <c r="CI632" s="2067"/>
      <c r="CJ632" s="2067"/>
      <c r="CK632" s="2067"/>
      <c r="CL632" s="2067"/>
      <c r="CM632" s="2067"/>
      <c r="CN632" s="2067"/>
      <c r="CP632" s="2067"/>
    </row>
    <row r="633" spans="1:94">
      <c r="A633" s="1882"/>
      <c r="B633" s="1882"/>
      <c r="C633" s="1882"/>
      <c r="D633" s="1882"/>
      <c r="E633" s="1882"/>
      <c r="F633" s="1882"/>
      <c r="G633" s="1882"/>
      <c r="H633" s="1882"/>
      <c r="I633" s="1882"/>
      <c r="J633" s="1882"/>
      <c r="K633" s="1882"/>
      <c r="L633" s="1882"/>
      <c r="M633" s="1882"/>
      <c r="N633" s="1882"/>
      <c r="O633" s="1882"/>
      <c r="P633" s="1882"/>
      <c r="R633" s="1882"/>
      <c r="S633" s="1882"/>
      <c r="T633" s="1882"/>
      <c r="U633" s="1882"/>
      <c r="V633" s="1882"/>
      <c r="W633" s="1882"/>
      <c r="X633" s="1882"/>
      <c r="Y633" s="1882"/>
      <c r="Z633" s="1882"/>
      <c r="AA633" s="1882"/>
      <c r="AB633" s="1882"/>
      <c r="AC633" s="1882"/>
      <c r="AD633" s="1882"/>
      <c r="AE633" s="1882"/>
      <c r="AF633" s="1882"/>
      <c r="AG633" s="1882"/>
      <c r="AH633" s="1882"/>
      <c r="AI633" s="1882"/>
      <c r="AJ633" s="1882"/>
      <c r="AK633" s="1882"/>
      <c r="AL633" s="1882"/>
      <c r="AM633" s="1882"/>
      <c r="AN633" s="1882"/>
      <c r="AO633" s="1882"/>
      <c r="AP633" s="1882"/>
      <c r="AQ633" s="1882"/>
      <c r="AR633" s="1882"/>
      <c r="AS633" s="1882"/>
      <c r="AT633" s="1882"/>
      <c r="AU633" s="1882"/>
      <c r="AV633" s="1882"/>
      <c r="AW633" s="1882"/>
      <c r="AX633" s="1882"/>
      <c r="AY633" s="1882"/>
      <c r="AZ633" s="1882"/>
      <c r="BA633" s="1882"/>
      <c r="BB633" s="1882"/>
      <c r="BC633" s="1882"/>
      <c r="BD633" s="1882"/>
      <c r="BE633" s="1882"/>
      <c r="BF633" s="1882"/>
      <c r="BG633" s="1882"/>
      <c r="BH633" s="1882"/>
      <c r="BI633" s="1882"/>
      <c r="BJ633" s="1882"/>
      <c r="BK633" s="1882"/>
      <c r="BL633" s="1882"/>
      <c r="BM633" s="1882"/>
      <c r="BN633" s="1882"/>
      <c r="BO633" s="1882"/>
      <c r="BQ633" s="1882"/>
      <c r="BR633" s="1882"/>
      <c r="BS633" s="1882"/>
      <c r="BT633" s="1882"/>
      <c r="BU633" s="1882"/>
      <c r="BV633" s="1882"/>
      <c r="BW633" s="1882"/>
      <c r="BX633" s="1882"/>
      <c r="BY633" s="1882"/>
      <c r="BZ633" s="1882"/>
      <c r="CA633" s="1882"/>
      <c r="CB633" s="1882"/>
      <c r="CH633" s="1882"/>
      <c r="CP633" s="1882"/>
    </row>
    <row r="634" spans="1:94">
      <c r="A634" s="1882"/>
      <c r="B634" s="1882"/>
      <c r="C634" s="1882"/>
      <c r="D634" s="1882"/>
      <c r="E634" s="1882"/>
      <c r="F634" s="1882"/>
      <c r="G634" s="1882"/>
      <c r="H634" s="1882"/>
      <c r="I634" s="1882"/>
      <c r="J634" s="1882"/>
      <c r="K634" s="1882"/>
      <c r="L634" s="1882"/>
      <c r="M634" s="1882"/>
      <c r="N634" s="1882"/>
      <c r="O634" s="1882"/>
      <c r="P634" s="1882"/>
      <c r="R634" s="1882"/>
      <c r="S634" s="1882"/>
      <c r="T634" s="1882"/>
      <c r="U634" s="1882"/>
      <c r="V634" s="1882"/>
      <c r="W634" s="1882"/>
      <c r="X634" s="1882"/>
      <c r="Y634" s="1882"/>
      <c r="Z634" s="1882"/>
      <c r="AA634" s="1882"/>
      <c r="AB634" s="1882"/>
      <c r="AC634" s="1882"/>
      <c r="AD634" s="1882"/>
      <c r="AE634" s="1882"/>
      <c r="AF634" s="1882"/>
      <c r="AG634" s="1882"/>
      <c r="AH634" s="1882"/>
      <c r="AI634" s="1882"/>
      <c r="AJ634" s="1882"/>
      <c r="AK634" s="1882"/>
      <c r="AL634" s="1882"/>
      <c r="AM634" s="1882"/>
      <c r="AN634" s="1882"/>
      <c r="AO634" s="1882"/>
      <c r="AP634" s="1882"/>
      <c r="AQ634" s="1882"/>
      <c r="AR634" s="1882"/>
      <c r="AS634" s="1882"/>
      <c r="AT634" s="1882"/>
      <c r="AU634" s="1882"/>
      <c r="AV634" s="1882"/>
      <c r="AW634" s="1882"/>
      <c r="AX634" s="1882"/>
      <c r="AY634" s="1882"/>
      <c r="AZ634" s="1882"/>
      <c r="BA634" s="1882"/>
      <c r="BB634" s="1882"/>
      <c r="BC634" s="1882"/>
      <c r="BD634" s="1882"/>
      <c r="BE634" s="1882"/>
      <c r="BF634" s="1882"/>
      <c r="BG634" s="1882"/>
      <c r="BH634" s="1882"/>
      <c r="BI634" s="1882"/>
      <c r="BJ634" s="1882"/>
      <c r="BK634" s="1882"/>
      <c r="BL634" s="1882"/>
      <c r="BM634" s="1882"/>
      <c r="BN634" s="1882"/>
      <c r="BO634" s="1882"/>
      <c r="BQ634" s="1882"/>
      <c r="BR634" s="1882"/>
      <c r="BS634" s="1882"/>
      <c r="BT634" s="1882"/>
      <c r="BU634" s="1882"/>
      <c r="BV634" s="1882"/>
      <c r="BW634" s="1882"/>
      <c r="BX634" s="1882"/>
      <c r="BY634" s="1882"/>
      <c r="BZ634" s="1882"/>
      <c r="CA634" s="1882"/>
      <c r="CB634" s="1882"/>
      <c r="CH634" s="1882"/>
      <c r="CP634" s="1882"/>
    </row>
    <row r="635" spans="1:94">
      <c r="A635" s="1882"/>
      <c r="B635" s="1882"/>
      <c r="C635" s="1882"/>
      <c r="D635" s="1882"/>
      <c r="E635" s="1882"/>
      <c r="F635" s="1882"/>
      <c r="G635" s="1882"/>
      <c r="H635" s="1882"/>
      <c r="I635" s="1882"/>
      <c r="J635" s="1882"/>
      <c r="K635" s="1882"/>
      <c r="L635" s="1882"/>
      <c r="M635" s="1882"/>
      <c r="N635" s="1882"/>
      <c r="O635" s="1882"/>
      <c r="P635" s="1882"/>
      <c r="R635" s="1882"/>
      <c r="S635" s="1882"/>
      <c r="T635" s="1882"/>
      <c r="U635" s="1882"/>
      <c r="V635" s="1882"/>
      <c r="W635" s="1882"/>
      <c r="X635" s="1882"/>
      <c r="Y635" s="1882"/>
      <c r="Z635" s="1882"/>
      <c r="AA635" s="1882"/>
      <c r="AB635" s="1882"/>
      <c r="AC635" s="1882"/>
      <c r="AD635" s="1882"/>
      <c r="AE635" s="1882"/>
      <c r="AF635" s="1882"/>
      <c r="AG635" s="1882"/>
      <c r="AH635" s="1882"/>
      <c r="AI635" s="1882"/>
      <c r="AJ635" s="1882"/>
      <c r="AK635" s="1882"/>
      <c r="AL635" s="1882"/>
      <c r="AM635" s="1882"/>
      <c r="AN635" s="1882"/>
      <c r="AO635" s="1882"/>
      <c r="AP635" s="1882"/>
      <c r="AQ635" s="1882"/>
      <c r="AR635" s="1882"/>
      <c r="AS635" s="1882"/>
      <c r="AT635" s="1882"/>
      <c r="AU635" s="1882"/>
      <c r="AV635" s="1882"/>
      <c r="AW635" s="1882"/>
      <c r="AX635" s="1882"/>
      <c r="AY635" s="1882"/>
      <c r="AZ635" s="1882"/>
      <c r="BA635" s="1882"/>
      <c r="BB635" s="1882"/>
      <c r="BC635" s="1882"/>
      <c r="BD635" s="1882"/>
      <c r="BE635" s="1882"/>
      <c r="BF635" s="1882"/>
      <c r="BG635" s="1882"/>
      <c r="BH635" s="1882"/>
      <c r="BI635" s="1882"/>
      <c r="BJ635" s="1882"/>
      <c r="BK635" s="1882"/>
      <c r="BL635" s="1882"/>
      <c r="BM635" s="1882"/>
      <c r="BN635" s="1882"/>
      <c r="BO635" s="1882"/>
      <c r="BQ635" s="1882"/>
      <c r="BR635" s="1882"/>
      <c r="BS635" s="1882"/>
      <c r="BT635" s="1882"/>
      <c r="BU635" s="1882"/>
      <c r="BV635" s="1882"/>
      <c r="BW635" s="1882"/>
      <c r="BX635" s="1882"/>
      <c r="BY635" s="1882"/>
      <c r="BZ635" s="1882"/>
      <c r="CA635" s="1882"/>
      <c r="CB635" s="1882"/>
      <c r="CH635" s="1882"/>
      <c r="CP635" s="1882"/>
    </row>
    <row r="636" spans="1:94">
      <c r="A636" s="1882"/>
      <c r="B636" s="1882"/>
      <c r="C636" s="1882"/>
      <c r="D636" s="1882"/>
      <c r="E636" s="1882"/>
      <c r="F636" s="1882"/>
      <c r="G636" s="1882"/>
      <c r="H636" s="1882"/>
      <c r="I636" s="1882"/>
      <c r="J636" s="1882"/>
      <c r="K636" s="1882"/>
      <c r="L636" s="1882"/>
      <c r="M636" s="1882"/>
      <c r="N636" s="1882"/>
      <c r="O636" s="1882"/>
      <c r="P636" s="1882"/>
      <c r="R636" s="1882"/>
      <c r="S636" s="1882"/>
      <c r="T636" s="1882"/>
      <c r="U636" s="1882"/>
      <c r="V636" s="1882"/>
      <c r="W636" s="1882"/>
      <c r="X636" s="1882"/>
      <c r="Y636" s="1882"/>
      <c r="Z636" s="1882"/>
      <c r="AA636" s="1882"/>
      <c r="AB636" s="1882"/>
      <c r="AC636" s="1882"/>
      <c r="AD636" s="1882"/>
      <c r="AE636" s="1882"/>
      <c r="AF636" s="1882"/>
      <c r="AG636" s="1882"/>
      <c r="AH636" s="1882"/>
      <c r="AI636" s="1882"/>
      <c r="AJ636" s="1882"/>
      <c r="AK636" s="1882"/>
      <c r="AL636" s="1882"/>
      <c r="AM636" s="1882"/>
      <c r="AN636" s="1882"/>
      <c r="AO636" s="1882"/>
      <c r="AP636" s="1882"/>
      <c r="AQ636" s="1882"/>
      <c r="AR636" s="1882"/>
      <c r="AS636" s="1882"/>
      <c r="AT636" s="1882"/>
      <c r="AU636" s="1882"/>
      <c r="AV636" s="1882"/>
      <c r="AW636" s="1882"/>
      <c r="AX636" s="1882"/>
      <c r="AY636" s="1882"/>
      <c r="AZ636" s="1882"/>
      <c r="BA636" s="1882"/>
      <c r="BB636" s="1882"/>
      <c r="BC636" s="1882"/>
      <c r="BD636" s="1882"/>
      <c r="BE636" s="1882"/>
      <c r="BF636" s="1882"/>
      <c r="BG636" s="1882"/>
      <c r="BH636" s="1882"/>
      <c r="BI636" s="1882"/>
      <c r="BJ636" s="1882"/>
      <c r="BK636" s="1882"/>
      <c r="BL636" s="1882"/>
      <c r="BM636" s="1882"/>
      <c r="BN636" s="1882"/>
      <c r="BO636" s="1882"/>
      <c r="BQ636" s="1882"/>
      <c r="BR636" s="1882"/>
      <c r="BS636" s="1882"/>
      <c r="BT636" s="1882"/>
      <c r="BU636" s="1882"/>
      <c r="BV636" s="1882"/>
      <c r="BW636" s="1882"/>
      <c r="BX636" s="1882"/>
      <c r="BY636" s="1882"/>
      <c r="BZ636" s="1882"/>
      <c r="CA636" s="1882"/>
      <c r="CB636" s="1882"/>
      <c r="CH636" s="1882"/>
      <c r="CP636" s="1882"/>
    </row>
    <row r="637" spans="1:94">
      <c r="A637" s="1882"/>
      <c r="B637" s="1882"/>
      <c r="C637" s="1882"/>
      <c r="D637" s="1882"/>
      <c r="E637" s="1882"/>
      <c r="F637" s="1882"/>
      <c r="G637" s="1882"/>
      <c r="H637" s="1882"/>
      <c r="I637" s="1882"/>
      <c r="J637" s="1882"/>
      <c r="K637" s="1882"/>
      <c r="L637" s="1882"/>
      <c r="M637" s="1882"/>
      <c r="N637" s="1882"/>
      <c r="O637" s="1882"/>
      <c r="P637" s="1882"/>
      <c r="R637" s="1882"/>
      <c r="S637" s="1882"/>
      <c r="T637" s="1882"/>
      <c r="U637" s="1882"/>
      <c r="V637" s="1882"/>
      <c r="W637" s="1882"/>
      <c r="X637" s="1882"/>
      <c r="Y637" s="1882"/>
      <c r="Z637" s="1882"/>
      <c r="AA637" s="1882"/>
      <c r="AB637" s="1882"/>
      <c r="AC637" s="1882"/>
      <c r="AD637" s="1882"/>
      <c r="AE637" s="1882"/>
      <c r="AF637" s="1882"/>
      <c r="AG637" s="1882"/>
      <c r="AH637" s="1882"/>
      <c r="AI637" s="1882"/>
      <c r="AJ637" s="1882"/>
      <c r="AK637" s="1882"/>
      <c r="AL637" s="1882"/>
      <c r="AM637" s="1882"/>
      <c r="AN637" s="1882"/>
      <c r="AO637" s="1882"/>
      <c r="AP637" s="1882"/>
      <c r="AQ637" s="1882"/>
      <c r="AR637" s="1882"/>
      <c r="AS637" s="1882"/>
      <c r="AT637" s="1882"/>
      <c r="AU637" s="1882"/>
      <c r="AV637" s="1882"/>
      <c r="AW637" s="1882"/>
      <c r="AX637" s="1882"/>
      <c r="AY637" s="1882"/>
      <c r="AZ637" s="1882"/>
      <c r="BA637" s="1882"/>
      <c r="BB637" s="1882"/>
      <c r="BC637" s="1882"/>
      <c r="BD637" s="1882"/>
      <c r="BE637" s="1882"/>
      <c r="BF637" s="1882"/>
      <c r="BG637" s="1882"/>
      <c r="BH637" s="1882"/>
      <c r="BI637" s="1882"/>
      <c r="BJ637" s="1882"/>
      <c r="BK637" s="1882"/>
      <c r="BL637" s="1882"/>
      <c r="BM637" s="1882"/>
      <c r="BN637" s="1882"/>
      <c r="BO637" s="1882"/>
      <c r="BQ637" s="1882"/>
      <c r="BR637" s="1882"/>
      <c r="BS637" s="1882"/>
      <c r="BT637" s="1882"/>
      <c r="BU637" s="1882"/>
      <c r="BV637" s="1882"/>
      <c r="BW637" s="1882"/>
      <c r="BX637" s="1882"/>
      <c r="BY637" s="1882"/>
      <c r="BZ637" s="1882"/>
      <c r="CA637" s="1882"/>
      <c r="CB637" s="1882"/>
      <c r="CH637" s="1882"/>
      <c r="CP637" s="1882"/>
    </row>
    <row r="638" spans="1:94">
      <c r="A638" s="1882"/>
      <c r="B638" s="1882"/>
      <c r="C638" s="1882"/>
      <c r="D638" s="1882"/>
      <c r="E638" s="1882"/>
      <c r="F638" s="1882"/>
      <c r="G638" s="1882"/>
      <c r="H638" s="1882"/>
      <c r="I638" s="1882"/>
      <c r="J638" s="1882"/>
      <c r="K638" s="1882"/>
      <c r="L638" s="1882"/>
      <c r="M638" s="1882"/>
      <c r="N638" s="1882"/>
      <c r="O638" s="1882"/>
      <c r="P638" s="1882"/>
      <c r="R638" s="1882"/>
      <c r="S638" s="1882"/>
      <c r="T638" s="1882"/>
      <c r="U638" s="1882"/>
      <c r="V638" s="1882"/>
      <c r="W638" s="1882"/>
      <c r="X638" s="1882"/>
      <c r="Y638" s="1882"/>
      <c r="Z638" s="1882"/>
      <c r="AA638" s="1882"/>
      <c r="AB638" s="1882"/>
      <c r="AC638" s="1882"/>
      <c r="AD638" s="1882"/>
      <c r="AE638" s="1882"/>
      <c r="AF638" s="1882"/>
      <c r="AG638" s="1882"/>
      <c r="AH638" s="1882"/>
      <c r="AI638" s="1882"/>
      <c r="AJ638" s="1882"/>
      <c r="AK638" s="1882"/>
      <c r="AL638" s="1882"/>
      <c r="AM638" s="1882"/>
      <c r="AN638" s="1882"/>
      <c r="AO638" s="1882"/>
      <c r="AP638" s="1882"/>
      <c r="AQ638" s="1882"/>
      <c r="AR638" s="1882"/>
      <c r="AS638" s="1882"/>
      <c r="AT638" s="1882"/>
      <c r="AU638" s="1882"/>
      <c r="AV638" s="1882"/>
      <c r="AW638" s="1882"/>
      <c r="AX638" s="1882"/>
      <c r="AY638" s="1882"/>
      <c r="AZ638" s="1882"/>
      <c r="BA638" s="1882"/>
      <c r="BB638" s="1882"/>
      <c r="BC638" s="1882"/>
      <c r="BD638" s="1882"/>
      <c r="BE638" s="1882"/>
      <c r="BF638" s="1882"/>
      <c r="BG638" s="1882"/>
      <c r="BH638" s="1882"/>
      <c r="BI638" s="1882"/>
      <c r="BJ638" s="1882"/>
      <c r="BK638" s="1882"/>
      <c r="BL638" s="1882"/>
      <c r="BM638" s="1882"/>
      <c r="BN638" s="1882"/>
      <c r="BO638" s="1882"/>
      <c r="BQ638" s="1882"/>
      <c r="BR638" s="1882"/>
      <c r="BS638" s="1882"/>
      <c r="BT638" s="1882"/>
      <c r="BU638" s="1882"/>
      <c r="BV638" s="1882"/>
      <c r="BW638" s="1882"/>
      <c r="BX638" s="1882"/>
      <c r="BY638" s="1882"/>
      <c r="BZ638" s="1882"/>
      <c r="CA638" s="1882"/>
      <c r="CB638" s="1882"/>
      <c r="CH638" s="1882"/>
      <c r="CP638" s="1882"/>
    </row>
    <row r="639" spans="1:94">
      <c r="A639" s="1882"/>
      <c r="B639" s="1882"/>
      <c r="C639" s="1882"/>
      <c r="D639" s="1882"/>
      <c r="E639" s="1882"/>
      <c r="F639" s="1882"/>
      <c r="G639" s="1882"/>
      <c r="H639" s="1882"/>
      <c r="I639" s="1882"/>
      <c r="J639" s="1882"/>
      <c r="K639" s="1882"/>
      <c r="L639" s="1882"/>
      <c r="M639" s="1882"/>
      <c r="N639" s="1882"/>
      <c r="O639" s="1882"/>
      <c r="P639" s="1882"/>
      <c r="R639" s="1882"/>
      <c r="S639" s="1882"/>
      <c r="T639" s="1882"/>
      <c r="U639" s="1882"/>
      <c r="V639" s="1882"/>
      <c r="W639" s="1882"/>
      <c r="X639" s="1882"/>
      <c r="Y639" s="1882"/>
      <c r="Z639" s="1882"/>
      <c r="AA639" s="1882"/>
      <c r="AB639" s="1882"/>
      <c r="AC639" s="1882"/>
      <c r="AD639" s="1882"/>
      <c r="AE639" s="1882"/>
      <c r="AF639" s="1882"/>
      <c r="AG639" s="1882"/>
      <c r="AH639" s="1882"/>
      <c r="AI639" s="1882"/>
      <c r="AJ639" s="1882"/>
      <c r="AK639" s="1882"/>
      <c r="AL639" s="1882"/>
      <c r="AM639" s="1882"/>
      <c r="AN639" s="1882"/>
      <c r="AO639" s="1882"/>
      <c r="AP639" s="1882"/>
      <c r="AQ639" s="1882"/>
      <c r="AR639" s="1882"/>
      <c r="AS639" s="1882"/>
      <c r="AT639" s="1882"/>
      <c r="AU639" s="1882"/>
      <c r="AV639" s="1882"/>
      <c r="AW639" s="1882"/>
      <c r="AX639" s="1882"/>
      <c r="AY639" s="1882"/>
      <c r="AZ639" s="1882"/>
      <c r="BA639" s="1882"/>
      <c r="BB639" s="1882"/>
      <c r="BC639" s="1882"/>
      <c r="BD639" s="1882"/>
      <c r="BE639" s="1882"/>
      <c r="BF639" s="1882"/>
      <c r="BG639" s="1882"/>
      <c r="BH639" s="1882"/>
      <c r="BI639" s="1882"/>
      <c r="BJ639" s="1882"/>
      <c r="BK639" s="1882"/>
      <c r="BL639" s="1882"/>
      <c r="BM639" s="1882"/>
      <c r="BN639" s="1882"/>
      <c r="BO639" s="1882"/>
      <c r="BQ639" s="1882"/>
      <c r="BR639" s="1882"/>
      <c r="BS639" s="1882"/>
      <c r="BT639" s="1882"/>
      <c r="BU639" s="1882"/>
      <c r="BV639" s="1882"/>
      <c r="BW639" s="1882"/>
      <c r="BX639" s="1882"/>
      <c r="BY639" s="1882"/>
      <c r="BZ639" s="1882"/>
      <c r="CA639" s="1882"/>
      <c r="CB639" s="1882"/>
      <c r="CH639" s="1882"/>
      <c r="CP639" s="1882"/>
    </row>
    <row r="640" spans="1:94">
      <c r="A640" s="1882"/>
      <c r="B640" s="1882"/>
      <c r="C640" s="1882"/>
      <c r="D640" s="1882"/>
      <c r="E640" s="1882"/>
      <c r="F640" s="1882"/>
      <c r="G640" s="1882"/>
      <c r="H640" s="1882"/>
      <c r="I640" s="1882"/>
      <c r="J640" s="1882"/>
      <c r="K640" s="1882"/>
      <c r="L640" s="1882"/>
      <c r="M640" s="1882"/>
      <c r="N640" s="1882"/>
      <c r="O640" s="1882"/>
      <c r="P640" s="1882"/>
      <c r="R640" s="1882"/>
      <c r="S640" s="1882"/>
      <c r="T640" s="1882"/>
      <c r="U640" s="1882"/>
      <c r="V640" s="1882"/>
      <c r="W640" s="1882"/>
      <c r="X640" s="1882"/>
      <c r="Y640" s="1882"/>
      <c r="Z640" s="1882"/>
      <c r="AA640" s="1882"/>
      <c r="AB640" s="1882"/>
      <c r="AC640" s="1882"/>
      <c r="AD640" s="1882"/>
      <c r="AE640" s="1882"/>
      <c r="AF640" s="1882"/>
      <c r="AG640" s="1882"/>
      <c r="AH640" s="1882"/>
      <c r="AI640" s="1882"/>
      <c r="AJ640" s="1882"/>
      <c r="AK640" s="1882"/>
      <c r="AL640" s="1882"/>
      <c r="AM640" s="1882"/>
      <c r="AN640" s="1882"/>
      <c r="AO640" s="1882"/>
      <c r="AP640" s="1882"/>
      <c r="AQ640" s="1882"/>
      <c r="AR640" s="1882"/>
      <c r="AS640" s="1882"/>
      <c r="AT640" s="1882"/>
      <c r="AU640" s="1882"/>
      <c r="AV640" s="1882"/>
      <c r="AW640" s="1882"/>
      <c r="AX640" s="1882"/>
      <c r="AY640" s="1882"/>
      <c r="AZ640" s="1882"/>
      <c r="BA640" s="1882"/>
      <c r="BB640" s="1882"/>
      <c r="BC640" s="1882"/>
      <c r="BD640" s="1882"/>
      <c r="BE640" s="1882"/>
      <c r="BF640" s="1882"/>
      <c r="BG640" s="1882"/>
      <c r="BH640" s="1882"/>
      <c r="BI640" s="1882"/>
      <c r="BJ640" s="1882"/>
      <c r="BK640" s="1882"/>
      <c r="BL640" s="1882"/>
      <c r="BM640" s="1882"/>
      <c r="BN640" s="1882"/>
      <c r="BO640" s="1882"/>
      <c r="BQ640" s="1882"/>
      <c r="BR640" s="1882"/>
      <c r="BS640" s="1882"/>
      <c r="BT640" s="1882"/>
      <c r="BU640" s="1882"/>
      <c r="BV640" s="1882"/>
      <c r="BW640" s="1882"/>
      <c r="BX640" s="1882"/>
      <c r="BY640" s="1882"/>
      <c r="BZ640" s="1882"/>
      <c r="CA640" s="1882"/>
      <c r="CB640" s="1882"/>
      <c r="CH640" s="1882"/>
      <c r="CP640" s="1882"/>
    </row>
    <row r="641" spans="1:1">
      <c r="A641" s="1882"/>
    </row>
    <row r="642" spans="1:1">
      <c r="A642" s="1882"/>
    </row>
    <row r="643" spans="1:1">
      <c r="A643" s="1882"/>
    </row>
    <row r="644" spans="1:1">
      <c r="A644" s="1882"/>
    </row>
    <row r="645" spans="1:1">
      <c r="A645" s="1882"/>
    </row>
    <row r="646" spans="1:1">
      <c r="A646" s="1882"/>
    </row>
    <row r="647" spans="1:1">
      <c r="A647" s="1882"/>
    </row>
    <row r="648" spans="1:1">
      <c r="A648" s="1882"/>
    </row>
    <row r="649" spans="1:1">
      <c r="A649" s="1882"/>
    </row>
    <row r="650" spans="1:1">
      <c r="A650" s="1882"/>
    </row>
    <row r="651" spans="1:1">
      <c r="A651" s="1882"/>
    </row>
    <row r="652" spans="1:1">
      <c r="A652" s="1882"/>
    </row>
    <row r="653" spans="1:1">
      <c r="A653" s="1882"/>
    </row>
    <row r="654" spans="1:1">
      <c r="A654" s="1882"/>
    </row>
    <row r="655" spans="1:1">
      <c r="A655" s="1882"/>
    </row>
    <row r="656" spans="1:1">
      <c r="A656" s="1882"/>
    </row>
    <row r="657" spans="1:1">
      <c r="A657" s="1882"/>
    </row>
    <row r="658" spans="1:1">
      <c r="A658" s="1882"/>
    </row>
    <row r="659" spans="1:1">
      <c r="A659" s="1882"/>
    </row>
    <row r="660" spans="1:1">
      <c r="A660" s="1882"/>
    </row>
    <row r="661" spans="1:1">
      <c r="A661" s="1882"/>
    </row>
    <row r="662" spans="1:1">
      <c r="A662" s="1882"/>
    </row>
    <row r="663" spans="1:1">
      <c r="A663" s="1882"/>
    </row>
    <row r="664" spans="1:1">
      <c r="A664" s="1882"/>
    </row>
    <row r="665" spans="1:1">
      <c r="A665" s="1882"/>
    </row>
    <row r="666" spans="1:1">
      <c r="A666" s="1882"/>
    </row>
    <row r="667" spans="1:1">
      <c r="A667" s="1882"/>
    </row>
    <row r="668" spans="1:1">
      <c r="A668" s="1882"/>
    </row>
    <row r="669" spans="1:1">
      <c r="A669" s="1882"/>
    </row>
    <row r="670" spans="1:1">
      <c r="A670" s="1882"/>
    </row>
    <row r="671" spans="1:1">
      <c r="A671" s="1882"/>
    </row>
    <row r="672" spans="1:1">
      <c r="A672" s="1882"/>
    </row>
    <row r="673" spans="1:1">
      <c r="A673" s="1882"/>
    </row>
    <row r="674" spans="1:1">
      <c r="A674" s="1882"/>
    </row>
    <row r="675" spans="1:1">
      <c r="A675" s="1882"/>
    </row>
    <row r="676" spans="1:1">
      <c r="A676" s="1882"/>
    </row>
    <row r="677" spans="1:1">
      <c r="A677" s="1882"/>
    </row>
    <row r="678" spans="1:1">
      <c r="A678" s="1882"/>
    </row>
    <row r="679" spans="1:1">
      <c r="A679" s="1882"/>
    </row>
    <row r="680" spans="1:1">
      <c r="A680" s="1882"/>
    </row>
    <row r="681" spans="1:1">
      <c r="A681" s="1882"/>
    </row>
    <row r="682" spans="1:1">
      <c r="A682" s="1882"/>
    </row>
    <row r="683" spans="1:1">
      <c r="A683" s="1882"/>
    </row>
    <row r="684" spans="1:1">
      <c r="A684" s="1882"/>
    </row>
    <row r="685" spans="1:1">
      <c r="A685" s="1882"/>
    </row>
    <row r="686" spans="1:1">
      <c r="A686" s="1882"/>
    </row>
    <row r="687" spans="1:1">
      <c r="A687" s="1882"/>
    </row>
    <row r="688" spans="1:1">
      <c r="A688" s="1882"/>
    </row>
    <row r="689" spans="1:1">
      <c r="A689" s="1882"/>
    </row>
    <row r="690" spans="1:1">
      <c r="A690" s="1882"/>
    </row>
    <row r="691" spans="1:1">
      <c r="A691" s="1882"/>
    </row>
    <row r="692" spans="1:1">
      <c r="A692" s="1882"/>
    </row>
    <row r="693" spans="1:1">
      <c r="A693" s="1882"/>
    </row>
    <row r="694" spans="1:1">
      <c r="A694" s="1882"/>
    </row>
    <row r="695" spans="1:1">
      <c r="A695" s="1882"/>
    </row>
    <row r="696" spans="1:1">
      <c r="A696" s="1882"/>
    </row>
    <row r="697" spans="1:1">
      <c r="A697" s="1882"/>
    </row>
    <row r="698" spans="1:1">
      <c r="A698" s="1882"/>
    </row>
    <row r="699" spans="1:1">
      <c r="A699" s="1882"/>
    </row>
    <row r="700" spans="1:1">
      <c r="A700" s="1882"/>
    </row>
    <row r="701" spans="1:1">
      <c r="A701" s="1882"/>
    </row>
    <row r="702" spans="1:1">
      <c r="A702" s="1882"/>
    </row>
    <row r="703" spans="1:1">
      <c r="A703" s="1882"/>
    </row>
    <row r="704" spans="1:1">
      <c r="A704" s="1882"/>
    </row>
    <row r="705" spans="1:1">
      <c r="A705" s="1882"/>
    </row>
    <row r="706" spans="1:1">
      <c r="A706" s="1882"/>
    </row>
    <row r="707" spans="1:1">
      <c r="A707" s="1882"/>
    </row>
    <row r="708" spans="1:1">
      <c r="A708" s="1882"/>
    </row>
    <row r="709" spans="1:1">
      <c r="A709" s="1882"/>
    </row>
    <row r="710" spans="1:1">
      <c r="A710" s="1882"/>
    </row>
    <row r="711" spans="1:1">
      <c r="A711" s="1882"/>
    </row>
    <row r="712" spans="1:1">
      <c r="A712" s="1882"/>
    </row>
    <row r="713" spans="1:1">
      <c r="A713" s="1882"/>
    </row>
    <row r="714" spans="1:1">
      <c r="A714" s="1882"/>
    </row>
    <row r="715" spans="1:1">
      <c r="A715" s="1882"/>
    </row>
    <row r="716" spans="1:1">
      <c r="A716" s="1882"/>
    </row>
    <row r="717" spans="1:1">
      <c r="A717" s="1882"/>
    </row>
    <row r="718" spans="1:1">
      <c r="A718" s="1882"/>
    </row>
    <row r="719" spans="1:1">
      <c r="A719" s="1882"/>
    </row>
    <row r="720" spans="1:1">
      <c r="A720" s="1882"/>
    </row>
    <row r="721" spans="1:1">
      <c r="A721" s="1882"/>
    </row>
    <row r="722" spans="1:1">
      <c r="A722" s="1882"/>
    </row>
    <row r="723" spans="1:1">
      <c r="A723" s="1882"/>
    </row>
    <row r="724" spans="1:1">
      <c r="A724" s="1882"/>
    </row>
    <row r="725" spans="1:1">
      <c r="A725" s="1882"/>
    </row>
    <row r="726" spans="1:1">
      <c r="A726" s="1882"/>
    </row>
    <row r="727" spans="1:1">
      <c r="A727" s="1882"/>
    </row>
    <row r="728" spans="1:1">
      <c r="A728" s="1882"/>
    </row>
  </sheetData>
  <sheetProtection algorithmName="SHA-512" hashValue="quxgCO7tacv2WslT45M3Eaaz1+Bv0PjytKUZ1mWBviIFz2WMwqrrb+n+pHc6W3MMSjca3tkLHzL9dOffJ6s0Pw==" saltValue="ACklSvJuKVC9hcAY1RS8ew==" spinCount="100000" sheet="1" objects="1" scenarios="1"/>
  <autoFilter ref="A2:CB529" xr:uid="{00000000-0009-0000-0000-000038000000}"/>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pageSetUpPr fitToPage="1"/>
  </sheetPr>
  <dimension ref="A1:EJ529"/>
  <sheetViews>
    <sheetView workbookViewId="0"/>
  </sheetViews>
  <sheetFormatPr defaultColWidth="9" defaultRowHeight="14"/>
  <cols>
    <col min="1" max="1" width="18.58203125" style="56" bestFit="1" customWidth="1"/>
    <col min="2" max="2" width="34.08203125" style="57" customWidth="1"/>
    <col min="6" max="6" width="11.08203125" bestFit="1" customWidth="1"/>
    <col min="7" max="7" width="13.58203125" bestFit="1" customWidth="1"/>
    <col min="8" max="8" width="17.58203125" style="54" bestFit="1" customWidth="1"/>
    <col min="9" max="9" width="29.08203125" style="54" customWidth="1"/>
    <col min="13" max="13" width="11" bestFit="1" customWidth="1"/>
    <col min="14" max="14" width="11" customWidth="1"/>
    <col min="15" max="15" width="15.08203125" style="54" bestFit="1" customWidth="1"/>
    <col min="16" max="16" width="27.58203125" style="54" customWidth="1"/>
    <col min="22" max="22" width="15.58203125" style="54" bestFit="1" customWidth="1"/>
    <col min="23" max="23" width="24.5" style="54" customWidth="1"/>
    <col min="29" max="29" width="17.58203125" style="54" bestFit="1" customWidth="1"/>
    <col min="30" max="30" width="31.58203125" style="54" customWidth="1"/>
    <col min="32" max="32" width="19.08203125" customWidth="1"/>
    <col min="36" max="36" width="15.08203125" style="54" bestFit="1" customWidth="1"/>
    <col min="37" max="37" width="20.58203125" style="54" bestFit="1" customWidth="1"/>
    <col min="43" max="43" width="15.58203125" style="54" bestFit="1" customWidth="1"/>
    <col min="44" max="44" width="68.08203125" style="54" bestFit="1" customWidth="1"/>
    <col min="50" max="50" width="15.08203125" style="54" bestFit="1" customWidth="1"/>
    <col min="51" max="51" width="29" style="54" customWidth="1"/>
    <col min="57" max="57" width="17.08203125" style="54" customWidth="1"/>
    <col min="58" max="58" width="27.5" style="54" customWidth="1"/>
    <col min="64" max="64" width="14.08203125" style="54" bestFit="1" customWidth="1"/>
    <col min="65" max="65" width="25.58203125" style="54" bestFit="1" customWidth="1"/>
    <col min="71" max="71" width="15.58203125" style="54" bestFit="1" customWidth="1"/>
    <col min="72" max="72" width="43.08203125" style="54" bestFit="1" customWidth="1"/>
    <col min="78" max="78" width="17.5" style="54" bestFit="1" customWidth="1"/>
    <col min="79" max="79" width="42.08203125" style="54" customWidth="1"/>
    <col min="85" max="85" width="18" style="54" bestFit="1" customWidth="1"/>
    <col min="86" max="86" width="42.08203125" style="54" customWidth="1"/>
    <col min="92" max="92" width="17.08203125" style="54" bestFit="1" customWidth="1"/>
    <col min="93" max="93" width="56.08203125" style="54" customWidth="1"/>
    <col min="95" max="95" width="9" customWidth="1"/>
    <col min="98" max="98" width="10.08203125" style="520" bestFit="1" customWidth="1"/>
    <col min="99" max="99" width="14.08203125" style="54" bestFit="1" customWidth="1"/>
    <col min="100" max="100" width="40.58203125" style="54" bestFit="1" customWidth="1"/>
    <col min="105" max="105" width="10.08203125" bestFit="1" customWidth="1"/>
    <col min="106" max="106" width="15.58203125" style="54" bestFit="1" customWidth="1"/>
    <col min="107" max="107" width="72.58203125" style="54" bestFit="1" customWidth="1"/>
    <col min="113" max="113" width="17.08203125" style="54" bestFit="1" customWidth="1"/>
    <col min="114" max="114" width="36.08203125" style="54" bestFit="1" customWidth="1"/>
    <col min="119" max="119" width="9" style="520"/>
    <col min="120" max="120" width="9" style="54" customWidth="1"/>
    <col min="121" max="121" width="33" style="54" customWidth="1"/>
    <col min="122" max="122" width="7.08203125" style="54" bestFit="1" customWidth="1"/>
    <col min="123" max="123" width="7.08203125" style="54" customWidth="1"/>
    <col min="124" max="125" width="9" style="54"/>
    <col min="126" max="126" width="14.5" style="54" customWidth="1"/>
    <col min="127" max="127" width="9" style="54"/>
    <col min="128" max="128" width="33" style="54" customWidth="1"/>
    <col min="129" max="129" width="7.08203125" style="54" bestFit="1" customWidth="1"/>
    <col min="130" max="130" width="7.08203125" style="54" customWidth="1"/>
    <col min="131" max="132" width="9" style="54"/>
    <col min="133" max="133" width="14.5" style="54" customWidth="1"/>
    <col min="134" max="134" width="9" style="54"/>
    <col min="135" max="135" width="33" style="54" customWidth="1"/>
    <col min="136" max="136" width="7.08203125" style="54" bestFit="1" customWidth="1"/>
    <col min="137" max="137" width="7.08203125" style="54" customWidth="1"/>
    <col min="138" max="139" width="9" style="54"/>
    <col min="140" max="140" width="14.5" style="54" customWidth="1"/>
    <col min="141" max="16384" width="9" style="54"/>
  </cols>
  <sheetData>
    <row r="1" spans="1:140" ht="26.25" customHeight="1">
      <c r="A1" s="2088" t="s">
        <v>2306</v>
      </c>
      <c r="B1" s="2089" t="s">
        <v>2307</v>
      </c>
      <c r="C1" s="2090"/>
      <c r="D1" s="2090"/>
      <c r="E1" s="2090"/>
      <c r="F1" s="2090"/>
      <c r="G1" s="2090"/>
      <c r="H1" s="2091"/>
      <c r="I1" s="2091"/>
      <c r="J1" s="2092"/>
      <c r="K1" s="2092"/>
      <c r="L1" s="2092"/>
      <c r="M1" s="2092"/>
      <c r="N1" s="2092"/>
      <c r="O1" s="2082"/>
      <c r="P1" s="2082"/>
      <c r="Q1" s="2087"/>
      <c r="R1" s="2087"/>
      <c r="S1" s="2087"/>
      <c r="T1" s="2087"/>
      <c r="U1" s="2087"/>
      <c r="V1" s="2083"/>
      <c r="W1" s="2083"/>
      <c r="X1" s="2090"/>
      <c r="Y1" s="2090"/>
      <c r="Z1" s="2090"/>
      <c r="AA1" s="2090"/>
      <c r="AB1" s="2090"/>
      <c r="AC1" s="2081"/>
      <c r="AD1" s="2081"/>
      <c r="AE1" s="2085"/>
      <c r="AF1" s="2085"/>
      <c r="AG1" s="2085"/>
      <c r="AH1" s="2085"/>
      <c r="AI1" s="2085"/>
      <c r="AJ1" s="2082"/>
      <c r="AK1" s="2082"/>
      <c r="AL1" s="2087"/>
      <c r="AM1" s="2087"/>
      <c r="AN1" s="2087"/>
      <c r="AO1" s="2087"/>
      <c r="AP1" s="2087"/>
      <c r="AQ1" s="2083"/>
      <c r="AR1" s="2083"/>
      <c r="AS1" s="2090"/>
      <c r="AT1" s="2090"/>
      <c r="AU1" s="2090"/>
      <c r="AV1" s="2090"/>
      <c r="AW1" s="2090"/>
      <c r="AX1" s="2081"/>
      <c r="AY1" s="2081"/>
      <c r="AZ1" s="2085"/>
      <c r="BA1" s="2085"/>
      <c r="BB1" s="2085"/>
      <c r="BC1" s="2085"/>
      <c r="BD1" s="2085"/>
      <c r="BE1" s="2082"/>
      <c r="BF1" s="2082"/>
      <c r="BG1" s="2087"/>
      <c r="BH1" s="2087"/>
      <c r="BI1" s="2087"/>
      <c r="BJ1" s="2087"/>
      <c r="BK1" s="2087"/>
      <c r="BL1" s="2083"/>
      <c r="BM1" s="2083"/>
      <c r="BN1" s="2090"/>
      <c r="BO1" s="2090"/>
      <c r="BP1" s="2090"/>
      <c r="BQ1" s="2090"/>
      <c r="BR1" s="2090"/>
      <c r="BS1" s="2081"/>
      <c r="BT1" s="2081"/>
      <c r="BU1" s="2085"/>
      <c r="BV1" s="2085"/>
      <c r="BW1" s="2085"/>
      <c r="BX1" s="2085"/>
      <c r="BY1" s="2085"/>
      <c r="BZ1" s="2082"/>
      <c r="CA1" s="2082"/>
      <c r="CB1" s="2087"/>
      <c r="CC1" s="2087"/>
      <c r="CD1" s="2087"/>
      <c r="CE1" s="2087"/>
      <c r="CF1" s="2087"/>
      <c r="CG1" s="2083"/>
      <c r="CH1" s="2083"/>
      <c r="CI1" s="2090"/>
      <c r="CJ1" s="2090"/>
      <c r="CK1" s="2090"/>
      <c r="CL1" s="2090"/>
      <c r="CM1" s="2090"/>
      <c r="CN1" s="2081"/>
      <c r="CO1" s="2081"/>
      <c r="CP1" s="2085"/>
      <c r="CQ1" s="2085"/>
      <c r="CR1" s="2085"/>
      <c r="CS1" s="2085"/>
      <c r="CT1" s="2086"/>
      <c r="CU1" s="2082"/>
      <c r="CV1" s="2082"/>
      <c r="CW1" s="2087"/>
      <c r="CX1" s="2087"/>
      <c r="CY1" s="2087"/>
      <c r="CZ1" s="2087"/>
      <c r="DA1" s="2087"/>
      <c r="DB1" s="2083"/>
      <c r="DC1" s="2083"/>
      <c r="DD1" s="2090"/>
      <c r="DE1" s="2090"/>
      <c r="DF1" s="2090"/>
      <c r="DG1" s="2090"/>
      <c r="DH1" s="2090"/>
      <c r="DI1" s="2081"/>
      <c r="DJ1" s="2081"/>
      <c r="DK1" s="2085"/>
      <c r="DL1" s="2085"/>
      <c r="DM1" s="2085"/>
      <c r="DN1" s="2085"/>
      <c r="DO1" s="2086"/>
      <c r="DP1" s="2082"/>
      <c r="DQ1" s="2082"/>
      <c r="DR1" s="2082"/>
      <c r="DS1" s="2082"/>
      <c r="DT1" s="2082"/>
      <c r="DU1" s="2082"/>
      <c r="DV1" s="2082"/>
      <c r="DW1" s="2083"/>
      <c r="DX1" s="2083"/>
      <c r="DY1" s="2083"/>
      <c r="DZ1" s="2083"/>
      <c r="EA1" s="2083"/>
      <c r="EB1" s="2083"/>
      <c r="EC1" s="2083"/>
      <c r="ED1" s="2081"/>
      <c r="EE1" s="2081"/>
      <c r="EF1" s="2081"/>
      <c r="EG1" s="2081"/>
      <c r="EH1" s="2081"/>
      <c r="EI1" s="2081"/>
      <c r="EJ1" s="2081"/>
    </row>
    <row r="2" spans="1:140" s="55" customFormat="1" ht="13">
      <c r="A2" s="55" t="s">
        <v>8501</v>
      </c>
      <c r="B2" s="55" t="str">
        <f xml:space="preserve"> A2 &amp; "PC"</f>
        <v>AFWPC</v>
      </c>
      <c r="C2" s="55" t="str">
        <f xml:space="preserve"> A2 &amp; "Unit"</f>
        <v>AFWUnit</v>
      </c>
      <c r="D2" s="55" t="str">
        <f xml:space="preserve"> A2 &amp; "UnitDes"</f>
        <v>AFWUnitDes</v>
      </c>
      <c r="E2" s="55" t="s">
        <v>11676</v>
      </c>
      <c r="F2" s="55" t="str">
        <f xml:space="preserve"> A2 &amp; 'PC LIST'!$J$2</f>
        <v>AFWODI type</v>
      </c>
      <c r="G2" s="55" t="str">
        <f xml:space="preserve"> A2 &amp; "201819Actual"</f>
        <v>AFW201819Actual</v>
      </c>
      <c r="H2" s="55" t="s">
        <v>8355</v>
      </c>
      <c r="I2" s="55" t="str">
        <f>H2&amp;"PC"</f>
        <v>ANHPC</v>
      </c>
      <c r="J2" s="55" t="str">
        <f xml:space="preserve"> H2 &amp; "Unit"</f>
        <v>ANHUnit</v>
      </c>
      <c r="K2" s="55" t="str">
        <f xml:space="preserve"> H2 &amp; "UnitDes"</f>
        <v>ANHUnitDes</v>
      </c>
      <c r="L2" s="55" t="s">
        <v>11677</v>
      </c>
      <c r="M2" s="55" t="str">
        <f xml:space="preserve"> H2 &amp; 'PC LIST'!$J$2</f>
        <v>ANHODI type</v>
      </c>
      <c r="N2" s="55" t="str">
        <f xml:space="preserve"> H2 &amp; "201819Actual"</f>
        <v>ANH201819Actual</v>
      </c>
      <c r="O2" s="55" t="s">
        <v>8846</v>
      </c>
      <c r="P2" s="55" t="str">
        <f>O2&amp;"PC"</f>
        <v>BRLPC</v>
      </c>
      <c r="Q2" s="55" t="str">
        <f xml:space="preserve"> O2 &amp; "Unit"</f>
        <v>BRLUnit</v>
      </c>
      <c r="R2" s="55" t="str">
        <f xml:space="preserve"> O2 &amp; "UnitDes"</f>
        <v>BRLUnitDes</v>
      </c>
      <c r="S2" s="55" t="s">
        <v>11678</v>
      </c>
      <c r="T2" s="55" t="str">
        <f xml:space="preserve"> O2 &amp; 'PC LIST'!$J$2</f>
        <v>BRLODI type</v>
      </c>
      <c r="U2" s="55" t="str">
        <f xml:space="preserve"> O2 &amp; "201819Actual"</f>
        <v>BRL201819Actual</v>
      </c>
      <c r="V2" s="55" t="s">
        <v>8978</v>
      </c>
      <c r="W2" s="55" t="str">
        <f>V2&amp;"PC"</f>
        <v>DVWPC</v>
      </c>
      <c r="X2" s="55" t="str">
        <f xml:space="preserve"> V2 &amp; "Unit"</f>
        <v>DVWUnit</v>
      </c>
      <c r="Y2" s="55" t="str">
        <f xml:space="preserve"> V2 &amp; "UnitDes"</f>
        <v>DVWUnitDes</v>
      </c>
      <c r="Z2" s="55" t="s">
        <v>11679</v>
      </c>
      <c r="AA2" s="55" t="str">
        <f xml:space="preserve"> V2 &amp; 'PC LIST'!$J$2</f>
        <v>DVWODI type</v>
      </c>
      <c r="AB2" s="55" t="str">
        <f xml:space="preserve"> V2 &amp; "201819Actual"</f>
        <v>DVW201819Actual</v>
      </c>
      <c r="AC2" s="55" t="s">
        <v>8362</v>
      </c>
      <c r="AD2" s="55" t="str">
        <f>AC2&amp;"PC"</f>
        <v>NESPC</v>
      </c>
      <c r="AE2" s="55" t="str">
        <f xml:space="preserve"> AC2 &amp; "Unit"</f>
        <v>NESUnit</v>
      </c>
      <c r="AF2" s="55" t="str">
        <f xml:space="preserve"> AC2 &amp; "UnitDes"</f>
        <v>NESUnitDes</v>
      </c>
      <c r="AG2" s="55" t="s">
        <v>11680</v>
      </c>
      <c r="AH2" s="55" t="str">
        <f xml:space="preserve"> AC2 &amp; 'PC LIST'!$J$2</f>
        <v>NESODI type</v>
      </c>
      <c r="AI2" s="55" t="str">
        <f xml:space="preserve"> AC2 &amp; "201819Actual"</f>
        <v>NES201819Actual</v>
      </c>
      <c r="AJ2" s="55" t="s">
        <v>9373</v>
      </c>
      <c r="AK2" s="55" t="str">
        <f>AJ2&amp;"PC"</f>
        <v>PRTPC</v>
      </c>
      <c r="AL2" s="55" t="str">
        <f xml:space="preserve"> AJ2 &amp; "Unit"</f>
        <v>PRTUnit</v>
      </c>
      <c r="AM2" s="55" t="str">
        <f xml:space="preserve"> AJ2 &amp; "UnitDes"</f>
        <v>PRTUnitDes</v>
      </c>
      <c r="AN2" s="55" t="s">
        <v>11681</v>
      </c>
      <c r="AO2" s="55" t="str">
        <f xml:space="preserve"> AJ2 &amp; 'PC LIST'!$J$2</f>
        <v>PRTODI type</v>
      </c>
      <c r="AP2" s="55" t="str">
        <f xml:space="preserve"> AJ2 &amp; "201819Actual"</f>
        <v>PRT201819Actual</v>
      </c>
      <c r="AQ2" s="55" t="s">
        <v>9453</v>
      </c>
      <c r="AR2" s="55" t="str">
        <f>AQ2&amp;"PC"</f>
        <v>SBWPC</v>
      </c>
      <c r="AS2" s="55" t="str">
        <f xml:space="preserve"> AQ2 &amp; "Unit"</f>
        <v>SBWUnit</v>
      </c>
      <c r="AT2" s="55" t="str">
        <f xml:space="preserve"> AQ2 &amp; "UnitDes"</f>
        <v>SBWUnitDes</v>
      </c>
      <c r="AU2" s="55" t="s">
        <v>11682</v>
      </c>
      <c r="AV2" s="55" t="str">
        <f xml:space="preserve"> AQ2 &amp; 'PC LIST'!$J$2</f>
        <v>SBWODI type</v>
      </c>
      <c r="AW2" s="55" t="str">
        <f xml:space="preserve"> AQ2 &amp; "201819Actual"</f>
        <v>SBW201819Actual</v>
      </c>
      <c r="AX2" s="55" t="s">
        <v>9536</v>
      </c>
      <c r="AY2" s="55" t="str">
        <f>AX2&amp;"PC"</f>
        <v>SESPC</v>
      </c>
      <c r="AZ2" s="55" t="str">
        <f xml:space="preserve"> AX2 &amp; "Unit"</f>
        <v>SESUnit</v>
      </c>
      <c r="BA2" s="55" t="str">
        <f xml:space="preserve"> AX2 &amp; "UnitDes"</f>
        <v>SESUnitDes</v>
      </c>
      <c r="BB2" s="55" t="s">
        <v>11683</v>
      </c>
      <c r="BC2" s="55" t="str">
        <f xml:space="preserve"> AX2 &amp; 'PC LIST'!$J$2</f>
        <v>SESODI type</v>
      </c>
      <c r="BD2" s="55" t="str">
        <f xml:space="preserve"> AX2 &amp; "201819Actual"</f>
        <v>SES201819Actual</v>
      </c>
      <c r="BE2" s="55" t="s">
        <v>9643</v>
      </c>
      <c r="BF2" s="55" t="str">
        <f>BE2&amp;"PC"</f>
        <v>SEWPC</v>
      </c>
      <c r="BG2" s="55" t="str">
        <f xml:space="preserve"> BE2 &amp; "Unit"</f>
        <v>SEWUnit</v>
      </c>
      <c r="BH2" s="55" t="str">
        <f xml:space="preserve"> BE2 &amp; "UnitDes"</f>
        <v>SEWUnitDes</v>
      </c>
      <c r="BI2" s="55" t="s">
        <v>11684</v>
      </c>
      <c r="BJ2" s="55" t="str">
        <f xml:space="preserve"> BE2 &amp; 'PC LIST'!$J$2</f>
        <v>SEWODI type</v>
      </c>
      <c r="BK2" s="55" t="str">
        <f xml:space="preserve"> BE2 &amp; "201819Actual"</f>
        <v>SEW201819Actual</v>
      </c>
      <c r="BL2" s="55" t="s">
        <v>8375</v>
      </c>
      <c r="BM2" s="55" t="str">
        <f>BL2&amp;"PC"</f>
        <v>SRNPC</v>
      </c>
      <c r="BN2" s="55" t="str">
        <f xml:space="preserve"> BL2 &amp; "Unit"</f>
        <v>SRNUnit</v>
      </c>
      <c r="BO2" s="55" t="str">
        <f xml:space="preserve"> BL2 &amp; "UnitDes"</f>
        <v>SRNUnitDes</v>
      </c>
      <c r="BP2" s="55" t="s">
        <v>11685</v>
      </c>
      <c r="BQ2" s="55" t="str">
        <f xml:space="preserve"> BL2 &amp; 'PC LIST'!$J$2</f>
        <v>SRNODI type</v>
      </c>
      <c r="BR2" s="55" t="str">
        <f xml:space="preserve"> BL2 &amp; "201819Actual"</f>
        <v>SRN201819Actual</v>
      </c>
      <c r="BS2" s="55" t="s">
        <v>9958</v>
      </c>
      <c r="BT2" s="55" t="str">
        <f>BS2&amp;"PC"</f>
        <v>SSCPC</v>
      </c>
      <c r="BU2" s="55" t="str">
        <f xml:space="preserve"> BS2 &amp; "Unit"</f>
        <v>SSCUnit</v>
      </c>
      <c r="BV2" s="55" t="str">
        <f xml:space="preserve"> BS2 &amp; "UnitDes"</f>
        <v>SSCUnitDes</v>
      </c>
      <c r="BW2" s="55" t="str">
        <f xml:space="preserve"> BS2 &amp; "DP"</f>
        <v>SSCDP</v>
      </c>
      <c r="BX2" s="55" t="str">
        <f xml:space="preserve"> BS2 &amp; 'PC LIST'!$J$2</f>
        <v>SSCODI type</v>
      </c>
      <c r="BY2" s="55" t="str">
        <f xml:space="preserve"> BS2 &amp; "201819Actual"</f>
        <v>SSC201819Actual</v>
      </c>
      <c r="BZ2" s="55" t="s">
        <v>8365</v>
      </c>
      <c r="CA2" s="55" t="str">
        <f>BZ2&amp;"PC"</f>
        <v>SVTPC</v>
      </c>
      <c r="CB2" s="55" t="str">
        <f xml:space="preserve"> BZ2 &amp; "Unit"</f>
        <v>SVTUnit</v>
      </c>
      <c r="CC2" s="55" t="str">
        <f xml:space="preserve"> BZ2 &amp; "UnitDes"</f>
        <v>SVTUnitDes</v>
      </c>
      <c r="CD2" s="55" t="s">
        <v>11686</v>
      </c>
      <c r="CE2" s="55" t="str">
        <f xml:space="preserve"> BZ2 &amp; 'PC LIST'!$J$2</f>
        <v>SVTODI type</v>
      </c>
      <c r="CF2" s="55" t="str">
        <f xml:space="preserve"> BZ2 &amp; "201819Actual"</f>
        <v>SVT201819Actual</v>
      </c>
      <c r="CG2" s="55" t="s">
        <v>8371</v>
      </c>
      <c r="CH2" s="55" t="str">
        <f>CG2&amp;"PC"</f>
        <v>SWTPC</v>
      </c>
      <c r="CI2" s="55" t="str">
        <f xml:space="preserve"> CG2 &amp; "Unit"</f>
        <v>SWTUnit</v>
      </c>
      <c r="CJ2" s="55" t="str">
        <f xml:space="preserve"> CG2 &amp; "UnitDes"</f>
        <v>SWTUnitDes</v>
      </c>
      <c r="CK2" s="55" t="s">
        <v>11687</v>
      </c>
      <c r="CL2" s="55" t="str">
        <f xml:space="preserve"> CG2 &amp; 'PC LIST'!$J$2</f>
        <v>SWTODI type</v>
      </c>
      <c r="CM2" s="55" t="str">
        <f xml:space="preserve"> CG2 &amp; "201819Actual"</f>
        <v>SWT201819Actual</v>
      </c>
      <c r="CN2" s="55" t="s">
        <v>8379</v>
      </c>
      <c r="CO2" s="55" t="str">
        <f>CN2&amp;"PC"</f>
        <v>TMSPC</v>
      </c>
      <c r="CP2" s="55" t="str">
        <f xml:space="preserve"> CN2 &amp; "Unit"</f>
        <v>TMSUnit</v>
      </c>
      <c r="CQ2" s="55" t="str">
        <f xml:space="preserve"> CN2 &amp; "UnitDes"</f>
        <v>TMSUnitDes</v>
      </c>
      <c r="CR2" s="55" t="s">
        <v>11688</v>
      </c>
      <c r="CS2" s="55" t="str">
        <f xml:space="preserve"> CN2 &amp; 'PC LIST'!$J$2</f>
        <v>TMSODI type</v>
      </c>
      <c r="CT2" s="713" t="str">
        <f xml:space="preserve"> CN2 &amp; "201819Actual"</f>
        <v>TMS201819Actual</v>
      </c>
      <c r="CU2" s="55" t="s">
        <v>8383</v>
      </c>
      <c r="CV2" s="55" t="str">
        <f>CU2&amp;"PC"</f>
        <v>NWTPC</v>
      </c>
      <c r="CW2" s="55" t="str">
        <f xml:space="preserve"> CU2 &amp; "Unit"</f>
        <v>NWTUnit</v>
      </c>
      <c r="CX2" s="55" t="str">
        <f xml:space="preserve"> CU2 &amp; "UnitDes"</f>
        <v>NWTUnitDes</v>
      </c>
      <c r="CY2" s="55" t="s">
        <v>11689</v>
      </c>
      <c r="CZ2" s="55" t="str">
        <f xml:space="preserve"> CU2 &amp; 'PC LIST'!$J$2</f>
        <v>NWTODI type</v>
      </c>
      <c r="DA2" s="55" t="str">
        <f xml:space="preserve"> CU2 &amp; "201819Actual"</f>
        <v>NWT201819Actual</v>
      </c>
      <c r="DB2" s="55" t="s">
        <v>8359</v>
      </c>
      <c r="DC2" s="55" t="str">
        <f>DB2&amp;"PC"</f>
        <v>WSHPC</v>
      </c>
      <c r="DD2" s="55" t="str">
        <f xml:space="preserve"> DB2 &amp; "Unit"</f>
        <v>WSHUnit</v>
      </c>
      <c r="DE2" s="55" t="str">
        <f xml:space="preserve"> DB2 &amp; "UnitDes"</f>
        <v>WSHUnitDes</v>
      </c>
      <c r="DF2" s="55" t="s">
        <v>11690</v>
      </c>
      <c r="DG2" s="55" t="str">
        <f xml:space="preserve"> DB2 &amp; 'PC LIST'!$J$2</f>
        <v>WSHODI type</v>
      </c>
      <c r="DH2" s="55" t="str">
        <f xml:space="preserve"> DB2 &amp; "201819Actual"</f>
        <v>WSH201819Actual</v>
      </c>
      <c r="DI2" s="55" t="s">
        <v>8387</v>
      </c>
      <c r="DJ2" s="55" t="s">
        <v>11691</v>
      </c>
      <c r="DK2" s="55" t="str">
        <f xml:space="preserve"> DI2 &amp; "Unit"</f>
        <v>WSXUnit</v>
      </c>
      <c r="DL2" s="55" t="str">
        <f xml:space="preserve"> DI2 &amp; "UnitDes"</f>
        <v>WSXUnitDes</v>
      </c>
      <c r="DM2" s="55" t="s">
        <v>11692</v>
      </c>
      <c r="DN2" s="55" t="str">
        <f xml:space="preserve"> DI2 &amp; 'PC LIST'!$J$2</f>
        <v>WSXODI type</v>
      </c>
      <c r="DO2" s="713" t="str">
        <f xml:space="preserve"> DI2 &amp; "201819Actual"</f>
        <v>WSX201819Actual</v>
      </c>
      <c r="DP2" s="55" t="s">
        <v>8391</v>
      </c>
      <c r="DQ2" s="55" t="str">
        <f>DP2&amp;"PC"</f>
        <v>YKYPC</v>
      </c>
      <c r="DR2" s="55" t="str">
        <f xml:space="preserve"> DP2 &amp; "Unit"</f>
        <v>YKYUnit</v>
      </c>
      <c r="DS2" s="55" t="str">
        <f xml:space="preserve"> DP2 &amp; "UnitDes"</f>
        <v>YKYUnitDes</v>
      </c>
      <c r="DT2" s="55" t="s">
        <v>11693</v>
      </c>
      <c r="DU2" s="55" t="str">
        <f xml:space="preserve"> DP2 &amp; 'PC LIST'!$J$2</f>
        <v>YKYODI type</v>
      </c>
      <c r="DV2" s="55" t="str">
        <f xml:space="preserve"> DP2 &amp; "201819Actual"</f>
        <v>YKY201819Actual</v>
      </c>
      <c r="DW2" s="55" t="s">
        <v>8421</v>
      </c>
      <c r="DX2" s="55" t="str">
        <f>DW2&amp;"PC"</f>
        <v>HDDPC</v>
      </c>
      <c r="DY2" s="55" t="str">
        <f xml:space="preserve"> DW2 &amp; "Unit"</f>
        <v>HDDUnit</v>
      </c>
      <c r="DZ2" s="55" t="str">
        <f xml:space="preserve"> DW2 &amp; "UnitDes"</f>
        <v>HDDUnitDes</v>
      </c>
      <c r="EA2" s="55" t="s">
        <v>11694</v>
      </c>
      <c r="EB2" s="55" t="str">
        <f xml:space="preserve"> DW2 &amp; 'PC LIST'!$J$2</f>
        <v>HDDODI type</v>
      </c>
      <c r="EC2" s="55" t="str">
        <f xml:space="preserve"> DW2 &amp; "201819Actual"</f>
        <v>HDD201819Actual</v>
      </c>
      <c r="ED2" s="55" t="s">
        <v>8424</v>
      </c>
      <c r="EE2" s="55" t="str">
        <f>ED2&amp;"PC"</f>
        <v>SVEPC</v>
      </c>
      <c r="EF2" s="55" t="str">
        <f xml:space="preserve"> ED2 &amp; "Unit"</f>
        <v>SVEUnit</v>
      </c>
      <c r="EG2" s="55" t="str">
        <f xml:space="preserve"> ED2 &amp; "UnitDes"</f>
        <v>SVEUnitDes</v>
      </c>
      <c r="EH2" s="55" t="s">
        <v>11695</v>
      </c>
      <c r="EI2" s="55" t="str">
        <f xml:space="preserve"> ED2 &amp; 'PC LIST'!$J$2</f>
        <v>SVEODI type</v>
      </c>
      <c r="EJ2" s="55" t="str">
        <f xml:space="preserve"> ED2 &amp; "201819Actual"</f>
        <v>SVE201819Actual</v>
      </c>
    </row>
    <row r="3" spans="1:140" ht="15.75" customHeight="1">
      <c r="A3" s="56" t="str">
        <f>'PC LIST'!B3</f>
        <v>PR14AFWWSW_W-A1</v>
      </c>
      <c r="B3" s="56" t="str">
        <f>'PC LIST'!I3</f>
        <v>W-A1: Leakage</v>
      </c>
      <c r="C3" s="56" t="str">
        <f>'PC LIST'!O3</f>
        <v>nr</v>
      </c>
      <c r="D3" s="56" t="str">
        <f>'PC LIST'!P3</f>
        <v>Megalitres per day (Ml/d)</v>
      </c>
      <c r="E3" s="56">
        <f>'PC LIST'!Q3</f>
        <v>1</v>
      </c>
      <c r="F3" s="56" t="str">
        <f>'PC LIST'!J3</f>
        <v>Out &amp; under</v>
      </c>
      <c r="G3" s="56">
        <f>'PC LIST'!CI3</f>
        <v>196.1</v>
      </c>
      <c r="H3" s="56" t="str">
        <f>'PC LIST'!B16</f>
        <v>PR14ANHWSW_W-A2</v>
      </c>
      <c r="I3" s="57" t="str">
        <f>'PC LIST'!I16</f>
        <v>W-A2: Water supply interruptions</v>
      </c>
      <c r="J3" s="57" t="str">
        <f>'PC LIST'!O16</f>
        <v>time</v>
      </c>
      <c r="K3" s="57" t="str">
        <f>'PC LIST'!P16</f>
        <v>Minutes / property / year</v>
      </c>
      <c r="L3" s="56">
        <f>'PC LIST'!Q16</f>
        <v>2</v>
      </c>
      <c r="M3" s="56" t="str">
        <f>'PC LIST'!J16</f>
        <v>Out &amp; under</v>
      </c>
      <c r="N3" s="711">
        <f>'PC LIST'!CI16</f>
        <v>8.73</v>
      </c>
      <c r="O3" s="56" t="str">
        <f>'PC LIST'!B55</f>
        <v>PR14BRLWSW_A1</v>
      </c>
      <c r="P3" s="57" t="str">
        <f>'PC LIST'!I55</f>
        <v>A1: Unplanned customer minutes lost</v>
      </c>
      <c r="Q3" s="57" t="str">
        <f>'PC LIST'!O55</f>
        <v>time</v>
      </c>
      <c r="R3" s="57" t="str">
        <f>'PC LIST'!P55</f>
        <v>Minutes / property / year</v>
      </c>
      <c r="S3" s="56">
        <f>'PC LIST'!Q55</f>
        <v>1</v>
      </c>
      <c r="T3" s="56" t="str">
        <f>'PC LIST'!J55</f>
        <v>Out &amp; under</v>
      </c>
      <c r="U3" s="711">
        <f>'PC LIST'!CI55</f>
        <v>14.67</v>
      </c>
      <c r="V3" s="56" t="str">
        <f>'PC LIST'!B76</f>
        <v>PR14DVWWSW_A1</v>
      </c>
      <c r="W3" s="57" t="str">
        <f>'PC LIST'!I76</f>
        <v>A1: Discoloured water contacts</v>
      </c>
      <c r="X3" s="57" t="str">
        <f>'PC LIST'!O76</f>
        <v>nr</v>
      </c>
      <c r="Y3" s="57" t="str">
        <f>'PC LIST'!P76</f>
        <v>No. per 1,000 population</v>
      </c>
      <c r="Z3" s="56">
        <f>'PC LIST'!Q76</f>
        <v>2</v>
      </c>
      <c r="AA3" s="56" t="str">
        <f>'PC LIST'!J76</f>
        <v>Out &amp; under</v>
      </c>
      <c r="AB3" s="711" t="str">
        <f>'PC LIST'!CI76</f>
        <v/>
      </c>
      <c r="AC3" s="56" t="str">
        <f>'PC LIST'!B89</f>
        <v>PR14NESWSW_W-A1</v>
      </c>
      <c r="AD3" s="58" t="str">
        <f>'PC LIST'!I89</f>
        <v>W-A1: Asset health measures - water</v>
      </c>
      <c r="AE3" s="58" t="str">
        <f>'PC LIST'!O89</f>
        <v>N/A</v>
      </c>
      <c r="AF3" s="58" t="str">
        <f>'PC LIST'!P89</f>
        <v>N/A (measured in separate PCs)</v>
      </c>
      <c r="AG3" s="56" t="str">
        <f>'PC LIST'!Q89</f>
        <v>na</v>
      </c>
      <c r="AH3" s="56" t="str">
        <f>'PC LIST'!J89</f>
        <v>NFI</v>
      </c>
      <c r="AI3" s="56" t="str">
        <f>'PC LIST'!CI89</f>
        <v>n/a</v>
      </c>
      <c r="AJ3" s="56" t="str">
        <f>'PC LIST'!B133</f>
        <v>PR14PRTWSW_A1</v>
      </c>
      <c r="AK3" s="57" t="str">
        <f>'PC LIST'!I133</f>
        <v>A1: Bursts</v>
      </c>
      <c r="AL3" s="57" t="str">
        <f>'PC LIST'!O133</f>
        <v>nr</v>
      </c>
      <c r="AM3" s="57" t="str">
        <f>'PC LIST'!P133</f>
        <v>No. of burst mains per year</v>
      </c>
      <c r="AN3" s="56">
        <f>'PC LIST'!Q133</f>
        <v>0</v>
      </c>
      <c r="AO3" s="56" t="str">
        <f>'PC LIST'!J133</f>
        <v>Out &amp; under</v>
      </c>
      <c r="AP3" s="712">
        <f>'PC LIST'!CI133</f>
        <v>347</v>
      </c>
      <c r="AQ3" s="56" t="str">
        <f>'PC LIST'!B146</f>
        <v>PR14SBWWSW_A1</v>
      </c>
      <c r="AR3" s="57" t="str">
        <f>'PC LIST'!I146</f>
        <v>A1: Customer contacts: taste and appearance (water quality contacts)</v>
      </c>
      <c r="AS3" s="57" t="str">
        <f>'PC LIST'!O146</f>
        <v>nr</v>
      </c>
      <c r="AT3" s="57" t="str">
        <f>'PC LIST'!P146</f>
        <v>No. per 1,000 population</v>
      </c>
      <c r="AU3" s="56">
        <f>'PC LIST'!Q146</f>
        <v>2</v>
      </c>
      <c r="AV3" s="56" t="str">
        <f>'PC LIST'!J146</f>
        <v>Under</v>
      </c>
      <c r="AW3" s="711">
        <f>'PC LIST'!CI146</f>
        <v>0.71</v>
      </c>
      <c r="AX3" s="56" t="str">
        <f>'PC LIST'!B161</f>
        <v>PR14SESWSW_A1</v>
      </c>
      <c r="AY3" s="57" t="str">
        <f>'PC LIST'!I161</f>
        <v>A1: Security of supply index (SoSI) dry year average</v>
      </c>
      <c r="AZ3" s="57" t="str">
        <f>'PC LIST'!O161</f>
        <v>score</v>
      </c>
      <c r="BA3" s="57" t="str">
        <f>'PC LIST'!P161</f>
        <v>Security of Supply Index (SOSI)</v>
      </c>
      <c r="BB3" s="56">
        <f>'PC LIST'!Q161</f>
        <v>0</v>
      </c>
      <c r="BC3" s="56" t="str">
        <f>'PC LIST'!J161</f>
        <v>Under</v>
      </c>
      <c r="BD3" s="712">
        <f>'PC LIST'!CI161</f>
        <v>100</v>
      </c>
      <c r="BE3" s="56" t="str">
        <f>'PC LIST'!B182</f>
        <v>PR14SEWWSW_A1</v>
      </c>
      <c r="BF3" s="57" t="str">
        <f>'PC LIST'!I182</f>
        <v>A1: Customer satisfaction - appearance of water</v>
      </c>
      <c r="BG3" s="57" t="str">
        <f>'PC LIST'!O182</f>
        <v>score</v>
      </c>
      <c r="BH3" s="57" t="str">
        <f>'PC LIST'!P182</f>
        <v>Customer satisfaction score out of 5</v>
      </c>
      <c r="BI3" s="56">
        <f>'PC LIST'!Q182</f>
        <v>1</v>
      </c>
      <c r="BJ3" s="56" t="str">
        <f>'PC LIST'!J182</f>
        <v>Out &amp; under</v>
      </c>
      <c r="BK3" s="56">
        <f>'PC LIST'!CI182</f>
        <v>4.5</v>
      </c>
      <c r="BL3" s="56" t="str">
        <f>'PC LIST'!B216</f>
        <v>PR14SRNWSW_1</v>
      </c>
      <c r="BM3" s="57" t="str">
        <f>'PC LIST'!I216</f>
        <v>1: Water asset health (mains bursts, TIM, WSW &amp; WSR coliform compliance, turbidity compliance)</v>
      </c>
      <c r="BN3" s="57" t="str">
        <f>'PC LIST'!O216</f>
        <v>category</v>
      </c>
      <c r="BO3" s="57" t="str">
        <f>'PC LIST'!P216</f>
        <v>Asset health indicator</v>
      </c>
      <c r="BP3" s="56" t="str">
        <f>'PC LIST'!Q216</f>
        <v>na</v>
      </c>
      <c r="BQ3" s="56" t="str">
        <f>'PC LIST'!J216</f>
        <v>Under</v>
      </c>
      <c r="BR3" s="56" t="str">
        <f>'PC LIST'!CI216</f>
        <v>Stable</v>
      </c>
      <c r="BS3" s="56" t="str">
        <f>'PC LIST'!B249</f>
        <v>PR14SSCWSW_1.1</v>
      </c>
      <c r="BT3" s="57" t="str">
        <f>'PC LIST'!I249</f>
        <v>1.1: Mean zonal compliance (MZC, combined company)</v>
      </c>
      <c r="BU3" s="57" t="str">
        <f>'PC LIST'!O249</f>
        <v>%</v>
      </c>
      <c r="BV3" s="57" t="str">
        <f>'PC LIST'!P249</f>
        <v>Mean zonal compliance (%)</v>
      </c>
      <c r="BW3" s="56">
        <f>'PC LIST'!Q249</f>
        <v>3</v>
      </c>
      <c r="BX3" s="56" t="str">
        <f>'PC LIST'!J249</f>
        <v>Under</v>
      </c>
      <c r="BY3" s="56">
        <f>'PC LIST'!CI249</f>
        <v>99.915000000000006</v>
      </c>
      <c r="BZ3" s="56" t="str">
        <f>'PC LIST'!B264</f>
        <v>PR14SVTWSW_W-A1</v>
      </c>
      <c r="CA3" s="57" t="str">
        <f>'PC LIST'!I264</f>
        <v>W-A1: Number of complaints about drinking water quality</v>
      </c>
      <c r="CB3" s="57" t="str">
        <f>'PC LIST'!O264</f>
        <v>nr</v>
      </c>
      <c r="CC3" s="57" t="str">
        <f>'PC LIST'!P264</f>
        <v>No. of water quality complaints</v>
      </c>
      <c r="CD3" s="56">
        <f>'PC LIST'!Q264</f>
        <v>0</v>
      </c>
      <c r="CE3" s="56" t="str">
        <f>'PC LIST'!J264</f>
        <v>Out &amp; under</v>
      </c>
      <c r="CF3" s="712" t="str">
        <f>'PC LIST'!CI264</f>
        <v/>
      </c>
      <c r="CG3" s="56" t="str">
        <f>'PC LIST'!B309</f>
        <v>PR14SWTWSW_W-A1</v>
      </c>
      <c r="CH3" s="59" t="str">
        <f>'PC LIST'!I309</f>
        <v>W-A1: Compliance with water quality standard</v>
      </c>
      <c r="CI3" s="59" t="str">
        <f>'PC LIST'!O309</f>
        <v>%</v>
      </c>
      <c r="CJ3" s="59" t="str">
        <f>'PC LIST'!P309</f>
        <v>Mean zonal compliance (%)</v>
      </c>
      <c r="CK3" s="56">
        <f>'PC LIST'!Q309</f>
        <v>2</v>
      </c>
      <c r="CL3" s="56" t="str">
        <f>'PC LIST'!J309</f>
        <v>Under</v>
      </c>
      <c r="CM3" s="711">
        <f>'PC LIST'!CI309</f>
        <v>99.99</v>
      </c>
      <c r="CN3" s="56" t="str">
        <f>'PC LIST'!B351</f>
        <v>PR14TMSWSW_WA1</v>
      </c>
      <c r="CO3" s="57" t="str">
        <f>'PC LIST'!I351</f>
        <v>WA1: Improve handling of written complaints by increasing 1st time resolution</v>
      </c>
      <c r="CP3" s="57" t="str">
        <f>'PC LIST'!O351</f>
        <v>%</v>
      </c>
      <c r="CQ3" s="57" t="str">
        <f>'PC LIST'!P351</f>
        <v>% written complaints resolved 1st time</v>
      </c>
      <c r="CR3" s="56">
        <f>'PC LIST'!Q351</f>
        <v>0</v>
      </c>
      <c r="CS3" s="56" t="str">
        <f>'PC LIST'!J351</f>
        <v>NFI</v>
      </c>
      <c r="CT3" s="56">
        <f>'PC LIST'!CI351</f>
        <v>87.782413076603007</v>
      </c>
      <c r="CU3" s="56" t="str">
        <f>'PC LIST'!B406</f>
        <v>PR14UUWSW_A1</v>
      </c>
      <c r="CV3" s="57" t="str">
        <f>'PC LIST'!I406</f>
        <v>A1: Drinking Water Safety Plan risk score</v>
      </c>
      <c r="CW3" s="57" t="str">
        <f>'PC LIST'!O406</f>
        <v>score</v>
      </c>
      <c r="CX3" s="57" t="str">
        <f>'PC LIST'!P406</f>
        <v>Drinking Water Safety Plan (DWSP) risk score</v>
      </c>
      <c r="CY3" s="56">
        <f>'PC LIST'!Q406</f>
        <v>1</v>
      </c>
      <c r="CZ3" s="56" t="str">
        <f>'PC LIST'!J406</f>
        <v>NFI</v>
      </c>
      <c r="DA3" s="56">
        <f>'PC LIST'!CI406</f>
        <v>4.8</v>
      </c>
      <c r="DB3" s="56" t="str">
        <f>'PC LIST'!B433</f>
        <v>PR14WSHWSW_A1</v>
      </c>
      <c r="DC3" s="57" t="str">
        <f>'PC LIST'!I433</f>
        <v>A1: Safety of drinking water</v>
      </c>
      <c r="DD3" s="57" t="str">
        <f>'PC LIST'!O433</f>
        <v>%</v>
      </c>
      <c r="DE3" s="57" t="str">
        <f>'PC LIST'!P433</f>
        <v>Mean zonal compliance (%)</v>
      </c>
      <c r="DF3" s="56">
        <f>'PC LIST'!Q433</f>
        <v>2</v>
      </c>
      <c r="DG3" s="56" t="str">
        <f>'PC LIST'!J433</f>
        <v>Under</v>
      </c>
      <c r="DH3" s="711">
        <f>'PC LIST'!CI433</f>
        <v>99.97</v>
      </c>
      <c r="DI3" s="56" t="str">
        <f>'PC LIST'!B464</f>
        <v>PR14WSXWSW_B4</v>
      </c>
      <c r="DJ3" s="57" t="str">
        <f>'PC LIST'!I464</f>
        <v>B4: Compliance with abstraction licences</v>
      </c>
      <c r="DK3" s="57" t="str">
        <f>'PC LIST'!O464</f>
        <v>%</v>
      </c>
      <c r="DL3" s="57" t="str">
        <f>'PC LIST'!P464</f>
        <v>% compliance with EA abstraction licences</v>
      </c>
      <c r="DM3" s="56">
        <f>'PC LIST'!Q464</f>
        <v>1</v>
      </c>
      <c r="DN3" s="56" t="str">
        <f>'PC LIST'!J464</f>
        <v>NFI</v>
      </c>
      <c r="DO3" s="56">
        <f>'PC LIST'!CI464</f>
        <v>100</v>
      </c>
      <c r="DP3" s="56" t="str">
        <f>'PC LIST'!B496</f>
        <v>PR14YKYWSW_WA1</v>
      </c>
      <c r="DQ3" s="57" t="str">
        <f>'PC LIST'!I496</f>
        <v>WA1: Drinking water quality</v>
      </c>
      <c r="DR3" s="57" t="str">
        <f>'PC LIST'!O496</f>
        <v>%</v>
      </c>
      <c r="DS3" s="57" t="str">
        <f>'PC LIST'!P496</f>
        <v>Mean zonal compliance (%)</v>
      </c>
      <c r="DT3" s="56">
        <f>'PC LIST'!Q496</f>
        <v>3</v>
      </c>
      <c r="DU3" s="56" t="str">
        <f>'PC LIST'!J496</f>
        <v>Under</v>
      </c>
      <c r="DV3" s="56">
        <f>'PC LIST'!CI496</f>
        <v>99.962000000000003</v>
      </c>
      <c r="DW3" s="56" t="str">
        <f>'PC LIST'!B530</f>
        <v>PR14HDDWSW_A1</v>
      </c>
      <c r="DX3" s="57" t="str">
        <f>'PC LIST'!I530</f>
        <v>A1: Discoloured water contacts</v>
      </c>
      <c r="DY3" s="57" t="str">
        <f>'PC LIST'!O530</f>
        <v>nr</v>
      </c>
      <c r="DZ3" s="57" t="str">
        <f>'PC LIST'!P530</f>
        <v>No. per 1,000 population</v>
      </c>
      <c r="EA3" s="56">
        <f>'PC LIST'!Q530</f>
        <v>2</v>
      </c>
      <c r="EB3" s="56" t="str">
        <f>'PC LIST'!J530</f>
        <v>Out &amp; under</v>
      </c>
      <c r="EC3" s="56">
        <f>'PC LIST'!CI530</f>
        <v>1.02</v>
      </c>
      <c r="ED3" s="56" t="str">
        <f>'PC LIST'!B576</f>
        <v>PR14SVEWSW_W-A1</v>
      </c>
      <c r="EE3" s="57" t="str">
        <f>'PC LIST'!I576</f>
        <v>W-A1: Number of complaints about drinking water quality</v>
      </c>
      <c r="EF3" s="57" t="str">
        <f>'PC LIST'!O576</f>
        <v>nr</v>
      </c>
      <c r="EG3" s="57" t="str">
        <f>'PC LIST'!P576</f>
        <v>No. of water quality complaints</v>
      </c>
      <c r="EH3" s="56">
        <f>'PC LIST'!Q576</f>
        <v>0</v>
      </c>
      <c r="EI3" s="56" t="str">
        <f>'PC LIST'!J576</f>
        <v>Out &amp; under</v>
      </c>
      <c r="EJ3" s="56">
        <f>'PC LIST'!CI576</f>
        <v>11856</v>
      </c>
    </row>
    <row r="4" spans="1:140" ht="15.75" customHeight="1">
      <c r="A4" s="56" t="str">
        <f>'PC LIST'!B4</f>
        <v>PR14AFWWSW_W-A2</v>
      </c>
      <c r="B4" s="56" t="str">
        <f>'PC LIST'!I4</f>
        <v>W-A2: Average water use</v>
      </c>
      <c r="C4" s="56" t="str">
        <f>'PC LIST'!O4</f>
        <v>nr</v>
      </c>
      <c r="D4" s="56" t="str">
        <f>'PC LIST'!P4</f>
        <v>Litres per person per day (l/p/d)</v>
      </c>
      <c r="E4" s="56">
        <f>'PC LIST'!Q4</f>
        <v>1</v>
      </c>
      <c r="F4" s="56" t="str">
        <f>'PC LIST'!J4</f>
        <v>Under</v>
      </c>
      <c r="G4" s="56">
        <f>'PC LIST'!CI4</f>
        <v>149.19999999999999</v>
      </c>
      <c r="H4" s="56" t="str">
        <f>'PC LIST'!B17</f>
        <v>PR14ANHWSW_W-A3</v>
      </c>
      <c r="I4" s="57" t="str">
        <f>'PC LIST'!I17</f>
        <v>W-A3: Properties at risk of persistent low pressure</v>
      </c>
      <c r="J4" s="57" t="str">
        <f>'PC LIST'!O17</f>
        <v>nr</v>
      </c>
      <c r="K4" s="57" t="str">
        <f>'PC LIST'!P17</f>
        <v>No. of properties</v>
      </c>
      <c r="L4" s="56">
        <f>'PC LIST'!Q17</f>
        <v>0</v>
      </c>
      <c r="M4" s="56" t="str">
        <f>'PC LIST'!J17</f>
        <v>Out &amp; under</v>
      </c>
      <c r="N4" s="711">
        <f>'PC LIST'!CI17</f>
        <v>287</v>
      </c>
      <c r="O4" s="56" t="str">
        <f>'PC LIST'!B56</f>
        <v>PR14BRLWSW_A2</v>
      </c>
      <c r="P4" s="57" t="str">
        <f>'PC LIST'!I56</f>
        <v>A2: Asset reliability - infrastructure</v>
      </c>
      <c r="Q4" s="57" t="str">
        <f>'PC LIST'!O56</f>
        <v>category</v>
      </c>
      <c r="R4" s="57" t="str">
        <f>'PC LIST'!P56</f>
        <v>Asset health indicator</v>
      </c>
      <c r="S4" s="56" t="str">
        <f>'PC LIST'!Q56</f>
        <v>na</v>
      </c>
      <c r="T4" s="56" t="str">
        <f>'PC LIST'!J56</f>
        <v>Under</v>
      </c>
      <c r="U4" s="711" t="str">
        <f>'PC LIST'!CI56</f>
        <v>Marginal</v>
      </c>
      <c r="V4" s="56" t="str">
        <f>'PC LIST'!B77</f>
        <v>PR14DVWWSW_A2</v>
      </c>
      <c r="W4" s="57" t="str">
        <f>'PC LIST'!I77</f>
        <v>A2: Mean zonal compliance (MZC)</v>
      </c>
      <c r="X4" s="57" t="str">
        <f>'PC LIST'!O77</f>
        <v>%</v>
      </c>
      <c r="Y4" s="57" t="str">
        <f>'PC LIST'!P77</f>
        <v>Mean zonal compliance (%)</v>
      </c>
      <c r="Z4" s="56">
        <f>'PC LIST'!Q77</f>
        <v>2</v>
      </c>
      <c r="AA4" s="56" t="str">
        <f>'PC LIST'!J77</f>
        <v>Under</v>
      </c>
      <c r="AB4" s="711" t="str">
        <f>'PC LIST'!CI77</f>
        <v/>
      </c>
      <c r="AC4" s="56" t="str">
        <f>'PC LIST'!B90</f>
        <v>PR14NESWSW_W-B1</v>
      </c>
      <c r="AD4" s="58" t="str">
        <f>'PC LIST'!I90</f>
        <v>W-B1: Satisfaction with taste and odour of tap water</v>
      </c>
      <c r="AE4" s="58" t="str">
        <f>'PC LIST'!O90</f>
        <v>nr</v>
      </c>
      <c r="AF4" s="58" t="str">
        <f>'PC LIST'!P90</f>
        <v>No. of complaints per year</v>
      </c>
      <c r="AG4" s="56">
        <f>'PC LIST'!Q90</f>
        <v>0</v>
      </c>
      <c r="AH4" s="56" t="str">
        <f>'PC LIST'!J90</f>
        <v>Out &amp; under</v>
      </c>
      <c r="AI4" s="56">
        <f>'PC LIST'!CI90</f>
        <v>1060</v>
      </c>
      <c r="AJ4" s="56" t="str">
        <f>'PC LIST'!B134</f>
        <v>PR14PRTWSW_A2</v>
      </c>
      <c r="AK4" s="57" t="str">
        <f>'PC LIST'!I134</f>
        <v>A2: Water quality standards</v>
      </c>
      <c r="AL4" s="57" t="str">
        <f>'PC LIST'!O134</f>
        <v>%</v>
      </c>
      <c r="AM4" s="57" t="str">
        <f>'PC LIST'!P134</f>
        <v>Mean zonal compliance (%)</v>
      </c>
      <c r="AN4" s="56">
        <f>'PC LIST'!Q134</f>
        <v>2</v>
      </c>
      <c r="AO4" s="56" t="str">
        <f>'PC LIST'!J134</f>
        <v>Under</v>
      </c>
      <c r="AP4" s="712">
        <f>'PC LIST'!CI134</f>
        <v>99.96</v>
      </c>
      <c r="AQ4" s="56" t="str">
        <f>'PC LIST'!B147</f>
        <v>PR14SBWWSW_A2</v>
      </c>
      <c r="AR4" s="57" t="str">
        <f>'PC LIST'!I147</f>
        <v>A2: WS (WQ) regulation compliance - mean zonal compliance (compliance with DWI regulations)</v>
      </c>
      <c r="AS4" s="57" t="str">
        <f>'PC LIST'!O147</f>
        <v>%</v>
      </c>
      <c r="AT4" s="57" t="str">
        <f>'PC LIST'!P147</f>
        <v>Mean zonal compliance (%)</v>
      </c>
      <c r="AU4" s="56">
        <f>'PC LIST'!Q147</f>
        <v>2</v>
      </c>
      <c r="AV4" s="56" t="str">
        <f>'PC LIST'!J147</f>
        <v>Under</v>
      </c>
      <c r="AW4" s="711">
        <f>'PC LIST'!CI147</f>
        <v>100</v>
      </c>
      <c r="AX4" s="56" t="str">
        <f>'PC LIST'!B162</f>
        <v>PR14SESWSW_A2</v>
      </c>
      <c r="AY4" s="57" t="str">
        <f>'PC LIST'!I162</f>
        <v>A2: Security of supply index (SoSI) critical period</v>
      </c>
      <c r="AZ4" s="57" t="str">
        <f>'PC LIST'!O162</f>
        <v>score</v>
      </c>
      <c r="BA4" s="57" t="str">
        <f>'PC LIST'!P162</f>
        <v>Security of Supply Index (SOSI)</v>
      </c>
      <c r="BB4" s="56">
        <f>'PC LIST'!Q162</f>
        <v>0</v>
      </c>
      <c r="BC4" s="56" t="str">
        <f>'PC LIST'!J162</f>
        <v>NFI</v>
      </c>
      <c r="BD4" s="712">
        <f>'PC LIST'!CI162</f>
        <v>100</v>
      </c>
      <c r="BE4" s="56" t="str">
        <f>'PC LIST'!B183</f>
        <v>PR14SEWWSW_B1</v>
      </c>
      <c r="BF4" s="57" t="str">
        <f>'PC LIST'!I183</f>
        <v>B1: Customer satisfaction - taste and odour of water</v>
      </c>
      <c r="BG4" s="57" t="str">
        <f>'PC LIST'!O183</f>
        <v>score</v>
      </c>
      <c r="BH4" s="57" t="str">
        <f>'PC LIST'!P183</f>
        <v>Customer satisfaction score out of 5</v>
      </c>
      <c r="BI4" s="56">
        <f>'PC LIST'!Q183</f>
        <v>1</v>
      </c>
      <c r="BJ4" s="56" t="str">
        <f>'PC LIST'!J183</f>
        <v>Out &amp; under</v>
      </c>
      <c r="BK4" s="56">
        <f>'PC LIST'!CI183</f>
        <v>4.2</v>
      </c>
      <c r="BL4" s="56" t="str">
        <f>'PC LIST'!B217</f>
        <v>PR14SRNWSW_2</v>
      </c>
      <c r="BM4" s="57" t="str">
        <f>'PC LIST'!I217</f>
        <v>2: Water use restrictions</v>
      </c>
      <c r="BN4" s="57" t="str">
        <f>'PC LIST'!O217</f>
        <v>nr</v>
      </c>
      <c r="BO4" s="57" t="str">
        <f>'PC LIST'!P217</f>
        <v>No. of properties affected per ban</v>
      </c>
      <c r="BP4" s="56">
        <f>'PC LIST'!Q217</f>
        <v>0</v>
      </c>
      <c r="BQ4" s="56" t="str">
        <f>'PC LIST'!J217</f>
        <v>Under</v>
      </c>
      <c r="BR4" s="56">
        <f>'PC LIST'!CI217</f>
        <v>0</v>
      </c>
      <c r="BS4" s="56" t="str">
        <f>'PC LIST'!B250</f>
        <v>PR14SSCWSW_1.2</v>
      </c>
      <c r="BT4" s="57" t="str">
        <f>'PC LIST'!I250</f>
        <v>1.2: Acceptability of water to customers (combined company)</v>
      </c>
      <c r="BU4" s="57" t="str">
        <f>'PC LIST'!O250</f>
        <v>nr</v>
      </c>
      <c r="BV4" s="57" t="str">
        <f>'PC LIST'!P250</f>
        <v>No. of contacts per 1,000 population</v>
      </c>
      <c r="BW4" s="56">
        <f>'PC LIST'!Q250</f>
        <v>2</v>
      </c>
      <c r="BX4" s="56" t="str">
        <f>'PC LIST'!J250</f>
        <v>Out &amp; under</v>
      </c>
      <c r="BY4" s="56">
        <f>'PC LIST'!CI250</f>
        <v>1.51</v>
      </c>
      <c r="BZ4" s="56" t="str">
        <f>'PC LIST'!B265</f>
        <v>PR14SVTWSW_W-A2</v>
      </c>
      <c r="CA4" s="57" t="str">
        <f>'PC LIST'!I265</f>
        <v>W-A2: Compliance with drinking water quality standards</v>
      </c>
      <c r="CB4" s="57" t="str">
        <f>'PC LIST'!O265</f>
        <v>%</v>
      </c>
      <c r="CC4" s="57" t="str">
        <f>'PC LIST'!P265</f>
        <v>Mean zonal compliance (%)</v>
      </c>
      <c r="CD4" s="56">
        <f>'PC LIST'!Q265</f>
        <v>3</v>
      </c>
      <c r="CE4" s="56" t="str">
        <f>'PC LIST'!J265</f>
        <v>Under</v>
      </c>
      <c r="CF4" s="712" t="str">
        <f>'PC LIST'!CI265</f>
        <v/>
      </c>
      <c r="CG4" s="56" t="str">
        <f>'PC LIST'!B310</f>
        <v>PR14SWTWSW_W-A2</v>
      </c>
      <c r="CH4" s="59" t="str">
        <f>'PC LIST'!I310</f>
        <v>W-A2: Taste, smell and colour contacts</v>
      </c>
      <c r="CI4" s="59" t="str">
        <f>'PC LIST'!O310</f>
        <v>nr</v>
      </c>
      <c r="CJ4" s="59" t="str">
        <f>'PC LIST'!P310</f>
        <v>No. of contacts per 1,000 population</v>
      </c>
      <c r="CK4" s="56">
        <f>'PC LIST'!Q310</f>
        <v>2</v>
      </c>
      <c r="CL4" s="56" t="str">
        <f>'PC LIST'!J310</f>
        <v>Out &amp; under</v>
      </c>
      <c r="CM4" s="711">
        <f>'PC LIST'!CI310</f>
        <v>2.13</v>
      </c>
      <c r="CN4" s="56" t="str">
        <f>'PC LIST'!B352</f>
        <v>PR14TMSWSW_WA2</v>
      </c>
      <c r="CO4" s="57" t="str">
        <f>'PC LIST'!I352</f>
        <v>WA2: Number of written complaints per 10,000 connected properties</v>
      </c>
      <c r="CP4" s="57" t="str">
        <f>'PC LIST'!O352</f>
        <v>nr</v>
      </c>
      <c r="CQ4" s="57" t="str">
        <f>'PC LIST'!P352</f>
        <v>No. written complaints / 10,000 properties</v>
      </c>
      <c r="CR4" s="56">
        <f>'PC LIST'!Q352</f>
        <v>2</v>
      </c>
      <c r="CS4" s="56" t="str">
        <f>'PC LIST'!J352</f>
        <v>NFI</v>
      </c>
      <c r="CT4" s="56">
        <f>'PC LIST'!CI352</f>
        <v>18.6056988747921</v>
      </c>
      <c r="CU4" s="56" t="str">
        <f>'PC LIST'!B407</f>
        <v>PR14UUWSW_A2</v>
      </c>
      <c r="CV4" s="57" t="str">
        <f>'PC LIST'!I407</f>
        <v>A2: Water quality events DWI category 3 or above</v>
      </c>
      <c r="CW4" s="57" t="str">
        <f>'PC LIST'!O407</f>
        <v>nr</v>
      </c>
      <c r="CX4" s="57" t="str">
        <f>'PC LIST'!P407</f>
        <v>No. water quality events DWI cat 3 or above</v>
      </c>
      <c r="CY4" s="56">
        <f>'PC LIST'!Q407</f>
        <v>0</v>
      </c>
      <c r="CZ4" s="56" t="str">
        <f>'PC LIST'!J407</f>
        <v>Under</v>
      </c>
      <c r="DA4" s="56">
        <f>'PC LIST'!CI407</f>
        <v>6</v>
      </c>
      <c r="DB4" s="56" t="str">
        <f>'PC LIST'!B434</f>
        <v>PR14WSHWSW_A2</v>
      </c>
      <c r="DC4" s="57" t="str">
        <f>'PC LIST'!I434</f>
        <v>A2: Customer acceptability (drinking water) - contacts per 1,000 population</v>
      </c>
      <c r="DD4" s="57" t="str">
        <f>'PC LIST'!O434</f>
        <v>nr</v>
      </c>
      <c r="DE4" s="57" t="str">
        <f>'PC LIST'!P434</f>
        <v>No. of contacts per 1,000 population</v>
      </c>
      <c r="DF4" s="56">
        <f>'PC LIST'!Q434</f>
        <v>2</v>
      </c>
      <c r="DG4" s="56" t="str">
        <f>'PC LIST'!J434</f>
        <v>Out &amp; under</v>
      </c>
      <c r="DH4" s="711">
        <f>'PC LIST'!CI434</f>
        <v>3.28</v>
      </c>
      <c r="DI4" s="56" t="str">
        <f>'PC LIST'!B465</f>
        <v>PR14WSXWSW_B5</v>
      </c>
      <c r="DJ4" s="57" t="str">
        <f>'PC LIST'!I465</f>
        <v>B5: Abstractions at Mere exported (follows principles of the AIM methodology)</v>
      </c>
      <c r="DK4" s="57" t="str">
        <f>'PC LIST'!O465</f>
        <v>nr</v>
      </c>
      <c r="DL4" s="57" t="str">
        <f>'PC LIST'!P465</f>
        <v>Megalitres per annum (Ml/a)</v>
      </c>
      <c r="DM4" s="56">
        <f>'PC LIST'!Q465</f>
        <v>0</v>
      </c>
      <c r="DN4" s="56" t="str">
        <f>'PC LIST'!J465</f>
        <v>Under</v>
      </c>
      <c r="DO4" s="56">
        <f>'PC LIST'!CI465</f>
        <v>6.7000000000000004E-2</v>
      </c>
      <c r="DP4" s="56" t="str">
        <f>'PC LIST'!B497</f>
        <v>PR14YKYWSW_WA2</v>
      </c>
      <c r="DQ4" s="57" t="str">
        <f>'PC LIST'!I497</f>
        <v>WA2: Significant drinking water events which require corrective action</v>
      </c>
      <c r="DR4" s="57" t="str">
        <f>'PC LIST'!O497</f>
        <v>nr</v>
      </c>
      <c r="DS4" s="57" t="str">
        <f>'PC LIST'!P497</f>
        <v>No. of corrective actions required by DWI with respect to potentially significant events notified</v>
      </c>
      <c r="DT4" s="56">
        <f>'PC LIST'!Q497</f>
        <v>0</v>
      </c>
      <c r="DU4" s="56" t="str">
        <f>'PC LIST'!J497</f>
        <v>NFI</v>
      </c>
      <c r="DV4" s="56">
        <f>'PC LIST'!CI497</f>
        <v>5</v>
      </c>
      <c r="DW4" s="56" t="str">
        <f>'PC LIST'!B531</f>
        <v>PR14HDDWSW_A2</v>
      </c>
      <c r="DX4" s="57" t="str">
        <f>'PC LIST'!I531</f>
        <v>A2: Mean zonal compliance (MZC)</v>
      </c>
      <c r="DY4" s="57" t="str">
        <f>'PC LIST'!O531</f>
        <v>%</v>
      </c>
      <c r="DZ4" s="57" t="str">
        <f>'PC LIST'!P531</f>
        <v>Mean zonal compliance (%)</v>
      </c>
      <c r="EA4" s="56">
        <f>'PC LIST'!Q531</f>
        <v>2</v>
      </c>
      <c r="EB4" s="56" t="str">
        <f>'PC LIST'!J531</f>
        <v>Under</v>
      </c>
      <c r="EC4" s="56">
        <f>'PC LIST'!CI531</f>
        <v>99.94</v>
      </c>
      <c r="ED4" s="56" t="str">
        <f>'PC LIST'!B577</f>
        <v>PR14SVEWSW_W-A2</v>
      </c>
      <c r="EE4" s="57" t="str">
        <f>'PC LIST'!I577</f>
        <v>W-A2: Compliance with drinking water quality standards</v>
      </c>
      <c r="EF4" s="57" t="str">
        <f>'PC LIST'!O577</f>
        <v>%</v>
      </c>
      <c r="EG4" s="57" t="str">
        <f>'PC LIST'!P577</f>
        <v>Mean zonal compliance (%)</v>
      </c>
      <c r="EH4" s="56">
        <f>'PC LIST'!Q577</f>
        <v>3</v>
      </c>
      <c r="EI4" s="56" t="str">
        <f>'PC LIST'!J577</f>
        <v>Under</v>
      </c>
      <c r="EJ4" s="56">
        <f>'PC LIST'!CI577</f>
        <v>99.94</v>
      </c>
    </row>
    <row r="5" spans="1:140" ht="15.75" customHeight="1">
      <c r="A5" s="56" t="str">
        <f>'PC LIST'!B5</f>
        <v>PR14AFWWSW_W-A3</v>
      </c>
      <c r="B5" s="56" t="str">
        <f>'PC LIST'!I5</f>
        <v>W-A3: Water available for use</v>
      </c>
      <c r="C5" s="56" t="str">
        <f>'PC LIST'!O5</f>
        <v>nr</v>
      </c>
      <c r="D5" s="56" t="str">
        <f>'PC LIST'!P5</f>
        <v>Megalitres per day (Ml/d)</v>
      </c>
      <c r="E5" s="56">
        <f>'PC LIST'!Q5</f>
        <v>1</v>
      </c>
      <c r="F5" s="56" t="str">
        <f>'PC LIST'!J5</f>
        <v>Under</v>
      </c>
      <c r="G5" s="56">
        <f>'PC LIST'!CI5</f>
        <v>1105.3</v>
      </c>
      <c r="H5" s="56" t="str">
        <f>'PC LIST'!B18</f>
        <v>PR14ANHWSW_W-A4</v>
      </c>
      <c r="I5" s="57" t="str">
        <f>'PC LIST'!I18</f>
        <v>W-A4: Water quality contacts</v>
      </c>
      <c r="J5" s="57" t="str">
        <f>'PC LIST'!O18</f>
        <v>nr</v>
      </c>
      <c r="K5" s="57" t="str">
        <f>'PC LIST'!P18</f>
        <v>No. per 1,000 population</v>
      </c>
      <c r="L5" s="56">
        <f>'PC LIST'!Q18</f>
        <v>2</v>
      </c>
      <c r="M5" s="56" t="str">
        <f>'PC LIST'!J18</f>
        <v>Out &amp; under</v>
      </c>
      <c r="N5" s="711">
        <f>'PC LIST'!CI18</f>
        <v>1.18</v>
      </c>
      <c r="O5" s="56" t="str">
        <f>'PC LIST'!B57</f>
        <v>PR14BRLWSW_A3</v>
      </c>
      <c r="P5" s="57" t="str">
        <f>'PC LIST'!I57</f>
        <v>A3: Asset reliability - non-infrastructure</v>
      </c>
      <c r="Q5" s="57" t="str">
        <f>'PC LIST'!O57</f>
        <v>category</v>
      </c>
      <c r="R5" s="57" t="str">
        <f>'PC LIST'!P57</f>
        <v>Asset health indicator</v>
      </c>
      <c r="S5" s="56" t="str">
        <f>'PC LIST'!Q57</f>
        <v>na</v>
      </c>
      <c r="T5" s="56" t="str">
        <f>'PC LIST'!J57</f>
        <v>Under</v>
      </c>
      <c r="U5" s="711" t="str">
        <f>'PC LIST'!CI57</f>
        <v>Stable</v>
      </c>
      <c r="V5" s="56" t="str">
        <f>'PC LIST'!B78</f>
        <v>PR14DVWWSW_A3</v>
      </c>
      <c r="W5" s="57" t="str">
        <f>'PC LIST'!I78</f>
        <v>A3: Delivery of the outcomes of the Legacy water treatment works (south west Wrexham) major scheme</v>
      </c>
      <c r="X5" s="57" t="str">
        <f>'PC LIST'!O78</f>
        <v>text</v>
      </c>
      <c r="Y5" s="57" t="str">
        <f>'PC LIST'!P78</f>
        <v>Pass/fail (until completion)</v>
      </c>
      <c r="Z5" s="56" t="str">
        <f>'PC LIST'!Q78</f>
        <v>na</v>
      </c>
      <c r="AA5" s="56" t="str">
        <f>'PC LIST'!J78</f>
        <v>Under</v>
      </c>
      <c r="AB5" s="711" t="str">
        <f>'PC LIST'!CI78</f>
        <v/>
      </c>
      <c r="AC5" s="56" t="str">
        <f>'PC LIST'!B91</f>
        <v>PR14NESWSW_W-B2</v>
      </c>
      <c r="AD5" s="58" t="str">
        <f>'PC LIST'!I91</f>
        <v>W-B2: Overall drinking water compliance (3-year average)</v>
      </c>
      <c r="AE5" s="58" t="str">
        <f>'PC LIST'!O91</f>
        <v>%</v>
      </c>
      <c r="AF5" s="58" t="str">
        <f>'PC LIST'!P91</f>
        <v>Mean zonal compliance (%)</v>
      </c>
      <c r="AG5" s="56">
        <f>'PC LIST'!Q91</f>
        <v>3</v>
      </c>
      <c r="AH5" s="56" t="str">
        <f>'PC LIST'!J91</f>
        <v>Under</v>
      </c>
      <c r="AI5" s="56">
        <f>'PC LIST'!CI91</f>
        <v>99.941000000000003</v>
      </c>
      <c r="AJ5" s="56" t="str">
        <f>'PC LIST'!B135</f>
        <v>PR14PRTWSW_A3</v>
      </c>
      <c r="AK5" s="57" t="str">
        <f>'PC LIST'!I135</f>
        <v>A3: Water quality contacts</v>
      </c>
      <c r="AL5" s="57" t="str">
        <f>'PC LIST'!O135</f>
        <v>nr</v>
      </c>
      <c r="AM5" s="57" t="str">
        <f>'PC LIST'!P135</f>
        <v>No. contacts per 1,000 population served</v>
      </c>
      <c r="AN5" s="56">
        <f>'PC LIST'!Q135</f>
        <v>3</v>
      </c>
      <c r="AO5" s="56" t="str">
        <f>'PC LIST'!J135</f>
        <v>Out &amp; under</v>
      </c>
      <c r="AP5" s="712">
        <f>'PC LIST'!CI135</f>
        <v>0.437</v>
      </c>
      <c r="AQ5" s="56" t="str">
        <f>'PC LIST'!B148</f>
        <v>PR14SBWWSW_B1</v>
      </c>
      <c r="AR5" s="57" t="str">
        <f>'PC LIST'!I148</f>
        <v>B1: Reduce leakage (to less than or equal to 20.00 Ml/d by 2020)</v>
      </c>
      <c r="AS5" s="57" t="str">
        <f>'PC LIST'!O148</f>
        <v>nr</v>
      </c>
      <c r="AT5" s="57" t="str">
        <f>'PC LIST'!P148</f>
        <v>Megalitres per day (Ml/d)</v>
      </c>
      <c r="AU5" s="56">
        <f>'PC LIST'!Q148</f>
        <v>2</v>
      </c>
      <c r="AV5" s="56" t="str">
        <f>'PC LIST'!J148</f>
        <v>Out &amp; under</v>
      </c>
      <c r="AW5" s="711">
        <f>'PC LIST'!CI148</f>
        <v>18.279320362470102</v>
      </c>
      <c r="AX5" s="56" t="str">
        <f>'PC LIST'!B163</f>
        <v>PR14SESWSW_A3</v>
      </c>
      <c r="AY5" s="57" t="str">
        <f>'PC LIST'!I163</f>
        <v>A3: Supply interruptions &gt;3 hours</v>
      </c>
      <c r="AZ5" s="57" t="str">
        <f>'PC LIST'!O163</f>
        <v>time</v>
      </c>
      <c r="BA5" s="57" t="str">
        <f>'PC LIST'!P163</f>
        <v>Hours / property / year</v>
      </c>
      <c r="BB5" s="56">
        <f>'PC LIST'!Q163</f>
        <v>2</v>
      </c>
      <c r="BC5" s="56" t="str">
        <f>'PC LIST'!J163</f>
        <v>Out &amp; under</v>
      </c>
      <c r="BD5" s="712">
        <f>'PC LIST'!CI163</f>
        <v>0.27</v>
      </c>
      <c r="BE5" s="56" t="str">
        <f>'PC LIST'!B184</f>
        <v>PR14SEWWSW_C1</v>
      </c>
      <c r="BF5" s="57" t="str">
        <f>'PC LIST'!I184</f>
        <v>C1: Customer satisfaction - level of leakage</v>
      </c>
      <c r="BG5" s="57" t="str">
        <f>'PC LIST'!O184</f>
        <v>score</v>
      </c>
      <c r="BH5" s="57" t="str">
        <f>'PC LIST'!P184</f>
        <v>Customer satisfaction score out of 5</v>
      </c>
      <c r="BI5" s="56">
        <f>'PC LIST'!Q184</f>
        <v>1</v>
      </c>
      <c r="BJ5" s="56" t="str">
        <f>'PC LIST'!J184</f>
        <v>Out &amp; under</v>
      </c>
      <c r="BK5" s="56">
        <f>'PC LIST'!CI184</f>
        <v>3.6</v>
      </c>
      <c r="BL5" s="56" t="str">
        <f>'PC LIST'!B218</f>
        <v>PR14SRNWSW_3</v>
      </c>
      <c r="BM5" s="57" t="str">
        <f>'PC LIST'!I218</f>
        <v>3: Leakage (including customer supply-pipe leakage) - five-year average target</v>
      </c>
      <c r="BN5" s="57" t="str">
        <f>'PC LIST'!O218</f>
        <v>nr</v>
      </c>
      <c r="BO5" s="57" t="str">
        <f>'PC LIST'!P218</f>
        <v>Megalitres per day (Ml/d)</v>
      </c>
      <c r="BP5" s="56">
        <f>'PC LIST'!Q218</f>
        <v>1</v>
      </c>
      <c r="BQ5" s="56" t="str">
        <f>'PC LIST'!J218</f>
        <v>Out &amp; under</v>
      </c>
      <c r="BR5" s="56">
        <f>'PC LIST'!CI218</f>
        <v>101.8</v>
      </c>
      <c r="BS5" s="56" t="str">
        <f>'PC LIST'!B251</f>
        <v>PR14SSCWSW_2.1</v>
      </c>
      <c r="BT5" s="57" t="str">
        <f>'PC LIST'!I251</f>
        <v>2.1: Interruptions to supply (combined company)</v>
      </c>
      <c r="BU5" s="57" t="str">
        <f>'PC LIST'!O251</f>
        <v>time</v>
      </c>
      <c r="BV5" s="57" t="str">
        <f>'PC LIST'!P251</f>
        <v>Minutes / property / year</v>
      </c>
      <c r="BW5" s="56">
        <f>'PC LIST'!Q251</f>
        <v>1</v>
      </c>
      <c r="BX5" s="56" t="str">
        <f>'PC LIST'!J251</f>
        <v>Out &amp; under</v>
      </c>
      <c r="BY5" s="56">
        <f>'PC LIST'!CI251</f>
        <v>7.15</v>
      </c>
      <c r="BZ5" s="56" t="str">
        <f>'PC LIST'!B266</f>
        <v>PR14SVTWSW_W-A3</v>
      </c>
      <c r="CA5" s="57" t="str">
        <f>'PC LIST'!I266</f>
        <v>W-A3: Asset stewardship - number of sites with coliform failures (WTWs)</v>
      </c>
      <c r="CB5" s="57" t="str">
        <f>'PC LIST'!O266</f>
        <v>nr</v>
      </c>
      <c r="CC5" s="57" t="str">
        <f>'PC LIST'!P266</f>
        <v>No. of sites with coliform failures per year</v>
      </c>
      <c r="CD5" s="56">
        <f>'PC LIST'!Q266</f>
        <v>0</v>
      </c>
      <c r="CE5" s="56" t="str">
        <f>'PC LIST'!J266</f>
        <v>Under</v>
      </c>
      <c r="CF5" s="712" t="str">
        <f>'PC LIST'!CI266</f>
        <v/>
      </c>
      <c r="CG5" s="56" t="str">
        <f>'PC LIST'!B311</f>
        <v>PR14SWTWSW_W-A3</v>
      </c>
      <c r="CH5" s="59" t="str">
        <f>'PC LIST'!I311</f>
        <v>W-A3: Asset reliability (pipes)</v>
      </c>
      <c r="CI5" s="59" t="str">
        <f>'PC LIST'!O311</f>
        <v>category</v>
      </c>
      <c r="CJ5" s="59" t="str">
        <f>'PC LIST'!P311</f>
        <v>Asset health indicator</v>
      </c>
      <c r="CK5" s="56" t="str">
        <f>'PC LIST'!Q311</f>
        <v>na</v>
      </c>
      <c r="CL5" s="56" t="str">
        <f>'PC LIST'!J311</f>
        <v>Under</v>
      </c>
      <c r="CM5" s="711" t="str">
        <f>'PC LIST'!CI311</f>
        <v>Stable</v>
      </c>
      <c r="CN5" s="56" t="str">
        <f>'PC LIST'!B353</f>
        <v>PR14TMSWSW_WA3</v>
      </c>
      <c r="CO5" s="57" t="str">
        <f>'PC LIST'!I353</f>
        <v>WA3: Customer satisfaction surveys (internal CSAT monitor)</v>
      </c>
      <c r="CP5" s="57" t="str">
        <f>'PC LIST'!O353</f>
        <v>score</v>
      </c>
      <c r="CQ5" s="57" t="str">
        <f>'PC LIST'!P353</f>
        <v>TW internal Customer satisfaction score (mean score out of 5)</v>
      </c>
      <c r="CR5" s="56">
        <f>'PC LIST'!Q353</f>
        <v>2</v>
      </c>
      <c r="CS5" s="56" t="str">
        <f>'PC LIST'!J353</f>
        <v>NFI</v>
      </c>
      <c r="CT5" s="56">
        <f>'PC LIST'!CI353</f>
        <v>4.3935037719999999</v>
      </c>
      <c r="CU5" s="56" t="str">
        <f>'PC LIST'!B408</f>
        <v>PR14UUWSW_A3</v>
      </c>
      <c r="CV5" s="57" t="str">
        <f>'PC LIST'!I408</f>
        <v>A3: Water Quality Service Index</v>
      </c>
      <c r="CW5" s="57" t="str">
        <f>'PC LIST'!O408</f>
        <v>score</v>
      </c>
      <c r="CX5" s="57" t="str">
        <f>'PC LIST'!P408</f>
        <v>Water Quality Service Index (UU bespoke)</v>
      </c>
      <c r="CY5" s="56">
        <f>'PC LIST'!Q408</f>
        <v>3</v>
      </c>
      <c r="CZ5" s="56" t="str">
        <f>'PC LIST'!J408</f>
        <v>Out &amp; under</v>
      </c>
      <c r="DA5" s="56">
        <f>'PC LIST'!CI408</f>
        <v>101.182</v>
      </c>
      <c r="DB5" s="56" t="str">
        <f>'PC LIST'!B435</f>
        <v>PR14WSHWSW_A3</v>
      </c>
      <c r="DC5" s="57" t="str">
        <f>'PC LIST'!I435</f>
        <v>A3: Reliability of supply - minutes lost per property per year</v>
      </c>
      <c r="DD5" s="57" t="str">
        <f>'PC LIST'!O435</f>
        <v>time</v>
      </c>
      <c r="DE5" s="57" t="str">
        <f>'PC LIST'!P435</f>
        <v>Minutes of supply interruption per property per year</v>
      </c>
      <c r="DF5" s="56">
        <f>'PC LIST'!Q435</f>
        <v>1</v>
      </c>
      <c r="DG5" s="56" t="str">
        <f>'PC LIST'!J435</f>
        <v>Out &amp; under</v>
      </c>
      <c r="DH5" s="711">
        <f>'PC LIST'!CI435</f>
        <v>16</v>
      </c>
      <c r="DI5" s="56" t="str">
        <f>'PC LIST'!B466</f>
        <v>PR14WSXWSW_B6</v>
      </c>
      <c r="DJ5" s="57" t="str">
        <f>'PC LIST'!I466</f>
        <v>B6: BAP landholding assessed and managed for biodiversity</v>
      </c>
      <c r="DK5" s="57" t="str">
        <f>'PC LIST'!O466</f>
        <v>%</v>
      </c>
      <c r="DL5" s="57" t="str">
        <f>'PC LIST'!P466</f>
        <v>% WSX landholding assessed &amp; managed for biodiversity</v>
      </c>
      <c r="DM5" s="56">
        <f>'PC LIST'!Q466</f>
        <v>0</v>
      </c>
      <c r="DN5" s="56" t="str">
        <f>'PC LIST'!J466</f>
        <v>Under</v>
      </c>
      <c r="DO5" s="56">
        <f>'PC LIST'!CI466</f>
        <v>96</v>
      </c>
      <c r="DP5" s="56" t="str">
        <f>'PC LIST'!B498</f>
        <v>PR14YKYWSW_WA3</v>
      </c>
      <c r="DQ5" s="57" t="str">
        <f>'PC LIST'!I498</f>
        <v>WA3: Drinking water contacts</v>
      </c>
      <c r="DR5" s="57" t="str">
        <f>'PC LIST'!O498</f>
        <v>nr</v>
      </c>
      <c r="DS5" s="57" t="str">
        <f>'PC LIST'!P498</f>
        <v>No. of contacts (discolouration, taste &amp; odour and illness) in line with DWI reporting</v>
      </c>
      <c r="DT5" s="56">
        <f>'PC LIST'!Q498</f>
        <v>0</v>
      </c>
      <c r="DU5" s="56" t="str">
        <f>'PC LIST'!J498</f>
        <v>Out &amp; under</v>
      </c>
      <c r="DV5" s="56">
        <f>'PC LIST'!CI498</f>
        <v>7964</v>
      </c>
      <c r="DW5" s="56" t="str">
        <f>'PC LIST'!B532</f>
        <v>PR14HDDWSW_A3</v>
      </c>
      <c r="DX5" s="57" t="str">
        <f>'PC LIST'!I532</f>
        <v>A3: Delivery of the outcomes of the Legacy water treatment works (south west Wrexham) major scheme</v>
      </c>
      <c r="DY5" s="57" t="str">
        <f>'PC LIST'!O532</f>
        <v>text</v>
      </c>
      <c r="DZ5" s="57" t="str">
        <f>'PC LIST'!P532</f>
        <v>Pass/fail (until completion)</v>
      </c>
      <c r="EA5" s="56" t="str">
        <f>'PC LIST'!Q532</f>
        <v>na</v>
      </c>
      <c r="EB5" s="56" t="str">
        <f>'PC LIST'!J532</f>
        <v>Under</v>
      </c>
      <c r="EC5" s="56" t="str">
        <f>'PC LIST'!CI532</f>
        <v>NA</v>
      </c>
      <c r="ED5" s="56" t="str">
        <f>'PC LIST'!B578</f>
        <v>PR14SVEWSW_W-A3</v>
      </c>
      <c r="EE5" s="57" t="str">
        <f>'PC LIST'!I578</f>
        <v>W-A3: Asset stewardship - number of sites with coliform failures (WTWs)</v>
      </c>
      <c r="EF5" s="57" t="str">
        <f>'PC LIST'!O578</f>
        <v>nr</v>
      </c>
      <c r="EG5" s="57" t="str">
        <f>'PC LIST'!P578</f>
        <v>No. of sites with coliform failures per year</v>
      </c>
      <c r="EH5" s="56">
        <f>'PC LIST'!Q578</f>
        <v>0</v>
      </c>
      <c r="EI5" s="56" t="str">
        <f>'PC LIST'!J578</f>
        <v>Under</v>
      </c>
      <c r="EJ5" s="56">
        <f>'PC LIST'!CI578</f>
        <v>13</v>
      </c>
    </row>
    <row r="6" spans="1:140" ht="15.75" customHeight="1">
      <c r="A6" s="56" t="str">
        <f>'PC LIST'!B6</f>
        <v>PR14AFWWSW_W-A4</v>
      </c>
      <c r="B6" s="56" t="str">
        <f>'PC LIST'!I6</f>
        <v>W-A4: Sustainable abstraction reductions</v>
      </c>
      <c r="C6" s="56" t="str">
        <f>'PC LIST'!O6</f>
        <v>nr</v>
      </c>
      <c r="D6" s="56" t="str">
        <f>'PC LIST'!P6</f>
        <v>Megalitres per day (Ml/d)</v>
      </c>
      <c r="E6" s="56">
        <f>'PC LIST'!Q6</f>
        <v>1</v>
      </c>
      <c r="F6" s="56" t="str">
        <f>'PC LIST'!J6</f>
        <v>Out &amp; under</v>
      </c>
      <c r="G6" s="56">
        <f>'PC LIST'!CI6</f>
        <v>-42.1</v>
      </c>
      <c r="H6" s="56" t="str">
        <f>'PC LIST'!B19</f>
        <v>PR14ANHWSW_W-B1</v>
      </c>
      <c r="I6" s="57" t="str">
        <f>'PC LIST'!I19</f>
        <v>W-B1: Value for money perception - variation from baseline against WaSCs (water)</v>
      </c>
      <c r="J6" s="57" t="str">
        <f>'PC LIST'!O19</f>
        <v>%</v>
      </c>
      <c r="K6" s="57" t="str">
        <f>'PC LIST'!P19</f>
        <v>% variation from WaSC baseline</v>
      </c>
      <c r="L6" s="56">
        <f>'PC LIST'!Q19</f>
        <v>0</v>
      </c>
      <c r="M6" s="56" t="str">
        <f>'PC LIST'!J19</f>
        <v>Out &amp; under</v>
      </c>
      <c r="N6" s="711">
        <f>'PC LIST'!CI19</f>
        <v>1</v>
      </c>
      <c r="O6" s="56" t="str">
        <f>'PC LIST'!B58</f>
        <v>PR14BRLWSW_B1</v>
      </c>
      <c r="P6" s="57" t="str">
        <f>'PC LIST'!I58</f>
        <v>B1: Population in centres &gt;25,000 at risk from asset failure</v>
      </c>
      <c r="Q6" s="57" t="str">
        <f>'PC LIST'!O58</f>
        <v>nr</v>
      </c>
      <c r="R6" s="57" t="str">
        <f>'PC LIST'!P58</f>
        <v>No. of people (population)</v>
      </c>
      <c r="S6" s="56">
        <f>'PC LIST'!Q58</f>
        <v>0</v>
      </c>
      <c r="T6" s="56" t="str">
        <f>'PC LIST'!J58</f>
        <v>Out &amp; under</v>
      </c>
      <c r="U6" s="711">
        <f>'PC LIST'!CI58</f>
        <v>9063</v>
      </c>
      <c r="V6" s="56" t="str">
        <f>'PC LIST'!B79</f>
        <v>PR14DVWWSW_A4</v>
      </c>
      <c r="W6" s="57" t="str">
        <f>'PC LIST'!I79</f>
        <v>A4: Delivery of the outcomes of the service reservoir water quality risk management schemes</v>
      </c>
      <c r="X6" s="57" t="str">
        <f>'PC LIST'!O79</f>
        <v>text</v>
      </c>
      <c r="Y6" s="57" t="str">
        <f>'PC LIST'!P79</f>
        <v>Pass/fail (for each scheme)</v>
      </c>
      <c r="Z6" s="56" t="str">
        <f>'PC LIST'!Q79</f>
        <v>na</v>
      </c>
      <c r="AA6" s="56" t="str">
        <f>'PC LIST'!J79</f>
        <v>Under</v>
      </c>
      <c r="AB6" s="711" t="str">
        <f>'PC LIST'!CI79</f>
        <v/>
      </c>
      <c r="AC6" s="56" t="str">
        <f>'PC LIST'!B92</f>
        <v>PR14NESWSW_W-B3</v>
      </c>
      <c r="AD6" s="58" t="str">
        <f>'PC LIST'!I92</f>
        <v>W-B3: Discoloured water complaints (3-year average)</v>
      </c>
      <c r="AE6" s="58" t="str">
        <f>'PC LIST'!O92</f>
        <v>nr</v>
      </c>
      <c r="AF6" s="58" t="str">
        <f>'PC LIST'!P92</f>
        <v>No. of complaints per year</v>
      </c>
      <c r="AG6" s="56">
        <f>'PC LIST'!Q92</f>
        <v>0</v>
      </c>
      <c r="AH6" s="56" t="str">
        <f>'PC LIST'!J92</f>
        <v>Out &amp; under</v>
      </c>
      <c r="AI6" s="56">
        <f>'PC LIST'!CI92</f>
        <v>2667</v>
      </c>
      <c r="AJ6" s="56" t="str">
        <f>'PC LIST'!B136</f>
        <v>PR14PRTWSW_A4</v>
      </c>
      <c r="AK6" s="57" t="str">
        <f>'PC LIST'!I136</f>
        <v>A4: Temporary usage bans</v>
      </c>
      <c r="AL6" s="57" t="str">
        <f>'PC LIST'!O136</f>
        <v>nr</v>
      </c>
      <c r="AM6" s="57" t="str">
        <f>'PC LIST'!P136</f>
        <v>No. of temporary usage bans per year</v>
      </c>
      <c r="AN6" s="56">
        <f>'PC LIST'!Q136</f>
        <v>0</v>
      </c>
      <c r="AO6" s="56" t="str">
        <f>'PC LIST'!J136</f>
        <v>NFI</v>
      </c>
      <c r="AP6" s="712">
        <f>'PC LIST'!CI136</f>
        <v>0</v>
      </c>
      <c r="AQ6" s="56" t="str">
        <f>'PC LIST'!B149</f>
        <v>PR14SBWWSW_B2</v>
      </c>
      <c r="AR6" s="57" t="str">
        <f>'PC LIST'!I149</f>
        <v>B2: Large scale interruptions (minimise risk of large scale interruption to 12,000 properties)</v>
      </c>
      <c r="AS6" s="57" t="str">
        <f>'PC LIST'!O149</f>
        <v>nr</v>
      </c>
      <c r="AT6" s="57" t="str">
        <f>'PC LIST'!P149</f>
        <v>1,000 properties</v>
      </c>
      <c r="AU6" s="56">
        <f>'PC LIST'!Q149</f>
        <v>1</v>
      </c>
      <c r="AV6" s="56" t="str">
        <f>'PC LIST'!J149</f>
        <v>Out &amp; under</v>
      </c>
      <c r="AW6" s="711">
        <f>'PC LIST'!CI149</f>
        <v>4.3019999999999996</v>
      </c>
      <c r="AX6" s="56" t="str">
        <f>'PC LIST'!B164</f>
        <v>PR14SESWSW_A4</v>
      </c>
      <c r="AY6" s="57" t="str">
        <f>'PC LIST'!I164</f>
        <v>A4: Condition and reliability of the mains network - number of burst pipes a year</v>
      </c>
      <c r="AZ6" s="57" t="str">
        <f>'PC LIST'!O164</f>
        <v>nr</v>
      </c>
      <c r="BA6" s="57" t="str">
        <f>'PC LIST'!P164</f>
        <v>No. of burst mains per year</v>
      </c>
      <c r="BB6" s="56">
        <f>'PC LIST'!Q164</f>
        <v>0</v>
      </c>
      <c r="BC6" s="56" t="str">
        <f>'PC LIST'!J164</f>
        <v>Under</v>
      </c>
      <c r="BD6" s="712">
        <f>'PC LIST'!CI164</f>
        <v>255</v>
      </c>
      <c r="BE6" s="56" t="str">
        <f>'PC LIST'!B185</f>
        <v>PR14SEWWSW_C2</v>
      </c>
      <c r="BF6" s="57" t="str">
        <f>'PC LIST'!I185</f>
        <v>C2: Leakage (actual reported leakage per Ml/d per year)</v>
      </c>
      <c r="BG6" s="57" t="str">
        <f>'PC LIST'!O185</f>
        <v>nr</v>
      </c>
      <c r="BH6" s="57" t="str">
        <f>'PC LIST'!P185</f>
        <v>Megalitres per day (Ml/d)</v>
      </c>
      <c r="BI6" s="56">
        <f>'PC LIST'!Q185</f>
        <v>1</v>
      </c>
      <c r="BJ6" s="56" t="str">
        <f>'PC LIST'!J185</f>
        <v>Out &amp; under</v>
      </c>
      <c r="BK6" s="56">
        <f>'PC LIST'!CI185</f>
        <v>86.884250225089886</v>
      </c>
      <c r="BL6" s="56" t="str">
        <f>'PC LIST'!B219</f>
        <v>PR14SRNWSW_4</v>
      </c>
      <c r="BM6" s="57" t="str">
        <f>'PC LIST'!I219</f>
        <v>4: Interruptions to supply</v>
      </c>
      <c r="BN6" s="57" t="str">
        <f>'PC LIST'!O219</f>
        <v>time</v>
      </c>
      <c r="BO6" s="57" t="str">
        <f>'PC LIST'!P219</f>
        <v>Minutes / property / year</v>
      </c>
      <c r="BP6" s="56">
        <f>'PC LIST'!Q219</f>
        <v>0</v>
      </c>
      <c r="BQ6" s="56" t="str">
        <f>'PC LIST'!J219</f>
        <v>Under</v>
      </c>
      <c r="BR6" s="56">
        <f>'PC LIST'!CI219</f>
        <v>7</v>
      </c>
      <c r="BS6" s="56" t="str">
        <f>'PC LIST'!B252</f>
        <v>PR14SSCWSW_2.2</v>
      </c>
      <c r="BT6" s="57" t="str">
        <f>'PC LIST'!I252</f>
        <v>2.2: Serviceability infrastructure (combined company)</v>
      </c>
      <c r="BU6" s="57" t="str">
        <f>'PC LIST'!O252</f>
        <v>category</v>
      </c>
      <c r="BV6" s="57" t="str">
        <f>'PC LIST'!P252</f>
        <v>Asset health indicator</v>
      </c>
      <c r="BW6" s="56" t="str">
        <f>'PC LIST'!Q252</f>
        <v>na</v>
      </c>
      <c r="BX6" s="56" t="str">
        <f>'PC LIST'!J252</f>
        <v>Under</v>
      </c>
      <c r="BY6" s="56" t="str">
        <f>'PC LIST'!CI252</f>
        <v>Stable</v>
      </c>
      <c r="BZ6" s="56" t="str">
        <f>'PC LIST'!B267</f>
        <v>PR14SVTWSW_W-A4</v>
      </c>
      <c r="CA6" s="57" t="str">
        <f>'PC LIST'!I267</f>
        <v>W-A4: Number of successful catchment management schemes</v>
      </c>
      <c r="CB6" s="57" t="str">
        <f>'PC LIST'!O267</f>
        <v>nr</v>
      </c>
      <c r="CC6" s="57" t="str">
        <f>'PC LIST'!P267</f>
        <v>No. catchment management schemes</v>
      </c>
      <c r="CD6" s="56">
        <f>'PC LIST'!Q267</f>
        <v>0</v>
      </c>
      <c r="CE6" s="56" t="str">
        <f>'PC LIST'!J267</f>
        <v>Out &amp; under</v>
      </c>
      <c r="CF6" s="712" t="str">
        <f>'PC LIST'!CI267</f>
        <v/>
      </c>
      <c r="CG6" s="56" t="str">
        <f>'PC LIST'!B312</f>
        <v>PR14SWTWSW_W-A4</v>
      </c>
      <c r="CH6" s="59" t="str">
        <f>'PC LIST'!I312</f>
        <v>W-A4: Asset reliability (process)</v>
      </c>
      <c r="CI6" s="59" t="str">
        <f>'PC LIST'!O312</f>
        <v>category</v>
      </c>
      <c r="CJ6" s="59" t="str">
        <f>'PC LIST'!P312</f>
        <v>Asset health indicator</v>
      </c>
      <c r="CK6" s="56" t="str">
        <f>'PC LIST'!Q312</f>
        <v>na</v>
      </c>
      <c r="CL6" s="56" t="str">
        <f>'PC LIST'!J312</f>
        <v>Under</v>
      </c>
      <c r="CM6" s="711" t="str">
        <f>'PC LIST'!CI312</f>
        <v>Stable</v>
      </c>
      <c r="CN6" s="56" t="str">
        <f>'PC LIST'!B354</f>
        <v>PR14TMSWSW_WA4</v>
      </c>
      <c r="CO6" s="57" t="str">
        <f>'PC LIST'!I354</f>
        <v>WA4: Reduced water consumption from issuing water efficiency devices to customers</v>
      </c>
      <c r="CP6" s="57" t="str">
        <f>'PC LIST'!O354</f>
        <v>nr</v>
      </c>
      <c r="CQ6" s="57" t="str">
        <f>'PC LIST'!P354</f>
        <v>Ml/d reduced water consumption (cumulative)</v>
      </c>
      <c r="CR6" s="56">
        <f>'PC LIST'!Q354</f>
        <v>2</v>
      </c>
      <c r="CS6" s="56" t="str">
        <f>'PC LIST'!J354</f>
        <v>Under</v>
      </c>
      <c r="CT6" s="56">
        <f>'PC LIST'!CI354</f>
        <v>28.25</v>
      </c>
      <c r="CU6" s="56" t="str">
        <f>'PC LIST'!B409</f>
        <v>PR14UUWSW_B1</v>
      </c>
      <c r="CV6" s="57" t="str">
        <f>'PC LIST'!I409</f>
        <v>B1: Average minutes supply lost per property (a year)</v>
      </c>
      <c r="CW6" s="57" t="str">
        <f>'PC LIST'!O409</f>
        <v>time</v>
      </c>
      <c r="CX6" s="57" t="str">
        <f>'PC LIST'!P409</f>
        <v>Mins:secs supply lost per property per year</v>
      </c>
      <c r="CY6" s="56" t="str">
        <f>'PC LIST'!Q409</f>
        <v>mins:secs</v>
      </c>
      <c r="CZ6" s="56" t="str">
        <f>'PC LIST'!J409</f>
        <v>Out &amp; under</v>
      </c>
      <c r="DA6" s="2817" t="s">
        <v>11696</v>
      </c>
      <c r="DB6" s="56" t="str">
        <f>'PC LIST'!B436</f>
        <v>PR14WSHWSW_B1</v>
      </c>
      <c r="DC6" s="57" t="str">
        <f>'PC LIST'!I436</f>
        <v>B1: Abstraction for water for use - % compliance with abstraction licences, as regulated by NRW</v>
      </c>
      <c r="DD6" s="57" t="str">
        <f>'PC LIST'!O436</f>
        <v>%</v>
      </c>
      <c r="DE6" s="57" t="str">
        <f>'PC LIST'!P436</f>
        <v>% compliance with abstraction licences (NRW regulated)</v>
      </c>
      <c r="DF6" s="56">
        <f>'PC LIST'!Q436</f>
        <v>0</v>
      </c>
      <c r="DG6" s="56" t="str">
        <f>'PC LIST'!J436</f>
        <v>NFI</v>
      </c>
      <c r="DH6" s="711">
        <f>'PC LIST'!CI436</f>
        <v>100</v>
      </c>
      <c r="DI6" s="56" t="str">
        <f>'PC LIST'!B467</f>
        <v>PR14WSXWSW_B7</v>
      </c>
      <c r="DJ6" s="57" t="str">
        <f>'PC LIST'!I467</f>
        <v>B7: Length of rivers with improved flows</v>
      </c>
      <c r="DK6" s="57" t="str">
        <f>'PC LIST'!O467</f>
        <v>nr</v>
      </c>
      <c r="DL6" s="57" t="str">
        <f>'PC LIST'!P467</f>
        <v>Kilometres (km) of river with improved flows (cumulative)</v>
      </c>
      <c r="DM6" s="56">
        <f>'PC LIST'!Q467</f>
        <v>0</v>
      </c>
      <c r="DN6" s="56" t="str">
        <f>'PC LIST'!J467</f>
        <v>Out &amp; under</v>
      </c>
      <c r="DO6" s="56">
        <f>'PC LIST'!CI467</f>
        <v>111</v>
      </c>
      <c r="DP6" s="56" t="str">
        <f>'PC LIST'!B499</f>
        <v>PR14YKYWSW_WA4</v>
      </c>
      <c r="DQ6" s="57" t="str">
        <f>'PC LIST'!I499</f>
        <v>WA4: Water quality stability and reliability factor</v>
      </c>
      <c r="DR6" s="57" t="str">
        <f>'PC LIST'!O499</f>
        <v>category</v>
      </c>
      <c r="DS6" s="57" t="str">
        <f>'PC LIST'!P499</f>
        <v>Asset health indicator</v>
      </c>
      <c r="DT6" s="56" t="str">
        <f>'PC LIST'!Q499</f>
        <v>na</v>
      </c>
      <c r="DU6" s="56" t="str">
        <f>'PC LIST'!J499</f>
        <v>Under</v>
      </c>
      <c r="DV6" s="56" t="str">
        <f>'PC LIST'!CI499</f>
        <v>Stable</v>
      </c>
      <c r="DW6" s="56" t="str">
        <f>'PC LIST'!B533</f>
        <v>PR14HDDWSW_A4</v>
      </c>
      <c r="DX6" s="57" t="str">
        <f>'PC LIST'!I533</f>
        <v>A4: Delivery of the outcomes of the service reservoir water quality risk management schemes</v>
      </c>
      <c r="DY6" s="57" t="str">
        <f>'PC LIST'!O533</f>
        <v>text</v>
      </c>
      <c r="DZ6" s="57" t="str">
        <f>'PC LIST'!P533</f>
        <v>Pass/fail (for each scheme)</v>
      </c>
      <c r="EA6" s="56" t="str">
        <f>'PC LIST'!Q533</f>
        <v>na</v>
      </c>
      <c r="EB6" s="56" t="str">
        <f>'PC LIST'!J533</f>
        <v>Under</v>
      </c>
      <c r="EC6" s="56" t="str">
        <f>'PC LIST'!CI533</f>
        <v>Milestone</v>
      </c>
      <c r="ED6" s="56" t="str">
        <f>'PC LIST'!B579</f>
        <v>PR14SVEWSW_W-A4</v>
      </c>
      <c r="EE6" s="57" t="str">
        <f>'PC LIST'!I579</f>
        <v>W-A4: Number of successful catchment management schemes</v>
      </c>
      <c r="EF6" s="57" t="str">
        <f>'PC LIST'!O579</f>
        <v>nr</v>
      </c>
      <c r="EG6" s="57" t="str">
        <f>'PC LIST'!P579</f>
        <v>No. catchment management schemes</v>
      </c>
      <c r="EH6" s="56">
        <f>'PC LIST'!Q579</f>
        <v>0</v>
      </c>
      <c r="EI6" s="56" t="str">
        <f>'PC LIST'!J579</f>
        <v>Out &amp; under</v>
      </c>
      <c r="EJ6" s="56">
        <f>'PC LIST'!CI579</f>
        <v>26</v>
      </c>
    </row>
    <row r="7" spans="1:140" ht="15.75" customHeight="1">
      <c r="A7" s="56" t="str">
        <f>'PC LIST'!B7</f>
        <v>PR14AFWWSW_W-A5</v>
      </c>
      <c r="B7" s="56" t="str">
        <f>'PC LIST'!I7</f>
        <v>W-A5: Abstraction incentive mechanism (AIM)</v>
      </c>
      <c r="C7" s="56" t="str">
        <f>'PC LIST'!O7</f>
        <v>TBC</v>
      </c>
      <c r="D7" s="56" t="str">
        <f>'PC LIST'!P7</f>
        <v>TBC</v>
      </c>
      <c r="E7" s="56" t="str">
        <f>'PC LIST'!Q7</f>
        <v>TBC</v>
      </c>
      <c r="F7" s="56" t="str">
        <f>'PC LIST'!J7</f>
        <v>NFI</v>
      </c>
      <c r="G7" s="56">
        <f>'PC LIST'!CI7</f>
        <v>-4.1500000000000004</v>
      </c>
      <c r="H7" s="56" t="str">
        <f>'PC LIST'!B20</f>
        <v>PR14ANHWSW_W-C1</v>
      </c>
      <c r="I7" s="57" t="str">
        <f>'PC LIST'!I20</f>
        <v>W-C1: Percentage of population supplied by single supply system</v>
      </c>
      <c r="J7" s="57" t="str">
        <f>'PC LIST'!O20</f>
        <v>%</v>
      </c>
      <c r="K7" s="57" t="str">
        <f>'PC LIST'!P20</f>
        <v>% population with single supply system</v>
      </c>
      <c r="L7" s="56">
        <f>'PC LIST'!Q20</f>
        <v>1</v>
      </c>
      <c r="M7" s="56" t="str">
        <f>'PC LIST'!J20</f>
        <v>Under</v>
      </c>
      <c r="N7" s="711">
        <f>'PC LIST'!CI20</f>
        <v>44.9</v>
      </c>
      <c r="O7" s="56" t="str">
        <f>'PC LIST'!B59</f>
        <v>PR14BRLWSW_C1</v>
      </c>
      <c r="P7" s="57" t="str">
        <f>'PC LIST'!I59</f>
        <v>C1: Security of supply index (SOSI)</v>
      </c>
      <c r="Q7" s="57" t="str">
        <f>'PC LIST'!O59</f>
        <v>score</v>
      </c>
      <c r="R7" s="57" t="str">
        <f>'PC LIST'!P59</f>
        <v>Security of Supply Index (SOSI)</v>
      </c>
      <c r="S7" s="56">
        <f>'PC LIST'!Q59</f>
        <v>0</v>
      </c>
      <c r="T7" s="56" t="str">
        <f>'PC LIST'!J59</f>
        <v>NFI</v>
      </c>
      <c r="U7" s="711">
        <f>'PC LIST'!CI59</f>
        <v>100</v>
      </c>
      <c r="V7" s="56" t="str">
        <f>'PC LIST'!B80</f>
        <v>PR14DVWWSW_B1</v>
      </c>
      <c r="W7" s="57" t="str">
        <f>'PC LIST'!I80</f>
        <v>B1: Average duration of interruptions - 3 hours or longer (planned and unplanned interruptions)</v>
      </c>
      <c r="X7" s="57" t="str">
        <f>'PC LIST'!O80</f>
        <v>time</v>
      </c>
      <c r="Y7" s="57" t="str">
        <f>'PC LIST'!P80</f>
        <v>Hours / property / year</v>
      </c>
      <c r="Z7" s="56">
        <f>'PC LIST'!Q80</f>
        <v>2</v>
      </c>
      <c r="AA7" s="56" t="str">
        <f>'PC LIST'!J80</f>
        <v>Out &amp; under</v>
      </c>
      <c r="AB7" s="711" t="str">
        <f>'PC LIST'!CI80</f>
        <v/>
      </c>
      <c r="AC7" s="56" t="str">
        <f>'PC LIST'!B93</f>
        <v>PR14NESWSW_W-C1</v>
      </c>
      <c r="AD7" s="58" t="str">
        <f>'PC LIST'!I93</f>
        <v>W-C1: Interruptions to water supply for more than 3 hours (average time per property per year)</v>
      </c>
      <c r="AE7" s="58" t="str">
        <f>'PC LIST'!O93</f>
        <v>time</v>
      </c>
      <c r="AF7" s="58" t="str">
        <f>'PC LIST'!P93</f>
        <v>Mins:secs per property per year</v>
      </c>
      <c r="AG7" s="56" t="str">
        <f>'PC LIST'!Q93</f>
        <v>mins:secs</v>
      </c>
      <c r="AH7" s="56" t="str">
        <f>'PC LIST'!J93</f>
        <v>Out &amp; under</v>
      </c>
      <c r="AI7" s="2817" t="s">
        <v>11697</v>
      </c>
      <c r="AJ7" s="56" t="str">
        <f>'PC LIST'!B137</f>
        <v>PR14PRTWSW_B1</v>
      </c>
      <c r="AK7" s="57" t="str">
        <f>'PC LIST'!I137</f>
        <v>B1: Leakage</v>
      </c>
      <c r="AL7" s="57" t="str">
        <f>'PC LIST'!O137</f>
        <v>nr</v>
      </c>
      <c r="AM7" s="57" t="str">
        <f>'PC LIST'!P137</f>
        <v>Megalitres per day (Ml/d)</v>
      </c>
      <c r="AN7" s="56">
        <f>'PC LIST'!Q137</f>
        <v>2</v>
      </c>
      <c r="AO7" s="56" t="str">
        <f>'PC LIST'!J137</f>
        <v>Out &amp; under</v>
      </c>
      <c r="AP7" s="712">
        <f>'PC LIST'!CI137</f>
        <v>28.12</v>
      </c>
      <c r="AQ7" s="56" t="str">
        <f>'PC LIST'!B150</f>
        <v>PR14SBWWSW_B3</v>
      </c>
      <c r="AR7" s="57" t="str">
        <f>'PC LIST'!I150</f>
        <v>B3: Decreasing average interruptions &gt;3 hours</v>
      </c>
      <c r="AS7" s="57" t="str">
        <f>'PC LIST'!O150</f>
        <v>time</v>
      </c>
      <c r="AT7" s="57" t="str">
        <f>'PC LIST'!P150</f>
        <v>Minutes / property / year</v>
      </c>
      <c r="AU7" s="56">
        <f>'PC LIST'!Q150</f>
        <v>1</v>
      </c>
      <c r="AV7" s="56" t="str">
        <f>'PC LIST'!J150</f>
        <v>Under</v>
      </c>
      <c r="AW7" s="711">
        <f>'PC LIST'!CI150</f>
        <v>0.66</v>
      </c>
      <c r="AX7" s="56" t="str">
        <f>'PC LIST'!B165</f>
        <v>PR14SESWSW_A5</v>
      </c>
      <c r="AY7" s="57" t="str">
        <f>'PC LIST'!I165</f>
        <v>A5: Drinking Water Inspectorate’s (DWI) index of water quality</v>
      </c>
      <c r="AZ7" s="57" t="str">
        <f>'PC LIST'!O165</f>
        <v>%</v>
      </c>
      <c r="BA7" s="57" t="str">
        <f>'PC LIST'!P165</f>
        <v>Mean zonal compliance (%)</v>
      </c>
      <c r="BB7" s="56">
        <f>'PC LIST'!Q165</f>
        <v>2</v>
      </c>
      <c r="BC7" s="56" t="str">
        <f>'PC LIST'!J165</f>
        <v>Under</v>
      </c>
      <c r="BD7" s="712">
        <f>'PC LIST'!CI165</f>
        <v>99.97</v>
      </c>
      <c r="BE7" s="56" t="str">
        <f>'PC LIST'!B186</f>
        <v>PR14SEWWSW_D1</v>
      </c>
      <c r="BF7" s="57" t="str">
        <f>'PC LIST'!I186</f>
        <v>D1: Customer satisfaction - direct interaction experience</v>
      </c>
      <c r="BG7" s="57" t="str">
        <f>'PC LIST'!O186</f>
        <v>score</v>
      </c>
      <c r="BH7" s="57" t="str">
        <f>'PC LIST'!P186</f>
        <v>Customer satisfaction score out of 5</v>
      </c>
      <c r="BI7" s="56">
        <f>'PC LIST'!Q186</f>
        <v>1</v>
      </c>
      <c r="BJ7" s="56" t="str">
        <f>'PC LIST'!J186</f>
        <v>Out &amp; under</v>
      </c>
      <c r="BK7" s="56">
        <f>'PC LIST'!CI186</f>
        <v>4.3</v>
      </c>
      <c r="BL7" s="56" t="str">
        <f>'PC LIST'!B220</f>
        <v>PR14SRNWSW_5</v>
      </c>
      <c r="BM7" s="57" t="str">
        <f>'PC LIST'!I220</f>
        <v>5: Mean Zonal Compliance (MZC)</v>
      </c>
      <c r="BN7" s="57" t="str">
        <f>'PC LIST'!O220</f>
        <v>%</v>
      </c>
      <c r="BO7" s="57" t="str">
        <f>'PC LIST'!P220</f>
        <v>Mean zonal compliance (%)</v>
      </c>
      <c r="BP7" s="56">
        <f>'PC LIST'!Q220</f>
        <v>2</v>
      </c>
      <c r="BQ7" s="56" t="str">
        <f>'PC LIST'!J220</f>
        <v>Under</v>
      </c>
      <c r="BR7" s="56">
        <f>'PC LIST'!CI220</f>
        <v>99.98</v>
      </c>
      <c r="BS7" s="56" t="str">
        <f>'PC LIST'!B253</f>
        <v>PR14SSCWSW_2.3</v>
      </c>
      <c r="BT7" s="57" t="str">
        <f>'PC LIST'!I253</f>
        <v>2.3: Serviceability non-infrastructure (combined company)</v>
      </c>
      <c r="BU7" s="57" t="str">
        <f>'PC LIST'!O253</f>
        <v>category</v>
      </c>
      <c r="BV7" s="57" t="str">
        <f>'PC LIST'!P253</f>
        <v>Asset health indicator</v>
      </c>
      <c r="BW7" s="56" t="str">
        <f>'PC LIST'!Q253</f>
        <v>na</v>
      </c>
      <c r="BX7" s="56" t="str">
        <f>'PC LIST'!J253</f>
        <v>Under</v>
      </c>
      <c r="BY7" s="56" t="str">
        <f>'PC LIST'!CI253</f>
        <v>Stable</v>
      </c>
      <c r="BZ7" s="56" t="str">
        <f>'PC LIST'!B268</f>
        <v>PR14SVTWSW_W-B1</v>
      </c>
      <c r="CA7" s="57" t="str">
        <f>'PC LIST'!I268</f>
        <v>W-B1: Resource efficiency (distribution input per customer) - amount of water taken out of the environment</v>
      </c>
      <c r="CB7" s="57" t="str">
        <f>'PC LIST'!O268</f>
        <v>nr</v>
      </c>
      <c r="CC7" s="57" t="str">
        <f>'PC LIST'!P268</f>
        <v>Litres per person per day (l/p/d)</v>
      </c>
      <c r="CD7" s="56">
        <f>'PC LIST'!Q268</f>
        <v>0</v>
      </c>
      <c r="CE7" s="56" t="str">
        <f>'PC LIST'!J268</f>
        <v>NFI</v>
      </c>
      <c r="CF7" s="712" t="str">
        <f>'PC LIST'!CI268</f>
        <v/>
      </c>
      <c r="CG7" s="56" t="str">
        <f>'PC LIST'!B313</f>
        <v>PR14SWTWSW_W-A5</v>
      </c>
      <c r="CH7" s="59" t="str">
        <f>'PC LIST'!I313</f>
        <v>W-A5: Duration of interruptions in supply (hours/property)</v>
      </c>
      <c r="CI7" s="59" t="str">
        <f>'PC LIST'!O313</f>
        <v>time</v>
      </c>
      <c r="CJ7" s="59" t="str">
        <f>'PC LIST'!P313</f>
        <v>Hours / property / year</v>
      </c>
      <c r="CK7" s="56">
        <f>'PC LIST'!Q313</f>
        <v>3</v>
      </c>
      <c r="CL7" s="56" t="str">
        <f>'PC LIST'!J313</f>
        <v>Out &amp; under</v>
      </c>
      <c r="CM7" s="711">
        <f>'PC LIST'!CI313</f>
        <v>0.161</v>
      </c>
      <c r="CN7" s="56" t="str">
        <f>'PC LIST'!B355</f>
        <v>PR14TMSWSW_WA5</v>
      </c>
      <c r="CO7" s="57" t="str">
        <f>'PC LIST'!I355</f>
        <v>WA5: Provide a free repair service for customers with a customer side leak outside of the property</v>
      </c>
      <c r="CP7" s="57" t="str">
        <f>'PC LIST'!O355</f>
        <v>nr</v>
      </c>
      <c r="CQ7" s="57" t="str">
        <f>'PC LIST'!P355</f>
        <v>Number against target above annual baseline no.</v>
      </c>
      <c r="CR7" s="56">
        <f>'PC LIST'!Q355</f>
        <v>0</v>
      </c>
      <c r="CS7" s="56" t="str">
        <f>'PC LIST'!J355</f>
        <v>NFI</v>
      </c>
      <c r="CT7" s="56">
        <f>'PC LIST'!CI355</f>
        <v>7957</v>
      </c>
      <c r="CU7" s="56" t="str">
        <f>'PC LIST'!B410</f>
        <v>PR14UUWSW_B2</v>
      </c>
      <c r="CV7" s="57" t="str">
        <f>'PC LIST'!I410</f>
        <v>B2: Reliable water service index</v>
      </c>
      <c r="CW7" s="57" t="str">
        <f>'PC LIST'!O410</f>
        <v>score</v>
      </c>
      <c r="CX7" s="57" t="str">
        <f>'PC LIST'!P410</f>
        <v>Reliable water service index (UU bespoke)</v>
      </c>
      <c r="CY7" s="56">
        <f>'PC LIST'!Q410</f>
        <v>3</v>
      </c>
      <c r="CZ7" s="56" t="str">
        <f>'PC LIST'!J410</f>
        <v>Out &amp; under</v>
      </c>
      <c r="DA7" s="56">
        <f>'PC LIST'!CI410</f>
        <v>98.456999999999994</v>
      </c>
      <c r="DB7" s="56" t="str">
        <f>'PC LIST'!B437</f>
        <v>PR14WSHWSW_C2</v>
      </c>
      <c r="DC7" s="57" t="str">
        <f>'PC LIST'!I437</f>
        <v>C2: Carbon footprint - gigawatt-hours (GWh) of renewable energy generated</v>
      </c>
      <c r="DD7" s="57" t="str">
        <f>'PC LIST'!O437</f>
        <v>nr</v>
      </c>
      <c r="DE7" s="57" t="str">
        <f>'PC LIST'!P437</f>
        <v>GWh (gigawatt-hours)</v>
      </c>
      <c r="DF7" s="56">
        <f>'PC LIST'!Q437</f>
        <v>2</v>
      </c>
      <c r="DG7" s="56" t="str">
        <f>'PC LIST'!J437</f>
        <v>NFI</v>
      </c>
      <c r="DH7" s="711">
        <f>'PC LIST'!CI437</f>
        <v>32.590000000000003</v>
      </c>
      <c r="DI7" s="56" t="str">
        <f>'PC LIST'!B468</f>
        <v>PR14WSXWSW_D2</v>
      </c>
      <c r="DJ7" s="57" t="str">
        <f>'PC LIST'!I468</f>
        <v>D2: Restrictions on water use (hosepipe bans)</v>
      </c>
      <c r="DK7" s="57" t="str">
        <f>'PC LIST'!O468</f>
        <v>nr</v>
      </c>
      <c r="DL7" s="57" t="str">
        <f>'PC LIST'!P468</f>
        <v>No. of hosepipe bans (temporary use ban)</v>
      </c>
      <c r="DM7" s="56">
        <f>'PC LIST'!Q468</f>
        <v>0</v>
      </c>
      <c r="DN7" s="56" t="str">
        <f>'PC LIST'!J468</f>
        <v>Under</v>
      </c>
      <c r="DO7" s="56">
        <f>'PC LIST'!CI468</f>
        <v>0</v>
      </c>
      <c r="DP7" s="56" t="str">
        <f>'PC LIST'!B500</f>
        <v>PR14YKYWSW_WB1</v>
      </c>
      <c r="DQ7" s="57" t="str">
        <f>'PC LIST'!I500</f>
        <v>WB1: Leakage</v>
      </c>
      <c r="DR7" s="57" t="str">
        <f>'PC LIST'!O500</f>
        <v>nr</v>
      </c>
      <c r="DS7" s="57" t="str">
        <f>'PC LIST'!P500</f>
        <v>Megalitres per day (Ml/d)</v>
      </c>
      <c r="DT7" s="56">
        <f>'PC LIST'!Q500</f>
        <v>1</v>
      </c>
      <c r="DU7" s="56" t="str">
        <f>'PC LIST'!J500</f>
        <v>Out &amp; under</v>
      </c>
      <c r="DV7" s="56">
        <f>'PC LIST'!CI500</f>
        <v>289.8</v>
      </c>
      <c r="DW7" s="56" t="str">
        <f>'PC LIST'!B534</f>
        <v>PR14HDDWSW_B1</v>
      </c>
      <c r="DX7" s="57" t="str">
        <f>'PC LIST'!I534</f>
        <v>B1: Average duration of interruptions - 3 hours or longer (planned and unplanned interruptions)</v>
      </c>
      <c r="DY7" s="57" t="str">
        <f>'PC LIST'!O534</f>
        <v>time</v>
      </c>
      <c r="DZ7" s="57" t="str">
        <f>'PC LIST'!P534</f>
        <v>Hours / property / year</v>
      </c>
      <c r="EA7" s="56">
        <f>'PC LIST'!Q534</f>
        <v>2</v>
      </c>
      <c r="EB7" s="56" t="str">
        <f>'PC LIST'!J534</f>
        <v>Out &amp; under</v>
      </c>
      <c r="EC7" s="56">
        <f>'PC LIST'!CI534</f>
        <v>0.11799999999999999</v>
      </c>
      <c r="ED7" s="56" t="str">
        <f>'PC LIST'!B580</f>
        <v>PR14SVEWSW_W-B1</v>
      </c>
      <c r="EE7" s="57" t="str">
        <f>'PC LIST'!I580</f>
        <v>W-B1: Resource efficiency (distribution input per customer) - amount of water taken out of the environment</v>
      </c>
      <c r="EF7" s="57" t="str">
        <f>'PC LIST'!O580</f>
        <v>nr</v>
      </c>
      <c r="EG7" s="57" t="str">
        <f>'PC LIST'!P580</f>
        <v>Litres per person per day (l/p/d)</v>
      </c>
      <c r="EH7" s="56">
        <f>'PC LIST'!Q580</f>
        <v>0</v>
      </c>
      <c r="EI7" s="56" t="str">
        <f>'PC LIST'!J580</f>
        <v>NFI</v>
      </c>
      <c r="EJ7" s="56">
        <f>'PC LIST'!CI580</f>
        <v>225</v>
      </c>
    </row>
    <row r="8" spans="1:140" ht="15.75" customHeight="1">
      <c r="A8" s="56" t="str">
        <f>'PC LIST'!B8</f>
        <v>PR14AFWWSW_W-B1</v>
      </c>
      <c r="B8" s="56" t="str">
        <f>'PC LIST'!I8</f>
        <v>W-B1: Compliance with water quality standards (mean zonal compliance)</v>
      </c>
      <c r="C8" s="56" t="str">
        <f>'PC LIST'!O8</f>
        <v>%</v>
      </c>
      <c r="D8" s="56" t="str">
        <f>'PC LIST'!P8</f>
        <v>Mean zonal compliance (%)</v>
      </c>
      <c r="E8" s="56">
        <f>'PC LIST'!Q8</f>
        <v>2</v>
      </c>
      <c r="F8" s="56" t="str">
        <f>'PC LIST'!J8</f>
        <v>Under</v>
      </c>
      <c r="G8" s="56">
        <f>'PC LIST'!CI8</f>
        <v>99.96</v>
      </c>
      <c r="H8" s="56" t="str">
        <f>'PC LIST'!B21</f>
        <v>PR14ANHWSW_W-C2</v>
      </c>
      <c r="I8" s="57" t="str">
        <f>'PC LIST'!I21</f>
        <v>W-C2: Frequency of service level restrictions (hosepipe bans)</v>
      </c>
      <c r="J8" s="57" t="str">
        <f>'PC LIST'!O21</f>
        <v>nr</v>
      </c>
      <c r="K8" s="57" t="str">
        <f>'PC LIST'!P21</f>
        <v>No. (frequency) per 10 years</v>
      </c>
      <c r="L8" s="56">
        <f>'PC LIST'!Q21</f>
        <v>0</v>
      </c>
      <c r="M8" s="56" t="str">
        <f>'PC LIST'!J21</f>
        <v>NFI</v>
      </c>
      <c r="N8" s="711">
        <f>'PC LIST'!CI21</f>
        <v>1</v>
      </c>
      <c r="O8" s="56" t="str">
        <f>'PC LIST'!B60</f>
        <v>PR14BRLWSW_C2</v>
      </c>
      <c r="P8" s="57" t="str">
        <f>'PC LIST'!I60</f>
        <v>C2: Hosepipe ban frequency</v>
      </c>
      <c r="Q8" s="57" t="str">
        <f>'PC LIST'!O60</f>
        <v>nr</v>
      </c>
      <c r="R8" s="57" t="str">
        <f>'PC LIST'!P60</f>
        <v>No. of expected days that water restrictions are placed</v>
      </c>
      <c r="S8" s="56">
        <f>'PC LIST'!Q60</f>
        <v>1</v>
      </c>
      <c r="T8" s="56" t="str">
        <f>'PC LIST'!J60</f>
        <v>Under</v>
      </c>
      <c r="U8" s="711">
        <f>'PC LIST'!CI60</f>
        <v>3.09</v>
      </c>
      <c r="V8" s="56" t="str">
        <f>'PC LIST'!B81</f>
        <v>PR14DVWWSW_B2</v>
      </c>
      <c r="W8" s="57" t="str">
        <f>'PC LIST'!I81</f>
        <v>B2: Sustainable economic level of leakage</v>
      </c>
      <c r="X8" s="57" t="str">
        <f>'PC LIST'!O81</f>
        <v>nr</v>
      </c>
      <c r="Y8" s="57" t="str">
        <f>'PC LIST'!P81</f>
        <v>Litres per property per day (l/prop/day)</v>
      </c>
      <c r="Z8" s="56">
        <f>'PC LIST'!Q81</f>
        <v>1</v>
      </c>
      <c r="AA8" s="56" t="str">
        <f>'PC LIST'!J81</f>
        <v>Out &amp; under</v>
      </c>
      <c r="AB8" s="711" t="str">
        <f>'PC LIST'!CI81</f>
        <v/>
      </c>
      <c r="AC8" s="56" t="str">
        <f>'PC LIST'!B94</f>
        <v>PR14NESWSW_W-C2</v>
      </c>
      <c r="AD8" s="58" t="str">
        <f>'PC LIST'!I94</f>
        <v>W-C2: Properties experiencing poor water pressure (3-year average)</v>
      </c>
      <c r="AE8" s="58" t="str">
        <f>'PC LIST'!O94</f>
        <v>nr</v>
      </c>
      <c r="AF8" s="58" t="str">
        <f>'PC LIST'!P94</f>
        <v>No. of properties</v>
      </c>
      <c r="AG8" s="56">
        <f>'PC LIST'!Q94</f>
        <v>0</v>
      </c>
      <c r="AH8" s="56" t="str">
        <f>'PC LIST'!J94</f>
        <v>Out &amp; under</v>
      </c>
      <c r="AI8" s="56">
        <f>'PC LIST'!CI94</f>
        <v>195</v>
      </c>
      <c r="AJ8" s="56" t="str">
        <f>'PC LIST'!B138</f>
        <v>PR14PRTWSW_C1</v>
      </c>
      <c r="AK8" s="57" t="str">
        <f>'PC LIST'!I138</f>
        <v>C1: Interruptions to supply</v>
      </c>
      <c r="AL8" s="57" t="str">
        <f>'PC LIST'!O138</f>
        <v>time</v>
      </c>
      <c r="AM8" s="57" t="str">
        <f>'PC LIST'!P138</f>
        <v>Mins:secs per property per year</v>
      </c>
      <c r="AN8" s="56" t="str">
        <f>'PC LIST'!Q138</f>
        <v>mins:secs</v>
      </c>
      <c r="AO8" s="56" t="str">
        <f>'PC LIST'!J138</f>
        <v>Out &amp; under</v>
      </c>
      <c r="AP8" s="712" t="str">
        <f>'PC LIST'!CI138</f>
        <v>3 mins 54 secs</v>
      </c>
      <c r="AQ8" s="56" t="str">
        <f>'PC LIST'!B151</f>
        <v>PR14SBWWSW_B4</v>
      </c>
      <c r="AR8" s="57" t="str">
        <f>'PC LIST'!I151</f>
        <v>B4: Maintain serviceable assets</v>
      </c>
      <c r="AS8" s="57" t="str">
        <f>'PC LIST'!O151</f>
        <v>category</v>
      </c>
      <c r="AT8" s="57" t="str">
        <f>'PC LIST'!P151</f>
        <v>Asset health indicator</v>
      </c>
      <c r="AU8" s="56" t="str">
        <f>'PC LIST'!Q151</f>
        <v>na</v>
      </c>
      <c r="AV8" s="56" t="str">
        <f>'PC LIST'!J151</f>
        <v>Under</v>
      </c>
      <c r="AW8" s="711" t="str">
        <f>'PC LIST'!CI151</f>
        <v>Stable</v>
      </c>
      <c r="AX8" s="56" t="str">
        <f>'PC LIST'!B166</f>
        <v>PR14SESWSW_A6</v>
      </c>
      <c r="AY8" s="57" t="str">
        <f>'PC LIST'!I166</f>
        <v>A6: Taste, odour and discolouration (number of contacts received)</v>
      </c>
      <c r="AZ8" s="57" t="str">
        <f>'PC LIST'!O166</f>
        <v>nr</v>
      </c>
      <c r="BA8" s="57" t="str">
        <f>'PC LIST'!P166</f>
        <v>No. of contacts per year</v>
      </c>
      <c r="BB8" s="56">
        <f>'PC LIST'!Q166</f>
        <v>0</v>
      </c>
      <c r="BC8" s="56" t="str">
        <f>'PC LIST'!J166</f>
        <v>Out &amp; under</v>
      </c>
      <c r="BD8" s="712">
        <f>'PC LIST'!CI166</f>
        <v>388</v>
      </c>
      <c r="BE8" s="56" t="str">
        <f>'PC LIST'!B187</f>
        <v>PR14SEWWSW_D2</v>
      </c>
      <c r="BF8" s="57" t="str">
        <f>'PC LIST'!I187</f>
        <v>D2: Service Incentive Mechanism (SIM)</v>
      </c>
      <c r="BG8" s="57" t="str">
        <f>'PC LIST'!O187</f>
        <v>score</v>
      </c>
      <c r="BH8" s="57" t="str">
        <f>'PC LIST'!P187</f>
        <v>Service incentive mechanism (SIM) score</v>
      </c>
      <c r="BI8" s="56">
        <f>'PC LIST'!Q187</f>
        <v>1</v>
      </c>
      <c r="BJ8" s="56" t="str">
        <f>'PC LIST'!J187</f>
        <v>Out &amp; under</v>
      </c>
      <c r="BK8" s="56">
        <f>'PC LIST'!CI187</f>
        <v>85.4</v>
      </c>
      <c r="BL8" s="56" t="str">
        <f>'PC LIST'!B221</f>
        <v>PR14SRNWSW_5a</v>
      </c>
      <c r="BM8" s="57" t="str">
        <f>'PC LIST'!I221</f>
        <v>5a: Drinking water quality - discolouration contacts</v>
      </c>
      <c r="BN8" s="57" t="str">
        <f>'PC LIST'!O221</f>
        <v>nr</v>
      </c>
      <c r="BO8" s="57" t="str">
        <f>'PC LIST'!P221</f>
        <v>No. per 1,000 population</v>
      </c>
      <c r="BP8" s="56">
        <f>'PC LIST'!Q221</f>
        <v>2</v>
      </c>
      <c r="BQ8" s="56" t="str">
        <f>'PC LIST'!J221</f>
        <v>Under</v>
      </c>
      <c r="BR8" s="56">
        <f>'PC LIST'!CI221</f>
        <v>0.68</v>
      </c>
      <c r="BS8" s="56" t="str">
        <f>'PC LIST'!B254</f>
        <v>PR14SSCWSW_4.1</v>
      </c>
      <c r="BT8" s="57" t="str">
        <f>'PC LIST'!I254</f>
        <v>4.1: Leakage (South Staffordshire operating region)</v>
      </c>
      <c r="BU8" s="57" t="str">
        <f>'PC LIST'!O254</f>
        <v>nr</v>
      </c>
      <c r="BV8" s="57" t="str">
        <f>'PC LIST'!P254</f>
        <v>Megalitres per day (Ml/d)</v>
      </c>
      <c r="BW8" s="56">
        <f>'PC LIST'!Q254</f>
        <v>1</v>
      </c>
      <c r="BX8" s="56" t="str">
        <f>'PC LIST'!J254</f>
        <v>Out &amp; under</v>
      </c>
      <c r="BY8" s="56">
        <f>'PC LIST'!CI254</f>
        <v>70.5</v>
      </c>
      <c r="BZ8" s="56" t="str">
        <f>'PC LIST'!B269</f>
        <v>PR14SVTWSW_W-B2</v>
      </c>
      <c r="CA8" s="57" t="str">
        <f>'PC LIST'!I269</f>
        <v>W-B2: Leakage levels</v>
      </c>
      <c r="CB8" s="57" t="str">
        <f>'PC LIST'!O269</f>
        <v>nr</v>
      </c>
      <c r="CC8" s="57" t="str">
        <f>'PC LIST'!P269</f>
        <v>Megalitres per day (Ml/d)</v>
      </c>
      <c r="CD8" s="56">
        <f>'PC LIST'!Q269</f>
        <v>0</v>
      </c>
      <c r="CE8" s="56" t="str">
        <f>'PC LIST'!J269</f>
        <v>Out &amp; under</v>
      </c>
      <c r="CF8" s="712" t="str">
        <f>'PC LIST'!CI269</f>
        <v/>
      </c>
      <c r="CG8" s="56" t="str">
        <f>'PC LIST'!B314</f>
        <v>PR14SWTWSW_W-B1</v>
      </c>
      <c r="CH8" s="59" t="str">
        <f>'PC LIST'!I314</f>
        <v>W-B1: Water restrictions placed on customers (number)</v>
      </c>
      <c r="CI8" s="59" t="str">
        <f>'PC LIST'!O314</f>
        <v>nr</v>
      </c>
      <c r="CJ8" s="59" t="str">
        <f>'PC LIST'!P314</f>
        <v>No. of water restrictions</v>
      </c>
      <c r="CK8" s="56">
        <f>'PC LIST'!Q314</f>
        <v>0</v>
      </c>
      <c r="CL8" s="56" t="str">
        <f>'PC LIST'!J314</f>
        <v>Out &amp; under</v>
      </c>
      <c r="CM8" s="711">
        <f>'PC LIST'!CI314</f>
        <v>0</v>
      </c>
      <c r="CN8" s="56" t="str">
        <f>'PC LIST'!B356</f>
        <v>PR14TMSWSW_WB1</v>
      </c>
      <c r="CO8" s="57" t="str">
        <f>'PC LIST'!I356</f>
        <v>WB1: Asset health water infrastructure</v>
      </c>
      <c r="CP8" s="57" t="str">
        <f>'PC LIST'!O356</f>
        <v>category</v>
      </c>
      <c r="CQ8" s="57" t="str">
        <f>'PC LIST'!P356</f>
        <v>Asset health indicator</v>
      </c>
      <c r="CR8" s="56" t="str">
        <f>'PC LIST'!Q356</f>
        <v>na</v>
      </c>
      <c r="CS8" s="56" t="str">
        <f>'PC LIST'!J356</f>
        <v>Under</v>
      </c>
      <c r="CT8" s="56" t="str">
        <f>'PC LIST'!CI356</f>
        <v>Marginal</v>
      </c>
      <c r="CU8" s="56" t="str">
        <f>'PC LIST'!B411</f>
        <v>PR14UUWSW_B3</v>
      </c>
      <c r="CV8" s="57" t="str">
        <f>'PC LIST'!I411</f>
        <v>B3: Security of supply index (SoSI)</v>
      </c>
      <c r="CW8" s="57" t="str">
        <f>'PC LIST'!O411</f>
        <v>score</v>
      </c>
      <c r="CX8" s="57" t="str">
        <f>'PC LIST'!P411</f>
        <v>Security of Supply Index (SOSI)</v>
      </c>
      <c r="CY8" s="56">
        <f>'PC LIST'!Q411</f>
        <v>3</v>
      </c>
      <c r="CZ8" s="56" t="str">
        <f>'PC LIST'!J411</f>
        <v>Under</v>
      </c>
      <c r="DA8" s="56">
        <f>'PC LIST'!CI411</f>
        <v>100</v>
      </c>
      <c r="DB8" s="56" t="str">
        <f>'PC LIST'!B438</f>
        <v>PR14WSHWSW_D1</v>
      </c>
      <c r="DC8" s="57" t="str">
        <f>'PC LIST'!I438</f>
        <v>D1: Service incentive mechanism (SIM)</v>
      </c>
      <c r="DD8" s="57" t="str">
        <f>'PC LIST'!O438</f>
        <v>text</v>
      </c>
      <c r="DE8" s="57" t="str">
        <f>'PC LIST'!P438</f>
        <v>Service incentive mechanism (SIM) score ranking</v>
      </c>
      <c r="DF8" s="56" t="str">
        <f>'PC LIST'!Q438</f>
        <v>na</v>
      </c>
      <c r="DG8" s="56" t="str">
        <f>'PC LIST'!J438</f>
        <v>Out &amp; under</v>
      </c>
      <c r="DH8" s="711">
        <f>'PC LIST'!CI438</f>
        <v>86.88</v>
      </c>
      <c r="DI8" s="56" t="str">
        <f>'PC LIST'!B469</f>
        <v>PR14WSXWSW_D3</v>
      </c>
      <c r="DJ8" s="57" t="str">
        <f>'PC LIST'!I469</f>
        <v>D3: Water supply interruptions (&gt; 3 hours including planned, unplanned and third party interruptions)</v>
      </c>
      <c r="DK8" s="57" t="str">
        <f>'PC LIST'!O469</f>
        <v>time</v>
      </c>
      <c r="DL8" s="57" t="str">
        <f>'PC LIST'!P469</f>
        <v>Minutes / property / year</v>
      </c>
      <c r="DM8" s="56">
        <f>'PC LIST'!Q469</f>
        <v>1</v>
      </c>
      <c r="DN8" s="56" t="str">
        <f>'PC LIST'!J469</f>
        <v>Out &amp; under</v>
      </c>
      <c r="DO8" s="56">
        <f>'PC LIST'!CI469</f>
        <v>5.85</v>
      </c>
      <c r="DP8" s="56" t="str">
        <f>'PC LIST'!B501</f>
        <v>PR14YKYWSW_WB2</v>
      </c>
      <c r="DQ8" s="57" t="str">
        <f>'PC LIST'!I501</f>
        <v>WB2: Water supply interruptions</v>
      </c>
      <c r="DR8" s="57" t="str">
        <f>'PC LIST'!O501</f>
        <v>time</v>
      </c>
      <c r="DS8" s="57" t="str">
        <f>'PC LIST'!P501</f>
        <v>Minutes lost per property per year</v>
      </c>
      <c r="DT8" s="56">
        <f>'PC LIST'!Q501</f>
        <v>2</v>
      </c>
      <c r="DU8" s="56" t="str">
        <f>'PC LIST'!J501</f>
        <v>Out &amp; under</v>
      </c>
      <c r="DV8" s="56">
        <f>'PC LIST'!CI501</f>
        <v>10.46</v>
      </c>
      <c r="DW8" s="56" t="str">
        <f>'PC LIST'!B535</f>
        <v>PR14HDDWSW_B2</v>
      </c>
      <c r="DX8" s="57" t="str">
        <f>'PC LIST'!I535</f>
        <v>B2: Sustainable economic level of leakage</v>
      </c>
      <c r="DY8" s="57" t="str">
        <f>'PC LIST'!O535</f>
        <v>nr</v>
      </c>
      <c r="DZ8" s="57" t="str">
        <f>'PC LIST'!P535</f>
        <v>Litres per property per day (l/prop/day)</v>
      </c>
      <c r="EA8" s="56">
        <f>'PC LIST'!Q535</f>
        <v>1</v>
      </c>
      <c r="EB8" s="56" t="str">
        <f>'PC LIST'!J535</f>
        <v>Out &amp; under</v>
      </c>
      <c r="EC8" s="56">
        <f>'PC LIST'!CI535</f>
        <v>107.79897272165408</v>
      </c>
      <c r="ED8" s="56" t="str">
        <f>'PC LIST'!B581</f>
        <v>PR14SVEWSW_W-B2</v>
      </c>
      <c r="EE8" s="57" t="str">
        <f>'PC LIST'!I581</f>
        <v>W-B2: Leakage levels</v>
      </c>
      <c r="EF8" s="57" t="str">
        <f>'PC LIST'!O581</f>
        <v>nr</v>
      </c>
      <c r="EG8" s="57" t="str">
        <f>'PC LIST'!P581</f>
        <v>Megalitres per day (Ml/d)</v>
      </c>
      <c r="EH8" s="56">
        <f>'PC LIST'!Q581</f>
        <v>0</v>
      </c>
      <c r="EI8" s="56" t="str">
        <f>'PC LIST'!J581</f>
        <v>Out &amp; under</v>
      </c>
      <c r="EJ8" s="56">
        <f>'PC LIST'!CI581</f>
        <v>419.5</v>
      </c>
    </row>
    <row r="9" spans="1:140" ht="15.75" customHeight="1">
      <c r="A9" s="56" t="str">
        <f>'PC LIST'!B9</f>
        <v>PR14AFWWSW_W-B2</v>
      </c>
      <c r="B9" s="56" t="str">
        <f>'PC LIST'!I9</f>
        <v>W-B2: Customer contacts for discolouration</v>
      </c>
      <c r="C9" s="56" t="str">
        <f>'PC LIST'!O9</f>
        <v>nr</v>
      </c>
      <c r="D9" s="56" t="str">
        <f>'PC LIST'!P9</f>
        <v>No. per 1,000 population</v>
      </c>
      <c r="E9" s="56">
        <f>'PC LIST'!Q9</f>
        <v>2</v>
      </c>
      <c r="F9" s="56" t="str">
        <f>'PC LIST'!J9</f>
        <v>Under</v>
      </c>
      <c r="G9" s="56">
        <f>'PC LIST'!CI9</f>
        <v>0.23</v>
      </c>
      <c r="H9" s="56" t="str">
        <f>'PC LIST'!B22</f>
        <v>PR14ANHWSW_W-D1</v>
      </c>
      <c r="I9" s="57" t="str">
        <f>'PC LIST'!I22</f>
        <v>W-D1: Security of Supply Index (SoSI) - dry year annual average</v>
      </c>
      <c r="J9" s="57" t="str">
        <f>'PC LIST'!O22</f>
        <v>score</v>
      </c>
      <c r="K9" s="57" t="str">
        <f>'PC LIST'!P22</f>
        <v>Security of Supply Index (SOSI)</v>
      </c>
      <c r="L9" s="56">
        <f>'PC LIST'!Q22</f>
        <v>0</v>
      </c>
      <c r="M9" s="56" t="str">
        <f>'PC LIST'!J22</f>
        <v>NFI</v>
      </c>
      <c r="N9" s="711">
        <f>'PC LIST'!CI22</f>
        <v>100</v>
      </c>
      <c r="O9" s="56" t="str">
        <f>'PC LIST'!B61</f>
        <v>PR14BRLWSW_D1</v>
      </c>
      <c r="P9" s="57" t="str">
        <f>'PC LIST'!I61</f>
        <v>D1: Mean zonal compliance (MZC)</v>
      </c>
      <c r="Q9" s="57" t="str">
        <f>'PC LIST'!O61</f>
        <v>%</v>
      </c>
      <c r="R9" s="57" t="str">
        <f>'PC LIST'!P61</f>
        <v>Mean zonal compliance (%)</v>
      </c>
      <c r="S9" s="56">
        <f>'PC LIST'!Q61</f>
        <v>2</v>
      </c>
      <c r="T9" s="56" t="str">
        <f>'PC LIST'!J61</f>
        <v>Under</v>
      </c>
      <c r="U9" s="711">
        <f>'PC LIST'!CI61</f>
        <v>99.99</v>
      </c>
      <c r="V9" s="56" t="str">
        <f>'PC LIST'!B82</f>
        <v>PR14DVWWSW_B3</v>
      </c>
      <c r="W9" s="57" t="str">
        <f>'PC LIST'!I82</f>
        <v>B3: Security of supply index (SOSI)</v>
      </c>
      <c r="X9" s="57" t="str">
        <f>'PC LIST'!O82</f>
        <v>score</v>
      </c>
      <c r="Y9" s="57" t="str">
        <f>'PC LIST'!P82</f>
        <v>Security of Supply Index (SOSI)</v>
      </c>
      <c r="Z9" s="56">
        <f>'PC LIST'!Q82</f>
        <v>0</v>
      </c>
      <c r="AA9" s="56" t="str">
        <f>'PC LIST'!J82</f>
        <v>NFI</v>
      </c>
      <c r="AB9" s="711" t="str">
        <f>'PC LIST'!CI82</f>
        <v/>
      </c>
      <c r="AC9" s="56" t="str">
        <f>'PC LIST'!B95</f>
        <v>PR14NESWSW_W-C3</v>
      </c>
      <c r="AD9" s="58" t="str">
        <f>'PC LIST'!I95</f>
        <v>W-C3: Water mains bursts (3-year average)</v>
      </c>
      <c r="AE9" s="58" t="str">
        <f>'PC LIST'!O95</f>
        <v>nr</v>
      </c>
      <c r="AF9" s="58" t="str">
        <f>'PC LIST'!P95</f>
        <v>No. of burst mains per year</v>
      </c>
      <c r="AG9" s="56">
        <f>'PC LIST'!Q95</f>
        <v>0</v>
      </c>
      <c r="AH9" s="56" t="str">
        <f>'PC LIST'!J95</f>
        <v>Under</v>
      </c>
      <c r="AI9" s="56">
        <f>'PC LIST'!CI95</f>
        <v>4113</v>
      </c>
      <c r="AJ9" s="56" t="str">
        <f>'PC LIST'!B139</f>
        <v>PR14PRTWSW_D1</v>
      </c>
      <c r="AK9" s="57" t="str">
        <f>'PC LIST'!I139</f>
        <v>D1: Biodiversity</v>
      </c>
      <c r="AL9" s="57" t="str">
        <f>'PC LIST'!O139</f>
        <v>%</v>
      </c>
      <c r="AM9" s="57" t="str">
        <f>'PC LIST'!P139</f>
        <v>% (completion of agreed actions)</v>
      </c>
      <c r="AN9" s="56">
        <f>'PC LIST'!Q139</f>
        <v>0</v>
      </c>
      <c r="AO9" s="56" t="str">
        <f>'PC LIST'!J139</f>
        <v>Under</v>
      </c>
      <c r="AP9" s="712">
        <f>'PC LIST'!CI139</f>
        <v>80</v>
      </c>
      <c r="AQ9" s="56" t="str">
        <f>'PC LIST'!B152</f>
        <v>PR14SBWWSW_B5</v>
      </c>
      <c r="AR9" s="57" t="str">
        <f>'PC LIST'!I152</f>
        <v>B5: Metering - continue current strategy</v>
      </c>
      <c r="AS9" s="57" t="str">
        <f>'PC LIST'!O152</f>
        <v>nr</v>
      </c>
      <c r="AT9" s="57" t="str">
        <f>'PC LIST'!P152</f>
        <v>No. of additional meters installed</v>
      </c>
      <c r="AU9" s="56">
        <f>'PC LIST'!Q152</f>
        <v>0</v>
      </c>
      <c r="AV9" s="56" t="str">
        <f>'PC LIST'!J152</f>
        <v>Under</v>
      </c>
      <c r="AW9" s="711">
        <f>'PC LIST'!CI152</f>
        <v>7872</v>
      </c>
      <c r="AX9" s="56" t="str">
        <f>'PC LIST'!B167</f>
        <v>PR14SESWSW_A7</v>
      </c>
      <c r="AY9" s="57" t="str">
        <f>'PC LIST'!I167</f>
        <v>A7: Water softening programme</v>
      </c>
      <c r="AZ9" s="57" t="str">
        <f>'PC LIST'!O167</f>
        <v>text</v>
      </c>
      <c r="BA9" s="57" t="str">
        <f>'PC LIST'!P167</f>
        <v>Programme delivery</v>
      </c>
      <c r="BB9" s="56" t="str">
        <f>'PC LIST'!Q167</f>
        <v>na</v>
      </c>
      <c r="BC9" s="56" t="str">
        <f>'PC LIST'!J167</f>
        <v>Under</v>
      </c>
      <c r="BD9" s="712" t="str">
        <f>'PC LIST'!CI167</f>
        <v>Delivered</v>
      </c>
      <c r="BE9" s="56" t="str">
        <f>'PC LIST'!B188</f>
        <v>PR14SEWWSW_E1</v>
      </c>
      <c r="BF9" s="57" t="str">
        <f>'PC LIST'!I188</f>
        <v>E1: Customer satisfaction - bills are value for money and affordable</v>
      </c>
      <c r="BG9" s="57" t="str">
        <f>'PC LIST'!O188</f>
        <v>%</v>
      </c>
      <c r="BH9" s="57" t="str">
        <f>'PC LIST'!P188</f>
        <v>% customer satisfaction</v>
      </c>
      <c r="BI9" s="56">
        <f>'PC LIST'!Q188</f>
        <v>0</v>
      </c>
      <c r="BJ9" s="56" t="str">
        <f>'PC LIST'!J188</f>
        <v>NFI</v>
      </c>
      <c r="BK9" s="56">
        <f>'PC LIST'!CI188</f>
        <v>73</v>
      </c>
      <c r="BL9" s="56" t="str">
        <f>'PC LIST'!B222</f>
        <v>PR14SRNWSW_6</v>
      </c>
      <c r="BM9" s="57" t="str">
        <f>'PC LIST'!I222</f>
        <v>6: Water pressure (number of properties on the DG2 low water pressure register)</v>
      </c>
      <c r="BN9" s="57" t="str">
        <f>'PC LIST'!O222</f>
        <v>nr</v>
      </c>
      <c r="BO9" s="57" t="str">
        <f>'PC LIST'!P222</f>
        <v>No. of properties on DG2 register</v>
      </c>
      <c r="BP9" s="56">
        <f>'PC LIST'!Q222</f>
        <v>0</v>
      </c>
      <c r="BQ9" s="56" t="str">
        <f>'PC LIST'!J222</f>
        <v>Under</v>
      </c>
      <c r="BR9" s="56">
        <f>'PC LIST'!CI222</f>
        <v>209</v>
      </c>
      <c r="BS9" s="56" t="str">
        <f>'PC LIST'!B255</f>
        <v>PR14SSCWSW_4.2</v>
      </c>
      <c r="BT9" s="57" t="str">
        <f>'PC LIST'!I255</f>
        <v>4.2: Leakage (Cambridge operating region)</v>
      </c>
      <c r="BU9" s="57" t="str">
        <f>'PC LIST'!O255</f>
        <v>nr</v>
      </c>
      <c r="BV9" s="57" t="str">
        <f>'PC LIST'!P255</f>
        <v>Megalitres per day (Ml/d)</v>
      </c>
      <c r="BW9" s="56">
        <f>'PC LIST'!Q255</f>
        <v>1</v>
      </c>
      <c r="BX9" s="56" t="str">
        <f>'PC LIST'!J255</f>
        <v>Out &amp; under</v>
      </c>
      <c r="BY9" s="56">
        <f>'PC LIST'!CI255</f>
        <v>13.2</v>
      </c>
      <c r="BZ9" s="56" t="str">
        <f>'PC LIST'!B270</f>
        <v>PR14SVTWSW_W-B3</v>
      </c>
      <c r="CA9" s="57" t="str">
        <f>'PC LIST'!I270</f>
        <v>W-B3: Speed of response in repairing leaks (% fixed within 24 hours)</v>
      </c>
      <c r="CB9" s="57" t="str">
        <f>'PC LIST'!O270</f>
        <v>%</v>
      </c>
      <c r="CC9" s="57" t="str">
        <f>'PC LIST'!P270</f>
        <v>% visible leaks fixed within 24 hours</v>
      </c>
      <c r="CD9" s="56">
        <f>'PC LIST'!Q270</f>
        <v>0</v>
      </c>
      <c r="CE9" s="56" t="str">
        <f>'PC LIST'!J270</f>
        <v>Out &amp; under</v>
      </c>
      <c r="CF9" s="712" t="str">
        <f>'PC LIST'!CI270</f>
        <v/>
      </c>
      <c r="CG9" s="56" t="str">
        <f>'PC LIST'!B315</f>
        <v>PR14SWTWSW_W-B2</v>
      </c>
      <c r="CH9" s="59" t="str">
        <f>'PC LIST'!I315</f>
        <v>W-B2: Ability to move water around the network</v>
      </c>
      <c r="CI9" s="59" t="str">
        <f>'PC LIST'!O315</f>
        <v>text</v>
      </c>
      <c r="CJ9" s="59" t="str">
        <f>'PC LIST'!P315</f>
        <v>Limited / partial / increased / substantial</v>
      </c>
      <c r="CK9" s="56" t="str">
        <f>'PC LIST'!Q315</f>
        <v>na</v>
      </c>
      <c r="CL9" s="56" t="str">
        <f>'PC LIST'!J315</f>
        <v>NFI</v>
      </c>
      <c r="CM9" s="711" t="str">
        <f>'PC LIST'!CI315</f>
        <v>Partial</v>
      </c>
      <c r="CN9" s="56" t="str">
        <f>'PC LIST'!B357</f>
        <v>PR14TMSWSW_WB2</v>
      </c>
      <c r="CO9" s="57" t="str">
        <f>'PC LIST'!I357</f>
        <v>WB2: Asset health water non-infrastructure</v>
      </c>
      <c r="CP9" s="57" t="str">
        <f>'PC LIST'!O357</f>
        <v>category</v>
      </c>
      <c r="CQ9" s="57" t="str">
        <f>'PC LIST'!P357</f>
        <v>Asset health indicator</v>
      </c>
      <c r="CR9" s="56" t="str">
        <f>'PC LIST'!Q357</f>
        <v>na</v>
      </c>
      <c r="CS9" s="56" t="str">
        <f>'PC LIST'!J357</f>
        <v>Under</v>
      </c>
      <c r="CT9" s="56" t="str">
        <f>'PC LIST'!CI357</f>
        <v>Stable</v>
      </c>
      <c r="CU9" s="56" t="str">
        <f>'PC LIST'!B412</f>
        <v>PR14UUWSW_B4</v>
      </c>
      <c r="CV9" s="57" t="str">
        <f>'PC LIST'!I412</f>
        <v>B4: Total leakage at or below target</v>
      </c>
      <c r="CW9" s="57" t="str">
        <f>'PC LIST'!O412</f>
        <v>nr</v>
      </c>
      <c r="CX9" s="57" t="str">
        <f>'PC LIST'!P412</f>
        <v>Megalitres per day (Ml/d) variance from target</v>
      </c>
      <c r="CY9" s="56">
        <f>'PC LIST'!Q412</f>
        <v>2</v>
      </c>
      <c r="CZ9" s="56" t="str">
        <f>'PC LIST'!J412</f>
        <v>Out &amp; under</v>
      </c>
      <c r="DA9" s="56">
        <f>'PC LIST'!CI412</f>
        <v>6.7</v>
      </c>
      <c r="DB9" s="56" t="str">
        <f>'PC LIST'!B439</f>
        <v>PR14WSHWSW_D2</v>
      </c>
      <c r="DC9" s="57" t="str">
        <f>'PC LIST'!I439</f>
        <v>D2: ‘At risk’ customer services - number of customers who have experienced poor service</v>
      </c>
      <c r="DD9" s="57" t="str">
        <f>'PC LIST'!O439</f>
        <v>nr</v>
      </c>
      <c r="DE9" s="57" t="str">
        <f>'PC LIST'!P439</f>
        <v>No. of properties/ incidents on the internal 'at risk' register</v>
      </c>
      <c r="DF9" s="56">
        <f>'PC LIST'!Q439</f>
        <v>0</v>
      </c>
      <c r="DG9" s="56" t="str">
        <f>'PC LIST'!J439</f>
        <v>NFI</v>
      </c>
      <c r="DH9" s="711">
        <f>'PC LIST'!CI439</f>
        <v>641</v>
      </c>
      <c r="DI9" s="56" t="str">
        <f>'PC LIST'!B470</f>
        <v>PR14WSXWSW_D4</v>
      </c>
      <c r="DJ9" s="57" t="str">
        <f>'PC LIST'!I470</f>
        <v>D4: Properties supplied by a single source (including the integrated supply grid)</v>
      </c>
      <c r="DK9" s="57" t="str">
        <f>'PC LIST'!O470</f>
        <v>nr</v>
      </c>
      <c r="DL9" s="57" t="str">
        <f>'PC LIST'!P470</f>
        <v>No. of properties supplied by a single source</v>
      </c>
      <c r="DM9" s="56">
        <f>'PC LIST'!Q470</f>
        <v>0</v>
      </c>
      <c r="DN9" s="56" t="str">
        <f>'PC LIST'!J470</f>
        <v>Under</v>
      </c>
      <c r="DO9" s="56">
        <f>'PC LIST'!CI470</f>
        <v>42000</v>
      </c>
      <c r="DP9" s="56" t="str">
        <f>'PC LIST'!B502</f>
        <v>PR14YKYWSW_WB3</v>
      </c>
      <c r="DQ9" s="57" t="str">
        <f>'PC LIST'!I502</f>
        <v>WB3: Water use</v>
      </c>
      <c r="DR9" s="57" t="str">
        <f>'PC LIST'!O502</f>
        <v>nr</v>
      </c>
      <c r="DS9" s="57" t="str">
        <f>'PC LIST'!P502</f>
        <v>Litres per head per day (l/h/d)</v>
      </c>
      <c r="DT9" s="56">
        <f>'PC LIST'!Q502</f>
        <v>1</v>
      </c>
      <c r="DU9" s="56" t="str">
        <f>'PC LIST'!J502</f>
        <v>NFI</v>
      </c>
      <c r="DV9" s="56">
        <f>'PC LIST'!CI502</f>
        <v>133.5</v>
      </c>
      <c r="DW9" s="56" t="str">
        <f>'PC LIST'!B536</f>
        <v>PR14HDDWSW_B3</v>
      </c>
      <c r="DX9" s="57" t="str">
        <f>'PC LIST'!I536</f>
        <v>B3: Security of supply index (SOSI)</v>
      </c>
      <c r="DY9" s="57" t="str">
        <f>'PC LIST'!O536</f>
        <v>score</v>
      </c>
      <c r="DZ9" s="57" t="str">
        <f>'PC LIST'!P536</f>
        <v>Security of Supply Index (SOSI)</v>
      </c>
      <c r="EA9" s="56">
        <f>'PC LIST'!Q536</f>
        <v>0</v>
      </c>
      <c r="EB9" s="56" t="str">
        <f>'PC LIST'!J536</f>
        <v>NFI</v>
      </c>
      <c r="EC9" s="56">
        <f>'PC LIST'!CI536</f>
        <v>100</v>
      </c>
      <c r="ED9" s="56" t="str">
        <f>'PC LIST'!B582</f>
        <v>PR14SVEWSW_W-B3</v>
      </c>
      <c r="EE9" s="57" t="str">
        <f>'PC LIST'!I582</f>
        <v>W-B3: Speed of response in repairing leaks (% fixed within 24 hours)</v>
      </c>
      <c r="EF9" s="57" t="str">
        <f>'PC LIST'!O582</f>
        <v>%</v>
      </c>
      <c r="EG9" s="57" t="str">
        <f>'PC LIST'!P582</f>
        <v>% visible leaks fixed within 24 hours</v>
      </c>
      <c r="EH9" s="56">
        <f>'PC LIST'!Q582</f>
        <v>0</v>
      </c>
      <c r="EI9" s="56" t="str">
        <f>'PC LIST'!J582</f>
        <v>Out &amp; under</v>
      </c>
      <c r="EJ9" s="56">
        <f>'PC LIST'!CI582</f>
        <v>32</v>
      </c>
    </row>
    <row r="10" spans="1:140" ht="15.75" customHeight="1">
      <c r="A10" s="56" t="str">
        <f>'PC LIST'!B10</f>
        <v>PR14AFWWSW_W-C1</v>
      </c>
      <c r="B10" s="56" t="str">
        <f>'PC LIST'!I10</f>
        <v>W-C1: Unplanned interruptions to supply over 12 hours</v>
      </c>
      <c r="C10" s="56" t="str">
        <f>'PC LIST'!O10</f>
        <v>nr</v>
      </c>
      <c r="D10" s="56" t="str">
        <f>'PC LIST'!P10</f>
        <v>No. of properties</v>
      </c>
      <c r="E10" s="56">
        <f>'PC LIST'!Q10</f>
        <v>0</v>
      </c>
      <c r="F10" s="56" t="str">
        <f>'PC LIST'!J10</f>
        <v>Out &amp; under</v>
      </c>
      <c r="G10" s="56">
        <f>'PC LIST'!CI10</f>
        <v>309</v>
      </c>
      <c r="H10" s="56" t="str">
        <f>'PC LIST'!B23</f>
        <v>PR14ANHWSW_W-D2</v>
      </c>
      <c r="I10" s="57" t="str">
        <f>'PC LIST'!I23</f>
        <v>W-D2: Security of Supply Index (SoSI) - critical period (peak) demand</v>
      </c>
      <c r="J10" s="57" t="str">
        <f>'PC LIST'!O23</f>
        <v>score</v>
      </c>
      <c r="K10" s="57" t="str">
        <f>'PC LIST'!P23</f>
        <v>Security of Supply Index (SOSI)</v>
      </c>
      <c r="L10" s="56">
        <f>'PC LIST'!Q23</f>
        <v>0</v>
      </c>
      <c r="M10" s="56" t="str">
        <f>'PC LIST'!J23</f>
        <v>NFI</v>
      </c>
      <c r="N10" s="711">
        <f>'PC LIST'!CI23</f>
        <v>100</v>
      </c>
      <c r="O10" s="56" t="str">
        <f>'PC LIST'!B62</f>
        <v>PR14BRLWSW_E1</v>
      </c>
      <c r="P10" s="57" t="str">
        <f>'PC LIST'!I62</f>
        <v>E1: Negative water quality contacts</v>
      </c>
      <c r="Q10" s="57" t="str">
        <f>'PC LIST'!O62</f>
        <v>nr</v>
      </c>
      <c r="R10" s="57" t="str">
        <f>'PC LIST'!P62</f>
        <v>No. of contacts per year</v>
      </c>
      <c r="S10" s="56">
        <f>'PC LIST'!Q62</f>
        <v>0</v>
      </c>
      <c r="T10" s="56" t="str">
        <f>'PC LIST'!J62</f>
        <v>Out &amp; under</v>
      </c>
      <c r="U10" s="711">
        <f>'PC LIST'!CI62</f>
        <v>1934</v>
      </c>
      <c r="V10" s="56" t="str">
        <f>'PC LIST'!B83</f>
        <v>PR14DVWWSW_B4</v>
      </c>
      <c r="W10" s="57" t="str">
        <f>'PC LIST'!I83</f>
        <v>B4: Number of bursts</v>
      </c>
      <c r="X10" s="57" t="str">
        <f>'PC LIST'!O83</f>
        <v>nr</v>
      </c>
      <c r="Y10" s="57" t="str">
        <f>'PC LIST'!P83</f>
        <v>No. of burst mains per year</v>
      </c>
      <c r="Z10" s="56">
        <f>'PC LIST'!Q83</f>
        <v>0</v>
      </c>
      <c r="AA10" s="56" t="str">
        <f>'PC LIST'!J83</f>
        <v>Out &amp; under</v>
      </c>
      <c r="AB10" s="711" t="str">
        <f>'PC LIST'!CI83</f>
        <v/>
      </c>
      <c r="AC10" s="56" t="str">
        <f>'PC LIST'!B96</f>
        <v>PR14NESWSW_W-C4</v>
      </c>
      <c r="AD10" s="58" t="str">
        <f>'PC LIST'!I96</f>
        <v>W-C4: Leakage (Ml/d) Northumbrian area</v>
      </c>
      <c r="AE10" s="58" t="str">
        <f>'PC LIST'!O96</f>
        <v>nr</v>
      </c>
      <c r="AF10" s="58" t="str">
        <f>'PC LIST'!P96</f>
        <v>Megalitres per day (Ml/d)</v>
      </c>
      <c r="AG10" s="56">
        <f>'PC LIST'!Q96</f>
        <v>2</v>
      </c>
      <c r="AH10" s="56" t="str">
        <f>'PC LIST'!J96</f>
        <v>Out &amp; under</v>
      </c>
      <c r="AI10" s="56">
        <f>'PC LIST'!CI96</f>
        <v>136.26</v>
      </c>
      <c r="AJ10" s="56" t="str">
        <f>'PC LIST'!B140</f>
        <v>PR14PRTWSW_D2</v>
      </c>
      <c r="AK10" s="57" t="str">
        <f>'PC LIST'!I140</f>
        <v>D2: Water Framework Directive (WFD)</v>
      </c>
      <c r="AL10" s="57" t="str">
        <f>'PC LIST'!O140</f>
        <v>text</v>
      </c>
      <c r="AM10" s="57" t="str">
        <f>'PC LIST'!P140</f>
        <v>Programme completion</v>
      </c>
      <c r="AN10" s="56" t="str">
        <f>'PC LIST'!Q140</f>
        <v>na</v>
      </c>
      <c r="AO10" s="56" t="str">
        <f>'PC LIST'!J140</f>
        <v>Out &amp; under</v>
      </c>
      <c r="AP10" s="712" t="str">
        <f>'PC LIST'!CI140</f>
        <v>n/a</v>
      </c>
      <c r="AQ10" s="56" t="str">
        <f>'PC LIST'!B153</f>
        <v>PR14SBWWSW_B6</v>
      </c>
      <c r="AR10" s="57" t="str">
        <f>'PC LIST'!I153</f>
        <v>B6: Reduce per capita consumption (PCC) to 140 litres/head/day by March 2020</v>
      </c>
      <c r="AS10" s="57" t="str">
        <f>'PC LIST'!O153</f>
        <v>nr</v>
      </c>
      <c r="AT10" s="57" t="str">
        <f>'PC LIST'!P153</f>
        <v>Litres per head per day (l/h/d)</v>
      </c>
      <c r="AU10" s="56">
        <f>'PC LIST'!Q153</f>
        <v>1</v>
      </c>
      <c r="AV10" s="56" t="str">
        <f>'PC LIST'!J153</f>
        <v>NFI</v>
      </c>
      <c r="AW10" s="711">
        <f>'PC LIST'!CI153</f>
        <v>151.33000000000001</v>
      </c>
      <c r="AX10" s="56" t="str">
        <f>'PC LIST'!B168</f>
        <v>PR14SESWSW_C1</v>
      </c>
      <c r="AY10" s="57" t="str">
        <f>'PC LIST'!I168</f>
        <v>C1: The number of times on average the Company has to impose restrictions on the use of water</v>
      </c>
      <c r="AZ10" s="57" t="str">
        <f>'PC LIST'!O168</f>
        <v>nr</v>
      </c>
      <c r="BA10" s="57" t="str">
        <f>'PC LIST'!P168</f>
        <v>No. of restrictions in last 10 years</v>
      </c>
      <c r="BB10" s="56">
        <f>'PC LIST'!Q168</f>
        <v>0</v>
      </c>
      <c r="BC10" s="56" t="str">
        <f>'PC LIST'!J168</f>
        <v>NFI</v>
      </c>
      <c r="BD10" s="712">
        <f>'PC LIST'!CI168</f>
        <v>0</v>
      </c>
      <c r="BE10" s="56" t="str">
        <f>'PC LIST'!B189</f>
        <v>PR14SEWWSW_F1</v>
      </c>
      <c r="BF10" s="57" t="str">
        <f>'PC LIST'!I189</f>
        <v>F1: Customer satisfaction - water supply is of sufficient pressure</v>
      </c>
      <c r="BG10" s="57" t="str">
        <f>'PC LIST'!O189</f>
        <v>score</v>
      </c>
      <c r="BH10" s="57" t="str">
        <f>'PC LIST'!P189</f>
        <v>Customer satisfaction score out of 5</v>
      </c>
      <c r="BI10" s="56">
        <f>'PC LIST'!Q189</f>
        <v>1</v>
      </c>
      <c r="BJ10" s="56" t="str">
        <f>'PC LIST'!J189</f>
        <v>Out &amp; under</v>
      </c>
      <c r="BK10" s="56">
        <f>'PC LIST'!CI189</f>
        <v>4.3</v>
      </c>
      <c r="BL10" s="56" t="str">
        <f>'PC LIST'!B223</f>
        <v>PR14SRNWSW_7</v>
      </c>
      <c r="BM10" s="57" t="str">
        <f>'PC LIST'!I223</f>
        <v>7: Distribution input</v>
      </c>
      <c r="BN10" s="57" t="str">
        <f>'PC LIST'!O223</f>
        <v>nr</v>
      </c>
      <c r="BO10" s="57" t="str">
        <f>'PC LIST'!P223</f>
        <v>Megalitres per day (Ml/d)</v>
      </c>
      <c r="BP10" s="56">
        <f>'PC LIST'!Q223</f>
        <v>2</v>
      </c>
      <c r="BQ10" s="56" t="str">
        <f>'PC LIST'!J223</f>
        <v>NFI</v>
      </c>
      <c r="BR10" s="56">
        <f>'PC LIST'!CI223</f>
        <v>558.75</v>
      </c>
      <c r="BS10" s="56" t="str">
        <f>'PC LIST'!B256</f>
        <v>PR14SSCWSW_4.3</v>
      </c>
      <c r="BT10" s="57" t="str">
        <f>'PC LIST'!I256</f>
        <v>4.3: Water efficiency (household per capita consumption (PCC) reported annually, combined company)</v>
      </c>
      <c r="BU10" s="57" t="str">
        <f>'PC LIST'!O256</f>
        <v>nr</v>
      </c>
      <c r="BV10" s="57" t="str">
        <f>'PC LIST'!P256</f>
        <v>Litres per head per day (l/h/d)</v>
      </c>
      <c r="BW10" s="56">
        <f>'PC LIST'!Q256</f>
        <v>2</v>
      </c>
      <c r="BX10" s="56" t="str">
        <f>'PC LIST'!J256</f>
        <v>NFI</v>
      </c>
      <c r="BY10" s="56">
        <f>'PC LIST'!CI256</f>
        <v>136.41</v>
      </c>
      <c r="BZ10" s="56" t="str">
        <f>'PC LIST'!B271</f>
        <v>PR14SVTWSW_W-B4</v>
      </c>
      <c r="CA10" s="57" t="str">
        <f>'PC LIST'!I271</f>
        <v>W-B4: Number of minutes customers go without supply each year (interruptions to supply &gt; 3 hours)</v>
      </c>
      <c r="CB10" s="57" t="str">
        <f>'PC LIST'!O271</f>
        <v>time</v>
      </c>
      <c r="CC10" s="57" t="str">
        <f>'PC LIST'!P271</f>
        <v>Minutes / property / year</v>
      </c>
      <c r="CD10" s="56">
        <f>'PC LIST'!Q271</f>
        <v>2</v>
      </c>
      <c r="CE10" s="56" t="str">
        <f>'PC LIST'!J271</f>
        <v>Out &amp; under</v>
      </c>
      <c r="CF10" s="712" t="str">
        <f>'PC LIST'!CI271</f>
        <v/>
      </c>
      <c r="CG10" s="56" t="str">
        <f>'PC LIST'!B316</f>
        <v>PR14SWTWSW_W-B3</v>
      </c>
      <c r="CH10" s="59" t="str">
        <f>'PC LIST'!I316</f>
        <v>W-B3: Leakage levels (megalitres a day, Ml/d)</v>
      </c>
      <c r="CI10" s="59" t="str">
        <f>'PC LIST'!O316</f>
        <v>nr</v>
      </c>
      <c r="CJ10" s="59" t="str">
        <f>'PC LIST'!P316</f>
        <v>Megalitres per day (Ml/d)</v>
      </c>
      <c r="CK10" s="56">
        <f>'PC LIST'!Q316</f>
        <v>0</v>
      </c>
      <c r="CL10" s="56" t="str">
        <f>'PC LIST'!J316</f>
        <v>Out &amp; under</v>
      </c>
      <c r="CM10" s="711">
        <f>'PC LIST'!CI316</f>
        <v>84.49</v>
      </c>
      <c r="CN10" s="56" t="str">
        <f>'PC LIST'!B358</f>
        <v>PR14TMSWSW_WB3</v>
      </c>
      <c r="CO10" s="57" t="str">
        <f>'PC LIST'!I358</f>
        <v>WB3: Compliance with drinking water quality standards (MZC) - Ofwat/ DWI KPI</v>
      </c>
      <c r="CP10" s="57" t="str">
        <f>'PC LIST'!O358</f>
        <v>%</v>
      </c>
      <c r="CQ10" s="57" t="str">
        <f>'PC LIST'!P358</f>
        <v>Mean zonal compliance (%)</v>
      </c>
      <c r="CR10" s="56">
        <f>'PC LIST'!Q358</f>
        <v>2</v>
      </c>
      <c r="CS10" s="56" t="str">
        <f>'PC LIST'!J358</f>
        <v>Under</v>
      </c>
      <c r="CT10" s="56">
        <f>'PC LIST'!CI358</f>
        <v>99.96</v>
      </c>
      <c r="CU10" s="56" t="str">
        <f>'PC LIST'!B413</f>
        <v>PR14UUWSW_B5</v>
      </c>
      <c r="CV10" s="57" t="str">
        <f>'PC LIST'!I413</f>
        <v>B5: Resilience of impounding reservoirs</v>
      </c>
      <c r="CW10" s="57" t="str">
        <f>'PC LIST'!O413</f>
        <v>nr</v>
      </c>
      <c r="CX10" s="57" t="str">
        <f>'PC LIST'!P413</f>
        <v>Aggregate (cumulative) reduction in risk</v>
      </c>
      <c r="CY10" s="56">
        <f>'PC LIST'!Q413</f>
        <v>2</v>
      </c>
      <c r="CZ10" s="56" t="str">
        <f>'PC LIST'!J413</f>
        <v>Under</v>
      </c>
      <c r="DA10" s="56">
        <f>'PC LIST'!CI413</f>
        <v>165.721</v>
      </c>
      <c r="DB10" s="56" t="str">
        <f>'PC LIST'!B440</f>
        <v>PR14WSHWSW_D5</v>
      </c>
      <c r="DC10" s="57" t="str">
        <f>'PC LIST'!I440</f>
        <v>D5: Earning the trust of customers - % of customers surveyed that say they trust the company</v>
      </c>
      <c r="DD10" s="57" t="str">
        <f>'PC LIST'!O440</f>
        <v>%</v>
      </c>
      <c r="DE10" s="57" t="str">
        <f>'PC LIST'!P440</f>
        <v>% customer satisfaction</v>
      </c>
      <c r="DF10" s="56">
        <f>'PC LIST'!Q440</f>
        <v>0</v>
      </c>
      <c r="DG10" s="56" t="str">
        <f>'PC LIST'!J440</f>
        <v>NFI</v>
      </c>
      <c r="DH10" s="711">
        <f>'PC LIST'!CI440</f>
        <v>85</v>
      </c>
      <c r="DI10" s="56" t="str">
        <f>'PC LIST'!B471</f>
        <v>PR14WSXWSW_D5</v>
      </c>
      <c r="DJ10" s="57" t="str">
        <f>'PC LIST'!I471</f>
        <v>D5: Water main bursts</v>
      </c>
      <c r="DK10" s="57" t="str">
        <f>'PC LIST'!O471</f>
        <v>nr</v>
      </c>
      <c r="DL10" s="57" t="str">
        <f>'PC LIST'!P471</f>
        <v>No. of water main bursts per year</v>
      </c>
      <c r="DM10" s="56">
        <f>'PC LIST'!Q471</f>
        <v>0</v>
      </c>
      <c r="DN10" s="56" t="str">
        <f>'PC LIST'!J471</f>
        <v>Under</v>
      </c>
      <c r="DO10" s="56">
        <f>'PC LIST'!CI471</f>
        <v>1939</v>
      </c>
      <c r="DP10" s="56" t="str">
        <f>'PC LIST'!B503</f>
        <v>PR14YKYWSW_WB4</v>
      </c>
      <c r="DQ10" s="57" t="str">
        <f>'PC LIST'!I503</f>
        <v>WB4: Water network stability and reliability factor</v>
      </c>
      <c r="DR10" s="57" t="str">
        <f>'PC LIST'!O503</f>
        <v>category</v>
      </c>
      <c r="DS10" s="57" t="str">
        <f>'PC LIST'!P503</f>
        <v>Asset health indicator</v>
      </c>
      <c r="DT10" s="56" t="str">
        <f>'PC LIST'!Q503</f>
        <v>na</v>
      </c>
      <c r="DU10" s="56" t="str">
        <f>'PC LIST'!J503</f>
        <v>Under</v>
      </c>
      <c r="DV10" s="56" t="str">
        <f>'PC LIST'!CI503</f>
        <v>Stable</v>
      </c>
      <c r="DW10" s="56" t="str">
        <f>'PC LIST'!B537</f>
        <v>PR14HDDWSW_B4</v>
      </c>
      <c r="DX10" s="57" t="str">
        <f>'PC LIST'!I537</f>
        <v>B4: Number of bursts</v>
      </c>
      <c r="DY10" s="57" t="str">
        <f>'PC LIST'!O537</f>
        <v>nr</v>
      </c>
      <c r="DZ10" s="57" t="str">
        <f>'PC LIST'!P537</f>
        <v>No. of burst mains per year</v>
      </c>
      <c r="EA10" s="56">
        <f>'PC LIST'!Q537</f>
        <v>0</v>
      </c>
      <c r="EB10" s="56" t="str">
        <f>'PC LIST'!J537</f>
        <v>Out &amp; under</v>
      </c>
      <c r="EC10" s="56">
        <f>'PC LIST'!CI537</f>
        <v>185</v>
      </c>
      <c r="ED10" s="56" t="str">
        <f>'PC LIST'!B583</f>
        <v>PR14SVEWSW_W-B4</v>
      </c>
      <c r="EE10" s="57" t="str">
        <f>'PC LIST'!I583</f>
        <v>W-B4: Number of minutes customers go without supply each year (interruptions to supply &gt; 3 hours)</v>
      </c>
      <c r="EF10" s="57" t="str">
        <f>'PC LIST'!O583</f>
        <v>time</v>
      </c>
      <c r="EG10" s="57" t="str">
        <f>'PC LIST'!P583</f>
        <v>Minutes / property / year</v>
      </c>
      <c r="EH10" s="56">
        <f>'PC LIST'!Q583</f>
        <v>2</v>
      </c>
      <c r="EI10" s="56" t="str">
        <f>'PC LIST'!J583</f>
        <v>Out &amp; under</v>
      </c>
      <c r="EJ10" s="56">
        <f>'PC LIST'!CI583</f>
        <v>19.059999999999999</v>
      </c>
    </row>
    <row r="11" spans="1:140" ht="15.75" customHeight="1">
      <c r="A11" s="56" t="str">
        <f>'PC LIST'!B11</f>
        <v>PR14AFWWSW_W-C2</v>
      </c>
      <c r="B11" s="56" t="str">
        <f>'PC LIST'!I11</f>
        <v>W-C2: Number of burst mains</v>
      </c>
      <c r="C11" s="56" t="str">
        <f>'PC LIST'!O11</f>
        <v>nr</v>
      </c>
      <c r="D11" s="56" t="str">
        <f>'PC LIST'!P11</f>
        <v>No. of burst mains per year</v>
      </c>
      <c r="E11" s="56">
        <f>'PC LIST'!Q11</f>
        <v>0</v>
      </c>
      <c r="F11" s="56" t="str">
        <f>'PC LIST'!J11</f>
        <v>Under</v>
      </c>
      <c r="G11" s="56">
        <f>'PC LIST'!CI11</f>
        <v>2530</v>
      </c>
      <c r="H11" s="56" t="str">
        <f>'PC LIST'!B24</f>
        <v>PR14ANHWSW_W-D3</v>
      </c>
      <c r="I11" s="57" t="str">
        <f>'PC LIST'!I24</f>
        <v>W-D3: Per property consumption (PPC) (litres/household/day reduction)</v>
      </c>
      <c r="J11" s="57" t="str">
        <f>'PC LIST'!O24</f>
        <v>nr</v>
      </c>
      <c r="K11" s="57" t="str">
        <f>'PC LIST'!P24</f>
        <v>Litres per household per day (l/hh/d)</v>
      </c>
      <c r="L11" s="56">
        <f>'PC LIST'!Q24</f>
        <v>0</v>
      </c>
      <c r="M11" s="56" t="str">
        <f>'PC LIST'!J24</f>
        <v>Under</v>
      </c>
      <c r="N11" s="711">
        <f>'PC LIST'!CI24</f>
        <v>-11</v>
      </c>
      <c r="O11" s="56" t="str">
        <f>'PC LIST'!B63</f>
        <v>PR14BRLWSW_F1</v>
      </c>
      <c r="P11" s="57" t="str">
        <f>'PC LIST'!I63</f>
        <v>F1: Leakage</v>
      </c>
      <c r="Q11" s="57" t="str">
        <f>'PC LIST'!O63</f>
        <v>nr</v>
      </c>
      <c r="R11" s="57" t="str">
        <f>'PC LIST'!P63</f>
        <v>Megalitres per day (Ml/d)</v>
      </c>
      <c r="S11" s="56">
        <f>'PC LIST'!Q63</f>
        <v>1</v>
      </c>
      <c r="T11" s="56" t="str">
        <f>'PC LIST'!J63</f>
        <v>Out &amp; under</v>
      </c>
      <c r="U11" s="711">
        <f>'PC LIST'!CI63</f>
        <v>45.83</v>
      </c>
      <c r="V11" s="56" t="str">
        <f>'PC LIST'!B84</f>
        <v>PR14DVWWSW_C1</v>
      </c>
      <c r="W11" s="57" t="str">
        <f>'PC LIST'!I84</f>
        <v>C1: Gross operational greenhouse gas emissions</v>
      </c>
      <c r="X11" s="57" t="str">
        <f>'PC LIST'!O84</f>
        <v>nr</v>
      </c>
      <c r="Y11" s="57" t="str">
        <f>'PC LIST'!P84</f>
        <v>tCO2e</v>
      </c>
      <c r="Z11" s="56">
        <f>'PC LIST'!Q84</f>
        <v>0</v>
      </c>
      <c r="AA11" s="56" t="str">
        <f>'PC LIST'!J84</f>
        <v>NFI</v>
      </c>
      <c r="AB11" s="711" t="str">
        <f>'PC LIST'!CI84</f>
        <v/>
      </c>
      <c r="AC11" s="56" t="str">
        <f>'PC LIST'!B97</f>
        <v>PR14NESWSW_W-C5</v>
      </c>
      <c r="AD11" s="58" t="str">
        <f>'PC LIST'!I97</f>
        <v>W-C5: Leakage (Ml/d) Essex &amp; Suffolk area</v>
      </c>
      <c r="AE11" s="58" t="str">
        <f>'PC LIST'!O97</f>
        <v>nr</v>
      </c>
      <c r="AF11" s="58" t="str">
        <f>'PC LIST'!P97</f>
        <v>Megalitres per day (Ml/d)</v>
      </c>
      <c r="AG11" s="56">
        <f>'PC LIST'!Q97</f>
        <v>2</v>
      </c>
      <c r="AH11" s="56" t="str">
        <f>'PC LIST'!J97</f>
        <v>Out &amp; under</v>
      </c>
      <c r="AI11" s="56">
        <f>'PC LIST'!CI97</f>
        <v>64.180000000000007</v>
      </c>
      <c r="AJ11" s="56" t="str">
        <f>'PC LIST'!B141</f>
        <v>PR14PRTWSW_D3</v>
      </c>
      <c r="AK11" s="57" t="str">
        <f>'PC LIST'!I141</f>
        <v>D3: Carbon</v>
      </c>
      <c r="AL11" s="57" t="str">
        <f>'PC LIST'!O141</f>
        <v>%</v>
      </c>
      <c r="AM11" s="57" t="str">
        <f>'PC LIST'!P141</f>
        <v>Energy sourced from renewables (% increase)</v>
      </c>
      <c r="AN11" s="56">
        <f>'PC LIST'!Q141</f>
        <v>0</v>
      </c>
      <c r="AO11" s="56" t="str">
        <f>'PC LIST'!J141</f>
        <v>NFI</v>
      </c>
      <c r="AP11" s="712" t="str">
        <f>'PC LIST'!CI141</f>
        <v>&gt; 95%</v>
      </c>
      <c r="AQ11" s="56" t="str">
        <f>'PC LIST'!B154</f>
        <v>PR14SBWWSW_C1</v>
      </c>
      <c r="AR11" s="57" t="str">
        <f>'PC LIST'!I154</f>
        <v>C1: Repair visible leaks</v>
      </c>
      <c r="AS11" s="57" t="str">
        <f>'PC LIST'!O154</f>
        <v>%</v>
      </c>
      <c r="AT11" s="57" t="str">
        <f>'PC LIST'!P154</f>
        <v>% visible leaks repaired within 7 days</v>
      </c>
      <c r="AU11" s="56">
        <f>'PC LIST'!Q154</f>
        <v>1</v>
      </c>
      <c r="AV11" s="56" t="str">
        <f>'PC LIST'!J154</f>
        <v>Under</v>
      </c>
      <c r="AW11" s="711">
        <f>'PC LIST'!CI154</f>
        <v>74</v>
      </c>
      <c r="AX11" s="56" t="str">
        <f>'PC LIST'!B169</f>
        <v>PR14SESWSW_C2</v>
      </c>
      <c r="AY11" s="57" t="str">
        <f>'PC LIST'!I169</f>
        <v>C2: Percentage of properties that are connected to more than one treatment works (resilience measure)</v>
      </c>
      <c r="AZ11" s="57" t="str">
        <f>'PC LIST'!O169</f>
        <v>%</v>
      </c>
      <c r="BA11" s="57" t="str">
        <f>'PC LIST'!P169</f>
        <v>% props can be supplied from &gt;1 WTW</v>
      </c>
      <c r="BB11" s="56">
        <f>'PC LIST'!Q169</f>
        <v>0</v>
      </c>
      <c r="BC11" s="56" t="str">
        <f>'PC LIST'!J169</f>
        <v>Out &amp; under</v>
      </c>
      <c r="BD11" s="712">
        <f>'PC LIST'!CI169</f>
        <v>56</v>
      </c>
      <c r="BE11" s="56" t="str">
        <f>'PC LIST'!B190</f>
        <v>PR14SEWWSW_F2</v>
      </c>
      <c r="BF11" s="57" t="str">
        <f>'PC LIST'!I190</f>
        <v>F2: Number of properties at risk of low pressure, as recorded on the DG2 register</v>
      </c>
      <c r="BG11" s="57" t="str">
        <f>'PC LIST'!O190</f>
        <v>nr</v>
      </c>
      <c r="BH11" s="57" t="str">
        <f>'PC LIST'!P190</f>
        <v>No. of properties on DG2 register</v>
      </c>
      <c r="BI11" s="56">
        <f>'PC LIST'!Q190</f>
        <v>0</v>
      </c>
      <c r="BJ11" s="56" t="str">
        <f>'PC LIST'!J190</f>
        <v>Out &amp; under</v>
      </c>
      <c r="BK11" s="56">
        <f>'PC LIST'!CI190</f>
        <v>47</v>
      </c>
      <c r="BL11" s="56" t="str">
        <f>'PC LIST'!B224</f>
        <v>PR14SRNWSW_8</v>
      </c>
      <c r="BM11" s="57" t="str">
        <f>'PC LIST'!I224</f>
        <v>8: Per capita consumption (PCC) - five-year average target</v>
      </c>
      <c r="BN11" s="57" t="str">
        <f>'PC LIST'!O224</f>
        <v>nr</v>
      </c>
      <c r="BO11" s="57" t="str">
        <f>'PC LIST'!P224</f>
        <v>Litres per head per day (l/h/d)</v>
      </c>
      <c r="BP11" s="56">
        <f>'PC LIST'!Q224</f>
        <v>1</v>
      </c>
      <c r="BQ11" s="56" t="str">
        <f>'PC LIST'!J224</f>
        <v>Out &amp; under</v>
      </c>
      <c r="BR11" s="56">
        <f>'PC LIST'!CI224</f>
        <v>129.9</v>
      </c>
      <c r="BS11" s="56" t="str">
        <f>'PC LIST'!B257</f>
        <v>PR14SSCWSW_4.4</v>
      </c>
      <c r="BT11" s="57" t="str">
        <f>'PC LIST'!I257</f>
        <v>4.4: Biodiversity (cumulative total hectares of land under management per year, combined company)</v>
      </c>
      <c r="BU11" s="57" t="str">
        <f>'PC LIST'!O257</f>
        <v>nr</v>
      </c>
      <c r="BV11" s="57" t="str">
        <f>'PC LIST'!P257</f>
        <v>Cumulative total hectares of land</v>
      </c>
      <c r="BW11" s="56">
        <f>'PC LIST'!Q257</f>
        <v>0</v>
      </c>
      <c r="BX11" s="56" t="str">
        <f>'PC LIST'!J257</f>
        <v>NFI</v>
      </c>
      <c r="BY11" s="56">
        <f>'PC LIST'!CI257</f>
        <v>138</v>
      </c>
      <c r="BZ11" s="56" t="str">
        <f>'PC LIST'!B272</f>
        <v>PR14SVTWSW_W-B5</v>
      </c>
      <c r="CA11" s="57" t="str">
        <f>'PC LIST'!I272</f>
        <v>W-B5: % of customers with resilient supplies (those that benefit from a second source of supply)</v>
      </c>
      <c r="CB11" s="57" t="str">
        <f>'PC LIST'!O272</f>
        <v>%</v>
      </c>
      <c r="CC11" s="57" t="str">
        <f>'PC LIST'!P272</f>
        <v>% customers with 2nd supply source</v>
      </c>
      <c r="CD11" s="56">
        <f>'PC LIST'!Q272</f>
        <v>1</v>
      </c>
      <c r="CE11" s="56" t="str">
        <f>'PC LIST'!J272</f>
        <v>Out &amp; under</v>
      </c>
      <c r="CF11" s="712" t="str">
        <f>'PC LIST'!CI272</f>
        <v/>
      </c>
      <c r="CG11" s="56" t="str">
        <f>'PC LIST'!B317</f>
        <v>PR14SWTWSW_W-B4</v>
      </c>
      <c r="CH11" s="59" t="str">
        <f>'PC LIST'!I317</f>
        <v>W-B4: Time taken to fix significant leaks (days)</v>
      </c>
      <c r="CI11" s="59" t="str">
        <f>'PC LIST'!O317</f>
        <v>nr</v>
      </c>
      <c r="CJ11" s="59" t="str">
        <f>'PC LIST'!P317</f>
        <v>No. of days taken to fix significant leaks</v>
      </c>
      <c r="CK11" s="56">
        <f>'PC LIST'!Q317</f>
        <v>0</v>
      </c>
      <c r="CL11" s="56" t="str">
        <f>'PC LIST'!J317</f>
        <v>NFI</v>
      </c>
      <c r="CM11" s="711">
        <f>'PC LIST'!CI317</f>
        <v>2.89</v>
      </c>
      <c r="CN11" s="56" t="str">
        <f>'PC LIST'!B359</f>
        <v>PR14TMSWSW_WB4</v>
      </c>
      <c r="CO11" s="57" t="str">
        <f>'PC LIST'!I359</f>
        <v>WB4: Properties experiencing chronic low pressure (DG2)</v>
      </c>
      <c r="CP11" s="57" t="str">
        <f>'PC LIST'!O359</f>
        <v>nr</v>
      </c>
      <c r="CQ11" s="57" t="str">
        <f>'PC LIST'!P359</f>
        <v>No. of properties with low pressure (DG2) at the end of the reporting year</v>
      </c>
      <c r="CR11" s="56">
        <f>'PC LIST'!Q359</f>
        <v>0</v>
      </c>
      <c r="CS11" s="56" t="str">
        <f>'PC LIST'!J359</f>
        <v>NFI</v>
      </c>
      <c r="CT11" s="56">
        <f>'PC LIST'!CI359</f>
        <v>7</v>
      </c>
      <c r="CU11" s="56" t="str">
        <f>'PC LIST'!B414</f>
        <v>PR14UUWSW_B6</v>
      </c>
      <c r="CV11" s="57" t="str">
        <f>'PC LIST'!I414</f>
        <v>B6: Thirlmere transfer into West Cumbria</v>
      </c>
      <c r="CW11" s="57" t="str">
        <f>'PC LIST'!O414</f>
        <v>%</v>
      </c>
      <c r="CX11" s="57" t="str">
        <f>'PC LIST'!P414</f>
        <v>% project complete based on earned value tied to milestones</v>
      </c>
      <c r="CY11" s="56">
        <f>'PC LIST'!Q414</f>
        <v>0</v>
      </c>
      <c r="CZ11" s="56" t="str">
        <f>'PC LIST'!J414</f>
        <v>Out &amp; under</v>
      </c>
      <c r="DA11" s="56">
        <f>'PC LIST'!CI414</f>
        <v>56.68</v>
      </c>
      <c r="DB11" s="56" t="str">
        <f>'PC LIST'!B441</f>
        <v>PR14WSHWSW_E1</v>
      </c>
      <c r="DC11" s="57" t="str">
        <f>'PC LIST'!I441</f>
        <v>E1: Affordable bills - annual increase</v>
      </c>
      <c r="DD11" s="57" t="str">
        <f>'PC LIST'!O441</f>
        <v>%</v>
      </c>
      <c r="DE11" s="57" t="str">
        <f>'PC LIST'!P441</f>
        <v>% above or below inflation (affordability of bills)</v>
      </c>
      <c r="DF11" s="56">
        <f>'PC LIST'!Q441</f>
        <v>0</v>
      </c>
      <c r="DG11" s="56" t="str">
        <f>'PC LIST'!J441</f>
        <v>NFI</v>
      </c>
      <c r="DH11" s="711">
        <f>'PC LIST'!CI441</f>
        <v>-2</v>
      </c>
      <c r="DI11" s="56" t="str">
        <f>'PC LIST'!B472</f>
        <v>PR14WSXWSW_F1</v>
      </c>
      <c r="DJ11" s="57" t="str">
        <f>'PC LIST'!I472</f>
        <v>F1: Volume of water leaked</v>
      </c>
      <c r="DK11" s="57" t="str">
        <f>'PC LIST'!O472</f>
        <v>nr</v>
      </c>
      <c r="DL11" s="57" t="str">
        <f>'PC LIST'!P472</f>
        <v>Megalitres per day (Ml/d)</v>
      </c>
      <c r="DM11" s="56">
        <f>'PC LIST'!Q472</f>
        <v>1</v>
      </c>
      <c r="DN11" s="56" t="str">
        <f>'PC LIST'!J472</f>
        <v>Out &amp; under</v>
      </c>
      <c r="DO11" s="56">
        <f>'PC LIST'!CI472</f>
        <v>66.400000000000006</v>
      </c>
      <c r="DP11" s="56" t="str">
        <f>'PC LIST'!B504</f>
        <v>PR14YKYWSW_WC1</v>
      </c>
      <c r="DQ11" s="57" t="str">
        <f>'PC LIST'!I504</f>
        <v>WC1: Length of river improved (note: PC is part of a total commitment at Appointee level - see also SB4)</v>
      </c>
      <c r="DR11" s="57" t="str">
        <f>'PC LIST'!O504</f>
        <v>nr</v>
      </c>
      <c r="DS11" s="57" t="str">
        <f>'PC LIST'!P504</f>
        <v>Kilometres (km) of river improved (modelled length)</v>
      </c>
      <c r="DT11" s="56">
        <f>'PC LIST'!Q504</f>
        <v>0</v>
      </c>
      <c r="DU11" s="56" t="str">
        <f>'PC LIST'!J504</f>
        <v>Out &amp; under</v>
      </c>
      <c r="DV11" s="56">
        <f>'PC LIST'!CI504</f>
        <v>40</v>
      </c>
      <c r="DW11" s="56" t="str">
        <f>'PC LIST'!B538</f>
        <v>PR14HDDWSW_C1</v>
      </c>
      <c r="DX11" s="57" t="str">
        <f>'PC LIST'!I538</f>
        <v>C1: Gross operational greenhouse gas emissions</v>
      </c>
      <c r="DY11" s="57" t="str">
        <f>'PC LIST'!O538</f>
        <v>nr</v>
      </c>
      <c r="DZ11" s="57" t="str">
        <f>'PC LIST'!P538</f>
        <v>tCO2e</v>
      </c>
      <c r="EA11" s="56">
        <f>'PC LIST'!Q538</f>
        <v>0</v>
      </c>
      <c r="EB11" s="56" t="str">
        <f>'PC LIST'!J538</f>
        <v>NFI</v>
      </c>
      <c r="EC11" s="56">
        <f>'PC LIST'!CI538</f>
        <v>4986.6100000000006</v>
      </c>
      <c r="ED11" s="56" t="str">
        <f>'PC LIST'!B584</f>
        <v>PR14SVEWSW_W-B5</v>
      </c>
      <c r="EE11" s="57" t="str">
        <f>'PC LIST'!I584</f>
        <v>W-B5: % of customers with resilient supplies (those that benefit from a second source of supply)</v>
      </c>
      <c r="EF11" s="57" t="str">
        <f>'PC LIST'!O584</f>
        <v>%</v>
      </c>
      <c r="EG11" s="57" t="str">
        <f>'PC LIST'!P584</f>
        <v>% customers with 2nd supply source</v>
      </c>
      <c r="EH11" s="56">
        <f>'PC LIST'!Q584</f>
        <v>1</v>
      </c>
      <c r="EI11" s="56" t="str">
        <f>'PC LIST'!J584</f>
        <v>Out &amp; under</v>
      </c>
      <c r="EJ11" s="56">
        <f>'PC LIST'!CI584</f>
        <v>78.100000000000009</v>
      </c>
    </row>
    <row r="12" spans="1:140" ht="15.75" customHeight="1">
      <c r="A12" s="56" t="str">
        <f>'PC LIST'!B12</f>
        <v>PR14AFWWSW_W-C3</v>
      </c>
      <c r="B12" s="56" t="str">
        <f>'PC LIST'!I12</f>
        <v>W-C3: Affected customers not notified of planned interruptions</v>
      </c>
      <c r="C12" s="56" t="str">
        <f>'PC LIST'!O12</f>
        <v>nr</v>
      </c>
      <c r="D12" s="56" t="str">
        <f>'PC LIST'!P12</f>
        <v>No. of GSS events</v>
      </c>
      <c r="E12" s="56">
        <f>'PC LIST'!Q12</f>
        <v>0</v>
      </c>
      <c r="F12" s="56" t="str">
        <f>'PC LIST'!J12</f>
        <v>NFI</v>
      </c>
      <c r="G12" s="56">
        <f>'PC LIST'!CI12</f>
        <v>68</v>
      </c>
      <c r="H12" s="56" t="str">
        <f>'PC LIST'!B25</f>
        <v>PR14ANHWSW_W-D4</v>
      </c>
      <c r="I12" s="57" t="str">
        <f>'PC LIST'!I25</f>
        <v>W-D4: Leakage - three-year average</v>
      </c>
      <c r="J12" s="57" t="str">
        <f>'PC LIST'!O25</f>
        <v>nr</v>
      </c>
      <c r="K12" s="57" t="str">
        <f>'PC LIST'!P25</f>
        <v>Megalitres per day (Ml/d)</v>
      </c>
      <c r="L12" s="56">
        <f>'PC LIST'!Q25</f>
        <v>0</v>
      </c>
      <c r="M12" s="56" t="str">
        <f>'PC LIST'!J25</f>
        <v>Out &amp; under</v>
      </c>
      <c r="N12" s="711">
        <f>'PC LIST'!CI25</f>
        <v>186</v>
      </c>
      <c r="O12" s="56" t="str">
        <f>'PC LIST'!B64</f>
        <v>PR14BRLWSW_G1</v>
      </c>
      <c r="P12" s="57" t="str">
        <f>'PC LIST'!I64</f>
        <v>G1: Meter penetration</v>
      </c>
      <c r="Q12" s="57" t="str">
        <f>'PC LIST'!O64</f>
        <v>%</v>
      </c>
      <c r="R12" s="57" t="str">
        <f>'PC LIST'!P64</f>
        <v xml:space="preserve">% metered supplies </v>
      </c>
      <c r="S12" s="56">
        <f>'PC LIST'!Q64</f>
        <v>1</v>
      </c>
      <c r="T12" s="56" t="str">
        <f>'PC LIST'!J64</f>
        <v>Out &amp; under</v>
      </c>
      <c r="U12" s="711">
        <f>'PC LIST'!CI64</f>
        <v>56</v>
      </c>
      <c r="V12" s="56" t="str">
        <f>'PC LIST'!B85</f>
        <v>PR14DVWWSW_D1</v>
      </c>
      <c r="W12" s="57" t="str">
        <f>'PC LIST'!I85</f>
        <v>D1: Customers’ perception based on market research</v>
      </c>
      <c r="X12" s="57" t="str">
        <f>'PC LIST'!O85</f>
        <v>%</v>
      </c>
      <c r="Y12" s="57" t="str">
        <f>'PC LIST'!P85</f>
        <v>% customer satisfaction</v>
      </c>
      <c r="Z12" s="56" t="str">
        <f>'PC LIST'!Q85</f>
        <v>na</v>
      </c>
      <c r="AA12" s="56" t="str">
        <f>'PC LIST'!J85</f>
        <v>NFI</v>
      </c>
      <c r="AB12" s="711" t="str">
        <f>'PC LIST'!CI85</f>
        <v/>
      </c>
      <c r="AC12" s="56" t="str">
        <f>'PC LIST'!B98</f>
        <v>PR14NESWSW_W-D1</v>
      </c>
      <c r="AD12" s="58" t="str">
        <f>'PC LIST'!I98</f>
        <v>W-D1: NWL independent overall customer satisfaction score</v>
      </c>
      <c r="AE12" s="58" t="str">
        <f>'PC LIST'!O98</f>
        <v>score</v>
      </c>
      <c r="AF12" s="58" t="str">
        <f>'PC LIST'!P98</f>
        <v>Score between 0 and 10</v>
      </c>
      <c r="AG12" s="56">
        <f>'PC LIST'!Q98</f>
        <v>1</v>
      </c>
      <c r="AH12" s="56" t="str">
        <f>'PC LIST'!J98</f>
        <v>NFI</v>
      </c>
      <c r="AI12" s="56">
        <f>'PC LIST'!CI98</f>
        <v>8.6999999999999993</v>
      </c>
      <c r="AJ12" s="56" t="str">
        <f>'PC LIST'!B142</f>
        <v>PR14PRTWSW_E1</v>
      </c>
      <c r="AK12" s="57" t="str">
        <f>'PC LIST'!I142</f>
        <v>E1: RoSPA Health and Safety accreditation</v>
      </c>
      <c r="AL12" s="57" t="str">
        <f>'PC LIST'!O142</f>
        <v>text</v>
      </c>
      <c r="AM12" s="57" t="str">
        <f>'PC LIST'!P142</f>
        <v>RoSPA Gold award</v>
      </c>
      <c r="AN12" s="56" t="str">
        <f>'PC LIST'!Q142</f>
        <v>na</v>
      </c>
      <c r="AO12" s="56" t="str">
        <f>'PC LIST'!J142</f>
        <v>NFI</v>
      </c>
      <c r="AP12" s="712" t="str">
        <f>'PC LIST'!CI142</f>
        <v>Awarded</v>
      </c>
      <c r="AQ12" s="56" t="str">
        <f>'PC LIST'!B155</f>
        <v>PR14SBWWSW_D1</v>
      </c>
      <c r="AR12" s="57" t="str">
        <f>'PC LIST'!I155</f>
        <v>D1: Reduce energy used in water delivery</v>
      </c>
      <c r="AS12" s="57" t="str">
        <f>'PC LIST'!O155</f>
        <v>nr</v>
      </c>
      <c r="AT12" s="57" t="str">
        <f>'PC LIST'!P155</f>
        <v>kWh/Ml (kilowatt hours per megalitre)</v>
      </c>
      <c r="AU12" s="56">
        <f>'PC LIST'!Q155</f>
        <v>2</v>
      </c>
      <c r="AV12" s="56" t="str">
        <f>'PC LIST'!J155</f>
        <v>NFI</v>
      </c>
      <c r="AW12" s="711">
        <f>'PC LIST'!CI155</f>
        <v>617.73384965962032</v>
      </c>
      <c r="AX12" s="56" t="str">
        <f>'PC LIST'!B170</f>
        <v>PR14SESWSW_E1</v>
      </c>
      <c r="AY12" s="57" t="str">
        <f>'PC LIST'!I170</f>
        <v>E1: Level of leakage measured in megalitres per day (including customer supply pipe leakage)</v>
      </c>
      <c r="AZ12" s="57" t="str">
        <f>'PC LIST'!O170</f>
        <v>nr</v>
      </c>
      <c r="BA12" s="57" t="str">
        <f>'PC LIST'!P170</f>
        <v>Megalitres per day (Ml/d)</v>
      </c>
      <c r="BB12" s="56">
        <f>'PC LIST'!Q170</f>
        <v>2</v>
      </c>
      <c r="BC12" s="56" t="str">
        <f>'PC LIST'!J170</f>
        <v>Out &amp; under</v>
      </c>
      <c r="BD12" s="712">
        <f>'PC LIST'!CI170</f>
        <v>24.1</v>
      </c>
      <c r="BE12" s="56" t="str">
        <f>'PC LIST'!B191</f>
        <v>PR14SEWWSW_G1</v>
      </c>
      <c r="BF12" s="57" t="str">
        <f>'PC LIST'!I191</f>
        <v>G1: Customer satisfaction - frequency and duration of supply interruptions</v>
      </c>
      <c r="BG12" s="57" t="str">
        <f>'PC LIST'!O191</f>
        <v>score</v>
      </c>
      <c r="BH12" s="57" t="str">
        <f>'PC LIST'!P191</f>
        <v>Customer satisfaction score out of 5</v>
      </c>
      <c r="BI12" s="56">
        <f>'PC LIST'!Q191</f>
        <v>1</v>
      </c>
      <c r="BJ12" s="56" t="str">
        <f>'PC LIST'!J191</f>
        <v>Out &amp; under</v>
      </c>
      <c r="BK12" s="56">
        <f>'PC LIST'!CI191</f>
        <v>4.5999999999999996</v>
      </c>
      <c r="BL12" s="56" t="str">
        <f>'PC LIST'!B225</f>
        <v>PR14SRNWSWW_1</v>
      </c>
      <c r="BM12" s="57" t="str">
        <f>'PC LIST'!I225</f>
        <v>1: Wastewater asset health (sewer collapses, WwTW PE compliance, external flooding - other causes)</v>
      </c>
      <c r="BN12" s="57" t="str">
        <f>'PC LIST'!O225</f>
        <v>category</v>
      </c>
      <c r="BO12" s="57" t="str">
        <f>'PC LIST'!P225</f>
        <v>Asset health indicator</v>
      </c>
      <c r="BP12" s="56" t="str">
        <f>'PC LIST'!Q225</f>
        <v>na</v>
      </c>
      <c r="BQ12" s="56" t="str">
        <f>'PC LIST'!J225</f>
        <v>Under</v>
      </c>
      <c r="BR12" s="56" t="str">
        <f>'PC LIST'!CI225</f>
        <v>Stable</v>
      </c>
      <c r="BS12" s="56" t="str">
        <f>'PC LIST'!B258</f>
        <v>PR14SSCWSW_4.5</v>
      </c>
      <c r="BT12" s="57" t="str">
        <f>'PC LIST'!I258</f>
        <v>4.5: Carbon emissions from power consumption (tonnes, combined company)</v>
      </c>
      <c r="BU12" s="57" t="str">
        <f>'PC LIST'!O258</f>
        <v>nr</v>
      </c>
      <c r="BV12" s="57" t="str">
        <f>'PC LIST'!P258</f>
        <v>tCO2e (tonnes CO2e) in real savings</v>
      </c>
      <c r="BW12" s="56">
        <f>'PC LIST'!Q258</f>
        <v>0</v>
      </c>
      <c r="BX12" s="56" t="str">
        <f>'PC LIST'!J258</f>
        <v>NFI</v>
      </c>
      <c r="BY12" s="56">
        <f>'PC LIST'!CI258</f>
        <v>635</v>
      </c>
      <c r="BZ12" s="56" t="str">
        <f>'PC LIST'!B273</f>
        <v>PR14SVTWSW_W-B6</v>
      </c>
      <c r="CA12" s="57" t="str">
        <f>'PC LIST'!I273</f>
        <v>W-B6: Asset stewardship - mains bursts</v>
      </c>
      <c r="CB12" s="57" t="str">
        <f>'PC LIST'!O273</f>
        <v>nr</v>
      </c>
      <c r="CC12" s="57" t="str">
        <f>'PC LIST'!P273</f>
        <v>No. of burst mains per year</v>
      </c>
      <c r="CD12" s="56">
        <f>'PC LIST'!Q273</f>
        <v>0</v>
      </c>
      <c r="CE12" s="56" t="str">
        <f>'PC LIST'!J273</f>
        <v>Under</v>
      </c>
      <c r="CF12" s="712" t="str">
        <f>'PC LIST'!CI273</f>
        <v/>
      </c>
      <c r="CG12" s="56" t="str">
        <f>'PC LIST'!B318</f>
        <v>PR14SWTWSW_W-B5</v>
      </c>
      <c r="CH12" s="59" t="str">
        <f>'PC LIST'!I318</f>
        <v>W-B5: Security of supply index (SoSI)</v>
      </c>
      <c r="CI12" s="59" t="str">
        <f>'PC LIST'!O318</f>
        <v>score</v>
      </c>
      <c r="CJ12" s="59" t="str">
        <f>'PC LIST'!P318</f>
        <v>Security of Supply Index (SOSI)</v>
      </c>
      <c r="CK12" s="56">
        <f>'PC LIST'!Q318</f>
        <v>0</v>
      </c>
      <c r="CL12" s="56" t="str">
        <f>'PC LIST'!J318</f>
        <v>NFI</v>
      </c>
      <c r="CM12" s="711">
        <f>'PC LIST'!CI318</f>
        <v>100</v>
      </c>
      <c r="CN12" s="56" t="str">
        <f>'PC LIST'!B360</f>
        <v>PR14TMSWSW_WB5</v>
      </c>
      <c r="CO12" s="57" t="str">
        <f>'PC LIST'!I360</f>
        <v>WB5: Average hours lost supply per property served, due to interruptions &gt; 4 hours</v>
      </c>
      <c r="CP12" s="57" t="str">
        <f>'PC LIST'!O360</f>
        <v>time</v>
      </c>
      <c r="CQ12" s="57" t="str">
        <f>'PC LIST'!P360</f>
        <v>Hours lost supply per property served</v>
      </c>
      <c r="CR12" s="56">
        <f>'PC LIST'!Q360</f>
        <v>2</v>
      </c>
      <c r="CS12" s="56" t="str">
        <f>'PC LIST'!J360</f>
        <v>Out &amp; under</v>
      </c>
      <c r="CT12" s="56">
        <f>'PC LIST'!CI360</f>
        <v>0.26</v>
      </c>
      <c r="CU12" s="56" t="str">
        <f>'PC LIST'!B415</f>
        <v>PR14UUWSW_C1</v>
      </c>
      <c r="CV12" s="57" t="str">
        <f>'PC LIST'!I415</f>
        <v>C1: Contribution to rivers improved - water programme (NEP schemes and abstraction changes at 4 AIM sites)</v>
      </c>
      <c r="CW12" s="57" t="str">
        <f>'PC LIST'!O415</f>
        <v>nr</v>
      </c>
      <c r="CX12" s="57" t="str">
        <f>'PC LIST'!P415</f>
        <v>Kilometres (km) of river improved (cumulative)</v>
      </c>
      <c r="CY12" s="56">
        <f>'PC LIST'!Q415</f>
        <v>1</v>
      </c>
      <c r="CZ12" s="56" t="str">
        <f>'PC LIST'!J415</f>
        <v>Out &amp; under</v>
      </c>
      <c r="DA12" s="56">
        <f>'PC LIST'!CI415</f>
        <v>50.5</v>
      </c>
      <c r="DB12" s="56" t="str">
        <f>'PC LIST'!B442</f>
        <v>PR14WSHWSW_F1</v>
      </c>
      <c r="DC12" s="57" t="str">
        <f>'PC LIST'!I442</f>
        <v>F1: Asset serviceability</v>
      </c>
      <c r="DD12" s="57" t="str">
        <f>'PC LIST'!O442</f>
        <v>category</v>
      </c>
      <c r="DE12" s="57" t="str">
        <f>'PC LIST'!P442</f>
        <v>Asset health indicator</v>
      </c>
      <c r="DF12" s="56" t="str">
        <f>'PC LIST'!Q442</f>
        <v>na</v>
      </c>
      <c r="DG12" s="56" t="str">
        <f>'PC LIST'!J442</f>
        <v>Under</v>
      </c>
      <c r="DH12" s="711" t="str">
        <f>'PC LIST'!CI442</f>
        <v>Stable</v>
      </c>
      <c r="DI12" s="56" t="str">
        <f>'PC LIST'!B473</f>
        <v>PR14WSXWSW_F2</v>
      </c>
      <c r="DJ12" s="57" t="str">
        <f>'PC LIST'!I473</f>
        <v>F2: Customer reported leaks fixed within a day</v>
      </c>
      <c r="DK12" s="57" t="str">
        <f>'PC LIST'!O473</f>
        <v>%</v>
      </c>
      <c r="DL12" s="57" t="str">
        <f>'PC LIST'!P473</f>
        <v>% customer reported leaks fixed within a day</v>
      </c>
      <c r="DM12" s="56">
        <f>'PC LIST'!Q473</f>
        <v>0</v>
      </c>
      <c r="DN12" s="56" t="str">
        <f>'PC LIST'!J473</f>
        <v>NFI</v>
      </c>
      <c r="DO12" s="56">
        <f>'PC LIST'!CI473</f>
        <v>80</v>
      </c>
      <c r="DP12" s="56" t="str">
        <f>'PC LIST'!B505</f>
        <v>PR14YKYWSW_WC2</v>
      </c>
      <c r="DQ12" s="57" t="str">
        <f>'PC LIST'!I505</f>
        <v>WC2: Solutions delivered by working with others (note: PC is part of a total commitment at Appointee level - see also SB3)</v>
      </c>
      <c r="DR12" s="57" t="str">
        <f>'PC LIST'!O505</f>
        <v>nr</v>
      </c>
      <c r="DS12" s="57" t="str">
        <f>'PC LIST'!P505</f>
        <v>No. of solutions delivered by working with others</v>
      </c>
      <c r="DT12" s="56">
        <f>'PC LIST'!Q505</f>
        <v>0</v>
      </c>
      <c r="DU12" s="56" t="str">
        <f>'PC LIST'!J505</f>
        <v>Out</v>
      </c>
      <c r="DV12" s="56">
        <f>'PC LIST'!CI505</f>
        <v>11</v>
      </c>
      <c r="DW12" s="56" t="str">
        <f>'PC LIST'!B539</f>
        <v>PR14HDDWSW_D1</v>
      </c>
      <c r="DX12" s="57" t="str">
        <f>'PC LIST'!I539</f>
        <v>D1: Customers’ perception based on market research</v>
      </c>
      <c r="DY12" s="57" t="str">
        <f>'PC LIST'!O539</f>
        <v>%</v>
      </c>
      <c r="DZ12" s="57" t="str">
        <f>'PC LIST'!P539</f>
        <v>% customer satisfaction</v>
      </c>
      <c r="EA12" s="56" t="str">
        <f>'PC LIST'!Q539</f>
        <v>na</v>
      </c>
      <c r="EB12" s="56" t="str">
        <f>'PC LIST'!J539</f>
        <v>NFI</v>
      </c>
      <c r="EC12" s="56">
        <f>'PC LIST'!CI539</f>
        <v>70</v>
      </c>
      <c r="ED12" s="56" t="str">
        <f>'PC LIST'!B585</f>
        <v>PR14SVEWSW_W-B6</v>
      </c>
      <c r="EE12" s="57" t="str">
        <f>'PC LIST'!I585</f>
        <v>W-B6: Asset stewardship - mains bursts</v>
      </c>
      <c r="EF12" s="57" t="str">
        <f>'PC LIST'!O585</f>
        <v>nr</v>
      </c>
      <c r="EG12" s="57" t="str">
        <f>'PC LIST'!P585</f>
        <v>No. of burst mains per year</v>
      </c>
      <c r="EH12" s="56">
        <f>'PC LIST'!Q585</f>
        <v>0</v>
      </c>
      <c r="EI12" s="56" t="str">
        <f>'PC LIST'!J585</f>
        <v>Under</v>
      </c>
      <c r="EJ12" s="56">
        <f>'PC LIST'!CI585</f>
        <v>6453</v>
      </c>
    </row>
    <row r="13" spans="1:140" ht="15.75" customHeight="1">
      <c r="A13" s="56" t="str">
        <f>'PC LIST'!B13</f>
        <v>PR14AFWWSW_W-C4</v>
      </c>
      <c r="B13" s="56" t="str">
        <f>'PC LIST'!I13</f>
        <v>W-C4: Planned work taking longer to complete than notified</v>
      </c>
      <c r="C13" s="56" t="str">
        <f>'PC LIST'!O13</f>
        <v>nr</v>
      </c>
      <c r="D13" s="56" t="str">
        <f>'PC LIST'!P13</f>
        <v>No. of GSS events</v>
      </c>
      <c r="E13" s="56">
        <f>'PC LIST'!Q13</f>
        <v>0</v>
      </c>
      <c r="F13" s="56" t="str">
        <f>'PC LIST'!J13</f>
        <v>NFI</v>
      </c>
      <c r="G13" s="56">
        <f>'PC LIST'!CI13</f>
        <v>477</v>
      </c>
      <c r="H13" s="56" t="str">
        <f>'PC LIST'!B26</f>
        <v>PR14ANHWSW_W-E1</v>
      </c>
      <c r="I13" s="57" t="str">
        <f>'PC LIST'!I26</f>
        <v>W-E1: Percentage of SSSIs (by area) with favourable status</v>
      </c>
      <c r="J13" s="57" t="str">
        <f>'PC LIST'!O26</f>
        <v>%</v>
      </c>
      <c r="K13" s="57" t="str">
        <f>'PC LIST'!P26</f>
        <v>% SSSIs with favourable status</v>
      </c>
      <c r="L13" s="56">
        <f>'PC LIST'!Q26</f>
        <v>0</v>
      </c>
      <c r="M13" s="56" t="str">
        <f>'PC LIST'!J26</f>
        <v>NFI</v>
      </c>
      <c r="N13" s="711">
        <f>'PC LIST'!CI26</f>
        <v>99</v>
      </c>
      <c r="O13" s="56" t="str">
        <f>'PC LIST'!B65</f>
        <v>PR14BRLWSW_H1</v>
      </c>
      <c r="P13" s="57" t="str">
        <f>'PC LIST'!I65</f>
        <v>H1: Total carbon emissions</v>
      </c>
      <c r="Q13" s="57" t="str">
        <f>'PC LIST'!O65</f>
        <v>nr</v>
      </c>
      <c r="R13" s="57" t="str">
        <f>'PC LIST'!P65</f>
        <v>kgCO2e per person</v>
      </c>
      <c r="S13" s="56">
        <f>'PC LIST'!Q65</f>
        <v>0</v>
      </c>
      <c r="T13" s="56" t="str">
        <f>'PC LIST'!J65</f>
        <v>NFI</v>
      </c>
      <c r="U13" s="711">
        <f>'PC LIST'!CI65</f>
        <v>22.81</v>
      </c>
      <c r="V13" s="56" t="str">
        <f>'PC LIST'!B86</f>
        <v>PR14DVWNHHR_F1</v>
      </c>
      <c r="W13" s="57" t="str">
        <f>'PC LIST'!I86</f>
        <v>F1: Non-household Service incentive mechanism (SIM)</v>
      </c>
      <c r="X13" s="57" t="str">
        <f>'PC LIST'!O86</f>
        <v>score</v>
      </c>
      <c r="Y13" s="57" t="str">
        <f>'PC LIST'!P86</f>
        <v>Service incentive mechanism (SIM) score</v>
      </c>
      <c r="Z13" s="56">
        <f>'PC LIST'!Q86</f>
        <v>1</v>
      </c>
      <c r="AA13" s="56" t="str">
        <f>'PC LIST'!J86</f>
        <v>Out &amp; under</v>
      </c>
      <c r="AB13" s="711" t="str">
        <f>'PC LIST'!CI86</f>
        <v/>
      </c>
      <c r="AC13" s="56" t="str">
        <f>'PC LIST'!B99</f>
        <v>PR14NESWSW_W-D2</v>
      </c>
      <c r="AD13" s="58" t="str">
        <f>'PC LIST'!I99</f>
        <v>W-D2: Service incentive mechanism (SIM)</v>
      </c>
      <c r="AE13" s="58" t="str">
        <f>'PC LIST'!O99</f>
        <v>score</v>
      </c>
      <c r="AF13" s="58" t="str">
        <f>'PC LIST'!P99</f>
        <v>Service incentive mechanism (SIM) score</v>
      </c>
      <c r="AG13" s="56">
        <f>'PC LIST'!Q99</f>
        <v>1</v>
      </c>
      <c r="AH13" s="56" t="str">
        <f>'PC LIST'!J99</f>
        <v>Out &amp; under</v>
      </c>
      <c r="AI13" s="56">
        <f>'PC LIST'!CI99</f>
        <v>85.9</v>
      </c>
      <c r="AJ13" s="56" t="str">
        <f>'PC LIST'!B143</f>
        <v>PR14PRTHHR_A1</v>
      </c>
      <c r="AK13" s="57" t="str">
        <f>'PC LIST'!I143</f>
        <v>A1: Service incentive mechanism (SIM)</v>
      </c>
      <c r="AL13" s="57" t="str">
        <f>'PC LIST'!O143</f>
        <v>text</v>
      </c>
      <c r="AM13" s="57" t="str">
        <f>'PC LIST'!P143</f>
        <v>Service incentive mechanism (SIM) score ranking</v>
      </c>
      <c r="AN13" s="56" t="str">
        <f>'PC LIST'!Q143</f>
        <v>na</v>
      </c>
      <c r="AO13" s="56" t="str">
        <f>'PC LIST'!J143</f>
        <v>Out &amp; under</v>
      </c>
      <c r="AP13" s="712">
        <f>'PC LIST'!CI143</f>
        <v>89.1</v>
      </c>
      <c r="AQ13" s="56" t="str">
        <f>'PC LIST'!B156</f>
        <v>PR14SBWWSW_D2</v>
      </c>
      <c r="AR13" s="57" t="str">
        <f>'PC LIST'!I156</f>
        <v>D2: Help support a natural healthy water environment (in addition to NEP statutory obligation work)</v>
      </c>
      <c r="AS13" s="57" t="str">
        <f>'PC LIST'!O156</f>
        <v>text</v>
      </c>
      <c r="AT13" s="57" t="str">
        <f>'PC LIST'!P156</f>
        <v>Annual review of environmental work</v>
      </c>
      <c r="AU13" s="56" t="str">
        <f>'PC LIST'!Q156</f>
        <v>na</v>
      </c>
      <c r="AV13" s="56" t="str">
        <f>'PC LIST'!J156</f>
        <v>NFI</v>
      </c>
      <c r="AW13" s="711" t="str">
        <f>'PC LIST'!CI156</f>
        <v>Met</v>
      </c>
      <c r="AX13" s="56" t="str">
        <f>'PC LIST'!B171</f>
        <v>PR14SESWSW_E2</v>
      </c>
      <c r="AY13" s="57" t="str">
        <f>'PC LIST'!I171</f>
        <v>E2: Per capita consumption (PCC), measured in litres per head per day (l/h/d)</v>
      </c>
      <c r="AZ13" s="57" t="str">
        <f>'PC LIST'!O171</f>
        <v>nr</v>
      </c>
      <c r="BA13" s="57" t="str">
        <f>'PC LIST'!P171</f>
        <v>Litres per head per day (l/h/d)</v>
      </c>
      <c r="BB13" s="56">
        <f>'PC LIST'!Q171</f>
        <v>1</v>
      </c>
      <c r="BC13" s="56" t="str">
        <f>'PC LIST'!J171</f>
        <v>Under</v>
      </c>
      <c r="BD13" s="712">
        <f>'PC LIST'!CI171</f>
        <v>162.62</v>
      </c>
      <c r="BE13" s="56" t="str">
        <f>'PC LIST'!B192</f>
        <v>PR14SEWWSW_G2</v>
      </c>
      <c r="BF13" s="57" t="str">
        <f>'PC LIST'!I192</f>
        <v>G2: Average time lost per property (measured in minutes, per property served)</v>
      </c>
      <c r="BG13" s="57" t="str">
        <f>'PC LIST'!O192</f>
        <v>time</v>
      </c>
      <c r="BH13" s="57" t="str">
        <f>'PC LIST'!P192</f>
        <v>Minutes / property / year</v>
      </c>
      <c r="BI13" s="56">
        <f>'PC LIST'!Q192</f>
        <v>1</v>
      </c>
      <c r="BJ13" s="56" t="str">
        <f>'PC LIST'!J192</f>
        <v>Out &amp; under</v>
      </c>
      <c r="BK13" s="56">
        <f>'PC LIST'!CI192</f>
        <v>14.2</v>
      </c>
      <c r="BL13" s="56" t="str">
        <f>'PC LIST'!B226</f>
        <v>PR14SRNWSWW_1a</v>
      </c>
      <c r="BM13" s="57" t="str">
        <f>'PC LIST'!I226</f>
        <v>1a: Category 3 pollution incidents (including transferred assets and excluding private pumping stations)</v>
      </c>
      <c r="BN13" s="57" t="str">
        <f>'PC LIST'!O226</f>
        <v>nr</v>
      </c>
      <c r="BO13" s="57" t="str">
        <f>'PC LIST'!P226</f>
        <v>No. of pollution incidents (cat 3)</v>
      </c>
      <c r="BP13" s="56">
        <f>'PC LIST'!Q226</f>
        <v>0</v>
      </c>
      <c r="BQ13" s="56" t="str">
        <f>'PC LIST'!J226</f>
        <v>Under</v>
      </c>
      <c r="BR13" s="56">
        <f>'PC LIST'!CI226</f>
        <v>144</v>
      </c>
      <c r="BS13" s="56" t="str">
        <f>'PC LIST'!B259</f>
        <v>PR14SSCWSW_5.1</v>
      </c>
      <c r="BT13" s="57" t="str">
        <f>'PC LIST'!I259</f>
        <v>5.1: Independent customer surveys of value for money and affordability (combined company)</v>
      </c>
      <c r="BU13" s="57" t="str">
        <f>'PC LIST'!O259</f>
        <v>%</v>
      </c>
      <c r="BV13" s="57" t="str">
        <f>'PC LIST'!P259</f>
        <v>% customers satisfied with vfm &amp; affordability</v>
      </c>
      <c r="BW13" s="56">
        <f>'PC LIST'!Q259</f>
        <v>0</v>
      </c>
      <c r="BX13" s="56" t="str">
        <f>'PC LIST'!J259</f>
        <v>NFI</v>
      </c>
      <c r="BY13" s="56">
        <f>'PC LIST'!CI259</f>
        <v>95</v>
      </c>
      <c r="BZ13" s="56" t="str">
        <f>'PC LIST'!B274</f>
        <v>PR14SVTWSW_W-B7</v>
      </c>
      <c r="CA13" s="57" t="str">
        <f>'PC LIST'!I274</f>
        <v>W-B7: Customers at risk of low pressure</v>
      </c>
      <c r="CB13" s="57" t="str">
        <f>'PC LIST'!O274</f>
        <v>nr</v>
      </c>
      <c r="CC13" s="57" t="str">
        <f>'PC LIST'!P274</f>
        <v>No. customers at risk of low pressure</v>
      </c>
      <c r="CD13" s="56">
        <f>'PC LIST'!Q274</f>
        <v>0</v>
      </c>
      <c r="CE13" s="56" t="str">
        <f>'PC LIST'!J274</f>
        <v>Out &amp; under</v>
      </c>
      <c r="CF13" s="712" t="str">
        <f>'PC LIST'!CI274</f>
        <v/>
      </c>
      <c r="CG13" s="56" t="str">
        <f>'PC LIST'!B319</f>
        <v>PR14SWTWSW_W-C1</v>
      </c>
      <c r="CH13" s="59" t="str">
        <f>'PC LIST'!I319</f>
        <v>W-C1: Supplies interrupted due to flooded South West Water sites</v>
      </c>
      <c r="CI13" s="59" t="str">
        <f>'PC LIST'!O319</f>
        <v>nr</v>
      </c>
      <c r="CJ13" s="59" t="str">
        <f>'PC LIST'!P319</f>
        <v>No. of events over AMP6</v>
      </c>
      <c r="CK13" s="56">
        <f>'PC LIST'!Q319</f>
        <v>0</v>
      </c>
      <c r="CL13" s="56" t="str">
        <f>'PC LIST'!J319</f>
        <v>Out &amp; under</v>
      </c>
      <c r="CM13" s="711">
        <f>'PC LIST'!CI319</f>
        <v>0</v>
      </c>
      <c r="CN13" s="56" t="str">
        <f>'PC LIST'!B361</f>
        <v>PR14TMSWSW_WB6</v>
      </c>
      <c r="CO13" s="57" t="str">
        <f>'PC LIST'!I361</f>
        <v>WB6: Security of Supply Index - Ofwat KPI</v>
      </c>
      <c r="CP13" s="57" t="str">
        <f>'PC LIST'!O361</f>
        <v>score</v>
      </c>
      <c r="CQ13" s="57" t="str">
        <f>'PC LIST'!P361</f>
        <v>Security of Supply Index (SOSI)</v>
      </c>
      <c r="CR13" s="56">
        <f>'PC LIST'!Q361</f>
        <v>0</v>
      </c>
      <c r="CS13" s="56" t="str">
        <f>'PC LIST'!J361</f>
        <v>Under</v>
      </c>
      <c r="CT13" s="56">
        <f>'PC LIST'!CI361</f>
        <v>98</v>
      </c>
      <c r="CU13" s="56" t="str">
        <f>'PC LIST'!B416</f>
        <v>PR14UUWSW_D1</v>
      </c>
      <c r="CV13" s="57" t="str">
        <f>'PC LIST'!I416</f>
        <v>D1: Delivering our commitments to developers, local authorities and highway authorities</v>
      </c>
      <c r="CW13" s="57" t="str">
        <f>'PC LIST'!O416</f>
        <v>%</v>
      </c>
      <c r="CX13" s="57" t="str">
        <f>'PC LIST'!P416</f>
        <v>% of jobs completed within response times</v>
      </c>
      <c r="CY13" s="56">
        <f>'PC LIST'!Q416</f>
        <v>0</v>
      </c>
      <c r="CZ13" s="56" t="str">
        <f>'PC LIST'!J416</f>
        <v>NFI</v>
      </c>
      <c r="DA13" s="56">
        <f>'PC LIST'!CI416</f>
        <v>89.03</v>
      </c>
      <c r="DB13" s="56" t="str">
        <f>'PC LIST'!B443</f>
        <v>PR14WSHWSW_F2</v>
      </c>
      <c r="DC13" s="57" t="str">
        <f>'PC LIST'!I443</f>
        <v>F2: Leakage</v>
      </c>
      <c r="DD13" s="57" t="str">
        <f>'PC LIST'!O443</f>
        <v>nr</v>
      </c>
      <c r="DE13" s="57" t="str">
        <f>'PC LIST'!P443</f>
        <v>Megalitres per day (Ml/d)</v>
      </c>
      <c r="DF13" s="56">
        <f>'PC LIST'!Q443</f>
        <v>0</v>
      </c>
      <c r="DG13" s="56" t="str">
        <f>'PC LIST'!J443</f>
        <v>Out &amp; under</v>
      </c>
      <c r="DH13" s="711">
        <f>'PC LIST'!CI443</f>
        <v>170</v>
      </c>
      <c r="DI13" s="56" t="str">
        <f>'PC LIST'!B474</f>
        <v>PR14WSXWSW_G1</v>
      </c>
      <c r="DJ13" s="57" t="str">
        <f>'PC LIST'!I474</f>
        <v>G1: Customer contacts about drinking water quality</v>
      </c>
      <c r="DK13" s="57" t="str">
        <f>'PC LIST'!O474</f>
        <v>nr</v>
      </c>
      <c r="DL13" s="57" t="str">
        <f>'PC LIST'!P474</f>
        <v>No. contacts in the year about drinking water quality</v>
      </c>
      <c r="DM13" s="56">
        <f>'PC LIST'!Q474</f>
        <v>0</v>
      </c>
      <c r="DN13" s="56" t="str">
        <f>'PC LIST'!J474</f>
        <v>Out &amp; under</v>
      </c>
      <c r="DO13" s="56">
        <f>'PC LIST'!CI474</f>
        <v>2010</v>
      </c>
      <c r="DP13" s="56" t="str">
        <f>'PC LIST'!B506</f>
        <v>PR14YKYWSW_WC3</v>
      </c>
      <c r="DQ13" s="57" t="str">
        <f>'PC LIST'!I506</f>
        <v>WC3: Amount of land conserved and enhanced (total cumulative area) (note: PC is part of a total commitment at Appointee level - see also SB5)</v>
      </c>
      <c r="DR13" s="57" t="str">
        <f>'PC LIST'!O506</f>
        <v>nr</v>
      </c>
      <c r="DS13" s="57" t="str">
        <f>'PC LIST'!P506</f>
        <v>No. of hectares of land conserved &amp; enhanced (cumulative)</v>
      </c>
      <c r="DT13" s="56">
        <f>'PC LIST'!Q506</f>
        <v>0</v>
      </c>
      <c r="DU13" s="56" t="str">
        <f>'PC LIST'!J506</f>
        <v>Out &amp; under</v>
      </c>
      <c r="DV13" s="56">
        <f>'PC LIST'!CI506</f>
        <v>11524</v>
      </c>
      <c r="DW13" s="56" t="str">
        <f>'PC LIST'!B540</f>
        <v>PR14HDDNHHR_F1</v>
      </c>
      <c r="DX13" s="57" t="str">
        <f>'PC LIST'!I540</f>
        <v>F1: Non-household Service incentive mechanism (SIM)</v>
      </c>
      <c r="DY13" s="57" t="str">
        <f>'PC LIST'!O540</f>
        <v>score</v>
      </c>
      <c r="DZ13" s="57" t="str">
        <f>'PC LIST'!P540</f>
        <v>Service incentive mechanism (SIM) score</v>
      </c>
      <c r="EA13" s="56">
        <f>'PC LIST'!Q540</f>
        <v>1</v>
      </c>
      <c r="EB13" s="56" t="str">
        <f>'PC LIST'!J540</f>
        <v>Out &amp; under</v>
      </c>
      <c r="EC13" s="56">
        <f>'PC LIST'!CI540</f>
        <v>83.86</v>
      </c>
      <c r="ED13" s="56" t="str">
        <f>'PC LIST'!B586</f>
        <v>PR14SVEWSW_W-B7</v>
      </c>
      <c r="EE13" s="57" t="str">
        <f>'PC LIST'!I586</f>
        <v>W-B7: Customers at risk of low pressure</v>
      </c>
      <c r="EF13" s="57" t="str">
        <f>'PC LIST'!O586</f>
        <v>nr</v>
      </c>
      <c r="EG13" s="57" t="str">
        <f>'PC LIST'!P586</f>
        <v>No. customers at risk of low pressure</v>
      </c>
      <c r="EH13" s="56">
        <f>'PC LIST'!Q586</f>
        <v>0</v>
      </c>
      <c r="EI13" s="56" t="str">
        <f>'PC LIST'!J586</f>
        <v>Out &amp; under</v>
      </c>
      <c r="EJ13" s="56">
        <f>'PC LIST'!CI586</f>
        <v>158</v>
      </c>
    </row>
    <row r="14" spans="1:140" ht="15.75" customHeight="1">
      <c r="A14" s="56" t="str">
        <f>'PC LIST'!B14</f>
        <v>PR14AFWHHR_R-A1</v>
      </c>
      <c r="B14" s="56" t="str">
        <f>'PC LIST'!I14</f>
        <v>R-A1: SIM service score</v>
      </c>
      <c r="C14" s="56" t="str">
        <f>'PC LIST'!O14</f>
        <v>score</v>
      </c>
      <c r="D14" s="56" t="str">
        <f>'PC LIST'!P14</f>
        <v>Service incentive mechanism (SIM) score</v>
      </c>
      <c r="E14" s="56">
        <f>'PC LIST'!Q14</f>
        <v>2</v>
      </c>
      <c r="F14" s="56" t="str">
        <f>'PC LIST'!J14</f>
        <v>Out &amp; under</v>
      </c>
      <c r="G14" s="56">
        <f>'PC LIST'!CI14</f>
        <v>81.2</v>
      </c>
      <c r="H14" s="56" t="str">
        <f>'PC LIST'!B27</f>
        <v>PR14ANHWSW_W-E2</v>
      </c>
      <c r="I14" s="57" t="str">
        <f>'PC LIST'!I27</f>
        <v>W-E2: Environmental compliance (water)</v>
      </c>
      <c r="J14" s="57" t="str">
        <f>'PC LIST'!O27</f>
        <v>nr</v>
      </c>
      <c r="K14" s="57" t="str">
        <f>'PC LIST'!P27</f>
        <v>No. of obligations delivered</v>
      </c>
      <c r="L14" s="56">
        <f>'PC LIST'!Q27</f>
        <v>0</v>
      </c>
      <c r="M14" s="56" t="str">
        <f>'PC LIST'!J27</f>
        <v>Under</v>
      </c>
      <c r="N14" s="711">
        <f>'PC LIST'!CI27</f>
        <v>5</v>
      </c>
      <c r="O14" s="56" t="str">
        <f>'PC LIST'!B66</f>
        <v>PR14BRLWSW_H2</v>
      </c>
      <c r="P14" s="57" t="str">
        <f>'PC LIST'!I66</f>
        <v>H2: Raw water quality of sources</v>
      </c>
      <c r="Q14" s="57" t="str">
        <f>'PC LIST'!O66</f>
        <v>category</v>
      </c>
      <c r="R14" s="57" t="str">
        <f>'PC LIST'!P66</f>
        <v>Raw water quality indicator
(reported as deteriorating, marginal, stable or improving)</v>
      </c>
      <c r="S14" s="56">
        <f>'PC LIST'!Q66</f>
        <v>0</v>
      </c>
      <c r="T14" s="56" t="str">
        <f>'PC LIST'!J66</f>
        <v>NFI</v>
      </c>
      <c r="U14" s="711">
        <f>'PC LIST'!CI66</f>
        <v>-14</v>
      </c>
      <c r="V14" s="56" t="str">
        <f>'PC LIST'!B87</f>
        <v>PR14DVWHHR_E1</v>
      </c>
      <c r="W14" s="57" t="str">
        <f>'PC LIST'!I87</f>
        <v>E1: Per capita consumption and water efficiency</v>
      </c>
      <c r="X14" s="57" t="str">
        <f>'PC LIST'!O87</f>
        <v>nr</v>
      </c>
      <c r="Y14" s="57" t="str">
        <f>'PC LIST'!P87</f>
        <v>Litres per capita per day</v>
      </c>
      <c r="Z14" s="56">
        <f>'PC LIST'!Q87</f>
        <v>2</v>
      </c>
      <c r="AA14" s="56" t="str">
        <f>'PC LIST'!J87</f>
        <v>NFI</v>
      </c>
      <c r="AB14" s="711" t="str">
        <f>'PC LIST'!CI87</f>
        <v/>
      </c>
      <c r="AC14" s="56" t="str">
        <f>'PC LIST'!B100</f>
        <v>PR14NESWSW_W-D3</v>
      </c>
      <c r="AD14" s="58" t="str">
        <f>'PC LIST'!I100</f>
        <v>W-D3: Domestic customer satisfaction, net promoter score</v>
      </c>
      <c r="AE14" s="58" t="str">
        <f>'PC LIST'!O100</f>
        <v>%</v>
      </c>
      <c r="AF14" s="58" t="str">
        <f>'PC LIST'!P100</f>
        <v>% customer satisfaction</v>
      </c>
      <c r="AG14" s="56">
        <f>'PC LIST'!Q100</f>
        <v>0</v>
      </c>
      <c r="AH14" s="56" t="str">
        <f>'PC LIST'!J100</f>
        <v>NFI</v>
      </c>
      <c r="AI14" s="56">
        <f>'PC LIST'!CI100</f>
        <v>43</v>
      </c>
      <c r="AJ14" s="56" t="str">
        <f>'PC LIST'!B144</f>
        <v>PR14PRTHHR_B1</v>
      </c>
      <c r="AK14" s="57" t="str">
        <f>'PC LIST'!I144</f>
        <v>B1: Reducing per capita consumption (PCC)</v>
      </c>
      <c r="AL14" s="57" t="str">
        <f>'PC LIST'!O144</f>
        <v>nr</v>
      </c>
      <c r="AM14" s="57" t="str">
        <f>'PC LIST'!P144</f>
        <v>Litres per head per day (l/h/d)</v>
      </c>
      <c r="AN14" s="56">
        <f>'PC LIST'!Q144</f>
        <v>2</v>
      </c>
      <c r="AO14" s="56" t="str">
        <f>'PC LIST'!J144</f>
        <v>Under</v>
      </c>
      <c r="AP14" s="712">
        <f>'PC LIST'!CI144</f>
        <v>152.38999999999999</v>
      </c>
      <c r="AQ14" s="56" t="str">
        <f>'PC LIST'!B157</f>
        <v>PR14SBWWSW_E1</v>
      </c>
      <c r="AR14" s="57" t="str">
        <f>'PC LIST'!I157</f>
        <v>E1: Contribute to our community (increase educational visits to schools, and working days for volunteer and charity work)</v>
      </c>
      <c r="AS14" s="57" t="str">
        <f>'PC LIST'!O157</f>
        <v>nr</v>
      </c>
      <c r="AT14" s="57" t="str">
        <f>'PC LIST'!P157</f>
        <v>No. of working days</v>
      </c>
      <c r="AU14" s="56">
        <f>'PC LIST'!Q157</f>
        <v>0</v>
      </c>
      <c r="AV14" s="56" t="str">
        <f>'PC LIST'!J157</f>
        <v>NFI</v>
      </c>
      <c r="AW14" s="711">
        <f>'PC LIST'!CI157</f>
        <v>44</v>
      </c>
      <c r="AX14" s="56" t="str">
        <f>'PC LIST'!B172</f>
        <v>PR14SESWSW_E3</v>
      </c>
      <c r="AY14" s="57" t="str">
        <f>'PC LIST'!I172</f>
        <v>E3: The number of children and adults engaged in environmental education activities</v>
      </c>
      <c r="AZ14" s="57" t="str">
        <f>'PC LIST'!O172</f>
        <v>nr</v>
      </c>
      <c r="BA14" s="57" t="str">
        <f>'PC LIST'!P172</f>
        <v>No. people the company engages with</v>
      </c>
      <c r="BB14" s="56">
        <f>'PC LIST'!Q172</f>
        <v>0</v>
      </c>
      <c r="BC14" s="56" t="str">
        <f>'PC LIST'!J172</f>
        <v>NFI</v>
      </c>
      <c r="BD14" s="712">
        <f>'PC LIST'!CI172</f>
        <v>11798</v>
      </c>
      <c r="BE14" s="56" t="str">
        <f>'PC LIST'!B193</f>
        <v>PR14SEWWSW_H1</v>
      </c>
      <c r="BF14" s="57" t="str">
        <f>'PC LIST'!I193</f>
        <v>H1: Customer satisfaction - frequency of water use restrictions</v>
      </c>
      <c r="BG14" s="57" t="str">
        <f>'PC LIST'!O193</f>
        <v>score</v>
      </c>
      <c r="BH14" s="57" t="str">
        <f>'PC LIST'!P193</f>
        <v>Customer satisfaction score out of 5</v>
      </c>
      <c r="BI14" s="56">
        <f>'PC LIST'!Q193</f>
        <v>1</v>
      </c>
      <c r="BJ14" s="56" t="str">
        <f>'PC LIST'!J193</f>
        <v>Out &amp; under</v>
      </c>
      <c r="BK14" s="56">
        <f>'PC LIST'!CI193</f>
        <v>4.4000000000000004</v>
      </c>
      <c r="BL14" s="56" t="str">
        <f>'PC LIST'!B227</f>
        <v>PR14SRNWSWW_2</v>
      </c>
      <c r="BM14" s="57" t="str">
        <f>'PC LIST'!I227</f>
        <v>2: Internal flooding incidents</v>
      </c>
      <c r="BN14" s="57" t="str">
        <f>'PC LIST'!O227</f>
        <v>nr</v>
      </c>
      <c r="BO14" s="57" t="str">
        <f>'PC LIST'!P227</f>
        <v>No. of internal sewer flooding incidents</v>
      </c>
      <c r="BP14" s="56">
        <f>'PC LIST'!Q227</f>
        <v>0</v>
      </c>
      <c r="BQ14" s="56" t="str">
        <f>'PC LIST'!J227</f>
        <v>Out &amp; under</v>
      </c>
      <c r="BR14" s="56">
        <f>'PC LIST'!CI227</f>
        <v>389</v>
      </c>
      <c r="BS14" s="56" t="str">
        <f>'PC LIST'!B260</f>
        <v>PR14SSCWSW_5.2</v>
      </c>
      <c r="BT14" s="57" t="str">
        <f>'PC LIST'!I260</f>
        <v>5.2: Support for customers in debt (combined company)</v>
      </c>
      <c r="BU14" s="57" t="str">
        <f>'PC LIST'!O260</f>
        <v>nr</v>
      </c>
      <c r="BV14" s="57" t="str">
        <f>'PC LIST'!P260</f>
        <v>No. of customers engaged with on debt</v>
      </c>
      <c r="BW14" s="56">
        <f>'PC LIST'!Q260</f>
        <v>0</v>
      </c>
      <c r="BX14" s="56" t="str">
        <f>'PC LIST'!J260</f>
        <v>NFI</v>
      </c>
      <c r="BY14" s="56">
        <f>'PC LIST'!CI260</f>
        <v>30838</v>
      </c>
      <c r="BZ14" s="56" t="str">
        <f>'PC LIST'!B275</f>
        <v>PR14SVTWSW_W-B8</v>
      </c>
      <c r="CA14" s="57" t="str">
        <f>'PC LIST'!I275</f>
        <v>W-B8: Restrictions on water use</v>
      </c>
      <c r="CB14" s="57" t="str">
        <f>'PC LIST'!O275</f>
        <v>nr</v>
      </c>
      <c r="CC14" s="57" t="str">
        <f>'PC LIST'!P275</f>
        <v>No. water restrictions in five-year period</v>
      </c>
      <c r="CD14" s="56">
        <f>'PC LIST'!Q275</f>
        <v>0</v>
      </c>
      <c r="CE14" s="56" t="str">
        <f>'PC LIST'!J275</f>
        <v>Out &amp; under</v>
      </c>
      <c r="CF14" s="712" t="str">
        <f>'PC LIST'!CI275</f>
        <v/>
      </c>
      <c r="CG14" s="56" t="str">
        <f>'PC LIST'!B320</f>
        <v>PR14SWTWSW_W-D1</v>
      </c>
      <c r="CH14" s="59" t="str">
        <f>'PC LIST'!I320</f>
        <v>W-D1: Operational customer contacts resolved first time (%)</v>
      </c>
      <c r="CI14" s="59" t="str">
        <f>'PC LIST'!O320</f>
        <v>%</v>
      </c>
      <c r="CJ14" s="59" t="str">
        <f>'PC LIST'!P320</f>
        <v>% customer contacts resolved 1st time</v>
      </c>
      <c r="CK14" s="56">
        <f>'PC LIST'!Q320</f>
        <v>1</v>
      </c>
      <c r="CL14" s="56" t="str">
        <f>'PC LIST'!J320</f>
        <v>Out &amp; under</v>
      </c>
      <c r="CM14" s="711">
        <f>'PC LIST'!CI320</f>
        <v>95.4</v>
      </c>
      <c r="CN14" s="56" t="str">
        <f>'PC LIST'!B362</f>
        <v>PR14TMSWSW_WB7</v>
      </c>
      <c r="CO14" s="57" t="str">
        <f>'PC LIST'!I362</f>
        <v>WB7: Compliance with SEMD advice notes (with or without derogation)</v>
      </c>
      <c r="CP14" s="57" t="str">
        <f>'PC LIST'!O362</f>
        <v>%</v>
      </c>
      <c r="CQ14" s="57" t="str">
        <f>'PC LIST'!P362</f>
        <v>% compliance with SEMD advice notes</v>
      </c>
      <c r="CR14" s="56">
        <f>'PC LIST'!Q362</f>
        <v>0</v>
      </c>
      <c r="CS14" s="56" t="str">
        <f>'PC LIST'!J362</f>
        <v>Under</v>
      </c>
      <c r="CT14" s="56">
        <f>'PC LIST'!CI362</f>
        <v>42</v>
      </c>
      <c r="CU14" s="56" t="str">
        <f>'PC LIST'!B417</f>
        <v>PR14UUWSW_E1</v>
      </c>
      <c r="CV14" s="57" t="str">
        <f>'PC LIST'!I417</f>
        <v>E1: Number of free water meters installed</v>
      </c>
      <c r="CW14" s="57" t="str">
        <f>'PC LIST'!O417</f>
        <v>nr</v>
      </c>
      <c r="CX14" s="57" t="str">
        <f>'PC LIST'!P417</f>
        <v>No. of free water meters installed per year</v>
      </c>
      <c r="CY14" s="56">
        <f>'PC LIST'!Q417</f>
        <v>0</v>
      </c>
      <c r="CZ14" s="56" t="str">
        <f>'PC LIST'!J417</f>
        <v>NFI</v>
      </c>
      <c r="DA14" s="56">
        <f>'PC LIST'!CI417</f>
        <v>32069</v>
      </c>
      <c r="DB14" s="56" t="str">
        <f>'PC LIST'!B444</f>
        <v>PR14WSHWSW_F3</v>
      </c>
      <c r="DC14" s="57" t="str">
        <f>'PC LIST'!I444</f>
        <v>F3: Asset resilience - % of critical assets that are resilient against a set of criteria</v>
      </c>
      <c r="DD14" s="57" t="str">
        <f>'PC LIST'!O444</f>
        <v>%</v>
      </c>
      <c r="DE14" s="57" t="str">
        <f>'PC LIST'!P444</f>
        <v>% critical assets that are resilient against a set of criteria</v>
      </c>
      <c r="DF14" s="56">
        <f>'PC LIST'!Q444</f>
        <v>0</v>
      </c>
      <c r="DG14" s="56" t="str">
        <f>'PC LIST'!J444</f>
        <v>Under</v>
      </c>
      <c r="DH14" s="711">
        <f>'PC LIST'!CI444</f>
        <v>90</v>
      </c>
      <c r="DI14" s="56" t="str">
        <f>'PC LIST'!B475</f>
        <v>PR14WSXWSW_G2</v>
      </c>
      <c r="DJ14" s="57" t="str">
        <f>'PC LIST'!I475</f>
        <v>G2: Compliance with drinking water standards (MZC)</v>
      </c>
      <c r="DK14" s="57" t="str">
        <f>'PC LIST'!O475</f>
        <v>%</v>
      </c>
      <c r="DL14" s="57" t="str">
        <f>'PC LIST'!P475</f>
        <v>Mean zonal compliance (%)</v>
      </c>
      <c r="DM14" s="56">
        <f>'PC LIST'!Q475</f>
        <v>2</v>
      </c>
      <c r="DN14" s="56" t="str">
        <f>'PC LIST'!J475</f>
        <v>Under</v>
      </c>
      <c r="DO14" s="56">
        <f>'PC LIST'!CI475</f>
        <v>99.96</v>
      </c>
      <c r="DP14" s="56" t="str">
        <f>'PC LIST'!B507</f>
        <v>PR14YKYWSW_WC4</v>
      </c>
      <c r="DQ14" s="57" t="str">
        <f>'PC LIST'!I507</f>
        <v>WC4: Recreational visitor satisfaction</v>
      </c>
      <c r="DR14" s="57" t="str">
        <f>'PC LIST'!O507</f>
        <v>text</v>
      </c>
      <c r="DS14" s="57" t="str">
        <f>'PC LIST'!P507</f>
        <v>Assessment of customer satisfaction (qualitative survey)</v>
      </c>
      <c r="DT14" s="56" t="str">
        <f>'PC LIST'!Q507</f>
        <v>na</v>
      </c>
      <c r="DU14" s="56" t="str">
        <f>'PC LIST'!J507</f>
        <v>NFI</v>
      </c>
      <c r="DV14" s="56" t="str">
        <f>'PC LIST'!CI507</f>
        <v>Published</v>
      </c>
      <c r="DW14" s="56" t="str">
        <f>'PC LIST'!B541</f>
        <v>PR14HDDHHR_E1</v>
      </c>
      <c r="DX14" s="57" t="str">
        <f>'PC LIST'!I541</f>
        <v>E1: Per capita consumption and water efficiency</v>
      </c>
      <c r="DY14" s="57" t="str">
        <f>'PC LIST'!O541</f>
        <v>nr</v>
      </c>
      <c r="DZ14" s="57" t="str">
        <f>'PC LIST'!P541</f>
        <v>Litres per capita per day</v>
      </c>
      <c r="EA14" s="56">
        <f>'PC LIST'!Q541</f>
        <v>2</v>
      </c>
      <c r="EB14" s="56" t="str">
        <f>'PC LIST'!J541</f>
        <v>NFI</v>
      </c>
      <c r="EC14" s="56">
        <f>'PC LIST'!CI541</f>
        <v>140.40690574617878</v>
      </c>
      <c r="ED14" s="56" t="str">
        <f>'PC LIST'!B587</f>
        <v>PR14SVEWSW_W-B8</v>
      </c>
      <c r="EE14" s="57" t="str">
        <f>'PC LIST'!I587</f>
        <v>W-B8: Restrictions on water use</v>
      </c>
      <c r="EF14" s="57" t="str">
        <f>'PC LIST'!O587</f>
        <v>nr</v>
      </c>
      <c r="EG14" s="57" t="str">
        <f>'PC LIST'!P587</f>
        <v>No. water restrictions in five-year period</v>
      </c>
      <c r="EH14" s="56">
        <f>'PC LIST'!Q587</f>
        <v>0</v>
      </c>
      <c r="EI14" s="56" t="str">
        <f>'PC LIST'!J587</f>
        <v>Out &amp; under</v>
      </c>
      <c r="EJ14" s="56">
        <f>'PC LIST'!CI587</f>
        <v>0</v>
      </c>
    </row>
    <row r="15" spans="1:140" ht="15.75" customHeight="1">
      <c r="A15" s="56" t="str">
        <f>'PC LIST'!B15</f>
        <v>PR14AFWHHR_R-A2</v>
      </c>
      <c r="B15" s="56" t="str">
        <f>'PC LIST'!I15</f>
        <v>R-A2: Value for money survey</v>
      </c>
      <c r="C15" s="56" t="str">
        <f>'PC LIST'!O15</f>
        <v>score</v>
      </c>
      <c r="D15" s="56" t="str">
        <f>'PC LIST'!P15</f>
        <v>Score out of 100</v>
      </c>
      <c r="E15" s="56">
        <f>'PC LIST'!Q15</f>
        <v>1</v>
      </c>
      <c r="F15" s="56" t="str">
        <f>'PC LIST'!J15</f>
        <v>NFI</v>
      </c>
      <c r="G15" s="56">
        <f>'PC LIST'!CI15</f>
        <v>68.3</v>
      </c>
      <c r="H15" s="56" t="str">
        <f>'PC LIST'!B28</f>
        <v>PR14ANHWSW_W-F1</v>
      </c>
      <c r="I15" s="57" t="str">
        <f>'PC LIST'!I28</f>
        <v>W-F1: Operational carbon (% reduction from 2015 baseline)</v>
      </c>
      <c r="J15" s="57" t="str">
        <f>'PC LIST'!O28</f>
        <v>%</v>
      </c>
      <c r="K15" s="57" t="str">
        <f>'PC LIST'!P28</f>
        <v>% reduction from 2015 baseline</v>
      </c>
      <c r="L15" s="56">
        <f>'PC LIST'!Q28</f>
        <v>0</v>
      </c>
      <c r="M15" s="56" t="str">
        <f>'PC LIST'!J28</f>
        <v>NFI</v>
      </c>
      <c r="N15" s="711">
        <f>'PC LIST'!CI28</f>
        <v>29</v>
      </c>
      <c r="O15" s="56" t="str">
        <f>'PC LIST'!B67</f>
        <v>PR14BRLWSW_H3</v>
      </c>
      <c r="P15" s="57" t="str">
        <f>'PC LIST'!I67</f>
        <v>H3: Biodiversity index</v>
      </c>
      <c r="Q15" s="57" t="str">
        <f>'PC LIST'!O67</f>
        <v>score</v>
      </c>
      <c r="R15" s="57" t="str">
        <f>'PC LIST'!P67</f>
        <v>Biodiversity index</v>
      </c>
      <c r="S15" s="56">
        <f>'PC LIST'!Q67</f>
        <v>0</v>
      </c>
      <c r="T15" s="56" t="str">
        <f>'PC LIST'!J67</f>
        <v>NFI</v>
      </c>
      <c r="U15" s="711">
        <f>'PC LIST'!CI67</f>
        <v>17668</v>
      </c>
      <c r="V15" s="56" t="str">
        <f>'PC LIST'!B88</f>
        <v>PR14DVWHHR_E2</v>
      </c>
      <c r="W15" s="57" t="str">
        <f>'PC LIST'!I88</f>
        <v>E2: Service incentive mechanism (SIM)</v>
      </c>
      <c r="X15" s="57" t="str">
        <f>'PC LIST'!O88</f>
        <v>score</v>
      </c>
      <c r="Y15" s="57" t="str">
        <f>'PC LIST'!P88</f>
        <v>Service incentive mechanism (SIM) score</v>
      </c>
      <c r="Z15" s="56">
        <f>'PC LIST'!Q88</f>
        <v>1</v>
      </c>
      <c r="AA15" s="56" t="str">
        <f>'PC LIST'!J88</f>
        <v>Out &amp; under</v>
      </c>
      <c r="AB15" s="711" t="str">
        <f>'PC LIST'!CI88</f>
        <v/>
      </c>
      <c r="AC15" s="56" t="str">
        <f>'PC LIST'!B101</f>
        <v>PR14NESWSW_W-E1</v>
      </c>
      <c r="AD15" s="58" t="str">
        <f>'PC LIST'!I101</f>
        <v>W-E1: NWL independent survey on keeping customers informed</v>
      </c>
      <c r="AE15" s="58" t="str">
        <f>'PC LIST'!O101</f>
        <v>%</v>
      </c>
      <c r="AF15" s="58" t="str">
        <f>'PC LIST'!P101</f>
        <v>% customer satisfaction</v>
      </c>
      <c r="AG15" s="56">
        <f>'PC LIST'!Q101</f>
        <v>0</v>
      </c>
      <c r="AH15" s="56" t="str">
        <f>'PC LIST'!J101</f>
        <v>NFI</v>
      </c>
      <c r="AI15" s="56">
        <f>'PC LIST'!CI101</f>
        <v>93</v>
      </c>
      <c r="AJ15" s="56" t="str">
        <f>'PC LIST'!B145</f>
        <v>PR14PRTHHR_C1</v>
      </c>
      <c r="AK15" s="57" t="str">
        <f>'PC LIST'!I145</f>
        <v>C1: Survey of developers</v>
      </c>
      <c r="AL15" s="57" t="str">
        <f>'PC LIST'!O145</f>
        <v>%</v>
      </c>
      <c r="AM15" s="57" t="str">
        <f>'PC LIST'!P145</f>
        <v>Satisfaction rate (%)</v>
      </c>
      <c r="AN15" s="56">
        <f>'PC LIST'!Q145</f>
        <v>0</v>
      </c>
      <c r="AO15" s="56" t="str">
        <f>'PC LIST'!J145</f>
        <v>NFI</v>
      </c>
      <c r="AP15" s="712">
        <f>'PC LIST'!CI145</f>
        <v>95</v>
      </c>
      <c r="AQ15" s="56" t="str">
        <f>'PC LIST'!B158</f>
        <v>PR14SBWHHR_A1</v>
      </c>
      <c r="AR15" s="57" t="str">
        <f>'PC LIST'!I158</f>
        <v>A1: Service incentive mechanism (SIM)</v>
      </c>
      <c r="AS15" s="57" t="str">
        <f>'PC LIST'!O158</f>
        <v>score</v>
      </c>
      <c r="AT15" s="57" t="str">
        <f>'PC LIST'!P158</f>
        <v>Service incentive mechanism (SIM) score (average)</v>
      </c>
      <c r="AU15" s="56">
        <f>'PC LIST'!Q158</f>
        <v>1</v>
      </c>
      <c r="AV15" s="56" t="str">
        <f>'PC LIST'!J158</f>
        <v>Out &amp; under</v>
      </c>
      <c r="AW15" s="711">
        <f>'PC LIST'!CI158</f>
        <v>87.57</v>
      </c>
      <c r="AX15" s="56" t="str">
        <f>'PC LIST'!B173</f>
        <v>PR14SESWSW_E4</v>
      </c>
      <c r="AY15" s="57" t="str">
        <f>'PC LIST'!I173</f>
        <v>E4: Greenhouse gas emissions per million litres of water supplied</v>
      </c>
      <c r="AZ15" s="57" t="str">
        <f>'PC LIST'!O173</f>
        <v>nr</v>
      </c>
      <c r="BA15" s="57" t="str">
        <f>'PC LIST'!P173</f>
        <v>kgCO2e/Ml</v>
      </c>
      <c r="BB15" s="56">
        <f>'PC LIST'!Q173</f>
        <v>0</v>
      </c>
      <c r="BC15" s="56" t="str">
        <f>'PC LIST'!J173</f>
        <v>NFI</v>
      </c>
      <c r="BD15" s="712">
        <f>'PC LIST'!CI173</f>
        <v>91</v>
      </c>
      <c r="BE15" s="56" t="str">
        <f>'PC LIST'!B194</f>
        <v>PR14SEWWSW_H2</v>
      </c>
      <c r="BF15" s="57" t="str">
        <f>'PC LIST'!I194</f>
        <v>H2: Meeting the water resource deficit</v>
      </c>
      <c r="BG15" s="57" t="str">
        <f>'PC LIST'!O194</f>
        <v>nr</v>
      </c>
      <c r="BH15" s="57" t="str">
        <f>'PC LIST'!P194</f>
        <v>Megalitres per day (Ml/d)</v>
      </c>
      <c r="BI15" s="56">
        <f>'PC LIST'!Q194</f>
        <v>0</v>
      </c>
      <c r="BJ15" s="56" t="str">
        <f>'PC LIST'!J194</f>
        <v>Under</v>
      </c>
      <c r="BK15" s="56">
        <f>'PC LIST'!CI194</f>
        <v>0</v>
      </c>
      <c r="BL15" s="56" t="str">
        <f>'PC LIST'!B228</f>
        <v>PR14SRNWSWW_3</v>
      </c>
      <c r="BM15" s="57" t="str">
        <f>'PC LIST'!I228</f>
        <v>3: External flooding incidents</v>
      </c>
      <c r="BN15" s="57" t="str">
        <f>'PC LIST'!O228</f>
        <v>nr</v>
      </c>
      <c r="BO15" s="57" t="str">
        <f>'PC LIST'!P228</f>
        <v>No. of external sewer flooding incidents</v>
      </c>
      <c r="BP15" s="56">
        <f>'PC LIST'!Q228</f>
        <v>0</v>
      </c>
      <c r="BQ15" s="56" t="str">
        <f>'PC LIST'!J228</f>
        <v>NFI</v>
      </c>
      <c r="BR15" s="56">
        <f>'PC LIST'!CI228</f>
        <v>8255</v>
      </c>
      <c r="BS15" s="56" t="str">
        <f>'PC LIST'!B261</f>
        <v>PR14SSCHHR_3.1</v>
      </c>
      <c r="BT15" s="57" t="str">
        <f>'PC LIST'!I261</f>
        <v>3.1: Service incentive mechanism (SIM, combined company)</v>
      </c>
      <c r="BU15" s="57" t="str">
        <f>'PC LIST'!O261</f>
        <v>score</v>
      </c>
      <c r="BV15" s="57" t="str">
        <f>'PC LIST'!P261</f>
        <v>Service incentive mechanism (SIM) score</v>
      </c>
      <c r="BW15" s="56">
        <f>'PC LIST'!Q261</f>
        <v>1</v>
      </c>
      <c r="BX15" s="56" t="str">
        <f>'PC LIST'!J261</f>
        <v>Out &amp; under</v>
      </c>
      <c r="BY15" s="56">
        <f>'PC LIST'!CI261</f>
        <v>86.4</v>
      </c>
      <c r="BZ15" s="56" t="str">
        <f>'PC LIST'!B276</f>
        <v>PR14SVTWSW_W-B9</v>
      </c>
      <c r="CA15" s="57" t="str">
        <f>'PC LIST'!I276</f>
        <v>W-B9: Timing delays on Birmingham resilience scheme</v>
      </c>
      <c r="CB15" s="57" t="str">
        <f>'PC LIST'!O276</f>
        <v>text</v>
      </c>
      <c r="CC15" s="57" t="str">
        <f>'PC LIST'!P276</f>
        <v>Scheme delivery (3 components)</v>
      </c>
      <c r="CD15" s="56" t="str">
        <f>'PC LIST'!Q276</f>
        <v>na</v>
      </c>
      <c r="CE15" s="56" t="str">
        <f>'PC LIST'!J276</f>
        <v>Under</v>
      </c>
      <c r="CF15" s="712" t="str">
        <f>'PC LIST'!CI276</f>
        <v/>
      </c>
      <c r="CG15" s="56" t="str">
        <f>'PC LIST'!B321</f>
        <v>PR14SWTWSW_W-E1</v>
      </c>
      <c r="CH15" s="59" t="str">
        <f>'PC LIST'!I321</f>
        <v>W-E1: Sustainable abstractions (EA/WFD classification)</v>
      </c>
      <c r="CI15" s="59" t="str">
        <f>'PC LIST'!O321</f>
        <v>nr</v>
      </c>
      <c r="CJ15" s="59" t="str">
        <f>'PC LIST'!P321</f>
        <v>No. sites where improvement required</v>
      </c>
      <c r="CK15" s="56">
        <f>'PC LIST'!Q321</f>
        <v>0</v>
      </c>
      <c r="CL15" s="56" t="str">
        <f>'PC LIST'!J321</f>
        <v>NFI</v>
      </c>
      <c r="CM15" s="711">
        <f>'PC LIST'!CI321</f>
        <v>0</v>
      </c>
      <c r="CN15" s="56" t="str">
        <f>'PC LIST'!B363</f>
        <v>PR14TMSWSW_WB8</v>
      </c>
      <c r="CO15" s="57" t="str">
        <f>'PC LIST'!I363</f>
        <v>WB8: Ml/d of sites made resilient to future extreme rainfall events</v>
      </c>
      <c r="CP15" s="57" t="str">
        <f>'PC LIST'!O363</f>
        <v>nr</v>
      </c>
      <c r="CQ15" s="57" t="str">
        <f>'PC LIST'!P363</f>
        <v>Ml/d of WTWs made resilient (cumulative)</v>
      </c>
      <c r="CR15" s="56">
        <f>'PC LIST'!Q363</f>
        <v>0</v>
      </c>
      <c r="CS15" s="56" t="str">
        <f>'PC LIST'!J363</f>
        <v>Out &amp; under</v>
      </c>
      <c r="CT15" s="56">
        <f>'PC LIST'!CI363</f>
        <v>747</v>
      </c>
      <c r="CU15" s="56" t="str">
        <f>'PC LIST'!B418</f>
        <v>PR14UUWSWW_S-A1</v>
      </c>
      <c r="CV15" s="57" t="str">
        <f>'PC LIST'!I418</f>
        <v>S-A1: Private sewers service index</v>
      </c>
      <c r="CW15" s="57" t="str">
        <f>'PC LIST'!O418</f>
        <v>score</v>
      </c>
      <c r="CX15" s="57" t="str">
        <f>'PC LIST'!P418</f>
        <v>Private sewers service index (UU bespoke)</v>
      </c>
      <c r="CY15" s="56">
        <f>'PC LIST'!Q418</f>
        <v>2</v>
      </c>
      <c r="CZ15" s="56" t="str">
        <f>'PC LIST'!J418</f>
        <v>Out &amp; under</v>
      </c>
      <c r="DA15" s="56">
        <f>'PC LIST'!CI418</f>
        <v>89.27</v>
      </c>
      <c r="DB15" s="56" t="str">
        <f>'PC LIST'!B445</f>
        <v>PR14WSHWSWW_B2</v>
      </c>
      <c r="DC15" s="57" t="str">
        <f>'PC LIST'!I445</f>
        <v>B2: Treating used water - % compliance of WwTW</v>
      </c>
      <c r="DD15" s="57" t="str">
        <f>'PC LIST'!O445</f>
        <v>%</v>
      </c>
      <c r="DE15" s="57" t="str">
        <f>'PC LIST'!P445</f>
        <v>% compliance against WwTW discharge permits</v>
      </c>
      <c r="DF15" s="56">
        <f>'PC LIST'!Q445</f>
        <v>1</v>
      </c>
      <c r="DG15" s="56" t="str">
        <f>'PC LIST'!J445</f>
        <v>NFI</v>
      </c>
      <c r="DH15" s="711">
        <f>'PC LIST'!CI445</f>
        <v>99.6</v>
      </c>
      <c r="DI15" s="56" t="str">
        <f>'PC LIST'!B476</f>
        <v>PR14WSXWSWW_A1</v>
      </c>
      <c r="DJ15" s="57" t="str">
        <f>'PC LIST'!I476</f>
        <v>A1: Agreed schemes delivered (named outputs with bathing water drivers in the NEP)</v>
      </c>
      <c r="DK15" s="57" t="str">
        <f>'PC LIST'!O476</f>
        <v>%</v>
      </c>
      <c r="DL15" s="57" t="str">
        <f>'PC LIST'!P476</f>
        <v>% of agreed schemes delivered (NEP bathing water)</v>
      </c>
      <c r="DM15" s="56">
        <f>'PC LIST'!Q476</f>
        <v>0</v>
      </c>
      <c r="DN15" s="56" t="str">
        <f>'PC LIST'!J476</f>
        <v>Under</v>
      </c>
      <c r="DO15" s="56">
        <f>'PC LIST'!CI476</f>
        <v>100</v>
      </c>
      <c r="DP15" s="56" t="str">
        <f>'PC LIST'!B508</f>
        <v>PR14YKYWSW_WD1</v>
      </c>
      <c r="DQ15" s="57" t="str">
        <f>'PC LIST'!I508</f>
        <v>WD1: Proportion of energy use generated by renewable technology (note: PC is part of a total commitment at Appointee level - see also SC1 and RC1)</v>
      </c>
      <c r="DR15" s="57" t="str">
        <f>'PC LIST'!O508</f>
        <v>%</v>
      </c>
      <c r="DS15" s="57" t="str">
        <f>'PC LIST'!P508</f>
        <v>% of energy use generated by renewable technology</v>
      </c>
      <c r="DT15" s="56">
        <f>'PC LIST'!Q508</f>
        <v>0</v>
      </c>
      <c r="DU15" s="56" t="str">
        <f>'PC LIST'!J508</f>
        <v>NFI</v>
      </c>
      <c r="DV15" s="56">
        <f>'PC LIST'!CI508</f>
        <v>11</v>
      </c>
      <c r="DW15" s="56" t="str">
        <f>'PC LIST'!B542</f>
        <v>PR14HDDHHR_E2</v>
      </c>
      <c r="DX15" s="57" t="str">
        <f>'PC LIST'!I542</f>
        <v>E2: Service incentive mechanism (SIM)</v>
      </c>
      <c r="DY15" s="57" t="str">
        <f>'PC LIST'!O542</f>
        <v>score</v>
      </c>
      <c r="DZ15" s="57" t="str">
        <f>'PC LIST'!P542</f>
        <v>Service incentive mechanism (SIM) score</v>
      </c>
      <c r="EA15" s="56">
        <f>'PC LIST'!Q542</f>
        <v>1</v>
      </c>
      <c r="EB15" s="56" t="str">
        <f>'PC LIST'!J542</f>
        <v>Out &amp; under</v>
      </c>
      <c r="EC15" s="56">
        <f>'PC LIST'!CI542</f>
        <v>78.400000000000006</v>
      </c>
      <c r="ED15" s="56" t="str">
        <f>'PC LIST'!B588</f>
        <v>PR14SVEWSW_W-B9</v>
      </c>
      <c r="EE15" s="57" t="str">
        <f>'PC LIST'!I588</f>
        <v>W-B9: Timing delays on Birmingham resilience scheme</v>
      </c>
      <c r="EF15" s="57" t="str">
        <f>'PC LIST'!O588</f>
        <v>text</v>
      </c>
      <c r="EG15" s="57" t="str">
        <f>'PC LIST'!P588</f>
        <v>Scheme delivery (3 components)</v>
      </c>
      <c r="EH15" s="56" t="str">
        <f>'PC LIST'!Q588</f>
        <v>na</v>
      </c>
      <c r="EI15" s="56" t="str">
        <f>'PC LIST'!J588</f>
        <v>Under</v>
      </c>
      <c r="EJ15" s="56" t="str">
        <f>'PC LIST'!CI588</f>
        <v>On track</v>
      </c>
    </row>
    <row r="16" spans="1:140" ht="15.75" customHeight="1">
      <c r="B16" s="56"/>
      <c r="C16" s="1882"/>
      <c r="D16" s="1882"/>
      <c r="E16" s="1882"/>
      <c r="F16" s="1882"/>
      <c r="G16" s="1882"/>
      <c r="H16" s="56" t="str">
        <f>'PC LIST'!B29</f>
        <v>PR14ANHWSW_W-F2</v>
      </c>
      <c r="I16" s="57" t="str">
        <f>'PC LIST'!I29</f>
        <v>W-F2: Embodied carbon (% reduction from 2010 baseline)</v>
      </c>
      <c r="J16" s="57" t="str">
        <f>'PC LIST'!O29</f>
        <v>%</v>
      </c>
      <c r="K16" s="57" t="str">
        <f>'PC LIST'!P29</f>
        <v>% reduction from 2010 baseline</v>
      </c>
      <c r="L16" s="56">
        <f>'PC LIST'!Q29</f>
        <v>0</v>
      </c>
      <c r="M16" s="56" t="str">
        <f>'PC LIST'!J29</f>
        <v>NFI</v>
      </c>
      <c r="N16" s="711">
        <f>'PC LIST'!CI29</f>
        <v>58</v>
      </c>
      <c r="O16" s="56" t="str">
        <f>'PC LIST'!B68</f>
        <v>PR14BRLWSW_H4</v>
      </c>
      <c r="P16" s="57" t="str">
        <f>'PC LIST'!I68</f>
        <v>H4: Waste disposal compliance</v>
      </c>
      <c r="Q16" s="57" t="str">
        <f>'PC LIST'!O68</f>
        <v>%</v>
      </c>
      <c r="R16" s="57" t="str">
        <f>'PC LIST'!P68</f>
        <v>% waste disposal compliance</v>
      </c>
      <c r="S16" s="56">
        <f>'PC LIST'!Q68</f>
        <v>0</v>
      </c>
      <c r="T16" s="56" t="str">
        <f>'PC LIST'!J68</f>
        <v>NFI</v>
      </c>
      <c r="U16" s="711">
        <f>'PC LIST'!CI68</f>
        <v>97.93</v>
      </c>
      <c r="V16" s="56"/>
      <c r="W16" s="57"/>
      <c r="X16" s="57"/>
      <c r="Y16" s="57"/>
      <c r="Z16" s="1882"/>
      <c r="AA16" s="1882"/>
      <c r="AB16" s="1882"/>
      <c r="AC16" s="56" t="str">
        <f>'PC LIST'!B102</f>
        <v>PR14NESWSW_W-F1</v>
      </c>
      <c r="AD16" s="58" t="str">
        <f>'PC LIST'!I102</f>
        <v>W-F1: Greenhouse gas emissions</v>
      </c>
      <c r="AE16" s="58" t="str">
        <f>'PC LIST'!O102</f>
        <v>nr</v>
      </c>
      <c r="AF16" s="58" t="str">
        <f>'PC LIST'!P102</f>
        <v>ktCO2e</v>
      </c>
      <c r="AG16" s="56">
        <f>'PC LIST'!Q102</f>
        <v>0</v>
      </c>
      <c r="AH16" s="56" t="str">
        <f>'PC LIST'!J102</f>
        <v>NFI</v>
      </c>
      <c r="AI16" s="56">
        <f>'PC LIST'!CI102</f>
        <v>148</v>
      </c>
      <c r="AJ16" s="56"/>
      <c r="AK16" s="57"/>
      <c r="AL16" s="1882"/>
      <c r="AM16" s="1882"/>
      <c r="AN16" s="1882"/>
      <c r="AO16" s="1882"/>
      <c r="AP16" s="1882"/>
      <c r="AQ16" s="56" t="str">
        <f>'PC LIST'!B159</f>
        <v>PR14SBWHHR_A2</v>
      </c>
      <c r="AR16" s="57" t="str">
        <f>'PC LIST'!I159</f>
        <v>A2: New customer relationship management (CRM) system</v>
      </c>
      <c r="AS16" s="57" t="str">
        <f>'PC LIST'!O159</f>
        <v>£m</v>
      </c>
      <c r="AT16" s="57" t="str">
        <f>'PC LIST'!P159</f>
        <v>£ million cumulative depreciation</v>
      </c>
      <c r="AU16" s="56">
        <f>'PC LIST'!Q159</f>
        <v>2</v>
      </c>
      <c r="AV16" s="56" t="str">
        <f>'PC LIST'!J159</f>
        <v>Under</v>
      </c>
      <c r="AW16" s="711">
        <f>'PC LIST'!CI159</f>
        <v>1.423</v>
      </c>
      <c r="AX16" s="56" t="str">
        <f>'PC LIST'!B174</f>
        <v>PR14SESWSW_E5</v>
      </c>
      <c r="AY16" s="57" t="str">
        <f>'PC LIST'!I174</f>
        <v>E5: Number of severe pollution incidents (category 3 or worse, as reported by the Environment Agency)</v>
      </c>
      <c r="AZ16" s="57" t="str">
        <f>'PC LIST'!O174</f>
        <v>nr</v>
      </c>
      <c r="BA16" s="57" t="str">
        <f>'PC LIST'!P174</f>
        <v>No. of pollution incidents (cats 1, 2 and 3)</v>
      </c>
      <c r="BB16" s="56">
        <f>'PC LIST'!Q174</f>
        <v>1</v>
      </c>
      <c r="BC16" s="56" t="str">
        <f>'PC LIST'!J174</f>
        <v>NFI</v>
      </c>
      <c r="BD16" s="712">
        <f>'PC LIST'!CI174</f>
        <v>0</v>
      </c>
      <c r="BE16" s="56" t="str">
        <f>'PC LIST'!B195</f>
        <v>PR14SEWWSW_I1</v>
      </c>
      <c r="BF16" s="57" t="str">
        <f>'PC LIST'!I195</f>
        <v>I1: Mean zonal compliance (MZC)</v>
      </c>
      <c r="BG16" s="57" t="str">
        <f>'PC LIST'!O195</f>
        <v>%</v>
      </c>
      <c r="BH16" s="57" t="str">
        <f>'PC LIST'!P195</f>
        <v>Mean zonal compliance (%)</v>
      </c>
      <c r="BI16" s="56">
        <f>'PC LIST'!Q195</f>
        <v>2</v>
      </c>
      <c r="BJ16" s="56" t="str">
        <f>'PC LIST'!J195</f>
        <v>Under</v>
      </c>
      <c r="BK16" s="56">
        <f>'PC LIST'!CI195</f>
        <v>99.98</v>
      </c>
      <c r="BL16" s="56" t="str">
        <f>'PC LIST'!B229</f>
        <v>PR14SRNWSWW_4</v>
      </c>
      <c r="BM16" s="57" t="str">
        <f>'PC LIST'!I229</f>
        <v>4: Sewer blockages</v>
      </c>
      <c r="BN16" s="57" t="str">
        <f>'PC LIST'!O229</f>
        <v>nr</v>
      </c>
      <c r="BO16" s="57" t="str">
        <f>'PC LIST'!P229</f>
        <v>No. of sewer blockages per km</v>
      </c>
      <c r="BP16" s="56">
        <f>'PC LIST'!Q229</f>
        <v>2</v>
      </c>
      <c r="BQ16" s="56" t="str">
        <f>'PC LIST'!J229</f>
        <v>Under</v>
      </c>
      <c r="BR16" s="56">
        <f>'PC LIST'!CI229</f>
        <v>0.52</v>
      </c>
      <c r="BS16" s="56" t="str">
        <f>'PC LIST'!B262</f>
        <v>PR14SSCHHR_3.2</v>
      </c>
      <c r="BT16" s="57" t="str">
        <f>'PC LIST'!I262</f>
        <v>3.2: Customer satisfaction surveys (combined company)</v>
      </c>
      <c r="BU16" s="57" t="str">
        <f>'PC LIST'!O262</f>
        <v>%</v>
      </c>
      <c r="BV16" s="57" t="str">
        <f>'PC LIST'!P262</f>
        <v>% customer satisfaction</v>
      </c>
      <c r="BW16" s="56">
        <f>'PC LIST'!Q262</f>
        <v>0</v>
      </c>
      <c r="BX16" s="56" t="str">
        <f>'PC LIST'!J262</f>
        <v>NFI</v>
      </c>
      <c r="BY16" s="56">
        <f>'PC LIST'!CI262</f>
        <v>98</v>
      </c>
      <c r="BZ16" s="56" t="str">
        <f>'PC LIST'!B277</f>
        <v>PR14SVTWSW_W-B10</v>
      </c>
      <c r="CA16" s="57" t="str">
        <f>'PC LIST'!I277</f>
        <v>W-B10: Non-delivery of the outcome of the Birmingham resilience scheme</v>
      </c>
      <c r="CB16" s="57" t="str">
        <f>'PC LIST'!O277</f>
        <v>text</v>
      </c>
      <c r="CC16" s="57" t="str">
        <f>'PC LIST'!P277</f>
        <v>Scheme delivery (3 components)</v>
      </c>
      <c r="CD16" s="56" t="str">
        <f>'PC LIST'!Q277</f>
        <v>na</v>
      </c>
      <c r="CE16" s="56" t="str">
        <f>'PC LIST'!J277</f>
        <v>Under</v>
      </c>
      <c r="CF16" s="712" t="str">
        <f>'PC LIST'!CI277</f>
        <v/>
      </c>
      <c r="CG16" s="56" t="str">
        <f>'PC LIST'!B322</f>
        <v>PR14SWTWSW_W-E2</v>
      </c>
      <c r="CH16" s="59" t="str">
        <f>'PC LIST'!I322</f>
        <v>W-E2: Sustainable abstractions (Environment Agency water stress status)</v>
      </c>
      <c r="CI16" s="59" t="str">
        <f>'PC LIST'!O322</f>
        <v>category</v>
      </c>
      <c r="CJ16" s="59" t="str">
        <f>'PC LIST'!P322</f>
        <v>Water scarcity status (defined by EA)</v>
      </c>
      <c r="CK16" s="56" t="str">
        <f>'PC LIST'!Q322</f>
        <v>na</v>
      </c>
      <c r="CL16" s="56" t="str">
        <f>'PC LIST'!J322</f>
        <v>Under</v>
      </c>
      <c r="CM16" s="711" t="str">
        <f>'PC LIST'!CI322</f>
        <v>Moderate</v>
      </c>
      <c r="CN16" s="56" t="str">
        <f>'PC LIST'!B364</f>
        <v>PR14TMSWSW_WC1</v>
      </c>
      <c r="CO16" s="57" t="str">
        <f>'PC LIST'!I364</f>
        <v>WC1: Greenhouse gas emissions from water operations</v>
      </c>
      <c r="CP16" s="57" t="str">
        <f>'PC LIST'!O364</f>
        <v>nr</v>
      </c>
      <c r="CQ16" s="57" t="str">
        <f>'PC LIST'!P364</f>
        <v>ktCO2e</v>
      </c>
      <c r="CR16" s="56">
        <f>'PC LIST'!Q364</f>
        <v>1</v>
      </c>
      <c r="CS16" s="56" t="str">
        <f>'PC LIST'!J364</f>
        <v>NFI</v>
      </c>
      <c r="CT16" s="56">
        <f>'PC LIST'!CI364</f>
        <v>45.7</v>
      </c>
      <c r="CU16" s="56" t="str">
        <f>'PC LIST'!B419</f>
        <v>PR14UUWSWW_S-A2</v>
      </c>
      <c r="CV16" s="57" t="str">
        <f>'PC LIST'!I419</f>
        <v>S-A2: Wastewater network performance index</v>
      </c>
      <c r="CW16" s="57" t="str">
        <f>'PC LIST'!O419</f>
        <v>score</v>
      </c>
      <c r="CX16" s="57" t="str">
        <f>'PC LIST'!P419</f>
        <v>Wastewater network performance index (UU bespoke)</v>
      </c>
      <c r="CY16" s="56">
        <f>'PC LIST'!Q419</f>
        <v>2</v>
      </c>
      <c r="CZ16" s="56" t="str">
        <f>'PC LIST'!J419</f>
        <v>Under</v>
      </c>
      <c r="DA16" s="56">
        <f>'PC LIST'!CI419</f>
        <v>90.75</v>
      </c>
      <c r="DB16" s="56" t="str">
        <f>'PC LIST'!B446</f>
        <v>PR14WSHWSWW_B3</v>
      </c>
      <c r="DC16" s="57" t="str">
        <f>'PC LIST'!I446</f>
        <v>B3: Preventing pollution - number of category 3 pollution incidents</v>
      </c>
      <c r="DD16" s="57" t="str">
        <f>'PC LIST'!O446</f>
        <v>nr</v>
      </c>
      <c r="DE16" s="57" t="str">
        <f>'PC LIST'!P446</f>
        <v>No. of pollution incidents (cat 3)</v>
      </c>
      <c r="DF16" s="56">
        <f>'PC LIST'!Q446</f>
        <v>0</v>
      </c>
      <c r="DG16" s="56" t="str">
        <f>'PC LIST'!J446</f>
        <v>Out &amp; under</v>
      </c>
      <c r="DH16" s="711">
        <f>'PC LIST'!CI446</f>
        <v>118</v>
      </c>
      <c r="DI16" s="56" t="str">
        <f>'PC LIST'!B477</f>
        <v>PR14WSXWSWW_A2</v>
      </c>
      <c r="DJ16" s="57" t="str">
        <f>'PC LIST'!I477</f>
        <v>A2: Beaches passing EU standards</v>
      </c>
      <c r="DK16" s="57" t="str">
        <f>'PC LIST'!O477</f>
        <v>%</v>
      </c>
      <c r="DL16" s="57" t="str">
        <f>'PC LIST'!P477</f>
        <v>% bathing waters meeting the revised BWD standards</v>
      </c>
      <c r="DM16" s="56">
        <f>'PC LIST'!Q477</f>
        <v>0</v>
      </c>
      <c r="DN16" s="56" t="str">
        <f>'PC LIST'!J477</f>
        <v>NFI</v>
      </c>
      <c r="DO16" s="56">
        <f>'PC LIST'!CI477</f>
        <v>96</v>
      </c>
      <c r="DP16" s="56" t="str">
        <f>'PC LIST'!B509</f>
        <v>PR14YKYWSW_WD2</v>
      </c>
      <c r="DQ16" s="57" t="str">
        <f>'PC LIST'!I509</f>
        <v>WD2: Proportion of waste diverted from landfill (re-used and recycled) (note: PC is part of a total commitment at Appointee level - see also SC2 and RC2)</v>
      </c>
      <c r="DR16" s="57" t="str">
        <f>'PC LIST'!O509</f>
        <v>%</v>
      </c>
      <c r="DS16" s="57" t="str">
        <f>'PC LIST'!P509</f>
        <v>% of waste diverted from landfill (re-used and recycled)</v>
      </c>
      <c r="DT16" s="56">
        <f>'PC LIST'!Q509</f>
        <v>0</v>
      </c>
      <c r="DU16" s="56" t="str">
        <f>'PC LIST'!J509</f>
        <v>NFI</v>
      </c>
      <c r="DV16" s="56">
        <f>'PC LIST'!CI509</f>
        <v>100</v>
      </c>
      <c r="DW16" s="56" t="str">
        <f>'PC LIST'!B543</f>
        <v>PR14HDDWSW_W-A1</v>
      </c>
      <c r="DX16" s="57" t="str">
        <f>'PC LIST'!I543</f>
        <v>W-A1: Number of complaints about drinking water quality</v>
      </c>
      <c r="DY16" s="57" t="str">
        <f>'PC LIST'!O543</f>
        <v>nr</v>
      </c>
      <c r="DZ16" s="57" t="str">
        <f>'PC LIST'!P543</f>
        <v>No. of water quality complaints</v>
      </c>
      <c r="EA16" s="56">
        <f>'PC LIST'!Q543</f>
        <v>0</v>
      </c>
      <c r="EB16" s="56" t="str">
        <f>'PC LIST'!J543</f>
        <v>Out &amp; under</v>
      </c>
      <c r="EC16" s="56">
        <f>'PC LIST'!CI543</f>
        <v>67</v>
      </c>
      <c r="ED16" s="56" t="str">
        <f>'PC LIST'!B589</f>
        <v>PR14SVEWSW_W-B10</v>
      </c>
      <c r="EE16" s="57" t="str">
        <f>'PC LIST'!I589</f>
        <v>W-B10: Non-delivery of the outcome of the Birmingham resilience scheme</v>
      </c>
      <c r="EF16" s="57" t="str">
        <f>'PC LIST'!O589</f>
        <v>text</v>
      </c>
      <c r="EG16" s="57" t="str">
        <f>'PC LIST'!P589</f>
        <v>Scheme delivery (3 components)</v>
      </c>
      <c r="EH16" s="56" t="str">
        <f>'PC LIST'!Q589</f>
        <v>na</v>
      </c>
      <c r="EI16" s="56" t="str">
        <f>'PC LIST'!J589</f>
        <v>Under</v>
      </c>
      <c r="EJ16" s="56" t="str">
        <f>'PC LIST'!CI589</f>
        <v>On track</v>
      </c>
    </row>
    <row r="17" spans="8:140" ht="15.75" customHeight="1">
      <c r="H17" s="56" t="str">
        <f>'PC LIST'!B30</f>
        <v>PR14ANHWSW_W-G1</v>
      </c>
      <c r="I17" s="57" t="str">
        <f>'PC LIST'!I30</f>
        <v>W-G1: Survey of community perception</v>
      </c>
      <c r="J17" s="57" t="str">
        <f>'PC LIST'!O30</f>
        <v>%</v>
      </c>
      <c r="K17" s="57" t="str">
        <f>'PC LIST'!P30</f>
        <v>% customer satisfaction</v>
      </c>
      <c r="L17" s="56" t="str">
        <f>'PC LIST'!Q30</f>
        <v>na</v>
      </c>
      <c r="M17" s="56" t="str">
        <f>'PC LIST'!J30</f>
        <v>NFI</v>
      </c>
      <c r="N17" s="711">
        <f>'PC LIST'!CI30</f>
        <v>57</v>
      </c>
      <c r="O17" s="56" t="str">
        <f>'PC LIST'!B69</f>
        <v>PR14BRLHHR_G2</v>
      </c>
      <c r="P17" s="57" t="str">
        <f>'PC LIST'!I69</f>
        <v>G2: Per capita consumption (PCC), measured as litres per head per day (l/h/d)</v>
      </c>
      <c r="Q17" s="57" t="str">
        <f>'PC LIST'!O69</f>
        <v>nr</v>
      </c>
      <c r="R17" s="57" t="str">
        <f>'PC LIST'!P69</f>
        <v>Litres per head per day (l/h/d)</v>
      </c>
      <c r="S17" s="56">
        <f>'PC LIST'!Q69</f>
        <v>1</v>
      </c>
      <c r="T17" s="56" t="str">
        <f>'PC LIST'!J69</f>
        <v>NFI</v>
      </c>
      <c r="U17" s="711">
        <f>'PC LIST'!CI69</f>
        <v>148.30000000000001</v>
      </c>
      <c r="X17" s="54"/>
      <c r="Y17" s="54"/>
      <c r="Z17" s="54"/>
      <c r="AA17" s="54"/>
      <c r="AB17" s="54"/>
      <c r="AC17" s="56" t="str">
        <f>'PC LIST'!B103</f>
        <v>PR14NESWSW_W-F2</v>
      </c>
      <c r="AD17" s="58" t="str">
        <f>'PC LIST'!I103</f>
        <v>W-F2: Annual environmental performance report</v>
      </c>
      <c r="AE17" s="58" t="str">
        <f>'PC LIST'!O103</f>
        <v>text</v>
      </c>
      <c r="AF17" s="58" t="str">
        <f>'PC LIST'!P103</f>
        <v>CRAG report publication</v>
      </c>
      <c r="AG17" s="56" t="str">
        <f>'PC LIST'!Q103</f>
        <v>na</v>
      </c>
      <c r="AH17" s="56" t="str">
        <f>'PC LIST'!J103</f>
        <v>NFI</v>
      </c>
      <c r="AI17" s="56" t="str">
        <f>'PC LIST'!CI103</f>
        <v>Our Contribution report published</v>
      </c>
      <c r="AL17" s="1882"/>
      <c r="AM17" s="1882"/>
      <c r="AN17" s="1882"/>
      <c r="AO17" s="1882"/>
      <c r="AP17" s="1882"/>
      <c r="AQ17" s="56" t="str">
        <f>'PC LIST'!B160</f>
        <v>PR14SBWHHR_B1</v>
      </c>
      <c r="AR17" s="57" t="str">
        <f>'PC LIST'!I160</f>
        <v>B1: Fair customer bills (efficient debt management: % of average bill)</v>
      </c>
      <c r="AS17" s="57" t="str">
        <f>'PC LIST'!O160</f>
        <v>%</v>
      </c>
      <c r="AT17" s="57" t="str">
        <f>'PC LIST'!P160</f>
        <v>% of average bill</v>
      </c>
      <c r="AU17" s="56">
        <f>'PC LIST'!Q160</f>
        <v>2</v>
      </c>
      <c r="AV17" s="56" t="str">
        <f>'PC LIST'!J160</f>
        <v>NFI</v>
      </c>
      <c r="AW17" s="711">
        <f>'PC LIST'!CI160</f>
        <v>3.25</v>
      </c>
      <c r="AX17" s="56" t="str">
        <f>'PC LIST'!B175</f>
        <v>PR14SESWSW_E6</v>
      </c>
      <c r="AY17" s="57" t="str">
        <f>'PC LIST'!I175</f>
        <v>E6: Environmental investigations or catchment management schemes carried out as part of the NEP</v>
      </c>
      <c r="AZ17" s="57" t="str">
        <f>'PC LIST'!O175</f>
        <v>nr</v>
      </c>
      <c r="BA17" s="57" t="str">
        <f>'PC LIST'!P175</f>
        <v>No. of NEP schemes</v>
      </c>
      <c r="BB17" s="56">
        <f>'PC LIST'!Q175</f>
        <v>0</v>
      </c>
      <c r="BC17" s="56" t="str">
        <f>'PC LIST'!J175</f>
        <v>NFI</v>
      </c>
      <c r="BD17" s="712">
        <f>'PC LIST'!CI175</f>
        <v>0</v>
      </c>
      <c r="BE17" s="56" t="str">
        <f>'PC LIST'!B196</f>
        <v>PR14SEWWSW_J1</v>
      </c>
      <c r="BF17" s="57" t="str">
        <f>'PC LIST'!I196</f>
        <v>J1: Number of breaches of abstraction licences, discharge consents and environmental permits</v>
      </c>
      <c r="BG17" s="57" t="str">
        <f>'PC LIST'!O196</f>
        <v>nr</v>
      </c>
      <c r="BH17" s="57" t="str">
        <f>'PC LIST'!P196</f>
        <v>No. of breaches</v>
      </c>
      <c r="BI17" s="56">
        <f>'PC LIST'!Q196</f>
        <v>0</v>
      </c>
      <c r="BJ17" s="56" t="str">
        <f>'PC LIST'!J196</f>
        <v>NFI</v>
      </c>
      <c r="BK17" s="56">
        <f>'PC LIST'!CI196</f>
        <v>11</v>
      </c>
      <c r="BL17" s="56" t="str">
        <f>'PC LIST'!B230</f>
        <v>PR14SRNWSWW_5</v>
      </c>
      <c r="BM17" s="57" t="str">
        <f>'PC LIST'!I230</f>
        <v>5: Odour complaints (Portswood and Tonbridge treatment works)</v>
      </c>
      <c r="BN17" s="57" t="str">
        <f>'PC LIST'!O230</f>
        <v>nr</v>
      </c>
      <c r="BO17" s="57" t="str">
        <f>'PC LIST'!P230</f>
        <v>No. of odour complaints</v>
      </c>
      <c r="BP17" s="56">
        <f>'PC LIST'!Q230</f>
        <v>0</v>
      </c>
      <c r="BQ17" s="56" t="str">
        <f>'PC LIST'!J230</f>
        <v>Under</v>
      </c>
      <c r="BR17" s="56">
        <f>'PC LIST'!CI230</f>
        <v>54</v>
      </c>
      <c r="BS17" s="56" t="str">
        <f>'PC LIST'!B263</f>
        <v>PR14SSCHHR_3.3</v>
      </c>
      <c r="BT17" s="57" t="str">
        <f>'PC LIST'!I263</f>
        <v>3.3: Community engagement (combined company)</v>
      </c>
      <c r="BU17" s="57" t="str">
        <f>'PC LIST'!O263</f>
        <v>nr</v>
      </c>
      <c r="BV17" s="57" t="str">
        <f>'PC LIST'!P263</f>
        <v>No. of employee days per year</v>
      </c>
      <c r="BW17" s="56">
        <f>'PC LIST'!Q263</f>
        <v>0</v>
      </c>
      <c r="BX17" s="56" t="str">
        <f>'PC LIST'!J263</f>
        <v>NFI</v>
      </c>
      <c r="BY17" s="56">
        <f>'PC LIST'!CI263</f>
        <v>749</v>
      </c>
      <c r="BZ17" s="56" t="str">
        <f>'PC LIST'!B278</f>
        <v>PR14SVTWSW_W-B11</v>
      </c>
      <c r="CA17" s="57" t="str">
        <f>'PC LIST'!I278</f>
        <v>W-B11: Timing delays on community risk schemes</v>
      </c>
      <c r="CB17" s="57" t="str">
        <f>'PC LIST'!O278</f>
        <v>text</v>
      </c>
      <c r="CC17" s="57" t="str">
        <f>'PC LIST'!P278</f>
        <v>Scheme delivery (3 components)</v>
      </c>
      <c r="CD17" s="56" t="str">
        <f>'PC LIST'!Q278</f>
        <v>na</v>
      </c>
      <c r="CE17" s="56" t="str">
        <f>'PC LIST'!J278</f>
        <v>Under</v>
      </c>
      <c r="CF17" s="712" t="str">
        <f>'PC LIST'!CI278</f>
        <v/>
      </c>
      <c r="CG17" s="56" t="str">
        <f>'PC LIST'!B323</f>
        <v>PR14SWTWSW_W-E3a</v>
      </c>
      <c r="CH17" s="59" t="str">
        <f>'PC LIST'!I323</f>
        <v>W-E3a: Catchment management (number of acres)</v>
      </c>
      <c r="CI17" s="59" t="str">
        <f>'PC LIST'!O323</f>
        <v>nr</v>
      </c>
      <c r="CJ17" s="59" t="str">
        <f>'PC LIST'!P323</f>
        <v>No. of acres (cumulative)</v>
      </c>
      <c r="CK17" s="56">
        <f>'PC LIST'!Q323</f>
        <v>0</v>
      </c>
      <c r="CL17" s="56" t="str">
        <f>'PC LIST'!J323</f>
        <v>NFI</v>
      </c>
      <c r="CM17" s="711">
        <f>'PC LIST'!CI323</f>
        <v>10192</v>
      </c>
      <c r="CN17" s="56" t="str">
        <f>'PC LIST'!B365</f>
        <v>PR14TMSWSW_WC2</v>
      </c>
      <c r="CO17" s="57" t="str">
        <f>'PC LIST'!I365</f>
        <v>WC2: Leakage</v>
      </c>
      <c r="CP17" s="57" t="str">
        <f>'PC LIST'!O365</f>
        <v>nr</v>
      </c>
      <c r="CQ17" s="57" t="str">
        <f>'PC LIST'!P365</f>
        <v>Megalitres per day (Ml/d) (annual average)</v>
      </c>
      <c r="CR17" s="56">
        <f>'PC LIST'!Q365</f>
        <v>0</v>
      </c>
      <c r="CS17" s="56" t="str">
        <f>'PC LIST'!J365</f>
        <v>Out &amp; under</v>
      </c>
      <c r="CT17" s="56">
        <f>'PC LIST'!CI365</f>
        <v>690</v>
      </c>
      <c r="CU17" s="56" t="str">
        <f>'PC LIST'!B420</f>
        <v>PR14UUWSWW_S-B1</v>
      </c>
      <c r="CV17" s="57" t="str">
        <f>'PC LIST'!I420</f>
        <v>S-B1: Future flood risk</v>
      </c>
      <c r="CW17" s="57" t="str">
        <f>'PC LIST'!O420</f>
        <v>nr</v>
      </c>
      <c r="CX17" s="57" t="str">
        <f>'PC LIST'!P420</f>
        <v>No. of properties at risk</v>
      </c>
      <c r="CY17" s="56">
        <f>'PC LIST'!Q420</f>
        <v>0</v>
      </c>
      <c r="CZ17" s="56" t="str">
        <f>'PC LIST'!J420</f>
        <v>NFI</v>
      </c>
      <c r="DA17" s="56">
        <f>'PC LIST'!CI420</f>
        <v>16379</v>
      </c>
      <c r="DB17" s="56" t="str">
        <f>'PC LIST'!B447</f>
        <v>PR14WSHWSWW_C1</v>
      </c>
      <c r="DC17" s="57" t="str">
        <f>'PC LIST'!I447</f>
        <v>C1: Adapting to climate change - the volume of surface water removed from the system, expressed in number of properties equivalent</v>
      </c>
      <c r="DD17" s="57" t="str">
        <f>'PC LIST'!O447</f>
        <v>nr</v>
      </c>
      <c r="DE17" s="57" t="str">
        <f>'PC LIST'!P447</f>
        <v>Surface water removed expressed in no. props equivalent (cumulative)</v>
      </c>
      <c r="DF17" s="56">
        <f>'PC LIST'!Q447</f>
        <v>0</v>
      </c>
      <c r="DG17" s="56" t="str">
        <f>'PC LIST'!J447</f>
        <v>Under</v>
      </c>
      <c r="DH17" s="711">
        <f>'PC LIST'!CI447</f>
        <v>15967</v>
      </c>
      <c r="DI17" s="56" t="str">
        <f>'PC LIST'!B478</f>
        <v>PR14WSXWSWW_B1</v>
      </c>
      <c r="DJ17" s="57" t="str">
        <f>'PC LIST'!I478</f>
        <v>B1: The EA’s Environmental Performance Assessment (ODI based on pollution incidents)</v>
      </c>
      <c r="DK17" s="57" t="str">
        <f>'PC LIST'!O478</f>
        <v>text</v>
      </c>
      <c r="DL17" s="57" t="str">
        <f>'PC LIST'!P478</f>
        <v>EA’s Environmental Performance Assessment standing</v>
      </c>
      <c r="DM17" s="56" t="str">
        <f>'PC LIST'!Q478</f>
        <v>na</v>
      </c>
      <c r="DN17" s="56" t="str">
        <f>'PC LIST'!J478</f>
        <v>Out &amp; under</v>
      </c>
      <c r="DO17" s="56" t="str">
        <f>'PC LIST'!CI478</f>
        <v>Good</v>
      </c>
      <c r="DP17" s="56" t="str">
        <f>'PC LIST'!B510</f>
        <v>PR14YKYWSWW_SA1</v>
      </c>
      <c r="DQ17" s="57" t="str">
        <f>'PC LIST'!I510</f>
        <v>SA1: Internal sewer flooding incidents</v>
      </c>
      <c r="DR17" s="57" t="str">
        <f>'PC LIST'!O510</f>
        <v>nr</v>
      </c>
      <c r="DS17" s="57" t="str">
        <f>'PC LIST'!P510</f>
        <v>No. of internal sewer flooding incidents</v>
      </c>
      <c r="DT17" s="56">
        <f>'PC LIST'!Q510</f>
        <v>0</v>
      </c>
      <c r="DU17" s="56" t="str">
        <f>'PC LIST'!J510</f>
        <v>Out &amp; under</v>
      </c>
      <c r="DV17" s="56">
        <f>'PC LIST'!CI510</f>
        <v>1692</v>
      </c>
      <c r="DW17" s="56" t="str">
        <f>'PC LIST'!B544</f>
        <v>PR14HDDWSW_W-A2</v>
      </c>
      <c r="DX17" s="57" t="str">
        <f>'PC LIST'!I544</f>
        <v>W-A2: Compliance with drinking water quality standards</v>
      </c>
      <c r="DY17" s="57" t="str">
        <f>'PC LIST'!O544</f>
        <v>%</v>
      </c>
      <c r="DZ17" s="57" t="str">
        <f>'PC LIST'!P544</f>
        <v>Mean zonal compliance (%)</v>
      </c>
      <c r="EA17" s="56">
        <f>'PC LIST'!Q544</f>
        <v>3</v>
      </c>
      <c r="EB17" s="56" t="str">
        <f>'PC LIST'!J544</f>
        <v>Under</v>
      </c>
      <c r="EC17" s="56">
        <f>'PC LIST'!CI544</f>
        <v>99.94</v>
      </c>
      <c r="ED17" s="56" t="str">
        <f>'PC LIST'!B590</f>
        <v>PR14SVEWSW_W-B11</v>
      </c>
      <c r="EE17" s="57" t="str">
        <f>'PC LIST'!I590</f>
        <v>W-B11: Timing delays on community risk schemes</v>
      </c>
      <c r="EF17" s="57" t="str">
        <f>'PC LIST'!O590</f>
        <v>text</v>
      </c>
      <c r="EG17" s="57" t="str">
        <f>'PC LIST'!P590</f>
        <v>Scheme delivery (3 components)</v>
      </c>
      <c r="EH17" s="56" t="str">
        <f>'PC LIST'!Q590</f>
        <v>na</v>
      </c>
      <c r="EI17" s="56" t="str">
        <f>'PC LIST'!J590</f>
        <v>Under</v>
      </c>
      <c r="EJ17" s="56" t="str">
        <f>'PC LIST'!CI590</f>
        <v>On track</v>
      </c>
    </row>
    <row r="18" spans="8:140" ht="15.75" customHeight="1">
      <c r="H18" s="56" t="str">
        <f>'PC LIST'!B31</f>
        <v>PR14ANHWSW_W-H1</v>
      </c>
      <c r="I18" s="57" t="str">
        <f>'PC LIST'!I31</f>
        <v>W-H1: Water infrastructure</v>
      </c>
      <c r="J18" s="57" t="str">
        <f>'PC LIST'!O31</f>
        <v>category</v>
      </c>
      <c r="K18" s="57" t="str">
        <f>'PC LIST'!P31</f>
        <v>Asset health indicator (RAG)</v>
      </c>
      <c r="L18" s="56" t="str">
        <f>'PC LIST'!Q31</f>
        <v>na</v>
      </c>
      <c r="M18" s="56" t="str">
        <f>'PC LIST'!J31</f>
        <v>Under</v>
      </c>
      <c r="N18" s="711" t="str">
        <f>'PC LIST'!CI31</f>
        <v>Green</v>
      </c>
      <c r="O18" s="56" t="str">
        <f>'PC LIST'!B70</f>
        <v>PR14BRLHHR_I1</v>
      </c>
      <c r="P18" s="57" t="str">
        <f>'PC LIST'!I70</f>
        <v>I1: Percentage of customers in water poverty</v>
      </c>
      <c r="Q18" s="57" t="str">
        <f>'PC LIST'!O70</f>
        <v>%</v>
      </c>
      <c r="R18" s="57" t="str">
        <f>'PC LIST'!P70</f>
        <v>% customers in water poverty</v>
      </c>
      <c r="S18" s="56">
        <f>'PC LIST'!Q70</f>
        <v>1</v>
      </c>
      <c r="T18" s="56" t="str">
        <f>'PC LIST'!J70</f>
        <v>NFI</v>
      </c>
      <c r="U18" s="711">
        <f>'PC LIST'!CI70</f>
        <v>0</v>
      </c>
      <c r="X18" s="54"/>
      <c r="Y18" s="54"/>
      <c r="Z18" s="54"/>
      <c r="AA18" s="54"/>
      <c r="AB18" s="54"/>
      <c r="AC18" s="56" t="str">
        <f>'PC LIST'!B104</f>
        <v>PR14NESWSWW_S-A1</v>
      </c>
      <c r="AD18" s="58" t="str">
        <f>'PC LIST'!I104</f>
        <v>S-A1: Asset health measures - wastewater</v>
      </c>
      <c r="AE18" s="58" t="str">
        <f>'PC LIST'!O104</f>
        <v>N/A</v>
      </c>
      <c r="AF18" s="58" t="str">
        <f>'PC LIST'!P104</f>
        <v>N/A (measured in separate PCs)</v>
      </c>
      <c r="AG18" s="56" t="str">
        <f>'PC LIST'!Q104</f>
        <v>na</v>
      </c>
      <c r="AH18" s="56" t="str">
        <f>'PC LIST'!J104</f>
        <v>NFI</v>
      </c>
      <c r="AI18" s="56" t="str">
        <f>'PC LIST'!CI104</f>
        <v>n/a</v>
      </c>
      <c r="AL18" s="1882"/>
      <c r="AM18" s="1882"/>
      <c r="AN18" s="1882"/>
      <c r="AO18" s="1882"/>
      <c r="AP18" s="1882"/>
      <c r="AQ18" s="56"/>
      <c r="AR18" s="57"/>
      <c r="AS18" s="1882"/>
      <c r="AT18" s="1882"/>
      <c r="AU18" s="1882"/>
      <c r="AV18" s="1882"/>
      <c r="AW18" s="1882"/>
      <c r="AX18" s="56" t="str">
        <f>'PC LIST'!B176</f>
        <v>PR14SESHHR_B1</v>
      </c>
      <c r="AY18" s="57" t="str">
        <f>'PC LIST'!I176</f>
        <v>B1: Number of customers that are in water poverty and receiving assistance</v>
      </c>
      <c r="AZ18" s="57" t="str">
        <f>'PC LIST'!O176</f>
        <v>nr</v>
      </c>
      <c r="BA18" s="57" t="str">
        <f>'PC LIST'!P176</f>
        <v>No. of customers</v>
      </c>
      <c r="BB18" s="56">
        <f>'PC LIST'!Q176</f>
        <v>0</v>
      </c>
      <c r="BC18" s="56" t="str">
        <f>'PC LIST'!J176</f>
        <v>NFI</v>
      </c>
      <c r="BD18" s="712">
        <f>'PC LIST'!CI176</f>
        <v>10401</v>
      </c>
      <c r="BE18" s="56" t="str">
        <f>'PC LIST'!B197</f>
        <v>PR14SEWWSW_J2</v>
      </c>
      <c r="BF18" s="57" t="str">
        <f>'PC LIST'!I197</f>
        <v>J2: Number of pollution incidents (category 1-2)</v>
      </c>
      <c r="BG18" s="57" t="str">
        <f>'PC LIST'!O197</f>
        <v>nr</v>
      </c>
      <c r="BH18" s="57" t="str">
        <f>'PC LIST'!P197</f>
        <v>No. of pollution incidents (cat 1 and 2)</v>
      </c>
      <c r="BI18" s="56">
        <f>'PC LIST'!Q197</f>
        <v>0</v>
      </c>
      <c r="BJ18" s="56" t="str">
        <f>'PC LIST'!J197</f>
        <v>NFI</v>
      </c>
      <c r="BK18" s="56">
        <f>'PC LIST'!CI197</f>
        <v>1</v>
      </c>
      <c r="BL18" s="56" t="str">
        <f>'PC LIST'!B231</f>
        <v>PR14SRNWSWW_6</v>
      </c>
      <c r="BM18" s="57" t="str">
        <f>'PC LIST'!I231</f>
        <v>6: Wastewater treatment works numeric compliance</v>
      </c>
      <c r="BN18" s="57" t="str">
        <f>'PC LIST'!O231</f>
        <v>%</v>
      </c>
      <c r="BO18" s="57" t="str">
        <f>'PC LIST'!P231</f>
        <v>% compliance with WwTW regulations</v>
      </c>
      <c r="BP18" s="56">
        <f>'PC LIST'!Q231</f>
        <v>1</v>
      </c>
      <c r="BQ18" s="56" t="str">
        <f>'PC LIST'!J231</f>
        <v>Under</v>
      </c>
      <c r="BR18" s="56">
        <f>'PC LIST'!CI231</f>
        <v>99.7</v>
      </c>
      <c r="BS18" s="56"/>
      <c r="BT18" s="57"/>
      <c r="BU18" s="57"/>
      <c r="BV18" s="57"/>
      <c r="BW18" s="1882"/>
      <c r="BX18" s="1882"/>
      <c r="BY18" s="1882"/>
      <c r="BZ18" s="56" t="str">
        <f>'PC LIST'!B279</f>
        <v>PR14SVTWSW_W-B12</v>
      </c>
      <c r="CA18" s="57" t="str">
        <f>'PC LIST'!I279</f>
        <v>W-B12: Non-delivery of the community risk schemes</v>
      </c>
      <c r="CB18" s="57" t="str">
        <f>'PC LIST'!O279</f>
        <v>text</v>
      </c>
      <c r="CC18" s="57" t="str">
        <f>'PC LIST'!P279</f>
        <v>Scheme delivery (3 components)</v>
      </c>
      <c r="CD18" s="56" t="str">
        <f>'PC LIST'!Q279</f>
        <v>na</v>
      </c>
      <c r="CE18" s="56" t="str">
        <f>'PC LIST'!J279</f>
        <v>Under</v>
      </c>
      <c r="CF18" s="712" t="str">
        <f>'PC LIST'!CI279</f>
        <v/>
      </c>
      <c r="CG18" s="56" t="str">
        <f>'PC LIST'!B324</f>
        <v>PR14SWTWSW_W-E3b</v>
      </c>
      <c r="CH18" s="59" t="str">
        <f>'PC LIST'!I324</f>
        <v>W-E3b: Catchment management (number of farms)</v>
      </c>
      <c r="CI18" s="59" t="str">
        <f>'PC LIST'!O324</f>
        <v>nr</v>
      </c>
      <c r="CJ18" s="59" t="str">
        <f>'PC LIST'!P324</f>
        <v>No. of farms (cumulative)</v>
      </c>
      <c r="CK18" s="56">
        <f>'PC LIST'!Q324</f>
        <v>0</v>
      </c>
      <c r="CL18" s="56" t="str">
        <f>'PC LIST'!J324</f>
        <v>NFI</v>
      </c>
      <c r="CM18" s="711">
        <f>'PC LIST'!CI324</f>
        <v>1537</v>
      </c>
      <c r="CN18" s="56" t="str">
        <f>'PC LIST'!B366</f>
        <v>PR14TMSWSW_WC3</v>
      </c>
      <c r="CO18" s="57" t="str">
        <f>'PC LIST'!I366</f>
        <v xml:space="preserve">WC3: Abstraction Incentive Mechanism (AIM) </v>
      </c>
      <c r="CP18" s="57" t="str">
        <f>'PC LIST'!O366</f>
        <v>nr</v>
      </c>
      <c r="CQ18" s="57" t="str">
        <f>'PC LIST'!P366</f>
        <v>Megalitres per day (Ml/d) abstracted at the relevant site</v>
      </c>
      <c r="CR18" s="56">
        <f>'PC LIST'!Q366</f>
        <v>2</v>
      </c>
      <c r="CS18" s="56" t="str">
        <f>'PC LIST'!J366</f>
        <v>NFI</v>
      </c>
      <c r="CT18" s="56">
        <f>'PC LIST'!CI366</f>
        <v>-170.69</v>
      </c>
      <c r="CU18" s="56" t="str">
        <f>'PC LIST'!B421</f>
        <v>PR14UUWSWW_S-B2</v>
      </c>
      <c r="CV18" s="57" t="str">
        <f>'PC LIST'!I421</f>
        <v>S-B2: Sewer flooding index</v>
      </c>
      <c r="CW18" s="57" t="str">
        <f>'PC LIST'!O421</f>
        <v>score</v>
      </c>
      <c r="CX18" s="57" t="str">
        <f>'PC LIST'!P421</f>
        <v>Sewer flooding index (UU bespoke)</v>
      </c>
      <c r="CY18" s="56">
        <f>'PC LIST'!Q421</f>
        <v>1</v>
      </c>
      <c r="CZ18" s="56" t="str">
        <f>'PC LIST'!J421</f>
        <v>Out &amp; under</v>
      </c>
      <c r="DA18" s="56">
        <f>'PC LIST'!CI421</f>
        <v>61.66</v>
      </c>
      <c r="DB18" s="56" t="str">
        <f>'PC LIST'!B448</f>
        <v>PR14WSHWSWW_C2</v>
      </c>
      <c r="DC18" s="57" t="str">
        <f>'PC LIST'!I448</f>
        <v>C2: Carbon footprint - gigawatt-hours (GWh) of renewable energy generated</v>
      </c>
      <c r="DD18" s="57" t="str">
        <f>'PC LIST'!O448</f>
        <v>nr</v>
      </c>
      <c r="DE18" s="57" t="str">
        <f>'PC LIST'!P448</f>
        <v>GWh (gigawatt-hours)</v>
      </c>
      <c r="DF18" s="56">
        <f>'PC LIST'!Q448</f>
        <v>2</v>
      </c>
      <c r="DG18" s="56" t="str">
        <f>'PC LIST'!J448</f>
        <v>NFI</v>
      </c>
      <c r="DH18" s="711">
        <f>'PC LIST'!CI448</f>
        <v>52.43</v>
      </c>
      <c r="DI18" s="56" t="str">
        <f>'PC LIST'!B479</f>
        <v>PR14WSXWSWW_B2</v>
      </c>
      <c r="DJ18" s="57" t="str">
        <f>'PC LIST'!I479</f>
        <v>B2: Monitoring CSOs</v>
      </c>
      <c r="DK18" s="57" t="str">
        <f>'PC LIST'!O479</f>
        <v>%</v>
      </c>
      <c r="DL18" s="57" t="str">
        <f>'PC LIST'!P479</f>
        <v>% CSOs presenting environmental risk with EDM installed</v>
      </c>
      <c r="DM18" s="56">
        <f>'PC LIST'!Q479</f>
        <v>0</v>
      </c>
      <c r="DN18" s="56" t="str">
        <f>'PC LIST'!J479</f>
        <v>Under</v>
      </c>
      <c r="DO18" s="56">
        <f>'PC LIST'!CI479</f>
        <v>80</v>
      </c>
      <c r="DP18" s="56" t="str">
        <f>'PC LIST'!B511</f>
        <v>PR14YKYWSWW_SA2</v>
      </c>
      <c r="DQ18" s="57" t="str">
        <f>'PC LIST'!I511</f>
        <v>SA2: External sewer flooding incidents</v>
      </c>
      <c r="DR18" s="57" t="str">
        <f>'PC LIST'!O511</f>
        <v>nr</v>
      </c>
      <c r="DS18" s="57" t="str">
        <f>'PC LIST'!P511</f>
        <v>No. of external sewer flooding incidents</v>
      </c>
      <c r="DT18" s="56">
        <f>'PC LIST'!Q511</f>
        <v>0</v>
      </c>
      <c r="DU18" s="56" t="str">
        <f>'PC LIST'!J511</f>
        <v>NFI</v>
      </c>
      <c r="DV18" s="56">
        <f>'PC LIST'!CI511</f>
        <v>9116</v>
      </c>
      <c r="DW18" s="56" t="str">
        <f>'PC LIST'!B545</f>
        <v>PR14HDDWSW_W-A3</v>
      </c>
      <c r="DX18" s="57" t="str">
        <f>'PC LIST'!I545</f>
        <v>W-A3: Asset stewardship - number of sites with coliform failures (WTWs)</v>
      </c>
      <c r="DY18" s="57" t="str">
        <f>'PC LIST'!O545</f>
        <v>nr</v>
      </c>
      <c r="DZ18" s="57" t="str">
        <f>'PC LIST'!P545</f>
        <v>No. of sites with coliform failures per year</v>
      </c>
      <c r="EA18" s="56">
        <f>'PC LIST'!Q545</f>
        <v>0</v>
      </c>
      <c r="EB18" s="56" t="str">
        <f>'PC LIST'!J545</f>
        <v>Under</v>
      </c>
      <c r="EC18" s="56">
        <f>'PC LIST'!CI545</f>
        <v>0</v>
      </c>
      <c r="ED18" s="56" t="str">
        <f>'PC LIST'!B591</f>
        <v>PR14SVEWSW_W-B12</v>
      </c>
      <c r="EE18" s="57" t="str">
        <f>'PC LIST'!I591</f>
        <v>W-B12: Non-delivery of the community risk schemes</v>
      </c>
      <c r="EF18" s="57" t="str">
        <f>'PC LIST'!O591</f>
        <v>text</v>
      </c>
      <c r="EG18" s="57" t="str">
        <f>'PC LIST'!P591</f>
        <v>Scheme delivery (3 components)</v>
      </c>
      <c r="EH18" s="56" t="str">
        <f>'PC LIST'!Q591</f>
        <v>na</v>
      </c>
      <c r="EI18" s="56" t="str">
        <f>'PC LIST'!J591</f>
        <v>Under</v>
      </c>
      <c r="EJ18" s="56" t="str">
        <f>'PC LIST'!CI591</f>
        <v>On track</v>
      </c>
    </row>
    <row r="19" spans="8:140" ht="15.75" customHeight="1">
      <c r="H19" s="56" t="str">
        <f>'PC LIST'!B32</f>
        <v>PR14ANHWSW_W-H2</v>
      </c>
      <c r="I19" s="57" t="str">
        <f>'PC LIST'!I32</f>
        <v>W-H2: Water non-infrastructure</v>
      </c>
      <c r="J19" s="57" t="str">
        <f>'PC LIST'!O32</f>
        <v>category</v>
      </c>
      <c r="K19" s="57" t="str">
        <f>'PC LIST'!P32</f>
        <v>Asset health indicator (RAG)</v>
      </c>
      <c r="L19" s="56" t="str">
        <f>'PC LIST'!Q32</f>
        <v>na</v>
      </c>
      <c r="M19" s="56" t="str">
        <f>'PC LIST'!J32</f>
        <v>Under</v>
      </c>
      <c r="N19" s="711" t="str">
        <f>'PC LIST'!CI32</f>
        <v>Green</v>
      </c>
      <c r="O19" s="56" t="str">
        <f>'PC LIST'!B71</f>
        <v>PR14BRLHHR_J1</v>
      </c>
      <c r="P19" s="57" t="str">
        <f>'PC LIST'!I71</f>
        <v>J1: Service incentive mechanism (SIM)</v>
      </c>
      <c r="Q19" s="57" t="str">
        <f>'PC LIST'!O71</f>
        <v>rank</v>
      </c>
      <c r="R19" s="57" t="str">
        <f>'PC LIST'!P71</f>
        <v>Service incentive mechanism (SIM) score ranking</v>
      </c>
      <c r="S19" s="56" t="str">
        <f>'PC LIST'!Q71</f>
        <v>na</v>
      </c>
      <c r="T19" s="56" t="str">
        <f>'PC LIST'!J71</f>
        <v>Out &amp; under</v>
      </c>
      <c r="U19" s="711">
        <f>'PC LIST'!CI71</f>
        <v>84.71</v>
      </c>
      <c r="X19" s="54"/>
      <c r="Y19" s="54"/>
      <c r="Z19" s="54"/>
      <c r="AA19" s="54"/>
      <c r="AB19" s="54"/>
      <c r="AC19" s="56" t="str">
        <f>'PC LIST'!B105</f>
        <v>PR14NESWSWW_S-B1</v>
      </c>
      <c r="AD19" s="58" t="str">
        <f>'PC LIST'!I105</f>
        <v>S-B1: Properties flooded externally</v>
      </c>
      <c r="AE19" s="58" t="str">
        <f>'PC LIST'!O105</f>
        <v>nr</v>
      </c>
      <c r="AF19" s="58" t="str">
        <f>'PC LIST'!P105</f>
        <v>No. of properties per year</v>
      </c>
      <c r="AG19" s="56">
        <f>'PC LIST'!Q105</f>
        <v>0</v>
      </c>
      <c r="AH19" s="56" t="str">
        <f>'PC LIST'!J105</f>
        <v>Out &amp; under</v>
      </c>
      <c r="AI19" s="56">
        <f>'PC LIST'!CI105</f>
        <v>902</v>
      </c>
      <c r="AL19" s="1882"/>
      <c r="AM19" s="1882"/>
      <c r="AN19" s="1882"/>
      <c r="AO19" s="1882"/>
      <c r="AP19" s="1882"/>
      <c r="AS19" s="1882"/>
      <c r="AT19" s="1882"/>
      <c r="AU19" s="1882"/>
      <c r="AV19" s="1882"/>
      <c r="AW19" s="1882"/>
      <c r="AX19" s="56" t="str">
        <f>'PC LIST'!B177</f>
        <v>PR14SESHHR_B2</v>
      </c>
      <c r="AY19" s="57" t="str">
        <f>'PC LIST'!I177</f>
        <v>B2: Effectiveness of bad debt recovery (bad debt expressed as a percentage of turnover)</v>
      </c>
      <c r="AZ19" s="57" t="str">
        <f>'PC LIST'!O177</f>
        <v>%</v>
      </c>
      <c r="BA19" s="57" t="str">
        <f>'PC LIST'!P177</f>
        <v>Bad debt as % of total turnover</v>
      </c>
      <c r="BB19" s="56">
        <f>'PC LIST'!Q177</f>
        <v>2</v>
      </c>
      <c r="BC19" s="56" t="str">
        <f>'PC LIST'!J177</f>
        <v>NFI</v>
      </c>
      <c r="BD19" s="712">
        <f>'PC LIST'!CI177</f>
        <v>1.01</v>
      </c>
      <c r="BE19" s="56" t="str">
        <f>'PC LIST'!B198</f>
        <v>PR14SEWWSW_K1</v>
      </c>
      <c r="BF19" s="57" t="str">
        <f>'PC LIST'!I198</f>
        <v>K1: Number of breaches of health and safety regulations, as defined by the Health and Safety Executive</v>
      </c>
      <c r="BG19" s="57" t="str">
        <f>'PC LIST'!O198</f>
        <v>nr</v>
      </c>
      <c r="BH19" s="57" t="str">
        <f>'PC LIST'!P198</f>
        <v>No. of H&amp;S regulation breaches</v>
      </c>
      <c r="BI19" s="56">
        <f>'PC LIST'!Q198</f>
        <v>0</v>
      </c>
      <c r="BJ19" s="56" t="str">
        <f>'PC LIST'!J198</f>
        <v>NFI</v>
      </c>
      <c r="BK19" s="56">
        <f>'PC LIST'!CI198</f>
        <v>0</v>
      </c>
      <c r="BL19" s="56" t="str">
        <f>'PC LIST'!B232</f>
        <v>PR14SRNWSWW_7</v>
      </c>
      <c r="BM19" s="57" t="str">
        <f>'PC LIST'!I232</f>
        <v>7: Proportion of energy from renewable sources</v>
      </c>
      <c r="BN19" s="57" t="str">
        <f>'PC LIST'!O232</f>
        <v>%</v>
      </c>
      <c r="BO19" s="57" t="str">
        <f>'PC LIST'!P232</f>
        <v>% energy from renewable sources</v>
      </c>
      <c r="BP19" s="56">
        <f>'PC LIST'!Q232</f>
        <v>1</v>
      </c>
      <c r="BQ19" s="56" t="str">
        <f>'PC LIST'!J232</f>
        <v>NFI</v>
      </c>
      <c r="BR19" s="56">
        <f>'PC LIST'!CI232</f>
        <v>15.8</v>
      </c>
      <c r="BU19" s="54"/>
      <c r="BV19" s="54"/>
      <c r="BW19" s="54"/>
      <c r="BX19" s="54"/>
      <c r="BY19" s="54"/>
      <c r="BZ19" s="56" t="str">
        <f>'PC LIST'!B280</f>
        <v>PR14SVTWSW_W-B13</v>
      </c>
      <c r="CA19" s="57" t="str">
        <f>'PC LIST'!I280</f>
        <v xml:space="preserve">W-B13: Timing delays on Elan Valley Aqueduct (EVA) maintenance </v>
      </c>
      <c r="CB19" s="57" t="str">
        <f>'PC LIST'!O280</f>
        <v>text</v>
      </c>
      <c r="CC19" s="57" t="str">
        <f>'PC LIST'!P280</f>
        <v>Scheme delivery</v>
      </c>
      <c r="CD19" s="56" t="str">
        <f>'PC LIST'!Q280</f>
        <v>na</v>
      </c>
      <c r="CE19" s="56" t="str">
        <f>'PC LIST'!J280</f>
        <v>Under</v>
      </c>
      <c r="CF19" s="712" t="str">
        <f>'PC LIST'!CI280</f>
        <v/>
      </c>
      <c r="CG19" s="56" t="str">
        <f>'PC LIST'!B325</f>
        <v>PR14SWTWSW_W-E4</v>
      </c>
      <c r="CH19" s="59" t="str">
        <f>'PC LIST'!I325</f>
        <v>W-E4: Pollution incidents (category 1 and 2)</v>
      </c>
      <c r="CI19" s="59" t="str">
        <f>'PC LIST'!O325</f>
        <v>nr</v>
      </c>
      <c r="CJ19" s="59" t="str">
        <f>'PC LIST'!P325</f>
        <v>No. of pollution incidents (cats 1 and 2)</v>
      </c>
      <c r="CK19" s="56">
        <f>'PC LIST'!Q325</f>
        <v>0</v>
      </c>
      <c r="CL19" s="56" t="str">
        <f>'PC LIST'!J325</f>
        <v>Under</v>
      </c>
      <c r="CM19" s="711">
        <f>'PC LIST'!CI325</f>
        <v>0</v>
      </c>
      <c r="CN19" s="56" t="str">
        <f>'PC LIST'!B367</f>
        <v>PR14TMSWSW_WC4</v>
      </c>
      <c r="CO19" s="57" t="str">
        <f>'PC LIST'!I367</f>
        <v>WC4: We will educate our existing and future customers</v>
      </c>
      <c r="CP19" s="57" t="str">
        <f>'PC LIST'!O367</f>
        <v>nr</v>
      </c>
      <c r="CQ19" s="57" t="str">
        <f>'PC LIST'!P367</f>
        <v>No. of children directly engaged</v>
      </c>
      <c r="CR19" s="56">
        <f>'PC LIST'!Q367</f>
        <v>0</v>
      </c>
      <c r="CS19" s="56" t="str">
        <f>'PC LIST'!J367</f>
        <v>NFI</v>
      </c>
      <c r="CT19" s="56">
        <f>'PC LIST'!CI367</f>
        <v>24897</v>
      </c>
      <c r="CU19" s="56" t="str">
        <f>'PC LIST'!B422</f>
        <v>PR14UUWSWW_S-C1</v>
      </c>
      <c r="CV19" s="57" t="str">
        <f>'PC LIST'!I422</f>
        <v>S-C1: Contribution to bathing waters improved (includes NEP phase 3&amp;4 bathing water intermittent discharge projects)</v>
      </c>
      <c r="CW19" s="57" t="str">
        <f>'PC LIST'!O422</f>
        <v>nr</v>
      </c>
      <c r="CX19" s="57" t="str">
        <f>'PC LIST'!P422</f>
        <v>Bathing water equivalent (BWE)</v>
      </c>
      <c r="CY19" s="56">
        <f>'PC LIST'!Q422</f>
        <v>2</v>
      </c>
      <c r="CZ19" s="56" t="str">
        <f>'PC LIST'!J422</f>
        <v>Under</v>
      </c>
      <c r="DA19" s="56">
        <f>'PC LIST'!CI422</f>
        <v>4.21</v>
      </c>
      <c r="DB19" s="56" t="str">
        <f>'PC LIST'!B449</f>
        <v>PR14WSHWSWW_D1</v>
      </c>
      <c r="DC19" s="57" t="str">
        <f>'PC LIST'!I449</f>
        <v>D1: Service incentive mechanism (SIM)</v>
      </c>
      <c r="DD19" s="57" t="str">
        <f>'PC LIST'!O449</f>
        <v>text</v>
      </c>
      <c r="DE19" s="57" t="str">
        <f>'PC LIST'!P449</f>
        <v>Service incentive mechanism (SIM) score ranking</v>
      </c>
      <c r="DF19" s="56" t="str">
        <f>'PC LIST'!Q449</f>
        <v>na</v>
      </c>
      <c r="DG19" s="56" t="str">
        <f>'PC LIST'!J449</f>
        <v>Out &amp; under</v>
      </c>
      <c r="DH19" s="711">
        <f>'PC LIST'!CI449</f>
        <v>86.88</v>
      </c>
      <c r="DI19" s="56" t="str">
        <f>'PC LIST'!B480</f>
        <v>PR14WSXWSWW_B3</v>
      </c>
      <c r="DJ19" s="57" t="str">
        <f>'PC LIST'!I480</f>
        <v>B3: River water quality improved</v>
      </c>
      <c r="DK19" s="57" t="str">
        <f>'PC LIST'!O480</f>
        <v>nr</v>
      </c>
      <c r="DL19" s="57" t="str">
        <f>'PC LIST'!P480</f>
        <v>No. water bodies improved through WwTW investments</v>
      </c>
      <c r="DM19" s="56">
        <f>'PC LIST'!Q480</f>
        <v>0</v>
      </c>
      <c r="DN19" s="56" t="str">
        <f>'PC LIST'!J480</f>
        <v>Out &amp; under</v>
      </c>
      <c r="DO19" s="56">
        <f>'PC LIST'!CI480</f>
        <v>38</v>
      </c>
      <c r="DP19" s="56" t="str">
        <f>'PC LIST'!B512</f>
        <v>PR14YKYWSWW_SA3a</v>
      </c>
      <c r="DQ19" s="57" t="str">
        <f>'PC LIST'!I512</f>
        <v>SA3a: Pollution incidents - category 1 and 2</v>
      </c>
      <c r="DR19" s="57" t="str">
        <f>'PC LIST'!O512</f>
        <v>nr</v>
      </c>
      <c r="DS19" s="57" t="str">
        <f>'PC LIST'!P512</f>
        <v>No. of pollution incidents (cats 1 and 2)</v>
      </c>
      <c r="DT19" s="56">
        <f>'PC LIST'!Q512</f>
        <v>0</v>
      </c>
      <c r="DU19" s="56" t="str">
        <f>'PC LIST'!J512</f>
        <v>NFI</v>
      </c>
      <c r="DV19" s="56">
        <f>'PC LIST'!CI512</f>
        <v>11</v>
      </c>
      <c r="DW19" s="56" t="str">
        <f>'PC LIST'!B546</f>
        <v>PR14HDDWSW_W-B1</v>
      </c>
      <c r="DX19" s="57" t="str">
        <f>'PC LIST'!I546</f>
        <v>W-B1: Resource efficiency (distribution input per customer) - amount of water taken out of the environment</v>
      </c>
      <c r="DY19" s="57" t="str">
        <f>'PC LIST'!O546</f>
        <v>nr</v>
      </c>
      <c r="DZ19" s="57" t="str">
        <f>'PC LIST'!P546</f>
        <v>Litres per person per day (l/p/d)</v>
      </c>
      <c r="EA19" s="56">
        <f>'PC LIST'!Q546</f>
        <v>0</v>
      </c>
      <c r="EB19" s="56" t="str">
        <f>'PC LIST'!J546</f>
        <v>NFI</v>
      </c>
      <c r="EC19" s="56">
        <f>'PC LIST'!CI546</f>
        <v>348</v>
      </c>
      <c r="ED19" s="56" t="str">
        <f>'PC LIST'!B592</f>
        <v>PR14SVEWSW_W-B13</v>
      </c>
      <c r="EE19" s="57" t="str">
        <f>'PC LIST'!I592</f>
        <v xml:space="preserve">W-B13: Timing delays on Elan Valley Aqueduct (EVA) maintenance </v>
      </c>
      <c r="EF19" s="57" t="str">
        <f>'PC LIST'!O592</f>
        <v>text</v>
      </c>
      <c r="EG19" s="57" t="str">
        <f>'PC LIST'!P592</f>
        <v>Scheme delivery</v>
      </c>
      <c r="EH19" s="56" t="str">
        <f>'PC LIST'!Q592</f>
        <v>na</v>
      </c>
      <c r="EI19" s="56" t="str">
        <f>'PC LIST'!J592</f>
        <v>Under</v>
      </c>
      <c r="EJ19" s="56" t="str">
        <f>'PC LIST'!CI592</f>
        <v>Delivered</v>
      </c>
    </row>
    <row r="20" spans="8:140" ht="15.75" customHeight="1">
      <c r="H20" s="56" t="str">
        <f>'PC LIST'!B33</f>
        <v>PR14ANHWSW_W-I1</v>
      </c>
      <c r="I20" s="57" t="str">
        <f>'PC LIST'!I33</f>
        <v>W-I1: Mean zonal compliance (MZC)</v>
      </c>
      <c r="J20" s="57" t="str">
        <f>'PC LIST'!O33</f>
        <v>%</v>
      </c>
      <c r="K20" s="57" t="str">
        <f>'PC LIST'!P33</f>
        <v>Mean zonal compliance (%)</v>
      </c>
      <c r="L20" s="56">
        <f>'PC LIST'!Q33</f>
        <v>2</v>
      </c>
      <c r="M20" s="56" t="str">
        <f>'PC LIST'!J33</f>
        <v>Under</v>
      </c>
      <c r="N20" s="711">
        <f>'PC LIST'!CI33</f>
        <v>99.95</v>
      </c>
      <c r="O20" s="56" t="str">
        <f>'PC LIST'!B72</f>
        <v>PR14BRLHHR_J2</v>
      </c>
      <c r="P20" s="57" t="str">
        <f>'PC LIST'!I72</f>
        <v>J2: General satisfaction from surveys</v>
      </c>
      <c r="Q20" s="57" t="str">
        <f>'PC LIST'!O72</f>
        <v>%</v>
      </c>
      <c r="R20" s="57" t="str">
        <f>'PC LIST'!P72</f>
        <v>% customer satisfaction</v>
      </c>
      <c r="S20" s="56">
        <f>'PC LIST'!Q72</f>
        <v>0</v>
      </c>
      <c r="T20" s="56" t="str">
        <f>'PC LIST'!J72</f>
        <v>NFI</v>
      </c>
      <c r="U20" s="711">
        <f>'PC LIST'!CI72</f>
        <v>89</v>
      </c>
      <c r="X20" s="1882"/>
      <c r="Y20" s="1882"/>
      <c r="Z20" s="1882"/>
      <c r="AA20" s="1882"/>
      <c r="AB20" s="1882"/>
      <c r="AC20" s="56" t="str">
        <f>'PC LIST'!B106</f>
        <v>PR14NESWSWW_S-B2</v>
      </c>
      <c r="AD20" s="58" t="str">
        <f>'PC LIST'!I106</f>
        <v>S-B2: Properties flooded internally</v>
      </c>
      <c r="AE20" s="58" t="str">
        <f>'PC LIST'!O106</f>
        <v>nr</v>
      </c>
      <c r="AF20" s="58" t="str">
        <f>'PC LIST'!P106</f>
        <v>No. of properties flooded internally per year</v>
      </c>
      <c r="AG20" s="56">
        <f>'PC LIST'!Q106</f>
        <v>0</v>
      </c>
      <c r="AH20" s="56" t="str">
        <f>'PC LIST'!J106</f>
        <v>Out &amp; under</v>
      </c>
      <c r="AI20" s="56">
        <f>'PC LIST'!CI106</f>
        <v>124</v>
      </c>
      <c r="AL20" s="1882"/>
      <c r="AM20" s="1882"/>
      <c r="AN20" s="1882"/>
      <c r="AO20" s="1882"/>
      <c r="AP20" s="1882"/>
      <c r="AS20" s="1882"/>
      <c r="AT20" s="1882"/>
      <c r="AU20" s="1882"/>
      <c r="AV20" s="1882"/>
      <c r="AW20" s="1882"/>
      <c r="AX20" s="56" t="str">
        <f>'PC LIST'!B178</f>
        <v>PR14SESHHR_B3</v>
      </c>
      <c r="AY20" s="57" t="str">
        <f>'PC LIST'!I178</f>
        <v>B3: Customer perception of value for money</v>
      </c>
      <c r="AZ20" s="57" t="str">
        <f>'PC LIST'!O178</f>
        <v>%</v>
      </c>
      <c r="BA20" s="57" t="str">
        <f>'PC LIST'!P178</f>
        <v>% customer satisfaction</v>
      </c>
      <c r="BB20" s="56">
        <f>'PC LIST'!Q178</f>
        <v>0</v>
      </c>
      <c r="BC20" s="56" t="str">
        <f>'PC LIST'!J178</f>
        <v>NFI</v>
      </c>
      <c r="BD20" s="712">
        <f>'PC LIST'!CI178</f>
        <v>7.8</v>
      </c>
      <c r="BE20" s="56" t="str">
        <f>'PC LIST'!B199</f>
        <v>PR14SEWWSW_L1</v>
      </c>
      <c r="BF20" s="57" t="str">
        <f>'PC LIST'!I199</f>
        <v>L1: Number of breaches of National Security obligations (Security and Emergency Measures Direction)</v>
      </c>
      <c r="BG20" s="57" t="str">
        <f>'PC LIST'!O199</f>
        <v>nr</v>
      </c>
      <c r="BH20" s="57" t="str">
        <f>'PC LIST'!P199</f>
        <v>No. of SEMD compliance breaches</v>
      </c>
      <c r="BI20" s="56">
        <f>'PC LIST'!Q199</f>
        <v>0</v>
      </c>
      <c r="BJ20" s="56" t="str">
        <f>'PC LIST'!J199</f>
        <v>NFI</v>
      </c>
      <c r="BK20" s="56">
        <f>'PC LIST'!CI199</f>
        <v>0</v>
      </c>
      <c r="BL20" s="56" t="str">
        <f>'PC LIST'!B233</f>
        <v>PR14SRNWSWW_8</v>
      </c>
      <c r="BM20" s="57" t="str">
        <f>'PC LIST'!I233</f>
        <v>8: Bathing waters with ‘excellent’ water quality (part 1)</v>
      </c>
      <c r="BN20" s="57" t="str">
        <f>'PC LIST'!O233</f>
        <v>nr</v>
      </c>
      <c r="BO20" s="57" t="str">
        <f>'PC LIST'!P233</f>
        <v>No. of bathing waters</v>
      </c>
      <c r="BP20" s="56">
        <f>'PC LIST'!Q233</f>
        <v>0</v>
      </c>
      <c r="BQ20" s="56" t="str">
        <f>'PC LIST'!J233</f>
        <v>Out &amp; under</v>
      </c>
      <c r="BR20" s="56">
        <f>'PC LIST'!CI233</f>
        <v>57</v>
      </c>
      <c r="BU20" s="54"/>
      <c r="BV20" s="54"/>
      <c r="BW20" s="54"/>
      <c r="BX20" s="54"/>
      <c r="BY20" s="54"/>
      <c r="BZ20" s="56" t="str">
        <f>'PC LIST'!B281</f>
        <v>PR14SVTWSW_W-B14</v>
      </c>
      <c r="CA20" s="57" t="str">
        <f>'PC LIST'!I281</f>
        <v>W-B14: Non-delivery of the Elan Valley Aqueduct (EVA) maintenance</v>
      </c>
      <c r="CB20" s="57" t="str">
        <f>'PC LIST'!O281</f>
        <v>text</v>
      </c>
      <c r="CC20" s="57" t="str">
        <f>'PC LIST'!P281</f>
        <v>Scheme delivery</v>
      </c>
      <c r="CD20" s="56" t="str">
        <f>'PC LIST'!Q281</f>
        <v>na</v>
      </c>
      <c r="CE20" s="56" t="str">
        <f>'PC LIST'!J281</f>
        <v>Under</v>
      </c>
      <c r="CF20" s="712" t="str">
        <f>'PC LIST'!CI281</f>
        <v/>
      </c>
      <c r="CG20" s="56" t="str">
        <f>'PC LIST'!B326</f>
        <v>PR14SWTWSW_W-E5</v>
      </c>
      <c r="CH20" s="59" t="str">
        <f>'PC LIST'!I326</f>
        <v>W-E5: Pollution incidents (category 3 and 4)</v>
      </c>
      <c r="CI20" s="59" t="str">
        <f>'PC LIST'!O326</f>
        <v>nr</v>
      </c>
      <c r="CJ20" s="59" t="str">
        <f>'PC LIST'!P326</f>
        <v>No. of pollution incidents (cats 3 and 4)</v>
      </c>
      <c r="CK20" s="56">
        <f>'PC LIST'!Q326</f>
        <v>0</v>
      </c>
      <c r="CL20" s="56" t="str">
        <f>'PC LIST'!J326</f>
        <v>Under</v>
      </c>
      <c r="CM20" s="711">
        <f>'PC LIST'!CI326</f>
        <v>12</v>
      </c>
      <c r="CN20" s="56" t="str">
        <f>'PC LIST'!B368</f>
        <v>PR14TMSWSW_WC5</v>
      </c>
      <c r="CO20" s="57" t="str">
        <f>'PC LIST'!I368</f>
        <v>WC5: Deliver 100% of agreed measures to meet new environmental regulations</v>
      </c>
      <c r="CP20" s="57" t="str">
        <f>'PC LIST'!O368</f>
        <v>%</v>
      </c>
      <c r="CQ20" s="57" t="str">
        <f>'PC LIST'!P368</f>
        <v>% of agreed schemes completed</v>
      </c>
      <c r="CR20" s="56">
        <f>'PC LIST'!Q368</f>
        <v>0</v>
      </c>
      <c r="CS20" s="56" t="str">
        <f>'PC LIST'!J368</f>
        <v>Under</v>
      </c>
      <c r="CT20" s="56" t="str">
        <f>'PC LIST'!CI368</f>
        <v>Not available</v>
      </c>
      <c r="CU20" s="56" t="str">
        <f>'PC LIST'!B423</f>
        <v>PR14UUWSWW_S-D1</v>
      </c>
      <c r="CV20" s="57" t="str">
        <f>'PC LIST'!I423</f>
        <v>S-D1: Protecting rivers from deterioration due to population growth (includes Davyhulme non-delivery penalty)</v>
      </c>
      <c r="CW20" s="57" t="str">
        <f>'PC LIST'!O423</f>
        <v>nr</v>
      </c>
      <c r="CX20" s="57" t="str">
        <f>'PC LIST'!P423</f>
        <v>Kilometers (km) rivers protected from deterioration</v>
      </c>
      <c r="CY20" s="56">
        <f>'PC LIST'!Q423</f>
        <v>1</v>
      </c>
      <c r="CZ20" s="56" t="str">
        <f>'PC LIST'!J423</f>
        <v>Under</v>
      </c>
      <c r="DA20" s="56">
        <f>'PC LIST'!CI423</f>
        <v>322.89</v>
      </c>
      <c r="DB20" s="56" t="str">
        <f>'PC LIST'!B450</f>
        <v>PR14WSHWSWW_D2</v>
      </c>
      <c r="DC20" s="57" t="str">
        <f>'PC LIST'!I450</f>
        <v>D2: ‘At risk’ customer services - number of customers who have experienced poor service</v>
      </c>
      <c r="DD20" s="57" t="str">
        <f>'PC LIST'!O450</f>
        <v>nr</v>
      </c>
      <c r="DE20" s="57" t="str">
        <f>'PC LIST'!P450</f>
        <v>No. of properties/ incidents on the internal 'at risk' register</v>
      </c>
      <c r="DF20" s="56">
        <f>'PC LIST'!Q450</f>
        <v>0</v>
      </c>
      <c r="DG20" s="56" t="str">
        <f>'PC LIST'!J450</f>
        <v>NFI</v>
      </c>
      <c r="DH20" s="711">
        <f>'PC LIST'!CI450</f>
        <v>641</v>
      </c>
      <c r="DI20" s="56" t="str">
        <f>'PC LIST'!B481</f>
        <v>PR14WSXWSWW_C1</v>
      </c>
      <c r="DJ20" s="57" t="str">
        <f>'PC LIST'!I481</f>
        <v>C1: Internal flooding incidents</v>
      </c>
      <c r="DK20" s="57" t="str">
        <f>'PC LIST'!O481</f>
        <v>nr</v>
      </c>
      <c r="DL20" s="57" t="str">
        <f>'PC LIST'!P481</f>
        <v>No. of internal sewer flooding incidents / 10,000 properties</v>
      </c>
      <c r="DM20" s="56">
        <f>'PC LIST'!Q481</f>
        <v>2</v>
      </c>
      <c r="DN20" s="56" t="str">
        <f>'PC LIST'!J481</f>
        <v>Out &amp; under</v>
      </c>
      <c r="DO20" s="56">
        <f>'PC LIST'!CI481</f>
        <v>1.43</v>
      </c>
      <c r="DP20" s="56" t="str">
        <f>'PC LIST'!B513</f>
        <v>PR14YKYWSWW_SA3b</v>
      </c>
      <c r="DQ20" s="57" t="str">
        <f>'PC LIST'!I513</f>
        <v>SA3b: Pollution incidents - category 3</v>
      </c>
      <c r="DR20" s="57" t="str">
        <f>'PC LIST'!O513</f>
        <v>nr</v>
      </c>
      <c r="DS20" s="57" t="str">
        <f>'PC LIST'!P513</f>
        <v>No. of pollution incidents (cat 3)</v>
      </c>
      <c r="DT20" s="56">
        <f>'PC LIST'!Q513</f>
        <v>0</v>
      </c>
      <c r="DU20" s="56" t="str">
        <f>'PC LIST'!J513</f>
        <v>Out &amp; under</v>
      </c>
      <c r="DV20" s="56">
        <f>'PC LIST'!CI513</f>
        <v>188</v>
      </c>
      <c r="DW20" s="56" t="str">
        <f>'PC LIST'!B547</f>
        <v>PR14HDDWSW_W-B2</v>
      </c>
      <c r="DX20" s="57" t="str">
        <f>'PC LIST'!I547</f>
        <v>W-B2: Leakage levels</v>
      </c>
      <c r="DY20" s="57" t="str">
        <f>'PC LIST'!O547</f>
        <v>nr</v>
      </c>
      <c r="DZ20" s="57" t="str">
        <f>'PC LIST'!P547</f>
        <v>Megalitres per day (Ml/d)</v>
      </c>
      <c r="EA20" s="56">
        <f>'PC LIST'!Q547</f>
        <v>0</v>
      </c>
      <c r="EB20" s="56" t="str">
        <f>'PC LIST'!J547</f>
        <v>Out &amp; under</v>
      </c>
      <c r="EC20" s="56">
        <f>'PC LIST'!CI547</f>
        <v>7.89</v>
      </c>
      <c r="ED20" s="56" t="str">
        <f>'PC LIST'!B593</f>
        <v>PR14SVEWSW_W-B14</v>
      </c>
      <c r="EE20" s="57" t="str">
        <f>'PC LIST'!I593</f>
        <v>W-B14: Non-delivery of the Elan Valley Aqueduct (EVA) maintenance</v>
      </c>
      <c r="EF20" s="57" t="str">
        <f>'PC LIST'!O593</f>
        <v>text</v>
      </c>
      <c r="EG20" s="57" t="str">
        <f>'PC LIST'!P593</f>
        <v>Scheme delivery</v>
      </c>
      <c r="EH20" s="56" t="str">
        <f>'PC LIST'!Q593</f>
        <v>na</v>
      </c>
      <c r="EI20" s="56" t="str">
        <f>'PC LIST'!J593</f>
        <v>Under</v>
      </c>
      <c r="EJ20" s="56" t="str">
        <f>'PC LIST'!CI593</f>
        <v>Delivered</v>
      </c>
    </row>
    <row r="21" spans="8:140" ht="15.75" customHeight="1">
      <c r="H21" s="56" t="str">
        <f>'PC LIST'!B34</f>
        <v>PR14ANHWSWW_S-A2</v>
      </c>
      <c r="I21" s="57" t="str">
        <f>'PC LIST'!I34</f>
        <v>S-A2: Properties flooded internally from sewers - three-year average (reduction)</v>
      </c>
      <c r="J21" s="57" t="str">
        <f>'PC LIST'!O34</f>
        <v>nr</v>
      </c>
      <c r="K21" s="57" t="str">
        <f>'PC LIST'!P34</f>
        <v>No. of properties flooded internally (reduction)</v>
      </c>
      <c r="L21" s="56">
        <f>'PC LIST'!Q34</f>
        <v>0</v>
      </c>
      <c r="M21" s="56" t="str">
        <f>'PC LIST'!J34</f>
        <v>Out &amp; under</v>
      </c>
      <c r="N21" s="711">
        <f>'PC LIST'!CI34</f>
        <v>133</v>
      </c>
      <c r="O21" s="56" t="str">
        <f>'PC LIST'!B73</f>
        <v>PR14BRLHHR_J3</v>
      </c>
      <c r="P21" s="57" t="str">
        <f>'PC LIST'!I73</f>
        <v>J3: Value for money</v>
      </c>
      <c r="Q21" s="57" t="str">
        <f>'PC LIST'!O73</f>
        <v>%</v>
      </c>
      <c r="R21" s="57" t="str">
        <f>'PC LIST'!P73</f>
        <v>% customer satisfaction</v>
      </c>
      <c r="S21" s="56">
        <f>'PC LIST'!Q73</f>
        <v>0</v>
      </c>
      <c r="T21" s="56" t="str">
        <f>'PC LIST'!J73</f>
        <v>NFI</v>
      </c>
      <c r="U21" s="711">
        <f>'PC LIST'!CI73</f>
        <v>67.599999999999994</v>
      </c>
      <c r="X21" s="1882"/>
      <c r="Y21" s="1882"/>
      <c r="Z21" s="1882"/>
      <c r="AA21" s="1882"/>
      <c r="AB21" s="1882"/>
      <c r="AC21" s="56" t="str">
        <f>'PC LIST'!B107</f>
        <v>PR14NESWSWW_S-B3</v>
      </c>
      <c r="AD21" s="58" t="str">
        <f>'PC LIST'!I107</f>
        <v>S-B3: Repeat sewer flooding (3-year average)</v>
      </c>
      <c r="AE21" s="58" t="str">
        <f>'PC LIST'!O107</f>
        <v>nr</v>
      </c>
      <c r="AF21" s="58" t="str">
        <f>'PC LIST'!P107</f>
        <v>No. of properties per year</v>
      </c>
      <c r="AG21" s="56">
        <f>'PC LIST'!Q107</f>
        <v>0</v>
      </c>
      <c r="AH21" s="56" t="str">
        <f>'PC LIST'!J107</f>
        <v>Out &amp; under</v>
      </c>
      <c r="AI21" s="56">
        <f>'PC LIST'!CI107</f>
        <v>48</v>
      </c>
      <c r="AL21" s="1882"/>
      <c r="AM21" s="1882"/>
      <c r="AN21" s="1882"/>
      <c r="AO21" s="1882"/>
      <c r="AP21" s="1882"/>
      <c r="AS21" s="1882"/>
      <c r="AT21" s="1882"/>
      <c r="AU21" s="1882"/>
      <c r="AV21" s="1882"/>
      <c r="AW21" s="1882"/>
      <c r="AX21" s="56" t="str">
        <f>'PC LIST'!B179</f>
        <v>PR14SESHHR_D1</v>
      </c>
      <c r="AY21" s="57" t="str">
        <f>'PC LIST'!I179</f>
        <v>D1: Customer satisfaction (level of satisfaction in response to the tracker survey (overall quality score))</v>
      </c>
      <c r="AZ21" s="57" t="str">
        <f>'PC LIST'!O179</f>
        <v>%</v>
      </c>
      <c r="BA21" s="57" t="str">
        <f>'PC LIST'!P179</f>
        <v>% customer satisfaction</v>
      </c>
      <c r="BB21" s="56">
        <f>'PC LIST'!Q179</f>
        <v>1</v>
      </c>
      <c r="BC21" s="56" t="str">
        <f>'PC LIST'!J179</f>
        <v>NFI</v>
      </c>
      <c r="BD21" s="712">
        <f>'PC LIST'!CI179</f>
        <v>91.5</v>
      </c>
      <c r="BE21" s="56" t="str">
        <f>'PC LIST'!B200</f>
        <v>PR14SEWWSW_M1</v>
      </c>
      <c r="BF21" s="57" t="str">
        <f>'PC LIST'!I200</f>
        <v>M1: Number of compliance breaches with statutory obligations and licence conditions, not already reported in performance on outcomes I through to K</v>
      </c>
      <c r="BG21" s="57" t="str">
        <f>'PC LIST'!O200</f>
        <v>nr</v>
      </c>
      <c r="BH21" s="57" t="str">
        <f>'PC LIST'!P200</f>
        <v>No. of other compliance breaches</v>
      </c>
      <c r="BI21" s="56">
        <f>'PC LIST'!Q200</f>
        <v>0</v>
      </c>
      <c r="BJ21" s="56" t="str">
        <f>'PC LIST'!J200</f>
        <v>NFI</v>
      </c>
      <c r="BK21" s="56">
        <f>'PC LIST'!CI200</f>
        <v>1</v>
      </c>
      <c r="BL21" s="56" t="str">
        <f>'PC LIST'!B234</f>
        <v>PR14SRNWSWW_9</v>
      </c>
      <c r="BM21" s="57" t="str">
        <f>'PC LIST'!I234</f>
        <v>9: Bathing waters with ‘excellent’ water quality (part 2)</v>
      </c>
      <c r="BN21" s="57" t="str">
        <f>'PC LIST'!O234</f>
        <v>nr</v>
      </c>
      <c r="BO21" s="57" t="str">
        <f>'PC LIST'!P234</f>
        <v>No. of bathing waters</v>
      </c>
      <c r="BP21" s="56">
        <f>'PC LIST'!Q234</f>
        <v>0</v>
      </c>
      <c r="BQ21" s="56" t="str">
        <f>'PC LIST'!J234</f>
        <v>Out &amp; under</v>
      </c>
      <c r="BR21" s="56">
        <f>'PC LIST'!CI234</f>
        <v>5</v>
      </c>
      <c r="BU21" s="54"/>
      <c r="BV21" s="54"/>
      <c r="BW21" s="54"/>
      <c r="BX21" s="54"/>
      <c r="BY21" s="54"/>
      <c r="BZ21" s="56" t="str">
        <f>'PC LIST'!B282</f>
        <v>PR14SVTWSW_W-C1</v>
      </c>
      <c r="CA21" s="57" t="str">
        <f>'PC LIST'!I282</f>
        <v>W-C1: Customers rating our services as good value for money (based on tracker survey)</v>
      </c>
      <c r="CB21" s="57" t="str">
        <f>'PC LIST'!O282</f>
        <v>%</v>
      </c>
      <c r="CC21" s="57" t="str">
        <f>'PC LIST'!P282</f>
        <v>% customer satisfaction</v>
      </c>
      <c r="CD21" s="56">
        <f>'PC LIST'!Q282</f>
        <v>0</v>
      </c>
      <c r="CE21" s="56" t="str">
        <f>'PC LIST'!J282</f>
        <v>Out &amp; under</v>
      </c>
      <c r="CF21" s="712" t="str">
        <f>'PC LIST'!CI282</f>
        <v/>
      </c>
      <c r="CG21" s="56" t="str">
        <f>'PC LIST'!B327</f>
        <v>PR14SWTWSW_W-E6</v>
      </c>
      <c r="CH21" s="59" t="str">
        <f>'PC LIST'!I327</f>
        <v>W-E6: Operational carbon emissions (ktCO2e)</v>
      </c>
      <c r="CI21" s="59" t="str">
        <f>'PC LIST'!O327</f>
        <v>nr</v>
      </c>
      <c r="CJ21" s="59" t="str">
        <f>'PC LIST'!P327</f>
        <v>ktCO2e</v>
      </c>
      <c r="CK21" s="56">
        <f>'PC LIST'!Q327</f>
        <v>1</v>
      </c>
      <c r="CL21" s="56" t="str">
        <f>'PC LIST'!J327</f>
        <v>NFI</v>
      </c>
      <c r="CM21" s="711">
        <f>'PC LIST'!CI327</f>
        <v>56.646525515988195</v>
      </c>
      <c r="CN21" s="56" t="str">
        <f>'PC LIST'!B369</f>
        <v>PR14TMSWSW_WD1</v>
      </c>
      <c r="CO21" s="57" t="str">
        <f>'PC LIST'!I369</f>
        <v>WD1: Energy imported less energy exported</v>
      </c>
      <c r="CP21" s="57" t="str">
        <f>'PC LIST'!O369</f>
        <v>nr</v>
      </c>
      <c r="CQ21" s="57" t="str">
        <f>'PC LIST'!P369</f>
        <v>GWh (gigawatt-hours)</v>
      </c>
      <c r="CR21" s="56">
        <f>'PC LIST'!Q369</f>
        <v>0</v>
      </c>
      <c r="CS21" s="56" t="str">
        <f>'PC LIST'!J369</f>
        <v>NFI</v>
      </c>
      <c r="CT21" s="56">
        <f>'PC LIST'!CI369</f>
        <v>520</v>
      </c>
      <c r="CU21" s="56" t="str">
        <f>'PC LIST'!B424</f>
        <v>PR14UUWSWW_S-D2</v>
      </c>
      <c r="CV21" s="57" t="str">
        <f>'PC LIST'!I424</f>
        <v>S-D2: Maintaining our wastewater treatment works (includes Oldham and Royton WwTWs special cost factor claims)</v>
      </c>
      <c r="CW21" s="57" t="str">
        <f>'PC LIST'!O424</f>
        <v>score</v>
      </c>
      <c r="CX21" s="57" t="str">
        <f>'PC LIST'!P424</f>
        <v>Maintaining WwTWs index (UU bespoke)</v>
      </c>
      <c r="CY21" s="56">
        <f>'PC LIST'!Q424</f>
        <v>4</v>
      </c>
      <c r="CZ21" s="56" t="str">
        <f>'PC LIST'!J424</f>
        <v>Under</v>
      </c>
      <c r="DA21" s="56">
        <f>'PC LIST'!CI424</f>
        <v>39.166499999999999</v>
      </c>
      <c r="DB21" s="56" t="str">
        <f>'PC LIST'!B451</f>
        <v>PR14WSHWSWW_D3</v>
      </c>
      <c r="DC21" s="57" t="str">
        <f>'PC LIST'!I451</f>
        <v>D3: Internal sewer flooding - properties flooded in the year</v>
      </c>
      <c r="DD21" s="57" t="str">
        <f>'PC LIST'!O451</f>
        <v>nr</v>
      </c>
      <c r="DE21" s="57" t="str">
        <f>'PC LIST'!P451</f>
        <v>No. of properties subjected to internal sewer flooding</v>
      </c>
      <c r="DF21" s="56">
        <f>'PC LIST'!Q451</f>
        <v>0</v>
      </c>
      <c r="DG21" s="56" t="str">
        <f>'PC LIST'!J451</f>
        <v>Out &amp; under</v>
      </c>
      <c r="DH21" s="711">
        <f>'PC LIST'!CI451</f>
        <v>221</v>
      </c>
      <c r="DI21" s="56" t="str">
        <f>'PC LIST'!B482</f>
        <v>PR14WSXWSWW_C2</v>
      </c>
      <c r="DJ21" s="57" t="str">
        <f>'PC LIST'!I482</f>
        <v>C2: Risk of flooding from public sewers due to hydraulic inadequacy</v>
      </c>
      <c r="DK21" s="57" t="str">
        <f>'PC LIST'!O482</f>
        <v>nr</v>
      </c>
      <c r="DL21" s="57" t="str">
        <f>'PC LIST'!P482</f>
        <v>Flooding risk as measured by sewer flooding risk grid</v>
      </c>
      <c r="DM21" s="56">
        <f>'PC LIST'!Q482</f>
        <v>0</v>
      </c>
      <c r="DN21" s="56" t="str">
        <f>'PC LIST'!J482</f>
        <v>Out &amp; under</v>
      </c>
      <c r="DO21" s="56">
        <f>'PC LIST'!CI482</f>
        <v>50176</v>
      </c>
      <c r="DP21" s="56" t="str">
        <f>'PC LIST'!B514</f>
        <v>PR14YKYWSWW_SA4</v>
      </c>
      <c r="DQ21" s="57" t="str">
        <f>'PC LIST'!I514</f>
        <v>SA4: Sewer network stability and reliability factor</v>
      </c>
      <c r="DR21" s="57" t="str">
        <f>'PC LIST'!O514</f>
        <v>category</v>
      </c>
      <c r="DS21" s="57" t="str">
        <f>'PC LIST'!P514</f>
        <v>Asset health indicator</v>
      </c>
      <c r="DT21" s="56" t="str">
        <f>'PC LIST'!Q514</f>
        <v>na</v>
      </c>
      <c r="DU21" s="56" t="str">
        <f>'PC LIST'!J514</f>
        <v>Under</v>
      </c>
      <c r="DV21" s="56" t="str">
        <f>'PC LIST'!CI514</f>
        <v>Stable</v>
      </c>
      <c r="DW21" s="56" t="str">
        <f>'PC LIST'!B548</f>
        <v>PR14HDDWSW_W-B3</v>
      </c>
      <c r="DX21" s="57" t="str">
        <f>'PC LIST'!I548</f>
        <v>W-B3: Speed of response in repairing leaks (% fixed within 24 hours)</v>
      </c>
      <c r="DY21" s="57" t="str">
        <f>'PC LIST'!O548</f>
        <v>%</v>
      </c>
      <c r="DZ21" s="57" t="str">
        <f>'PC LIST'!P548</f>
        <v>% visible leaks fixed within 24 hours</v>
      </c>
      <c r="EA21" s="56">
        <f>'PC LIST'!Q548</f>
        <v>0</v>
      </c>
      <c r="EB21" s="56" t="str">
        <f>'PC LIST'!J548</f>
        <v>Out &amp; under</v>
      </c>
      <c r="EC21" s="56">
        <f>'PC LIST'!CI548</f>
        <v>26</v>
      </c>
      <c r="ED21" s="56" t="str">
        <f>'PC LIST'!B594</f>
        <v>PR14SVEWSW_W-C1</v>
      </c>
      <c r="EE21" s="57" t="str">
        <f>'PC LIST'!I594</f>
        <v>W-C1: Customers rating our services as good value for money (based on tracker survey)</v>
      </c>
      <c r="EF21" s="57" t="str">
        <f>'PC LIST'!O594</f>
        <v>%</v>
      </c>
      <c r="EG21" s="57" t="str">
        <f>'PC LIST'!P594</f>
        <v>% customer satisfaction</v>
      </c>
      <c r="EH21" s="56">
        <f>'PC LIST'!Q594</f>
        <v>0</v>
      </c>
      <c r="EI21" s="56" t="str">
        <f>'PC LIST'!J594</f>
        <v>Out &amp; under</v>
      </c>
      <c r="EJ21" s="56">
        <f>'PC LIST'!CI594</f>
        <v>63</v>
      </c>
    </row>
    <row r="22" spans="8:140" ht="15.75" customHeight="1">
      <c r="H22" s="56" t="str">
        <f>'PC LIST'!B35</f>
        <v>PR14ANHWSWW_S-A3</v>
      </c>
      <c r="I22" s="57" t="str">
        <f>'PC LIST'!I35</f>
        <v>S-A3: Properties flooded externally from sewers - three-year average (reduction)</v>
      </c>
      <c r="J22" s="57" t="str">
        <f>'PC LIST'!O35</f>
        <v>nr</v>
      </c>
      <c r="K22" s="57" t="str">
        <f>'PC LIST'!P35</f>
        <v>No. of properties flooded externally (reduction)</v>
      </c>
      <c r="L22" s="56">
        <f>'PC LIST'!Q35</f>
        <v>0</v>
      </c>
      <c r="M22" s="56" t="str">
        <f>'PC LIST'!J35</f>
        <v>Under</v>
      </c>
      <c r="N22" s="711">
        <f>'PC LIST'!CI35</f>
        <v>2033</v>
      </c>
      <c r="O22" s="56" t="str">
        <f>'PC LIST'!B74</f>
        <v>PR14BRLHHR_K1</v>
      </c>
      <c r="P22" s="57" t="str">
        <f>'PC LIST'!I74</f>
        <v>K1: Ease of contact from surveys</v>
      </c>
      <c r="Q22" s="57" t="str">
        <f>'PC LIST'!O74</f>
        <v>%</v>
      </c>
      <c r="R22" s="57" t="str">
        <f>'PC LIST'!P74</f>
        <v>% customer satisfaction</v>
      </c>
      <c r="S22" s="56">
        <f>'PC LIST'!Q74</f>
        <v>1</v>
      </c>
      <c r="T22" s="56" t="str">
        <f>'PC LIST'!J74</f>
        <v>NFI</v>
      </c>
      <c r="U22" s="711">
        <f>'PC LIST'!CI74</f>
        <v>91.4</v>
      </c>
      <c r="X22" s="1882"/>
      <c r="Y22" s="1882"/>
      <c r="Z22" s="1882"/>
      <c r="AA22" s="1882"/>
      <c r="AB22" s="1882"/>
      <c r="AC22" s="56" t="str">
        <f>'PC LIST'!B108</f>
        <v>PR14NESWSWW_S-B4</v>
      </c>
      <c r="AD22" s="58" t="str">
        <f>'PC LIST'!I108</f>
        <v>S-B4: Sewer collapses (3-year average)</v>
      </c>
      <c r="AE22" s="58" t="str">
        <f>'PC LIST'!O108</f>
        <v>nr</v>
      </c>
      <c r="AF22" s="58" t="str">
        <f>'PC LIST'!P108</f>
        <v>No. of sewer collapses per year - excluding TDSs</v>
      </c>
      <c r="AG22" s="56">
        <f>'PC LIST'!Q108</f>
        <v>0</v>
      </c>
      <c r="AH22" s="56" t="str">
        <f>'PC LIST'!J108</f>
        <v>Under</v>
      </c>
      <c r="AI22" s="56">
        <f>'PC LIST'!CI108</f>
        <v>50</v>
      </c>
      <c r="AL22" s="1882"/>
      <c r="AM22" s="1882"/>
      <c r="AN22" s="1882"/>
      <c r="AO22" s="1882"/>
      <c r="AP22" s="1882"/>
      <c r="AS22" s="1882"/>
      <c r="AT22" s="1882"/>
      <c r="AU22" s="1882"/>
      <c r="AV22" s="1882"/>
      <c r="AW22" s="1882"/>
      <c r="AX22" s="56" t="str">
        <f>'PC LIST'!B180</f>
        <v>PR14SESHHR_D2</v>
      </c>
      <c r="AY22" s="57" t="str">
        <f>'PC LIST'!I180</f>
        <v>D2: Service incentive mechanism (SIM)</v>
      </c>
      <c r="AZ22" s="57" t="str">
        <f>'PC LIST'!O180</f>
        <v>score</v>
      </c>
      <c r="BA22" s="57" t="str">
        <f>'PC LIST'!P180</f>
        <v>Service incentive mechanism (SIM) score</v>
      </c>
      <c r="BB22" s="56">
        <f>'PC LIST'!Q180</f>
        <v>1</v>
      </c>
      <c r="BC22" s="56" t="str">
        <f>'PC LIST'!J180</f>
        <v>Out &amp; under</v>
      </c>
      <c r="BD22" s="712">
        <f>'PC LIST'!CI180</f>
        <v>80.5</v>
      </c>
      <c r="BE22" s="56" t="str">
        <f>'PC LIST'!B201</f>
        <v>PR14SEWWSW_N1</v>
      </c>
      <c r="BF22" s="57" t="str">
        <f>'PC LIST'!I201</f>
        <v>N1: Discolouration contacts</v>
      </c>
      <c r="BG22" s="57" t="str">
        <f>'PC LIST'!O201</f>
        <v>nr</v>
      </c>
      <c r="BH22" s="57" t="str">
        <f>'PC LIST'!P201</f>
        <v>No. per 1,000 population</v>
      </c>
      <c r="BI22" s="56">
        <f>'PC LIST'!Q201</f>
        <v>2</v>
      </c>
      <c r="BJ22" s="56" t="str">
        <f>'PC LIST'!J201</f>
        <v>Out &amp; under</v>
      </c>
      <c r="BK22" s="56">
        <f>'PC LIST'!CI201</f>
        <v>0.59</v>
      </c>
      <c r="BL22" s="56" t="str">
        <f>'PC LIST'!B235</f>
        <v>PR14SRNWSWW_10</v>
      </c>
      <c r="BM22" s="57" t="str">
        <f>'PC LIST'!I235</f>
        <v>10: Bathing waters with ‘excellent’ water quality (part 3)</v>
      </c>
      <c r="BN22" s="57" t="str">
        <f>'PC LIST'!O235</f>
        <v>£m</v>
      </c>
      <c r="BO22" s="57" t="str">
        <f>'PC LIST'!P235</f>
        <v>£ million estimated scheme costs</v>
      </c>
      <c r="BP22" s="56">
        <f>'PC LIST'!Q235</f>
        <v>1</v>
      </c>
      <c r="BQ22" s="56" t="str">
        <f>'PC LIST'!J235</f>
        <v>Under</v>
      </c>
      <c r="BR22" s="56" t="str">
        <f>'PC LIST'!CI235</f>
        <v>N/A</v>
      </c>
      <c r="BU22" s="54"/>
      <c r="BV22" s="54"/>
      <c r="BW22" s="54"/>
      <c r="BX22" s="54"/>
      <c r="BY22" s="54"/>
      <c r="BZ22" s="56" t="str">
        <f>'PC LIST'!B283</f>
        <v>PR14SVTWSW_W-D1</v>
      </c>
      <c r="CA22" s="57" t="str">
        <f>'PC LIST'!I283</f>
        <v>W-D1: Improvements in river water quality against WFD criteria</v>
      </c>
      <c r="CB22" s="57" t="str">
        <f>'PC LIST'!O283</f>
        <v>nr</v>
      </c>
      <c r="CC22" s="57" t="str">
        <f>'PC LIST'!P283</f>
        <v>No. WFD classification improvements</v>
      </c>
      <c r="CD22" s="56">
        <f>'PC LIST'!Q283</f>
        <v>0</v>
      </c>
      <c r="CE22" s="56" t="str">
        <f>'PC LIST'!J283</f>
        <v>Out &amp; under</v>
      </c>
      <c r="CF22" s="712" t="str">
        <f>'PC LIST'!CI283</f>
        <v/>
      </c>
      <c r="CG22" s="56" t="str">
        <f>'PC LIST'!B328</f>
        <v>PR14SWTWSW_W-E7</v>
      </c>
      <c r="CH22" s="59" t="str">
        <f>'PC LIST'!I328</f>
        <v>W-E7: Energy from renewable sources (%)</v>
      </c>
      <c r="CI22" s="59" t="str">
        <f>'PC LIST'!O328</f>
        <v>%</v>
      </c>
      <c r="CJ22" s="59" t="str">
        <f>'PC LIST'!P328</f>
        <v>% energy from renewable sources</v>
      </c>
      <c r="CK22" s="56">
        <f>'PC LIST'!Q328</f>
        <v>2</v>
      </c>
      <c r="CL22" s="56" t="str">
        <f>'PC LIST'!J328</f>
        <v>NFI</v>
      </c>
      <c r="CM22" s="711">
        <f>'PC LIST'!CI328</f>
        <v>9.476146685660094</v>
      </c>
      <c r="CN22" s="56" t="str">
        <f>'PC LIST'!B370</f>
        <v>PR14TMSWSWW_SA1</v>
      </c>
      <c r="CO22" s="57" t="str">
        <f>'PC LIST'!I370</f>
        <v>SA1: Improve handling of written complaints by increasing first time resolution</v>
      </c>
      <c r="CP22" s="57" t="str">
        <f>'PC LIST'!O370</f>
        <v>%</v>
      </c>
      <c r="CQ22" s="57" t="str">
        <f>'PC LIST'!P370</f>
        <v>% written complaints resolved 1st time</v>
      </c>
      <c r="CR22" s="56">
        <f>'PC LIST'!Q370</f>
        <v>0</v>
      </c>
      <c r="CS22" s="56" t="str">
        <f>'PC LIST'!J370</f>
        <v>NFI</v>
      </c>
      <c r="CT22" s="56">
        <f>'PC LIST'!CI370</f>
        <v>83.617424242424207</v>
      </c>
      <c r="CU22" s="56" t="str">
        <f>'PC LIST'!B425</f>
        <v>PR14UUWSWW_S-D3</v>
      </c>
      <c r="CV22" s="57" t="str">
        <f>'PC LIST'!I425</f>
        <v>S-D3: Contribution to rivers improved - wastewater programme (includes Oldham, Royton and Windermere)</v>
      </c>
      <c r="CW22" s="57" t="str">
        <f>'PC LIST'!O425</f>
        <v>nr</v>
      </c>
      <c r="CX22" s="57" t="str">
        <f>'PC LIST'!P425</f>
        <v>Kilometres (km) of river improved (cumulative)</v>
      </c>
      <c r="CY22" s="56">
        <f>'PC LIST'!Q425</f>
        <v>2</v>
      </c>
      <c r="CZ22" s="56" t="str">
        <f>'PC LIST'!J425</f>
        <v>Out &amp; under</v>
      </c>
      <c r="DA22" s="56">
        <f>'PC LIST'!CI425</f>
        <v>178.93</v>
      </c>
      <c r="DB22" s="56" t="str">
        <f>'PC LIST'!B452</f>
        <v>PR14WSHWSWW_D5</v>
      </c>
      <c r="DC22" s="57" t="str">
        <f>'PC LIST'!I452</f>
        <v>D5: Earning the trust of customers  - % of customers surveyed that say they trust the company</v>
      </c>
      <c r="DD22" s="57" t="str">
        <f>'PC LIST'!O452</f>
        <v>%</v>
      </c>
      <c r="DE22" s="57" t="str">
        <f>'PC LIST'!P452</f>
        <v>% customer satisfaction</v>
      </c>
      <c r="DF22" s="56">
        <f>'PC LIST'!Q452</f>
        <v>0</v>
      </c>
      <c r="DG22" s="56" t="str">
        <f>'PC LIST'!J452</f>
        <v>NFI</v>
      </c>
      <c r="DH22" s="711">
        <f>'PC LIST'!CI452</f>
        <v>85</v>
      </c>
      <c r="DI22" s="56" t="str">
        <f>'PC LIST'!B483</f>
        <v>PR14WSXWSWW_C3a</v>
      </c>
      <c r="DJ22" s="57" t="str">
        <f>'PC LIST'!I483</f>
        <v>C3a: North Bristol Sewer Scheme - Frome catchment</v>
      </c>
      <c r="DK22" s="57" t="str">
        <f>'PC LIST'!O483</f>
        <v>text</v>
      </c>
      <c r="DL22" s="57" t="str">
        <f>'PC LIST'!P483</f>
        <v>Scheme delivery - Frome catchment</v>
      </c>
      <c r="DM22" s="56" t="str">
        <f>'PC LIST'!Q483</f>
        <v>na</v>
      </c>
      <c r="DN22" s="56" t="str">
        <f>'PC LIST'!J483</f>
        <v>Under</v>
      </c>
      <c r="DO22" s="56" t="str">
        <f>'PC LIST'!CI483</f>
        <v>Complete</v>
      </c>
      <c r="DP22" s="56" t="str">
        <f>'PC LIST'!B515</f>
        <v>PR14YKYWSWW_SB1</v>
      </c>
      <c r="DQ22" s="57" t="str">
        <f>'PC LIST'!I515</f>
        <v>SB1: Number of Yorkshire's designated bathing waters that exceed the required quality standard</v>
      </c>
      <c r="DR22" s="57" t="str">
        <f>'PC LIST'!O515</f>
        <v>nr</v>
      </c>
      <c r="DS22" s="57" t="str">
        <f>'PC LIST'!P515</f>
        <v>No. of bathing waters exceeding required standard</v>
      </c>
      <c r="DT22" s="56">
        <f>'PC LIST'!Q515</f>
        <v>0</v>
      </c>
      <c r="DU22" s="56" t="str">
        <f>'PC LIST'!J515</f>
        <v>NFI</v>
      </c>
      <c r="DV22" s="56">
        <f>'PC LIST'!CI515</f>
        <v>17</v>
      </c>
      <c r="DW22" s="56" t="str">
        <f>'PC LIST'!B549</f>
        <v>PR14HDDWSW_W-B4</v>
      </c>
      <c r="DX22" s="57" t="str">
        <f>'PC LIST'!I549</f>
        <v>W-B4: Number of minutes customers go without supply each year (interruptions to supply &gt; 3 hours)</v>
      </c>
      <c r="DY22" s="57" t="str">
        <f>'PC LIST'!O549</f>
        <v>time</v>
      </c>
      <c r="DZ22" s="57" t="str">
        <f>'PC LIST'!P549</f>
        <v>Minutes / property / year</v>
      </c>
      <c r="EA22" s="56">
        <f>'PC LIST'!Q549</f>
        <v>2</v>
      </c>
      <c r="EB22" s="56" t="str">
        <f>'PC LIST'!J549</f>
        <v>Out &amp; under</v>
      </c>
      <c r="EC22" s="56">
        <f>'PC LIST'!CI549</f>
        <v>93.744790337089739</v>
      </c>
      <c r="ED22" s="56" t="str">
        <f>'PC LIST'!B595</f>
        <v>PR14SVEWSW_W-D1</v>
      </c>
      <c r="EE22" s="57" t="str">
        <f>'PC LIST'!I595</f>
        <v>W-D1: Improvements in river water quality against WFD criteria</v>
      </c>
      <c r="EF22" s="57" t="str">
        <f>'PC LIST'!O595</f>
        <v>nr</v>
      </c>
      <c r="EG22" s="57" t="str">
        <f>'PC LIST'!P595</f>
        <v>No. WFD classification improvements</v>
      </c>
      <c r="EH22" s="56">
        <f>'PC LIST'!Q595</f>
        <v>0</v>
      </c>
      <c r="EI22" s="56" t="str">
        <f>'PC LIST'!J595</f>
        <v>Out &amp; under</v>
      </c>
      <c r="EJ22" s="56">
        <f>'PC LIST'!CI595</f>
        <v>0</v>
      </c>
    </row>
    <row r="23" spans="8:140" ht="15.75" customHeight="1">
      <c r="H23" s="56" t="str">
        <f>'PC LIST'!B36</f>
        <v>PR14ANHWSWW_S-A4</v>
      </c>
      <c r="I23" s="57" t="str">
        <f>'PC LIST'!I36</f>
        <v>S-A4: Percentage of sewerage capacity schemes incorporating sustainable solutions</v>
      </c>
      <c r="J23" s="57" t="str">
        <f>'PC LIST'!O36</f>
        <v>%</v>
      </c>
      <c r="K23" s="57" t="str">
        <f>'PC LIST'!P36</f>
        <v>% sustainable sewerage capacity schemes</v>
      </c>
      <c r="L23" s="56">
        <f>'PC LIST'!Q36</f>
        <v>0</v>
      </c>
      <c r="M23" s="56" t="str">
        <f>'PC LIST'!J36</f>
        <v>NFI</v>
      </c>
      <c r="N23" s="711">
        <f>'PC LIST'!CI36</f>
        <v>41</v>
      </c>
      <c r="O23" s="56" t="str">
        <f>'PC LIST'!B75</f>
        <v>PR14BRLHHR_L1</v>
      </c>
      <c r="P23" s="57" t="str">
        <f>'PC LIST'!I75</f>
        <v>L1: Negative billing contacts</v>
      </c>
      <c r="Q23" s="57" t="str">
        <f>'PC LIST'!O75</f>
        <v>nr</v>
      </c>
      <c r="R23" s="57" t="str">
        <f>'PC LIST'!P75</f>
        <v>No. of contacts per year</v>
      </c>
      <c r="S23" s="56">
        <f>'PC LIST'!Q75</f>
        <v>0</v>
      </c>
      <c r="T23" s="56" t="str">
        <f>'PC LIST'!J75</f>
        <v>NFI</v>
      </c>
      <c r="U23" s="711">
        <f>'PC LIST'!CI75</f>
        <v>1595</v>
      </c>
      <c r="X23" s="1882"/>
      <c r="Y23" s="1882"/>
      <c r="Z23" s="1882"/>
      <c r="AA23" s="1882"/>
      <c r="AB23" s="1882"/>
      <c r="AC23" s="56" t="str">
        <f>'PC LIST'!B109</f>
        <v>PR14NESWSWW_S-B5</v>
      </c>
      <c r="AD23" s="58" t="str">
        <f>'PC LIST'!I109</f>
        <v>S-B5: Transferred drains and sewers - internal sewer flooding</v>
      </c>
      <c r="AE23" s="58" t="str">
        <f>'PC LIST'!O109</f>
        <v>nr</v>
      </c>
      <c r="AF23" s="58" t="str">
        <f>'PC LIST'!P109</f>
        <v>No. of properties per year</v>
      </c>
      <c r="AG23" s="56">
        <f>'PC LIST'!Q109</f>
        <v>0</v>
      </c>
      <c r="AH23" s="56" t="str">
        <f>'PC LIST'!J109</f>
        <v>Out &amp; under</v>
      </c>
      <c r="AI23" s="56">
        <f>'PC LIST'!CI109</f>
        <v>246</v>
      </c>
      <c r="AL23" s="1882"/>
      <c r="AM23" s="1882"/>
      <c r="AN23" s="1882"/>
      <c r="AO23" s="1882"/>
      <c r="AP23" s="1882"/>
      <c r="AS23" s="1882"/>
      <c r="AT23" s="1882"/>
      <c r="AU23" s="1882"/>
      <c r="AV23" s="1882"/>
      <c r="AW23" s="1882"/>
      <c r="AX23" s="56" t="str">
        <f>'PC LIST'!B181</f>
        <v>PR14SESHHR_D3</v>
      </c>
      <c r="AY23" s="57" t="str">
        <f>'PC LIST'!I181</f>
        <v>D3: Total number of complaints</v>
      </c>
      <c r="AZ23" s="57" t="str">
        <f>'PC LIST'!O181</f>
        <v>nr</v>
      </c>
      <c r="BA23" s="57" t="str">
        <f>'PC LIST'!P181</f>
        <v>No. per 1,000 billed properties</v>
      </c>
      <c r="BB23" s="56">
        <f>'PC LIST'!Q181</f>
        <v>1</v>
      </c>
      <c r="BC23" s="56" t="str">
        <f>'PC LIST'!J181</f>
        <v>NFI</v>
      </c>
      <c r="BD23" s="712">
        <f>'PC LIST'!CI181</f>
        <v>8</v>
      </c>
      <c r="BE23" s="56" t="str">
        <f>'PC LIST'!B202</f>
        <v>PR14SEWWSW_N2</v>
      </c>
      <c r="BF23" s="57" t="str">
        <f>'PC LIST'!I202</f>
        <v>N2: Above ground asset performance assessment</v>
      </c>
      <c r="BG23" s="57" t="str">
        <f>'PC LIST'!O202</f>
        <v>category</v>
      </c>
      <c r="BH23" s="57" t="str">
        <f>'PC LIST'!P202</f>
        <v>Asset health indicator</v>
      </c>
      <c r="BI23" s="56" t="str">
        <f>'PC LIST'!Q202</f>
        <v>na</v>
      </c>
      <c r="BJ23" s="56" t="str">
        <f>'PC LIST'!J202</f>
        <v>Under</v>
      </c>
      <c r="BK23" s="56" t="str">
        <f>'PC LIST'!CI202</f>
        <v>Stable</v>
      </c>
      <c r="BL23" s="56" t="str">
        <f>'PC LIST'!B236</f>
        <v>PR14SRNWSWW_11</v>
      </c>
      <c r="BM23" s="57" t="str">
        <f>'PC LIST'!I236</f>
        <v>11: Serious pollution incidents (category 1 and 2 pollution incidents, as reported by the EA on MD109)</v>
      </c>
      <c r="BN23" s="57" t="str">
        <f>'PC LIST'!O236</f>
        <v>nr</v>
      </c>
      <c r="BO23" s="57" t="str">
        <f>'PC LIST'!P236</f>
        <v>No. of pollution incidents (cats 1 and 2)</v>
      </c>
      <c r="BP23" s="56">
        <f>'PC LIST'!Q236</f>
        <v>0</v>
      </c>
      <c r="BQ23" s="56" t="str">
        <f>'PC LIST'!J236</f>
        <v>NFI</v>
      </c>
      <c r="BR23" s="56">
        <f>'PC LIST'!CI236</f>
        <v>7</v>
      </c>
      <c r="BU23" s="1882"/>
      <c r="BV23" s="1882"/>
      <c r="BW23" s="1882"/>
      <c r="BX23" s="1882"/>
      <c r="BY23" s="1882"/>
      <c r="BZ23" s="56" t="str">
        <f>'PC LIST'!B284</f>
        <v>PR14SVTWSW_W-D2</v>
      </c>
      <c r="CA23" s="57" t="str">
        <f>'PC LIST'!I284</f>
        <v>W-D2: Asset stewardship - environmental compliance</v>
      </c>
      <c r="CB23" s="57" t="str">
        <f>'PC LIST'!O284</f>
        <v>%</v>
      </c>
      <c r="CC23" s="57" t="str">
        <f>'PC LIST'!P284</f>
        <v>% environmental compliance</v>
      </c>
      <c r="CD23" s="56">
        <f>'PC LIST'!Q284</f>
        <v>0</v>
      </c>
      <c r="CE23" s="56" t="str">
        <f>'PC LIST'!J284</f>
        <v>NFI</v>
      </c>
      <c r="CF23" s="712" t="str">
        <f>'PC LIST'!CI284</f>
        <v/>
      </c>
      <c r="CG23" s="56" t="str">
        <f>'PC LIST'!B329</f>
        <v>PR14SWTWSW_W-F1</v>
      </c>
      <c r="CH23" s="59" t="str">
        <f>'PC LIST'!I329</f>
        <v>W-F1: Customers paying a metered bill</v>
      </c>
      <c r="CI23" s="59" t="str">
        <f>'PC LIST'!O329</f>
        <v>%</v>
      </c>
      <c r="CJ23" s="59" t="str">
        <f>'PC LIST'!P329</f>
        <v>% domestic customers with metered bill</v>
      </c>
      <c r="CK23" s="56">
        <f>'PC LIST'!Q329</f>
        <v>1</v>
      </c>
      <c r="CL23" s="56" t="str">
        <f>'PC LIST'!J329</f>
        <v>Under</v>
      </c>
      <c r="CM23" s="711">
        <f>'PC LIST'!CI329</f>
        <v>82.763504392661929</v>
      </c>
      <c r="CN23" s="56" t="str">
        <f>'PC LIST'!B371</f>
        <v>PR14TMSWSWW_SA2</v>
      </c>
      <c r="CO23" s="57" t="str">
        <f>'PC LIST'!I371</f>
        <v>SA2: Number of written complaints per 10,000 connected properties</v>
      </c>
      <c r="CP23" s="57" t="str">
        <f>'PC LIST'!O371</f>
        <v>nr</v>
      </c>
      <c r="CQ23" s="57" t="str">
        <f>'PC LIST'!P371</f>
        <v>No. written complaints / 10,000 properties</v>
      </c>
      <c r="CR23" s="56">
        <f>'PC LIST'!Q371</f>
        <v>2</v>
      </c>
      <c r="CS23" s="56" t="str">
        <f>'PC LIST'!J371</f>
        <v>NFI</v>
      </c>
      <c r="CT23" s="56">
        <f>'PC LIST'!CI371</f>
        <v>5.3385370588502896</v>
      </c>
      <c r="CU23" s="56" t="str">
        <f>'PC LIST'!B426</f>
        <v>PR14UUWSWW_S-D4a</v>
      </c>
      <c r="CV23" s="57" t="str">
        <f>'PC LIST'!I426</f>
        <v>S-D4a: Wastewater serious (category 1 and 2) pollution incidents</v>
      </c>
      <c r="CW23" s="57" t="str">
        <f>'PC LIST'!O426</f>
        <v>nr</v>
      </c>
      <c r="CX23" s="57" t="str">
        <f>'PC LIST'!P426</f>
        <v>No. of pollution incidents (cats 1 and 2)</v>
      </c>
      <c r="CY23" s="56">
        <f>'PC LIST'!Q426</f>
        <v>0</v>
      </c>
      <c r="CZ23" s="56" t="str">
        <f>'PC LIST'!J426</f>
        <v>Under</v>
      </c>
      <c r="DA23" s="56">
        <f>'PC LIST'!CI426</f>
        <v>1</v>
      </c>
      <c r="DB23" s="56" t="str">
        <f>'PC LIST'!B453</f>
        <v>PR14WSHWSWW_E1</v>
      </c>
      <c r="DC23" s="57" t="str">
        <f>'PC LIST'!I453</f>
        <v>E1: Affordable bills - annual increase</v>
      </c>
      <c r="DD23" s="57" t="str">
        <f>'PC LIST'!O453</f>
        <v>%</v>
      </c>
      <c r="DE23" s="57" t="str">
        <f>'PC LIST'!P453</f>
        <v>% above or below inflation (affordability of bills)</v>
      </c>
      <c r="DF23" s="56">
        <f>'PC LIST'!Q453</f>
        <v>0</v>
      </c>
      <c r="DG23" s="56" t="str">
        <f>'PC LIST'!J453</f>
        <v>NFI</v>
      </c>
      <c r="DH23" s="711">
        <f>'PC LIST'!CI453</f>
        <v>-2</v>
      </c>
      <c r="DI23" s="56" t="str">
        <f>'PC LIST'!B484</f>
        <v>PR14WSXWSWW_C3b</v>
      </c>
      <c r="DJ23" s="57" t="str">
        <f>'PC LIST'!I484</f>
        <v>C3b: North Bristol Sewer Scheme - Trym catchment</v>
      </c>
      <c r="DK23" s="57" t="str">
        <f>'PC LIST'!O484</f>
        <v>text</v>
      </c>
      <c r="DL23" s="57" t="str">
        <f>'PC LIST'!P484</f>
        <v>Scheme delivery - Trym catchment</v>
      </c>
      <c r="DM23" s="56" t="str">
        <f>'PC LIST'!Q484</f>
        <v>na</v>
      </c>
      <c r="DN23" s="56" t="str">
        <f>'PC LIST'!J484</f>
        <v>Under</v>
      </c>
      <c r="DO23" s="56" t="str">
        <f>'PC LIST'!CI484</f>
        <v>-</v>
      </c>
      <c r="DP23" s="56" t="str">
        <f>'PC LIST'!B516</f>
        <v>PR14YKYWSWW_SB2</v>
      </c>
      <c r="DQ23" s="57" t="str">
        <f>'PC LIST'!I516</f>
        <v>SB2: Wastewater quality stability and reliability factor</v>
      </c>
      <c r="DR23" s="57" t="str">
        <f>'PC LIST'!O516</f>
        <v>category</v>
      </c>
      <c r="DS23" s="57" t="str">
        <f>'PC LIST'!P516</f>
        <v>Asset health indicator</v>
      </c>
      <c r="DT23" s="56" t="str">
        <f>'PC LIST'!Q516</f>
        <v>na</v>
      </c>
      <c r="DU23" s="56" t="str">
        <f>'PC LIST'!J516</f>
        <v>Under</v>
      </c>
      <c r="DV23" s="56" t="str">
        <f>'PC LIST'!CI516</f>
        <v>Stable</v>
      </c>
      <c r="DW23" s="56" t="str">
        <f>'PC LIST'!B550</f>
        <v>PR14HDDWSW_W-B5</v>
      </c>
      <c r="DX23" s="57" t="str">
        <f>'PC LIST'!I550</f>
        <v>W-B5: % of customers with resilient supplies (those that benefit from a second source of supply)</v>
      </c>
      <c r="DY23" s="57" t="str">
        <f>'PC LIST'!O550</f>
        <v>%</v>
      </c>
      <c r="DZ23" s="57" t="str">
        <f>'PC LIST'!P550</f>
        <v>% customers with 2nd supply source</v>
      </c>
      <c r="EA23" s="56">
        <f>'PC LIST'!Q550</f>
        <v>1</v>
      </c>
      <c r="EB23" s="56" t="str">
        <f>'PC LIST'!J550</f>
        <v>Out &amp; under</v>
      </c>
      <c r="EC23" s="56">
        <f>'PC LIST'!CI550</f>
        <v>27.500000000000004</v>
      </c>
      <c r="ED23" s="56" t="str">
        <f>'PC LIST'!B596</f>
        <v>PR14SVEWSW_W-D2</v>
      </c>
      <c r="EE23" s="57" t="str">
        <f>'PC LIST'!I596</f>
        <v>W-D2: Asset stewardship - environmental compliance</v>
      </c>
      <c r="EF23" s="57" t="str">
        <f>'PC LIST'!O596</f>
        <v>%</v>
      </c>
      <c r="EG23" s="57" t="str">
        <f>'PC LIST'!P596</f>
        <v>% environmental compliance</v>
      </c>
      <c r="EH23" s="56">
        <f>'PC LIST'!Q596</f>
        <v>0</v>
      </c>
      <c r="EI23" s="56" t="str">
        <f>'PC LIST'!J596</f>
        <v>NFI</v>
      </c>
      <c r="EJ23" s="56">
        <f>'PC LIST'!CI596</f>
        <v>97.69</v>
      </c>
    </row>
    <row r="24" spans="8:140" ht="15.75" customHeight="1">
      <c r="H24" s="56" t="str">
        <f>'PC LIST'!B37</f>
        <v>PR14ANHWSWW_S-B1</v>
      </c>
      <c r="I24" s="57" t="str">
        <f>'PC LIST'!I37</f>
        <v>S-B1: Value for money perception variation from baseline against WaSCs (wastewater)</v>
      </c>
      <c r="J24" s="57" t="str">
        <f>'PC LIST'!O37</f>
        <v>%</v>
      </c>
      <c r="K24" s="57" t="str">
        <f>'PC LIST'!P37</f>
        <v>% variation from WaSC baseline</v>
      </c>
      <c r="L24" s="56">
        <f>'PC LIST'!Q37</f>
        <v>0</v>
      </c>
      <c r="M24" s="56" t="str">
        <f>'PC LIST'!J37</f>
        <v>Out &amp; under</v>
      </c>
      <c r="N24" s="711">
        <f>'PC LIST'!CI37</f>
        <v>1</v>
      </c>
      <c r="O24" s="56"/>
      <c r="P24" s="57"/>
      <c r="Q24" s="57"/>
      <c r="R24" s="57"/>
      <c r="S24" s="1882"/>
      <c r="T24" s="56"/>
      <c r="U24" s="56"/>
      <c r="X24" s="1882"/>
      <c r="Y24" s="1882"/>
      <c r="Z24" s="1882"/>
      <c r="AA24" s="1882"/>
      <c r="AB24" s="1882"/>
      <c r="AC24" s="56" t="str">
        <f>'PC LIST'!B110</f>
        <v>PR14NESWSWW_S-B6</v>
      </c>
      <c r="AD24" s="58" t="str">
        <f>'PC LIST'!I110</f>
        <v>S-B6: Transferred drains and sewers - external sewer flooding</v>
      </c>
      <c r="AE24" s="58" t="str">
        <f>'PC LIST'!O110</f>
        <v>nr</v>
      </c>
      <c r="AF24" s="58" t="str">
        <f>'PC LIST'!P110</f>
        <v>No. of properties per year</v>
      </c>
      <c r="AG24" s="56">
        <f>'PC LIST'!Q110</f>
        <v>0</v>
      </c>
      <c r="AH24" s="56" t="str">
        <f>'PC LIST'!J110</f>
        <v>Out &amp; under</v>
      </c>
      <c r="AI24" s="56">
        <f>'PC LIST'!CI110</f>
        <v>2967</v>
      </c>
      <c r="AL24" s="1882"/>
      <c r="AM24" s="1882"/>
      <c r="AN24" s="1882"/>
      <c r="AO24" s="1882"/>
      <c r="AP24" s="1882"/>
      <c r="AS24" s="1882"/>
      <c r="AT24" s="1882"/>
      <c r="AU24" s="1882"/>
      <c r="AV24" s="1882"/>
      <c r="AW24" s="1882"/>
      <c r="AX24" s="56"/>
      <c r="AY24" s="57"/>
      <c r="AZ24" s="57"/>
      <c r="BA24" s="57"/>
      <c r="BB24" s="1882"/>
      <c r="BC24" s="1882"/>
      <c r="BD24" s="1882"/>
      <c r="BE24" s="56" t="str">
        <f>'PC LIST'!B203</f>
        <v>PR14SEWWSW_N3</v>
      </c>
      <c r="BF24" s="57" t="str">
        <f>'PC LIST'!I203</f>
        <v>N3: Number of company sites at risk of flooding</v>
      </c>
      <c r="BG24" s="57" t="str">
        <f>'PC LIST'!O203</f>
        <v>nr</v>
      </c>
      <c r="BH24" s="57" t="str">
        <f>'PC LIST'!P203</f>
        <v>No. of SEW sites at risk of flooding</v>
      </c>
      <c r="BI24" s="56">
        <f>'PC LIST'!Q203</f>
        <v>0</v>
      </c>
      <c r="BJ24" s="56" t="str">
        <f>'PC LIST'!J203</f>
        <v>NFI</v>
      </c>
      <c r="BK24" s="56">
        <f>'PC LIST'!CI203</f>
        <v>2</v>
      </c>
      <c r="BL24" s="56" t="str">
        <f>'PC LIST'!B237</f>
        <v>PR14SRNWSWW_12</v>
      </c>
      <c r="BM24" s="57" t="str">
        <f>'PC LIST'!I237</f>
        <v>12: Avoiding blocked drains</v>
      </c>
      <c r="BN24" s="57" t="str">
        <f>'PC LIST'!O237</f>
        <v>%</v>
      </c>
      <c r="BO24" s="57" t="str">
        <f>'PC LIST'!P237</f>
        <v>% customers aware of avoidance measures</v>
      </c>
      <c r="BP24" s="56">
        <f>'PC LIST'!Q237</f>
        <v>0</v>
      </c>
      <c r="BQ24" s="56" t="str">
        <f>'PC LIST'!J237</f>
        <v>NFI</v>
      </c>
      <c r="BR24" s="56">
        <f>'PC LIST'!CI237</f>
        <v>83</v>
      </c>
      <c r="BU24" s="1882"/>
      <c r="BV24" s="1882"/>
      <c r="BW24" s="1882"/>
      <c r="BX24" s="1882"/>
      <c r="BY24" s="1882"/>
      <c r="BZ24" s="56" t="str">
        <f>'PC LIST'!B285</f>
        <v>PR14SVTWSW_W-D3</v>
      </c>
      <c r="CA24" s="57" t="str">
        <f>'PC LIST'!I285</f>
        <v>W-D3: Biodiversity</v>
      </c>
      <c r="CB24" s="57" t="str">
        <f>'PC LIST'!O285</f>
        <v>nr</v>
      </c>
      <c r="CC24" s="57" t="str">
        <f>'PC LIST'!P285</f>
        <v>No. of hectares improved</v>
      </c>
      <c r="CD24" s="56">
        <f>'PC LIST'!Q285</f>
        <v>0</v>
      </c>
      <c r="CE24" s="56" t="str">
        <f>'PC LIST'!J285</f>
        <v>NFI</v>
      </c>
      <c r="CF24" s="712" t="str">
        <f>'PC LIST'!CI285</f>
        <v/>
      </c>
      <c r="CG24" s="56" t="str">
        <f>'PC LIST'!B330</f>
        <v>PR14SWTWSWW_S-A1</v>
      </c>
      <c r="CH24" s="59" t="str">
        <f>'PC LIST'!I330</f>
        <v>S-A1: Internal sewer flooding incidents</v>
      </c>
      <c r="CI24" s="59" t="str">
        <f>'PC LIST'!O330</f>
        <v>nr</v>
      </c>
      <c r="CJ24" s="59" t="str">
        <f>'PC LIST'!P330</f>
        <v>No. of internal sewer flooding incidents</v>
      </c>
      <c r="CK24" s="56">
        <f>'PC LIST'!Q330</f>
        <v>0</v>
      </c>
      <c r="CL24" s="56" t="str">
        <f>'PC LIST'!J330</f>
        <v>Out &amp; under</v>
      </c>
      <c r="CM24" s="711">
        <f>'PC LIST'!CI330</f>
        <v>93</v>
      </c>
      <c r="CN24" s="56" t="str">
        <f>'PC LIST'!B372</f>
        <v>PR14TMSWSWW_SA3</v>
      </c>
      <c r="CO24" s="57" t="str">
        <f>'PC LIST'!I372</f>
        <v>SA3: Customer satisfaction surveys (internal CSAT monitor)</v>
      </c>
      <c r="CP24" s="57" t="str">
        <f>'PC LIST'!O372</f>
        <v>score</v>
      </c>
      <c r="CQ24" s="57" t="str">
        <f>'PC LIST'!P372</f>
        <v>TW internal Customer satisfaction score (mean score out of 5)</v>
      </c>
      <c r="CR24" s="56">
        <f>'PC LIST'!Q372</f>
        <v>2</v>
      </c>
      <c r="CS24" s="56" t="str">
        <f>'PC LIST'!J372</f>
        <v>NFI</v>
      </c>
      <c r="CT24" s="56">
        <f>'PC LIST'!CI372</f>
        <v>4.5813281010000004</v>
      </c>
      <c r="CU24" s="56" t="str">
        <f>'PC LIST'!B427</f>
        <v>PR14UUWSWW_S-D4b</v>
      </c>
      <c r="CV24" s="57" t="str">
        <f>'PC LIST'!I427</f>
        <v>S-D4b: Wastewater category 3 pollution incidents</v>
      </c>
      <c r="CW24" s="57" t="str">
        <f>'PC LIST'!O427</f>
        <v>nr</v>
      </c>
      <c r="CX24" s="57" t="str">
        <f>'PC LIST'!P427</f>
        <v>No. of pollution incidents (cat 3)</v>
      </c>
      <c r="CY24" s="56">
        <f>'PC LIST'!Q427</f>
        <v>0</v>
      </c>
      <c r="CZ24" s="56" t="str">
        <f>'PC LIST'!J427</f>
        <v>Out &amp; under</v>
      </c>
      <c r="DA24" s="56">
        <f>'PC LIST'!CI427</f>
        <v>143</v>
      </c>
      <c r="DB24" s="56" t="str">
        <f>'PC LIST'!B454</f>
        <v>PR14WSHWSWW_F1</v>
      </c>
      <c r="DC24" s="57" t="str">
        <f>'PC LIST'!I454</f>
        <v>F1: Asset serviceability</v>
      </c>
      <c r="DD24" s="57" t="str">
        <f>'PC LIST'!O454</f>
        <v>category</v>
      </c>
      <c r="DE24" s="57" t="str">
        <f>'PC LIST'!P454</f>
        <v>Asset health indicator</v>
      </c>
      <c r="DF24" s="56" t="str">
        <f>'PC LIST'!Q454</f>
        <v>na</v>
      </c>
      <c r="DG24" s="56" t="str">
        <f>'PC LIST'!J454</f>
        <v>Under</v>
      </c>
      <c r="DH24" s="711" t="str">
        <f>'PC LIST'!CI454</f>
        <v>Stable</v>
      </c>
      <c r="DI24" s="56" t="str">
        <f>'PC LIST'!B485</f>
        <v>PR14WSXWSWW_D1</v>
      </c>
      <c r="DJ24" s="57" t="str">
        <f>'PC LIST'!I485</f>
        <v>D1: Collapses and bursts on sewer network</v>
      </c>
      <c r="DK24" s="57" t="str">
        <f>'PC LIST'!O485</f>
        <v>nr</v>
      </c>
      <c r="DL24" s="57" t="str">
        <f>'PC LIST'!P485</f>
        <v>No. of sewer collapses and rising main bursts</v>
      </c>
      <c r="DM24" s="56">
        <f>'PC LIST'!Q485</f>
        <v>0</v>
      </c>
      <c r="DN24" s="56" t="str">
        <f>'PC LIST'!J485</f>
        <v>Under</v>
      </c>
      <c r="DO24" s="56">
        <f>'PC LIST'!CI485</f>
        <v>257</v>
      </c>
      <c r="DP24" s="56" t="str">
        <f>'PC LIST'!B517</f>
        <v>PR14YKYWSWW_SB3</v>
      </c>
      <c r="DQ24" s="57" t="str">
        <f>'PC LIST'!I517</f>
        <v>SB3: Solutions delivered by working with others (note: PC is part of a total commitment at Appointee level - see also WC2)</v>
      </c>
      <c r="DR24" s="57" t="str">
        <f>'PC LIST'!O517</f>
        <v>nr</v>
      </c>
      <c r="DS24" s="57" t="str">
        <f>'PC LIST'!P517</f>
        <v>No. of solutions delivered by working with others</v>
      </c>
      <c r="DT24" s="56">
        <f>'PC LIST'!Q517</f>
        <v>0</v>
      </c>
      <c r="DU24" s="56" t="str">
        <f>'PC LIST'!J517</f>
        <v>Out</v>
      </c>
      <c r="DV24" s="56">
        <f>'PC LIST'!CI517</f>
        <v>11</v>
      </c>
      <c r="DW24" s="56" t="str">
        <f>'PC LIST'!B551</f>
        <v>PR14HDDWSW_W-B6</v>
      </c>
      <c r="DX24" s="57" t="str">
        <f>'PC LIST'!I551</f>
        <v>W-B6: Asset stewardship - mains bursts</v>
      </c>
      <c r="DY24" s="57" t="str">
        <f>'PC LIST'!O551</f>
        <v>nr</v>
      </c>
      <c r="DZ24" s="57" t="str">
        <f>'PC LIST'!P551</f>
        <v>No. of burst mains per year</v>
      </c>
      <c r="EA24" s="56">
        <f>'PC LIST'!Q551</f>
        <v>0</v>
      </c>
      <c r="EB24" s="56" t="str">
        <f>'PC LIST'!J551</f>
        <v>Under</v>
      </c>
      <c r="EC24" s="56">
        <f>'PC LIST'!CI551</f>
        <v>148</v>
      </c>
      <c r="ED24" s="56" t="str">
        <f>'PC LIST'!B597</f>
        <v>PR14SVEWSW_W-D3</v>
      </c>
      <c r="EE24" s="57" t="str">
        <f>'PC LIST'!I597</f>
        <v>W-D3: Biodiversity</v>
      </c>
      <c r="EF24" s="57" t="str">
        <f>'PC LIST'!O597</f>
        <v>nr</v>
      </c>
      <c r="EG24" s="57" t="str">
        <f>'PC LIST'!P597</f>
        <v>No. of hectares improved</v>
      </c>
      <c r="EH24" s="56">
        <f>'PC LIST'!Q597</f>
        <v>0</v>
      </c>
      <c r="EI24" s="56" t="str">
        <f>'PC LIST'!J597</f>
        <v>NFI</v>
      </c>
      <c r="EJ24" s="56">
        <f>'PC LIST'!CI597</f>
        <v>343</v>
      </c>
    </row>
    <row r="25" spans="8:140" ht="15.75" customHeight="1">
      <c r="H25" s="56" t="str">
        <f>'PC LIST'!B38</f>
        <v>PR14ANHWSWW_S-C1</v>
      </c>
      <c r="I25" s="57" t="str">
        <f>'PC LIST'!I38</f>
        <v>S-C1: Percentage of bathing waters attaining excellent status</v>
      </c>
      <c r="J25" s="57" t="str">
        <f>'PC LIST'!O38</f>
        <v>%</v>
      </c>
      <c r="K25" s="57" t="str">
        <f>'PC LIST'!P38</f>
        <v>% bathing waters - excellent status</v>
      </c>
      <c r="L25" s="56">
        <f>'PC LIST'!Q38</f>
        <v>0</v>
      </c>
      <c r="M25" s="56" t="str">
        <f>'PC LIST'!J38</f>
        <v>Out &amp; under</v>
      </c>
      <c r="N25" s="711">
        <f>'PC LIST'!CI38</f>
        <v>65.3</v>
      </c>
      <c r="Q25" s="54"/>
      <c r="R25" s="54"/>
      <c r="S25" s="54"/>
      <c r="T25" s="56"/>
      <c r="U25" s="56"/>
      <c r="X25" s="1882"/>
      <c r="Y25" s="1882"/>
      <c r="Z25" s="1882"/>
      <c r="AA25" s="1882"/>
      <c r="AB25" s="1882"/>
      <c r="AC25" s="56" t="str">
        <f>'PC LIST'!B111</f>
        <v>PR14NESWSWW_S-B7</v>
      </c>
      <c r="AD25" s="58" t="str">
        <f>'PC LIST'!I111</f>
        <v>S-B7: Transferred drains and sewers - sewer collapses</v>
      </c>
      <c r="AE25" s="58" t="str">
        <f>'PC LIST'!O111</f>
        <v>nr</v>
      </c>
      <c r="AF25" s="58" t="str">
        <f>'PC LIST'!P111</f>
        <v>No. of sewer collapses per year - TDSs</v>
      </c>
      <c r="AG25" s="56">
        <f>'PC LIST'!Q111</f>
        <v>0</v>
      </c>
      <c r="AH25" s="56" t="str">
        <f>'PC LIST'!J111</f>
        <v>NFI</v>
      </c>
      <c r="AI25" s="56">
        <f>'PC LIST'!CI111</f>
        <v>59</v>
      </c>
      <c r="AL25" s="1882"/>
      <c r="AM25" s="1882"/>
      <c r="AN25" s="1882"/>
      <c r="AO25" s="1882"/>
      <c r="AP25" s="1882"/>
      <c r="AS25" s="1882"/>
      <c r="AT25" s="1882"/>
      <c r="AU25" s="1882"/>
      <c r="AV25" s="1882"/>
      <c r="AW25" s="1882"/>
      <c r="AZ25" s="54"/>
      <c r="BA25" s="54"/>
      <c r="BB25" s="54"/>
      <c r="BC25" s="54"/>
      <c r="BD25" s="54"/>
      <c r="BE25" s="56" t="str">
        <f>'PC LIST'!B204</f>
        <v>PR14SEWWSW_N4</v>
      </c>
      <c r="BF25" s="57" t="str">
        <f>'PC LIST'!I204</f>
        <v>N4: Water mains bursts</v>
      </c>
      <c r="BG25" s="57" t="str">
        <f>'PC LIST'!O204</f>
        <v>nr</v>
      </c>
      <c r="BH25" s="57" t="str">
        <f>'PC LIST'!P204</f>
        <v>No. of burst mains per year</v>
      </c>
      <c r="BI25" s="56">
        <f>'PC LIST'!Q204</f>
        <v>0</v>
      </c>
      <c r="BJ25" s="56" t="str">
        <f>'PC LIST'!J204</f>
        <v>Under</v>
      </c>
      <c r="BK25" s="56">
        <f>'PC LIST'!CI204</f>
        <v>2826</v>
      </c>
      <c r="BL25" s="56" t="str">
        <f>'PC LIST'!B238</f>
        <v>PR14SRNWSWW_13</v>
      </c>
      <c r="BM25" s="57" t="str">
        <f>'PC LIST'!I238</f>
        <v>13: Thanet sewers</v>
      </c>
      <c r="BN25" s="57" t="str">
        <f>'PC LIST'!O238</f>
        <v>text</v>
      </c>
      <c r="BO25" s="57" t="str">
        <f>'PC LIST'!P238</f>
        <v>Scheme delivery</v>
      </c>
      <c r="BP25" s="56" t="str">
        <f>'PC LIST'!Q238</f>
        <v>na</v>
      </c>
      <c r="BQ25" s="56" t="str">
        <f>'PC LIST'!J238</f>
        <v>Under</v>
      </c>
      <c r="BR25" s="56" t="str">
        <f>'PC LIST'!CI238</f>
        <v>N/A</v>
      </c>
      <c r="BU25" s="1882"/>
      <c r="BV25" s="1882"/>
      <c r="BW25" s="1882"/>
      <c r="BX25" s="1882"/>
      <c r="BY25" s="1882"/>
      <c r="BZ25" s="56" t="str">
        <f>'PC LIST'!B286</f>
        <v>PR14SVTWSW_W-D4</v>
      </c>
      <c r="CA25" s="57" t="str">
        <f>'PC LIST'!I286</f>
        <v>W-D4: Sites with eel protection at intakes</v>
      </c>
      <c r="CB25" s="57" t="str">
        <f>'PC LIST'!O286</f>
        <v>nr</v>
      </c>
      <c r="CC25" s="57" t="str">
        <f>'PC LIST'!P286</f>
        <v>No. sites with eel protection at intakes</v>
      </c>
      <c r="CD25" s="56">
        <f>'PC LIST'!Q286</f>
        <v>0</v>
      </c>
      <c r="CE25" s="56" t="str">
        <f>'PC LIST'!J286</f>
        <v>NFI</v>
      </c>
      <c r="CF25" s="712" t="str">
        <f>'PC LIST'!CI286</f>
        <v/>
      </c>
      <c r="CG25" s="56" t="str">
        <f>'PC LIST'!B331</f>
        <v>PR14SWTWSWW_S-A2</v>
      </c>
      <c r="CH25" s="59" t="str">
        <f>'PC LIST'!I331</f>
        <v>S-A2: External sewer flooding incidents</v>
      </c>
      <c r="CI25" s="59" t="str">
        <f>'PC LIST'!O331</f>
        <v>nr</v>
      </c>
      <c r="CJ25" s="59" t="str">
        <f>'PC LIST'!P331</f>
        <v>No. of external sewer flooding incidents</v>
      </c>
      <c r="CK25" s="56">
        <f>'PC LIST'!Q331</f>
        <v>0</v>
      </c>
      <c r="CL25" s="56" t="str">
        <f>'PC LIST'!J331</f>
        <v>Out &amp; under</v>
      </c>
      <c r="CM25" s="711">
        <f>'PC LIST'!CI331</f>
        <v>2938</v>
      </c>
      <c r="CN25" s="56" t="str">
        <f>'PC LIST'!B373</f>
        <v>PR14TMSWSWW_SB1</v>
      </c>
      <c r="CO25" s="57" t="str">
        <f>'PC LIST'!I373</f>
        <v>SB1: Asset health wastewater non-infrastructure</v>
      </c>
      <c r="CP25" s="57" t="str">
        <f>'PC LIST'!O373</f>
        <v>category</v>
      </c>
      <c r="CQ25" s="57" t="str">
        <f>'PC LIST'!P373</f>
        <v>Asset health indicator</v>
      </c>
      <c r="CR25" s="56" t="str">
        <f>'PC LIST'!Q373</f>
        <v>na</v>
      </c>
      <c r="CS25" s="56" t="str">
        <f>'PC LIST'!J373</f>
        <v>Under</v>
      </c>
      <c r="CT25" s="56" t="str">
        <f>'PC LIST'!CI373</f>
        <v>Stable</v>
      </c>
      <c r="CU25" s="56" t="str">
        <f>'PC LIST'!B428</f>
        <v>PR14UUWSWW_S-D5</v>
      </c>
      <c r="CV25" s="57" t="str">
        <f>'PC LIST'!I428</f>
        <v>S-D5: Satisfactory sludge disposal</v>
      </c>
      <c r="CW25" s="57" t="str">
        <f>'PC LIST'!O428</f>
        <v>%</v>
      </c>
      <c r="CX25" s="57" t="str">
        <f>'PC LIST'!P428</f>
        <v>% satisfactory sludge disposal compliance</v>
      </c>
      <c r="CY25" s="56">
        <f>'PC LIST'!Q428</f>
        <v>2</v>
      </c>
      <c r="CZ25" s="56" t="str">
        <f>'PC LIST'!J428</f>
        <v>Under</v>
      </c>
      <c r="DA25" s="56">
        <f>'PC LIST'!CI428</f>
        <v>100</v>
      </c>
      <c r="DB25" s="56" t="str">
        <f>'PC LIST'!B455</f>
        <v>PR14WSHWSWW_F3</v>
      </c>
      <c r="DC25" s="57" t="str">
        <f>'PC LIST'!I455</f>
        <v>F3: Asset resilience - % of critical assets that are resilient against a set of criteria</v>
      </c>
      <c r="DD25" s="57" t="str">
        <f>'PC LIST'!O455</f>
        <v>%</v>
      </c>
      <c r="DE25" s="57" t="str">
        <f>'PC LIST'!P455</f>
        <v>% critical assets that are resilient against a set of criteria</v>
      </c>
      <c r="DF25" s="56">
        <f>'PC LIST'!Q455</f>
        <v>0</v>
      </c>
      <c r="DG25" s="56" t="str">
        <f>'PC LIST'!J455</f>
        <v>Under</v>
      </c>
      <c r="DH25" s="711">
        <f>'PC LIST'!CI455</f>
        <v>79</v>
      </c>
      <c r="DI25" s="56" t="str">
        <f>'PC LIST'!B486</f>
        <v>PR14WSXWSWW_E1</v>
      </c>
      <c r="DJ25" s="57" t="str">
        <f>'PC LIST'!I486</f>
        <v>E1: Greenhouse gas emissions (annual greenhouse gas emissions from operational services)</v>
      </c>
      <c r="DK25" s="57" t="str">
        <f>'PC LIST'!O486</f>
        <v>nr</v>
      </c>
      <c r="DL25" s="57" t="str">
        <f>'PC LIST'!P486</f>
        <v>ktCO2e</v>
      </c>
      <c r="DM25" s="56">
        <f>'PC LIST'!Q486</f>
        <v>0</v>
      </c>
      <c r="DN25" s="56" t="str">
        <f>'PC LIST'!J486</f>
        <v>NFI</v>
      </c>
      <c r="DO25" s="56">
        <f>'PC LIST'!CI486</f>
        <v>118</v>
      </c>
      <c r="DP25" s="56" t="str">
        <f>'PC LIST'!B518</f>
        <v>PR14YKYWSWW_SB4</v>
      </c>
      <c r="DQ25" s="57" t="str">
        <f>'PC LIST'!I518</f>
        <v>SB4: Length of river improved (against WFD component measures) (note: PC is part of a total commitment at Appointee level - see also WC1)</v>
      </c>
      <c r="DR25" s="57" t="str">
        <f>'PC LIST'!O518</f>
        <v>nr</v>
      </c>
      <c r="DS25" s="57" t="str">
        <f>'PC LIST'!P518</f>
        <v>Kilometres (km) of river improved (modelled length)</v>
      </c>
      <c r="DT25" s="56">
        <f>'PC LIST'!Q518</f>
        <v>0</v>
      </c>
      <c r="DU25" s="56" t="str">
        <f>'PC LIST'!J518</f>
        <v>Out &amp; under</v>
      </c>
      <c r="DV25" s="56">
        <f>'PC LIST'!CI518</f>
        <v>0</v>
      </c>
      <c r="DW25" s="56" t="str">
        <f>'PC LIST'!B552</f>
        <v>PR14HDDWSW_W-B7</v>
      </c>
      <c r="DX25" s="57" t="str">
        <f>'PC LIST'!I552</f>
        <v>W-B7: Customers at risk of low pressure</v>
      </c>
      <c r="DY25" s="57" t="str">
        <f>'PC LIST'!O552</f>
        <v>nr</v>
      </c>
      <c r="DZ25" s="57" t="str">
        <f>'PC LIST'!P552</f>
        <v>No. customers at risk of low pressure</v>
      </c>
      <c r="EA25" s="56">
        <f>'PC LIST'!Q552</f>
        <v>0</v>
      </c>
      <c r="EB25" s="56" t="str">
        <f>'PC LIST'!J552</f>
        <v>Out &amp; under</v>
      </c>
      <c r="EC25" s="56">
        <f>'PC LIST'!CI552</f>
        <v>11</v>
      </c>
      <c r="ED25" s="56" t="str">
        <f>'PC LIST'!B598</f>
        <v>PR14SVEWSW_W-D4</v>
      </c>
      <c r="EE25" s="57" t="str">
        <f>'PC LIST'!I598</f>
        <v>W-D4: Sites with eel protection at intakes</v>
      </c>
      <c r="EF25" s="57" t="str">
        <f>'PC LIST'!O598</f>
        <v>nr</v>
      </c>
      <c r="EG25" s="57" t="str">
        <f>'PC LIST'!P598</f>
        <v>No. sites with eel protection at intakes</v>
      </c>
      <c r="EH25" s="56">
        <f>'PC LIST'!Q598</f>
        <v>0</v>
      </c>
      <c r="EI25" s="56" t="str">
        <f>'PC LIST'!J598</f>
        <v>NFI</v>
      </c>
      <c r="EJ25" s="56" t="str">
        <f>'PC LIST'!CI598</f>
        <v>On track</v>
      </c>
    </row>
    <row r="26" spans="8:140" ht="15.75" customHeight="1">
      <c r="H26" s="56" t="str">
        <f>'PC LIST'!B39</f>
        <v>PR14ANHWSWW_S-C2</v>
      </c>
      <c r="I26" s="57" t="str">
        <f>'PC LIST'!I39</f>
        <v>S-C2: Percentage of SSSIs (by area) with favourable status</v>
      </c>
      <c r="J26" s="57" t="str">
        <f>'PC LIST'!O39</f>
        <v>%</v>
      </c>
      <c r="K26" s="57" t="str">
        <f>'PC LIST'!P39</f>
        <v>% SSSIs with favourable status</v>
      </c>
      <c r="L26" s="56">
        <f>'PC LIST'!Q39</f>
        <v>0</v>
      </c>
      <c r="M26" s="56" t="str">
        <f>'PC LIST'!J39</f>
        <v>NFI</v>
      </c>
      <c r="N26" s="711">
        <f>'PC LIST'!CI39</f>
        <v>99</v>
      </c>
      <c r="Q26" s="1882"/>
      <c r="R26" s="1882"/>
      <c r="S26" s="1882"/>
      <c r="T26" s="56"/>
      <c r="U26" s="56"/>
      <c r="X26" s="1882"/>
      <c r="Y26" s="1882"/>
      <c r="Z26" s="1882"/>
      <c r="AA26" s="1882"/>
      <c r="AB26" s="1882"/>
      <c r="AC26" s="56" t="str">
        <f>'PC LIST'!B112</f>
        <v>PR14NESWSWW_S-C1</v>
      </c>
      <c r="AD26" s="58" t="str">
        <f>'PC LIST'!I112</f>
        <v>S-C1: Sewage treatment works discharge compliance (3-year average)</v>
      </c>
      <c r="AE26" s="58" t="str">
        <f>'PC LIST'!O112</f>
        <v>nr</v>
      </c>
      <c r="AF26" s="58" t="str">
        <f>'PC LIST'!P112</f>
        <v>No. discharge permit condition failures per year</v>
      </c>
      <c r="AG26" s="56">
        <f>'PC LIST'!Q112</f>
        <v>2</v>
      </c>
      <c r="AH26" s="56" t="str">
        <f>'PC LIST'!J112</f>
        <v>Under</v>
      </c>
      <c r="AI26" s="56">
        <f>'PC LIST'!CI112</f>
        <v>1</v>
      </c>
      <c r="AL26" s="1882"/>
      <c r="AM26" s="1882"/>
      <c r="AN26" s="1882"/>
      <c r="AO26" s="1882"/>
      <c r="AP26" s="1882"/>
      <c r="AS26" s="1882"/>
      <c r="AT26" s="1882"/>
      <c r="AU26" s="1882"/>
      <c r="AV26" s="1882"/>
      <c r="AW26" s="1882"/>
      <c r="AZ26" s="54"/>
      <c r="BA26" s="54"/>
      <c r="BB26" s="54"/>
      <c r="BC26" s="54"/>
      <c r="BD26" s="54"/>
      <c r="BE26" s="56" t="str">
        <f>'PC LIST'!B205</f>
        <v>PR14SEWWSW_O1</v>
      </c>
      <c r="BF26" s="57" t="str">
        <f>'PC LIST'!I205</f>
        <v>O1: Kg of carbon emissions per customer per year</v>
      </c>
      <c r="BG26" s="57" t="str">
        <f>'PC LIST'!O205</f>
        <v>nr</v>
      </c>
      <c r="BH26" s="57" t="str">
        <f>'PC LIST'!P205</f>
        <v>Kg of carbon emissions per customer per year</v>
      </c>
      <c r="BI26" s="56">
        <f>'PC LIST'!Q205</f>
        <v>1</v>
      </c>
      <c r="BJ26" s="56" t="str">
        <f>'PC LIST'!J205</f>
        <v>NFI</v>
      </c>
      <c r="BK26" s="56">
        <f>'PC LIST'!CI205</f>
        <v>36.299999999999997</v>
      </c>
      <c r="BL26" s="56" t="str">
        <f>'PC LIST'!B239</f>
        <v>PR14SRNWSWW_14</v>
      </c>
      <c r="BM26" s="57" t="str">
        <f>'PC LIST'!I239</f>
        <v>14: Woolston STW</v>
      </c>
      <c r="BN26" s="57" t="str">
        <f>'PC LIST'!O239</f>
        <v>text</v>
      </c>
      <c r="BO26" s="57" t="str">
        <f>'PC LIST'!P239</f>
        <v>Scheme delivery</v>
      </c>
      <c r="BP26" s="56" t="str">
        <f>'PC LIST'!Q239</f>
        <v>na</v>
      </c>
      <c r="BQ26" s="56" t="str">
        <f>'PC LIST'!J239</f>
        <v>Under</v>
      </c>
      <c r="BR26" s="56" t="str">
        <f>'PC LIST'!CI239</f>
        <v>N/A</v>
      </c>
      <c r="BU26" s="1882"/>
      <c r="BV26" s="1882"/>
      <c r="BW26" s="1882"/>
      <c r="BX26" s="1882"/>
      <c r="BY26" s="1882"/>
      <c r="BZ26" s="56" t="str">
        <f>'PC LIST'!B287</f>
        <v>PR14SVTWSW_W-E1</v>
      </c>
      <c r="CA26" s="57" t="str">
        <f>'PC LIST'!I287</f>
        <v>W-E1: Size of our carbon footprint</v>
      </c>
      <c r="CB26" s="57" t="str">
        <f>'PC LIST'!O287</f>
        <v>nr</v>
      </c>
      <c r="CC26" s="57" t="str">
        <f>'PC LIST'!P287</f>
        <v>ktCO2e</v>
      </c>
      <c r="CD26" s="56">
        <f>'PC LIST'!Q287</f>
        <v>3</v>
      </c>
      <c r="CE26" s="56" t="str">
        <f>'PC LIST'!J287</f>
        <v>Out &amp; under</v>
      </c>
      <c r="CF26" s="712" t="str">
        <f>'PC LIST'!CI287</f>
        <v/>
      </c>
      <c r="CG26" s="56" t="str">
        <f>'PC LIST'!B332</f>
        <v>PR14SWTWSWW_S-A3</v>
      </c>
      <c r="CH26" s="59" t="str">
        <f>'PC LIST'!I332</f>
        <v>S-A3: Odour contacts (wastewater treatment works)</v>
      </c>
      <c r="CI26" s="59" t="str">
        <f>'PC LIST'!O332</f>
        <v>nr</v>
      </c>
      <c r="CJ26" s="59" t="str">
        <f>'PC LIST'!P332</f>
        <v>No. of odour contacts (WwTWs)</v>
      </c>
      <c r="CK26" s="56">
        <f>'PC LIST'!Q332</f>
        <v>0</v>
      </c>
      <c r="CL26" s="56" t="str">
        <f>'PC LIST'!J332</f>
        <v>Out &amp; under</v>
      </c>
      <c r="CM26" s="711">
        <f>'PC LIST'!CI332</f>
        <v>335</v>
      </c>
      <c r="CN26" s="56" t="str">
        <f>'PC LIST'!B374</f>
        <v>PR14TMSWSWW_SB2</v>
      </c>
      <c r="CO26" s="57" t="str">
        <f>'PC LIST'!I374</f>
        <v>SB2: Asset health wastewater infrastructure</v>
      </c>
      <c r="CP26" s="57" t="str">
        <f>'PC LIST'!O374</f>
        <v>category</v>
      </c>
      <c r="CQ26" s="57" t="str">
        <f>'PC LIST'!P374</f>
        <v>Asset health indicator</v>
      </c>
      <c r="CR26" s="56" t="str">
        <f>'PC LIST'!Q374</f>
        <v>na</v>
      </c>
      <c r="CS26" s="56" t="str">
        <f>'PC LIST'!J374</f>
        <v>Under</v>
      </c>
      <c r="CT26" s="56" t="str">
        <f>'PC LIST'!CI374</f>
        <v>Stable</v>
      </c>
      <c r="CU26" s="56" t="str">
        <f>'PC LIST'!B429</f>
        <v>PR14UUHHR_A-1</v>
      </c>
      <c r="CV26" s="57" t="str">
        <f>'PC LIST'!I429</f>
        <v>A-1: Service incentive mechanism (SIM)</v>
      </c>
      <c r="CW26" s="57" t="str">
        <f>'PC LIST'!O429</f>
        <v>text</v>
      </c>
      <c r="CX26" s="57" t="str">
        <f>'PC LIST'!P429</f>
        <v>Service incentive mechanism (SIM) score ranking</v>
      </c>
      <c r="CY26" s="56">
        <f>'PC LIST'!Q429</f>
        <v>2</v>
      </c>
      <c r="CZ26" s="56" t="str">
        <f>'PC LIST'!J429</f>
        <v>Out &amp; under</v>
      </c>
      <c r="DA26" s="56">
        <f>'PC LIST'!CI429</f>
        <v>87.639669640685241</v>
      </c>
      <c r="DB26" s="56" t="str">
        <f>'PC LIST'!B456</f>
        <v>PR14WSHNHHR_D1</v>
      </c>
      <c r="DC26" s="57" t="str">
        <f>'PC LIST'!I456</f>
        <v>D1: Service incentive mechanism (SIM)</v>
      </c>
      <c r="DD26" s="57" t="str">
        <f>'PC LIST'!O456</f>
        <v>text</v>
      </c>
      <c r="DE26" s="57" t="str">
        <f>'PC LIST'!P456</f>
        <v>Service incentive mechanism (SIM) score ranking</v>
      </c>
      <c r="DF26" s="56" t="str">
        <f>'PC LIST'!Q456</f>
        <v>na</v>
      </c>
      <c r="DG26" s="56" t="str">
        <f>'PC LIST'!J456</f>
        <v>Out &amp; under</v>
      </c>
      <c r="DH26" s="711">
        <f>'PC LIST'!CI456</f>
        <v>559</v>
      </c>
      <c r="DI26" s="56" t="str">
        <f>'PC LIST'!B487</f>
        <v>PR14WSXWSWW_E2</v>
      </c>
      <c r="DJ26" s="57" t="str">
        <f>'PC LIST'!I487</f>
        <v>E2: Proportion of energy self-generated</v>
      </c>
      <c r="DK26" s="57" t="str">
        <f>'PC LIST'!O487</f>
        <v>%</v>
      </c>
      <c r="DL26" s="57" t="str">
        <f>'PC LIST'!P487</f>
        <v>% of energy (electricity and gas) self-generated</v>
      </c>
      <c r="DM26" s="56">
        <f>'PC LIST'!Q487</f>
        <v>0</v>
      </c>
      <c r="DN26" s="56" t="str">
        <f>'PC LIST'!J487</f>
        <v>Under</v>
      </c>
      <c r="DO26" s="56">
        <f>'PC LIST'!CI487</f>
        <v>25</v>
      </c>
      <c r="DP26" s="56" t="str">
        <f>'PC LIST'!B519</f>
        <v>PR14YKYWSWW_SB5</v>
      </c>
      <c r="DQ26" s="57" t="str">
        <f>'PC LIST'!I519</f>
        <v>SB5: Amount of land conserved and enhanced (total cumulative area) (note: PC is part of a total commitment at Appointee level - see also WC3)</v>
      </c>
      <c r="DR26" s="57" t="str">
        <f>'PC LIST'!O519</f>
        <v>nr</v>
      </c>
      <c r="DS26" s="57" t="str">
        <f>'PC LIST'!P519</f>
        <v>No. of hectares of land conserved &amp; enhanced (cumulative)</v>
      </c>
      <c r="DT26" s="56">
        <f>'PC LIST'!Q519</f>
        <v>0</v>
      </c>
      <c r="DU26" s="56" t="str">
        <f>'PC LIST'!J519</f>
        <v>Out &amp; under</v>
      </c>
      <c r="DV26" s="56">
        <f>'PC LIST'!CI519</f>
        <v>11524</v>
      </c>
      <c r="DW26" s="56" t="str">
        <f>'PC LIST'!B553</f>
        <v>PR14HDDWSW_W-B8</v>
      </c>
      <c r="DX26" s="57" t="str">
        <f>'PC LIST'!I553</f>
        <v>W-B8: Restrictions on water use</v>
      </c>
      <c r="DY26" s="57" t="str">
        <f>'PC LIST'!O553</f>
        <v>nr</v>
      </c>
      <c r="DZ26" s="57" t="str">
        <f>'PC LIST'!P553</f>
        <v>No. water restrictions in five-year period</v>
      </c>
      <c r="EA26" s="56">
        <f>'PC LIST'!Q553</f>
        <v>0</v>
      </c>
      <c r="EB26" s="56" t="str">
        <f>'PC LIST'!J553</f>
        <v>Out &amp; under</v>
      </c>
      <c r="EC26" s="56">
        <f>'PC LIST'!CI553</f>
        <v>0</v>
      </c>
      <c r="ED26" s="56" t="str">
        <f>'PC LIST'!B599</f>
        <v>PR14SVEWSW_W-E1</v>
      </c>
      <c r="EE26" s="57" t="str">
        <f>'PC LIST'!I599</f>
        <v>W-E1: Size of our carbon footprint</v>
      </c>
      <c r="EF26" s="57" t="str">
        <f>'PC LIST'!O599</f>
        <v>nr</v>
      </c>
      <c r="EG26" s="57" t="str">
        <f>'PC LIST'!P599</f>
        <v>ktCO2e</v>
      </c>
      <c r="EH26" s="56">
        <f>'PC LIST'!Q599</f>
        <v>3</v>
      </c>
      <c r="EI26" s="56" t="str">
        <f>'PC LIST'!J599</f>
        <v>Out &amp; under</v>
      </c>
      <c r="EJ26" s="56">
        <f>'PC LIST'!CI599</f>
        <v>219</v>
      </c>
    </row>
    <row r="27" spans="8:140" ht="15.75" customHeight="1">
      <c r="H27" s="56" t="str">
        <f>'PC LIST'!B40</f>
        <v>PR14ANHWSWW_S-C3</v>
      </c>
      <c r="I27" s="57" t="str">
        <f>'PC LIST'!I40</f>
        <v>S-C3: Pollution incidents (category 3)</v>
      </c>
      <c r="J27" s="57" t="str">
        <f>'PC LIST'!O40</f>
        <v>nr</v>
      </c>
      <c r="K27" s="57" t="str">
        <f>'PC LIST'!P40</f>
        <v>No. of pollution incidents (cat 3)</v>
      </c>
      <c r="L27" s="56">
        <f>'PC LIST'!Q40</f>
        <v>0</v>
      </c>
      <c r="M27" s="56" t="str">
        <f>'PC LIST'!J40</f>
        <v>Out &amp; under</v>
      </c>
      <c r="N27" s="711">
        <f>'PC LIST'!CI40</f>
        <v>185</v>
      </c>
      <c r="Q27" s="1882"/>
      <c r="R27" s="1882"/>
      <c r="S27" s="1882"/>
      <c r="T27" s="56"/>
      <c r="U27" s="56"/>
      <c r="X27" s="1882"/>
      <c r="Y27" s="1882"/>
      <c r="Z27" s="1882"/>
      <c r="AA27" s="1882"/>
      <c r="AB27" s="1882"/>
      <c r="AC27" s="56" t="str">
        <f>'PC LIST'!B113</f>
        <v>PR14NESWSWW_S-C2</v>
      </c>
      <c r="AD27" s="58" t="str">
        <f>'PC LIST'!I113</f>
        <v>S-C2: Pollution incidents - category 3 (3-year average)</v>
      </c>
      <c r="AE27" s="58" t="str">
        <f>'PC LIST'!O113</f>
        <v>nr</v>
      </c>
      <c r="AF27" s="58" t="str">
        <f>'PC LIST'!P113</f>
        <v>No. of pollution incidents (cat 3)</v>
      </c>
      <c r="AG27" s="56">
        <f>'PC LIST'!Q113</f>
        <v>0</v>
      </c>
      <c r="AH27" s="56" t="str">
        <f>'PC LIST'!J113</f>
        <v>Out &amp; under</v>
      </c>
      <c r="AI27" s="56">
        <f>'PC LIST'!CI113</f>
        <v>73</v>
      </c>
      <c r="AL27" s="1882"/>
      <c r="AM27" s="1882"/>
      <c r="AN27" s="1882"/>
      <c r="AO27" s="1882"/>
      <c r="AP27" s="1882"/>
      <c r="AS27" s="1882"/>
      <c r="AT27" s="1882"/>
      <c r="AU27" s="1882"/>
      <c r="AV27" s="1882"/>
      <c r="AW27" s="1882"/>
      <c r="AZ27" s="54"/>
      <c r="BA27" s="54"/>
      <c r="BB27" s="54"/>
      <c r="BC27" s="54"/>
      <c r="BD27" s="54"/>
      <c r="BE27" s="56" t="str">
        <f>'PC LIST'!B206</f>
        <v>PR14SEWWSW_O2</v>
      </c>
      <c r="BF27" s="57" t="str">
        <f>'PC LIST'!I206</f>
        <v>O2: We will monitor our abstractions at low flows at environmentally sensitive sites (in line with AIM)</v>
      </c>
      <c r="BG27" s="57" t="str">
        <f>'PC LIST'!O206</f>
        <v>TBC</v>
      </c>
      <c r="BH27" s="57" t="str">
        <f>'PC LIST'!P206</f>
        <v>TBC (in line with AIM)</v>
      </c>
      <c r="BI27" s="56" t="str">
        <f>'PC LIST'!Q206</f>
        <v>TBC</v>
      </c>
      <c r="BJ27" s="56" t="str">
        <f>'PC LIST'!J206</f>
        <v>NFI</v>
      </c>
      <c r="BK27" s="56">
        <f>'PC LIST'!CI206</f>
        <v>-9.9436040682389981E-2</v>
      </c>
      <c r="BL27" s="56" t="str">
        <f>'PC LIST'!B240</f>
        <v>PR14SRNWSWW_15</v>
      </c>
      <c r="BM27" s="57" t="str">
        <f>'PC LIST'!I240</f>
        <v>15: Millbrook sludge</v>
      </c>
      <c r="BN27" s="57" t="str">
        <f>'PC LIST'!O240</f>
        <v>nr</v>
      </c>
      <c r="BO27" s="57" t="str">
        <f>'PC LIST'!P240</f>
        <v>Tonnes of dry solids removed</v>
      </c>
      <c r="BP27" s="56">
        <f>'PC LIST'!Q240</f>
        <v>0</v>
      </c>
      <c r="BQ27" s="56" t="str">
        <f>'PC LIST'!J240</f>
        <v>Under</v>
      </c>
      <c r="BR27" s="56" t="str">
        <f>'PC LIST'!CI240</f>
        <v>N/A</v>
      </c>
      <c r="BU27" s="1882"/>
      <c r="BV27" s="1882"/>
      <c r="BW27" s="1882"/>
      <c r="BX27" s="1882"/>
      <c r="BY27" s="1882"/>
      <c r="BZ27" s="56" t="str">
        <f>'PC LIST'!B288</f>
        <v>PR14SVTWSW_W-F1</v>
      </c>
      <c r="CA27" s="57" t="str">
        <f>'PC LIST'!I288</f>
        <v>W-F1: Improved understanding of our services through education</v>
      </c>
      <c r="CB27" s="57" t="str">
        <f>'PC LIST'!O288</f>
        <v>nr</v>
      </c>
      <c r="CC27" s="57" t="str">
        <f>'PC LIST'!P288</f>
        <v>No. of people - education programme</v>
      </c>
      <c r="CD27" s="56">
        <f>'PC LIST'!Q288</f>
        <v>0</v>
      </c>
      <c r="CE27" s="56" t="str">
        <f>'PC LIST'!J288</f>
        <v>NFI</v>
      </c>
      <c r="CF27" s="712" t="str">
        <f>'PC LIST'!CI288</f>
        <v/>
      </c>
      <c r="CG27" s="56" t="str">
        <f>'PC LIST'!B333</f>
        <v>PR14SWTWSWW_S-A4</v>
      </c>
      <c r="CH27" s="59" t="str">
        <f>'PC LIST'!I333</f>
        <v>S-A4: Asset reliability (pipes)</v>
      </c>
      <c r="CI27" s="59" t="str">
        <f>'PC LIST'!O333</f>
        <v>category</v>
      </c>
      <c r="CJ27" s="59" t="str">
        <f>'PC LIST'!P333</f>
        <v>Asset health indicator</v>
      </c>
      <c r="CK27" s="56" t="str">
        <f>'PC LIST'!Q333</f>
        <v>na</v>
      </c>
      <c r="CL27" s="56" t="str">
        <f>'PC LIST'!J333</f>
        <v>Under</v>
      </c>
      <c r="CM27" s="711" t="str">
        <f>'PC LIST'!CI333</f>
        <v>Stable</v>
      </c>
      <c r="CN27" s="56" t="str">
        <f>'PC LIST'!B375</f>
        <v>PR14TMSWSWW_SB3</v>
      </c>
      <c r="CO27" s="57" t="str">
        <f>'PC LIST'!I375</f>
        <v>SB3: Properties protected from flooding due to rainfall (including Counters Creek project)</v>
      </c>
      <c r="CP27" s="57" t="str">
        <f>'PC LIST'!O375</f>
        <v>nr</v>
      </c>
      <c r="CQ27" s="57" t="str">
        <f>'PC LIST'!P375</f>
        <v>No. properties protected from flooding due to rainfall</v>
      </c>
      <c r="CR27" s="56">
        <f>'PC LIST'!Q375</f>
        <v>0</v>
      </c>
      <c r="CS27" s="56" t="str">
        <f>'PC LIST'!J375</f>
        <v>Out &amp; under</v>
      </c>
      <c r="CT27" s="56">
        <f>'PC LIST'!CI375</f>
        <v>49</v>
      </c>
      <c r="CU27" s="56" t="str">
        <f>'PC LIST'!B430</f>
        <v>PR14UUHHR_R-A2</v>
      </c>
      <c r="CV27" s="57" t="str">
        <f>'PC LIST'!I430</f>
        <v>R-A2: Customer experience programme</v>
      </c>
      <c r="CW27" s="57" t="str">
        <f>'PC LIST'!O430</f>
        <v>£m</v>
      </c>
      <c r="CX27" s="57" t="str">
        <f>'PC LIST'!P430</f>
        <v>£ million cumulative depreciation</v>
      </c>
      <c r="CY27" s="56">
        <f>'PC LIST'!Q430</f>
        <v>3</v>
      </c>
      <c r="CZ27" s="56" t="str">
        <f>'PC LIST'!J430</f>
        <v>Under</v>
      </c>
      <c r="DA27" s="56">
        <f>'PC LIST'!CI430</f>
        <v>5.6849999999999996</v>
      </c>
      <c r="DB27" s="56" t="str">
        <f>'PC LIST'!B457</f>
        <v>PR14WSHNHHR_D4</v>
      </c>
      <c r="DC27" s="57" t="str">
        <f>'PC LIST'!I457</f>
        <v>D4: Business customer satisfaction</v>
      </c>
      <c r="DD27" s="57" t="str">
        <f>'PC LIST'!O457</f>
        <v>%</v>
      </c>
      <c r="DE27" s="57" t="str">
        <f>'PC LIST'!P457</f>
        <v>% customer satisfaction</v>
      </c>
      <c r="DF27" s="56">
        <f>'PC LIST'!Q457</f>
        <v>0</v>
      </c>
      <c r="DG27" s="56" t="str">
        <f>'PC LIST'!J457</f>
        <v>Under</v>
      </c>
      <c r="DH27" s="711">
        <f>'PC LIST'!CI457</f>
        <v>88</v>
      </c>
      <c r="DI27" s="56" t="str">
        <f>'PC LIST'!B488</f>
        <v>PR14WSXHHR_A1</v>
      </c>
      <c r="DJ27" s="57" t="str">
        <f>'PC LIST'!I488</f>
        <v>A1: SIM service score</v>
      </c>
      <c r="DK27" s="57" t="str">
        <f>'PC LIST'!O488</f>
        <v>score</v>
      </c>
      <c r="DL27" s="57" t="str">
        <f>'PC LIST'!P488</f>
        <v>Service incentive mechanism (SIM) score</v>
      </c>
      <c r="DM27" s="56">
        <f>'PC LIST'!Q488</f>
        <v>0</v>
      </c>
      <c r="DN27" s="56" t="str">
        <f>'PC LIST'!J488</f>
        <v>Out &amp; under</v>
      </c>
      <c r="DO27" s="56">
        <f>'PC LIST'!CI488</f>
        <v>87</v>
      </c>
      <c r="DP27" s="56" t="str">
        <f>'PC LIST'!B520</f>
        <v>PR14YKYWSWW_SC1</v>
      </c>
      <c r="DQ27" s="57" t="str">
        <f>'PC LIST'!I520</f>
        <v>SC1: Proportion of energy use generated by renewable technology (note: PC is part of a total commitment at Appointee level - see also WD1 and RC1)</v>
      </c>
      <c r="DR27" s="57" t="str">
        <f>'PC LIST'!O520</f>
        <v>%</v>
      </c>
      <c r="DS27" s="57" t="str">
        <f>'PC LIST'!P520</f>
        <v>% of energy use generated by renewable technology</v>
      </c>
      <c r="DT27" s="56">
        <f>'PC LIST'!Q520</f>
        <v>0</v>
      </c>
      <c r="DU27" s="56" t="str">
        <f>'PC LIST'!J520</f>
        <v>NFI</v>
      </c>
      <c r="DV27" s="56">
        <f>'PC LIST'!CI520</f>
        <v>11</v>
      </c>
      <c r="DW27" s="56" t="str">
        <f>'PC LIST'!B554</f>
        <v>PR14HDDWSW_W-C1</v>
      </c>
      <c r="DX27" s="57" t="str">
        <f>'PC LIST'!I554</f>
        <v>W-C1: Customers rating our services as good value for money (based on tracker survey)</v>
      </c>
      <c r="DY27" s="57" t="str">
        <f>'PC LIST'!O554</f>
        <v>%</v>
      </c>
      <c r="DZ27" s="57" t="str">
        <f>'PC LIST'!P554</f>
        <v>% customer satisfaction</v>
      </c>
      <c r="EA27" s="56">
        <f>'PC LIST'!Q554</f>
        <v>0</v>
      </c>
      <c r="EB27" s="56" t="str">
        <f>'PC LIST'!J554</f>
        <v>Out &amp; under</v>
      </c>
      <c r="EC27" s="56" t="str">
        <f>'PC LIST'!CI554</f>
        <v>NA</v>
      </c>
      <c r="ED27" s="56" t="str">
        <f>'PC LIST'!B600</f>
        <v>PR14SVEWSW_W-F1</v>
      </c>
      <c r="EE27" s="57" t="str">
        <f>'PC LIST'!I600</f>
        <v>W-F1: Improved understanding of our services through education</v>
      </c>
      <c r="EF27" s="57" t="str">
        <f>'PC LIST'!O600</f>
        <v>nr</v>
      </c>
      <c r="EG27" s="57" t="str">
        <f>'PC LIST'!P600</f>
        <v>No. of people - education programme</v>
      </c>
      <c r="EH27" s="56">
        <f>'PC LIST'!Q600</f>
        <v>0</v>
      </c>
      <c r="EI27" s="56" t="str">
        <f>'PC LIST'!J600</f>
        <v>NFI</v>
      </c>
      <c r="EJ27" s="56">
        <f>'PC LIST'!CI600</f>
        <v>185371</v>
      </c>
    </row>
    <row r="28" spans="8:140" ht="15.75" customHeight="1">
      <c r="H28" s="56" t="str">
        <f>'PC LIST'!B41</f>
        <v>PR14ANHWSWW_S-C4</v>
      </c>
      <c r="I28" s="57" t="str">
        <f>'PC LIST'!I41</f>
        <v>S-C4: Environmental compliance (wastewater)</v>
      </c>
      <c r="J28" s="57" t="str">
        <f>'PC LIST'!O41</f>
        <v>nr</v>
      </c>
      <c r="K28" s="57" t="str">
        <f>'PC LIST'!P41</f>
        <v>No. of obligations delivered</v>
      </c>
      <c r="L28" s="56">
        <f>'PC LIST'!Q41</f>
        <v>0</v>
      </c>
      <c r="M28" s="56" t="str">
        <f>'PC LIST'!J41</f>
        <v>Under</v>
      </c>
      <c r="N28" s="711">
        <f>'PC LIST'!CI41</f>
        <v>39</v>
      </c>
      <c r="Q28" s="1882"/>
      <c r="R28" s="1882"/>
      <c r="S28" s="1882"/>
      <c r="T28" s="56"/>
      <c r="U28" s="56"/>
      <c r="X28" s="1882"/>
      <c r="Y28" s="1882"/>
      <c r="Z28" s="1882"/>
      <c r="AA28" s="1882"/>
      <c r="AB28" s="1882"/>
      <c r="AC28" s="56" t="str">
        <f>'PC LIST'!B114</f>
        <v>PR14NESWSWW_S-C3</v>
      </c>
      <c r="AD28" s="58" t="str">
        <f>'PC LIST'!I114</f>
        <v>S-C3: Bathing water compliance</v>
      </c>
      <c r="AE28" s="58" t="str">
        <f>'PC LIST'!O114</f>
        <v>nr</v>
      </c>
      <c r="AF28" s="58" t="str">
        <f>'PC LIST'!P114</f>
        <v>No. of bathing waters per year</v>
      </c>
      <c r="AG28" s="56">
        <f>'PC LIST'!Q114</f>
        <v>0</v>
      </c>
      <c r="AH28" s="56" t="str">
        <f>'PC LIST'!J114</f>
        <v>Under</v>
      </c>
      <c r="AI28" s="56">
        <f>'PC LIST'!CI114</f>
        <v>33</v>
      </c>
      <c r="AL28" s="1882"/>
      <c r="AM28" s="1882"/>
      <c r="AN28" s="1882"/>
      <c r="AO28" s="1882"/>
      <c r="AP28" s="1882"/>
      <c r="AS28" s="1882"/>
      <c r="AT28" s="1882"/>
      <c r="AU28" s="1882"/>
      <c r="AV28" s="1882"/>
      <c r="AW28" s="1882"/>
      <c r="AZ28" s="54"/>
      <c r="BA28" s="54"/>
      <c r="BB28" s="54"/>
      <c r="BC28" s="54"/>
      <c r="BD28" s="54"/>
      <c r="BE28" s="56" t="str">
        <f>'PC LIST'!B207</f>
        <v>PR14SEWHHR_A1</v>
      </c>
      <c r="BF28" s="57" t="str">
        <f>'PC LIST'!I207</f>
        <v>A1: Customer satisfaction - appearance of water</v>
      </c>
      <c r="BG28" s="57" t="str">
        <f>'PC LIST'!O207</f>
        <v>score</v>
      </c>
      <c r="BH28" s="57" t="str">
        <f>'PC LIST'!P207</f>
        <v>Customer satisfaction score out of 5</v>
      </c>
      <c r="BI28" s="56">
        <f>'PC LIST'!Q207</f>
        <v>1</v>
      </c>
      <c r="BJ28" s="56" t="str">
        <f>'PC LIST'!J207</f>
        <v>Out &amp; under</v>
      </c>
      <c r="BK28" s="56">
        <f>'PC LIST'!CI207</f>
        <v>4.5</v>
      </c>
      <c r="BL28" s="56" t="str">
        <f>'PC LIST'!B241</f>
        <v>PR14SRNHHR_1</v>
      </c>
      <c r="BM28" s="57" t="str">
        <f>'PC LIST'!I241</f>
        <v>1: First time resolution of customer contacts</v>
      </c>
      <c r="BN28" s="57" t="str">
        <f>'PC LIST'!O241</f>
        <v>%</v>
      </c>
      <c r="BO28" s="57" t="str">
        <f>'PC LIST'!P241</f>
        <v>% customer contacts resolved 1st time</v>
      </c>
      <c r="BP28" s="56">
        <f>'PC LIST'!Q241</f>
        <v>0</v>
      </c>
      <c r="BQ28" s="56" t="str">
        <f>'PC LIST'!J241</f>
        <v>NFI</v>
      </c>
      <c r="BR28" s="56">
        <f>'PC LIST'!CI241</f>
        <v>65</v>
      </c>
      <c r="BU28" s="1882"/>
      <c r="BV28" s="1882"/>
      <c r="BW28" s="1882"/>
      <c r="BX28" s="1882"/>
      <c r="BY28" s="1882"/>
      <c r="BZ28" s="56" t="str">
        <f>'PC LIST'!B289</f>
        <v>PR14SVTWSWW_S-A1</v>
      </c>
      <c r="CA28" s="57" t="str">
        <f>'PC LIST'!I289</f>
        <v>S-A1: Number of internal sewer flooding incidents</v>
      </c>
      <c r="CB28" s="57" t="str">
        <f>'PC LIST'!O289</f>
        <v>nr</v>
      </c>
      <c r="CC28" s="57" t="str">
        <f>'PC LIST'!P289</f>
        <v>No. of internal sewer flooding incidents</v>
      </c>
      <c r="CD28" s="56">
        <f>'PC LIST'!Q289</f>
        <v>0</v>
      </c>
      <c r="CE28" s="56" t="str">
        <f>'PC LIST'!J289</f>
        <v>Out &amp; under</v>
      </c>
      <c r="CF28" s="712" t="str">
        <f>'PC LIST'!CI289</f>
        <v/>
      </c>
      <c r="CG28" s="56" t="str">
        <f>'PC LIST'!B334</f>
        <v>PR14SWTWSWW_S-A5</v>
      </c>
      <c r="CH28" s="59" t="str">
        <f>'PC LIST'!I334</f>
        <v>S-A5: Asset reliability (process)</v>
      </c>
      <c r="CI28" s="59" t="str">
        <f>'PC LIST'!O334</f>
        <v>category</v>
      </c>
      <c r="CJ28" s="59" t="str">
        <f>'PC LIST'!P334</f>
        <v>Asset health indicator</v>
      </c>
      <c r="CK28" s="56" t="str">
        <f>'PC LIST'!Q334</f>
        <v>na</v>
      </c>
      <c r="CL28" s="56" t="str">
        <f>'PC LIST'!J334</f>
        <v>Under</v>
      </c>
      <c r="CM28" s="711" t="str">
        <f>'PC LIST'!CI334</f>
        <v>Stable</v>
      </c>
      <c r="CN28" s="56" t="str">
        <f>'PC LIST'!B376</f>
        <v>PR14TMSWSWW_SB4</v>
      </c>
      <c r="CO28" s="57" t="str">
        <f>'PC LIST'!I376</f>
        <v>SB4: Number of internal flooding incidents, excluding those due to overloaded sewers (SFOC)</v>
      </c>
      <c r="CP28" s="57" t="str">
        <f>'PC LIST'!O376</f>
        <v>nr</v>
      </c>
      <c r="CQ28" s="57" t="str">
        <f>'PC LIST'!P376</f>
        <v>No. of internal sewer flooding (other causes) incidents</v>
      </c>
      <c r="CR28" s="56">
        <f>'PC LIST'!Q376</f>
        <v>0</v>
      </c>
      <c r="CS28" s="56" t="str">
        <f>'PC LIST'!J376</f>
        <v>Out &amp; under</v>
      </c>
      <c r="CT28" s="56">
        <f>'PC LIST'!CI376</f>
        <v>1032</v>
      </c>
      <c r="CU28" s="56" t="str">
        <f>'PC LIST'!B431</f>
        <v>PR14UUHHR_B1</v>
      </c>
      <c r="CV28" s="57" t="str">
        <f>'PC LIST'!I431</f>
        <v>B1: Customers saying that we offer value for money</v>
      </c>
      <c r="CW28" s="57" t="str">
        <f>'PC LIST'!O431</f>
        <v>%</v>
      </c>
      <c r="CX28" s="57" t="str">
        <f>'PC LIST'!P431</f>
        <v>% customer satisfaction</v>
      </c>
      <c r="CY28" s="56">
        <f>'PC LIST'!Q431</f>
        <v>0</v>
      </c>
      <c r="CZ28" s="56" t="str">
        <f>'PC LIST'!J431</f>
        <v>NFI</v>
      </c>
      <c r="DA28" s="56">
        <f>'PC LIST'!CI431</f>
        <v>58</v>
      </c>
      <c r="DB28" s="56" t="str">
        <f>'PC LIST'!B458</f>
        <v>PR14WSHNHHR_D5</v>
      </c>
      <c r="DC28" s="57" t="str">
        <f>'PC LIST'!I458</f>
        <v>D5: Earning the trust of customers - % of customers surveyed that say they trust the company</v>
      </c>
      <c r="DD28" s="57" t="str">
        <f>'PC LIST'!O458</f>
        <v>%</v>
      </c>
      <c r="DE28" s="57" t="str">
        <f>'PC LIST'!P458</f>
        <v>% customer satisfaction</v>
      </c>
      <c r="DF28" s="56">
        <f>'PC LIST'!Q458</f>
        <v>0</v>
      </c>
      <c r="DG28" s="56" t="str">
        <f>'PC LIST'!J458</f>
        <v>NFI</v>
      </c>
      <c r="DH28" s="711">
        <f>'PC LIST'!CI458</f>
        <v>85</v>
      </c>
      <c r="DI28" s="56" t="str">
        <f>'PC LIST'!B489</f>
        <v>PR14WSXHHR_A2</v>
      </c>
      <c r="DJ28" s="57" t="str">
        <f>'PC LIST'!I489</f>
        <v>A2: Percentage rating service good/very good</v>
      </c>
      <c r="DK28" s="57" t="str">
        <f>'PC LIST'!O489</f>
        <v>%</v>
      </c>
      <c r="DL28" s="57" t="str">
        <f>'PC LIST'!P489</f>
        <v>% customer satisfaction</v>
      </c>
      <c r="DM28" s="56">
        <f>'PC LIST'!Q489</f>
        <v>0</v>
      </c>
      <c r="DN28" s="56" t="str">
        <f>'PC LIST'!J489</f>
        <v>NFI</v>
      </c>
      <c r="DO28" s="56">
        <f>'PC LIST'!CI489</f>
        <v>96</v>
      </c>
      <c r="DP28" s="56" t="str">
        <f>'PC LIST'!B521</f>
        <v>PR14YKYWSWW_SC2</v>
      </c>
      <c r="DQ28" s="57" t="str">
        <f>'PC LIST'!I521</f>
        <v>SC2: Proportion of waste diverted from landfill (re-used and recycled) (note: PC is part of a total commitment at Appointee level - see also WD2 and RC2)</v>
      </c>
      <c r="DR28" s="57" t="str">
        <f>'PC LIST'!O521</f>
        <v>%</v>
      </c>
      <c r="DS28" s="57" t="str">
        <f>'PC LIST'!P521</f>
        <v>% of waste diverted from landfill (re-used and recycled)</v>
      </c>
      <c r="DT28" s="56">
        <f>'PC LIST'!Q521</f>
        <v>0</v>
      </c>
      <c r="DU28" s="56" t="str">
        <f>'PC LIST'!J521</f>
        <v>NFI</v>
      </c>
      <c r="DV28" s="56">
        <f>'PC LIST'!CI521</f>
        <v>100</v>
      </c>
      <c r="DW28" s="56" t="str">
        <f>'PC LIST'!B555</f>
        <v>PR14HDDWSW_W-D2</v>
      </c>
      <c r="DX28" s="57" t="str">
        <f>'PC LIST'!I555</f>
        <v>W-D2: Asset stewardship - environmental compliance</v>
      </c>
      <c r="DY28" s="57" t="str">
        <f>'PC LIST'!O555</f>
        <v>%</v>
      </c>
      <c r="DZ28" s="57" t="str">
        <f>'PC LIST'!P555</f>
        <v>% environmental compliance</v>
      </c>
      <c r="EA28" s="56">
        <f>'PC LIST'!Q555</f>
        <v>0</v>
      </c>
      <c r="EB28" s="56" t="str">
        <f>'PC LIST'!J555</f>
        <v>NFI</v>
      </c>
      <c r="EC28" s="56">
        <f>'PC LIST'!CI555</f>
        <v>97.694825362658506</v>
      </c>
      <c r="ED28" s="56" t="str">
        <f>'PC LIST'!B601</f>
        <v>PR14SVEWSWW_S-A1</v>
      </c>
      <c r="EE28" s="57" t="str">
        <f>'PC LIST'!I601</f>
        <v>S-A1: Number of internal sewer flooding incidents</v>
      </c>
      <c r="EF28" s="57" t="str">
        <f>'PC LIST'!O601</f>
        <v>nr</v>
      </c>
      <c r="EG28" s="57" t="str">
        <f>'PC LIST'!P601</f>
        <v>No. of internal sewer flooding incidents</v>
      </c>
      <c r="EH28" s="56">
        <f>'PC LIST'!Q601</f>
        <v>0</v>
      </c>
      <c r="EI28" s="56" t="str">
        <f>'PC LIST'!J601</f>
        <v>Out &amp; under</v>
      </c>
      <c r="EJ28" s="56">
        <f>'PC LIST'!CI601</f>
        <v>725</v>
      </c>
    </row>
    <row r="29" spans="8:140" ht="15.75" customHeight="1">
      <c r="H29" s="56" t="str">
        <f>'PC LIST'!B42</f>
        <v>PR14ANHWSWW_S-D1</v>
      </c>
      <c r="I29" s="57" t="str">
        <f>'PC LIST'!I42</f>
        <v>S-D1: Operational carbon (% reduction from 2015 baseline)</v>
      </c>
      <c r="J29" s="57" t="str">
        <f>'PC LIST'!O42</f>
        <v>%</v>
      </c>
      <c r="K29" s="57" t="str">
        <f>'PC LIST'!P42</f>
        <v>% reduction from 2015 baseline</v>
      </c>
      <c r="L29" s="56">
        <f>'PC LIST'!Q42</f>
        <v>0</v>
      </c>
      <c r="M29" s="56" t="str">
        <f>'PC LIST'!J42</f>
        <v>NFI</v>
      </c>
      <c r="N29" s="711">
        <f>'PC LIST'!CI42</f>
        <v>29</v>
      </c>
      <c r="Q29" s="1882"/>
      <c r="R29" s="1882"/>
      <c r="S29" s="1882"/>
      <c r="T29" s="56"/>
      <c r="U29" s="56"/>
      <c r="X29" s="1882"/>
      <c r="Y29" s="1882"/>
      <c r="Z29" s="1882"/>
      <c r="AA29" s="1882"/>
      <c r="AB29" s="1882"/>
      <c r="AC29" s="56" t="str">
        <f>'PC LIST'!B115</f>
        <v>PR14NESWSWW_S-C4</v>
      </c>
      <c r="AD29" s="58" t="str">
        <f>'PC LIST'!I115</f>
        <v>S-C4: Whitburn combined sewer overflow (CSO) scheme</v>
      </c>
      <c r="AE29" s="58" t="str">
        <f>'PC LIST'!O115</f>
        <v>text</v>
      </c>
      <c r="AF29" s="58" t="str">
        <f>'PC LIST'!P115</f>
        <v>Delivery / non-delivery</v>
      </c>
      <c r="AG29" s="56" t="str">
        <f>'PC LIST'!Q115</f>
        <v>na</v>
      </c>
      <c r="AH29" s="56" t="str">
        <f>'PC LIST'!J115</f>
        <v>Under</v>
      </c>
      <c r="AI29" s="56" t="str">
        <f>'PC LIST'!CI115</f>
        <v>n/a</v>
      </c>
      <c r="AL29" s="1882"/>
      <c r="AM29" s="1882"/>
      <c r="AN29" s="1882"/>
      <c r="AO29" s="1882"/>
      <c r="AP29" s="1882"/>
      <c r="AS29" s="1882"/>
      <c r="AT29" s="1882"/>
      <c r="AU29" s="1882"/>
      <c r="AV29" s="1882"/>
      <c r="AW29" s="1882"/>
      <c r="AZ29" s="54"/>
      <c r="BA29" s="54"/>
      <c r="BB29" s="54"/>
      <c r="BC29" s="54"/>
      <c r="BD29" s="54"/>
      <c r="BE29" s="56" t="str">
        <f>'PC LIST'!B208</f>
        <v>PR14SEWHHR_B1</v>
      </c>
      <c r="BF29" s="57" t="str">
        <f>'PC LIST'!I208</f>
        <v>B1: Customer satisfaction - taste and odour of water</v>
      </c>
      <c r="BG29" s="57" t="str">
        <f>'PC LIST'!O208</f>
        <v>score</v>
      </c>
      <c r="BH29" s="57" t="str">
        <f>'PC LIST'!P208</f>
        <v>Customer satisfaction score out of 5</v>
      </c>
      <c r="BI29" s="56">
        <f>'PC LIST'!Q208</f>
        <v>1</v>
      </c>
      <c r="BJ29" s="56" t="str">
        <f>'PC LIST'!J208</f>
        <v>Out &amp; under</v>
      </c>
      <c r="BK29" s="56">
        <f>'PC LIST'!CI208</f>
        <v>4.2</v>
      </c>
      <c r="BL29" s="56" t="str">
        <f>'PC LIST'!B242</f>
        <v>PR14SRNHHR_2</v>
      </c>
      <c r="BM29" s="57" t="str">
        <f>'PC LIST'!I242</f>
        <v>2: Dealing with customers’ individual needs</v>
      </c>
      <c r="BN29" s="57" t="str">
        <f>'PC LIST'!O242</f>
        <v>%</v>
      </c>
      <c r="BO29" s="57" t="str">
        <f>'PC LIST'!P242</f>
        <v>% customers agreeing with survey statement</v>
      </c>
      <c r="BP29" s="56">
        <f>'PC LIST'!Q242</f>
        <v>0</v>
      </c>
      <c r="BQ29" s="56" t="str">
        <f>'PC LIST'!J242</f>
        <v>NFI</v>
      </c>
      <c r="BR29" s="56">
        <f>'PC LIST'!CI242</f>
        <v>64</v>
      </c>
      <c r="BU29" s="1882"/>
      <c r="BV29" s="1882"/>
      <c r="BW29" s="1882"/>
      <c r="BX29" s="1882"/>
      <c r="BY29" s="1882"/>
      <c r="BZ29" s="56" t="str">
        <f>'PC LIST'!B290</f>
        <v>PR14SVTWSWW_S-A2</v>
      </c>
      <c r="CA29" s="57" t="str">
        <f>'PC LIST'!I290</f>
        <v>S-A2: Number of external sewer flooding incidents</v>
      </c>
      <c r="CB29" s="57" t="str">
        <f>'PC LIST'!O290</f>
        <v>nr</v>
      </c>
      <c r="CC29" s="57" t="str">
        <f>'PC LIST'!P290</f>
        <v>No. of external sewer flooding incidents</v>
      </c>
      <c r="CD29" s="56">
        <f>'PC LIST'!Q290</f>
        <v>0</v>
      </c>
      <c r="CE29" s="56" t="str">
        <f>'PC LIST'!J290</f>
        <v>Out &amp; under</v>
      </c>
      <c r="CF29" s="712" t="str">
        <f>'PC LIST'!CI290</f>
        <v/>
      </c>
      <c r="CG29" s="56" t="str">
        <f>'PC LIST'!B335</f>
        <v>PR14SWTWSWW_S-A6</v>
      </c>
      <c r="CH29" s="59" t="str">
        <f>'PC LIST'!I335</f>
        <v>S-A6: Compliance with sludge standard (%)</v>
      </c>
      <c r="CI29" s="59" t="str">
        <f>'PC LIST'!O335</f>
        <v>%</v>
      </c>
      <c r="CJ29" s="59" t="str">
        <f>'PC LIST'!P335</f>
        <v>% satisfactory sludge disposal compliance</v>
      </c>
      <c r="CK29" s="56">
        <f>'PC LIST'!Q335</f>
        <v>2</v>
      </c>
      <c r="CL29" s="56" t="str">
        <f>'PC LIST'!J335</f>
        <v>NFI</v>
      </c>
      <c r="CM29" s="711">
        <f>'PC LIST'!CI335</f>
        <v>98.7</v>
      </c>
      <c r="CN29" s="56" t="str">
        <f>'PC LIST'!B377</f>
        <v>PR14TMSWSWW_SB5</v>
      </c>
      <c r="CO29" s="57" t="str">
        <f>'PC LIST'!I377</f>
        <v>SB5: Contributing area disconnected from combined sewers by retrofitting sustainable drainage</v>
      </c>
      <c r="CP29" s="57" t="str">
        <f>'PC LIST'!O377</f>
        <v>nr</v>
      </c>
      <c r="CQ29" s="57" t="str">
        <f>'PC LIST'!P377</f>
        <v>No. of hectares (cumulative)</v>
      </c>
      <c r="CR29" s="56">
        <f>'PC LIST'!Q377</f>
        <v>0</v>
      </c>
      <c r="CS29" s="56" t="str">
        <f>'PC LIST'!J377</f>
        <v>Out &amp; under</v>
      </c>
      <c r="CT29" s="56">
        <f>'PC LIST'!CI377</f>
        <v>0.24099999999999999</v>
      </c>
      <c r="CU29" s="56" t="str">
        <f>'PC LIST'!B432</f>
        <v>PR14UUHHR_B2</v>
      </c>
      <c r="CV29" s="57" t="str">
        <f>'PC LIST'!I432</f>
        <v>B2: Per household consumption</v>
      </c>
      <c r="CW29" s="57" t="str">
        <f>'PC LIST'!O432</f>
        <v>nr</v>
      </c>
      <c r="CX29" s="57" t="str">
        <f>'PC LIST'!P432</f>
        <v>Litres per household per day (l/hh/d)</v>
      </c>
      <c r="CY29" s="56">
        <f>'PC LIST'!Q432</f>
        <v>0</v>
      </c>
      <c r="CZ29" s="56" t="str">
        <f>'PC LIST'!J432</f>
        <v>NFI</v>
      </c>
      <c r="DA29" s="56">
        <f>'PC LIST'!CI432</f>
        <v>314.0734882776373</v>
      </c>
      <c r="DB29" s="56" t="str">
        <f>'PC LIST'!B459</f>
        <v>PR14WSHNHHR_E1</v>
      </c>
      <c r="DC29" s="57" t="str">
        <f>'PC LIST'!I459</f>
        <v>E1: Affordable bills - annual increase</v>
      </c>
      <c r="DD29" s="57" t="str">
        <f>'PC LIST'!O459</f>
        <v>%</v>
      </c>
      <c r="DE29" s="57" t="str">
        <f>'PC LIST'!P459</f>
        <v>% above or below inflation (affordability of bills)</v>
      </c>
      <c r="DF29" s="56">
        <f>'PC LIST'!Q459</f>
        <v>0</v>
      </c>
      <c r="DG29" s="56" t="str">
        <f>'PC LIST'!J459</f>
        <v>NFI</v>
      </c>
      <c r="DH29" s="711">
        <f>'PC LIST'!CI459</f>
        <v>1</v>
      </c>
      <c r="DI29" s="56" t="str">
        <f>'PC LIST'!B490</f>
        <v>PR14WSXHHR_A3</v>
      </c>
      <c r="DJ29" s="57" t="str">
        <f>'PC LIST'!I490</f>
        <v>A3: Percentage rating good value for money</v>
      </c>
      <c r="DK29" s="57" t="str">
        <f>'PC LIST'!O490</f>
        <v>%</v>
      </c>
      <c r="DL29" s="57" t="str">
        <f>'PC LIST'!P490</f>
        <v>% customer satisfaction</v>
      </c>
      <c r="DM29" s="56">
        <f>'PC LIST'!Q490</f>
        <v>0</v>
      </c>
      <c r="DN29" s="56" t="str">
        <f>'PC LIST'!J490</f>
        <v>NFI</v>
      </c>
      <c r="DO29" s="56">
        <f>'PC LIST'!CI490</f>
        <v>69</v>
      </c>
      <c r="DP29" s="56" t="str">
        <f>'PC LIST'!B522</f>
        <v>PR14YKYHHR_RA1</v>
      </c>
      <c r="DQ29" s="57" t="str">
        <f>'PC LIST'!I522</f>
        <v>RA1: Service incentive mechanism (SIM)</v>
      </c>
      <c r="DR29" s="57" t="str">
        <f>'PC LIST'!O522</f>
        <v>score</v>
      </c>
      <c r="DS29" s="57" t="str">
        <f>'PC LIST'!P522</f>
        <v>Service incentive mechanism (SIM) score</v>
      </c>
      <c r="DT29" s="56">
        <f>'PC LIST'!Q522</f>
        <v>1</v>
      </c>
      <c r="DU29" s="56" t="str">
        <f>'PC LIST'!J522</f>
        <v>Out &amp; under</v>
      </c>
      <c r="DV29" s="56">
        <f>'PC LIST'!CI522</f>
        <v>84</v>
      </c>
      <c r="DW29" s="56" t="str">
        <f>'PC LIST'!B556</f>
        <v>PR14HDDWSW_W-E1</v>
      </c>
      <c r="DX29" s="57" t="str">
        <f>'PC LIST'!I556</f>
        <v>W-E1: Size of our carbon footprint</v>
      </c>
      <c r="DY29" s="57" t="str">
        <f>'PC LIST'!O556</f>
        <v>nr</v>
      </c>
      <c r="DZ29" s="57" t="str">
        <f>'PC LIST'!P556</f>
        <v>ktCO2e</v>
      </c>
      <c r="EA29" s="56">
        <f>'PC LIST'!Q556</f>
        <v>3</v>
      </c>
      <c r="EB29" s="56" t="str">
        <f>'PC LIST'!J556</f>
        <v>Out &amp; under</v>
      </c>
      <c r="EC29" s="56">
        <f>'PC LIST'!CI556</f>
        <v>1</v>
      </c>
      <c r="ED29" s="56" t="str">
        <f>'PC LIST'!B602</f>
        <v>PR14SVEWSWW_S-A2</v>
      </c>
      <c r="EE29" s="57" t="str">
        <f>'PC LIST'!I602</f>
        <v>S-A2: Number of external sewer flooding incidents</v>
      </c>
      <c r="EF29" s="57" t="str">
        <f>'PC LIST'!O602</f>
        <v>nr</v>
      </c>
      <c r="EG29" s="57" t="str">
        <f>'PC LIST'!P602</f>
        <v>No. of external sewer flooding incidents</v>
      </c>
      <c r="EH29" s="56">
        <f>'PC LIST'!Q602</f>
        <v>0</v>
      </c>
      <c r="EI29" s="56" t="str">
        <f>'PC LIST'!J602</f>
        <v>Out &amp; under</v>
      </c>
      <c r="EJ29" s="56">
        <f>'PC LIST'!CI602</f>
        <v>3766</v>
      </c>
    </row>
    <row r="30" spans="8:140" ht="15.75" customHeight="1">
      <c r="H30" s="56" t="str">
        <f>'PC LIST'!B43</f>
        <v>PR14ANHWSWW_S-D2</v>
      </c>
      <c r="I30" s="57" t="str">
        <f>'PC LIST'!I43</f>
        <v>S-D2: Embodied carbon (% reduction from 2010 baseline)</v>
      </c>
      <c r="J30" s="57" t="str">
        <f>'PC LIST'!O43</f>
        <v>%</v>
      </c>
      <c r="K30" s="57" t="str">
        <f>'PC LIST'!P43</f>
        <v>% reduction from 2010 baseline</v>
      </c>
      <c r="L30" s="56">
        <f>'PC LIST'!Q43</f>
        <v>0</v>
      </c>
      <c r="M30" s="56" t="str">
        <f>'PC LIST'!J43</f>
        <v>NFI</v>
      </c>
      <c r="N30" s="711">
        <f>'PC LIST'!CI43</f>
        <v>58</v>
      </c>
      <c r="Q30" s="1882"/>
      <c r="R30" s="1882"/>
      <c r="S30" s="1882"/>
      <c r="T30" s="56"/>
      <c r="U30" s="56"/>
      <c r="X30" s="1882"/>
      <c r="Y30" s="1882"/>
      <c r="Z30" s="1882"/>
      <c r="AA30" s="1882"/>
      <c r="AB30" s="1882"/>
      <c r="AC30" s="56" t="str">
        <f>'PC LIST'!B116</f>
        <v>PR14NESWSWW_S-D1</v>
      </c>
      <c r="AD30" s="58" t="str">
        <f>'PC LIST'!I116</f>
        <v>S-D1: NWL independent overall customer satisfaction score</v>
      </c>
      <c r="AE30" s="58" t="str">
        <f>'PC LIST'!O116</f>
        <v>score</v>
      </c>
      <c r="AF30" s="58" t="str">
        <f>'PC LIST'!P116</f>
        <v>Customer satisfaction score out of 10</v>
      </c>
      <c r="AG30" s="56">
        <f>'PC LIST'!Q116</f>
        <v>1</v>
      </c>
      <c r="AH30" s="56" t="str">
        <f>'PC LIST'!J116</f>
        <v>NFI</v>
      </c>
      <c r="AI30" s="56">
        <f>'PC LIST'!CI116</f>
        <v>8.6999999999999993</v>
      </c>
      <c r="AL30" s="1882"/>
      <c r="AM30" s="1882"/>
      <c r="AN30" s="1882"/>
      <c r="AO30" s="1882"/>
      <c r="AP30" s="1882"/>
      <c r="AS30" s="1882"/>
      <c r="AT30" s="1882"/>
      <c r="AU30" s="1882"/>
      <c r="AV30" s="1882"/>
      <c r="AW30" s="1882"/>
      <c r="AZ30" s="54"/>
      <c r="BA30" s="54"/>
      <c r="BB30" s="54"/>
      <c r="BC30" s="54"/>
      <c r="BD30" s="54"/>
      <c r="BE30" s="56" t="str">
        <f>'PC LIST'!B209</f>
        <v>PR14SEWHHR_C1</v>
      </c>
      <c r="BF30" s="57" t="str">
        <f>'PC LIST'!I209</f>
        <v>C1: Customer satisfaction - level of leakage</v>
      </c>
      <c r="BG30" s="57" t="str">
        <f>'PC LIST'!O209</f>
        <v>score</v>
      </c>
      <c r="BH30" s="57" t="str">
        <f>'PC LIST'!P209</f>
        <v>Customer satisfaction score out of 5</v>
      </c>
      <c r="BI30" s="56">
        <f>'PC LIST'!Q209</f>
        <v>1</v>
      </c>
      <c r="BJ30" s="56" t="str">
        <f>'PC LIST'!J209</f>
        <v>Out &amp; under</v>
      </c>
      <c r="BK30" s="56">
        <f>'PC LIST'!CI209</f>
        <v>3.6</v>
      </c>
      <c r="BL30" s="56" t="str">
        <f>'PC LIST'!B243</f>
        <v>PR14SRNHHR_3</v>
      </c>
      <c r="BM30" s="57" t="str">
        <f>'PC LIST'!I243</f>
        <v>3: Awareness of water hardness measures</v>
      </c>
      <c r="BN30" s="57" t="str">
        <f>'PC LIST'!O243</f>
        <v>%</v>
      </c>
      <c r="BO30" s="57" t="str">
        <f>'PC LIST'!P243</f>
        <v>% customers aware of water hardness measures</v>
      </c>
      <c r="BP30" s="56">
        <f>'PC LIST'!Q243</f>
        <v>0</v>
      </c>
      <c r="BQ30" s="56" t="str">
        <f>'PC LIST'!J243</f>
        <v>NFI</v>
      </c>
      <c r="BR30" s="56">
        <f>'PC LIST'!CI243</f>
        <v>55</v>
      </c>
      <c r="BU30" s="1882"/>
      <c r="BV30" s="1882"/>
      <c r="BW30" s="1882"/>
      <c r="BX30" s="1882"/>
      <c r="BY30" s="1882"/>
      <c r="BZ30" s="56" t="str">
        <f>'PC LIST'!B291</f>
        <v>PR14SVTWSWW_S-A3</v>
      </c>
      <c r="CA30" s="57" t="str">
        <f>'PC LIST'!I291</f>
        <v>S-A3: Partnership working</v>
      </c>
      <c r="CB30" s="57" t="str">
        <f>'PC LIST'!O291</f>
        <v>nr</v>
      </c>
      <c r="CC30" s="57" t="str">
        <f>'PC LIST'!P291</f>
        <v>No. of partnership working projects</v>
      </c>
      <c r="CD30" s="56">
        <f>'PC LIST'!Q291</f>
        <v>0</v>
      </c>
      <c r="CE30" s="56" t="str">
        <f>'PC LIST'!J291</f>
        <v>Out &amp; under</v>
      </c>
      <c r="CF30" s="712" t="str">
        <f>'PC LIST'!CI291</f>
        <v/>
      </c>
      <c r="CG30" s="56" t="str">
        <f>'PC LIST'!B336</f>
        <v>PR14SWTWSWW_S-B1</v>
      </c>
      <c r="CH30" s="59" t="str">
        <f>'PC LIST'!I336</f>
        <v>S-B1: Operational customer contacts resolved first time (%)</v>
      </c>
      <c r="CI30" s="59" t="str">
        <f>'PC LIST'!O336</f>
        <v>%</v>
      </c>
      <c r="CJ30" s="59" t="str">
        <f>'PC LIST'!P336</f>
        <v>% customer contacts resolved 1st time</v>
      </c>
      <c r="CK30" s="56">
        <f>'PC LIST'!Q336</f>
        <v>1</v>
      </c>
      <c r="CL30" s="56" t="str">
        <f>'PC LIST'!J336</f>
        <v>Out &amp; under</v>
      </c>
      <c r="CM30" s="711">
        <f>'PC LIST'!CI336</f>
        <v>91.7</v>
      </c>
      <c r="CN30" s="56" t="str">
        <f>'PC LIST'!B378</f>
        <v>PR14TMSWSWW_SB6</v>
      </c>
      <c r="CO30" s="57" t="str">
        <f>'PC LIST'!I378</f>
        <v>SB6: Compliance with SEMD advice notes (with or without derogation)</v>
      </c>
      <c r="CP30" s="57" t="str">
        <f>'PC LIST'!O378</f>
        <v>%</v>
      </c>
      <c r="CQ30" s="57" t="str">
        <f>'PC LIST'!P378</f>
        <v>% compliance with SEMD advice notes</v>
      </c>
      <c r="CR30" s="56">
        <f>'PC LIST'!Q378</f>
        <v>0</v>
      </c>
      <c r="CS30" s="56" t="str">
        <f>'PC LIST'!J378</f>
        <v>Under</v>
      </c>
      <c r="CT30" s="56">
        <f>'PC LIST'!CI378</f>
        <v>45</v>
      </c>
      <c r="CU30" s="56"/>
      <c r="CV30" s="57"/>
      <c r="CW30" s="57"/>
      <c r="CX30" s="57"/>
      <c r="CY30" s="1882"/>
      <c r="CZ30" s="1882"/>
      <c r="DA30" s="1882"/>
      <c r="DB30" s="56" t="str">
        <f>'PC LIST'!B460</f>
        <v>PR14WSHHHR_D1</v>
      </c>
      <c r="DC30" s="57" t="str">
        <f>'PC LIST'!I460</f>
        <v>D1: Service incentive mechanism (SIM)</v>
      </c>
      <c r="DD30" s="57" t="str">
        <f>'PC LIST'!O460</f>
        <v>text</v>
      </c>
      <c r="DE30" s="57" t="str">
        <f>'PC LIST'!P460</f>
        <v>Service incentive mechanism (SIM) score ranking</v>
      </c>
      <c r="DF30" s="56" t="str">
        <f>'PC LIST'!Q460</f>
        <v>na</v>
      </c>
      <c r="DG30" s="56" t="str">
        <f>'PC LIST'!J460</f>
        <v>Out &amp; under</v>
      </c>
      <c r="DH30" s="711">
        <f>'PC LIST'!CI460</f>
        <v>86.88</v>
      </c>
      <c r="DI30" s="56" t="str">
        <f>'PC LIST'!B491</f>
        <v>PR14WSXHHR_A4</v>
      </c>
      <c r="DJ30" s="57" t="str">
        <f>'PC LIST'!I491</f>
        <v>A4: Percentage rating ease of resolution</v>
      </c>
      <c r="DK30" s="57" t="str">
        <f>'PC LIST'!O491</f>
        <v>%</v>
      </c>
      <c r="DL30" s="57" t="str">
        <f>'PC LIST'!P491</f>
        <v>% customer satisfaction</v>
      </c>
      <c r="DM30" s="56">
        <f>'PC LIST'!Q491</f>
        <v>0</v>
      </c>
      <c r="DN30" s="56" t="str">
        <f>'PC LIST'!J491</f>
        <v>NFI</v>
      </c>
      <c r="DO30" s="56">
        <f>'PC LIST'!CI491</f>
        <v>92</v>
      </c>
      <c r="DP30" s="56" t="str">
        <f>'PC LIST'!B523</f>
        <v>PR14YKYHHR_RA2</v>
      </c>
      <c r="DQ30" s="57" t="str">
        <f>'PC LIST'!I523</f>
        <v>RA2: Service commitment failures</v>
      </c>
      <c r="DR30" s="57" t="str">
        <f>'PC LIST'!O523</f>
        <v>nr</v>
      </c>
      <c r="DS30" s="57" t="str">
        <f>'PC LIST'!P523</f>
        <v>No. of GSS (Guaranteed Standards of Service) events</v>
      </c>
      <c r="DT30" s="56">
        <f>'PC LIST'!Q523</f>
        <v>0</v>
      </c>
      <c r="DU30" s="56" t="str">
        <f>'PC LIST'!J523</f>
        <v>NFI</v>
      </c>
      <c r="DV30" s="56">
        <f>'PC LIST'!CI523</f>
        <v>14221</v>
      </c>
      <c r="DW30" s="56" t="str">
        <f>'PC LIST'!B557</f>
        <v>PR14HDDWSW_W-F1</v>
      </c>
      <c r="DX30" s="57" t="str">
        <f>'PC LIST'!I557</f>
        <v>W-F1: Improved understanding of our services through education</v>
      </c>
      <c r="DY30" s="57" t="str">
        <f>'PC LIST'!O557</f>
        <v>nr</v>
      </c>
      <c r="DZ30" s="57" t="str">
        <f>'PC LIST'!P557</f>
        <v>No. of people - education programme</v>
      </c>
      <c r="EA30" s="56">
        <f>'PC LIST'!Q557</f>
        <v>0</v>
      </c>
      <c r="EB30" s="56" t="str">
        <f>'PC LIST'!J557</f>
        <v>NFI</v>
      </c>
      <c r="EC30" s="56">
        <f>'PC LIST'!CI557</f>
        <v>534</v>
      </c>
      <c r="ED30" s="56" t="str">
        <f>'PC LIST'!B603</f>
        <v>PR14SVEWSWW_S-A3</v>
      </c>
      <c r="EE30" s="57" t="str">
        <f>'PC LIST'!I603</f>
        <v>S-A3: Partnership working</v>
      </c>
      <c r="EF30" s="57" t="str">
        <f>'PC LIST'!O603</f>
        <v>nr</v>
      </c>
      <c r="EG30" s="57" t="str">
        <f>'PC LIST'!P603</f>
        <v>No. of partnership working projects</v>
      </c>
      <c r="EH30" s="56">
        <f>'PC LIST'!Q603</f>
        <v>0</v>
      </c>
      <c r="EI30" s="56" t="str">
        <f>'PC LIST'!J603</f>
        <v>Out &amp; under</v>
      </c>
      <c r="EJ30" s="56">
        <f>'PC LIST'!CI603</f>
        <v>5</v>
      </c>
    </row>
    <row r="31" spans="8:140" ht="15.75" customHeight="1">
      <c r="H31" s="56" t="str">
        <f>'PC LIST'!B44</f>
        <v>PR14ANHWSWW_S-E1</v>
      </c>
      <c r="I31" s="57" t="str">
        <f>'PC LIST'!I44</f>
        <v>S-E1: Survey of community perception</v>
      </c>
      <c r="J31" s="57" t="str">
        <f>'PC LIST'!O44</f>
        <v>%</v>
      </c>
      <c r="K31" s="57" t="str">
        <f>'PC LIST'!P44</f>
        <v>% customer satisfaction</v>
      </c>
      <c r="L31" s="56" t="str">
        <f>'PC LIST'!Q44</f>
        <v>na</v>
      </c>
      <c r="M31" s="56" t="str">
        <f>'PC LIST'!J44</f>
        <v>NFI</v>
      </c>
      <c r="N31" s="711">
        <f>'PC LIST'!CI44</f>
        <v>57</v>
      </c>
      <c r="Q31" s="1882"/>
      <c r="R31" s="1882"/>
      <c r="S31" s="1882"/>
      <c r="T31" s="56"/>
      <c r="U31" s="56"/>
      <c r="X31" s="1882"/>
      <c r="Y31" s="1882"/>
      <c r="Z31" s="1882"/>
      <c r="AA31" s="1882"/>
      <c r="AB31" s="1882"/>
      <c r="AC31" s="56" t="str">
        <f>'PC LIST'!B117</f>
        <v>PR14NESWSWW_S-D2</v>
      </c>
      <c r="AD31" s="58" t="str">
        <f>'PC LIST'!I117</f>
        <v>S-D2: Service incentive mechanism (SIM)</v>
      </c>
      <c r="AE31" s="58" t="str">
        <f>'PC LIST'!O117</f>
        <v>score</v>
      </c>
      <c r="AF31" s="58" t="str">
        <f>'PC LIST'!P117</f>
        <v>Service incentive mechanism (SIM) score</v>
      </c>
      <c r="AG31" s="56">
        <f>'PC LIST'!Q117</f>
        <v>1</v>
      </c>
      <c r="AH31" s="56" t="str">
        <f>'PC LIST'!J117</f>
        <v>Out &amp; under</v>
      </c>
      <c r="AI31" s="56">
        <f>'PC LIST'!CI117</f>
        <v>85.9</v>
      </c>
      <c r="AL31" s="1882"/>
      <c r="AM31" s="1882"/>
      <c r="AN31" s="1882"/>
      <c r="AO31" s="1882"/>
      <c r="AP31" s="1882"/>
      <c r="AS31" s="1882"/>
      <c r="AT31" s="1882"/>
      <c r="AU31" s="1882"/>
      <c r="AV31" s="1882"/>
      <c r="AW31" s="1882"/>
      <c r="AZ31" s="1882"/>
      <c r="BA31" s="1882"/>
      <c r="BB31" s="1882"/>
      <c r="BC31" s="1882"/>
      <c r="BD31" s="1882"/>
      <c r="BE31" s="56" t="str">
        <f>'PC LIST'!B210</f>
        <v>PR14SEWHHR_D1</v>
      </c>
      <c r="BF31" s="57" t="str">
        <f>'PC LIST'!I210</f>
        <v>D1: Customer satisfaction - direct interaction experience</v>
      </c>
      <c r="BG31" s="57" t="str">
        <f>'PC LIST'!O210</f>
        <v>score</v>
      </c>
      <c r="BH31" s="57" t="str">
        <f>'PC LIST'!P210</f>
        <v>Customer satisfaction score out of 5</v>
      </c>
      <c r="BI31" s="56">
        <f>'PC LIST'!Q210</f>
        <v>1</v>
      </c>
      <c r="BJ31" s="56" t="str">
        <f>'PC LIST'!J210</f>
        <v>Out &amp; under</v>
      </c>
      <c r="BK31" s="56">
        <f>'PC LIST'!CI210</f>
        <v>4.3</v>
      </c>
      <c r="BL31" s="56" t="str">
        <f>'PC LIST'!B244</f>
        <v>PR14SRNHHR_4</v>
      </c>
      <c r="BM31" s="57" t="str">
        <f>'PC LIST'!I244</f>
        <v>4: Where your money goes</v>
      </c>
      <c r="BN31" s="57" t="str">
        <f>'PC LIST'!O244</f>
        <v>%</v>
      </c>
      <c r="BO31" s="57" t="str">
        <f>'PC LIST'!P244</f>
        <v>% customers aware of where money goes</v>
      </c>
      <c r="BP31" s="56">
        <f>'PC LIST'!Q244</f>
        <v>0</v>
      </c>
      <c r="BQ31" s="56" t="str">
        <f>'PC LIST'!J244</f>
        <v>NFI</v>
      </c>
      <c r="BR31" s="56">
        <f>'PC LIST'!CI244</f>
        <v>59</v>
      </c>
      <c r="BU31" s="1882"/>
      <c r="BV31" s="1882"/>
      <c r="BW31" s="1882"/>
      <c r="BX31" s="1882"/>
      <c r="BY31" s="1882"/>
      <c r="BZ31" s="56" t="str">
        <f>'PC LIST'!B292</f>
        <v>PR14SVTWSWW_S-A4</v>
      </c>
      <c r="CA31" s="57" t="str">
        <f>'PC LIST'!I292</f>
        <v>S-A4: Asset stewardship - blockages</v>
      </c>
      <c r="CB31" s="57" t="str">
        <f>'PC LIST'!O292</f>
        <v>nr</v>
      </c>
      <c r="CC31" s="57" t="str">
        <f>'PC LIST'!P292</f>
        <v>No. of sewer blockages per year</v>
      </c>
      <c r="CD31" s="56">
        <f>'PC LIST'!Q292</f>
        <v>0</v>
      </c>
      <c r="CE31" s="56" t="str">
        <f>'PC LIST'!J292</f>
        <v>Under</v>
      </c>
      <c r="CF31" s="712" t="str">
        <f>'PC LIST'!CI292</f>
        <v/>
      </c>
      <c r="CG31" s="56" t="str">
        <f>'PC LIST'!B337</f>
        <v>PR14SWTWSWW_S-C1</v>
      </c>
      <c r="CH31" s="59" t="str">
        <f>'PC LIST'!I337</f>
        <v>S-C1: Wastewater treatment numeric compliance (%)</v>
      </c>
      <c r="CI31" s="59" t="str">
        <f>'PC LIST'!O337</f>
        <v>%</v>
      </c>
      <c r="CJ31" s="59" t="str">
        <f>'PC LIST'!P337</f>
        <v>% wastewater treatment numeric compliance</v>
      </c>
      <c r="CK31" s="56">
        <f>'PC LIST'!Q337</f>
        <v>1</v>
      </c>
      <c r="CL31" s="56" t="str">
        <f>'PC LIST'!J337</f>
        <v>Under</v>
      </c>
      <c r="CM31" s="711">
        <f>'PC LIST'!CI337</f>
        <v>98.697068403908787</v>
      </c>
      <c r="CN31" s="56" t="str">
        <f>'PC LIST'!B379</f>
        <v>PR14TMSWSWW_SB7</v>
      </c>
      <c r="CO31" s="57" t="str">
        <f>'PC LIST'!I379</f>
        <v>SB7: Population equivalent of sites made resilient to future extreme rainfall events</v>
      </c>
      <c r="CP31" s="57" t="str">
        <f>'PC LIST'!O379</f>
        <v>nr</v>
      </c>
      <c r="CQ31" s="57" t="str">
        <f>'PC LIST'!P379</f>
        <v>Population equivalent (cumulative)</v>
      </c>
      <c r="CR31" s="56">
        <f>'PC LIST'!Q379</f>
        <v>0</v>
      </c>
      <c r="CS31" s="56" t="str">
        <f>'PC LIST'!J379</f>
        <v>Under</v>
      </c>
      <c r="CT31" s="56">
        <f>'PC LIST'!CI379</f>
        <v>962842</v>
      </c>
      <c r="CW31" s="54"/>
      <c r="CX31" s="54"/>
      <c r="CY31" s="54"/>
      <c r="CZ31" s="54"/>
      <c r="DA31" s="54"/>
      <c r="DB31" s="56" t="str">
        <f>'PC LIST'!B461</f>
        <v>PR14WSHHHR_D5</v>
      </c>
      <c r="DC31" s="57" t="str">
        <f>'PC LIST'!I461</f>
        <v>D5: Earning the trust of customers - % of customers surveyed that say they trust the company</v>
      </c>
      <c r="DD31" s="57" t="str">
        <f>'PC LIST'!O461</f>
        <v>%</v>
      </c>
      <c r="DE31" s="57" t="str">
        <f>'PC LIST'!P461</f>
        <v>% customer satisfaction</v>
      </c>
      <c r="DF31" s="56">
        <f>'PC LIST'!Q461</f>
        <v>0</v>
      </c>
      <c r="DG31" s="56" t="str">
        <f>'PC LIST'!J461</f>
        <v>NFI</v>
      </c>
      <c r="DH31" s="711">
        <f>'PC LIST'!CI461</f>
        <v>85</v>
      </c>
      <c r="DI31" s="56" t="str">
        <f>'PC LIST'!B492</f>
        <v>PR14WSXHHR_A5</v>
      </c>
      <c r="DJ31" s="57" t="str">
        <f>'PC LIST'!I492</f>
        <v>A5: Accessible communications</v>
      </c>
      <c r="DK31" s="57" t="str">
        <f>'PC LIST'!O492</f>
        <v>text</v>
      </c>
      <c r="DL31" s="57" t="str">
        <f>'PC LIST'!P492</f>
        <v>Meet best practice</v>
      </c>
      <c r="DM31" s="56" t="str">
        <f>'PC LIST'!Q492</f>
        <v>na</v>
      </c>
      <c r="DN31" s="56" t="str">
        <f>'PC LIST'!J492</f>
        <v>NFI</v>
      </c>
      <c r="DO31" s="56" t="str">
        <f>'PC LIST'!CI492</f>
        <v>Achieved</v>
      </c>
      <c r="DP31" s="56" t="str">
        <f>'PC LIST'!B524</f>
        <v>PR14YKYHHR_RA3</v>
      </c>
      <c r="DQ31" s="57" t="str">
        <f>'PC LIST'!I524</f>
        <v>RA3: Overall customer satisfaction (CCWater annual tracking survey)</v>
      </c>
      <c r="DR31" s="57" t="str">
        <f>'PC LIST'!O524</f>
        <v>%</v>
      </c>
      <c r="DS31" s="57" t="str">
        <f>'PC LIST'!P524</f>
        <v>% overall customer satisfaction (CCWater tracking survey)</v>
      </c>
      <c r="DT31" s="56">
        <f>'PC LIST'!Q524</f>
        <v>0</v>
      </c>
      <c r="DU31" s="56" t="str">
        <f>'PC LIST'!J524</f>
        <v>NFI</v>
      </c>
      <c r="DV31" s="56" t="str">
        <f>'PC LIST'!CI524</f>
        <v>95% (water), 88% (wastewater)</v>
      </c>
      <c r="DW31" s="56" t="str">
        <f>'PC LIST'!B558</f>
        <v>PR14HDDWSWW_S-A1</v>
      </c>
      <c r="DX31" s="57" t="str">
        <f>'PC LIST'!I558</f>
        <v>S-A1: Number of internal sewer flooding incidents</v>
      </c>
      <c r="DY31" s="57" t="str">
        <f>'PC LIST'!O558</f>
        <v>nr</v>
      </c>
      <c r="DZ31" s="57" t="str">
        <f>'PC LIST'!P558</f>
        <v>No. of internal sewer flooding incidents</v>
      </c>
      <c r="EA31" s="56">
        <f>'PC LIST'!Q558</f>
        <v>0</v>
      </c>
      <c r="EB31" s="56" t="str">
        <f>'PC LIST'!J558</f>
        <v>Out &amp; under</v>
      </c>
      <c r="EC31" s="56">
        <f>'PC LIST'!CI558</f>
        <v>4</v>
      </c>
      <c r="ED31" s="56" t="str">
        <f>'PC LIST'!B604</f>
        <v>PR14SVEWSWW_S-A4</v>
      </c>
      <c r="EE31" s="57" t="str">
        <f>'PC LIST'!I604</f>
        <v>S-A4: Asset stewardship - blockages</v>
      </c>
      <c r="EF31" s="57" t="str">
        <f>'PC LIST'!O604</f>
        <v>nr</v>
      </c>
      <c r="EG31" s="57" t="str">
        <f>'PC LIST'!P604</f>
        <v>No. of sewer blockages per year</v>
      </c>
      <c r="EH31" s="56">
        <f>'PC LIST'!Q604</f>
        <v>0</v>
      </c>
      <c r="EI31" s="56" t="str">
        <f>'PC LIST'!J604</f>
        <v>Under</v>
      </c>
      <c r="EJ31" s="56">
        <f>'PC LIST'!CI604</f>
        <v>46898</v>
      </c>
    </row>
    <row r="32" spans="8:140" ht="15.75" customHeight="1">
      <c r="H32" s="56" t="str">
        <f>'PC LIST'!B45</f>
        <v>PR14ANHWSWW_S-F1</v>
      </c>
      <c r="I32" s="57" t="str">
        <f>'PC LIST'!I45</f>
        <v>S-F1: Sewerage infrastructure</v>
      </c>
      <c r="J32" s="57" t="str">
        <f>'PC LIST'!O45</f>
        <v>category</v>
      </c>
      <c r="K32" s="57" t="str">
        <f>'PC LIST'!P45</f>
        <v>Asset health indicator (RAG)</v>
      </c>
      <c r="L32" s="56" t="str">
        <f>'PC LIST'!Q45</f>
        <v>na</v>
      </c>
      <c r="M32" s="56" t="str">
        <f>'PC LIST'!J45</f>
        <v>Under</v>
      </c>
      <c r="N32" s="711" t="str">
        <f>'PC LIST'!CI45</f>
        <v>Green</v>
      </c>
      <c r="Q32" s="1882"/>
      <c r="R32" s="1882"/>
      <c r="S32" s="1882"/>
      <c r="T32" s="56"/>
      <c r="U32" s="56"/>
      <c r="X32" s="1882"/>
      <c r="Y32" s="1882"/>
      <c r="Z32" s="1882"/>
      <c r="AA32" s="1882"/>
      <c r="AB32" s="1882"/>
      <c r="AC32" s="56" t="str">
        <f>'PC LIST'!B118</f>
        <v>PR14NESWSWW_S-D3</v>
      </c>
      <c r="AD32" s="58" t="str">
        <f>'PC LIST'!I118</f>
        <v>S-D3: Domestic customer satisfaction, net promoter score</v>
      </c>
      <c r="AE32" s="58" t="str">
        <f>'PC LIST'!O118</f>
        <v>%</v>
      </c>
      <c r="AF32" s="58" t="str">
        <f>'PC LIST'!P118</f>
        <v>% customer satisfaction</v>
      </c>
      <c r="AG32" s="56">
        <f>'PC LIST'!Q118</f>
        <v>0</v>
      </c>
      <c r="AH32" s="56" t="str">
        <f>'PC LIST'!J118</f>
        <v>NFI</v>
      </c>
      <c r="AI32" s="56">
        <f>'PC LIST'!CI118</f>
        <v>43</v>
      </c>
      <c r="AL32" s="1882"/>
      <c r="AM32" s="1882"/>
      <c r="AN32" s="1882"/>
      <c r="AO32" s="1882"/>
      <c r="AP32" s="1882"/>
      <c r="AS32" s="1882"/>
      <c r="AT32" s="1882"/>
      <c r="AU32" s="1882"/>
      <c r="AV32" s="1882"/>
      <c r="AW32" s="1882"/>
      <c r="AZ32" s="1882"/>
      <c r="BA32" s="1882"/>
      <c r="BB32" s="1882"/>
      <c r="BC32" s="1882"/>
      <c r="BD32" s="1882"/>
      <c r="BE32" s="56" t="str">
        <f>'PC LIST'!B211</f>
        <v>PR14SEWHHR_D2</v>
      </c>
      <c r="BF32" s="57" t="str">
        <f>'PC LIST'!I211</f>
        <v>D2: Service Incentive Mechanism (SIM)</v>
      </c>
      <c r="BG32" s="57" t="str">
        <f>'PC LIST'!O211</f>
        <v>score</v>
      </c>
      <c r="BH32" s="57" t="str">
        <f>'PC LIST'!P211</f>
        <v>Service incentive mechanism (SIM) score</v>
      </c>
      <c r="BI32" s="56">
        <f>'PC LIST'!Q211</f>
        <v>1</v>
      </c>
      <c r="BJ32" s="56" t="str">
        <f>'PC LIST'!J211</f>
        <v>Out &amp; under</v>
      </c>
      <c r="BK32" s="56">
        <f>'PC LIST'!CI211</f>
        <v>85.4</v>
      </c>
      <c r="BL32" s="56" t="str">
        <f>'PC LIST'!B245</f>
        <v>PR14SRNHHR_5</v>
      </c>
      <c r="BM32" s="57" t="str">
        <f>'PC LIST'!I245</f>
        <v>5: Billing queries</v>
      </c>
      <c r="BN32" s="57" t="str">
        <f>'PC LIST'!O245</f>
        <v>nr</v>
      </c>
      <c r="BO32" s="57" t="str">
        <f>'PC LIST'!P245</f>
        <v>No. of billing queries</v>
      </c>
      <c r="BP32" s="56">
        <f>'PC LIST'!Q245</f>
        <v>0</v>
      </c>
      <c r="BQ32" s="56" t="str">
        <f>'PC LIST'!J245</f>
        <v>NFI</v>
      </c>
      <c r="BR32" s="56">
        <f>'PC LIST'!CI245</f>
        <v>131726</v>
      </c>
      <c r="BU32" s="1882"/>
      <c r="BV32" s="1882"/>
      <c r="BW32" s="1882"/>
      <c r="BX32" s="1882"/>
      <c r="BY32" s="1882"/>
      <c r="BZ32" s="56" t="str">
        <f>'PC LIST'!B293</f>
        <v>PR14SVTWSWW_S-A5</v>
      </c>
      <c r="CA32" s="57" t="str">
        <f>'PC LIST'!I293</f>
        <v>S-A5: Statutory obligations (Section 101A schemes)</v>
      </c>
      <c r="CB32" s="57" t="str">
        <f>'PC LIST'!O293</f>
        <v>nr</v>
      </c>
      <c r="CC32" s="57" t="str">
        <f>'PC LIST'!P293</f>
        <v>No. of connectable properties, identified as polluting or likely to pollute, associated with new Section 101A schemes</v>
      </c>
      <c r="CD32" s="56">
        <f>'PC LIST'!Q293</f>
        <v>0</v>
      </c>
      <c r="CE32" s="56" t="str">
        <f>'PC LIST'!J293</f>
        <v>NFI</v>
      </c>
      <c r="CF32" s="712" t="str">
        <f>'PC LIST'!CI293</f>
        <v/>
      </c>
      <c r="CG32" s="56" t="str">
        <f>'PC LIST'!B338</f>
        <v>PR14SWTWSWW_S-C2</v>
      </c>
      <c r="CH32" s="59" t="str">
        <f>'PC LIST'!I338</f>
        <v>S-C2: Wastewater population equivalent sanitary compliance (%)</v>
      </c>
      <c r="CI32" s="59" t="str">
        <f>'PC LIST'!O338</f>
        <v>%</v>
      </c>
      <c r="CJ32" s="59" t="str">
        <f>'PC LIST'!P338</f>
        <v>% wastewater p.e. sanitary compliance</v>
      </c>
      <c r="CK32" s="56">
        <f>'PC LIST'!Q338</f>
        <v>1</v>
      </c>
      <c r="CL32" s="56" t="str">
        <f>'PC LIST'!J338</f>
        <v>NFI</v>
      </c>
      <c r="CM32" s="711">
        <f>'PC LIST'!CI338</f>
        <v>99.890662080261677</v>
      </c>
      <c r="CN32" s="56" t="str">
        <f>'PC LIST'!B380</f>
        <v>PR14TMSWSWW_SB8</v>
      </c>
      <c r="CO32" s="57" t="str">
        <f>'PC LIST'!I380</f>
        <v>SB8: Lee Tunnel including Shaft G</v>
      </c>
      <c r="CP32" s="57" t="str">
        <f>'PC LIST'!O380</f>
        <v>text</v>
      </c>
      <c r="CQ32" s="57" t="str">
        <f>'PC LIST'!P380</f>
        <v>Scheme delivery</v>
      </c>
      <c r="CR32" s="56" t="str">
        <f>'PC LIST'!Q380</f>
        <v>na</v>
      </c>
      <c r="CS32" s="56" t="str">
        <f>'PC LIST'!J380</f>
        <v>Under</v>
      </c>
      <c r="CT32" s="56" t="str">
        <f>'PC LIST'!CI380</f>
        <v>Scheme delivered 2015/16</v>
      </c>
      <c r="CW32" s="54"/>
      <c r="CX32" s="54"/>
      <c r="CY32" s="54"/>
      <c r="CZ32" s="54"/>
      <c r="DA32" s="54"/>
      <c r="DB32" s="56" t="str">
        <f>'PC LIST'!B462</f>
        <v>PR14WSHHHR_E1</v>
      </c>
      <c r="DC32" s="57" t="str">
        <f>'PC LIST'!I462</f>
        <v>E1: Affordable bills - annual increase</v>
      </c>
      <c r="DD32" s="57" t="str">
        <f>'PC LIST'!O462</f>
        <v>%</v>
      </c>
      <c r="DE32" s="57" t="str">
        <f>'PC LIST'!P462</f>
        <v>% above or below inflation (affordability of bills)</v>
      </c>
      <c r="DF32" s="56">
        <f>'PC LIST'!Q462</f>
        <v>0</v>
      </c>
      <c r="DG32" s="56" t="str">
        <f>'PC LIST'!J462</f>
        <v>NFI</v>
      </c>
      <c r="DH32" s="711">
        <f>'PC LIST'!CI462</f>
        <v>-2</v>
      </c>
      <c r="DI32" s="56" t="str">
        <f>'PC LIST'!B493</f>
        <v>PR14WSXHHR_B1a</v>
      </c>
      <c r="DJ32" s="57" t="str">
        <f>'PC LIST'!I493</f>
        <v>B1a: Volume of water used per person</v>
      </c>
      <c r="DK32" s="57" t="str">
        <f>'PC LIST'!O493</f>
        <v>nr</v>
      </c>
      <c r="DL32" s="57" t="str">
        <f>'PC LIST'!P493</f>
        <v>Litres per person per day (l/p/d)</v>
      </c>
      <c r="DM32" s="56">
        <f>'PC LIST'!Q493</f>
        <v>0</v>
      </c>
      <c r="DN32" s="56" t="str">
        <f>'PC LIST'!J493</f>
        <v>NFI</v>
      </c>
      <c r="DO32" s="56">
        <f>'PC LIST'!CI493</f>
        <v>147</v>
      </c>
      <c r="DP32" s="56" t="str">
        <f>'PC LIST'!B525</f>
        <v>PR14YKYHHR_RB1</v>
      </c>
      <c r="DQ32" s="57" t="str">
        <f>'PC LIST'!I525</f>
        <v>RB1: Cost of bad debt to customers (expressed as proportion of bill)</v>
      </c>
      <c r="DR32" s="57" t="str">
        <f>'PC LIST'!O525</f>
        <v>%</v>
      </c>
      <c r="DS32" s="57" t="str">
        <f>'PC LIST'!P525</f>
        <v>Cost of bad debt as % of average annual bill</v>
      </c>
      <c r="DT32" s="56">
        <f>'PC LIST'!Q525</f>
        <v>2</v>
      </c>
      <c r="DU32" s="56" t="str">
        <f>'PC LIST'!J525</f>
        <v>NFI</v>
      </c>
      <c r="DV32" s="56">
        <f>'PC LIST'!CI525</f>
        <v>3.02</v>
      </c>
      <c r="DW32" s="56" t="str">
        <f>'PC LIST'!B559</f>
        <v>PR14HDDWSWW_S-A2</v>
      </c>
      <c r="DX32" s="57" t="str">
        <f>'PC LIST'!I559</f>
        <v>S-A2: Number of external sewer flooding incidents</v>
      </c>
      <c r="DY32" s="57" t="str">
        <f>'PC LIST'!O559</f>
        <v>nr</v>
      </c>
      <c r="DZ32" s="57" t="str">
        <f>'PC LIST'!P559</f>
        <v>No. of external sewer flooding incidents</v>
      </c>
      <c r="EA32" s="56">
        <f>'PC LIST'!Q559</f>
        <v>0</v>
      </c>
      <c r="EB32" s="56" t="str">
        <f>'PC LIST'!J559</f>
        <v>Out &amp; under</v>
      </c>
      <c r="EC32" s="56">
        <f>'PC LIST'!CI559</f>
        <v>29</v>
      </c>
      <c r="ED32" s="56" t="str">
        <f>'PC LIST'!B605</f>
        <v>PR14SVEWSWW_S-A5</v>
      </c>
      <c r="EE32" s="57" t="str">
        <f>'PC LIST'!I605</f>
        <v>S-A5: Statutory obligations (Section 101A schemes)</v>
      </c>
      <c r="EF32" s="57" t="str">
        <f>'PC LIST'!O605</f>
        <v>nr</v>
      </c>
      <c r="EG32" s="57" t="str">
        <f>'PC LIST'!P605</f>
        <v>No. of connectable properties, identified as polluting or likely to pollute, associated with new Section 101A schemes</v>
      </c>
      <c r="EH32" s="56">
        <f>'PC LIST'!Q605</f>
        <v>0</v>
      </c>
      <c r="EI32" s="56" t="str">
        <f>'PC LIST'!J605</f>
        <v>NFI</v>
      </c>
      <c r="EJ32" s="56">
        <f>'PC LIST'!CI605</f>
        <v>19</v>
      </c>
    </row>
    <row r="33" spans="8:140" ht="15.75" customHeight="1">
      <c r="H33" s="56" t="str">
        <f>'PC LIST'!B46</f>
        <v>PR14ANHWSWW_S-F2</v>
      </c>
      <c r="I33" s="57" t="str">
        <f>'PC LIST'!I46</f>
        <v>S-F2: Sewerage non-infrastructure</v>
      </c>
      <c r="J33" s="57" t="str">
        <f>'PC LIST'!O46</f>
        <v>category</v>
      </c>
      <c r="K33" s="57" t="str">
        <f>'PC LIST'!P46</f>
        <v>Asset health indicator (RAG)</v>
      </c>
      <c r="L33" s="56" t="str">
        <f>'PC LIST'!Q46</f>
        <v>na</v>
      </c>
      <c r="M33" s="56" t="str">
        <f>'PC LIST'!J46</f>
        <v>Under</v>
      </c>
      <c r="N33" s="711" t="str">
        <f>'PC LIST'!CI46</f>
        <v>Green</v>
      </c>
      <c r="Q33" s="1882"/>
      <c r="R33" s="1882"/>
      <c r="S33" s="1882"/>
      <c r="T33" s="56"/>
      <c r="U33" s="56"/>
      <c r="X33" s="1882"/>
      <c r="Y33" s="1882"/>
      <c r="Z33" s="1882"/>
      <c r="AA33" s="1882"/>
      <c r="AB33" s="1882"/>
      <c r="AC33" s="56" t="str">
        <f>'PC LIST'!B119</f>
        <v>PR14NESWSWW_S-E1</v>
      </c>
      <c r="AD33" s="58" t="str">
        <f>'PC LIST'!I119</f>
        <v>S-E1: NWL independent survey on keeping customers informed</v>
      </c>
      <c r="AE33" s="58" t="str">
        <f>'PC LIST'!O119</f>
        <v>%</v>
      </c>
      <c r="AF33" s="58" t="str">
        <f>'PC LIST'!P119</f>
        <v>% customer satisfaction</v>
      </c>
      <c r="AG33" s="56">
        <f>'PC LIST'!Q119</f>
        <v>0</v>
      </c>
      <c r="AH33" s="56" t="str">
        <f>'PC LIST'!J119</f>
        <v>NFI</v>
      </c>
      <c r="AI33" s="56">
        <f>'PC LIST'!CI119</f>
        <v>93</v>
      </c>
      <c r="AL33" s="1882"/>
      <c r="AM33" s="1882"/>
      <c r="AN33" s="1882"/>
      <c r="AO33" s="1882"/>
      <c r="AP33" s="1882"/>
      <c r="AS33" s="1882"/>
      <c r="AT33" s="1882"/>
      <c r="AU33" s="1882"/>
      <c r="AV33" s="1882"/>
      <c r="AW33" s="1882"/>
      <c r="AZ33" s="1882"/>
      <c r="BA33" s="1882"/>
      <c r="BB33" s="1882"/>
      <c r="BC33" s="1882"/>
      <c r="BD33" s="1882"/>
      <c r="BE33" s="56" t="str">
        <f>'PC LIST'!B212</f>
        <v>PR14SEWHHR_E1</v>
      </c>
      <c r="BF33" s="57" t="str">
        <f>'PC LIST'!I212</f>
        <v>E1: Customer satisfaction - bills are value for money and affordable</v>
      </c>
      <c r="BG33" s="57" t="str">
        <f>'PC LIST'!O212</f>
        <v>%</v>
      </c>
      <c r="BH33" s="57" t="str">
        <f>'PC LIST'!P212</f>
        <v>% customer satisfaction</v>
      </c>
      <c r="BI33" s="56">
        <f>'PC LIST'!Q212</f>
        <v>0</v>
      </c>
      <c r="BJ33" s="56" t="str">
        <f>'PC LIST'!J212</f>
        <v>NFI</v>
      </c>
      <c r="BK33" s="56">
        <f>'PC LIST'!CI212</f>
        <v>73</v>
      </c>
      <c r="BL33" s="56" t="str">
        <f>'PC LIST'!B246</f>
        <v>PR14SRNHHR_6</v>
      </c>
      <c r="BM33" s="57" t="str">
        <f>'PC LIST'!I246</f>
        <v>6: Take up of assistance schemes (number of customers who are receiving support through one of our financial assistance schemes)</v>
      </c>
      <c r="BN33" s="57" t="str">
        <f>'PC LIST'!O246</f>
        <v>nr</v>
      </c>
      <c r="BO33" s="57" t="str">
        <f>'PC LIST'!P246</f>
        <v>No. of assistance scheme customers</v>
      </c>
      <c r="BP33" s="56">
        <f>'PC LIST'!Q246</f>
        <v>0</v>
      </c>
      <c r="BQ33" s="56" t="str">
        <f>'PC LIST'!J246</f>
        <v>NFI</v>
      </c>
      <c r="BR33" s="56">
        <f>'PC LIST'!CI246</f>
        <v>269926</v>
      </c>
      <c r="BU33" s="1882"/>
      <c r="BV33" s="1882"/>
      <c r="BW33" s="1882"/>
      <c r="BX33" s="1882"/>
      <c r="BY33" s="1882"/>
      <c r="BZ33" s="56" t="str">
        <f>'PC LIST'!B294</f>
        <v>PR14SVTWSWW_S-B1</v>
      </c>
      <c r="CA33" s="57" t="str">
        <f>'PC LIST'!I294</f>
        <v>S-B1: Customers rating our services as good value for money (based on tracker survey)</v>
      </c>
      <c r="CB33" s="57" t="str">
        <f>'PC LIST'!O294</f>
        <v>%</v>
      </c>
      <c r="CC33" s="57" t="str">
        <f>'PC LIST'!P294</f>
        <v>% customer satisfaction</v>
      </c>
      <c r="CD33" s="56">
        <f>'PC LIST'!Q294</f>
        <v>0</v>
      </c>
      <c r="CE33" s="56" t="str">
        <f>'PC LIST'!J294</f>
        <v>Out &amp; under</v>
      </c>
      <c r="CF33" s="712" t="str">
        <f>'PC LIST'!CI294</f>
        <v/>
      </c>
      <c r="CG33" s="56" t="str">
        <f>'PC LIST'!B339</f>
        <v>PR14SWTWSWW_S-C3</v>
      </c>
      <c r="CH33" s="59" t="str">
        <f>'PC LIST'!I339</f>
        <v>S-C3: Wastewater descriptive works permit compliance (%)</v>
      </c>
      <c r="CI33" s="59" t="str">
        <f>'PC LIST'!O339</f>
        <v>%</v>
      </c>
      <c r="CJ33" s="59" t="str">
        <f>'PC LIST'!P339</f>
        <v>% wastewater desc works permit compliance</v>
      </c>
      <c r="CK33" s="56">
        <f>'PC LIST'!Q339</f>
        <v>1</v>
      </c>
      <c r="CL33" s="56" t="str">
        <f>'PC LIST'!J339</f>
        <v>Under</v>
      </c>
      <c r="CM33" s="711">
        <f>'PC LIST'!CI339</f>
        <v>99.686520376175551</v>
      </c>
      <c r="CN33" s="56" t="str">
        <f>'PC LIST'!B381</f>
        <v>PR14TMSWSWW_SB9</v>
      </c>
      <c r="CO33" s="57" t="str">
        <f>'PC LIST'!I381</f>
        <v>SB9: Deephams Wastewater Treatment Works</v>
      </c>
      <c r="CP33" s="57" t="str">
        <f>'PC LIST'!O381</f>
        <v>text</v>
      </c>
      <c r="CQ33" s="57" t="str">
        <f>'PC LIST'!P381</f>
        <v>Scheme delivery</v>
      </c>
      <c r="CR33" s="56" t="str">
        <f>'PC LIST'!Q381</f>
        <v>na</v>
      </c>
      <c r="CS33" s="56" t="str">
        <f>'PC LIST'!J381</f>
        <v>Under</v>
      </c>
      <c r="CT33" s="56" t="str">
        <f>'PC LIST'!CI381</f>
        <v>Scheme delivered 2016/17</v>
      </c>
      <c r="CW33" s="54"/>
      <c r="CX33" s="54"/>
      <c r="CY33" s="54"/>
      <c r="CZ33" s="54"/>
      <c r="DA33" s="54"/>
      <c r="DB33" s="56" t="str">
        <f>'PC LIST'!B463</f>
        <v>PR14WSHHHR_E2</v>
      </c>
      <c r="DC33" s="57" t="str">
        <f>'PC LIST'!I463</f>
        <v>E2: Help for disadvantaged customers (customers benefiting from social tariffs)</v>
      </c>
      <c r="DD33" s="57" t="str">
        <f>'PC LIST'!O463</f>
        <v>nr</v>
      </c>
      <c r="DE33" s="57" t="str">
        <f>'PC LIST'!P463</f>
        <v>No. of customers benefiting from social tariffs</v>
      </c>
      <c r="DF33" s="56">
        <f>'PC LIST'!Q463</f>
        <v>0</v>
      </c>
      <c r="DG33" s="56" t="str">
        <f>'PC LIST'!J463</f>
        <v>NFI</v>
      </c>
      <c r="DH33" s="711">
        <f>'PC LIST'!CI463</f>
        <v>120783</v>
      </c>
      <c r="DI33" s="56" t="str">
        <f>'PC LIST'!B494</f>
        <v>PR14WSXHHR_B1b</v>
      </c>
      <c r="DJ33" s="57" t="str">
        <f>'PC LIST'!I494</f>
        <v>B1b: Volume of water saved by water efficiency promotion</v>
      </c>
      <c r="DK33" s="57" t="str">
        <f>'PC LIST'!O494</f>
        <v>nr</v>
      </c>
      <c r="DL33" s="57" t="str">
        <f>'PC LIST'!P494</f>
        <v>Litres per person per day (l/p/d)</v>
      </c>
      <c r="DM33" s="56">
        <f>'PC LIST'!Q494</f>
        <v>2</v>
      </c>
      <c r="DN33" s="56" t="str">
        <f>'PC LIST'!J494</f>
        <v>Under</v>
      </c>
      <c r="DO33" s="56">
        <f>'PC LIST'!CI494</f>
        <v>3.06</v>
      </c>
      <c r="DP33" s="56" t="str">
        <f>'PC LIST'!B526</f>
        <v>PR14YKYHHR_RB2</v>
      </c>
      <c r="DQ33" s="57" t="str">
        <f>'PC LIST'!I526</f>
        <v>RB2: Number of people who we help to pay their bill</v>
      </c>
      <c r="DR33" s="57" t="str">
        <f>'PC LIST'!O526</f>
        <v>nr</v>
      </c>
      <c r="DS33" s="57" t="str">
        <f>'PC LIST'!P526</f>
        <v>No. of customers who are assisted to pay their bill</v>
      </c>
      <c r="DT33" s="56">
        <f>'PC LIST'!Q526</f>
        <v>0</v>
      </c>
      <c r="DU33" s="56" t="str">
        <f>'PC LIST'!J526</f>
        <v>NFI</v>
      </c>
      <c r="DV33" s="56">
        <f>'PC LIST'!CI526</f>
        <v>31606</v>
      </c>
      <c r="DW33" s="56" t="str">
        <f>'PC LIST'!B560</f>
        <v>PR14HDDWSWW_S-A3</v>
      </c>
      <c r="DX33" s="57" t="str">
        <f>'PC LIST'!I560</f>
        <v>S-A3: Partnership working</v>
      </c>
      <c r="DY33" s="57" t="str">
        <f>'PC LIST'!O560</f>
        <v>nr</v>
      </c>
      <c r="DZ33" s="57" t="str">
        <f>'PC LIST'!P560</f>
        <v>No. of partnership working projects</v>
      </c>
      <c r="EA33" s="56">
        <f>'PC LIST'!Q560</f>
        <v>0</v>
      </c>
      <c r="EB33" s="56" t="str">
        <f>'PC LIST'!J560</f>
        <v>Out &amp; under</v>
      </c>
      <c r="EC33" s="56">
        <f>'PC LIST'!CI560</f>
        <v>0</v>
      </c>
      <c r="ED33" s="56" t="str">
        <f>'PC LIST'!B606</f>
        <v>PR14SVEWSWW_S-B1</v>
      </c>
      <c r="EE33" s="57" t="str">
        <f>'PC LIST'!I606</f>
        <v>S-B1: Customers rating our services as good value for money (based on tracker survey)</v>
      </c>
      <c r="EF33" s="57" t="str">
        <f>'PC LIST'!O606</f>
        <v>%</v>
      </c>
      <c r="EG33" s="57" t="str">
        <f>'PC LIST'!P606</f>
        <v>% customer satisfaction</v>
      </c>
      <c r="EH33" s="56">
        <f>'PC LIST'!Q606</f>
        <v>0</v>
      </c>
      <c r="EI33" s="56" t="str">
        <f>'PC LIST'!J606</f>
        <v>Out &amp; under</v>
      </c>
      <c r="EJ33" s="56">
        <f>'PC LIST'!CI606</f>
        <v>63</v>
      </c>
    </row>
    <row r="34" spans="8:140" ht="15.75" customHeight="1">
      <c r="H34" s="56" t="str">
        <f>'PC LIST'!B47</f>
        <v>PR14ANHHHR_R-A1</v>
      </c>
      <c r="I34" s="57" t="str">
        <f>'PC LIST'!I47</f>
        <v>R-A1: Qualitative service incentive mechanism (SIM) score</v>
      </c>
      <c r="J34" s="57" t="str">
        <f>'PC LIST'!O47</f>
        <v>text</v>
      </c>
      <c r="K34" s="57" t="str">
        <f>'PC LIST'!P47</f>
        <v>Service incentive mechanism (SIM) score ranking (WaSCs)</v>
      </c>
      <c r="L34" s="56" t="str">
        <f>'PC LIST'!Q47</f>
        <v>na</v>
      </c>
      <c r="M34" s="56" t="str">
        <f>'PC LIST'!J47</f>
        <v>NFI</v>
      </c>
      <c r="N34" s="711" t="str">
        <f>'PC LIST'!CI47</f>
        <v>1st among the 10 WaSCs</v>
      </c>
      <c r="Q34" s="1882"/>
      <c r="R34" s="1882"/>
      <c r="S34" s="1882"/>
      <c r="T34" s="56"/>
      <c r="U34" s="56"/>
      <c r="X34" s="1882"/>
      <c r="Y34" s="1882"/>
      <c r="Z34" s="1882"/>
      <c r="AA34" s="1882"/>
      <c r="AB34" s="1882"/>
      <c r="AC34" s="56" t="str">
        <f>'PC LIST'!B120</f>
        <v>PR14NESWSWW_S-F1</v>
      </c>
      <c r="AD34" s="58" t="str">
        <f>'PC LIST'!I120</f>
        <v>S-F1: Greenhouse gas emissions</v>
      </c>
      <c r="AE34" s="58" t="str">
        <f>'PC LIST'!O120</f>
        <v>nr</v>
      </c>
      <c r="AF34" s="58" t="str">
        <f>'PC LIST'!P120</f>
        <v>ktCO2e</v>
      </c>
      <c r="AG34" s="56">
        <f>'PC LIST'!Q120</f>
        <v>0</v>
      </c>
      <c r="AH34" s="56" t="str">
        <f>'PC LIST'!J120</f>
        <v>NFI</v>
      </c>
      <c r="AI34" s="56">
        <f>'PC LIST'!CI120</f>
        <v>148</v>
      </c>
      <c r="AL34" s="1882"/>
      <c r="AM34" s="1882"/>
      <c r="AN34" s="1882"/>
      <c r="AO34" s="1882"/>
      <c r="AP34" s="1882"/>
      <c r="AS34" s="1882"/>
      <c r="AT34" s="1882"/>
      <c r="AU34" s="1882"/>
      <c r="AV34" s="1882"/>
      <c r="AW34" s="1882"/>
      <c r="AZ34" s="1882"/>
      <c r="BA34" s="1882"/>
      <c r="BB34" s="1882"/>
      <c r="BC34" s="1882"/>
      <c r="BD34" s="1882"/>
      <c r="BE34" s="56" t="str">
        <f>'PC LIST'!B213</f>
        <v>PR14SEWHHR_F1</v>
      </c>
      <c r="BF34" s="57" t="str">
        <f>'PC LIST'!I213</f>
        <v>F1: Customer satisfaction - water supply is of sufficient pressure</v>
      </c>
      <c r="BG34" s="57" t="str">
        <f>'PC LIST'!O213</f>
        <v>score</v>
      </c>
      <c r="BH34" s="57" t="str">
        <f>'PC LIST'!P213</f>
        <v>Customer satisfaction score out of 5</v>
      </c>
      <c r="BI34" s="56">
        <f>'PC LIST'!Q213</f>
        <v>1</v>
      </c>
      <c r="BJ34" s="56" t="str">
        <f>'PC LIST'!J213</f>
        <v>Out &amp; under</v>
      </c>
      <c r="BK34" s="56">
        <f>'PC LIST'!CI213</f>
        <v>4.3</v>
      </c>
      <c r="BL34" s="56" t="str">
        <f>'PC LIST'!B247</f>
        <v>PR14SRNHHR_7</v>
      </c>
      <c r="BM34" s="57" t="str">
        <f>'PC LIST'!I247</f>
        <v>7: Value-for-money</v>
      </c>
      <c r="BN34" s="57" t="str">
        <f>'PC LIST'!O247</f>
        <v>%</v>
      </c>
      <c r="BO34" s="57" t="str">
        <f>'PC LIST'!P247</f>
        <v>% of customers who feel they get vfm</v>
      </c>
      <c r="BP34" s="56">
        <f>'PC LIST'!Q247</f>
        <v>0</v>
      </c>
      <c r="BQ34" s="56" t="str">
        <f>'PC LIST'!J247</f>
        <v>NFI</v>
      </c>
      <c r="BR34" s="56">
        <f>'PC LIST'!CI247</f>
        <v>60</v>
      </c>
      <c r="BU34" s="1882"/>
      <c r="BV34" s="1882"/>
      <c r="BW34" s="1882"/>
      <c r="BX34" s="1882"/>
      <c r="BY34" s="1882"/>
      <c r="BZ34" s="56" t="str">
        <f>'PC LIST'!B295</f>
        <v>PR14SVTWSWW_S-C1</v>
      </c>
      <c r="CA34" s="57" t="str">
        <f>'PC LIST'!I295</f>
        <v>S-C1: Improvements in river water quality against WFD criteria</v>
      </c>
      <c r="CB34" s="57" t="str">
        <f>'PC LIST'!O295</f>
        <v>nr</v>
      </c>
      <c r="CC34" s="57" t="str">
        <f>'PC LIST'!P295</f>
        <v>No. of WFD classification improvements</v>
      </c>
      <c r="CD34" s="56">
        <f>'PC LIST'!Q295</f>
        <v>0</v>
      </c>
      <c r="CE34" s="56" t="str">
        <f>'PC LIST'!J295</f>
        <v>Out &amp; under</v>
      </c>
      <c r="CF34" s="712" t="str">
        <f>'PC LIST'!CI295</f>
        <v/>
      </c>
      <c r="CG34" s="56" t="str">
        <f>'PC LIST'!B340</f>
        <v>PR14SWTWSWW_S-C4</v>
      </c>
      <c r="CH34" s="59" t="str">
        <f>'PC LIST'!I340</f>
        <v>S-C4: Pollution incidents (category 1 and 2)</v>
      </c>
      <c r="CI34" s="59" t="str">
        <f>'PC LIST'!O340</f>
        <v>nr</v>
      </c>
      <c r="CJ34" s="59" t="str">
        <f>'PC LIST'!P340</f>
        <v>No. of pollution incidents (cats 1 and 2)</v>
      </c>
      <c r="CK34" s="56">
        <f>'PC LIST'!Q340</f>
        <v>0</v>
      </c>
      <c r="CL34" s="56" t="str">
        <f>'PC LIST'!J340</f>
        <v>Under</v>
      </c>
      <c r="CM34" s="711">
        <f>'PC LIST'!CI340</f>
        <v>2</v>
      </c>
      <c r="CN34" s="56" t="str">
        <f>'PC LIST'!B382</f>
        <v>PR14TMSWSWW_SC1</v>
      </c>
      <c r="CO34" s="57" t="str">
        <f>'PC LIST'!I382</f>
        <v>SC1: Greenhouse gas emissions from wastewater operations</v>
      </c>
      <c r="CP34" s="57" t="str">
        <f>'PC LIST'!O382</f>
        <v>nr</v>
      </c>
      <c r="CQ34" s="57" t="str">
        <f>'PC LIST'!P382</f>
        <v>ktCO2e</v>
      </c>
      <c r="CR34" s="56">
        <f>'PC LIST'!Q382</f>
        <v>1</v>
      </c>
      <c r="CS34" s="56" t="str">
        <f>'PC LIST'!J382</f>
        <v>NFI</v>
      </c>
      <c r="CT34" s="56">
        <f>'PC LIST'!CI382</f>
        <v>230</v>
      </c>
      <c r="CW34" s="54"/>
      <c r="CX34" s="54"/>
      <c r="CY34" s="54"/>
      <c r="CZ34" s="54"/>
      <c r="DA34" s="54"/>
      <c r="DD34" s="54"/>
      <c r="DE34" s="54"/>
      <c r="DF34" s="1882"/>
      <c r="DG34" s="1882"/>
      <c r="DH34" s="1882"/>
      <c r="DI34" s="56" t="str">
        <f>'PC LIST'!B495</f>
        <v>PR14WSXHHR_B2</v>
      </c>
      <c r="DJ34" s="57" t="str">
        <f>'PC LIST'!I495</f>
        <v>B2: Bill as a proportion of disposable income</v>
      </c>
      <c r="DK34" s="57" t="str">
        <f>'PC LIST'!O495</f>
        <v>%</v>
      </c>
      <c r="DL34" s="57" t="str">
        <f>'PC LIST'!P495</f>
        <v>Bill as a proportion (%) of disposable income</v>
      </c>
      <c r="DM34" s="56">
        <f>'PC LIST'!Q495</f>
        <v>1</v>
      </c>
      <c r="DN34" s="56" t="str">
        <f>'PC LIST'!J495</f>
        <v>NFI</v>
      </c>
      <c r="DO34" s="56">
        <f>'PC LIST'!CI495</f>
        <v>1.4</v>
      </c>
      <c r="DP34" s="56" t="str">
        <f>'PC LIST'!B527</f>
        <v>PR14YKYHHR_RB3</v>
      </c>
      <c r="DQ34" s="57" t="str">
        <f>'PC LIST'!I527</f>
        <v>RB3: Value for money (CCWater annual tracking survey)</v>
      </c>
      <c r="DR34" s="57" t="str">
        <f>'PC LIST'!O527</f>
        <v>%</v>
      </c>
      <c r="DS34" s="57" t="str">
        <f>'PC LIST'!P527</f>
        <v>% customer satisfaction (CCWater tracking survey)</v>
      </c>
      <c r="DT34" s="56">
        <f>'PC LIST'!Q527</f>
        <v>0</v>
      </c>
      <c r="DU34" s="56" t="str">
        <f>'PC LIST'!J527</f>
        <v>NFI</v>
      </c>
      <c r="DV34" s="56" t="str">
        <f>'PC LIST'!CI527</f>
        <v>77% (Water), 79% (wastewater)</v>
      </c>
      <c r="DW34" s="56" t="str">
        <f>'PC LIST'!B561</f>
        <v>PR14HDDWSWW_S-A4</v>
      </c>
      <c r="DX34" s="57" t="str">
        <f>'PC LIST'!I561</f>
        <v>S-A4: Asset stewardship - blockages</v>
      </c>
      <c r="DY34" s="57" t="str">
        <f>'PC LIST'!O561</f>
        <v>nr</v>
      </c>
      <c r="DZ34" s="57" t="str">
        <f>'PC LIST'!P561</f>
        <v>No. of sewer blockages per year</v>
      </c>
      <c r="EA34" s="56">
        <f>'PC LIST'!Q561</f>
        <v>0</v>
      </c>
      <c r="EB34" s="56" t="str">
        <f>'PC LIST'!J561</f>
        <v>Under</v>
      </c>
      <c r="EC34" s="56">
        <f>'PC LIST'!CI561</f>
        <v>252</v>
      </c>
      <c r="ED34" s="56" t="str">
        <f>'PC LIST'!B607</f>
        <v>PR14SVEWSWW_S-C1</v>
      </c>
      <c r="EE34" s="57" t="str">
        <f>'PC LIST'!I607</f>
        <v>S-C1: Improvements in river water quality against WFD criteria</v>
      </c>
      <c r="EF34" s="57" t="str">
        <f>'PC LIST'!O607</f>
        <v>nr</v>
      </c>
      <c r="EG34" s="57" t="str">
        <f>'PC LIST'!P607</f>
        <v>No. of WFD classification improvements</v>
      </c>
      <c r="EH34" s="56">
        <f>'PC LIST'!Q607</f>
        <v>0</v>
      </c>
      <c r="EI34" s="56" t="str">
        <f>'PC LIST'!J607</f>
        <v>Out &amp; under</v>
      </c>
      <c r="EJ34" s="56">
        <f>'PC LIST'!CI607</f>
        <v>53</v>
      </c>
    </row>
    <row r="35" spans="8:140" ht="15.75" customHeight="1">
      <c r="H35" s="56" t="str">
        <f>'PC LIST'!B48</f>
        <v>PR14ANHHHR_R-A2</v>
      </c>
      <c r="I35" s="57" t="str">
        <f>'PC LIST'!I48</f>
        <v>R-A2: Service incentive mechanism (SIM)</v>
      </c>
      <c r="J35" s="57" t="str">
        <f>'PC LIST'!O48</f>
        <v>score</v>
      </c>
      <c r="K35" s="57" t="str">
        <f>'PC LIST'!P48</f>
        <v>Service incentive mechanism (SIM) score</v>
      </c>
      <c r="L35" s="56">
        <f>'PC LIST'!Q48</f>
        <v>0</v>
      </c>
      <c r="M35" s="56" t="str">
        <f>'PC LIST'!J48</f>
        <v>Out &amp; under</v>
      </c>
      <c r="N35" s="711">
        <f>'PC LIST'!CI48</f>
        <v>90</v>
      </c>
      <c r="Q35" s="1882"/>
      <c r="R35" s="1882"/>
      <c r="S35" s="1882"/>
      <c r="T35" s="56"/>
      <c r="U35" s="56"/>
      <c r="X35" s="1882"/>
      <c r="Y35" s="1882"/>
      <c r="Z35" s="1882"/>
      <c r="AA35" s="1882"/>
      <c r="AB35" s="1882"/>
      <c r="AC35" s="56" t="str">
        <f>'PC LIST'!B121</f>
        <v>PR14NESWSWW_S-F2</v>
      </c>
      <c r="AD35" s="58" t="str">
        <f>'PC LIST'!I121</f>
        <v>S-F2: Annual environmental performance report</v>
      </c>
      <c r="AE35" s="58" t="str">
        <f>'PC LIST'!O121</f>
        <v>text</v>
      </c>
      <c r="AF35" s="58" t="str">
        <f>'PC LIST'!P121</f>
        <v>CRAG report publication</v>
      </c>
      <c r="AG35" s="56" t="str">
        <f>'PC LIST'!Q121</f>
        <v>na</v>
      </c>
      <c r="AH35" s="56" t="str">
        <f>'PC LIST'!J121</f>
        <v>NFI</v>
      </c>
      <c r="AI35" s="56" t="str">
        <f>'PC LIST'!CI121</f>
        <v>Our Contribution report published</v>
      </c>
      <c r="AL35" s="1882"/>
      <c r="AM35" s="1882"/>
      <c r="AN35" s="1882"/>
      <c r="AO35" s="1882"/>
      <c r="AP35" s="1882"/>
      <c r="AS35" s="1882"/>
      <c r="AT35" s="1882"/>
      <c r="AU35" s="1882"/>
      <c r="AV35" s="1882"/>
      <c r="AW35" s="1882"/>
      <c r="AZ35" s="1882"/>
      <c r="BA35" s="1882"/>
      <c r="BB35" s="1882"/>
      <c r="BC35" s="1882"/>
      <c r="BD35" s="1882"/>
      <c r="BE35" s="56" t="str">
        <f>'PC LIST'!B214</f>
        <v>PR14SEWHHR_G1</v>
      </c>
      <c r="BF35" s="57" t="str">
        <f>'PC LIST'!I214</f>
        <v>G1: Customer satisfaction - frequency and duration of supply interruptions</v>
      </c>
      <c r="BG35" s="57" t="str">
        <f>'PC LIST'!O214</f>
        <v>score</v>
      </c>
      <c r="BH35" s="57" t="str">
        <f>'PC LIST'!P214</f>
        <v>Customer satisfaction score out of 5</v>
      </c>
      <c r="BI35" s="56">
        <f>'PC LIST'!Q214</f>
        <v>1</v>
      </c>
      <c r="BJ35" s="56" t="str">
        <f>'PC LIST'!J214</f>
        <v>Out &amp; under</v>
      </c>
      <c r="BK35" s="56">
        <f>'PC LIST'!CI214</f>
        <v>4.5999999999999996</v>
      </c>
      <c r="BL35" s="56" t="str">
        <f>'PC LIST'!B248</f>
        <v>PR14SRNHHR_8</v>
      </c>
      <c r="BM35" s="57" t="str">
        <f>'PC LIST'!I248</f>
        <v>8: Service Incentive Mechanism (SIM)</v>
      </c>
      <c r="BN35" s="57" t="str">
        <f>'PC LIST'!O248</f>
        <v>score</v>
      </c>
      <c r="BO35" s="57" t="str">
        <f>'PC LIST'!P248</f>
        <v>Service incentive mechanism (SIM) score</v>
      </c>
      <c r="BP35" s="56">
        <f>'PC LIST'!Q248</f>
        <v>0</v>
      </c>
      <c r="BQ35" s="56" t="str">
        <f>'PC LIST'!J248</f>
        <v>Out &amp; under</v>
      </c>
      <c r="BR35" s="56">
        <f>'PC LIST'!CI248</f>
        <v>80</v>
      </c>
      <c r="BU35" s="1882"/>
      <c r="BV35" s="1882"/>
      <c r="BW35" s="1882"/>
      <c r="BX35" s="1882"/>
      <c r="BY35" s="1882"/>
      <c r="BZ35" s="56" t="str">
        <f>'PC LIST'!B296</f>
        <v>PR14SVTWSWW_S-C2</v>
      </c>
      <c r="CA35" s="57" t="str">
        <f>'PC LIST'!I296</f>
        <v>S-C2: The number of category 3 pollution incidents</v>
      </c>
      <c r="CB35" s="57" t="str">
        <f>'PC LIST'!O296</f>
        <v>nr</v>
      </c>
      <c r="CC35" s="57" t="str">
        <f>'PC LIST'!P296</f>
        <v>No. of pollution incidents (cat 3)</v>
      </c>
      <c r="CD35" s="56">
        <f>'PC LIST'!Q296</f>
        <v>0</v>
      </c>
      <c r="CE35" s="56" t="str">
        <f>'PC LIST'!J296</f>
        <v>Out &amp; under</v>
      </c>
      <c r="CF35" s="712" t="str">
        <f>'PC LIST'!CI296</f>
        <v/>
      </c>
      <c r="CG35" s="56" t="str">
        <f>'PC LIST'!B341</f>
        <v>PR14SWTWSWW_S-C5</v>
      </c>
      <c r="CH35" s="59" t="str">
        <f>'PC LIST'!I341</f>
        <v>S-C5: Pollution incidents (category 3 and 4)</v>
      </c>
      <c r="CI35" s="59" t="str">
        <f>'PC LIST'!O341</f>
        <v>nr</v>
      </c>
      <c r="CJ35" s="59" t="str">
        <f>'PC LIST'!P341</f>
        <v>No. of pollution incidents (cats 3 and 4)</v>
      </c>
      <c r="CK35" s="56">
        <f>'PC LIST'!Q341</f>
        <v>0</v>
      </c>
      <c r="CL35" s="56" t="str">
        <f>'PC LIST'!J341</f>
        <v>Under</v>
      </c>
      <c r="CM35" s="711">
        <f>'PC LIST'!CI341</f>
        <v>248</v>
      </c>
      <c r="CN35" s="56" t="str">
        <f>'PC LIST'!B383</f>
        <v>PR14TMSWSWW_SC2</v>
      </c>
      <c r="CO35" s="57" t="str">
        <f>'PC LIST'!I383</f>
        <v>SC2: Total category 1-3 pollution incidents from sewage related premises</v>
      </c>
      <c r="CP35" s="57" t="str">
        <f>'PC LIST'!O383</f>
        <v>nr</v>
      </c>
      <c r="CQ35" s="57" t="str">
        <f>'PC LIST'!P383</f>
        <v>No. of pollution incidents (cats 1, 2 and 3)</v>
      </c>
      <c r="CR35" s="56">
        <f>'PC LIST'!Q383</f>
        <v>0</v>
      </c>
      <c r="CS35" s="56" t="str">
        <f>'PC LIST'!J383</f>
        <v>Out &amp; under</v>
      </c>
      <c r="CT35" s="56">
        <f>'PC LIST'!CI383</f>
        <v>295</v>
      </c>
      <c r="CW35" s="1882"/>
      <c r="CX35" s="1882"/>
      <c r="CY35" s="1882"/>
      <c r="CZ35" s="1882"/>
      <c r="DA35" s="1882"/>
      <c r="DD35" s="54"/>
      <c r="DE35" s="54"/>
      <c r="DF35" s="54"/>
      <c r="DG35" s="54"/>
      <c r="DH35" s="54"/>
      <c r="DK35" s="54"/>
      <c r="DL35" s="54"/>
      <c r="DM35" s="1882"/>
      <c r="DN35" s="1882"/>
      <c r="DO35" s="56"/>
      <c r="DP35" s="56" t="str">
        <f>'PC LIST'!B528</f>
        <v>PR14YKYHHR_RC1</v>
      </c>
      <c r="DQ35" s="57" t="str">
        <f>'PC LIST'!I528</f>
        <v>RC1: Proportion of energy use generated by renewable technology (note: PC is part of a total commitment at Appointee level - see also WD1 and SC1)</v>
      </c>
      <c r="DR35" s="57" t="str">
        <f>'PC LIST'!O528</f>
        <v>%</v>
      </c>
      <c r="DS35" s="57" t="str">
        <f>'PC LIST'!P528</f>
        <v>% of energy use generated by renewable technology</v>
      </c>
      <c r="DT35" s="56">
        <f>'PC LIST'!Q528</f>
        <v>0</v>
      </c>
      <c r="DU35" s="56" t="str">
        <f>'PC LIST'!J528</f>
        <v>NFI</v>
      </c>
      <c r="DV35" s="56">
        <f>'PC LIST'!CI528</f>
        <v>11</v>
      </c>
      <c r="DW35" s="56" t="str">
        <f>'PC LIST'!B562</f>
        <v>PR14HDDWSWW_S-A5</v>
      </c>
      <c r="DX35" s="57" t="str">
        <f>'PC LIST'!I562</f>
        <v>S-A5: Statutory obligations (Section 101A schemes)</v>
      </c>
      <c r="DY35" s="57" t="str">
        <f>'PC LIST'!O562</f>
        <v>nr</v>
      </c>
      <c r="DZ35" s="57" t="str">
        <f>'PC LIST'!P562</f>
        <v>No. of connectable properties, identified as polluting or likely to pollute, associated with new Section 101A schemes</v>
      </c>
      <c r="EA35" s="56">
        <f>'PC LIST'!Q562</f>
        <v>0</v>
      </c>
      <c r="EB35" s="56" t="str">
        <f>'PC LIST'!J562</f>
        <v>NFI</v>
      </c>
      <c r="EC35" s="56">
        <f>'PC LIST'!CI562</f>
        <v>0</v>
      </c>
      <c r="ED35" s="56" t="str">
        <f>'PC LIST'!B608</f>
        <v>PR14SVEWSWW_S-C2</v>
      </c>
      <c r="EE35" s="57" t="str">
        <f>'PC LIST'!I608</f>
        <v>S-C2: The number of category 3 pollution incidents</v>
      </c>
      <c r="EF35" s="57" t="str">
        <f>'PC LIST'!O608</f>
        <v>nr</v>
      </c>
      <c r="EG35" s="57" t="str">
        <f>'PC LIST'!P608</f>
        <v>No. of pollution incidents (cat 3)</v>
      </c>
      <c r="EH35" s="56">
        <f>'PC LIST'!Q608</f>
        <v>0</v>
      </c>
      <c r="EI35" s="56" t="str">
        <f>'PC LIST'!J608</f>
        <v>Out &amp; under</v>
      </c>
      <c r="EJ35" s="56">
        <f>'PC LIST'!CI608</f>
        <v>328</v>
      </c>
    </row>
    <row r="36" spans="8:140" ht="15.75" customHeight="1">
      <c r="H36" s="56" t="str">
        <f>'PC LIST'!B49</f>
        <v>PR14ANHHHR_R-A3</v>
      </c>
      <c r="I36" s="57" t="str">
        <f>'PC LIST'!I49</f>
        <v>R-A3: Customer Satisfaction Index prepared by UK Institute of Customer Service</v>
      </c>
      <c r="J36" s="57" t="str">
        <f>'PC LIST'!O49</f>
        <v>rank</v>
      </c>
      <c r="K36" s="57" t="str">
        <f>'PC LIST'!P49</f>
        <v>UK ICS Customer Satisfaction Index score ranking among utility companies</v>
      </c>
      <c r="L36" s="56" t="str">
        <f>'PC LIST'!Q49</f>
        <v>na</v>
      </c>
      <c r="M36" s="56" t="str">
        <f>'PC LIST'!J49</f>
        <v>NFI</v>
      </c>
      <c r="N36" s="711" t="str">
        <f>'PC LIST'!CI49</f>
        <v>14/28</v>
      </c>
      <c r="Q36" s="1882"/>
      <c r="R36" s="1882"/>
      <c r="S36" s="1882"/>
      <c r="T36" s="56"/>
      <c r="U36" s="56"/>
      <c r="X36" s="1882"/>
      <c r="Y36" s="1882"/>
      <c r="Z36" s="1882"/>
      <c r="AA36" s="1882"/>
      <c r="AB36" s="1882"/>
      <c r="AC36" s="56" t="str">
        <f>'PC LIST'!B122</f>
        <v>PR14NESHHR_R-B1</v>
      </c>
      <c r="AD36" s="58" t="str">
        <f>'PC LIST'!I122</f>
        <v>R-B1: NWL independent overall customer satisfaction score</v>
      </c>
      <c r="AE36" s="58" t="str">
        <f>'PC LIST'!O122</f>
        <v>score</v>
      </c>
      <c r="AF36" s="58" t="str">
        <f>'PC LIST'!P122</f>
        <v>Customer satisfaction score out of 10</v>
      </c>
      <c r="AG36" s="56">
        <f>'PC LIST'!Q122</f>
        <v>1</v>
      </c>
      <c r="AH36" s="56" t="str">
        <f>'PC LIST'!J122</f>
        <v>NFI</v>
      </c>
      <c r="AI36" s="56">
        <f>'PC LIST'!CI122</f>
        <v>8.6999999999999993</v>
      </c>
      <c r="AL36" s="1882"/>
      <c r="AM36" s="1882"/>
      <c r="AN36" s="1882"/>
      <c r="AO36" s="1882"/>
      <c r="AP36" s="1882"/>
      <c r="AS36" s="1882"/>
      <c r="AT36" s="1882"/>
      <c r="AU36" s="1882"/>
      <c r="AV36" s="1882"/>
      <c r="AW36" s="1882"/>
      <c r="AZ36" s="1882"/>
      <c r="BA36" s="1882"/>
      <c r="BB36" s="1882"/>
      <c r="BC36" s="1882"/>
      <c r="BD36" s="1882"/>
      <c r="BE36" s="56" t="str">
        <f>'PC LIST'!B215</f>
        <v>PR14SEWHHR_H1</v>
      </c>
      <c r="BF36" s="57" t="str">
        <f>'PC LIST'!I215</f>
        <v>H1: Customer satisfaction - frequency of water use restrictions</v>
      </c>
      <c r="BG36" s="57" t="str">
        <f>'PC LIST'!O215</f>
        <v>score</v>
      </c>
      <c r="BH36" s="57" t="str">
        <f>'PC LIST'!P215</f>
        <v>Customer satisfaction score out of 5</v>
      </c>
      <c r="BI36" s="56">
        <f>'PC LIST'!Q215</f>
        <v>1</v>
      </c>
      <c r="BJ36" s="56" t="str">
        <f>'PC LIST'!J215</f>
        <v>Out &amp; under</v>
      </c>
      <c r="BK36" s="56">
        <f>'PC LIST'!CI215</f>
        <v>4.4000000000000004</v>
      </c>
      <c r="BL36" s="56"/>
      <c r="BM36" s="57"/>
      <c r="BN36" s="57"/>
      <c r="BO36" s="57"/>
      <c r="BP36" s="1882"/>
      <c r="BQ36" s="1882"/>
      <c r="BR36" s="1882"/>
      <c r="BU36" s="1882"/>
      <c r="BV36" s="1882"/>
      <c r="BW36" s="1882"/>
      <c r="BX36" s="1882"/>
      <c r="BY36" s="1882"/>
      <c r="BZ36" s="56" t="str">
        <f>'PC LIST'!B297</f>
        <v>PR14SVTWSWW_S-C3</v>
      </c>
      <c r="CA36" s="57" t="str">
        <f>'PC LIST'!I297</f>
        <v>S-C3: Asset stewardship - environmental compliance (basket of measures)</v>
      </c>
      <c r="CB36" s="57" t="str">
        <f>'PC LIST'!O297</f>
        <v>%</v>
      </c>
      <c r="CC36" s="57" t="str">
        <f>'PC LIST'!P297</f>
        <v>% compliance with WwTW regulations</v>
      </c>
      <c r="CD36" s="56">
        <f>'PC LIST'!Q297</f>
        <v>2</v>
      </c>
      <c r="CE36" s="56" t="str">
        <f>'PC LIST'!J297</f>
        <v>Under</v>
      </c>
      <c r="CF36" s="712" t="str">
        <f>'PC LIST'!CI297</f>
        <v/>
      </c>
      <c r="CG36" s="56" t="str">
        <f>'PC LIST'!B342</f>
        <v>PR14SWTWSWW_S-C6</v>
      </c>
      <c r="CH36" s="59" t="str">
        <f>'PC LIST'!I342</f>
        <v>S-C6: Operational carbon emissions (ktCO2e)</v>
      </c>
      <c r="CI36" s="59" t="str">
        <f>'PC LIST'!O342</f>
        <v>nr</v>
      </c>
      <c r="CJ36" s="59" t="str">
        <f>'PC LIST'!P342</f>
        <v>ktCO2e</v>
      </c>
      <c r="CK36" s="56">
        <f>'PC LIST'!Q342</f>
        <v>1</v>
      </c>
      <c r="CL36" s="56" t="str">
        <f>'PC LIST'!J342</f>
        <v>NFI</v>
      </c>
      <c r="CM36" s="711">
        <f>'PC LIST'!CI342</f>
        <v>68.739592858627418</v>
      </c>
      <c r="CN36" s="56" t="str">
        <f>'PC LIST'!B384</f>
        <v>PR14TMSWSWW_SC3</v>
      </c>
      <c r="CO36" s="57" t="str">
        <f>'PC LIST'!I384</f>
        <v>SC3: Sewage treatment works discharge compliance</v>
      </c>
      <c r="CP36" s="57" t="str">
        <f>'PC LIST'!O384</f>
        <v>%</v>
      </c>
      <c r="CQ36" s="57" t="str">
        <f>'PC LIST'!P384</f>
        <v>% WwTW discharge compliance</v>
      </c>
      <c r="CR36" s="56">
        <f>'PC LIST'!Q384</f>
        <v>2</v>
      </c>
      <c r="CS36" s="56" t="str">
        <f>'PC LIST'!J384</f>
        <v>Under</v>
      </c>
      <c r="CT36" s="56">
        <f>'PC LIST'!CI384</f>
        <v>98.85</v>
      </c>
      <c r="CW36" s="1882"/>
      <c r="CX36" s="1882"/>
      <c r="CY36" s="1882"/>
      <c r="CZ36" s="1882"/>
      <c r="DA36" s="1882"/>
      <c r="DD36" s="54"/>
      <c r="DE36" s="54"/>
      <c r="DF36" s="54"/>
      <c r="DG36" s="54"/>
      <c r="DH36" s="54"/>
      <c r="DK36" s="54"/>
      <c r="DL36" s="54"/>
      <c r="DM36" s="54"/>
      <c r="DN36" s="54"/>
      <c r="DO36" s="56"/>
      <c r="DP36" s="56" t="str">
        <f>'PC LIST'!B529</f>
        <v>PR14YKYHHR_RC2</v>
      </c>
      <c r="DQ36" s="57" t="str">
        <f>'PC LIST'!I529</f>
        <v>RC2: Proportion of waste diverted from landfill (re-used and recycled) (note: PC is part of a total commitment at Appointee level - see also WD2 and SC2)</v>
      </c>
      <c r="DR36" s="57" t="str">
        <f>'PC LIST'!O529</f>
        <v>%</v>
      </c>
      <c r="DS36" s="57" t="str">
        <f>'PC LIST'!P529</f>
        <v>% of waste diverted from landfill (re-used and recycled)</v>
      </c>
      <c r="DT36" s="56">
        <f>'PC LIST'!Q529</f>
        <v>0</v>
      </c>
      <c r="DU36" s="56" t="str">
        <f>'PC LIST'!J529</f>
        <v>NFI</v>
      </c>
      <c r="DV36" s="56">
        <f>'PC LIST'!CI529</f>
        <v>100</v>
      </c>
      <c r="DW36" s="56" t="str">
        <f>'PC LIST'!B563</f>
        <v>PR14HDDWSWW_S-B1</v>
      </c>
      <c r="DX36" s="57" t="str">
        <f>'PC LIST'!I563</f>
        <v>S-B1: Customers rating our services as good value for money (based on tracker survey)</v>
      </c>
      <c r="DY36" s="57" t="str">
        <f>'PC LIST'!O563</f>
        <v>%</v>
      </c>
      <c r="DZ36" s="57" t="str">
        <f>'PC LIST'!P563</f>
        <v>% customer satisfaction</v>
      </c>
      <c r="EA36" s="56">
        <f>'PC LIST'!Q563</f>
        <v>0</v>
      </c>
      <c r="EB36" s="56" t="str">
        <f>'PC LIST'!J563</f>
        <v>Out &amp; under</v>
      </c>
      <c r="EC36" s="56" t="str">
        <f>'PC LIST'!CI563</f>
        <v>NA</v>
      </c>
      <c r="ED36" s="56" t="str">
        <f>'PC LIST'!B609</f>
        <v>PR14SVEWSWW_S-C3</v>
      </c>
      <c r="EE36" s="57" t="str">
        <f>'PC LIST'!I609</f>
        <v>S-C3: Asset stewardship - environmental compliance (basket of measures)</v>
      </c>
      <c r="EF36" s="57" t="str">
        <f>'PC LIST'!O609</f>
        <v>%</v>
      </c>
      <c r="EG36" s="57" t="str">
        <f>'PC LIST'!P609</f>
        <v>% compliance with WwTW regulations</v>
      </c>
      <c r="EH36" s="56">
        <f>'PC LIST'!Q609</f>
        <v>2</v>
      </c>
      <c r="EI36" s="56" t="str">
        <f>'PC LIST'!J609</f>
        <v>Under</v>
      </c>
      <c r="EJ36" s="56">
        <f>'PC LIST'!CI609</f>
        <v>97.69</v>
      </c>
    </row>
    <row r="37" spans="8:140" ht="15.75" customHeight="1">
      <c r="H37" s="56" t="str">
        <f>'PC LIST'!B50</f>
        <v>PR14ANHHHR_R-B1</v>
      </c>
      <c r="I37" s="57" t="str">
        <f>'PC LIST'!I50</f>
        <v>R-B1: Fairness of bills perception - variation from baseline against WaSCs</v>
      </c>
      <c r="J37" s="57" t="str">
        <f>'PC LIST'!O50</f>
        <v>%</v>
      </c>
      <c r="K37" s="57" t="str">
        <f>'PC LIST'!P50</f>
        <v>% variation from WaSC baseline</v>
      </c>
      <c r="L37" s="56">
        <f>'PC LIST'!Q50</f>
        <v>0</v>
      </c>
      <c r="M37" s="56" t="str">
        <f>'PC LIST'!J50</f>
        <v>Out &amp; under</v>
      </c>
      <c r="N37" s="711">
        <f>'PC LIST'!CI50</f>
        <v>2</v>
      </c>
      <c r="Q37" s="1882"/>
      <c r="R37" s="1882"/>
      <c r="S37" s="1882"/>
      <c r="T37" s="56"/>
      <c r="U37" s="56"/>
      <c r="X37" s="1882"/>
      <c r="Y37" s="1882"/>
      <c r="Z37" s="1882"/>
      <c r="AA37" s="1882"/>
      <c r="AB37" s="1882"/>
      <c r="AC37" s="56" t="str">
        <f>'PC LIST'!B123</f>
        <v>PR14NESHHR_R-B2</v>
      </c>
      <c r="AD37" s="58" t="str">
        <f>'PC LIST'!I123</f>
        <v>R-B2: Service incentive mechanism (SIM)</v>
      </c>
      <c r="AE37" s="58" t="str">
        <f>'PC LIST'!O123</f>
        <v>score</v>
      </c>
      <c r="AF37" s="58" t="str">
        <f>'PC LIST'!P123</f>
        <v>Service incentive mechanism (SIM) score</v>
      </c>
      <c r="AG37" s="56">
        <f>'PC LIST'!Q123</f>
        <v>1</v>
      </c>
      <c r="AH37" s="56" t="str">
        <f>'PC LIST'!J123</f>
        <v>Out &amp; under</v>
      </c>
      <c r="AI37" s="56">
        <f>'PC LIST'!CI123</f>
        <v>85.9</v>
      </c>
      <c r="AL37" s="1882"/>
      <c r="AM37" s="1882"/>
      <c r="AN37" s="1882"/>
      <c r="AO37" s="1882"/>
      <c r="AP37" s="1882"/>
      <c r="AS37" s="1882"/>
      <c r="AT37" s="1882"/>
      <c r="AU37" s="1882"/>
      <c r="AV37" s="1882"/>
      <c r="AW37" s="1882"/>
      <c r="AZ37" s="1882"/>
      <c r="BA37" s="1882"/>
      <c r="BB37" s="1882"/>
      <c r="BC37" s="1882"/>
      <c r="BD37" s="1882"/>
      <c r="BE37" s="56"/>
      <c r="BF37" s="57"/>
      <c r="BG37" s="57"/>
      <c r="BH37" s="57"/>
      <c r="BI37" s="1882"/>
      <c r="BJ37" s="56"/>
      <c r="BK37" s="56"/>
      <c r="BN37" s="54"/>
      <c r="BO37" s="54"/>
      <c r="BP37" s="54"/>
      <c r="BQ37" s="54"/>
      <c r="BR37" s="54"/>
      <c r="BU37" s="1882"/>
      <c r="BV37" s="1882"/>
      <c r="BW37" s="1882"/>
      <c r="BX37" s="1882"/>
      <c r="BY37" s="1882"/>
      <c r="BZ37" s="56" t="str">
        <f>'PC LIST'!B298</f>
        <v>PR14SVTWSWW_S-C4</v>
      </c>
      <c r="CA37" s="57" t="str">
        <f>'PC LIST'!I298</f>
        <v>S-C4: Biodiversity</v>
      </c>
      <c r="CB37" s="57" t="str">
        <f>'PC LIST'!O298</f>
        <v>nr</v>
      </c>
      <c r="CC37" s="57" t="str">
        <f>'PC LIST'!P298</f>
        <v>No. of hectares improved</v>
      </c>
      <c r="CD37" s="56">
        <f>'PC LIST'!Q298</f>
        <v>0</v>
      </c>
      <c r="CE37" s="56" t="str">
        <f>'PC LIST'!J298</f>
        <v>Out &amp; under</v>
      </c>
      <c r="CF37" s="712" t="str">
        <f>'PC LIST'!CI298</f>
        <v/>
      </c>
      <c r="CG37" s="56" t="str">
        <f>'PC LIST'!B343</f>
        <v>PR14SWTWSWW_S-C7</v>
      </c>
      <c r="CH37" s="59" t="str">
        <f>'PC LIST'!I343</f>
        <v>S-C7: Energy from renewable sources (%)</v>
      </c>
      <c r="CI37" s="59" t="str">
        <f>'PC LIST'!O343</f>
        <v>%</v>
      </c>
      <c r="CJ37" s="59" t="str">
        <f>'PC LIST'!P343</f>
        <v>% energy from renewable sources</v>
      </c>
      <c r="CK37" s="56">
        <f>'PC LIST'!Q343</f>
        <v>2</v>
      </c>
      <c r="CL37" s="56" t="str">
        <f>'PC LIST'!J343</f>
        <v>NFI</v>
      </c>
      <c r="CM37" s="711">
        <f>'PC LIST'!CI343</f>
        <v>5.3513145688828558</v>
      </c>
      <c r="CN37" s="56" t="str">
        <f>'PC LIST'!B385</f>
        <v>PR14TMSWSWW_SC4</v>
      </c>
      <c r="CO37" s="57" t="str">
        <f>'PC LIST'!I385</f>
        <v>SC4: Water bodies improved or protected from deterioration as a result of Thames Water's activities</v>
      </c>
      <c r="CP37" s="57" t="str">
        <f>'PC LIST'!O385</f>
        <v>nr</v>
      </c>
      <c r="CQ37" s="57" t="str">
        <f>'PC LIST'!P385</f>
        <v>No. of water bodies improved or protected by catchment management</v>
      </c>
      <c r="CR37" s="56">
        <f>'PC LIST'!Q385</f>
        <v>0</v>
      </c>
      <c r="CS37" s="56" t="str">
        <f>'PC LIST'!J385</f>
        <v>NFI</v>
      </c>
      <c r="CT37" s="56">
        <f>'PC LIST'!CI385</f>
        <v>0</v>
      </c>
      <c r="CW37" s="1882"/>
      <c r="CX37" s="1882"/>
      <c r="CY37" s="1882"/>
      <c r="CZ37" s="1882"/>
      <c r="DA37" s="1882"/>
      <c r="DD37" s="54"/>
      <c r="DE37" s="54"/>
      <c r="DF37" s="54"/>
      <c r="DG37" s="54"/>
      <c r="DH37" s="54"/>
      <c r="DI37" s="56"/>
      <c r="DJ37" s="57"/>
      <c r="DK37" s="57"/>
      <c r="DL37" s="57"/>
      <c r="DM37" s="57"/>
      <c r="DN37" s="57"/>
      <c r="DO37" s="56"/>
      <c r="DV37" s="56"/>
      <c r="DW37" s="56" t="str">
        <f>'PC LIST'!B564</f>
        <v>PR14HDDWSWW_S-C2</v>
      </c>
      <c r="DX37" s="57" t="str">
        <f>'PC LIST'!I564</f>
        <v>S-C2: The number of category 3 pollution incidents</v>
      </c>
      <c r="DY37" s="57" t="str">
        <f>'PC LIST'!O564</f>
        <v>nr</v>
      </c>
      <c r="DZ37" s="57" t="str">
        <f>'PC LIST'!P564</f>
        <v>No. of pollution incidents (cat 3)</v>
      </c>
      <c r="EA37" s="56">
        <f>'PC LIST'!Q564</f>
        <v>0</v>
      </c>
      <c r="EB37" s="56" t="str">
        <f>'PC LIST'!J564</f>
        <v>Out &amp; under</v>
      </c>
      <c r="EC37" s="56">
        <f>'PC LIST'!CI564</f>
        <v>1</v>
      </c>
      <c r="ED37" s="56" t="str">
        <f>'PC LIST'!B610</f>
        <v>PR14SVEWSWW_S-C4</v>
      </c>
      <c r="EE37" s="57" t="str">
        <f>'PC LIST'!I610</f>
        <v>S-C4: Biodiversity</v>
      </c>
      <c r="EF37" s="57" t="str">
        <f>'PC LIST'!O610</f>
        <v>nr</v>
      </c>
      <c r="EG37" s="57" t="str">
        <f>'PC LIST'!P610</f>
        <v>No. of hectares improved</v>
      </c>
      <c r="EH37" s="56">
        <f>'PC LIST'!Q610</f>
        <v>0</v>
      </c>
      <c r="EI37" s="56" t="str">
        <f>'PC LIST'!J610</f>
        <v>Out &amp; under</v>
      </c>
      <c r="EJ37" s="56">
        <f>'PC LIST'!CI610</f>
        <v>343</v>
      </c>
    </row>
    <row r="38" spans="8:140" ht="15.75" customHeight="1">
      <c r="H38" s="56" t="str">
        <f>'PC LIST'!B51</f>
        <v>PR14ANHHHR_R-B2</v>
      </c>
      <c r="I38" s="57" t="str">
        <f>'PC LIST'!I51</f>
        <v>R-B2: Affordability perception - variation from baseline against WaSCs</v>
      </c>
      <c r="J38" s="57" t="str">
        <f>'PC LIST'!O51</f>
        <v>%</v>
      </c>
      <c r="K38" s="57" t="str">
        <f>'PC LIST'!P51</f>
        <v>% variation from WaSC baseline</v>
      </c>
      <c r="L38" s="56">
        <f>'PC LIST'!Q51</f>
        <v>0</v>
      </c>
      <c r="M38" s="56" t="str">
        <f>'PC LIST'!J51</f>
        <v>Out &amp; under</v>
      </c>
      <c r="N38" s="711">
        <f>'PC LIST'!CI51</f>
        <v>2</v>
      </c>
      <c r="Q38" s="1882"/>
      <c r="R38" s="1882"/>
      <c r="S38" s="1882"/>
      <c r="T38" s="56"/>
      <c r="U38" s="56"/>
      <c r="X38" s="1882"/>
      <c r="Y38" s="1882"/>
      <c r="Z38" s="1882"/>
      <c r="AA38" s="1882"/>
      <c r="AB38" s="1882"/>
      <c r="AC38" s="56" t="str">
        <f>'PC LIST'!B124</f>
        <v>PR14NESHHR_R-B3</v>
      </c>
      <c r="AD38" s="58" t="str">
        <f>'PC LIST'!I124</f>
        <v>R-B3: Domestic customer satisfaction, net promoter score</v>
      </c>
      <c r="AE38" s="58" t="str">
        <f>'PC LIST'!O124</f>
        <v>%</v>
      </c>
      <c r="AF38" s="58" t="str">
        <f>'PC LIST'!P124</f>
        <v>% customer satisfaction</v>
      </c>
      <c r="AG38" s="56">
        <f>'PC LIST'!Q124</f>
        <v>0</v>
      </c>
      <c r="AH38" s="56" t="str">
        <f>'PC LIST'!J124</f>
        <v>NFI</v>
      </c>
      <c r="AI38" s="56">
        <f>'PC LIST'!CI124</f>
        <v>43</v>
      </c>
      <c r="AL38" s="1882"/>
      <c r="AM38" s="1882"/>
      <c r="AN38" s="1882"/>
      <c r="AO38" s="1882"/>
      <c r="AP38" s="1882"/>
      <c r="AS38" s="1882"/>
      <c r="AT38" s="1882"/>
      <c r="AU38" s="1882"/>
      <c r="AV38" s="1882"/>
      <c r="AW38" s="1882"/>
      <c r="AZ38" s="1882"/>
      <c r="BA38" s="1882"/>
      <c r="BB38" s="1882"/>
      <c r="BC38" s="1882"/>
      <c r="BD38" s="1882"/>
      <c r="BG38" s="54"/>
      <c r="BH38" s="54"/>
      <c r="BI38" s="54"/>
      <c r="BJ38" s="56"/>
      <c r="BK38" s="56"/>
      <c r="BN38" s="54"/>
      <c r="BO38" s="54"/>
      <c r="BP38" s="54"/>
      <c r="BQ38" s="54"/>
      <c r="BR38" s="54"/>
      <c r="BU38" s="1882"/>
      <c r="BV38" s="1882"/>
      <c r="BW38" s="1882"/>
      <c r="BX38" s="1882"/>
      <c r="BY38" s="1882"/>
      <c r="BZ38" s="56" t="str">
        <f>'PC LIST'!B299</f>
        <v>PR14SVTWSWW_S-C5</v>
      </c>
      <c r="CA38" s="57" t="str">
        <f>'PC LIST'!I299</f>
        <v>S-C5: Sustainable sewage treatment</v>
      </c>
      <c r="CB38" s="57" t="str">
        <f>'PC LIST'!O299</f>
        <v>nr</v>
      </c>
      <c r="CC38" s="57" t="str">
        <f>'PC LIST'!P299</f>
        <v>No. of WwTWs avoiding investment</v>
      </c>
      <c r="CD38" s="56">
        <f>'PC LIST'!Q299</f>
        <v>0</v>
      </c>
      <c r="CE38" s="56" t="str">
        <f>'PC LIST'!J299</f>
        <v>Out</v>
      </c>
      <c r="CF38" s="712" t="str">
        <f>'PC LIST'!CI299</f>
        <v/>
      </c>
      <c r="CG38" s="56" t="str">
        <f>'PC LIST'!B344</f>
        <v>PR14SWTWSWW_S-D1</v>
      </c>
      <c r="CH38" s="59" t="str">
        <f>'PC LIST'!I344</f>
        <v>S-D1: Bathing water quality</v>
      </c>
      <c r="CI38" s="59" t="str">
        <f>'PC LIST'!O344</f>
        <v>nr</v>
      </c>
      <c r="CJ38" s="59" t="str">
        <f>'PC LIST'!P344</f>
        <v>No. of bathing waters meeting or exceeding agreed standard</v>
      </c>
      <c r="CK38" s="56">
        <f>'PC LIST'!Q344</f>
        <v>0</v>
      </c>
      <c r="CL38" s="56" t="str">
        <f>'PC LIST'!J344</f>
        <v>Out &amp; under</v>
      </c>
      <c r="CM38" s="711">
        <f>'PC LIST'!CI344</f>
        <v>0</v>
      </c>
      <c r="CN38" s="56" t="str">
        <f>'PC LIST'!B386</f>
        <v>PR14TMSWSWW_SC5</v>
      </c>
      <c r="CO38" s="57" t="str">
        <f>'PC LIST'!I386</f>
        <v>SC5: Satisfactory sludge disposal compliance</v>
      </c>
      <c r="CP38" s="57" t="str">
        <f>'PC LIST'!O386</f>
        <v>%</v>
      </c>
      <c r="CQ38" s="57" t="str">
        <f>'PC LIST'!P386</f>
        <v>% satisfactory sludge disposal compliance</v>
      </c>
      <c r="CR38" s="56">
        <f>'PC LIST'!Q386</f>
        <v>0</v>
      </c>
      <c r="CS38" s="56" t="str">
        <f>'PC LIST'!J386</f>
        <v>NFI</v>
      </c>
      <c r="CT38" s="56">
        <f>'PC LIST'!CI386</f>
        <v>100</v>
      </c>
      <c r="CW38" s="1882"/>
      <c r="CX38" s="1882"/>
      <c r="CY38" s="1882"/>
      <c r="CZ38" s="1882"/>
      <c r="DA38" s="1882"/>
      <c r="DD38" s="54"/>
      <c r="DE38" s="54"/>
      <c r="DF38" s="54"/>
      <c r="DG38" s="54"/>
      <c r="DH38" s="54"/>
      <c r="DI38" s="56"/>
      <c r="DJ38" s="57"/>
      <c r="DK38" s="57"/>
      <c r="DL38" s="57"/>
      <c r="DM38" s="57"/>
      <c r="DN38" s="57"/>
      <c r="DO38" s="56"/>
      <c r="DV38" s="56"/>
      <c r="DW38" s="56" t="str">
        <f>'PC LIST'!B565</f>
        <v>PR14HDDWSWW_S-C3</v>
      </c>
      <c r="DX38" s="57" t="str">
        <f>'PC LIST'!I565</f>
        <v>S-C3: Asset stewardship - environmental compliance (basket of measures)</v>
      </c>
      <c r="DY38" s="57" t="str">
        <f>'PC LIST'!O565</f>
        <v>%</v>
      </c>
      <c r="DZ38" s="57" t="str">
        <f>'PC LIST'!P565</f>
        <v>% compliance with WwTW regulations</v>
      </c>
      <c r="EA38" s="56">
        <f>'PC LIST'!Q565</f>
        <v>2</v>
      </c>
      <c r="EB38" s="56" t="str">
        <f>'PC LIST'!J565</f>
        <v>Under</v>
      </c>
      <c r="EC38" s="56">
        <f>'PC LIST'!CI565</f>
        <v>97.694825362658506</v>
      </c>
      <c r="ED38" s="56" t="str">
        <f>'PC LIST'!B611</f>
        <v>PR14SVEWSWW_S-C5</v>
      </c>
      <c r="EE38" s="57" t="str">
        <f>'PC LIST'!I611</f>
        <v>S-C5: Sustainable sewage treatment</v>
      </c>
      <c r="EF38" s="57" t="str">
        <f>'PC LIST'!O611</f>
        <v>nr</v>
      </c>
      <c r="EG38" s="57" t="str">
        <f>'PC LIST'!P611</f>
        <v>No. of WwTWs avoiding investment</v>
      </c>
      <c r="EH38" s="56">
        <f>'PC LIST'!Q611</f>
        <v>0</v>
      </c>
      <c r="EI38" s="56" t="str">
        <f>'PC LIST'!J611</f>
        <v>Out</v>
      </c>
      <c r="EJ38" s="56">
        <f>'PC LIST'!CI611</f>
        <v>0</v>
      </c>
    </row>
    <row r="39" spans="8:140" ht="15.75" customHeight="1">
      <c r="H39" s="56" t="str">
        <f>'PC LIST'!B52</f>
        <v>PR14ANHHHR_R-C1</v>
      </c>
      <c r="I39" s="57" t="str">
        <f>'PC LIST'!I52</f>
        <v>R-C1: Operational carbon (% reduction from 2015 baseline)</v>
      </c>
      <c r="J39" s="57" t="str">
        <f>'PC LIST'!O52</f>
        <v>%</v>
      </c>
      <c r="K39" s="57" t="str">
        <f>'PC LIST'!P52</f>
        <v>% reduction from 2015 baseline</v>
      </c>
      <c r="L39" s="56">
        <f>'PC LIST'!Q52</f>
        <v>0</v>
      </c>
      <c r="M39" s="56" t="str">
        <f>'PC LIST'!J52</f>
        <v>NFI</v>
      </c>
      <c r="N39" s="711">
        <f>'PC LIST'!CI52</f>
        <v>29</v>
      </c>
      <c r="Q39" s="1882"/>
      <c r="R39" s="1882"/>
      <c r="S39" s="1882"/>
      <c r="T39" s="56"/>
      <c r="U39" s="56"/>
      <c r="X39" s="1882"/>
      <c r="Y39" s="1882"/>
      <c r="Z39" s="1882"/>
      <c r="AA39" s="1882"/>
      <c r="AB39" s="1882"/>
      <c r="AC39" s="56" t="str">
        <f>'PC LIST'!B125</f>
        <v>PR14NESHHR_R-C1</v>
      </c>
      <c r="AD39" s="58" t="str">
        <f>'PC LIST'!I125</f>
        <v>R-C1: NWL independent value for money survey</v>
      </c>
      <c r="AE39" s="58" t="str">
        <f>'PC LIST'!O125</f>
        <v>score</v>
      </c>
      <c r="AF39" s="58" t="str">
        <f>'PC LIST'!P125</f>
        <v>Customer satisfaction score out of 10</v>
      </c>
      <c r="AG39" s="56">
        <f>'PC LIST'!Q125</f>
        <v>1</v>
      </c>
      <c r="AH39" s="56" t="str">
        <f>'PC LIST'!J125</f>
        <v>NFI</v>
      </c>
      <c r="AI39" s="56">
        <f>'PC LIST'!CI125</f>
        <v>8.1999999999999993</v>
      </c>
      <c r="AL39" s="1882"/>
      <c r="AM39" s="1882"/>
      <c r="AN39" s="1882"/>
      <c r="AO39" s="1882"/>
      <c r="AP39" s="1882"/>
      <c r="AS39" s="1882"/>
      <c r="AT39" s="1882"/>
      <c r="AU39" s="1882"/>
      <c r="AV39" s="1882"/>
      <c r="AW39" s="1882"/>
      <c r="AZ39" s="1882"/>
      <c r="BA39" s="1882"/>
      <c r="BB39" s="1882"/>
      <c r="BC39" s="1882"/>
      <c r="BD39" s="1882"/>
      <c r="BG39" s="54"/>
      <c r="BH39" s="54"/>
      <c r="BI39" s="54"/>
      <c r="BJ39" s="56"/>
      <c r="BK39" s="56"/>
      <c r="BN39" s="54"/>
      <c r="BO39" s="54"/>
      <c r="BP39" s="54"/>
      <c r="BQ39" s="54"/>
      <c r="BR39" s="54"/>
      <c r="BU39" s="1882"/>
      <c r="BV39" s="1882"/>
      <c r="BW39" s="1882"/>
      <c r="BX39" s="1882"/>
      <c r="BY39" s="1882"/>
      <c r="BZ39" s="56" t="str">
        <f>'PC LIST'!B300</f>
        <v>PR14SVTWSWW_S-C6</v>
      </c>
      <c r="CA39" s="57" t="str">
        <f>'PC LIST'!I300</f>
        <v>S-C6: Serious pollution incidents</v>
      </c>
      <c r="CB39" s="57" t="str">
        <f>'PC LIST'!O300</f>
        <v>nr</v>
      </c>
      <c r="CC39" s="57" t="str">
        <f>'PC LIST'!P300</f>
        <v>No. of pollution incidents (cats 1 and 2)</v>
      </c>
      <c r="CD39" s="56">
        <f>'PC LIST'!Q300</f>
        <v>0</v>
      </c>
      <c r="CE39" s="56" t="str">
        <f>'PC LIST'!J300</f>
        <v>NFI</v>
      </c>
      <c r="CF39" s="712" t="str">
        <f>'PC LIST'!CI300</f>
        <v/>
      </c>
      <c r="CG39" s="56" t="str">
        <f>'PC LIST'!B345</f>
        <v>PR14SWTWSWW_S-D2</v>
      </c>
      <c r="CH39" s="59" t="str">
        <f>'PC LIST'!I345</f>
        <v>S-D2: Combined sewer overflow spills (number)</v>
      </c>
      <c r="CI39" s="59" t="str">
        <f>'PC LIST'!O345</f>
        <v>nr</v>
      </c>
      <c r="CJ39" s="59" t="str">
        <f>'PC LIST'!P345</f>
        <v>No. of combined sewer overflow (CSO) spills per year</v>
      </c>
      <c r="CK39" s="56">
        <f>'PC LIST'!Q345</f>
        <v>0</v>
      </c>
      <c r="CL39" s="56" t="str">
        <f>'PC LIST'!J345</f>
        <v>NFI</v>
      </c>
      <c r="CM39" s="711" t="str">
        <f>'PC LIST'!CI345</f>
        <v>N/A</v>
      </c>
      <c r="CN39" s="56" t="str">
        <f>'PC LIST'!B387</f>
        <v>PR14TMSWSWW_SC6</v>
      </c>
      <c r="CO39" s="57" t="str">
        <f>'PC LIST'!I387</f>
        <v>SC6: We will educate our existing and future customers</v>
      </c>
      <c r="CP39" s="57" t="str">
        <f>'PC LIST'!O387</f>
        <v>nr</v>
      </c>
      <c r="CQ39" s="57" t="str">
        <f>'PC LIST'!P387</f>
        <v>No. of children directly engaged</v>
      </c>
      <c r="CR39" s="56">
        <f>'PC LIST'!Q387</f>
        <v>0</v>
      </c>
      <c r="CS39" s="56" t="str">
        <f>'PC LIST'!J387</f>
        <v>NFI</v>
      </c>
      <c r="CT39" s="56">
        <f>'PC LIST'!CI387</f>
        <v>24897</v>
      </c>
      <c r="CW39" s="1882"/>
      <c r="CX39" s="1882"/>
      <c r="CY39" s="1882"/>
      <c r="CZ39" s="1882"/>
      <c r="DA39" s="1882"/>
      <c r="DD39" s="54"/>
      <c r="DE39" s="54"/>
      <c r="DF39" s="54"/>
      <c r="DG39" s="54"/>
      <c r="DH39" s="54"/>
      <c r="DK39" s="54"/>
      <c r="DL39" s="54"/>
      <c r="DM39" s="54"/>
      <c r="DN39" s="54"/>
      <c r="DO39" s="56"/>
      <c r="DV39" s="56"/>
      <c r="DW39" s="56" t="str">
        <f>'PC LIST'!B566</f>
        <v>PR14HDDWSWW_S-C5</v>
      </c>
      <c r="DX39" s="57" t="str">
        <f>'PC LIST'!I566</f>
        <v>S-C5: Sustainable sewage treatment</v>
      </c>
      <c r="DY39" s="57" t="str">
        <f>'PC LIST'!O566</f>
        <v>nr</v>
      </c>
      <c r="DZ39" s="57" t="str">
        <f>'PC LIST'!P566</f>
        <v>No. of WwTWs avoiding investment</v>
      </c>
      <c r="EA39" s="56">
        <f>'PC LIST'!Q566</f>
        <v>0</v>
      </c>
      <c r="EB39" s="56" t="str">
        <f>'PC LIST'!J566</f>
        <v>Out</v>
      </c>
      <c r="EC39" s="56">
        <f>'PC LIST'!CI566</f>
        <v>0</v>
      </c>
      <c r="ED39" s="56" t="str">
        <f>'PC LIST'!B612</f>
        <v>PR14SVEWSWW_S-C6</v>
      </c>
      <c r="EE39" s="57" t="str">
        <f>'PC LIST'!I612</f>
        <v>S-C6: Serious pollution incidents</v>
      </c>
      <c r="EF39" s="57" t="str">
        <f>'PC LIST'!O612</f>
        <v>nr</v>
      </c>
      <c r="EG39" s="57" t="str">
        <f>'PC LIST'!P612</f>
        <v>No. of pollution incidents (cats 1 and 2)</v>
      </c>
      <c r="EH39" s="56">
        <f>'PC LIST'!Q612</f>
        <v>0</v>
      </c>
      <c r="EI39" s="56" t="str">
        <f>'PC LIST'!J612</f>
        <v>NFI</v>
      </c>
      <c r="EJ39" s="56">
        <f>'PC LIST'!CI612</f>
        <v>7</v>
      </c>
    </row>
    <row r="40" spans="8:140" ht="15.75" customHeight="1">
      <c r="H40" s="56" t="str">
        <f>'PC LIST'!B53</f>
        <v>PR14ANHHHR_R-C2</v>
      </c>
      <c r="I40" s="57" t="str">
        <f>'PC LIST'!I53</f>
        <v>R-C2: Embodied carbon (% reduction from 2010 baseline)</v>
      </c>
      <c r="J40" s="57" t="str">
        <f>'PC LIST'!O53</f>
        <v>%</v>
      </c>
      <c r="K40" s="57" t="str">
        <f>'PC LIST'!P53</f>
        <v>% reduction from 2010 baseline</v>
      </c>
      <c r="L40" s="56">
        <f>'PC LIST'!Q53</f>
        <v>0</v>
      </c>
      <c r="M40" s="56" t="str">
        <f>'PC LIST'!J53</f>
        <v>NFI</v>
      </c>
      <c r="N40" s="711">
        <f>'PC LIST'!CI53</f>
        <v>58</v>
      </c>
      <c r="Q40" s="1882"/>
      <c r="R40" s="1882"/>
      <c r="S40" s="1882"/>
      <c r="T40" s="56"/>
      <c r="U40" s="56"/>
      <c r="X40" s="1882"/>
      <c r="Y40" s="1882"/>
      <c r="Z40" s="1882"/>
      <c r="AA40" s="1882"/>
      <c r="AB40" s="1882"/>
      <c r="AC40" s="56" t="str">
        <f>'PC LIST'!B126</f>
        <v>PR14NESHHR_R-C2</v>
      </c>
      <c r="AD40" s="58" t="str">
        <f>'PC LIST'!I126</f>
        <v>R-C2: Satisfied with value for money of water services - Northumbrian region (CCWater research)</v>
      </c>
      <c r="AE40" s="58" t="str">
        <f>'PC LIST'!O126</f>
        <v>%</v>
      </c>
      <c r="AF40" s="58" t="str">
        <f>'PC LIST'!P126</f>
        <v>% customer satisfaction</v>
      </c>
      <c r="AG40" s="56">
        <f>'PC LIST'!Q126</f>
        <v>0</v>
      </c>
      <c r="AH40" s="56" t="str">
        <f>'PC LIST'!J126</f>
        <v>NFI</v>
      </c>
      <c r="AI40" s="56">
        <f>'PC LIST'!CI126</f>
        <v>75</v>
      </c>
      <c r="AL40" s="1882"/>
      <c r="AM40" s="1882"/>
      <c r="AN40" s="1882"/>
      <c r="AO40" s="1882"/>
      <c r="AP40" s="1882"/>
      <c r="AS40" s="1882"/>
      <c r="AT40" s="1882"/>
      <c r="AU40" s="1882"/>
      <c r="AV40" s="1882"/>
      <c r="AW40" s="1882"/>
      <c r="AZ40" s="1882"/>
      <c r="BA40" s="1882"/>
      <c r="BB40" s="1882"/>
      <c r="BC40" s="1882"/>
      <c r="BD40" s="1882"/>
      <c r="BG40" s="54"/>
      <c r="BH40" s="54"/>
      <c r="BI40" s="54"/>
      <c r="BJ40" s="56"/>
      <c r="BK40" s="56"/>
      <c r="BN40" s="54"/>
      <c r="BO40" s="54"/>
      <c r="BP40" s="54"/>
      <c r="BQ40" s="54"/>
      <c r="BR40" s="54"/>
      <c r="BU40" s="1882"/>
      <c r="BV40" s="1882"/>
      <c r="BW40" s="1882"/>
      <c r="BX40" s="1882"/>
      <c r="BY40" s="1882"/>
      <c r="BZ40" s="56" t="str">
        <f>'PC LIST'!B301</f>
        <v>PR14SVTWSWW_S-C7</v>
      </c>
      <c r="CA40" s="57" t="str">
        <f>'PC LIST'!I301</f>
        <v>S-C7: Overall environmental performance (basket of environmental measures)</v>
      </c>
      <c r="CB40" s="57" t="str">
        <f>'PC LIST'!O301</f>
        <v>nr</v>
      </c>
      <c r="CC40" s="57" t="str">
        <f>'PC LIST'!P301</f>
        <v>No. of environmental targets met</v>
      </c>
      <c r="CD40" s="56">
        <f>'PC LIST'!Q301</f>
        <v>0</v>
      </c>
      <c r="CE40" s="56" t="str">
        <f>'PC LIST'!J301</f>
        <v>Out &amp; under</v>
      </c>
      <c r="CF40" s="712" t="str">
        <f>'PC LIST'!CI301</f>
        <v/>
      </c>
      <c r="CG40" s="56" t="str">
        <f>'PC LIST'!B346</f>
        <v>PR14SWTWSWW_S-D3</v>
      </c>
      <c r="CH40" s="59" t="str">
        <f>'PC LIST'!I346</f>
        <v>S-D3: River water quality improved (km)</v>
      </c>
      <c r="CI40" s="59" t="str">
        <f>'PC LIST'!O346</f>
        <v>nr</v>
      </c>
      <c r="CJ40" s="59" t="str">
        <f>'PC LIST'!P346</f>
        <v>Kilometres (km) of river water quality improved</v>
      </c>
      <c r="CK40" s="56">
        <f>'PC LIST'!Q346</f>
        <v>0</v>
      </c>
      <c r="CL40" s="56" t="str">
        <f>'PC LIST'!J346</f>
        <v>NFI</v>
      </c>
      <c r="CM40" s="711">
        <f>'PC LIST'!CI346</f>
        <v>155.68900000000002</v>
      </c>
      <c r="CN40" s="56" t="str">
        <f>'PC LIST'!B388</f>
        <v>PR14TMSWSWW_SC7</v>
      </c>
      <c r="CO40" s="57" t="str">
        <f>'PC LIST'!I388</f>
        <v>SC7: Modelled reduction in properties affected by odour</v>
      </c>
      <c r="CP40" s="57" t="str">
        <f>'PC LIST'!O388</f>
        <v>nr</v>
      </c>
      <c r="CQ40" s="57" t="str">
        <f>'PC LIST'!P388</f>
        <v>No. of properties (modelled cumulative reduction)</v>
      </c>
      <c r="CR40" s="56">
        <f>'PC LIST'!Q388</f>
        <v>0</v>
      </c>
      <c r="CS40" s="56" t="str">
        <f>'PC LIST'!J388</f>
        <v>Out &amp; under</v>
      </c>
      <c r="CT40" s="56">
        <f>'PC LIST'!CI388</f>
        <v>8931</v>
      </c>
      <c r="CW40" s="1882"/>
      <c r="CX40" s="1882"/>
      <c r="CY40" s="1882"/>
      <c r="CZ40" s="1882"/>
      <c r="DA40" s="1882"/>
      <c r="DD40" s="54"/>
      <c r="DE40" s="54"/>
      <c r="DF40" s="54"/>
      <c r="DG40" s="54"/>
      <c r="DH40" s="54"/>
      <c r="DK40" s="54"/>
      <c r="DL40" s="54"/>
      <c r="DM40" s="54"/>
      <c r="DN40" s="54"/>
      <c r="DO40" s="56"/>
      <c r="DV40" s="56"/>
      <c r="DW40" s="56" t="str">
        <f>'PC LIST'!B567</f>
        <v>PR14HDDWSWW_S-C6</v>
      </c>
      <c r="DX40" s="57" t="str">
        <f>'PC LIST'!I567</f>
        <v>S-C6: Serious pollution incidents</v>
      </c>
      <c r="DY40" s="57" t="str">
        <f>'PC LIST'!O567</f>
        <v>nr</v>
      </c>
      <c r="DZ40" s="57" t="str">
        <f>'PC LIST'!P567</f>
        <v>No. of pollution incidents (cats 1 and 2)</v>
      </c>
      <c r="EA40" s="56">
        <f>'PC LIST'!Q567</f>
        <v>0</v>
      </c>
      <c r="EB40" s="56" t="str">
        <f>'PC LIST'!J567</f>
        <v>NFI</v>
      </c>
      <c r="EC40" s="56">
        <f>'PC LIST'!CI567</f>
        <v>0</v>
      </c>
      <c r="ED40" s="56" t="str">
        <f>'PC LIST'!B613</f>
        <v>PR14SVEWSWW_S-C7</v>
      </c>
      <c r="EE40" s="57" t="str">
        <f>'PC LIST'!I613</f>
        <v>S-C7: Overall environmental performance (basket of environmental measures)</v>
      </c>
      <c r="EF40" s="57" t="str">
        <f>'PC LIST'!O613</f>
        <v>nr</v>
      </c>
      <c r="EG40" s="57" t="str">
        <f>'PC LIST'!P613</f>
        <v>No. of environmental targets met</v>
      </c>
      <c r="EH40" s="56">
        <f>'PC LIST'!Q613</f>
        <v>0</v>
      </c>
      <c r="EI40" s="56" t="str">
        <f>'PC LIST'!J613</f>
        <v>Out &amp; under</v>
      </c>
      <c r="EJ40" s="56">
        <f>'PC LIST'!CI613</f>
        <v>4</v>
      </c>
    </row>
    <row r="41" spans="8:140" ht="15.75" customHeight="1">
      <c r="H41" s="56" t="str">
        <f>'PC LIST'!B54</f>
        <v>PR14ANHHHR_R-D1</v>
      </c>
      <c r="I41" s="57" t="str">
        <f>'PC LIST'!I54</f>
        <v>R-D1: Survey of community perception</v>
      </c>
      <c r="J41" s="57" t="str">
        <f>'PC LIST'!O54</f>
        <v>%</v>
      </c>
      <c r="K41" s="57" t="str">
        <f>'PC LIST'!P54</f>
        <v>% customer satisfaction</v>
      </c>
      <c r="L41" s="56" t="str">
        <f>'PC LIST'!Q54</f>
        <v>na</v>
      </c>
      <c r="M41" s="56" t="str">
        <f>'PC LIST'!J54</f>
        <v>NFI</v>
      </c>
      <c r="N41" s="711">
        <f>'PC LIST'!CI54</f>
        <v>57</v>
      </c>
      <c r="Q41" s="1882"/>
      <c r="R41" s="1882"/>
      <c r="S41" s="1882"/>
      <c r="T41" s="56"/>
      <c r="U41" s="56"/>
      <c r="X41" s="1882"/>
      <c r="Y41" s="1882"/>
      <c r="Z41" s="1882"/>
      <c r="AA41" s="1882"/>
      <c r="AB41" s="1882"/>
      <c r="AC41" s="56" t="str">
        <f>'PC LIST'!B127</f>
        <v>PR14NESHHR_R-C3</v>
      </c>
      <c r="AD41" s="58" t="str">
        <f>'PC LIST'!I127</f>
        <v>R-C3: Satisfied with value for money of sewerage services - Northumbrian region (CCWater research)</v>
      </c>
      <c r="AE41" s="58" t="str">
        <f>'PC LIST'!O127</f>
        <v>%</v>
      </c>
      <c r="AF41" s="58" t="str">
        <f>'PC LIST'!P127</f>
        <v>% customer satisfaction</v>
      </c>
      <c r="AG41" s="56">
        <f>'PC LIST'!Q127</f>
        <v>0</v>
      </c>
      <c r="AH41" s="56" t="str">
        <f>'PC LIST'!J127</f>
        <v>NFI</v>
      </c>
      <c r="AI41" s="56">
        <f>'PC LIST'!CI127</f>
        <v>78</v>
      </c>
      <c r="AL41" s="1882"/>
      <c r="AM41" s="1882"/>
      <c r="AN41" s="1882"/>
      <c r="AO41" s="1882"/>
      <c r="AP41" s="1882"/>
      <c r="AS41" s="1882"/>
      <c r="AT41" s="1882"/>
      <c r="AU41" s="1882"/>
      <c r="AV41" s="1882"/>
      <c r="AW41" s="1882"/>
      <c r="AZ41" s="1882"/>
      <c r="BA41" s="1882"/>
      <c r="BB41" s="1882"/>
      <c r="BC41" s="1882"/>
      <c r="BD41" s="1882"/>
      <c r="BG41" s="54"/>
      <c r="BH41" s="54"/>
      <c r="BI41" s="54"/>
      <c r="BJ41" s="56"/>
      <c r="BK41" s="56"/>
      <c r="BN41" s="54"/>
      <c r="BO41" s="54"/>
      <c r="BP41" s="54"/>
      <c r="BQ41" s="54"/>
      <c r="BR41" s="54"/>
      <c r="BU41" s="1882"/>
      <c r="BV41" s="1882"/>
      <c r="BW41" s="1882"/>
      <c r="BX41" s="1882"/>
      <c r="BY41" s="1882"/>
      <c r="BZ41" s="56" t="str">
        <f>'PC LIST'!B302</f>
        <v>PR14SVTWSWW_S-C8</v>
      </c>
      <c r="CA41" s="57" t="str">
        <f>'PC LIST'!I302</f>
        <v>S-C8: The number of category 4 pollution incidents</v>
      </c>
      <c r="CB41" s="57" t="str">
        <f>'PC LIST'!O302</f>
        <v>nr</v>
      </c>
      <c r="CC41" s="57" t="str">
        <f>'PC LIST'!P302</f>
        <v>No. of pollution incidents (cat 4)</v>
      </c>
      <c r="CD41" s="56">
        <f>'PC LIST'!Q302</f>
        <v>0</v>
      </c>
      <c r="CE41" s="56" t="str">
        <f>'PC LIST'!J302</f>
        <v>NFI</v>
      </c>
      <c r="CF41" s="712" t="str">
        <f>'PC LIST'!CI302</f>
        <v/>
      </c>
      <c r="CG41" s="56" t="str">
        <f>'PC LIST'!B347</f>
        <v>PR14SWTHHR_R-A1</v>
      </c>
      <c r="CH41" s="59" t="str">
        <f>'PC LIST'!I347</f>
        <v>R-A1: Customer overall satisfaction (%)</v>
      </c>
      <c r="CI41" s="59" t="str">
        <f>'PC LIST'!O347</f>
        <v>%</v>
      </c>
      <c r="CJ41" s="59" t="str">
        <f>'PC LIST'!P347</f>
        <v>% customer satisfaction</v>
      </c>
      <c r="CK41" s="56">
        <f>'PC LIST'!Q347</f>
        <v>1</v>
      </c>
      <c r="CL41" s="56" t="str">
        <f>'PC LIST'!J347</f>
        <v>NFI</v>
      </c>
      <c r="CM41" s="711">
        <f>'PC LIST'!CI347</f>
        <v>93</v>
      </c>
      <c r="CN41" s="56" t="str">
        <f>'PC LIST'!B389</f>
        <v>PR14TMSWSWW_SC8</v>
      </c>
      <c r="CO41" s="57" t="str">
        <f>'PC LIST'!I389</f>
        <v>SC8: Deliver 100% of agreed measures to meet new environmental regulations</v>
      </c>
      <c r="CP41" s="57" t="str">
        <f>'PC LIST'!O389</f>
        <v>%</v>
      </c>
      <c r="CQ41" s="57" t="str">
        <f>'PC LIST'!P389</f>
        <v>% of agreed schemes completed</v>
      </c>
      <c r="CR41" s="56">
        <f>'PC LIST'!Q389</f>
        <v>0</v>
      </c>
      <c r="CS41" s="56" t="str">
        <f>'PC LIST'!J389</f>
        <v>Under</v>
      </c>
      <c r="CT41" s="56" t="str">
        <f>'PC LIST'!CI389</f>
        <v>Not available</v>
      </c>
      <c r="CW41" s="1882"/>
      <c r="CX41" s="1882"/>
      <c r="CY41" s="1882"/>
      <c r="CZ41" s="1882"/>
      <c r="DA41" s="1882"/>
      <c r="DD41" s="54"/>
      <c r="DE41" s="54"/>
      <c r="DF41" s="54"/>
      <c r="DG41" s="54"/>
      <c r="DH41" s="54"/>
      <c r="DK41" s="54"/>
      <c r="DL41" s="54"/>
      <c r="DM41" s="54"/>
      <c r="DN41" s="54"/>
      <c r="DO41" s="56"/>
      <c r="DV41" s="56"/>
      <c r="DW41" s="56" t="str">
        <f>'PC LIST'!B568</f>
        <v>PR14HDDWSWW_S-C7</v>
      </c>
      <c r="DX41" s="57" t="str">
        <f>'PC LIST'!I568</f>
        <v>S-C7: Overall environmental performance (basket of environmental measures)</v>
      </c>
      <c r="DY41" s="57" t="str">
        <f>'PC LIST'!O568</f>
        <v>nr</v>
      </c>
      <c r="DZ41" s="57" t="str">
        <f>'PC LIST'!P568</f>
        <v>No. of environmental targets met</v>
      </c>
      <c r="EA41" s="56">
        <f>'PC LIST'!Q568</f>
        <v>0</v>
      </c>
      <c r="EB41" s="56" t="str">
        <f>'PC LIST'!J568</f>
        <v>Out &amp; under</v>
      </c>
      <c r="EC41" s="56" t="str">
        <f>'PC LIST'!CI568</f>
        <v>NA</v>
      </c>
      <c r="ED41" s="56" t="str">
        <f>'PC LIST'!B614</f>
        <v>PR14SVEWSWW_S-C8</v>
      </c>
      <c r="EE41" s="57" t="str">
        <f>'PC LIST'!I614</f>
        <v>S-C8: The number of category 4 pollution incidents</v>
      </c>
      <c r="EF41" s="57" t="str">
        <f>'PC LIST'!O614</f>
        <v>nr</v>
      </c>
      <c r="EG41" s="57" t="str">
        <f>'PC LIST'!P614</f>
        <v>No. of pollution incidents (cat 4)</v>
      </c>
      <c r="EH41" s="56">
        <f>'PC LIST'!Q614</f>
        <v>0</v>
      </c>
      <c r="EI41" s="56" t="str">
        <f>'PC LIST'!J614</f>
        <v>NFI</v>
      </c>
      <c r="EJ41" s="56">
        <f>'PC LIST'!CI614</f>
        <v>217</v>
      </c>
    </row>
    <row r="42" spans="8:140" ht="15.75" customHeight="1">
      <c r="H42" s="56"/>
      <c r="I42" s="57"/>
      <c r="J42" s="57"/>
      <c r="K42" s="57"/>
      <c r="L42" s="1882"/>
      <c r="M42" s="56"/>
      <c r="N42" s="56"/>
      <c r="Q42" s="1882"/>
      <c r="R42" s="1882"/>
      <c r="S42" s="1882"/>
      <c r="T42" s="56"/>
      <c r="U42" s="56"/>
      <c r="X42" s="1882"/>
      <c r="Y42" s="1882"/>
      <c r="Z42" s="1882"/>
      <c r="AA42" s="1882"/>
      <c r="AB42" s="1882"/>
      <c r="AC42" s="56" t="str">
        <f>'PC LIST'!B128</f>
        <v>PR14NESHHR_R-C4</v>
      </c>
      <c r="AD42" s="58" t="str">
        <f>'PC LIST'!I128</f>
        <v>R-C4: Satisfied with value for money of water services - Essex &amp; Suffolk region (CCWater research)</v>
      </c>
      <c r="AE42" s="58" t="str">
        <f>'PC LIST'!O128</f>
        <v>%</v>
      </c>
      <c r="AF42" s="58" t="str">
        <f>'PC LIST'!P128</f>
        <v>% customer satisfaction</v>
      </c>
      <c r="AG42" s="56">
        <f>'PC LIST'!Q128</f>
        <v>0</v>
      </c>
      <c r="AH42" s="56" t="str">
        <f>'PC LIST'!J128</f>
        <v>NFI</v>
      </c>
      <c r="AI42" s="56">
        <f>'PC LIST'!CI128</f>
        <v>71</v>
      </c>
      <c r="AL42" s="1882"/>
      <c r="AM42" s="1882"/>
      <c r="AN42" s="1882"/>
      <c r="AO42" s="1882"/>
      <c r="AP42" s="1882"/>
      <c r="AS42" s="1882"/>
      <c r="AT42" s="1882"/>
      <c r="AU42" s="1882"/>
      <c r="AV42" s="1882"/>
      <c r="AW42" s="1882"/>
      <c r="AZ42" s="1882"/>
      <c r="BA42" s="1882"/>
      <c r="BB42" s="1882"/>
      <c r="BC42" s="1882"/>
      <c r="BD42" s="1882"/>
      <c r="BG42" s="54"/>
      <c r="BH42" s="54"/>
      <c r="BI42" s="54"/>
      <c r="BJ42" s="56"/>
      <c r="BK42" s="56"/>
      <c r="BN42" s="54"/>
      <c r="BO42" s="54"/>
      <c r="BP42" s="54"/>
      <c r="BQ42" s="54"/>
      <c r="BR42" s="54"/>
      <c r="BU42" s="1882"/>
      <c r="BV42" s="1882"/>
      <c r="BW42" s="1882"/>
      <c r="BX42" s="1882"/>
      <c r="BY42" s="1882"/>
      <c r="BZ42" s="56" t="str">
        <f>'PC LIST'!B303</f>
        <v>PR14SVTWSWW_S-D1</v>
      </c>
      <c r="CA42" s="57" t="str">
        <f>'PC LIST'!I303</f>
        <v>S-D1: Size of our carbon footprint</v>
      </c>
      <c r="CB42" s="57" t="str">
        <f>'PC LIST'!O303</f>
        <v>nr</v>
      </c>
      <c r="CC42" s="57" t="str">
        <f>'PC LIST'!P303</f>
        <v>ktCO2e</v>
      </c>
      <c r="CD42" s="56">
        <f>'PC LIST'!Q303</f>
        <v>3</v>
      </c>
      <c r="CE42" s="56" t="str">
        <f>'PC LIST'!J303</f>
        <v>Out &amp; under</v>
      </c>
      <c r="CF42" s="712" t="str">
        <f>'PC LIST'!CI303</f>
        <v/>
      </c>
      <c r="CG42" s="56" t="str">
        <f>'PC LIST'!B348</f>
        <v>PR14SWTHHR_R-A2</v>
      </c>
      <c r="CH42" s="59" t="str">
        <f>'PC LIST'!I348</f>
        <v>R-A2: Service incentive mechanism (SIM)</v>
      </c>
      <c r="CI42" s="59" t="str">
        <f>'PC LIST'!O348</f>
        <v>score</v>
      </c>
      <c r="CJ42" s="59" t="str">
        <f>'PC LIST'!P348</f>
        <v>Service incentive mechanism (SIM) score</v>
      </c>
      <c r="CK42" s="56">
        <f>'PC LIST'!Q348</f>
        <v>1</v>
      </c>
      <c r="CL42" s="56" t="str">
        <f>'PC LIST'!J348</f>
        <v>Out &amp; under</v>
      </c>
      <c r="CM42" s="711">
        <f>'PC LIST'!CI348</f>
        <v>87.62</v>
      </c>
      <c r="CN42" s="56" t="str">
        <f>'PC LIST'!B390</f>
        <v>PR14TMSWSWW_SC9</v>
      </c>
      <c r="CO42" s="57" t="str">
        <f>'PC LIST'!I390</f>
        <v>SC9: Reduce the amount of phosphorus entering rivers to help improve aquatic plant and wildlife</v>
      </c>
      <c r="CP42" s="57" t="str">
        <f>'PC LIST'!O390</f>
        <v>nr</v>
      </c>
      <c r="CQ42" s="57" t="str">
        <f>'PC LIST'!P390</f>
        <v>Kilograms of phosphorus removed per day</v>
      </c>
      <c r="CR42" s="56">
        <f>'PC LIST'!Q390</f>
        <v>1</v>
      </c>
      <c r="CS42" s="56" t="str">
        <f>'PC LIST'!J390</f>
        <v>Out &amp; under</v>
      </c>
      <c r="CT42" s="56">
        <f>'PC LIST'!CI390</f>
        <v>0</v>
      </c>
      <c r="CW42" s="1882"/>
      <c r="CX42" s="1882"/>
      <c r="CY42" s="1882"/>
      <c r="CZ42" s="1882"/>
      <c r="DA42" s="1882"/>
      <c r="DD42" s="54"/>
      <c r="DE42" s="54"/>
      <c r="DF42" s="54"/>
      <c r="DG42" s="54"/>
      <c r="DH42" s="54"/>
      <c r="DK42" s="54"/>
      <c r="DL42" s="54"/>
      <c r="DM42" s="54"/>
      <c r="DN42" s="54"/>
      <c r="DO42" s="56"/>
      <c r="DV42" s="56"/>
      <c r="DW42" s="56" t="str">
        <f>'PC LIST'!B569</f>
        <v>PR14HDDWSWW_S-C8</v>
      </c>
      <c r="DX42" s="57" t="str">
        <f>'PC LIST'!I569</f>
        <v>S-C8: The number of category 4 pollution incidents</v>
      </c>
      <c r="DY42" s="57" t="str">
        <f>'PC LIST'!O569</f>
        <v>nr</v>
      </c>
      <c r="DZ42" s="57" t="str">
        <f>'PC LIST'!P569</f>
        <v>No. of pollution incidents (cat 4)</v>
      </c>
      <c r="EA42" s="56">
        <f>'PC LIST'!Q569</f>
        <v>0</v>
      </c>
      <c r="EB42" s="56" t="str">
        <f>'PC LIST'!J569</f>
        <v>NFI</v>
      </c>
      <c r="EC42" s="56">
        <f>'PC LIST'!CI569</f>
        <v>5</v>
      </c>
      <c r="ED42" s="56" t="str">
        <f>'PC LIST'!B615</f>
        <v>PR14SVEWSWW_S-D1</v>
      </c>
      <c r="EE42" s="57" t="str">
        <f>'PC LIST'!I615</f>
        <v>S-D1: Size of our carbon footprint</v>
      </c>
      <c r="EF42" s="57" t="str">
        <f>'PC LIST'!O615</f>
        <v>nr</v>
      </c>
      <c r="EG42" s="57" t="str">
        <f>'PC LIST'!P615</f>
        <v>ktCO2e</v>
      </c>
      <c r="EH42" s="56">
        <f>'PC LIST'!Q615</f>
        <v>3</v>
      </c>
      <c r="EI42" s="56" t="str">
        <f>'PC LIST'!J615</f>
        <v>Out &amp; under</v>
      </c>
      <c r="EJ42" s="56">
        <f>'PC LIST'!CI615</f>
        <v>204</v>
      </c>
    </row>
    <row r="43" spans="8:140" ht="15.75" customHeight="1">
      <c r="J43" s="54"/>
      <c r="K43" s="54"/>
      <c r="L43" s="54"/>
      <c r="M43" s="56"/>
      <c r="N43" s="56"/>
      <c r="Q43" s="1882"/>
      <c r="R43" s="1882"/>
      <c r="S43" s="1882"/>
      <c r="T43" s="56"/>
      <c r="U43" s="56"/>
      <c r="X43" s="1882"/>
      <c r="Y43" s="1882"/>
      <c r="Z43" s="1882"/>
      <c r="AA43" s="1882"/>
      <c r="AB43" s="1882"/>
      <c r="AC43" s="56" t="str">
        <f>'PC LIST'!B129</f>
        <v>PR14NESHHR_R-D1</v>
      </c>
      <c r="AD43" s="58" t="str">
        <f>'PC LIST'!I129</f>
        <v>R-D1: NWL independent survey on keeping customers informed</v>
      </c>
      <c r="AE43" s="58" t="str">
        <f>'PC LIST'!O129</f>
        <v>%</v>
      </c>
      <c r="AF43" s="58" t="str">
        <f>'PC LIST'!P129</f>
        <v>% customer satisfaction</v>
      </c>
      <c r="AG43" s="56">
        <f>'PC LIST'!Q129</f>
        <v>0</v>
      </c>
      <c r="AH43" s="56" t="str">
        <f>'PC LIST'!J129</f>
        <v>NFI</v>
      </c>
      <c r="AI43" s="56">
        <f>'PC LIST'!CI129</f>
        <v>93</v>
      </c>
      <c r="AL43" s="1882"/>
      <c r="AM43" s="1882"/>
      <c r="AN43" s="1882"/>
      <c r="AO43" s="1882"/>
      <c r="AP43" s="1882"/>
      <c r="AS43" s="1882"/>
      <c r="AT43" s="1882"/>
      <c r="AU43" s="1882"/>
      <c r="AV43" s="1882"/>
      <c r="AW43" s="1882"/>
      <c r="AZ43" s="1882"/>
      <c r="BA43" s="1882"/>
      <c r="BB43" s="1882"/>
      <c r="BC43" s="1882"/>
      <c r="BD43" s="1882"/>
      <c r="BG43" s="54"/>
      <c r="BH43" s="54"/>
      <c r="BI43" s="54"/>
      <c r="BJ43" s="56"/>
      <c r="BK43" s="56"/>
      <c r="BN43" s="54"/>
      <c r="BO43" s="54"/>
      <c r="BP43" s="54"/>
      <c r="BQ43" s="54"/>
      <c r="BR43" s="54"/>
      <c r="BU43" s="1882"/>
      <c r="BV43" s="1882"/>
      <c r="BW43" s="1882"/>
      <c r="BX43" s="1882"/>
      <c r="BY43" s="1882"/>
      <c r="BZ43" s="56" t="str">
        <f>'PC LIST'!B304</f>
        <v>PR14SVTWSWW_S-E1</v>
      </c>
      <c r="CA43" s="57" t="str">
        <f>'PC LIST'!I304</f>
        <v>S-E1: Improved understanding of our services through education</v>
      </c>
      <c r="CB43" s="57" t="str">
        <f>'PC LIST'!O304</f>
        <v>nr</v>
      </c>
      <c r="CC43" s="57" t="str">
        <f>'PC LIST'!P304</f>
        <v>No. of people - education programme</v>
      </c>
      <c r="CD43" s="56">
        <f>'PC LIST'!Q304</f>
        <v>0</v>
      </c>
      <c r="CE43" s="56" t="str">
        <f>'PC LIST'!J304</f>
        <v>NFI</v>
      </c>
      <c r="CF43" s="712" t="str">
        <f>'PC LIST'!CI304</f>
        <v/>
      </c>
      <c r="CG43" s="56" t="str">
        <f>'PC LIST'!B349</f>
        <v>PR14SWTHHR_R-A3</v>
      </c>
      <c r="CH43" s="59" t="str">
        <f>'PC LIST'!I349</f>
        <v>R-A3: Customer satisfaction with value for money</v>
      </c>
      <c r="CI43" s="59" t="str">
        <f>'PC LIST'!O349</f>
        <v>%</v>
      </c>
      <c r="CJ43" s="59" t="str">
        <f>'PC LIST'!P349</f>
        <v>% customer satisfaction</v>
      </c>
      <c r="CK43" s="56">
        <f>'PC LIST'!Q349</f>
        <v>1</v>
      </c>
      <c r="CL43" s="56" t="str">
        <f>'PC LIST'!J349</f>
        <v>NFI</v>
      </c>
      <c r="CM43" s="711">
        <f>'PC LIST'!CI349</f>
        <v>66</v>
      </c>
      <c r="CN43" s="56" t="str">
        <f>'PC LIST'!B391</f>
        <v>PR14TMSWSWW_SD1</v>
      </c>
      <c r="CO43" s="57" t="str">
        <f>'PC LIST'!I391</f>
        <v>SD1: Energy imported less energy exported</v>
      </c>
      <c r="CP43" s="57" t="str">
        <f>'PC LIST'!O391</f>
        <v>nr</v>
      </c>
      <c r="CQ43" s="57" t="str">
        <f>'PC LIST'!P391</f>
        <v>GWh (gigawatt-hours)</v>
      </c>
      <c r="CR43" s="56">
        <f>'PC LIST'!Q391</f>
        <v>0</v>
      </c>
      <c r="CS43" s="56" t="str">
        <f>'PC LIST'!J391</f>
        <v>NFI</v>
      </c>
      <c r="CT43" s="56">
        <f>'PC LIST'!CI391</f>
        <v>396</v>
      </c>
      <c r="CW43" s="1882"/>
      <c r="CX43" s="1882"/>
      <c r="CY43" s="1882"/>
      <c r="CZ43" s="1882"/>
      <c r="DA43" s="1882"/>
      <c r="DD43" s="54"/>
      <c r="DE43" s="54"/>
      <c r="DF43" s="54"/>
      <c r="DG43" s="54"/>
      <c r="DH43" s="54"/>
      <c r="DK43" s="54"/>
      <c r="DL43" s="54"/>
      <c r="DM43" s="54"/>
      <c r="DN43" s="54"/>
      <c r="DO43" s="56"/>
      <c r="DV43" s="56"/>
      <c r="DW43" s="56" t="str">
        <f>'PC LIST'!B570</f>
        <v>PR14HDDWSWW_S-D1</v>
      </c>
      <c r="DX43" s="57" t="str">
        <f>'PC LIST'!I570</f>
        <v>S-D1: Size of our carbon footprint</v>
      </c>
      <c r="DY43" s="57" t="str">
        <f>'PC LIST'!O570</f>
        <v>nr</v>
      </c>
      <c r="DZ43" s="57" t="str">
        <f>'PC LIST'!P570</f>
        <v>ktCO2e</v>
      </c>
      <c r="EA43" s="56">
        <f>'PC LIST'!Q570</f>
        <v>3</v>
      </c>
      <c r="EB43" s="56" t="str">
        <f>'PC LIST'!J570</f>
        <v>Out &amp; under</v>
      </c>
      <c r="EC43" s="56">
        <f>'PC LIST'!CI570</f>
        <v>1</v>
      </c>
      <c r="ED43" s="56" t="str">
        <f>'PC LIST'!B616</f>
        <v>PR14SVEWSWW_S-E1</v>
      </c>
      <c r="EE43" s="57" t="str">
        <f>'PC LIST'!I616</f>
        <v>S-E1: Improved understanding of our services through education</v>
      </c>
      <c r="EF43" s="57" t="str">
        <f>'PC LIST'!O616</f>
        <v>nr</v>
      </c>
      <c r="EG43" s="57" t="str">
        <f>'PC LIST'!P616</f>
        <v>No. of people - education programme</v>
      </c>
      <c r="EH43" s="56">
        <f>'PC LIST'!Q616</f>
        <v>0</v>
      </c>
      <c r="EI43" s="56" t="str">
        <f>'PC LIST'!J616</f>
        <v>NFI</v>
      </c>
      <c r="EJ43" s="56">
        <f>'PC LIST'!CI616</f>
        <v>185371</v>
      </c>
    </row>
    <row r="44" spans="8:140" ht="15.75" customHeight="1">
      <c r="J44" s="54"/>
      <c r="K44" s="54"/>
      <c r="L44" s="54"/>
      <c r="M44" s="56"/>
      <c r="N44" s="56"/>
      <c r="Q44" s="1882"/>
      <c r="R44" s="1882"/>
      <c r="S44" s="1882"/>
      <c r="T44" s="56"/>
      <c r="U44" s="56"/>
      <c r="X44" s="1882"/>
      <c r="Y44" s="1882"/>
      <c r="Z44" s="1882"/>
      <c r="AA44" s="1882"/>
      <c r="AB44" s="1882"/>
      <c r="AC44" s="56" t="str">
        <f>'PC LIST'!B130</f>
        <v>PR14NESHHR_R-E1</v>
      </c>
      <c r="AD44" s="58" t="str">
        <f>'PC LIST'!I130</f>
        <v>R-E1: Greenhouse gas emissions</v>
      </c>
      <c r="AE44" s="58" t="str">
        <f>'PC LIST'!O130</f>
        <v>nr</v>
      </c>
      <c r="AF44" s="58" t="str">
        <f>'PC LIST'!P130</f>
        <v>ktCO2e</v>
      </c>
      <c r="AG44" s="56">
        <f>'PC LIST'!Q130</f>
        <v>0</v>
      </c>
      <c r="AH44" s="56" t="str">
        <f>'PC LIST'!J130</f>
        <v>NFI</v>
      </c>
      <c r="AI44" s="56">
        <f>'PC LIST'!CI130</f>
        <v>148</v>
      </c>
      <c r="AL44" s="1882"/>
      <c r="AM44" s="1882"/>
      <c r="AN44" s="1882"/>
      <c r="AO44" s="1882"/>
      <c r="AP44" s="1882"/>
      <c r="AS44" s="1882"/>
      <c r="AT44" s="1882"/>
      <c r="AU44" s="1882"/>
      <c r="AV44" s="1882"/>
      <c r="AW44" s="1882"/>
      <c r="AZ44" s="1882"/>
      <c r="BA44" s="1882"/>
      <c r="BB44" s="1882"/>
      <c r="BC44" s="1882"/>
      <c r="BD44" s="1882"/>
      <c r="BG44" s="54"/>
      <c r="BH44" s="54"/>
      <c r="BI44" s="54"/>
      <c r="BJ44" s="56"/>
      <c r="BK44" s="56"/>
      <c r="BN44" s="54"/>
      <c r="BO44" s="54"/>
      <c r="BP44" s="54"/>
      <c r="BQ44" s="54"/>
      <c r="BR44" s="54"/>
      <c r="BU44" s="1882"/>
      <c r="BV44" s="1882"/>
      <c r="BW44" s="1882"/>
      <c r="BX44" s="1882"/>
      <c r="BY44" s="1882"/>
      <c r="BZ44" s="56" t="str">
        <f>'PC LIST'!B305</f>
        <v>PR14SVTHHR_R-A1</v>
      </c>
      <c r="CA44" s="57" t="str">
        <f>'PC LIST'!I305</f>
        <v>R-A1: Customer satisfaction with their service (based on a survey)</v>
      </c>
      <c r="CB44" s="57" t="str">
        <f>'PC LIST'!O305</f>
        <v>text</v>
      </c>
      <c r="CC44" s="57" t="str">
        <f>'PC LIST'!P305</f>
        <v>Customer satisfaction ranking</v>
      </c>
      <c r="CD44" s="56" t="str">
        <f>'PC LIST'!Q305</f>
        <v>na</v>
      </c>
      <c r="CE44" s="56" t="str">
        <f>'PC LIST'!J305</f>
        <v>NFI</v>
      </c>
      <c r="CF44" s="712" t="str">
        <f>'PC LIST'!CI305</f>
        <v/>
      </c>
      <c r="CG44" s="56" t="str">
        <f>'PC LIST'!B350</f>
        <v>PR14SWTHHR_R-B1</v>
      </c>
      <c r="CH44" s="59" t="str">
        <f>'PC LIST'!I350</f>
        <v>R-B1: Customers assisted by water poverty initiatives</v>
      </c>
      <c r="CI44" s="59" t="str">
        <f>'PC LIST'!O350</f>
        <v>nr</v>
      </c>
      <c r="CJ44" s="59" t="str">
        <f>'PC LIST'!P350</f>
        <v>No. of customers assisted by water poverty initiatives</v>
      </c>
      <c r="CK44" s="56">
        <f>'PC LIST'!Q350</f>
        <v>0</v>
      </c>
      <c r="CL44" s="56" t="str">
        <f>'PC LIST'!J350</f>
        <v>NFI</v>
      </c>
      <c r="CM44" s="711">
        <f>'PC LIST'!CI350</f>
        <v>30875</v>
      </c>
      <c r="CN44" s="56" t="str">
        <f>'PC LIST'!B392</f>
        <v>PR14TMSTTT_T1A</v>
      </c>
      <c r="CO44" s="57" t="str">
        <f>'PC LIST'!I392</f>
        <v>T1A: Successful procurement of the Infrastructure Provider (IP)</v>
      </c>
      <c r="CP44" s="57" t="str">
        <f>'PC LIST'!O392</f>
        <v>text</v>
      </c>
      <c r="CQ44" s="57" t="str">
        <f>'PC LIST'!P392</f>
        <v>Infrastructure Provider (IP) procurement</v>
      </c>
      <c r="CR44" s="56" t="str">
        <f>'PC LIST'!Q392</f>
        <v>na</v>
      </c>
      <c r="CS44" s="56" t="str">
        <f>'PC LIST'!J392</f>
        <v>NFI</v>
      </c>
      <c r="CT44" s="56" t="str">
        <f>'PC LIST'!CI392</f>
        <v>Scheme delivered 2015/16</v>
      </c>
      <c r="CW44" s="1882"/>
      <c r="CX44" s="1882"/>
      <c r="CY44" s="1882"/>
      <c r="CZ44" s="1882"/>
      <c r="DA44" s="1882"/>
      <c r="DD44" s="54"/>
      <c r="DE44" s="54"/>
      <c r="DF44" s="54"/>
      <c r="DG44" s="54"/>
      <c r="DH44" s="54"/>
      <c r="DK44" s="54"/>
      <c r="DL44" s="54"/>
      <c r="DM44" s="54"/>
      <c r="DN44" s="54"/>
      <c r="DO44" s="56"/>
      <c r="DV44" s="56"/>
      <c r="DW44" s="56" t="str">
        <f>'PC LIST'!B571</f>
        <v>PR14HDDWSWW_S-E1</v>
      </c>
      <c r="DX44" s="57" t="str">
        <f>'PC LIST'!I571</f>
        <v>S-E1: Improved understanding of our services through education</v>
      </c>
      <c r="DY44" s="57" t="str">
        <f>'PC LIST'!O571</f>
        <v>nr</v>
      </c>
      <c r="DZ44" s="57" t="str">
        <f>'PC LIST'!P571</f>
        <v>No. of people - education programme</v>
      </c>
      <c r="EA44" s="56">
        <f>'PC LIST'!Q571</f>
        <v>0</v>
      </c>
      <c r="EB44" s="56" t="str">
        <f>'PC LIST'!J571</f>
        <v>NFI</v>
      </c>
      <c r="EC44" s="56">
        <f>'PC LIST'!CI571</f>
        <v>534</v>
      </c>
      <c r="ED44" s="56" t="str">
        <f>'PC LIST'!B617</f>
        <v>PR14SVEHHR_R-A1</v>
      </c>
      <c r="EE44" s="57" t="str">
        <f>'PC LIST'!I617</f>
        <v>R-A1: Customer satisfaction with their service (based on a survey)</v>
      </c>
      <c r="EF44" s="57" t="str">
        <f>'PC LIST'!O617</f>
        <v>text</v>
      </c>
      <c r="EG44" s="57" t="str">
        <f>'PC LIST'!P617</f>
        <v>Customer satisfaction ranking</v>
      </c>
      <c r="EH44" s="56" t="str">
        <f>'PC LIST'!Q617</f>
        <v>na</v>
      </c>
      <c r="EI44" s="56" t="str">
        <f>'PC LIST'!J617</f>
        <v>NFI</v>
      </c>
      <c r="EJ44" s="56" t="str">
        <f>'PC LIST'!CI617</f>
        <v>Upper Quartile</v>
      </c>
    </row>
    <row r="45" spans="8:140" ht="15.75" customHeight="1">
      <c r="J45" s="54"/>
      <c r="K45" s="54"/>
      <c r="L45" s="54"/>
      <c r="M45" s="56"/>
      <c r="N45" s="56"/>
      <c r="Q45" s="1882"/>
      <c r="R45" s="1882"/>
      <c r="S45" s="1882"/>
      <c r="T45" s="56"/>
      <c r="U45" s="56"/>
      <c r="X45" s="1882"/>
      <c r="Y45" s="1882"/>
      <c r="Z45" s="1882"/>
      <c r="AA45" s="1882"/>
      <c r="AB45" s="1882"/>
      <c r="AC45" s="56" t="str">
        <f>'PC LIST'!B131</f>
        <v>PR14NESHHR_R-E2</v>
      </c>
      <c r="AD45" s="58" t="str">
        <f>'PC LIST'!I131</f>
        <v>R-E2: Annual environmental performance report</v>
      </c>
      <c r="AE45" s="58" t="str">
        <f>'PC LIST'!O131</f>
        <v>text</v>
      </c>
      <c r="AF45" s="58" t="str">
        <f>'PC LIST'!P131</f>
        <v>CRAG report publication</v>
      </c>
      <c r="AG45" s="56" t="str">
        <f>'PC LIST'!Q131</f>
        <v>na</v>
      </c>
      <c r="AH45" s="56" t="str">
        <f>'PC LIST'!J131</f>
        <v>NFI</v>
      </c>
      <c r="AI45" s="56" t="str">
        <f>'PC LIST'!CI131</f>
        <v>Our Contribution report published</v>
      </c>
      <c r="AL45" s="1882"/>
      <c r="AM45" s="1882"/>
      <c r="AN45" s="1882"/>
      <c r="AO45" s="1882"/>
      <c r="AP45" s="1882"/>
      <c r="AS45" s="1882"/>
      <c r="AT45" s="1882"/>
      <c r="AU45" s="1882"/>
      <c r="AV45" s="1882"/>
      <c r="AW45" s="1882"/>
      <c r="AZ45" s="1882"/>
      <c r="BA45" s="1882"/>
      <c r="BB45" s="1882"/>
      <c r="BC45" s="1882"/>
      <c r="BD45" s="1882"/>
      <c r="BG45" s="54"/>
      <c r="BH45" s="54"/>
      <c r="BI45" s="54"/>
      <c r="BJ45" s="56"/>
      <c r="BK45" s="56"/>
      <c r="BN45" s="54"/>
      <c r="BO45" s="54"/>
      <c r="BP45" s="54"/>
      <c r="BQ45" s="54"/>
      <c r="BR45" s="54"/>
      <c r="BU45" s="1882"/>
      <c r="BV45" s="1882"/>
      <c r="BW45" s="1882"/>
      <c r="BX45" s="1882"/>
      <c r="BY45" s="1882"/>
      <c r="BZ45" s="56" t="str">
        <f>'PC LIST'!B306</f>
        <v>PR14SVTHHR_R-A2</v>
      </c>
      <c r="CA45" s="57" t="str">
        <f>'PC LIST'!I306</f>
        <v>R-A2: Customers' experience of dealing with us (based on Ofwat's SIM)</v>
      </c>
      <c r="CB45" s="57" t="str">
        <f>'PC LIST'!O306</f>
        <v>text</v>
      </c>
      <c r="CC45" s="57" t="str">
        <f>'PC LIST'!P306</f>
        <v>Service incentive mechanism (SIM) score ranking</v>
      </c>
      <c r="CD45" s="56" t="str">
        <f>'PC LIST'!Q306</f>
        <v>na</v>
      </c>
      <c r="CE45" s="56" t="str">
        <f>'PC LIST'!J306</f>
        <v>Out &amp; under</v>
      </c>
      <c r="CF45" s="712" t="str">
        <f>'PC LIST'!CI306</f>
        <v/>
      </c>
      <c r="CG45" s="56"/>
      <c r="CH45" s="59"/>
      <c r="CI45" s="59"/>
      <c r="CJ45" s="59"/>
      <c r="CK45" s="1882"/>
      <c r="CL45" s="1882"/>
      <c r="CM45" s="1882"/>
      <c r="CN45" s="56" t="str">
        <f>'PC LIST'!B393</f>
        <v>PR14TMSTTT_T1B</v>
      </c>
      <c r="CO45" s="57" t="str">
        <f>'PC LIST'!I393</f>
        <v>T1B: Thames Water will fulfil its land related commitments in line with the TTT programme requirements</v>
      </c>
      <c r="CP45" s="57" t="str">
        <f>'PC LIST'!O393</f>
        <v>text</v>
      </c>
      <c r="CQ45" s="57" t="str">
        <f>'PC LIST'!P393</f>
        <v>Land related commitments</v>
      </c>
      <c r="CR45" s="56" t="str">
        <f>'PC LIST'!Q393</f>
        <v>na</v>
      </c>
      <c r="CS45" s="56" t="str">
        <f>'PC LIST'!J393</f>
        <v>NFI</v>
      </c>
      <c r="CT45" s="56">
        <f>'PC LIST'!CI393</f>
        <v>3</v>
      </c>
      <c r="CW45" s="1882"/>
      <c r="CX45" s="1882"/>
      <c r="CY45" s="1882"/>
      <c r="CZ45" s="1882"/>
      <c r="DA45" s="1882"/>
      <c r="DD45" s="54"/>
      <c r="DE45" s="54"/>
      <c r="DF45" s="54"/>
      <c r="DG45" s="54"/>
      <c r="DH45" s="54"/>
      <c r="DK45" s="54"/>
      <c r="DL45" s="54"/>
      <c r="DM45" s="54"/>
      <c r="DN45" s="54"/>
      <c r="DO45" s="56"/>
      <c r="DV45" s="56"/>
      <c r="DW45" s="56" t="str">
        <f>'PC LIST'!B572</f>
        <v>PR14HDDHHR_R-A1</v>
      </c>
      <c r="DX45" s="57" t="str">
        <f>'PC LIST'!I572</f>
        <v>R-A1: Customer satisfaction with their service (based on a survey)</v>
      </c>
      <c r="DY45" s="57" t="str">
        <f>'PC LIST'!O572</f>
        <v>text</v>
      </c>
      <c r="DZ45" s="57" t="str">
        <f>'PC LIST'!P572</f>
        <v>Customer satisfaction ranking</v>
      </c>
      <c r="EA45" s="56" t="str">
        <f>'PC LIST'!Q572</f>
        <v>na</v>
      </c>
      <c r="EB45" s="56" t="str">
        <f>'PC LIST'!J572</f>
        <v>NFI</v>
      </c>
      <c r="EC45" s="56" t="str">
        <f>'PC LIST'!CI572</f>
        <v>Upper Quartile</v>
      </c>
      <c r="ED45" s="56" t="str">
        <f>'PC LIST'!B618</f>
        <v>PR14SVEHHR_R-A2</v>
      </c>
      <c r="EE45" s="57" t="str">
        <f>'PC LIST'!I618</f>
        <v>R-A2: Customers' experience of dealing with us (based on Ofwat's SIM)</v>
      </c>
      <c r="EF45" s="57" t="str">
        <f>'PC LIST'!O618</f>
        <v>text</v>
      </c>
      <c r="EG45" s="57" t="str">
        <f>'PC LIST'!P618</f>
        <v>Service incentive mechanism (SIM) score ranking</v>
      </c>
      <c r="EH45" s="56" t="str">
        <f>'PC LIST'!Q618</f>
        <v>na</v>
      </c>
      <c r="EI45" s="56" t="str">
        <f>'PC LIST'!J618</f>
        <v>Out &amp; under</v>
      </c>
      <c r="EJ45" s="56">
        <f>'PC LIST'!CI618</f>
        <v>81.45</v>
      </c>
    </row>
    <row r="46" spans="8:140" ht="15.75" customHeight="1">
      <c r="J46" s="54"/>
      <c r="K46" s="54"/>
      <c r="L46" s="54"/>
      <c r="M46" s="56"/>
      <c r="N46" s="56"/>
      <c r="Q46" s="1882"/>
      <c r="R46" s="1882"/>
      <c r="S46" s="1882"/>
      <c r="T46" s="56"/>
      <c r="U46" s="56"/>
      <c r="X46" s="1882"/>
      <c r="Y46" s="1882"/>
      <c r="Z46" s="1882"/>
      <c r="AA46" s="1882"/>
      <c r="AB46" s="1882"/>
      <c r="AC46" s="56" t="str">
        <f>'PC LIST'!B132</f>
        <v>PR14NESHHR_R-F1</v>
      </c>
      <c r="AD46" s="58" t="str">
        <f>'PC LIST'!I132</f>
        <v>R-F1: Delivering a consolidated Customer Information and Billing (CIB) system</v>
      </c>
      <c r="AE46" s="58" t="str">
        <f>'PC LIST'!O132</f>
        <v>£m</v>
      </c>
      <c r="AF46" s="58" t="str">
        <f>'PC LIST'!P132</f>
        <v>£ million cumulative depreciation</v>
      </c>
      <c r="AG46" s="56">
        <f>'PC LIST'!Q132</f>
        <v>3</v>
      </c>
      <c r="AH46" s="56" t="str">
        <f>'PC LIST'!J132</f>
        <v>Under</v>
      </c>
      <c r="AI46" s="56" t="str">
        <f>'PC LIST'!CI132</f>
        <v>-</v>
      </c>
      <c r="AL46" s="1882"/>
      <c r="AM46" s="1882"/>
      <c r="AN46" s="1882"/>
      <c r="AO46" s="1882"/>
      <c r="AP46" s="1882"/>
      <c r="AS46" s="1882"/>
      <c r="AT46" s="1882"/>
      <c r="AU46" s="1882"/>
      <c r="AV46" s="1882"/>
      <c r="AW46" s="1882"/>
      <c r="AZ46" s="1882"/>
      <c r="BA46" s="1882"/>
      <c r="BB46" s="1882"/>
      <c r="BC46" s="1882"/>
      <c r="BD46" s="1882"/>
      <c r="BG46" s="54"/>
      <c r="BH46" s="54"/>
      <c r="BI46" s="54"/>
      <c r="BJ46" s="56"/>
      <c r="BK46" s="56"/>
      <c r="BN46" s="54"/>
      <c r="BO46" s="54"/>
      <c r="BP46" s="54"/>
      <c r="BQ46" s="54"/>
      <c r="BR46" s="54"/>
      <c r="BU46" s="1882"/>
      <c r="BV46" s="1882"/>
      <c r="BW46" s="1882"/>
      <c r="BX46" s="1882"/>
      <c r="BY46" s="1882"/>
      <c r="BZ46" s="56" t="str">
        <f>'PC LIST'!B307</f>
        <v>PR14SVTHHR_R-B1</v>
      </c>
      <c r="CA46" s="57" t="str">
        <f>'PC LIST'!I307</f>
        <v>R-B1: Customers helped by a review of their tariff &amp; water usage &amp;/or supported by SVT social fund</v>
      </c>
      <c r="CB46" s="57" t="str">
        <f>'PC LIST'!O307</f>
        <v>nr</v>
      </c>
      <c r="CC46" s="57" t="str">
        <f>'PC LIST'!P307</f>
        <v>No. of customers engaged with on debt</v>
      </c>
      <c r="CD46" s="56">
        <f>'PC LIST'!Q307</f>
        <v>0</v>
      </c>
      <c r="CE46" s="56" t="str">
        <f>'PC LIST'!J307</f>
        <v>NFI</v>
      </c>
      <c r="CF46" s="712" t="str">
        <f>'PC LIST'!CI307</f>
        <v/>
      </c>
      <c r="CI46" s="54"/>
      <c r="CJ46" s="54"/>
      <c r="CK46" s="54"/>
      <c r="CL46" s="54"/>
      <c r="CM46" s="54"/>
      <c r="CN46" s="56" t="str">
        <f>'PC LIST'!B394</f>
        <v>PR14TMSTTT_T1C</v>
      </c>
      <c r="CO46" s="57" t="str">
        <f>'PC LIST'!I394</f>
        <v>T1C: Completion of category 2 and 3 construction works and timely availability of sites to the IP</v>
      </c>
      <c r="CP46" s="57" t="str">
        <f>'PC LIST'!O394</f>
        <v>nr</v>
      </c>
      <c r="CQ46" s="57" t="str">
        <f>'PC LIST'!P394</f>
        <v>No. of sites (cumulative)</v>
      </c>
      <c r="CR46" s="56">
        <f>'PC LIST'!Q394</f>
        <v>0</v>
      </c>
      <c r="CS46" s="56" t="str">
        <f>'PC LIST'!J394</f>
        <v>Under</v>
      </c>
      <c r="CT46" s="56">
        <f>'PC LIST'!CI394</f>
        <v>21</v>
      </c>
      <c r="CW46" s="1882"/>
      <c r="CX46" s="1882"/>
      <c r="CY46" s="1882"/>
      <c r="CZ46" s="1882"/>
      <c r="DA46" s="1882"/>
      <c r="DD46" s="54"/>
      <c r="DE46" s="54"/>
      <c r="DF46" s="54"/>
      <c r="DG46" s="54"/>
      <c r="DH46" s="54"/>
      <c r="DK46" s="54"/>
      <c r="DL46" s="54"/>
      <c r="DM46" s="54"/>
      <c r="DN46" s="54"/>
      <c r="DO46" s="56"/>
      <c r="DV46" s="56"/>
      <c r="DW46" s="56" t="str">
        <f>'PC LIST'!B573</f>
        <v>PR14HDDHHR_R-A2</v>
      </c>
      <c r="DX46" s="57" t="str">
        <f>'PC LIST'!I573</f>
        <v>R-A2: Customers' experience of dealing with us (based on Ofwat's SIM)</v>
      </c>
      <c r="DY46" s="57" t="str">
        <f>'PC LIST'!O573</f>
        <v>text</v>
      </c>
      <c r="DZ46" s="57" t="str">
        <f>'PC LIST'!P573</f>
        <v>Service incentive mechanism (SIM) score ranking</v>
      </c>
      <c r="EA46" s="56" t="str">
        <f>'PC LIST'!Q573</f>
        <v>na</v>
      </c>
      <c r="EB46" s="56" t="str">
        <f>'PC LIST'!J573</f>
        <v>Out &amp; under</v>
      </c>
      <c r="EC46" s="56">
        <f>'PC LIST'!CI573</f>
        <v>81.45</v>
      </c>
      <c r="ED46" s="56" t="str">
        <f>'PC LIST'!B619</f>
        <v>PR14SVEHHR_R-B1</v>
      </c>
      <c r="EE46" s="57" t="str">
        <f>'PC LIST'!I619</f>
        <v>R-B1: Customers helped by a review of their tariff &amp; water usage &amp;/or supported by SVT social fund</v>
      </c>
      <c r="EF46" s="57" t="str">
        <f>'PC LIST'!O619</f>
        <v>nr</v>
      </c>
      <c r="EG46" s="57" t="str">
        <f>'PC LIST'!P619</f>
        <v>No. of customers engaged with on debt</v>
      </c>
      <c r="EH46" s="56">
        <f>'PC LIST'!Q619</f>
        <v>0</v>
      </c>
      <c r="EI46" s="56" t="str">
        <f>'PC LIST'!J619</f>
        <v>NFI</v>
      </c>
      <c r="EJ46" s="56">
        <f>'PC LIST'!CI619</f>
        <v>52547</v>
      </c>
    </row>
    <row r="47" spans="8:140" ht="15.75" customHeight="1">
      <c r="J47" s="54"/>
      <c r="K47" s="54"/>
      <c r="L47" s="54"/>
      <c r="M47" s="56"/>
      <c r="N47" s="56"/>
      <c r="Q47" s="1882"/>
      <c r="R47" s="1882"/>
      <c r="S47" s="1882"/>
      <c r="T47" s="56"/>
      <c r="U47" s="56"/>
      <c r="X47" s="1882"/>
      <c r="Y47" s="1882"/>
      <c r="Z47" s="1882"/>
      <c r="AA47" s="1882"/>
      <c r="AB47" s="1882"/>
      <c r="AC47" s="56"/>
      <c r="AD47" s="58"/>
      <c r="AE47" s="58"/>
      <c r="AF47" s="58"/>
      <c r="AG47" s="1882"/>
      <c r="AH47" s="1882"/>
      <c r="AI47" s="1882"/>
      <c r="AL47" s="1882"/>
      <c r="AM47" s="1882"/>
      <c r="AN47" s="1882"/>
      <c r="AO47" s="1882"/>
      <c r="AP47" s="1882"/>
      <c r="AS47" s="1882"/>
      <c r="AT47" s="1882"/>
      <c r="AU47" s="1882"/>
      <c r="AV47" s="1882"/>
      <c r="AW47" s="1882"/>
      <c r="AZ47" s="1882"/>
      <c r="BA47" s="1882"/>
      <c r="BB47" s="1882"/>
      <c r="BC47" s="1882"/>
      <c r="BD47" s="1882"/>
      <c r="BG47" s="54"/>
      <c r="BH47" s="54"/>
      <c r="BI47" s="54"/>
      <c r="BJ47" s="56"/>
      <c r="BK47" s="56"/>
      <c r="BN47" s="1882"/>
      <c r="BO47" s="1882"/>
      <c r="BP47" s="1882"/>
      <c r="BQ47" s="1882"/>
      <c r="BR47" s="1882"/>
      <c r="BU47" s="1882"/>
      <c r="BV47" s="1882"/>
      <c r="BW47" s="1882"/>
      <c r="BX47" s="1882"/>
      <c r="BY47" s="1882"/>
      <c r="BZ47" s="56" t="str">
        <f>'PC LIST'!B308</f>
        <v>PR14SVTHHR_R-B2</v>
      </c>
      <c r="CA47" s="57" t="str">
        <f>'PC LIST'!I308</f>
        <v>R-B2: Percentage of customers who do not pay (household bad debt divided by total household revenue)</v>
      </c>
      <c r="CB47" s="57" t="str">
        <f>'PC LIST'!O308</f>
        <v>%</v>
      </c>
      <c r="CC47" s="57" t="str">
        <f>'PC LIST'!P308</f>
        <v>% of customers who do not pay</v>
      </c>
      <c r="CD47" s="56">
        <f>'PC LIST'!Q308</f>
        <v>2</v>
      </c>
      <c r="CE47" s="56" t="str">
        <f>'PC LIST'!J308</f>
        <v>NFI</v>
      </c>
      <c r="CF47" s="712" t="str">
        <f>'PC LIST'!CI308</f>
        <v/>
      </c>
      <c r="CI47" s="54"/>
      <c r="CJ47" s="54"/>
      <c r="CK47" s="54"/>
      <c r="CL47" s="54"/>
      <c r="CM47" s="54"/>
      <c r="CN47" s="56" t="str">
        <f>'PC LIST'!B395</f>
        <v>PR14TMSTTT_T2</v>
      </c>
      <c r="CO47" s="57" t="str">
        <f>'PC LIST'!I395</f>
        <v>T2: Thames Water will engage effectively with the IP, and other stakeholders, both in terms of integration and assurance</v>
      </c>
      <c r="CP47" s="57" t="str">
        <f>'PC LIST'!O395</f>
        <v>text</v>
      </c>
      <c r="CQ47" s="57" t="str">
        <f>'PC LIST'!P395</f>
        <v>Effective engagement with IP and stakeholders</v>
      </c>
      <c r="CR47" s="56" t="str">
        <f>'PC LIST'!Q395</f>
        <v>na</v>
      </c>
      <c r="CS47" s="56" t="str">
        <f>'PC LIST'!J395</f>
        <v>NFI</v>
      </c>
      <c r="CT47" s="56" t="str">
        <f>'PC LIST'!CI395</f>
        <v>Yes</v>
      </c>
      <c r="CW47" s="1882"/>
      <c r="CX47" s="1882"/>
      <c r="CY47" s="1882"/>
      <c r="CZ47" s="1882"/>
      <c r="DA47" s="1882"/>
      <c r="DD47" s="1882"/>
      <c r="DE47" s="1882"/>
      <c r="DF47" s="1882"/>
      <c r="DG47" s="1882"/>
      <c r="DH47" s="1882"/>
      <c r="DK47" s="54"/>
      <c r="DL47" s="54"/>
      <c r="DM47" s="54"/>
      <c r="DN47" s="54"/>
      <c r="DO47" s="56"/>
      <c r="DV47" s="56"/>
      <c r="DW47" s="56" t="str">
        <f>'PC LIST'!B574</f>
        <v>PR14HDDHHR_R-B1</v>
      </c>
      <c r="DX47" s="57" t="str">
        <f>'PC LIST'!I574</f>
        <v>R-B1: Customers helped by a review of their tariff &amp; water usage &amp;/or supported by SVT social fund</v>
      </c>
      <c r="DY47" s="57" t="str">
        <f>'PC LIST'!O574</f>
        <v>nr</v>
      </c>
      <c r="DZ47" s="57" t="str">
        <f>'PC LIST'!P574</f>
        <v>No. of customers engaged with on debt</v>
      </c>
      <c r="EA47" s="56">
        <f>'PC LIST'!Q574</f>
        <v>0</v>
      </c>
      <c r="EB47" s="56" t="str">
        <f>'PC LIST'!J574</f>
        <v>NFI</v>
      </c>
      <c r="EC47" s="56">
        <f>'PC LIST'!CI574</f>
        <v>291</v>
      </c>
      <c r="ED47" s="56" t="str">
        <f>'PC LIST'!B620</f>
        <v>PR14SVEHHR_R-B2</v>
      </c>
      <c r="EE47" s="57" t="str">
        <f>'PC LIST'!I620</f>
        <v>R-B2: Percentage of customers who do not pay (household bad debt divided by total household revenue)</v>
      </c>
      <c r="EF47" s="57" t="str">
        <f>'PC LIST'!O620</f>
        <v>%</v>
      </c>
      <c r="EG47" s="57" t="str">
        <f>'PC LIST'!P620</f>
        <v>% of customers who do not pay</v>
      </c>
      <c r="EH47" s="56">
        <f>'PC LIST'!Q620</f>
        <v>2</v>
      </c>
      <c r="EI47" s="56" t="str">
        <f>'PC LIST'!J620</f>
        <v>NFI</v>
      </c>
      <c r="EJ47" s="56">
        <f>'PC LIST'!CI620</f>
        <v>2</v>
      </c>
    </row>
    <row r="48" spans="8:140" ht="15.75" customHeight="1">
      <c r="J48" s="54"/>
      <c r="K48" s="54"/>
      <c r="L48" s="54"/>
      <c r="M48" s="56"/>
      <c r="N48" s="56"/>
      <c r="Q48" s="1882"/>
      <c r="R48" s="1882"/>
      <c r="S48" s="1882"/>
      <c r="T48" s="56"/>
      <c r="U48" s="56"/>
      <c r="X48" s="1882"/>
      <c r="Y48" s="1882"/>
      <c r="Z48" s="1882"/>
      <c r="AA48" s="1882"/>
      <c r="AB48" s="1882"/>
      <c r="AE48" s="1882"/>
      <c r="AF48" s="1882"/>
      <c r="AG48" s="1882"/>
      <c r="AH48" s="1882"/>
      <c r="AI48" s="1882"/>
      <c r="AL48" s="1882"/>
      <c r="AM48" s="1882"/>
      <c r="AN48" s="1882"/>
      <c r="AO48" s="1882"/>
      <c r="AP48" s="1882"/>
      <c r="AS48" s="1882"/>
      <c r="AT48" s="1882"/>
      <c r="AU48" s="1882"/>
      <c r="AV48" s="1882"/>
      <c r="AW48" s="1882"/>
      <c r="AZ48" s="1882"/>
      <c r="BA48" s="1882"/>
      <c r="BB48" s="1882"/>
      <c r="BC48" s="1882"/>
      <c r="BD48" s="1882"/>
      <c r="BG48" s="54"/>
      <c r="BH48" s="54"/>
      <c r="BI48" s="54"/>
      <c r="BJ48" s="56"/>
      <c r="BK48" s="56"/>
      <c r="BN48" s="1882"/>
      <c r="BO48" s="1882"/>
      <c r="BP48" s="1882"/>
      <c r="BQ48" s="1882"/>
      <c r="BR48" s="1882"/>
      <c r="BU48" s="1882"/>
      <c r="BV48" s="1882"/>
      <c r="BW48" s="1882"/>
      <c r="BX48" s="1882"/>
      <c r="BY48" s="1882"/>
      <c r="BZ48" s="56"/>
      <c r="CA48" s="57"/>
      <c r="CB48" s="57"/>
      <c r="CC48" s="57"/>
      <c r="CD48" s="1882"/>
      <c r="CE48" s="1882"/>
      <c r="CF48" s="1882"/>
      <c r="CI48" s="54"/>
      <c r="CJ48" s="54"/>
      <c r="CK48" s="54"/>
      <c r="CL48" s="54"/>
      <c r="CM48" s="54"/>
      <c r="CN48" s="56" t="str">
        <f>'PC LIST'!B396</f>
        <v>PR14TMSTTT_T3</v>
      </c>
      <c r="CO48" s="57" t="str">
        <f>'PC LIST'!I396</f>
        <v>T3: Thames Water will engage with its customers to build understanding of the TTT project. Thames Water will liaise with the IP on its surveys of local communities impacted by construction</v>
      </c>
      <c r="CP48" s="57" t="str">
        <f>'PC LIST'!O396</f>
        <v>text</v>
      </c>
      <c r="CQ48" s="57" t="str">
        <f>'PC LIST'!P396</f>
        <v>Engagement to build TTT understanding</v>
      </c>
      <c r="CR48" s="56" t="str">
        <f>'PC LIST'!Q396</f>
        <v>na</v>
      </c>
      <c r="CS48" s="56" t="str">
        <f>'PC LIST'!J396</f>
        <v>NFI</v>
      </c>
      <c r="CT48" s="56" t="str">
        <f>'PC LIST'!CI396</f>
        <v>Yes</v>
      </c>
      <c r="CW48" s="1882"/>
      <c r="CX48" s="1882"/>
      <c r="CY48" s="1882"/>
      <c r="CZ48" s="1882"/>
      <c r="DA48" s="1882"/>
      <c r="DD48" s="1882"/>
      <c r="DE48" s="1882"/>
      <c r="DF48" s="1882"/>
      <c r="DG48" s="1882"/>
      <c r="DH48" s="1882"/>
      <c r="DK48" s="54"/>
      <c r="DL48" s="54"/>
      <c r="DM48" s="54"/>
      <c r="DN48" s="54"/>
      <c r="DO48" s="56"/>
      <c r="DV48" s="56"/>
      <c r="DW48" s="56" t="str">
        <f>'PC LIST'!B575</f>
        <v>PR14HDDHHR_R-B2</v>
      </c>
      <c r="DX48" s="57" t="str">
        <f>'PC LIST'!I575</f>
        <v>R-B2: Percentage of customers who do not pay (household bad debt divided by total household revenue)</v>
      </c>
      <c r="DY48" s="57" t="str">
        <f>'PC LIST'!O575</f>
        <v>%</v>
      </c>
      <c r="DZ48" s="57" t="str">
        <f>'PC LIST'!P575</f>
        <v>% of customers who do not pay</v>
      </c>
      <c r="EA48" s="56">
        <f>'PC LIST'!Q575</f>
        <v>2</v>
      </c>
      <c r="EB48" s="56" t="str">
        <f>'PC LIST'!J575</f>
        <v>NFI</v>
      </c>
      <c r="EC48" s="56">
        <f>'PC LIST'!CI575</f>
        <v>3.1592040781496702</v>
      </c>
      <c r="ED48" s="56" t="str">
        <f>'PC LIST'!B621</f>
        <v>PR14SVEWSW_A1</v>
      </c>
      <c r="EE48" s="57" t="str">
        <f>'PC LIST'!I621</f>
        <v>A1: Discoloured water contacts</v>
      </c>
      <c r="EF48" s="57" t="str">
        <f>'PC LIST'!O621</f>
        <v>nr</v>
      </c>
      <c r="EG48" s="57" t="str">
        <f>'PC LIST'!P621</f>
        <v>No. per 1,000 population</v>
      </c>
      <c r="EH48" s="56">
        <f>'PC LIST'!Q621</f>
        <v>2</v>
      </c>
      <c r="EI48" s="56" t="str">
        <f>'PC LIST'!J621</f>
        <v>Out &amp; under</v>
      </c>
      <c r="EJ48" s="56">
        <f>'PC LIST'!CI621</f>
        <v>0.45</v>
      </c>
    </row>
    <row r="49" spans="10:140" ht="15.75" customHeight="1">
      <c r="J49" s="54"/>
      <c r="K49" s="54"/>
      <c r="L49" s="54"/>
      <c r="M49" s="56"/>
      <c r="N49" s="56"/>
      <c r="Q49" s="1882"/>
      <c r="R49" s="1882"/>
      <c r="S49" s="1882"/>
      <c r="T49" s="56"/>
      <c r="U49" s="56"/>
      <c r="X49" s="1882"/>
      <c r="Y49" s="1882"/>
      <c r="Z49" s="1882"/>
      <c r="AA49" s="1882"/>
      <c r="AB49" s="1882"/>
      <c r="AE49" s="1882"/>
      <c r="AF49" s="1882"/>
      <c r="AG49" s="1882"/>
      <c r="AH49" s="1882"/>
      <c r="AI49" s="1882"/>
      <c r="AL49" s="1882"/>
      <c r="AM49" s="1882"/>
      <c r="AN49" s="1882"/>
      <c r="AO49" s="1882"/>
      <c r="AP49" s="1882"/>
      <c r="AS49" s="1882"/>
      <c r="AT49" s="1882"/>
      <c r="AU49" s="1882"/>
      <c r="AV49" s="1882"/>
      <c r="AW49" s="1882"/>
      <c r="AZ49" s="1882"/>
      <c r="BA49" s="1882"/>
      <c r="BB49" s="1882"/>
      <c r="BC49" s="1882"/>
      <c r="BD49" s="1882"/>
      <c r="BG49" s="54"/>
      <c r="BH49" s="54"/>
      <c r="BI49" s="54"/>
      <c r="BJ49" s="56"/>
      <c r="BK49" s="56"/>
      <c r="BN49" s="1882"/>
      <c r="BO49" s="1882"/>
      <c r="BP49" s="1882"/>
      <c r="BQ49" s="1882"/>
      <c r="BR49" s="1882"/>
      <c r="BU49" s="1882"/>
      <c r="BV49" s="1882"/>
      <c r="BW49" s="1882"/>
      <c r="BX49" s="1882"/>
      <c r="BY49" s="1882"/>
      <c r="CB49" s="54"/>
      <c r="CC49" s="54"/>
      <c r="CD49" s="54"/>
      <c r="CE49" s="54"/>
      <c r="CF49" s="54"/>
      <c r="CI49" s="54"/>
      <c r="CJ49" s="54"/>
      <c r="CK49" s="54"/>
      <c r="CL49" s="54"/>
      <c r="CM49" s="54"/>
      <c r="CN49" s="56" t="str">
        <f>'PC LIST'!B397</f>
        <v>PR14TMSHHR_RA1</v>
      </c>
      <c r="CO49" s="57" t="str">
        <f>'PC LIST'!I397</f>
        <v>RA1: Minimise the number of written complaints received from customers (relating to charging and billing)</v>
      </c>
      <c r="CP49" s="57" t="str">
        <f>'PC LIST'!O397</f>
        <v>nr</v>
      </c>
      <c r="CQ49" s="57" t="str">
        <f>'PC LIST'!P397</f>
        <v>No. written complaints / 10,000 properties</v>
      </c>
      <c r="CR49" s="56">
        <f>'PC LIST'!Q397</f>
        <v>0</v>
      </c>
      <c r="CS49" s="56" t="str">
        <f>'PC LIST'!J397</f>
        <v>NFI</v>
      </c>
      <c r="CT49" s="56">
        <f>'PC LIST'!CI397</f>
        <v>18.0244518602792</v>
      </c>
      <c r="CW49" s="1882"/>
      <c r="CX49" s="1882"/>
      <c r="CY49" s="1882"/>
      <c r="CZ49" s="1882"/>
      <c r="DA49" s="1882"/>
      <c r="DD49" s="1882"/>
      <c r="DE49" s="1882"/>
      <c r="DF49" s="1882"/>
      <c r="DG49" s="1882"/>
      <c r="DH49" s="1882"/>
      <c r="DK49" s="54"/>
      <c r="DL49" s="54"/>
      <c r="DM49" s="54"/>
      <c r="DN49" s="54"/>
      <c r="DO49" s="56"/>
      <c r="DV49" s="56"/>
      <c r="DW49" s="56"/>
      <c r="DX49" s="57"/>
      <c r="DY49" s="57"/>
      <c r="DZ49" s="57"/>
      <c r="EA49" s="56"/>
      <c r="EB49" s="56"/>
      <c r="EC49" s="56"/>
      <c r="ED49" s="56" t="str">
        <f>'PC LIST'!B622</f>
        <v>PR14SVEWSW_A2</v>
      </c>
      <c r="EE49" s="57" t="str">
        <f>'PC LIST'!I622</f>
        <v>A2: Mean zonal compliance (MZC)</v>
      </c>
      <c r="EF49" s="57" t="str">
        <f>'PC LIST'!O622</f>
        <v>%</v>
      </c>
      <c r="EG49" s="57" t="str">
        <f>'PC LIST'!P622</f>
        <v>Mean zonal compliance (%)</v>
      </c>
      <c r="EH49" s="56">
        <f>'PC LIST'!Q622</f>
        <v>2</v>
      </c>
      <c r="EI49" s="56" t="str">
        <f>'PC LIST'!J622</f>
        <v>Under</v>
      </c>
      <c r="EJ49" s="56">
        <f>'PC LIST'!CI622</f>
        <v>99.94</v>
      </c>
    </row>
    <row r="50" spans="10:140" ht="15.75" customHeight="1">
      <c r="J50" s="54"/>
      <c r="K50" s="54"/>
      <c r="L50" s="54"/>
      <c r="M50" s="56"/>
      <c r="N50" s="56"/>
      <c r="Q50" s="1882"/>
      <c r="R50" s="1882"/>
      <c r="S50" s="1882"/>
      <c r="T50" s="56"/>
      <c r="U50" s="56"/>
      <c r="X50" s="1882"/>
      <c r="Y50" s="1882"/>
      <c r="Z50" s="1882"/>
      <c r="AA50" s="1882"/>
      <c r="AB50" s="1882"/>
      <c r="AE50" s="1882"/>
      <c r="AF50" s="1882"/>
      <c r="AG50" s="1882"/>
      <c r="AH50" s="1882"/>
      <c r="AI50" s="1882"/>
      <c r="AL50" s="1882"/>
      <c r="AM50" s="1882"/>
      <c r="AN50" s="1882"/>
      <c r="AO50" s="1882"/>
      <c r="AP50" s="1882"/>
      <c r="AS50" s="1882"/>
      <c r="AT50" s="1882"/>
      <c r="AU50" s="1882"/>
      <c r="AV50" s="1882"/>
      <c r="AW50" s="1882"/>
      <c r="AZ50" s="1882"/>
      <c r="BA50" s="1882"/>
      <c r="BB50" s="1882"/>
      <c r="BC50" s="1882"/>
      <c r="BD50" s="1882"/>
      <c r="BG50" s="54"/>
      <c r="BH50" s="54"/>
      <c r="BI50" s="54"/>
      <c r="BJ50" s="56"/>
      <c r="BK50" s="56"/>
      <c r="BN50" s="1882"/>
      <c r="BO50" s="1882"/>
      <c r="BP50" s="1882"/>
      <c r="BQ50" s="1882"/>
      <c r="BR50" s="1882"/>
      <c r="BU50" s="1882"/>
      <c r="BV50" s="1882"/>
      <c r="BW50" s="1882"/>
      <c r="BX50" s="1882"/>
      <c r="BY50" s="1882"/>
      <c r="CB50" s="54"/>
      <c r="CC50" s="54"/>
      <c r="CD50" s="54"/>
      <c r="CE50" s="54"/>
      <c r="CF50" s="54"/>
      <c r="CI50" s="54"/>
      <c r="CJ50" s="54"/>
      <c r="CK50" s="54"/>
      <c r="CL50" s="54"/>
      <c r="CM50" s="54"/>
      <c r="CN50" s="56" t="str">
        <f>'PC LIST'!B398</f>
        <v>PR14TMSHHR_RA2</v>
      </c>
      <c r="CO50" s="57" t="str">
        <f>'PC LIST'!I398</f>
        <v>RA2: Improve handling of written complaints by increasing first time resolution - charging and billing</v>
      </c>
      <c r="CP50" s="57" t="str">
        <f>'PC LIST'!O398</f>
        <v>%</v>
      </c>
      <c r="CQ50" s="57" t="str">
        <f>'PC LIST'!P398</f>
        <v>% written complaints resolved 1st time</v>
      </c>
      <c r="CR50" s="56">
        <f>'PC LIST'!Q398</f>
        <v>0</v>
      </c>
      <c r="CS50" s="56" t="str">
        <f>'PC LIST'!J398</f>
        <v>NFI</v>
      </c>
      <c r="CT50" s="56">
        <f>'PC LIST'!CI398</f>
        <v>87.553648068669503</v>
      </c>
      <c r="CW50" s="1882"/>
      <c r="CX50" s="1882"/>
      <c r="CY50" s="1882"/>
      <c r="CZ50" s="1882"/>
      <c r="DA50" s="1882"/>
      <c r="DD50" s="1882"/>
      <c r="DE50" s="1882"/>
      <c r="DF50" s="1882"/>
      <c r="DG50" s="1882"/>
      <c r="DH50" s="1882"/>
      <c r="DK50" s="54"/>
      <c r="DL50" s="54"/>
      <c r="DM50" s="54"/>
      <c r="DN50" s="54"/>
      <c r="DO50" s="56"/>
      <c r="DV50" s="56"/>
      <c r="DW50" s="2084"/>
      <c r="EC50" s="56"/>
      <c r="ED50" s="56" t="str">
        <f>'PC LIST'!B623</f>
        <v>PR14SVEWSW_B1</v>
      </c>
      <c r="EE50" s="57" t="str">
        <f>'PC LIST'!I623</f>
        <v>B1: Average duration of interruptions - 3 hours or longer (planned and unplanned interruptions)</v>
      </c>
      <c r="EF50" s="57" t="str">
        <f>'PC LIST'!O623</f>
        <v>time</v>
      </c>
      <c r="EG50" s="57" t="str">
        <f>'PC LIST'!P623</f>
        <v>Hours / property / year</v>
      </c>
      <c r="EH50" s="56">
        <f>'PC LIST'!Q623</f>
        <v>2</v>
      </c>
      <c r="EI50" s="56" t="str">
        <f>'PC LIST'!J623</f>
        <v>Out &amp; under</v>
      </c>
      <c r="EJ50" s="56">
        <f>'PC LIST'!CI623</f>
        <v>0.03</v>
      </c>
    </row>
    <row r="51" spans="10:140" ht="15.75" customHeight="1">
      <c r="J51" s="54"/>
      <c r="K51" s="54"/>
      <c r="L51" s="54"/>
      <c r="M51" s="56"/>
      <c r="N51" s="56"/>
      <c r="Q51" s="1882"/>
      <c r="R51" s="1882"/>
      <c r="S51" s="1882"/>
      <c r="T51" s="56"/>
      <c r="U51" s="56"/>
      <c r="X51" s="1882"/>
      <c r="Y51" s="1882"/>
      <c r="Z51" s="1882"/>
      <c r="AA51" s="1882"/>
      <c r="AB51" s="1882"/>
      <c r="AE51" s="1882"/>
      <c r="AF51" s="1882"/>
      <c r="AG51" s="1882"/>
      <c r="AH51" s="1882"/>
      <c r="AI51" s="1882"/>
      <c r="AL51" s="1882"/>
      <c r="AM51" s="1882"/>
      <c r="AN51" s="1882"/>
      <c r="AO51" s="1882"/>
      <c r="AP51" s="1882"/>
      <c r="AS51" s="1882"/>
      <c r="AT51" s="1882"/>
      <c r="AU51" s="1882"/>
      <c r="AV51" s="1882"/>
      <c r="AW51" s="1882"/>
      <c r="AZ51" s="1882"/>
      <c r="BA51" s="1882"/>
      <c r="BB51" s="1882"/>
      <c r="BC51" s="1882"/>
      <c r="BD51" s="1882"/>
      <c r="BG51" s="1882"/>
      <c r="BH51" s="1882"/>
      <c r="BI51" s="1882"/>
      <c r="BJ51" s="56"/>
      <c r="BK51" s="56"/>
      <c r="BN51" s="1882"/>
      <c r="BO51" s="1882"/>
      <c r="BP51" s="1882"/>
      <c r="BQ51" s="1882"/>
      <c r="BR51" s="1882"/>
      <c r="BU51" s="1882"/>
      <c r="BV51" s="1882"/>
      <c r="BW51" s="1882"/>
      <c r="BX51" s="1882"/>
      <c r="BY51" s="1882"/>
      <c r="CB51" s="54"/>
      <c r="CC51" s="54"/>
      <c r="CD51" s="54"/>
      <c r="CE51" s="54"/>
      <c r="CF51" s="54"/>
      <c r="CI51" s="54"/>
      <c r="CJ51" s="54"/>
      <c r="CK51" s="54"/>
      <c r="CL51" s="54"/>
      <c r="CM51" s="54"/>
      <c r="CN51" s="56" t="str">
        <f>'PC LIST'!B399</f>
        <v>PR14TMSHHR_RA3</v>
      </c>
      <c r="CO51" s="57" t="str">
        <f>'PC LIST'!I399</f>
        <v>RA3: Improve customer satisfaction of retail customers - charging and billing service</v>
      </c>
      <c r="CP51" s="57" t="str">
        <f>'PC LIST'!O399</f>
        <v>score</v>
      </c>
      <c r="CQ51" s="57" t="str">
        <f>'PC LIST'!P399</f>
        <v>TW internal Customer satisfaction score (mean score out of 5)</v>
      </c>
      <c r="CR51" s="56">
        <f>'PC LIST'!Q399</f>
        <v>2</v>
      </c>
      <c r="CS51" s="56" t="str">
        <f>'PC LIST'!J399</f>
        <v>NFI</v>
      </c>
      <c r="CT51" s="56">
        <f>'PC LIST'!CI399</f>
        <v>4.5844396667562499</v>
      </c>
      <c r="CW51" s="1882"/>
      <c r="CX51" s="1882"/>
      <c r="CY51" s="1882"/>
      <c r="CZ51" s="1882"/>
      <c r="DA51" s="1882"/>
      <c r="DD51" s="1882"/>
      <c r="DE51" s="1882"/>
      <c r="DF51" s="1882"/>
      <c r="DG51" s="1882"/>
      <c r="DH51" s="1882"/>
      <c r="DK51" s="54"/>
      <c r="DL51" s="54"/>
      <c r="DM51" s="54"/>
      <c r="DN51" s="54"/>
      <c r="DO51" s="56"/>
      <c r="DV51" s="56"/>
      <c r="EC51" s="56"/>
      <c r="ED51" s="56" t="str">
        <f>'PC LIST'!B624</f>
        <v>PR14SVEWSW_B2</v>
      </c>
      <c r="EE51" s="57" t="str">
        <f>'PC LIST'!I624</f>
        <v>B2: Sustainable economic level of leakage</v>
      </c>
      <c r="EF51" s="57" t="str">
        <f>'PC LIST'!O624</f>
        <v>nr</v>
      </c>
      <c r="EG51" s="57" t="str">
        <f>'PC LIST'!P624</f>
        <v>Litres per property per day (l/prop/day)</v>
      </c>
      <c r="EH51" s="56">
        <f>'PC LIST'!Q624</f>
        <v>1</v>
      </c>
      <c r="EI51" s="56" t="str">
        <f>'PC LIST'!J624</f>
        <v>Out &amp; under</v>
      </c>
      <c r="EJ51" s="56">
        <f>'PC LIST'!CI624</f>
        <v>97.8</v>
      </c>
    </row>
    <row r="52" spans="10:140" ht="15.75" customHeight="1">
      <c r="J52" s="54"/>
      <c r="K52" s="54"/>
      <c r="L52" s="54"/>
      <c r="M52" s="56"/>
      <c r="N52" s="56"/>
      <c r="Q52" s="1882"/>
      <c r="R52" s="1882"/>
      <c r="S52" s="1882"/>
      <c r="T52" s="56"/>
      <c r="U52" s="56"/>
      <c r="X52" s="1882"/>
      <c r="Y52" s="1882"/>
      <c r="Z52" s="1882"/>
      <c r="AA52" s="1882"/>
      <c r="AB52" s="1882"/>
      <c r="AE52" s="1882"/>
      <c r="AF52" s="1882"/>
      <c r="AG52" s="1882"/>
      <c r="AH52" s="1882"/>
      <c r="AI52" s="1882"/>
      <c r="AL52" s="1882"/>
      <c r="AM52" s="1882"/>
      <c r="AN52" s="1882"/>
      <c r="AO52" s="1882"/>
      <c r="AP52" s="1882"/>
      <c r="AS52" s="1882"/>
      <c r="AT52" s="1882"/>
      <c r="AU52" s="1882"/>
      <c r="AV52" s="1882"/>
      <c r="AW52" s="1882"/>
      <c r="AZ52" s="1882"/>
      <c r="BA52" s="1882"/>
      <c r="BB52" s="1882"/>
      <c r="BC52" s="1882"/>
      <c r="BD52" s="1882"/>
      <c r="BG52" s="1882"/>
      <c r="BH52" s="1882"/>
      <c r="BI52" s="1882"/>
      <c r="BJ52" s="56"/>
      <c r="BK52" s="56"/>
      <c r="BN52" s="1882"/>
      <c r="BO52" s="1882"/>
      <c r="BP52" s="1882"/>
      <c r="BQ52" s="1882"/>
      <c r="BR52" s="1882"/>
      <c r="BU52" s="1882"/>
      <c r="BV52" s="1882"/>
      <c r="BW52" s="1882"/>
      <c r="BX52" s="1882"/>
      <c r="BY52" s="1882"/>
      <c r="CB52" s="54"/>
      <c r="CC52" s="54"/>
      <c r="CD52" s="54"/>
      <c r="CE52" s="54"/>
      <c r="CF52" s="54"/>
      <c r="CI52" s="54"/>
      <c r="CJ52" s="54"/>
      <c r="CK52" s="54"/>
      <c r="CL52" s="54"/>
      <c r="CM52" s="54"/>
      <c r="CN52" s="56" t="str">
        <f>'PC LIST'!B400</f>
        <v>PR14TMSHHR_RA4</v>
      </c>
      <c r="CO52" s="57" t="str">
        <f>'PC LIST'!I400</f>
        <v>RA4: Improve customer satisfaction of retail customers - operations contact centre</v>
      </c>
      <c r="CP52" s="57" t="str">
        <f>'PC LIST'!O400</f>
        <v>score</v>
      </c>
      <c r="CQ52" s="57" t="str">
        <f>'PC LIST'!P400</f>
        <v>TW internal Customer satisfaction score (mean score out of 5)</v>
      </c>
      <c r="CR52" s="56">
        <f>'PC LIST'!Q400</f>
        <v>2</v>
      </c>
      <c r="CS52" s="56" t="str">
        <f>'PC LIST'!J400</f>
        <v>NFI</v>
      </c>
      <c r="CT52" s="56">
        <f>'PC LIST'!CI400</f>
        <v>4.4366204585769697</v>
      </c>
      <c r="CW52" s="1882"/>
      <c r="CX52" s="1882"/>
      <c r="CY52" s="1882"/>
      <c r="CZ52" s="1882"/>
      <c r="DA52" s="1882"/>
      <c r="DD52" s="1882"/>
      <c r="DE52" s="1882"/>
      <c r="DF52" s="1882"/>
      <c r="DG52" s="1882"/>
      <c r="DH52" s="1882"/>
      <c r="DK52" s="54"/>
      <c r="DL52" s="54"/>
      <c r="DM52" s="54"/>
      <c r="DN52" s="54"/>
      <c r="DO52" s="56"/>
      <c r="DV52" s="56"/>
      <c r="EC52" s="56"/>
      <c r="ED52" s="56" t="str">
        <f>'PC LIST'!B625</f>
        <v>PR14SVEWSW_B3</v>
      </c>
      <c r="EE52" s="57" t="str">
        <f>'PC LIST'!I625</f>
        <v>B3: Security of supply index (SOSI)</v>
      </c>
      <c r="EF52" s="57" t="str">
        <f>'PC LIST'!O625</f>
        <v>score</v>
      </c>
      <c r="EG52" s="57" t="str">
        <f>'PC LIST'!P625</f>
        <v>Security of Supply Index (SOSI)</v>
      </c>
      <c r="EH52" s="56">
        <f>'PC LIST'!Q625</f>
        <v>0</v>
      </c>
      <c r="EI52" s="56" t="str">
        <f>'PC LIST'!J625</f>
        <v>NFI</v>
      </c>
      <c r="EJ52" s="56">
        <f>'PC LIST'!CI625</f>
        <v>100</v>
      </c>
    </row>
    <row r="53" spans="10:140" ht="15.75" customHeight="1">
      <c r="J53" s="54"/>
      <c r="K53" s="54"/>
      <c r="L53" s="54"/>
      <c r="M53" s="56"/>
      <c r="N53" s="56"/>
      <c r="Q53" s="1882"/>
      <c r="R53" s="1882"/>
      <c r="S53" s="1882"/>
      <c r="T53" s="56"/>
      <c r="U53" s="56"/>
      <c r="X53" s="1882"/>
      <c r="Y53" s="1882"/>
      <c r="Z53" s="1882"/>
      <c r="AA53" s="1882"/>
      <c r="AB53" s="1882"/>
      <c r="AE53" s="1882"/>
      <c r="AF53" s="1882"/>
      <c r="AG53" s="1882"/>
      <c r="AH53" s="1882"/>
      <c r="AI53" s="1882"/>
      <c r="AL53" s="1882"/>
      <c r="AM53" s="1882"/>
      <c r="AN53" s="1882"/>
      <c r="AO53" s="1882"/>
      <c r="AP53" s="1882"/>
      <c r="AS53" s="1882"/>
      <c r="AT53" s="1882"/>
      <c r="AU53" s="1882"/>
      <c r="AV53" s="1882"/>
      <c r="AW53" s="1882"/>
      <c r="AZ53" s="1882"/>
      <c r="BA53" s="1882"/>
      <c r="BB53" s="1882"/>
      <c r="BC53" s="1882"/>
      <c r="BD53" s="1882"/>
      <c r="BG53" s="1882"/>
      <c r="BH53" s="1882"/>
      <c r="BI53" s="1882"/>
      <c r="BJ53" s="56"/>
      <c r="BK53" s="56"/>
      <c r="BN53" s="1882"/>
      <c r="BO53" s="1882"/>
      <c r="BP53" s="1882"/>
      <c r="BQ53" s="1882"/>
      <c r="BR53" s="1882"/>
      <c r="BU53" s="1882"/>
      <c r="BV53" s="1882"/>
      <c r="BW53" s="1882"/>
      <c r="BX53" s="1882"/>
      <c r="BY53" s="1882"/>
      <c r="CB53" s="54"/>
      <c r="CC53" s="54"/>
      <c r="CD53" s="54"/>
      <c r="CE53" s="54"/>
      <c r="CF53" s="54"/>
      <c r="CI53" s="54"/>
      <c r="CJ53" s="54"/>
      <c r="CK53" s="54"/>
      <c r="CL53" s="54"/>
      <c r="CM53" s="54"/>
      <c r="CN53" s="56" t="str">
        <f>'PC LIST'!B401</f>
        <v>PR14TMSHHR_RA5</v>
      </c>
      <c r="CO53" s="57" t="str">
        <f>'PC LIST'!I401</f>
        <v>RA5: Increase the number of bills based on actual meter reads (in cycle)</v>
      </c>
      <c r="CP53" s="57" t="str">
        <f>'PC LIST'!O401</f>
        <v>%</v>
      </c>
      <c r="CQ53" s="57" t="str">
        <f>'PC LIST'!P401</f>
        <v>% bills based on actual meter reads</v>
      </c>
      <c r="CR53" s="56">
        <f>'PC LIST'!Q401</f>
        <v>0</v>
      </c>
      <c r="CS53" s="56" t="str">
        <f>'PC LIST'!J401</f>
        <v>NFI</v>
      </c>
      <c r="CT53" s="56">
        <f>'PC LIST'!CI401</f>
        <v>98.822091713264996</v>
      </c>
      <c r="CW53" s="1882"/>
      <c r="CX53" s="1882"/>
      <c r="CY53" s="1882"/>
      <c r="CZ53" s="1882"/>
      <c r="DA53" s="1882"/>
      <c r="DD53" s="1882"/>
      <c r="DE53" s="1882"/>
      <c r="DF53" s="1882"/>
      <c r="DG53" s="1882"/>
      <c r="DH53" s="1882"/>
      <c r="DK53" s="54"/>
      <c r="DL53" s="54"/>
      <c r="DM53" s="54"/>
      <c r="DN53" s="54"/>
      <c r="DO53" s="56"/>
      <c r="DV53" s="56"/>
      <c r="EC53" s="56"/>
      <c r="ED53" s="56" t="str">
        <f>'PC LIST'!B626</f>
        <v>PR14SVEWSW_B4</v>
      </c>
      <c r="EE53" s="57" t="str">
        <f>'PC LIST'!I626</f>
        <v>B4: Number of bursts</v>
      </c>
      <c r="EF53" s="57" t="str">
        <f>'PC LIST'!O626</f>
        <v>nr</v>
      </c>
      <c r="EG53" s="57" t="str">
        <f>'PC LIST'!P626</f>
        <v>No. of burst mains per year</v>
      </c>
      <c r="EH53" s="56">
        <f>'PC LIST'!Q626</f>
        <v>0</v>
      </c>
      <c r="EI53" s="56" t="str">
        <f>'PC LIST'!J626</f>
        <v>Out &amp; under</v>
      </c>
      <c r="EJ53" s="56">
        <f>'PC LIST'!CI626</f>
        <v>68</v>
      </c>
    </row>
    <row r="54" spans="10:140" ht="15.75" customHeight="1">
      <c r="J54" s="54"/>
      <c r="K54" s="54"/>
      <c r="L54" s="54"/>
      <c r="M54" s="56"/>
      <c r="N54" s="56"/>
      <c r="Q54" s="1882"/>
      <c r="R54" s="1882"/>
      <c r="S54" s="1882"/>
      <c r="T54" s="56"/>
      <c r="U54" s="56"/>
      <c r="X54" s="1882"/>
      <c r="Y54" s="1882"/>
      <c r="Z54" s="1882"/>
      <c r="AA54" s="1882"/>
      <c r="AB54" s="1882"/>
      <c r="AE54" s="1882"/>
      <c r="AF54" s="1882"/>
      <c r="AG54" s="1882"/>
      <c r="AH54" s="1882"/>
      <c r="AI54" s="1882"/>
      <c r="AL54" s="1882"/>
      <c r="AM54" s="1882"/>
      <c r="AN54" s="1882"/>
      <c r="AO54" s="1882"/>
      <c r="AP54" s="1882"/>
      <c r="AS54" s="1882"/>
      <c r="AT54" s="1882"/>
      <c r="AU54" s="1882"/>
      <c r="AV54" s="1882"/>
      <c r="AW54" s="1882"/>
      <c r="AZ54" s="1882"/>
      <c r="BA54" s="1882"/>
      <c r="BB54" s="1882"/>
      <c r="BC54" s="1882"/>
      <c r="BD54" s="1882"/>
      <c r="BG54" s="1882"/>
      <c r="BH54" s="1882"/>
      <c r="BI54" s="1882"/>
      <c r="BJ54" s="56"/>
      <c r="BK54" s="56"/>
      <c r="BN54" s="1882"/>
      <c r="BO54" s="1882"/>
      <c r="BP54" s="1882"/>
      <c r="BQ54" s="1882"/>
      <c r="BR54" s="1882"/>
      <c r="BU54" s="1882"/>
      <c r="BV54" s="1882"/>
      <c r="BW54" s="1882"/>
      <c r="BX54" s="1882"/>
      <c r="BY54" s="1882"/>
      <c r="CB54" s="54"/>
      <c r="CC54" s="54"/>
      <c r="CD54" s="54"/>
      <c r="CE54" s="54"/>
      <c r="CF54" s="54"/>
      <c r="CI54" s="54"/>
      <c r="CJ54" s="54"/>
      <c r="CK54" s="54"/>
      <c r="CL54" s="54"/>
      <c r="CM54" s="54"/>
      <c r="CN54" s="56" t="str">
        <f>'PC LIST'!B402</f>
        <v>PR14TMSHHR_RA6</v>
      </c>
      <c r="CO54" s="57" t="str">
        <f>'PC LIST'!I402</f>
        <v>RA6: Service incentive mechanism (SIM)</v>
      </c>
      <c r="CP54" s="57" t="str">
        <f>'PC LIST'!O402</f>
        <v>score</v>
      </c>
      <c r="CQ54" s="57" t="str">
        <f>'PC LIST'!P402</f>
        <v>Service incentive mechanism (SIM) score</v>
      </c>
      <c r="CR54" s="56">
        <f>'PC LIST'!Q402</f>
        <v>1</v>
      </c>
      <c r="CS54" s="56" t="str">
        <f>'PC LIST'!J402</f>
        <v>Out &amp; under</v>
      </c>
      <c r="CT54" s="56">
        <f>'PC LIST'!CI402</f>
        <v>75.029926160142097</v>
      </c>
      <c r="CW54" s="1882"/>
      <c r="CX54" s="1882"/>
      <c r="CY54" s="1882"/>
      <c r="CZ54" s="1882"/>
      <c r="DA54" s="1882"/>
      <c r="DD54" s="1882"/>
      <c r="DE54" s="1882"/>
      <c r="DF54" s="1882"/>
      <c r="DG54" s="1882"/>
      <c r="DH54" s="1882"/>
      <c r="DK54" s="54"/>
      <c r="DL54" s="54"/>
      <c r="DM54" s="54"/>
      <c r="DN54" s="54"/>
      <c r="DO54" s="56"/>
      <c r="DV54" s="56"/>
      <c r="EC54" s="56"/>
      <c r="ED54" s="56" t="str">
        <f>'PC LIST'!B627</f>
        <v>PR14SVEWSW_C1</v>
      </c>
      <c r="EE54" s="57" t="str">
        <f>'PC LIST'!I627</f>
        <v>C1: Gross operational greenhouse gas emissions</v>
      </c>
      <c r="EF54" s="57" t="str">
        <f>'PC LIST'!O627</f>
        <v>nr</v>
      </c>
      <c r="EG54" s="57" t="str">
        <f>'PC LIST'!P627</f>
        <v>tCO2e</v>
      </c>
      <c r="EH54" s="56">
        <f>'PC LIST'!Q627</f>
        <v>0</v>
      </c>
      <c r="EI54" s="56" t="str">
        <f>'PC LIST'!J627</f>
        <v>NFI</v>
      </c>
      <c r="EJ54" s="56">
        <f>'PC LIST'!CI627</f>
        <v>951</v>
      </c>
    </row>
    <row r="55" spans="10:140" ht="15.75" customHeight="1">
      <c r="J55" s="1882"/>
      <c r="K55" s="1882"/>
      <c r="L55" s="1882"/>
      <c r="M55" s="56"/>
      <c r="N55" s="56"/>
      <c r="Q55" s="1882"/>
      <c r="R55" s="1882"/>
      <c r="S55" s="1882"/>
      <c r="T55" s="56"/>
      <c r="U55" s="56"/>
      <c r="X55" s="1882"/>
      <c r="Y55" s="1882"/>
      <c r="Z55" s="1882"/>
      <c r="AA55" s="1882"/>
      <c r="AB55" s="1882"/>
      <c r="AE55" s="1882"/>
      <c r="AF55" s="1882"/>
      <c r="AG55" s="1882"/>
      <c r="AH55" s="1882"/>
      <c r="AI55" s="1882"/>
      <c r="AL55" s="1882"/>
      <c r="AM55" s="1882"/>
      <c r="AN55" s="1882"/>
      <c r="AO55" s="1882"/>
      <c r="AP55" s="1882"/>
      <c r="AS55" s="1882"/>
      <c r="AT55" s="1882"/>
      <c r="AU55" s="1882"/>
      <c r="AV55" s="1882"/>
      <c r="AW55" s="1882"/>
      <c r="AZ55" s="1882"/>
      <c r="BA55" s="1882"/>
      <c r="BB55" s="1882"/>
      <c r="BC55" s="1882"/>
      <c r="BD55" s="1882"/>
      <c r="BG55" s="1882"/>
      <c r="BH55" s="1882"/>
      <c r="BI55" s="1882"/>
      <c r="BJ55" s="56"/>
      <c r="BK55" s="56"/>
      <c r="BN55" s="1882"/>
      <c r="BO55" s="1882"/>
      <c r="BP55" s="1882"/>
      <c r="BQ55" s="1882"/>
      <c r="BR55" s="1882"/>
      <c r="BU55" s="1882"/>
      <c r="BV55" s="1882"/>
      <c r="BW55" s="1882"/>
      <c r="BX55" s="1882"/>
      <c r="BY55" s="1882"/>
      <c r="CB55" s="54"/>
      <c r="CC55" s="54"/>
      <c r="CD55" s="54"/>
      <c r="CE55" s="54"/>
      <c r="CF55" s="54"/>
      <c r="CI55" s="54"/>
      <c r="CJ55" s="54"/>
      <c r="CK55" s="54"/>
      <c r="CL55" s="54"/>
      <c r="CM55" s="54"/>
      <c r="CN55" s="56" t="str">
        <f>'PC LIST'!B403</f>
        <v>PR14TMSHHR_RB1</v>
      </c>
      <c r="CO55" s="57" t="str">
        <f>'PC LIST'!I403</f>
        <v>RB1: Implement new online account management for customers supported by web-chat</v>
      </c>
      <c r="CP55" s="57" t="str">
        <f>'PC LIST'!O403</f>
        <v>text</v>
      </c>
      <c r="CQ55" s="57" t="str">
        <f>'PC LIST'!P403</f>
        <v>Delivery status</v>
      </c>
      <c r="CR55" s="56" t="str">
        <f>'PC LIST'!Q403</f>
        <v>na</v>
      </c>
      <c r="CS55" s="56" t="str">
        <f>'PC LIST'!J403</f>
        <v>Under</v>
      </c>
      <c r="CT55" s="56" t="str">
        <f>'PC LIST'!CI403</f>
        <v>Online self serve channel</v>
      </c>
      <c r="CW55" s="1882"/>
      <c r="CX55" s="1882"/>
      <c r="CY55" s="1882"/>
      <c r="CZ55" s="1882"/>
      <c r="DA55" s="1882"/>
      <c r="DD55" s="1882"/>
      <c r="DE55" s="1882"/>
      <c r="DF55" s="1882"/>
      <c r="DG55" s="1882"/>
      <c r="DH55" s="1882"/>
      <c r="DK55" s="54"/>
      <c r="DL55" s="54"/>
      <c r="DM55" s="54"/>
      <c r="DN55" s="54"/>
      <c r="DO55" s="56"/>
      <c r="DV55" s="56"/>
      <c r="EC55" s="56"/>
      <c r="ED55" s="56" t="str">
        <f>'PC LIST'!B628</f>
        <v>PR14SVEWSW_D1</v>
      </c>
      <c r="EE55" s="57" t="str">
        <f>'PC LIST'!I628</f>
        <v>D1: Customers’ perception based on market research</v>
      </c>
      <c r="EF55" s="57" t="str">
        <f>'PC LIST'!O628</f>
        <v>%</v>
      </c>
      <c r="EG55" s="57" t="str">
        <f>'PC LIST'!P628</f>
        <v>% customer satisfaction</v>
      </c>
      <c r="EH55" s="56" t="str">
        <f>'PC LIST'!Q628</f>
        <v>na</v>
      </c>
      <c r="EI55" s="56" t="str">
        <f>'PC LIST'!J628</f>
        <v>NFI</v>
      </c>
      <c r="EJ55" s="56">
        <f>'PC LIST'!CI628</f>
        <v>67</v>
      </c>
    </row>
    <row r="56" spans="10:140" ht="15.75" customHeight="1">
      <c r="J56" s="1882"/>
      <c r="K56" s="1882"/>
      <c r="L56" s="1882"/>
      <c r="M56" s="56"/>
      <c r="N56" s="56"/>
      <c r="Q56" s="1882"/>
      <c r="R56" s="1882"/>
      <c r="S56" s="1882"/>
      <c r="T56" s="56"/>
      <c r="U56" s="56"/>
      <c r="X56" s="1882"/>
      <c r="Y56" s="1882"/>
      <c r="Z56" s="1882"/>
      <c r="AA56" s="1882"/>
      <c r="AB56" s="1882"/>
      <c r="AE56" s="1882"/>
      <c r="AF56" s="1882"/>
      <c r="AG56" s="1882"/>
      <c r="AH56" s="1882"/>
      <c r="AI56" s="1882"/>
      <c r="AL56" s="1882"/>
      <c r="AM56" s="1882"/>
      <c r="AN56" s="1882"/>
      <c r="AO56" s="1882"/>
      <c r="AP56" s="1882"/>
      <c r="AS56" s="1882"/>
      <c r="AT56" s="1882"/>
      <c r="AU56" s="1882"/>
      <c r="AV56" s="1882"/>
      <c r="AW56" s="1882"/>
      <c r="AZ56" s="1882"/>
      <c r="BA56" s="1882"/>
      <c r="BB56" s="1882"/>
      <c r="BC56" s="1882"/>
      <c r="BD56" s="1882"/>
      <c r="BG56" s="1882"/>
      <c r="BH56" s="1882"/>
      <c r="BI56" s="1882"/>
      <c r="BJ56" s="56"/>
      <c r="BK56" s="56"/>
      <c r="BN56" s="1882"/>
      <c r="BO56" s="1882"/>
      <c r="BP56" s="1882"/>
      <c r="BQ56" s="1882"/>
      <c r="BR56" s="1882"/>
      <c r="BU56" s="1882"/>
      <c r="BV56" s="1882"/>
      <c r="BW56" s="1882"/>
      <c r="BX56" s="1882"/>
      <c r="BY56" s="1882"/>
      <c r="CB56" s="54"/>
      <c r="CC56" s="54"/>
      <c r="CD56" s="54"/>
      <c r="CE56" s="54"/>
      <c r="CF56" s="54"/>
      <c r="CI56" s="54"/>
      <c r="CJ56" s="54"/>
      <c r="CK56" s="54"/>
      <c r="CL56" s="54"/>
      <c r="CM56" s="54"/>
      <c r="CN56" s="56" t="str">
        <f>'PC LIST'!B404</f>
        <v>PR14TMSHHR_RC1</v>
      </c>
      <c r="CO56" s="57" t="str">
        <f>'PC LIST'!I404</f>
        <v>RC1: Increase the number of customers on payment plans (excluding Thames Tideway Tunnel)</v>
      </c>
      <c r="CP56" s="57" t="str">
        <f>'PC LIST'!O404</f>
        <v>%</v>
      </c>
      <c r="CQ56" s="57" t="str">
        <f>'PC LIST'!P404</f>
        <v>% of customers on DD payment plans</v>
      </c>
      <c r="CR56" s="56">
        <f>'PC LIST'!Q404</f>
        <v>0</v>
      </c>
      <c r="CS56" s="56" t="str">
        <f>'PC LIST'!J404</f>
        <v>NFI</v>
      </c>
      <c r="CT56" s="56">
        <f>'PC LIST'!CI404</f>
        <v>57.98</v>
      </c>
      <c r="CW56" s="1882"/>
      <c r="CX56" s="1882"/>
      <c r="CY56" s="1882"/>
      <c r="CZ56" s="1882"/>
      <c r="DA56" s="1882"/>
      <c r="DD56" s="1882"/>
      <c r="DE56" s="1882"/>
      <c r="DF56" s="1882"/>
      <c r="DG56" s="1882"/>
      <c r="DH56" s="1882"/>
      <c r="DK56" s="54"/>
      <c r="DL56" s="54"/>
      <c r="DM56" s="54"/>
      <c r="DN56" s="54"/>
      <c r="DO56" s="56"/>
      <c r="DV56" s="56"/>
      <c r="EC56" s="56"/>
      <c r="ED56" s="56" t="str">
        <f>'PC LIST'!B629</f>
        <v>PR14SVENHHR_F1</v>
      </c>
      <c r="EE56" s="57" t="str">
        <f>'PC LIST'!I629</f>
        <v>F1: Non-household Service incentive mechanism (SIM)</v>
      </c>
      <c r="EF56" s="57" t="str">
        <f>'PC LIST'!O629</f>
        <v>score</v>
      </c>
      <c r="EG56" s="57" t="str">
        <f>'PC LIST'!P629</f>
        <v>Service incentive mechanism (SIM) score</v>
      </c>
      <c r="EH56" s="56">
        <f>'PC LIST'!Q629</f>
        <v>1</v>
      </c>
      <c r="EI56" s="56" t="str">
        <f>'PC LIST'!J629</f>
        <v>Out &amp; under</v>
      </c>
      <c r="EJ56" s="56">
        <f>'PC LIST'!CI629</f>
        <v>83.9</v>
      </c>
    </row>
    <row r="57" spans="10:140" ht="15.75" customHeight="1">
      <c r="J57" s="1882"/>
      <c r="K57" s="1882"/>
      <c r="L57" s="1882"/>
      <c r="M57" s="56"/>
      <c r="N57" s="56"/>
      <c r="Q57" s="1882"/>
      <c r="R57" s="1882"/>
      <c r="S57" s="1882"/>
      <c r="T57" s="56"/>
      <c r="U57" s="56"/>
      <c r="X57" s="1882"/>
      <c r="Y57" s="1882"/>
      <c r="Z57" s="1882"/>
      <c r="AA57" s="1882"/>
      <c r="AB57" s="1882"/>
      <c r="AE57" s="1882"/>
      <c r="AF57" s="1882"/>
      <c r="AG57" s="1882"/>
      <c r="AH57" s="1882"/>
      <c r="AI57" s="1882"/>
      <c r="AL57" s="1882"/>
      <c r="AM57" s="1882"/>
      <c r="AN57" s="1882"/>
      <c r="AO57" s="1882"/>
      <c r="AP57" s="1882"/>
      <c r="AS57" s="1882"/>
      <c r="AT57" s="1882"/>
      <c r="AU57" s="1882"/>
      <c r="AV57" s="1882"/>
      <c r="AW57" s="1882"/>
      <c r="AZ57" s="1882"/>
      <c r="BA57" s="1882"/>
      <c r="BB57" s="1882"/>
      <c r="BC57" s="1882"/>
      <c r="BD57" s="1882"/>
      <c r="BG57" s="1882"/>
      <c r="BH57" s="1882"/>
      <c r="BI57" s="1882"/>
      <c r="BJ57" s="56"/>
      <c r="BK57" s="56"/>
      <c r="BN57" s="1882"/>
      <c r="BO57" s="1882"/>
      <c r="BP57" s="1882"/>
      <c r="BQ57" s="1882"/>
      <c r="BR57" s="1882"/>
      <c r="BU57" s="1882"/>
      <c r="BV57" s="1882"/>
      <c r="BW57" s="1882"/>
      <c r="BX57" s="1882"/>
      <c r="BY57" s="1882"/>
      <c r="CB57" s="54"/>
      <c r="CC57" s="54"/>
      <c r="CD57" s="54"/>
      <c r="CE57" s="54"/>
      <c r="CF57" s="54"/>
      <c r="CI57" s="54"/>
      <c r="CJ57" s="54"/>
      <c r="CK57" s="54"/>
      <c r="CL57" s="54"/>
      <c r="CM57" s="54"/>
      <c r="CN57" s="56" t="str">
        <f>'PC LIST'!B405</f>
        <v>PR14TMSHHR_RC2</v>
      </c>
      <c r="CO57" s="57" t="str">
        <f>'PC LIST'!I405</f>
        <v>RC2: Increase cash collection rates (excluding Thames Tideway Tunnel)</v>
      </c>
      <c r="CP57" s="57" t="str">
        <f>'PC LIST'!O405</f>
        <v>%</v>
      </c>
      <c r="CQ57" s="57" t="str">
        <f>'PC LIST'!P405</f>
        <v>% of cash collected from billing in the year</v>
      </c>
      <c r="CR57" s="56">
        <f>'PC LIST'!Q405</f>
        <v>1</v>
      </c>
      <c r="CS57" s="56" t="str">
        <f>'PC LIST'!J405</f>
        <v>NFI</v>
      </c>
      <c r="CT57" s="56">
        <f>'PC LIST'!CI405</f>
        <v>87.918246609468497</v>
      </c>
      <c r="CW57" s="1882"/>
      <c r="CX57" s="1882"/>
      <c r="CY57" s="1882"/>
      <c r="CZ57" s="1882"/>
      <c r="DA57" s="1882"/>
      <c r="DD57" s="1882"/>
      <c r="DE57" s="1882"/>
      <c r="DF57" s="1882"/>
      <c r="DG57" s="1882"/>
      <c r="DH57" s="1882"/>
      <c r="DK57" s="54"/>
      <c r="DL57" s="54"/>
      <c r="DM57" s="54"/>
      <c r="DN57" s="54"/>
      <c r="DO57" s="56"/>
      <c r="DV57" s="56"/>
      <c r="EC57" s="56"/>
      <c r="ED57" s="56" t="str">
        <f>'PC LIST'!B630</f>
        <v>PR14SVEHHR_E1</v>
      </c>
      <c r="EE57" s="57" t="str">
        <f>'PC LIST'!I630</f>
        <v>E1: Per capita consumption and water efficiency</v>
      </c>
      <c r="EF57" s="57" t="str">
        <f>'PC LIST'!O630</f>
        <v>nr</v>
      </c>
      <c r="EG57" s="57" t="str">
        <f>'PC LIST'!P630</f>
        <v>Litres per capita per day</v>
      </c>
      <c r="EH57" s="56">
        <f>'PC LIST'!Q630</f>
        <v>2</v>
      </c>
      <c r="EI57" s="56" t="str">
        <f>'PC LIST'!J630</f>
        <v>NFI</v>
      </c>
      <c r="EJ57" s="56">
        <f>'PC LIST'!CI630</f>
        <v>132.76</v>
      </c>
    </row>
    <row r="58" spans="10:140" ht="15.75" customHeight="1">
      <c r="J58" s="1882"/>
      <c r="K58" s="1882"/>
      <c r="L58" s="1882"/>
      <c r="M58" s="1882"/>
      <c r="N58" s="1882"/>
      <c r="Q58" s="1882"/>
      <c r="R58" s="1882"/>
      <c r="S58" s="1882"/>
      <c r="T58" s="1882"/>
      <c r="U58" s="1882"/>
      <c r="X58" s="1882"/>
      <c r="Y58" s="1882"/>
      <c r="Z58" s="1882"/>
      <c r="AA58" s="1882"/>
      <c r="AB58" s="1882"/>
      <c r="AE58" s="1882"/>
      <c r="AF58" s="1882"/>
      <c r="AG58" s="1882"/>
      <c r="AH58" s="1882"/>
      <c r="AI58" s="1882"/>
      <c r="AL58" s="1882"/>
      <c r="AM58" s="1882"/>
      <c r="AN58" s="1882"/>
      <c r="AO58" s="1882"/>
      <c r="AP58" s="1882"/>
      <c r="AS58" s="1882"/>
      <c r="AT58" s="1882"/>
      <c r="AU58" s="1882"/>
      <c r="AV58" s="1882"/>
      <c r="AW58" s="1882"/>
      <c r="AZ58" s="1882"/>
      <c r="BA58" s="1882"/>
      <c r="BB58" s="1882"/>
      <c r="BC58" s="1882"/>
      <c r="BD58" s="1882"/>
      <c r="BG58" s="1882"/>
      <c r="BH58" s="1882"/>
      <c r="BI58" s="1882"/>
      <c r="BJ58" s="1882"/>
      <c r="BK58" s="1882"/>
      <c r="BN58" s="1882"/>
      <c r="BO58" s="1882"/>
      <c r="BP58" s="1882"/>
      <c r="BQ58" s="1882"/>
      <c r="BR58" s="1882"/>
      <c r="BU58" s="1882"/>
      <c r="BV58" s="1882"/>
      <c r="BW58" s="1882"/>
      <c r="BX58" s="1882"/>
      <c r="BY58" s="1882"/>
      <c r="CB58" s="54"/>
      <c r="CC58" s="54"/>
      <c r="CD58" s="54"/>
      <c r="CE58" s="54"/>
      <c r="CF58" s="54"/>
      <c r="CI58" s="54"/>
      <c r="CJ58" s="54"/>
      <c r="CK58" s="54"/>
      <c r="CL58" s="54"/>
      <c r="CM58" s="54"/>
      <c r="CN58" s="56"/>
      <c r="CO58" s="57"/>
      <c r="CP58" s="57"/>
      <c r="CQ58" s="57"/>
      <c r="CR58" s="1882"/>
      <c r="CS58" s="1882"/>
      <c r="CW58" s="1882"/>
      <c r="CX58" s="1882"/>
      <c r="CY58" s="1882"/>
      <c r="CZ58" s="1882"/>
      <c r="DA58" s="1882"/>
      <c r="DD58" s="1882"/>
      <c r="DE58" s="1882"/>
      <c r="DF58" s="1882"/>
      <c r="DG58" s="1882"/>
      <c r="DH58" s="1882"/>
      <c r="DK58" s="54"/>
      <c r="DL58" s="54"/>
      <c r="DM58" s="54"/>
      <c r="DN58" s="54"/>
      <c r="DO58" s="714"/>
      <c r="ED58" s="56" t="str">
        <f>'PC LIST'!B631</f>
        <v>PR14SVEHHR_E2</v>
      </c>
      <c r="EE58" s="57" t="str">
        <f>'PC LIST'!I631</f>
        <v>E2: Service incentive mechanism (SIM)</v>
      </c>
      <c r="EF58" s="57" t="str">
        <f>'PC LIST'!O631</f>
        <v>score</v>
      </c>
      <c r="EG58" s="57" t="str">
        <f>'PC LIST'!P631</f>
        <v>Service incentive mechanism (SIM) score</v>
      </c>
      <c r="EH58" s="56">
        <f>'PC LIST'!Q631</f>
        <v>1</v>
      </c>
      <c r="EI58" s="56" t="str">
        <f>'PC LIST'!J631</f>
        <v>Out &amp; under</v>
      </c>
      <c r="EJ58" s="56">
        <f>'PC LIST'!CI631</f>
        <v>78.400000000000006</v>
      </c>
    </row>
    <row r="59" spans="10:140" ht="15.75" customHeight="1">
      <c r="J59" s="1882"/>
      <c r="K59" s="1882"/>
      <c r="L59" s="1882"/>
      <c r="M59" s="1882"/>
      <c r="N59" s="1882"/>
      <c r="Q59" s="1882"/>
      <c r="R59" s="1882"/>
      <c r="S59" s="1882"/>
      <c r="T59" s="1882"/>
      <c r="U59" s="1882"/>
      <c r="X59" s="1882"/>
      <c r="Y59" s="1882"/>
      <c r="Z59" s="1882"/>
      <c r="AA59" s="1882"/>
      <c r="AB59" s="1882"/>
      <c r="AE59" s="1882"/>
      <c r="AF59" s="1882"/>
      <c r="AG59" s="1882"/>
      <c r="AH59" s="1882"/>
      <c r="AI59" s="1882"/>
      <c r="AL59" s="1882"/>
      <c r="AM59" s="1882"/>
      <c r="AN59" s="1882"/>
      <c r="AO59" s="1882"/>
      <c r="AP59" s="1882"/>
      <c r="AS59" s="1882"/>
      <c r="AT59" s="1882"/>
      <c r="AU59" s="1882"/>
      <c r="AV59" s="1882"/>
      <c r="AW59" s="1882"/>
      <c r="AZ59" s="1882"/>
      <c r="BA59" s="1882"/>
      <c r="BB59" s="1882"/>
      <c r="BC59" s="1882"/>
      <c r="BD59" s="1882"/>
      <c r="BG59" s="1882"/>
      <c r="BH59" s="1882"/>
      <c r="BI59" s="1882"/>
      <c r="BJ59" s="1882"/>
      <c r="BK59" s="1882"/>
      <c r="BN59" s="1882"/>
      <c r="BO59" s="1882"/>
      <c r="BP59" s="1882"/>
      <c r="BQ59" s="1882"/>
      <c r="BR59" s="1882"/>
      <c r="BU59" s="1882"/>
      <c r="BV59" s="1882"/>
      <c r="BW59" s="1882"/>
      <c r="BX59" s="1882"/>
      <c r="BY59" s="1882"/>
      <c r="CB59" s="54"/>
      <c r="CC59" s="54"/>
      <c r="CD59" s="54"/>
      <c r="CE59" s="54"/>
      <c r="CF59" s="54"/>
      <c r="CI59" s="54"/>
      <c r="CJ59" s="54"/>
      <c r="CK59" s="54"/>
      <c r="CL59" s="54"/>
      <c r="CM59" s="54"/>
      <c r="CP59" s="54"/>
      <c r="CQ59" s="54"/>
      <c r="CR59" s="54"/>
      <c r="CS59" s="54"/>
      <c r="CT59" s="714"/>
      <c r="CW59" s="1882"/>
      <c r="CX59" s="1882"/>
      <c r="CY59" s="1882"/>
      <c r="CZ59" s="1882"/>
      <c r="DA59" s="1882"/>
      <c r="DD59" s="1882"/>
      <c r="DE59" s="1882"/>
      <c r="DF59" s="1882"/>
      <c r="DG59" s="1882"/>
      <c r="DH59" s="1882"/>
      <c r="DK59" s="54"/>
      <c r="DL59" s="54"/>
      <c r="DM59" s="54"/>
      <c r="DN59" s="54"/>
      <c r="DO59" s="714"/>
    </row>
    <row r="60" spans="10:140" ht="15.75" customHeight="1">
      <c r="J60" s="1882"/>
      <c r="K60" s="1882"/>
      <c r="L60" s="1882"/>
      <c r="M60" s="1882"/>
      <c r="N60" s="1882"/>
      <c r="Q60" s="1882"/>
      <c r="R60" s="1882"/>
      <c r="S60" s="1882"/>
      <c r="T60" s="1882"/>
      <c r="U60" s="1882"/>
      <c r="X60" s="1882"/>
      <c r="Y60" s="1882"/>
      <c r="Z60" s="1882"/>
      <c r="AA60" s="1882"/>
      <c r="AB60" s="1882"/>
      <c r="AE60" s="1882"/>
      <c r="AF60" s="1882"/>
      <c r="AG60" s="1882"/>
      <c r="AH60" s="1882"/>
      <c r="AI60" s="1882"/>
      <c r="AL60" s="1882"/>
      <c r="AM60" s="1882"/>
      <c r="AN60" s="1882"/>
      <c r="AO60" s="1882"/>
      <c r="AP60" s="1882"/>
      <c r="AS60" s="1882"/>
      <c r="AT60" s="1882"/>
      <c r="AU60" s="1882"/>
      <c r="AV60" s="1882"/>
      <c r="AW60" s="1882"/>
      <c r="AZ60" s="1882"/>
      <c r="BA60" s="1882"/>
      <c r="BB60" s="1882"/>
      <c r="BC60" s="1882"/>
      <c r="BD60" s="1882"/>
      <c r="BG60" s="1882"/>
      <c r="BH60" s="1882"/>
      <c r="BI60" s="1882"/>
      <c r="BJ60" s="1882"/>
      <c r="BK60" s="1882"/>
      <c r="BN60" s="1882"/>
      <c r="BO60" s="1882"/>
      <c r="BP60" s="1882"/>
      <c r="BQ60" s="1882"/>
      <c r="BR60" s="1882"/>
      <c r="BU60" s="1882"/>
      <c r="BV60" s="1882"/>
      <c r="BW60" s="1882"/>
      <c r="BX60" s="1882"/>
      <c r="BY60" s="1882"/>
      <c r="CB60" s="1882"/>
      <c r="CC60" s="1882"/>
      <c r="CD60" s="1882"/>
      <c r="CE60" s="1882"/>
      <c r="CF60" s="1882"/>
      <c r="CI60" s="1882"/>
      <c r="CJ60" s="1882"/>
      <c r="CK60" s="1882"/>
      <c r="CL60" s="1882"/>
      <c r="CM60" s="1882"/>
      <c r="CP60" s="54"/>
      <c r="CQ60" s="54"/>
      <c r="CR60" s="54"/>
      <c r="CS60" s="54"/>
      <c r="CT60" s="714"/>
      <c r="CW60" s="1882"/>
      <c r="CX60" s="1882"/>
      <c r="CY60" s="1882"/>
      <c r="CZ60" s="1882"/>
      <c r="DA60" s="1882"/>
      <c r="DD60" s="1882"/>
      <c r="DE60" s="1882"/>
      <c r="DF60" s="1882"/>
      <c r="DG60" s="1882"/>
      <c r="DH60" s="1882"/>
      <c r="DK60" s="54"/>
      <c r="DL60" s="54"/>
      <c r="DM60" s="54"/>
      <c r="DN60" s="54"/>
      <c r="DO60" s="714"/>
    </row>
    <row r="61" spans="10:140" ht="15.75" customHeight="1">
      <c r="J61" s="1882"/>
      <c r="K61" s="1882"/>
      <c r="L61" s="1882"/>
      <c r="M61" s="1882"/>
      <c r="N61" s="1882"/>
      <c r="Q61" s="1882"/>
      <c r="R61" s="1882"/>
      <c r="S61" s="1882"/>
      <c r="T61" s="1882"/>
      <c r="U61" s="1882"/>
      <c r="X61" s="1882"/>
      <c r="Y61" s="1882"/>
      <c r="Z61" s="1882"/>
      <c r="AA61" s="1882"/>
      <c r="AB61" s="1882"/>
      <c r="AE61" s="1882"/>
      <c r="AF61" s="1882"/>
      <c r="AG61" s="1882"/>
      <c r="AH61" s="1882"/>
      <c r="AI61" s="1882"/>
      <c r="AL61" s="1882"/>
      <c r="AM61" s="1882"/>
      <c r="AN61" s="1882"/>
      <c r="AO61" s="1882"/>
      <c r="AP61" s="1882"/>
      <c r="AS61" s="1882"/>
      <c r="AT61" s="1882"/>
      <c r="AU61" s="1882"/>
      <c r="AV61" s="1882"/>
      <c r="AW61" s="1882"/>
      <c r="AZ61" s="1882"/>
      <c r="BA61" s="1882"/>
      <c r="BB61" s="1882"/>
      <c r="BC61" s="1882"/>
      <c r="BD61" s="1882"/>
      <c r="BG61" s="1882"/>
      <c r="BH61" s="1882"/>
      <c r="BI61" s="1882"/>
      <c r="BJ61" s="1882"/>
      <c r="BK61" s="1882"/>
      <c r="BN61" s="1882"/>
      <c r="BO61" s="1882"/>
      <c r="BP61" s="1882"/>
      <c r="BQ61" s="1882"/>
      <c r="BR61" s="1882"/>
      <c r="BU61" s="1882"/>
      <c r="BV61" s="1882"/>
      <c r="BW61" s="1882"/>
      <c r="BX61" s="1882"/>
      <c r="BY61" s="1882"/>
      <c r="CB61" s="1882"/>
      <c r="CC61" s="1882"/>
      <c r="CD61" s="1882"/>
      <c r="CE61" s="1882"/>
      <c r="CF61" s="1882"/>
      <c r="CI61" s="1882"/>
      <c r="CJ61" s="1882"/>
      <c r="CK61" s="1882"/>
      <c r="CL61" s="1882"/>
      <c r="CM61" s="1882"/>
      <c r="CP61" s="54"/>
      <c r="CQ61" s="54"/>
      <c r="CR61" s="54"/>
      <c r="CS61" s="54"/>
      <c r="CT61" s="714"/>
      <c r="CW61" s="1882"/>
      <c r="CX61" s="1882"/>
      <c r="CY61" s="1882"/>
      <c r="CZ61" s="1882"/>
      <c r="DA61" s="1882"/>
      <c r="DD61" s="1882"/>
      <c r="DE61" s="1882"/>
      <c r="DF61" s="1882"/>
      <c r="DG61" s="1882"/>
      <c r="DH61" s="1882"/>
      <c r="DK61" s="1882"/>
      <c r="DL61" s="1882"/>
      <c r="DM61" s="1882"/>
      <c r="DN61" s="1882"/>
    </row>
    <row r="62" spans="10:140" ht="15.75" customHeight="1">
      <c r="J62" s="1882"/>
      <c r="K62" s="1882"/>
      <c r="L62" s="1882"/>
      <c r="M62" s="1882"/>
      <c r="N62" s="1882"/>
      <c r="Q62" s="1882"/>
      <c r="R62" s="1882"/>
      <c r="S62" s="1882"/>
      <c r="T62" s="1882"/>
      <c r="U62" s="1882"/>
      <c r="X62" s="1882"/>
      <c r="Y62" s="1882"/>
      <c r="Z62" s="1882"/>
      <c r="AA62" s="1882"/>
      <c r="AB62" s="1882"/>
      <c r="AE62" s="1882"/>
      <c r="AF62" s="1882"/>
      <c r="AG62" s="1882"/>
      <c r="AH62" s="1882"/>
      <c r="AI62" s="1882"/>
      <c r="AL62" s="1882"/>
      <c r="AM62" s="1882"/>
      <c r="AN62" s="1882"/>
      <c r="AO62" s="1882"/>
      <c r="AP62" s="1882"/>
      <c r="AS62" s="1882"/>
      <c r="AT62" s="1882"/>
      <c r="AU62" s="1882"/>
      <c r="AV62" s="1882"/>
      <c r="AW62" s="1882"/>
      <c r="AZ62" s="1882"/>
      <c r="BA62" s="1882"/>
      <c r="BB62" s="1882"/>
      <c r="BC62" s="1882"/>
      <c r="BD62" s="1882"/>
      <c r="BG62" s="1882"/>
      <c r="BH62" s="1882"/>
      <c r="BI62" s="1882"/>
      <c r="BJ62" s="1882"/>
      <c r="BK62" s="1882"/>
      <c r="BN62" s="1882"/>
      <c r="BO62" s="1882"/>
      <c r="BP62" s="1882"/>
      <c r="BQ62" s="1882"/>
      <c r="BR62" s="1882"/>
      <c r="BU62" s="1882"/>
      <c r="BV62" s="1882"/>
      <c r="BW62" s="1882"/>
      <c r="BX62" s="1882"/>
      <c r="BY62" s="1882"/>
      <c r="CB62" s="1882"/>
      <c r="CC62" s="1882"/>
      <c r="CD62" s="1882"/>
      <c r="CE62" s="1882"/>
      <c r="CF62" s="1882"/>
      <c r="CI62" s="1882"/>
      <c r="CJ62" s="1882"/>
      <c r="CK62" s="1882"/>
      <c r="CL62" s="1882"/>
      <c r="CM62" s="1882"/>
      <c r="CP62" s="54"/>
      <c r="CQ62" s="54"/>
      <c r="CR62" s="54"/>
      <c r="CS62" s="54"/>
      <c r="CT62" s="714"/>
      <c r="CW62" s="1882"/>
      <c r="CX62" s="1882"/>
      <c r="CY62" s="1882"/>
      <c r="CZ62" s="1882"/>
      <c r="DA62" s="1882"/>
      <c r="DD62" s="1882"/>
      <c r="DE62" s="1882"/>
      <c r="DF62" s="1882"/>
      <c r="DG62" s="1882"/>
      <c r="DH62" s="1882"/>
      <c r="DK62" s="1882"/>
      <c r="DL62" s="1882"/>
      <c r="DM62" s="1882"/>
      <c r="DN62" s="1882"/>
    </row>
    <row r="63" spans="10:140" ht="15.75" customHeight="1">
      <c r="J63" s="1882"/>
      <c r="K63" s="1882"/>
      <c r="L63" s="1882"/>
      <c r="M63" s="1882"/>
      <c r="N63" s="1882"/>
      <c r="Q63" s="1882"/>
      <c r="R63" s="1882"/>
      <c r="S63" s="1882"/>
      <c r="T63" s="1882"/>
      <c r="U63" s="1882"/>
      <c r="X63" s="1882"/>
      <c r="Y63" s="1882"/>
      <c r="Z63" s="1882"/>
      <c r="AA63" s="1882"/>
      <c r="AB63" s="1882"/>
      <c r="AE63" s="1882"/>
      <c r="AF63" s="1882"/>
      <c r="AG63" s="1882"/>
      <c r="AH63" s="1882"/>
      <c r="AI63" s="1882"/>
      <c r="AL63" s="1882"/>
      <c r="AM63" s="1882"/>
      <c r="AN63" s="1882"/>
      <c r="AO63" s="1882"/>
      <c r="AP63" s="1882"/>
      <c r="AS63" s="1882"/>
      <c r="AT63" s="1882"/>
      <c r="AU63" s="1882"/>
      <c r="AV63" s="1882"/>
      <c r="AW63" s="1882"/>
      <c r="AZ63" s="1882"/>
      <c r="BA63" s="1882"/>
      <c r="BB63" s="1882"/>
      <c r="BC63" s="1882"/>
      <c r="BD63" s="1882"/>
      <c r="BG63" s="1882"/>
      <c r="BH63" s="1882"/>
      <c r="BI63" s="1882"/>
      <c r="BJ63" s="1882"/>
      <c r="BK63" s="1882"/>
      <c r="BN63" s="1882"/>
      <c r="BO63" s="1882"/>
      <c r="BP63" s="1882"/>
      <c r="BQ63" s="1882"/>
      <c r="BR63" s="1882"/>
      <c r="BU63" s="1882"/>
      <c r="BV63" s="1882"/>
      <c r="BW63" s="1882"/>
      <c r="BX63" s="1882"/>
      <c r="BY63" s="1882"/>
      <c r="CB63" s="1882"/>
      <c r="CC63" s="1882"/>
      <c r="CD63" s="1882"/>
      <c r="CE63" s="1882"/>
      <c r="CF63" s="1882"/>
      <c r="CI63" s="1882"/>
      <c r="CJ63" s="1882"/>
      <c r="CK63" s="1882"/>
      <c r="CL63" s="1882"/>
      <c r="CM63" s="1882"/>
      <c r="CP63" s="54"/>
      <c r="CQ63" s="54"/>
      <c r="CR63" s="54"/>
      <c r="CS63" s="54"/>
      <c r="CT63" s="714"/>
      <c r="CW63" s="1882"/>
      <c r="CX63" s="1882"/>
      <c r="CY63" s="1882"/>
      <c r="CZ63" s="1882"/>
      <c r="DA63" s="1882"/>
      <c r="DD63" s="1882"/>
      <c r="DE63" s="1882"/>
      <c r="DF63" s="1882"/>
      <c r="DG63" s="1882"/>
      <c r="DH63" s="1882"/>
      <c r="DK63" s="1882"/>
      <c r="DL63" s="1882"/>
      <c r="DM63" s="1882"/>
      <c r="DN63" s="1882"/>
    </row>
    <row r="64" spans="10:140" ht="15.75" customHeight="1">
      <c r="J64" s="1882"/>
      <c r="K64" s="1882"/>
      <c r="L64" s="1882"/>
      <c r="M64" s="1882"/>
      <c r="N64" s="1882"/>
      <c r="Q64" s="1882"/>
      <c r="R64" s="1882"/>
      <c r="S64" s="1882"/>
      <c r="T64" s="1882"/>
      <c r="U64" s="1882"/>
      <c r="X64" s="1882"/>
      <c r="Y64" s="1882"/>
      <c r="Z64" s="1882"/>
      <c r="AA64" s="1882"/>
      <c r="AB64" s="1882"/>
      <c r="AE64" s="1882"/>
      <c r="AF64" s="1882"/>
      <c r="AG64" s="1882"/>
      <c r="AH64" s="1882"/>
      <c r="AI64" s="1882"/>
      <c r="AL64" s="1882"/>
      <c r="AM64" s="1882"/>
      <c r="AN64" s="1882"/>
      <c r="AO64" s="1882"/>
      <c r="AP64" s="1882"/>
      <c r="AS64" s="1882"/>
      <c r="AT64" s="1882"/>
      <c r="AU64" s="1882"/>
      <c r="AV64" s="1882"/>
      <c r="AW64" s="1882"/>
      <c r="AZ64" s="1882"/>
      <c r="BA64" s="1882"/>
      <c r="BB64" s="1882"/>
      <c r="BC64" s="1882"/>
      <c r="BD64" s="1882"/>
      <c r="BG64" s="1882"/>
      <c r="BH64" s="1882"/>
      <c r="BI64" s="1882"/>
      <c r="BJ64" s="1882"/>
      <c r="BK64" s="1882"/>
      <c r="BN64" s="1882"/>
      <c r="BO64" s="1882"/>
      <c r="BP64" s="1882"/>
      <c r="BQ64" s="1882"/>
      <c r="BR64" s="1882"/>
      <c r="BU64" s="1882"/>
      <c r="BV64" s="1882"/>
      <c r="BW64" s="1882"/>
      <c r="BX64" s="1882"/>
      <c r="BY64" s="1882"/>
      <c r="CB64" s="1882"/>
      <c r="CC64" s="1882"/>
      <c r="CD64" s="1882"/>
      <c r="CE64" s="1882"/>
      <c r="CF64" s="1882"/>
      <c r="CI64" s="1882"/>
      <c r="CJ64" s="1882"/>
      <c r="CK64" s="1882"/>
      <c r="CL64" s="1882"/>
      <c r="CM64" s="1882"/>
      <c r="CP64" s="54"/>
      <c r="CQ64" s="54"/>
      <c r="CR64" s="54"/>
      <c r="CS64" s="54"/>
      <c r="CT64" s="714"/>
      <c r="CW64" s="1882"/>
      <c r="CX64" s="1882"/>
      <c r="CY64" s="1882"/>
      <c r="CZ64" s="1882"/>
      <c r="DA64" s="1882"/>
      <c r="DD64" s="1882"/>
      <c r="DE64" s="1882"/>
      <c r="DF64" s="1882"/>
      <c r="DG64" s="1882"/>
      <c r="DH64" s="1882"/>
      <c r="DK64" s="1882"/>
      <c r="DL64" s="1882"/>
      <c r="DM64" s="1882"/>
      <c r="DN64" s="1882"/>
    </row>
    <row r="65" spans="94:107" ht="15.75" customHeight="1">
      <c r="CP65" s="54"/>
      <c r="CQ65" s="54"/>
      <c r="CR65" s="54"/>
      <c r="CS65" s="54"/>
      <c r="CT65" s="714"/>
      <c r="CW65" s="1882"/>
      <c r="CX65" s="1882"/>
      <c r="CY65" s="1882"/>
      <c r="CZ65" s="1882"/>
      <c r="DA65" s="1882"/>
    </row>
    <row r="66" spans="94:107" ht="15.75" customHeight="1">
      <c r="CP66" s="54"/>
      <c r="CQ66" s="54"/>
      <c r="CR66" s="54"/>
      <c r="CS66" s="54"/>
      <c r="CT66" s="714"/>
      <c r="CW66" s="1882"/>
      <c r="CX66" s="1882"/>
      <c r="CY66" s="1882"/>
      <c r="CZ66" s="1882"/>
      <c r="DA66" s="1882"/>
      <c r="DB66" s="56"/>
      <c r="DC66" s="57"/>
    </row>
    <row r="67" spans="94:107" ht="15.75" customHeight="1">
      <c r="CP67" s="54"/>
      <c r="CQ67" s="54"/>
      <c r="CR67" s="54"/>
      <c r="CS67" s="54"/>
      <c r="CT67" s="714"/>
      <c r="CW67" s="1882"/>
      <c r="CX67" s="1882"/>
      <c r="CY67" s="1882"/>
      <c r="CZ67" s="1882"/>
      <c r="DA67" s="1882"/>
    </row>
    <row r="68" spans="94:107" ht="15.75" customHeight="1">
      <c r="CP68" s="54"/>
      <c r="CQ68" s="54"/>
      <c r="CR68" s="54"/>
      <c r="CS68" s="54"/>
      <c r="CT68" s="714"/>
      <c r="CW68" s="1882"/>
      <c r="CX68" s="1882"/>
      <c r="CY68" s="1882"/>
      <c r="CZ68" s="1882"/>
      <c r="DA68" s="1882"/>
    </row>
    <row r="69" spans="94:107" ht="15.75" customHeight="1">
      <c r="CP69" s="54"/>
      <c r="CQ69" s="54"/>
      <c r="CR69" s="54"/>
      <c r="CS69" s="54"/>
      <c r="CT69" s="714"/>
      <c r="CW69" s="1882"/>
      <c r="CX69" s="1882"/>
      <c r="CY69" s="1882"/>
      <c r="CZ69" s="1882"/>
      <c r="DA69" s="1882"/>
    </row>
    <row r="70" spans="94:107" ht="15.75" customHeight="1">
      <c r="CP70" s="54"/>
      <c r="CQ70" s="54"/>
      <c r="CR70" s="54"/>
      <c r="CS70" s="54"/>
      <c r="CT70" s="714"/>
      <c r="CW70" s="1882"/>
      <c r="CX70" s="1882"/>
      <c r="CY70" s="1882"/>
      <c r="CZ70" s="1882"/>
      <c r="DA70" s="1882"/>
    </row>
    <row r="71" spans="94:107" ht="15.75" customHeight="1">
      <c r="CP71" s="1882"/>
      <c r="CQ71" s="1882"/>
      <c r="CR71" s="1882"/>
      <c r="CS71" s="1882"/>
      <c r="CW71" s="1882"/>
      <c r="CX71" s="1882"/>
      <c r="CY71" s="1882"/>
      <c r="CZ71" s="1882"/>
      <c r="DA71" s="1882"/>
    </row>
    <row r="72" spans="94:107" ht="15.75" customHeight="1">
      <c r="CP72" s="1882"/>
      <c r="CQ72" s="1882"/>
      <c r="CR72" s="1882"/>
      <c r="CS72" s="1882"/>
      <c r="CW72" s="1882"/>
      <c r="CX72" s="1882"/>
      <c r="CY72" s="1882"/>
      <c r="CZ72" s="1882"/>
      <c r="DA72" s="1882"/>
    </row>
    <row r="73" spans="94:107" ht="15.75" customHeight="1">
      <c r="CP73" s="1882"/>
      <c r="CQ73" s="1882"/>
      <c r="CR73" s="1882"/>
      <c r="CS73" s="1882"/>
      <c r="CW73" s="1882"/>
      <c r="CX73" s="1882"/>
      <c r="CY73" s="1882"/>
      <c r="CZ73" s="1882"/>
      <c r="DA73" s="1882"/>
    </row>
    <row r="74" spans="94:107" ht="15.75" customHeight="1">
      <c r="CP74" s="1882"/>
      <c r="CQ74" s="1882"/>
      <c r="CR74" s="1882"/>
      <c r="CS74" s="1882"/>
      <c r="CW74" s="1882"/>
      <c r="CX74" s="1882"/>
      <c r="CY74" s="1882"/>
      <c r="CZ74" s="1882"/>
      <c r="DA74" s="1882"/>
    </row>
    <row r="75" spans="94:107" ht="15.75" customHeight="1">
      <c r="CP75" s="1882"/>
      <c r="CQ75" s="1882"/>
      <c r="CR75" s="1882"/>
      <c r="CS75" s="1882"/>
      <c r="CW75" s="1882"/>
      <c r="CX75" s="1882"/>
      <c r="CY75" s="1882"/>
      <c r="CZ75" s="1882"/>
      <c r="DA75" s="1882"/>
    </row>
    <row r="76" spans="94:107" ht="15.75" customHeight="1">
      <c r="CP76" s="1882"/>
      <c r="CQ76" s="1882"/>
      <c r="CR76" s="1882"/>
      <c r="CS76" s="1882"/>
      <c r="CW76" s="1882"/>
      <c r="CX76" s="1882"/>
      <c r="CY76" s="1882"/>
      <c r="CZ76" s="1882"/>
      <c r="DA76" s="1882"/>
    </row>
    <row r="77" spans="94:107" ht="15.75" customHeight="1">
      <c r="CP77" s="1882"/>
      <c r="CQ77" s="1882"/>
      <c r="CR77" s="1882"/>
      <c r="CS77" s="1882"/>
      <c r="CW77" s="1882"/>
      <c r="CX77" s="1882"/>
      <c r="CY77" s="1882"/>
      <c r="CZ77" s="1882"/>
      <c r="DA77" s="1882"/>
    </row>
    <row r="78" spans="94:107" ht="15.75" customHeight="1">
      <c r="CP78" s="1882"/>
      <c r="CQ78" s="1882"/>
      <c r="CR78" s="1882"/>
      <c r="CS78" s="1882"/>
      <c r="CW78" s="1882"/>
      <c r="CX78" s="1882"/>
      <c r="CY78" s="1882"/>
      <c r="CZ78" s="1882"/>
      <c r="DA78" s="1882"/>
    </row>
    <row r="79" spans="94:107" ht="15.75" customHeight="1">
      <c r="CP79" s="1882"/>
      <c r="CQ79" s="1882"/>
      <c r="CR79" s="1882"/>
      <c r="CS79" s="1882"/>
      <c r="CW79" s="1882"/>
      <c r="CX79" s="1882"/>
      <c r="CY79" s="1882"/>
      <c r="CZ79" s="1882"/>
      <c r="DA79" s="1882"/>
    </row>
    <row r="80" spans="94:107" ht="15.75" customHeight="1">
      <c r="CP80" s="1882"/>
      <c r="CQ80" s="1882"/>
      <c r="CR80" s="1882"/>
      <c r="CS80" s="1882"/>
      <c r="CW80" s="1882"/>
      <c r="CX80" s="1882"/>
      <c r="CY80" s="1882"/>
      <c r="CZ80" s="1882"/>
      <c r="DA80" s="1882"/>
    </row>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spans="99:100" ht="15.75" customHeight="1">
      <c r="CU129" s="56"/>
      <c r="CV129" s="57"/>
    </row>
    <row r="130" spans="99:100" ht="15.75" customHeight="1">
      <c r="CU130" s="56"/>
      <c r="CV130" s="57"/>
    </row>
    <row r="131" spans="99:100" ht="15.75" customHeight="1">
      <c r="CU131" s="56"/>
      <c r="CV131" s="57"/>
    </row>
    <row r="132" spans="99:100" ht="15.75" customHeight="1">
      <c r="CU132" s="56"/>
      <c r="CV132" s="57"/>
    </row>
    <row r="133" spans="99:100" ht="15.75" customHeight="1">
      <c r="CU133" s="56"/>
      <c r="CV133" s="57"/>
    </row>
    <row r="134" spans="99:100" ht="15.75" customHeight="1">
      <c r="CU134" s="56"/>
      <c r="CV134" s="57"/>
    </row>
    <row r="135" spans="99:100" ht="15.75" customHeight="1">
      <c r="CU135" s="56"/>
      <c r="CV135" s="57"/>
    </row>
    <row r="136" spans="99:100" ht="15.75" customHeight="1">
      <c r="CU136" s="56"/>
      <c r="CV136" s="57"/>
    </row>
    <row r="137" spans="99:100" ht="15.75" customHeight="1">
      <c r="CU137" s="56"/>
      <c r="CV137" s="57"/>
    </row>
    <row r="138" spans="99:100" ht="15.75" customHeight="1">
      <c r="CU138" s="56"/>
      <c r="CV138" s="57"/>
    </row>
    <row r="139" spans="99:100" ht="15.75" customHeight="1">
      <c r="CU139" s="56"/>
      <c r="CV139" s="57"/>
    </row>
    <row r="140" spans="99:100" ht="15.75" customHeight="1">
      <c r="CU140" s="56"/>
      <c r="CV140" s="57"/>
    </row>
    <row r="141" spans="99:100" ht="15.75" customHeight="1"/>
    <row r="142" spans="99:100" ht="15.75" customHeight="1"/>
    <row r="143" spans="99:100" ht="15.75" customHeight="1"/>
    <row r="144" spans="99:10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sheetData>
  <sheetProtection algorithmName="SHA-512" hashValue="4Y3ApqOo5z2D54bgTJ/e4om3rRYiYS5Lv8wg4mm3f4XbzCsAQrpxJHv6kJhP5MCmHiTL87RVr4GrQqneF1QX2Q==" saltValue="NDivl0J/C/QmRbWd+xz5yQ==" spinCount="100000" sheet="1" objects="1" scenarios="1" selectLockedCells="1"/>
  <pageMargins left="0.70866141732283472" right="0.70866141732283472" top="0.74803149606299213" bottom="0.74803149606299213" header="0.31496062992125984" footer="0.31496062992125984"/>
  <pageSetup paperSize="9" scale="10" orientation="portrait" r:id="rId1"/>
  <headerFooter>
    <oddFooter>&amp;L2016 Annual performance report tables, December 2015</oddFooter>
  </headerFooter>
  <legacyDrawing r:id="rId2"/>
  <legacyDrawingHF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dimension ref="A1:BH223"/>
  <sheetViews>
    <sheetView workbookViewId="0"/>
  </sheetViews>
  <sheetFormatPr defaultRowHeight="14"/>
  <cols>
    <col min="49" max="52" width="9" style="1882"/>
    <col min="53" max="53" width="3.08203125" customWidth="1"/>
  </cols>
  <sheetData>
    <row r="1" spans="1:54" ht="80">
      <c r="A1" s="2093"/>
      <c r="B1" s="2093"/>
      <c r="C1" s="2093"/>
      <c r="D1" s="2093"/>
      <c r="E1" s="2093"/>
      <c r="F1" s="2093"/>
      <c r="G1" s="2093"/>
      <c r="H1" s="2093"/>
      <c r="I1" s="2093"/>
      <c r="J1" s="2093"/>
      <c r="K1" s="2093" t="s">
        <v>11698</v>
      </c>
      <c r="L1" s="2093"/>
      <c r="M1" s="2093"/>
      <c r="N1" s="2093"/>
      <c r="O1" s="2093"/>
      <c r="P1" s="2093"/>
      <c r="Q1" s="2093"/>
      <c r="R1" s="2093"/>
      <c r="S1" s="2093"/>
      <c r="T1" s="2093"/>
      <c r="U1" s="2093"/>
      <c r="V1" s="2093" t="s">
        <v>11699</v>
      </c>
      <c r="W1" s="2093"/>
      <c r="X1" s="2093"/>
      <c r="Y1" s="2093"/>
      <c r="Z1" s="2093"/>
      <c r="AA1" s="2093"/>
      <c r="AB1" s="2093"/>
      <c r="AC1" s="2093" t="s">
        <v>11700</v>
      </c>
      <c r="AD1" s="2093"/>
      <c r="AE1" s="2093"/>
      <c r="AF1" s="2093"/>
      <c r="AG1" s="2093"/>
      <c r="AH1" s="2093"/>
      <c r="AI1" s="2093"/>
      <c r="AJ1" s="2093" t="s">
        <v>11701</v>
      </c>
      <c r="AK1" s="2093"/>
      <c r="AL1" s="2093"/>
      <c r="AM1" s="2093"/>
      <c r="AN1" s="2093"/>
      <c r="AO1" s="2093"/>
      <c r="AP1" s="2093"/>
      <c r="AQ1" s="2093"/>
      <c r="AR1" s="2094" t="s">
        <v>11702</v>
      </c>
      <c r="AS1" s="2094"/>
      <c r="AT1" s="2094"/>
      <c r="AU1" s="2095" t="s">
        <v>11703</v>
      </c>
      <c r="AV1" s="2095"/>
      <c r="AW1" s="2096" t="s">
        <v>11704</v>
      </c>
      <c r="AX1" s="2096"/>
      <c r="AY1" s="2814" t="s">
        <v>11705</v>
      </c>
      <c r="AZ1" s="2814"/>
      <c r="BA1" s="2093"/>
      <c r="BB1" s="2093"/>
    </row>
    <row r="2" spans="1:54" ht="50">
      <c r="A2" s="2093" t="s">
        <v>2306</v>
      </c>
      <c r="B2" s="2093" t="s">
        <v>8442</v>
      </c>
      <c r="C2" s="2093" t="s">
        <v>8441</v>
      </c>
      <c r="D2" s="2093" t="s">
        <v>8444</v>
      </c>
      <c r="E2" s="2093" t="s">
        <v>8446</v>
      </c>
      <c r="F2" s="2093" t="s">
        <v>2307</v>
      </c>
      <c r="G2" s="2093" t="s">
        <v>11706</v>
      </c>
      <c r="H2" s="2093" t="s">
        <v>11707</v>
      </c>
      <c r="I2" s="2093" t="s">
        <v>8454</v>
      </c>
      <c r="J2" s="2093" t="s">
        <v>8456</v>
      </c>
      <c r="K2" s="2093" t="s">
        <v>11708</v>
      </c>
      <c r="L2" s="2093" t="s">
        <v>11709</v>
      </c>
      <c r="M2" s="2093" t="s">
        <v>11710</v>
      </c>
      <c r="N2" s="2093" t="s">
        <v>11711</v>
      </c>
      <c r="O2" s="2093" t="s">
        <v>11712</v>
      </c>
      <c r="P2" s="2093" t="s">
        <v>11713</v>
      </c>
      <c r="Q2" s="2093" t="s">
        <v>2356</v>
      </c>
      <c r="R2" s="2093" t="s">
        <v>11714</v>
      </c>
      <c r="S2" s="2093" t="s">
        <v>11715</v>
      </c>
      <c r="T2" s="2093" t="s">
        <v>2308</v>
      </c>
      <c r="U2" s="2093" t="s">
        <v>2310</v>
      </c>
      <c r="V2" s="2093" t="s">
        <v>11716</v>
      </c>
      <c r="W2" s="2093" t="s">
        <v>11717</v>
      </c>
      <c r="X2" s="2093" t="s">
        <v>8472</v>
      </c>
      <c r="Y2" s="2093" t="s">
        <v>2445</v>
      </c>
      <c r="Z2" s="2093" t="s">
        <v>2446</v>
      </c>
      <c r="AA2" s="2093" t="s">
        <v>2447</v>
      </c>
      <c r="AB2" s="2093" t="s">
        <v>2448</v>
      </c>
      <c r="AC2" s="2093" t="s">
        <v>11716</v>
      </c>
      <c r="AD2" s="2093" t="s">
        <v>11717</v>
      </c>
      <c r="AE2" s="2093" t="s">
        <v>8472</v>
      </c>
      <c r="AF2" s="2093" t="s">
        <v>2445</v>
      </c>
      <c r="AG2" s="2093" t="s">
        <v>2446</v>
      </c>
      <c r="AH2" s="2093" t="s">
        <v>2447</v>
      </c>
      <c r="AI2" s="2093" t="s">
        <v>2448</v>
      </c>
      <c r="AJ2" s="2093" t="s">
        <v>11716</v>
      </c>
      <c r="AK2" s="2093" t="s">
        <v>11717</v>
      </c>
      <c r="AL2" s="2093" t="s">
        <v>8472</v>
      </c>
      <c r="AM2" s="2093" t="s">
        <v>2445</v>
      </c>
      <c r="AN2" s="2093" t="s">
        <v>2446</v>
      </c>
      <c r="AO2" s="2093" t="s">
        <v>2447</v>
      </c>
      <c r="AP2" s="2093" t="s">
        <v>2448</v>
      </c>
      <c r="AQ2" s="2093" t="s">
        <v>11718</v>
      </c>
      <c r="AR2" s="2094" t="s">
        <v>11719</v>
      </c>
      <c r="AS2" s="2094" t="s">
        <v>11720</v>
      </c>
      <c r="AT2" s="2094" t="s">
        <v>11721</v>
      </c>
      <c r="AU2" s="2095" t="s">
        <v>11722</v>
      </c>
      <c r="AV2" s="2095" t="s">
        <v>11723</v>
      </c>
      <c r="AW2" s="2096" t="s">
        <v>11724</v>
      </c>
      <c r="AX2" s="2096" t="s">
        <v>11725</v>
      </c>
      <c r="AY2" s="2814" t="s">
        <v>11726</v>
      </c>
      <c r="AZ2" s="2814" t="s">
        <v>11727</v>
      </c>
      <c r="BA2" s="2093"/>
      <c r="BB2" s="2093" t="s">
        <v>2307</v>
      </c>
    </row>
    <row r="3" spans="1:54">
      <c r="A3" s="1882" t="s">
        <v>8699</v>
      </c>
      <c r="B3" s="1882" t="s">
        <v>8352</v>
      </c>
      <c r="C3" s="1882" t="s">
        <v>8355</v>
      </c>
      <c r="D3" s="1882" t="s">
        <v>8503</v>
      </c>
      <c r="E3" s="1882" t="s">
        <v>8701</v>
      </c>
      <c r="F3" s="1882" t="s">
        <v>8703</v>
      </c>
      <c r="G3" s="1882" t="s">
        <v>8519</v>
      </c>
      <c r="H3" s="1882" t="s">
        <v>8569</v>
      </c>
      <c r="I3" s="1882" t="s">
        <v>8705</v>
      </c>
      <c r="J3" s="1882" t="s">
        <v>8706</v>
      </c>
      <c r="K3" s="1882" t="s">
        <v>2458</v>
      </c>
      <c r="L3" s="1882" t="s">
        <v>2458</v>
      </c>
      <c r="M3" s="1882" t="s">
        <v>2458</v>
      </c>
      <c r="N3" s="1882" t="s">
        <v>2458</v>
      </c>
      <c r="O3" s="1882" t="s">
        <v>2458</v>
      </c>
      <c r="P3" s="1882" t="s">
        <v>11728</v>
      </c>
      <c r="Q3" s="1882" t="s">
        <v>8703</v>
      </c>
      <c r="R3" s="1882"/>
      <c r="S3" s="1882"/>
      <c r="T3" s="1882" t="s">
        <v>8704</v>
      </c>
      <c r="U3" s="1882" t="s">
        <v>8512</v>
      </c>
      <c r="V3" s="1882"/>
      <c r="W3" s="1882"/>
      <c r="X3" s="1882"/>
      <c r="Y3" s="1882"/>
      <c r="Z3" s="1882"/>
      <c r="AA3" s="1882"/>
      <c r="AB3" s="1882"/>
      <c r="AC3" s="1882"/>
      <c r="AD3" s="1882"/>
      <c r="AE3" s="1882"/>
      <c r="AF3" s="1882"/>
      <c r="AG3" s="1882"/>
      <c r="AH3" s="1882"/>
      <c r="AI3" s="1882"/>
      <c r="AJ3" s="1882"/>
      <c r="AK3" s="1882"/>
      <c r="AL3" s="1882"/>
      <c r="AM3" s="1882"/>
      <c r="AN3" s="1882"/>
      <c r="AO3" s="1882"/>
      <c r="AP3" s="1882"/>
      <c r="AQ3" s="1882"/>
      <c r="AR3" s="1882" t="s">
        <v>8706</v>
      </c>
      <c r="AS3" s="1882" t="s">
        <v>2458</v>
      </c>
      <c r="AT3" s="1882" t="s">
        <v>2459</v>
      </c>
      <c r="AU3" s="1882" t="s">
        <v>2457</v>
      </c>
      <c r="AV3" s="1882" t="s">
        <v>2460</v>
      </c>
      <c r="AW3" s="1882" t="s">
        <v>2458</v>
      </c>
      <c r="AX3" s="1882" t="s">
        <v>2459</v>
      </c>
      <c r="AY3" s="1882" t="s">
        <v>2458</v>
      </c>
      <c r="AZ3" s="1882" t="s">
        <v>2459</v>
      </c>
      <c r="BA3" s="1882"/>
      <c r="BB3" s="1882" t="s">
        <v>11729</v>
      </c>
    </row>
    <row r="4" spans="1:54">
      <c r="A4" s="1882" t="s">
        <v>8699</v>
      </c>
      <c r="B4" s="1882" t="s">
        <v>8352</v>
      </c>
      <c r="C4" s="1882" t="s">
        <v>8355</v>
      </c>
      <c r="D4" s="1882" t="s">
        <v>8503</v>
      </c>
      <c r="E4" s="1882" t="s">
        <v>8701</v>
      </c>
      <c r="F4" s="1882" t="s">
        <v>8703</v>
      </c>
      <c r="G4" s="1882"/>
      <c r="H4" s="1882"/>
      <c r="I4" s="1882"/>
      <c r="J4" s="1882"/>
      <c r="K4" s="1882"/>
      <c r="L4" s="1882"/>
      <c r="M4" s="1882"/>
      <c r="N4" s="1882"/>
      <c r="O4" s="1882"/>
      <c r="P4" s="1882" t="s">
        <v>11730</v>
      </c>
      <c r="Q4" s="1882" t="s">
        <v>11731</v>
      </c>
      <c r="R4" s="1882" t="s">
        <v>11732</v>
      </c>
      <c r="S4" s="1882"/>
      <c r="T4" s="1882" t="s">
        <v>764</v>
      </c>
      <c r="U4" s="520" t="s">
        <v>2453</v>
      </c>
      <c r="V4" s="1882">
        <v>750</v>
      </c>
      <c r="W4" s="1882"/>
      <c r="X4" s="1882">
        <v>750</v>
      </c>
      <c r="Y4" s="1882">
        <v>750</v>
      </c>
      <c r="Z4" s="1882">
        <v>750</v>
      </c>
      <c r="AA4" s="1882">
        <v>750</v>
      </c>
      <c r="AB4" s="1882">
        <v>750</v>
      </c>
      <c r="AC4" s="1882">
        <v>1500</v>
      </c>
      <c r="AD4" s="1882"/>
      <c r="AE4" s="1882">
        <v>1500</v>
      </c>
      <c r="AF4" s="1882">
        <v>1500</v>
      </c>
      <c r="AG4" s="1882">
        <v>1500</v>
      </c>
      <c r="AH4" s="1882">
        <v>1500</v>
      </c>
      <c r="AI4" s="1882">
        <v>1500</v>
      </c>
      <c r="AJ4" s="1882"/>
      <c r="AK4" s="1882"/>
      <c r="AL4" s="1882"/>
      <c r="AM4" s="1882"/>
      <c r="AN4" s="1882"/>
      <c r="AO4" s="1882"/>
      <c r="AP4" s="1882"/>
      <c r="AQ4" s="1882">
        <v>1500</v>
      </c>
      <c r="AR4" s="1882">
        <v>6529</v>
      </c>
      <c r="AS4" s="1882">
        <v>1256</v>
      </c>
      <c r="AT4" s="1882" t="s">
        <v>2459</v>
      </c>
      <c r="AU4" s="1882">
        <v>2459</v>
      </c>
      <c r="AV4" s="1882" t="s">
        <v>2460</v>
      </c>
      <c r="AW4" s="1882">
        <v>1263</v>
      </c>
      <c r="AX4" s="1882" t="s">
        <v>2459</v>
      </c>
      <c r="AY4" s="1882">
        <v>2267</v>
      </c>
      <c r="AZ4" s="1882" t="s">
        <v>2460</v>
      </c>
      <c r="BA4" s="1882"/>
      <c r="BB4" s="1882" t="s">
        <v>11733</v>
      </c>
    </row>
    <row r="5" spans="1:54">
      <c r="A5" s="1882" t="s">
        <v>8699</v>
      </c>
      <c r="B5" s="1882" t="s">
        <v>8352</v>
      </c>
      <c r="C5" s="1882" t="s">
        <v>8355</v>
      </c>
      <c r="D5" s="1882" t="s">
        <v>8503</v>
      </c>
      <c r="E5" s="1882" t="s">
        <v>8701</v>
      </c>
      <c r="F5" s="1882" t="s">
        <v>8703</v>
      </c>
      <c r="G5" s="1882"/>
      <c r="H5" s="1882"/>
      <c r="I5" s="1882"/>
      <c r="J5" s="1882"/>
      <c r="K5" s="1882"/>
      <c r="L5" s="1882"/>
      <c r="M5" s="1882"/>
      <c r="N5" s="1882"/>
      <c r="O5" s="1882"/>
      <c r="P5" s="1882" t="s">
        <v>11734</v>
      </c>
      <c r="Q5" s="1882" t="s">
        <v>11735</v>
      </c>
      <c r="R5" s="1882" t="s">
        <v>11736</v>
      </c>
      <c r="S5" s="1882"/>
      <c r="T5" s="1882"/>
      <c r="U5" s="1882">
        <v>1</v>
      </c>
      <c r="V5" s="1882"/>
      <c r="W5" s="1882"/>
      <c r="X5" s="1882">
        <v>-5.3</v>
      </c>
      <c r="Y5" s="1882">
        <v>-5.3</v>
      </c>
      <c r="Z5" s="1882">
        <v>-5.3</v>
      </c>
      <c r="AA5" s="1882">
        <v>-5.3</v>
      </c>
      <c r="AB5" s="1882">
        <v>-5.3</v>
      </c>
      <c r="AC5" s="1882"/>
      <c r="AD5" s="1882"/>
      <c r="AE5" s="1882">
        <v>1.8</v>
      </c>
      <c r="AF5" s="1882">
        <v>1.8</v>
      </c>
      <c r="AG5" s="1882">
        <v>1.8</v>
      </c>
      <c r="AH5" s="1882">
        <v>1.8</v>
      </c>
      <c r="AI5" s="1882">
        <v>1.8</v>
      </c>
      <c r="AJ5" s="1882"/>
      <c r="AK5" s="1882"/>
      <c r="AL5" s="1882"/>
      <c r="AM5" s="1882"/>
      <c r="AN5" s="1882"/>
      <c r="AO5" s="1882"/>
      <c r="AP5" s="1882"/>
      <c r="AQ5" s="1882" t="s">
        <v>11737</v>
      </c>
      <c r="AR5" s="1882" t="s">
        <v>3514</v>
      </c>
      <c r="AS5" s="1882" t="s">
        <v>11738</v>
      </c>
      <c r="AT5" s="1882" t="s">
        <v>2459</v>
      </c>
      <c r="AU5" s="1882" t="s">
        <v>11739</v>
      </c>
      <c r="AV5" s="1882" t="s">
        <v>2460</v>
      </c>
      <c r="AW5" s="1882">
        <v>-11</v>
      </c>
      <c r="AX5" s="1882" t="s">
        <v>2459</v>
      </c>
      <c r="AY5" s="1882">
        <v>0</v>
      </c>
      <c r="AZ5" s="1882" t="s">
        <v>2459</v>
      </c>
      <c r="BA5" s="1882"/>
      <c r="BB5" s="1882" t="s">
        <v>11740</v>
      </c>
    </row>
    <row r="6" spans="1:54">
      <c r="A6" s="1882" t="s">
        <v>8699</v>
      </c>
      <c r="B6" s="1882" t="s">
        <v>8352</v>
      </c>
      <c r="C6" s="1882" t="s">
        <v>8355</v>
      </c>
      <c r="D6" s="1882" t="s">
        <v>8503</v>
      </c>
      <c r="E6" s="1882" t="s">
        <v>8701</v>
      </c>
      <c r="F6" s="1882" t="s">
        <v>8703</v>
      </c>
      <c r="G6" s="1882"/>
      <c r="H6" s="1882"/>
      <c r="I6" s="1882"/>
      <c r="J6" s="1882"/>
      <c r="K6" s="1882"/>
      <c r="L6" s="1882"/>
      <c r="M6" s="1882"/>
      <c r="N6" s="1882"/>
      <c r="O6" s="1882"/>
      <c r="P6" s="1882" t="s">
        <v>11741</v>
      </c>
      <c r="Q6" s="1882" t="s">
        <v>11742</v>
      </c>
      <c r="R6" s="1882" t="s">
        <v>11743</v>
      </c>
      <c r="S6" s="1882"/>
      <c r="T6" s="1882"/>
      <c r="U6" s="1882">
        <v>2</v>
      </c>
      <c r="V6" s="1882">
        <v>0.56000000000000005</v>
      </c>
      <c r="W6" s="1882"/>
      <c r="X6" s="1882">
        <v>0.47</v>
      </c>
      <c r="Y6" s="1882">
        <v>0.47</v>
      </c>
      <c r="Z6" s="1882">
        <v>0.47</v>
      </c>
      <c r="AA6" s="1882">
        <v>0.47</v>
      </c>
      <c r="AB6" s="1882">
        <v>0.47</v>
      </c>
      <c r="AC6" s="1882">
        <v>0.66</v>
      </c>
      <c r="AD6" s="1882"/>
      <c r="AE6" s="1882">
        <v>0.52</v>
      </c>
      <c r="AF6" s="1882">
        <v>0.52</v>
      </c>
      <c r="AG6" s="1882">
        <v>0.52</v>
      </c>
      <c r="AH6" s="1882">
        <v>0.52</v>
      </c>
      <c r="AI6" s="1882">
        <v>0.52</v>
      </c>
      <c r="AJ6" s="1882"/>
      <c r="AK6" s="1882"/>
      <c r="AL6" s="1882"/>
      <c r="AM6" s="1882"/>
      <c r="AN6" s="1882"/>
      <c r="AO6" s="1882"/>
      <c r="AP6" s="1882"/>
      <c r="AQ6" s="1882">
        <v>0.52</v>
      </c>
      <c r="AR6" s="1882">
        <v>0.47</v>
      </c>
      <c r="AS6" s="1882">
        <v>0.39</v>
      </c>
      <c r="AT6" s="1882" t="s">
        <v>2459</v>
      </c>
      <c r="AU6" s="1882">
        <v>0.41</v>
      </c>
      <c r="AV6" s="1882" t="s">
        <v>2459</v>
      </c>
      <c r="AW6" s="1882">
        <v>0.36</v>
      </c>
      <c r="AX6" s="1882" t="s">
        <v>2459</v>
      </c>
      <c r="AY6" s="1882">
        <v>0.37</v>
      </c>
      <c r="AZ6" s="1882" t="s">
        <v>2459</v>
      </c>
      <c r="BA6" s="1882"/>
      <c r="BB6" s="1882" t="s">
        <v>11744</v>
      </c>
    </row>
    <row r="7" spans="1:54">
      <c r="A7" s="1882" t="s">
        <v>8699</v>
      </c>
      <c r="B7" s="1882" t="s">
        <v>8352</v>
      </c>
      <c r="C7" s="1882" t="s">
        <v>8355</v>
      </c>
      <c r="D7" s="1882" t="s">
        <v>8503</v>
      </c>
      <c r="E7" s="1882" t="s">
        <v>8701</v>
      </c>
      <c r="F7" s="1882" t="s">
        <v>8703</v>
      </c>
      <c r="G7" s="1882"/>
      <c r="H7" s="1882"/>
      <c r="I7" s="1882"/>
      <c r="J7" s="1882"/>
      <c r="K7" s="1882"/>
      <c r="L7" s="1882"/>
      <c r="M7" s="1882"/>
      <c r="N7" s="1882"/>
      <c r="O7" s="1882"/>
      <c r="P7" s="1882" t="s">
        <v>11745</v>
      </c>
      <c r="Q7" s="1882" t="s">
        <v>11746</v>
      </c>
      <c r="R7" s="1882" t="s">
        <v>11747</v>
      </c>
      <c r="S7" s="1882"/>
      <c r="T7" s="1882"/>
      <c r="U7" s="1882">
        <v>2</v>
      </c>
      <c r="V7" s="1882">
        <v>7.0000000000000007E-2</v>
      </c>
      <c r="W7" s="1882"/>
      <c r="X7" s="1882">
        <v>7.0000000000000007E-2</v>
      </c>
      <c r="Y7" s="1882">
        <v>7.0000000000000007E-2</v>
      </c>
      <c r="Z7" s="1882">
        <v>7.0000000000000007E-2</v>
      </c>
      <c r="AA7" s="1882">
        <v>7.0000000000000007E-2</v>
      </c>
      <c r="AB7" s="1882">
        <v>7.0000000000000007E-2</v>
      </c>
      <c r="AC7" s="1882">
        <v>0.19</v>
      </c>
      <c r="AD7" s="1882"/>
      <c r="AE7" s="1882">
        <v>0.16</v>
      </c>
      <c r="AF7" s="1882">
        <v>0.16</v>
      </c>
      <c r="AG7" s="1882">
        <v>0.16</v>
      </c>
      <c r="AH7" s="1882">
        <v>0.16</v>
      </c>
      <c r="AI7" s="1882">
        <v>0.16</v>
      </c>
      <c r="AJ7" s="1882"/>
      <c r="AK7" s="1882"/>
      <c r="AL7" s="1882"/>
      <c r="AM7" s="1882"/>
      <c r="AN7" s="1882"/>
      <c r="AO7" s="1882"/>
      <c r="AP7" s="1882"/>
      <c r="AQ7" s="1882">
        <v>0.16</v>
      </c>
      <c r="AR7" s="1882">
        <v>0.06</v>
      </c>
      <c r="AS7" s="1882">
        <v>0.05</v>
      </c>
      <c r="AT7" s="1882" t="s">
        <v>2459</v>
      </c>
      <c r="AU7" s="1882">
        <v>0.04</v>
      </c>
      <c r="AV7" s="1882" t="s">
        <v>2459</v>
      </c>
      <c r="AW7" s="1882">
        <v>0.05</v>
      </c>
      <c r="AX7" s="1882" t="s">
        <v>2459</v>
      </c>
      <c r="AY7" s="1882">
        <v>7.0000000000000007E-2</v>
      </c>
      <c r="AZ7" s="1882" t="s">
        <v>2459</v>
      </c>
      <c r="BA7" s="1882"/>
      <c r="BB7" s="1882" t="s">
        <v>11748</v>
      </c>
    </row>
    <row r="8" spans="1:54">
      <c r="A8" s="1882" t="s">
        <v>8708</v>
      </c>
      <c r="B8" s="1882" t="s">
        <v>8352</v>
      </c>
      <c r="C8" s="1882" t="s">
        <v>8355</v>
      </c>
      <c r="D8" s="1882" t="s">
        <v>8503</v>
      </c>
      <c r="E8" s="1882" t="s">
        <v>8709</v>
      </c>
      <c r="F8" s="1882" t="s">
        <v>8711</v>
      </c>
      <c r="G8" s="1882" t="s">
        <v>8519</v>
      </c>
      <c r="H8" s="1882" t="s">
        <v>8569</v>
      </c>
      <c r="I8" s="1882" t="s">
        <v>8705</v>
      </c>
      <c r="J8" s="1882" t="s">
        <v>8706</v>
      </c>
      <c r="K8" s="1882" t="s">
        <v>2458</v>
      </c>
      <c r="L8" s="1882" t="s">
        <v>2458</v>
      </c>
      <c r="M8" s="1882" t="s">
        <v>2458</v>
      </c>
      <c r="N8" s="1882" t="s">
        <v>2458</v>
      </c>
      <c r="O8" s="1882" t="s">
        <v>2458</v>
      </c>
      <c r="P8" s="1882" t="s">
        <v>11728</v>
      </c>
      <c r="Q8" s="1882" t="s">
        <v>8711</v>
      </c>
      <c r="R8" s="1882"/>
      <c r="S8" s="1882"/>
      <c r="T8" s="1882" t="s">
        <v>8704</v>
      </c>
      <c r="U8" s="1882" t="s">
        <v>8512</v>
      </c>
      <c r="V8" s="1882"/>
      <c r="W8" s="1882"/>
      <c r="X8" s="1882"/>
      <c r="Y8" s="1882"/>
      <c r="Z8" s="1882"/>
      <c r="AA8" s="1882"/>
      <c r="AB8" s="1882"/>
      <c r="AC8" s="1882"/>
      <c r="AD8" s="1882"/>
      <c r="AE8" s="1882"/>
      <c r="AF8" s="1882"/>
      <c r="AG8" s="1882"/>
      <c r="AH8" s="1882"/>
      <c r="AI8" s="1882"/>
      <c r="AJ8" s="1882"/>
      <c r="AK8" s="1882"/>
      <c r="AL8" s="1882"/>
      <c r="AM8" s="1882"/>
      <c r="AN8" s="1882"/>
      <c r="AO8" s="1882"/>
      <c r="AP8" s="1882"/>
      <c r="AQ8" s="1882"/>
      <c r="AR8" s="1882" t="s">
        <v>8706</v>
      </c>
      <c r="AS8" s="1882" t="s">
        <v>2458</v>
      </c>
      <c r="AT8" s="1882" t="s">
        <v>2459</v>
      </c>
      <c r="AU8" s="1882" t="s">
        <v>2458</v>
      </c>
      <c r="AV8" s="1882" t="s">
        <v>2459</v>
      </c>
      <c r="AW8" s="1882" t="s">
        <v>2458</v>
      </c>
      <c r="AX8" s="1882" t="s">
        <v>2459</v>
      </c>
      <c r="AY8" s="1882" t="s">
        <v>2458</v>
      </c>
      <c r="AZ8" s="1882" t="s">
        <v>2459</v>
      </c>
      <c r="BA8" s="1882"/>
      <c r="BB8" s="1882" t="s">
        <v>11749</v>
      </c>
    </row>
    <row r="9" spans="1:54">
      <c r="A9" s="1882" t="s">
        <v>8708</v>
      </c>
      <c r="B9" s="1882" t="s">
        <v>8352</v>
      </c>
      <c r="C9" s="1882" t="s">
        <v>8355</v>
      </c>
      <c r="D9" s="1882" t="s">
        <v>8503</v>
      </c>
      <c r="E9" s="1882" t="s">
        <v>8709</v>
      </c>
      <c r="F9" s="1882" t="s">
        <v>8711</v>
      </c>
      <c r="G9" s="1882"/>
      <c r="H9" s="1882"/>
      <c r="I9" s="1882"/>
      <c r="J9" s="1882"/>
      <c r="K9" s="1882"/>
      <c r="L9" s="1882"/>
      <c r="M9" s="1882"/>
      <c r="N9" s="1882"/>
      <c r="O9" s="1882"/>
      <c r="P9" s="1882" t="s">
        <v>11730</v>
      </c>
      <c r="Q9" s="1882" t="s">
        <v>11750</v>
      </c>
      <c r="R9" s="1882" t="s">
        <v>11751</v>
      </c>
      <c r="S9" s="1882"/>
      <c r="T9" s="1882"/>
      <c r="U9" s="520" t="s">
        <v>2453</v>
      </c>
      <c r="V9" s="1882"/>
      <c r="W9" s="1882"/>
      <c r="X9" s="1882">
        <v>4</v>
      </c>
      <c r="Y9" s="1882">
        <v>4</v>
      </c>
      <c r="Z9" s="1882">
        <v>4</v>
      </c>
      <c r="AA9" s="1882">
        <v>4</v>
      </c>
      <c r="AB9" s="1882">
        <v>4</v>
      </c>
      <c r="AC9" s="1882"/>
      <c r="AD9" s="1882"/>
      <c r="AE9" s="1882">
        <v>6</v>
      </c>
      <c r="AF9" s="1882">
        <v>6</v>
      </c>
      <c r="AG9" s="1882">
        <v>6</v>
      </c>
      <c r="AH9" s="1882">
        <v>6</v>
      </c>
      <c r="AI9" s="1882">
        <v>6</v>
      </c>
      <c r="AJ9" s="1882"/>
      <c r="AK9" s="1882"/>
      <c r="AL9" s="1882"/>
      <c r="AM9" s="1882"/>
      <c r="AN9" s="1882"/>
      <c r="AO9" s="1882"/>
      <c r="AP9" s="1882"/>
      <c r="AQ9" s="1882">
        <v>6</v>
      </c>
      <c r="AR9" s="1882">
        <v>6</v>
      </c>
      <c r="AS9" s="1882">
        <v>8</v>
      </c>
      <c r="AT9" s="1882" t="s">
        <v>2460</v>
      </c>
      <c r="AU9" s="1882">
        <v>3</v>
      </c>
      <c r="AV9" s="1882" t="s">
        <v>2459</v>
      </c>
      <c r="AW9" s="1882">
        <v>4</v>
      </c>
      <c r="AX9" s="1882" t="s">
        <v>2459</v>
      </c>
      <c r="AY9" s="1882">
        <v>5</v>
      </c>
      <c r="AZ9" s="1882" t="s">
        <v>2459</v>
      </c>
      <c r="BA9" s="1882"/>
      <c r="BB9" s="1882" t="s">
        <v>11752</v>
      </c>
    </row>
    <row r="10" spans="1:54">
      <c r="A10" s="1882" t="s">
        <v>8708</v>
      </c>
      <c r="B10" s="1882" t="s">
        <v>8352</v>
      </c>
      <c r="C10" s="1882" t="s">
        <v>8355</v>
      </c>
      <c r="D10" s="1882" t="s">
        <v>8503</v>
      </c>
      <c r="E10" s="1882" t="s">
        <v>8709</v>
      </c>
      <c r="F10" s="1882" t="s">
        <v>8711</v>
      </c>
      <c r="G10" s="1882"/>
      <c r="H10" s="1882"/>
      <c r="I10" s="1882"/>
      <c r="J10" s="1882"/>
      <c r="K10" s="1882"/>
      <c r="L10" s="1882"/>
      <c r="M10" s="1882"/>
      <c r="N10" s="1882"/>
      <c r="O10" s="1882"/>
      <c r="P10" s="1882" t="s">
        <v>11734</v>
      </c>
      <c r="Q10" s="1882" t="s">
        <v>11753</v>
      </c>
      <c r="R10" s="1882" t="s">
        <v>11754</v>
      </c>
      <c r="S10" s="1882"/>
      <c r="T10" s="1882" t="s">
        <v>732</v>
      </c>
      <c r="U10" s="1882">
        <v>2</v>
      </c>
      <c r="V10" s="1882">
        <v>0.1</v>
      </c>
      <c r="W10" s="1882"/>
      <c r="X10" s="1882">
        <v>0</v>
      </c>
      <c r="Y10" s="1882">
        <v>0</v>
      </c>
      <c r="Z10" s="1882">
        <v>0</v>
      </c>
      <c r="AA10" s="1882">
        <v>0</v>
      </c>
      <c r="AB10" s="1882">
        <v>0</v>
      </c>
      <c r="AC10" s="1882">
        <v>0.52</v>
      </c>
      <c r="AD10" s="1882"/>
      <c r="AE10" s="1882">
        <v>0.26</v>
      </c>
      <c r="AF10" s="1882">
        <v>0.26</v>
      </c>
      <c r="AG10" s="1882">
        <v>0.26</v>
      </c>
      <c r="AH10" s="1882">
        <v>0.26</v>
      </c>
      <c r="AI10" s="1882">
        <v>0.26</v>
      </c>
      <c r="AJ10" s="1882"/>
      <c r="AK10" s="1882"/>
      <c r="AL10" s="1882"/>
      <c r="AM10" s="1882"/>
      <c r="AN10" s="1882"/>
      <c r="AO10" s="1882"/>
      <c r="AP10" s="1882"/>
      <c r="AQ10" s="1882">
        <v>0.26</v>
      </c>
      <c r="AR10" s="1882">
        <v>0</v>
      </c>
      <c r="AS10" s="1882">
        <v>0</v>
      </c>
      <c r="AT10" s="1882" t="s">
        <v>2459</v>
      </c>
      <c r="AU10" s="1882">
        <v>0</v>
      </c>
      <c r="AV10" s="1882" t="s">
        <v>2459</v>
      </c>
      <c r="AW10" s="1882">
        <v>0</v>
      </c>
      <c r="AX10" s="1882" t="s">
        <v>2459</v>
      </c>
      <c r="AY10" s="1882">
        <v>0</v>
      </c>
      <c r="AZ10" s="1882" t="s">
        <v>2459</v>
      </c>
      <c r="BA10" s="1882"/>
      <c r="BB10" s="1882" t="s">
        <v>11755</v>
      </c>
    </row>
    <row r="11" spans="1:54">
      <c r="A11" s="1882" t="s">
        <v>8708</v>
      </c>
      <c r="B11" s="1882" t="s">
        <v>8352</v>
      </c>
      <c r="C11" s="1882" t="s">
        <v>8355</v>
      </c>
      <c r="D11" s="1882" t="s">
        <v>8503</v>
      </c>
      <c r="E11" s="1882" t="s">
        <v>8709</v>
      </c>
      <c r="F11" s="1882" t="s">
        <v>8711</v>
      </c>
      <c r="G11" s="1882"/>
      <c r="H11" s="1882"/>
      <c r="I11" s="1882"/>
      <c r="J11" s="1882"/>
      <c r="K11" s="1882"/>
      <c r="L11" s="1882"/>
      <c r="M11" s="1882"/>
      <c r="N11" s="1882"/>
      <c r="O11" s="1882"/>
      <c r="P11" s="1882" t="s">
        <v>11741</v>
      </c>
      <c r="Q11" s="1882" t="s">
        <v>11756</v>
      </c>
      <c r="R11" s="1882" t="s">
        <v>11756</v>
      </c>
      <c r="S11" s="1882"/>
      <c r="T11" s="1882"/>
      <c r="U11" s="520" t="s">
        <v>2453</v>
      </c>
      <c r="V11" s="1882">
        <v>0</v>
      </c>
      <c r="W11" s="1882"/>
      <c r="X11" s="1882">
        <v>0</v>
      </c>
      <c r="Y11" s="1882">
        <v>0</v>
      </c>
      <c r="Z11" s="1882">
        <v>0</v>
      </c>
      <c r="AA11" s="1882">
        <v>0</v>
      </c>
      <c r="AB11" s="1882">
        <v>0</v>
      </c>
      <c r="AC11" s="1882">
        <v>1</v>
      </c>
      <c r="AD11" s="1882"/>
      <c r="AE11" s="1882">
        <v>1</v>
      </c>
      <c r="AF11" s="1882">
        <v>1</v>
      </c>
      <c r="AG11" s="1882">
        <v>1</v>
      </c>
      <c r="AH11" s="1882">
        <v>1</v>
      </c>
      <c r="AI11" s="1882">
        <v>1</v>
      </c>
      <c r="AJ11" s="1882"/>
      <c r="AK11" s="1882"/>
      <c r="AL11" s="1882"/>
      <c r="AM11" s="1882"/>
      <c r="AN11" s="1882"/>
      <c r="AO11" s="1882"/>
      <c r="AP11" s="1882"/>
      <c r="AQ11" s="1882">
        <v>1</v>
      </c>
      <c r="AR11" s="1882">
        <v>0</v>
      </c>
      <c r="AS11" s="1882">
        <v>0</v>
      </c>
      <c r="AT11" s="1882" t="s">
        <v>2459</v>
      </c>
      <c r="AU11" s="1882">
        <v>0</v>
      </c>
      <c r="AV11" s="1882" t="s">
        <v>2459</v>
      </c>
      <c r="AW11" s="1882">
        <v>0</v>
      </c>
      <c r="AX11" s="1882" t="s">
        <v>2459</v>
      </c>
      <c r="AY11" s="1882">
        <v>0</v>
      </c>
      <c r="AZ11" s="1882" t="s">
        <v>2459</v>
      </c>
      <c r="BA11" s="1882"/>
      <c r="BB11" s="1882" t="s">
        <v>11757</v>
      </c>
    </row>
    <row r="12" spans="1:54">
      <c r="A12" s="1882" t="s">
        <v>8783</v>
      </c>
      <c r="B12" s="1882" t="s">
        <v>8352</v>
      </c>
      <c r="C12" s="1882" t="s">
        <v>8355</v>
      </c>
      <c r="D12" s="1882" t="s">
        <v>8720</v>
      </c>
      <c r="E12" s="1882" t="s">
        <v>8784</v>
      </c>
      <c r="F12" s="1882" t="s">
        <v>8786</v>
      </c>
      <c r="G12" s="1882" t="s">
        <v>8519</v>
      </c>
      <c r="H12" s="1882" t="s">
        <v>8787</v>
      </c>
      <c r="I12" s="1882" t="s">
        <v>8705</v>
      </c>
      <c r="J12" s="1882" t="s">
        <v>8706</v>
      </c>
      <c r="K12" s="1882" t="s">
        <v>2458</v>
      </c>
      <c r="L12" s="1882" t="s">
        <v>2458</v>
      </c>
      <c r="M12" s="1882" t="s">
        <v>2458</v>
      </c>
      <c r="N12" s="1882" t="s">
        <v>2458</v>
      </c>
      <c r="O12" s="1882" t="s">
        <v>2458</v>
      </c>
      <c r="P12" s="1882" t="s">
        <v>11728</v>
      </c>
      <c r="Q12" s="1882" t="s">
        <v>8786</v>
      </c>
      <c r="R12" s="1882"/>
      <c r="S12" s="1882"/>
      <c r="T12" s="1882" t="s">
        <v>8704</v>
      </c>
      <c r="U12" s="1882" t="s">
        <v>8512</v>
      </c>
      <c r="V12" s="1882"/>
      <c r="W12" s="1882"/>
      <c r="X12" s="1882"/>
      <c r="Y12" s="1882"/>
      <c r="Z12" s="1882"/>
      <c r="AA12" s="1882"/>
      <c r="AB12" s="1882"/>
      <c r="AC12" s="1882"/>
      <c r="AD12" s="1882"/>
      <c r="AE12" s="1882"/>
      <c r="AF12" s="1882"/>
      <c r="AG12" s="1882"/>
      <c r="AH12" s="1882"/>
      <c r="AI12" s="1882"/>
      <c r="AJ12" s="1882"/>
      <c r="AK12" s="1882"/>
      <c r="AL12" s="1882"/>
      <c r="AM12" s="1882"/>
      <c r="AN12" s="1882"/>
      <c r="AO12" s="1882"/>
      <c r="AP12" s="1882"/>
      <c r="AQ12" s="1882"/>
      <c r="AR12" s="1882" t="s">
        <v>8706</v>
      </c>
      <c r="AS12" s="1882" t="s">
        <v>2458</v>
      </c>
      <c r="AT12" s="1882" t="s">
        <v>2459</v>
      </c>
      <c r="AU12" s="1882" t="s">
        <v>2458</v>
      </c>
      <c r="AV12" s="1882" t="s">
        <v>2459</v>
      </c>
      <c r="AW12" s="1882" t="s">
        <v>2458</v>
      </c>
      <c r="AX12" s="1882" t="s">
        <v>2459</v>
      </c>
      <c r="AY12" s="1882" t="s">
        <v>2458</v>
      </c>
      <c r="AZ12" s="1882" t="s">
        <v>2459</v>
      </c>
      <c r="BA12" s="1882"/>
      <c r="BB12" s="1882" t="s">
        <v>11758</v>
      </c>
    </row>
    <row r="13" spans="1:54">
      <c r="A13" s="1882" t="s">
        <v>8783</v>
      </c>
      <c r="B13" s="1882" t="s">
        <v>8352</v>
      </c>
      <c r="C13" s="1882" t="s">
        <v>8355</v>
      </c>
      <c r="D13" s="1882" t="s">
        <v>8720</v>
      </c>
      <c r="E13" s="1882" t="s">
        <v>8784</v>
      </c>
      <c r="F13" s="1882" t="s">
        <v>8786</v>
      </c>
      <c r="G13" s="1882"/>
      <c r="H13" s="1882"/>
      <c r="I13" s="1882"/>
      <c r="J13" s="1882"/>
      <c r="K13" s="1882"/>
      <c r="L13" s="1882"/>
      <c r="M13" s="1882"/>
      <c r="N13" s="1882"/>
      <c r="O13" s="1882"/>
      <c r="P13" s="1882" t="s">
        <v>11730</v>
      </c>
      <c r="Q13" s="1882" t="s">
        <v>8760</v>
      </c>
      <c r="R13" s="1882" t="s">
        <v>11759</v>
      </c>
      <c r="S13" s="1882"/>
      <c r="T13" s="1882" t="s">
        <v>764</v>
      </c>
      <c r="U13" s="520" t="s">
        <v>2453</v>
      </c>
      <c r="V13" s="1882">
        <v>140</v>
      </c>
      <c r="W13" s="1882"/>
      <c r="X13" s="1882">
        <v>117</v>
      </c>
      <c r="Y13" s="1882">
        <v>117</v>
      </c>
      <c r="Z13" s="1882">
        <v>117</v>
      </c>
      <c r="AA13" s="1882">
        <v>117</v>
      </c>
      <c r="AB13" s="1882">
        <v>117</v>
      </c>
      <c r="AC13" s="1882">
        <v>165</v>
      </c>
      <c r="AD13" s="1882"/>
      <c r="AE13" s="1882">
        <v>160</v>
      </c>
      <c r="AF13" s="1882">
        <v>160</v>
      </c>
      <c r="AG13" s="1882">
        <v>160</v>
      </c>
      <c r="AH13" s="1882">
        <v>160</v>
      </c>
      <c r="AI13" s="1882">
        <v>160</v>
      </c>
      <c r="AJ13" s="1882"/>
      <c r="AK13" s="1882"/>
      <c r="AL13" s="1882"/>
      <c r="AM13" s="1882"/>
      <c r="AN13" s="1882"/>
      <c r="AO13" s="1882"/>
      <c r="AP13" s="1882"/>
      <c r="AQ13" s="1882">
        <v>160</v>
      </c>
      <c r="AR13" s="1882">
        <v>142</v>
      </c>
      <c r="AS13" s="1882">
        <v>81</v>
      </c>
      <c r="AT13" s="1882" t="s">
        <v>2459</v>
      </c>
      <c r="AU13" s="1882">
        <v>105</v>
      </c>
      <c r="AV13" s="1882" t="s">
        <v>2459</v>
      </c>
      <c r="AW13" s="1882">
        <v>113</v>
      </c>
      <c r="AX13" s="1882" t="s">
        <v>2459</v>
      </c>
      <c r="AY13" s="1882">
        <v>82</v>
      </c>
      <c r="AZ13" s="1882" t="s">
        <v>2459</v>
      </c>
      <c r="BA13" s="1882"/>
      <c r="BB13" s="1882" t="s">
        <v>11760</v>
      </c>
    </row>
    <row r="14" spans="1:54">
      <c r="A14" s="1882" t="s">
        <v>8783</v>
      </c>
      <c r="B14" s="1882" t="s">
        <v>8352</v>
      </c>
      <c r="C14" s="1882" t="s">
        <v>8355</v>
      </c>
      <c r="D14" s="1882" t="s">
        <v>8720</v>
      </c>
      <c r="E14" s="1882" t="s">
        <v>8784</v>
      </c>
      <c r="F14" s="1882" t="s">
        <v>8786</v>
      </c>
      <c r="G14" s="1882"/>
      <c r="H14" s="1882"/>
      <c r="I14" s="1882"/>
      <c r="J14" s="1882"/>
      <c r="K14" s="1882"/>
      <c r="L14" s="1882"/>
      <c r="M14" s="1882"/>
      <c r="N14" s="1882"/>
      <c r="O14" s="1882"/>
      <c r="P14" s="1882" t="s">
        <v>11734</v>
      </c>
      <c r="Q14" s="1882" t="s">
        <v>2454</v>
      </c>
      <c r="R14" s="1882" t="s">
        <v>11761</v>
      </c>
      <c r="S14" s="1882"/>
      <c r="T14" s="1882" t="s">
        <v>764</v>
      </c>
      <c r="U14" s="520" t="s">
        <v>2453</v>
      </c>
      <c r="V14" s="1882">
        <v>420</v>
      </c>
      <c r="W14" s="1882"/>
      <c r="X14" s="1882">
        <v>420</v>
      </c>
      <c r="Y14" s="1882">
        <v>420</v>
      </c>
      <c r="Z14" s="1882">
        <v>420</v>
      </c>
      <c r="AA14" s="1882">
        <v>420</v>
      </c>
      <c r="AB14" s="1882">
        <v>420</v>
      </c>
      <c r="AC14" s="1882">
        <v>520</v>
      </c>
      <c r="AD14" s="1882"/>
      <c r="AE14" s="1882">
        <v>520</v>
      </c>
      <c r="AF14" s="1882">
        <v>520</v>
      </c>
      <c r="AG14" s="1882">
        <v>520</v>
      </c>
      <c r="AH14" s="1882">
        <v>520</v>
      </c>
      <c r="AI14" s="1882">
        <v>520</v>
      </c>
      <c r="AJ14" s="1882"/>
      <c r="AK14" s="1882"/>
      <c r="AL14" s="1882"/>
      <c r="AM14" s="1882"/>
      <c r="AN14" s="1882"/>
      <c r="AO14" s="1882"/>
      <c r="AP14" s="1882"/>
      <c r="AQ14" s="1882">
        <v>520</v>
      </c>
      <c r="AR14" s="1882">
        <v>250</v>
      </c>
      <c r="AS14" s="1882">
        <v>247</v>
      </c>
      <c r="AT14" s="1882" t="s">
        <v>2459</v>
      </c>
      <c r="AU14" s="1882">
        <v>228</v>
      </c>
      <c r="AV14" s="1882" t="s">
        <v>2459</v>
      </c>
      <c r="AW14" s="1882">
        <v>246</v>
      </c>
      <c r="AX14" s="1882" t="s">
        <v>2459</v>
      </c>
      <c r="AY14" s="1882">
        <v>214</v>
      </c>
      <c r="AZ14" s="1882" t="s">
        <v>2459</v>
      </c>
      <c r="BA14" s="1882"/>
      <c r="BB14" s="1882" t="s">
        <v>11762</v>
      </c>
    </row>
    <row r="15" spans="1:54">
      <c r="A15" s="1882" t="s">
        <v>8783</v>
      </c>
      <c r="B15" s="1882" t="s">
        <v>8352</v>
      </c>
      <c r="C15" s="1882" t="s">
        <v>8355</v>
      </c>
      <c r="D15" s="1882" t="s">
        <v>8720</v>
      </c>
      <c r="E15" s="1882" t="s">
        <v>8784</v>
      </c>
      <c r="F15" s="1882" t="s">
        <v>8786</v>
      </c>
      <c r="G15" s="1882"/>
      <c r="H15" s="1882"/>
      <c r="I15" s="1882"/>
      <c r="J15" s="1882"/>
      <c r="K15" s="1882"/>
      <c r="L15" s="1882"/>
      <c r="M15" s="1882"/>
      <c r="N15" s="1882"/>
      <c r="O15" s="1882"/>
      <c r="P15" s="1882" t="s">
        <v>11741</v>
      </c>
      <c r="Q15" s="1882" t="s">
        <v>11763</v>
      </c>
      <c r="R15" s="1882" t="s">
        <v>11764</v>
      </c>
      <c r="S15" s="1882"/>
      <c r="T15" s="1882" t="s">
        <v>764</v>
      </c>
      <c r="U15" s="520" t="s">
        <v>2453</v>
      </c>
      <c r="V15" s="1882"/>
      <c r="W15" s="1882"/>
      <c r="X15" s="1882">
        <v>203</v>
      </c>
      <c r="Y15" s="1882">
        <v>203</v>
      </c>
      <c r="Z15" s="1882">
        <v>203</v>
      </c>
      <c r="AA15" s="1882">
        <v>203</v>
      </c>
      <c r="AB15" s="1882">
        <v>203</v>
      </c>
      <c r="AC15" s="1882"/>
      <c r="AD15" s="1882"/>
      <c r="AE15" s="1882">
        <v>340</v>
      </c>
      <c r="AF15" s="1882">
        <v>340</v>
      </c>
      <c r="AG15" s="1882">
        <v>340</v>
      </c>
      <c r="AH15" s="1882">
        <v>340</v>
      </c>
      <c r="AI15" s="1882">
        <v>340</v>
      </c>
      <c r="AJ15" s="1882"/>
      <c r="AK15" s="1882"/>
      <c r="AL15" s="1882"/>
      <c r="AM15" s="1882"/>
      <c r="AN15" s="1882"/>
      <c r="AO15" s="1882"/>
      <c r="AP15" s="1882"/>
      <c r="AQ15" s="1882">
        <v>340</v>
      </c>
      <c r="AR15" s="1882">
        <v>263</v>
      </c>
      <c r="AS15" s="1882">
        <v>220</v>
      </c>
      <c r="AT15" s="1882" t="s">
        <v>2459</v>
      </c>
      <c r="AU15" s="1882">
        <v>264</v>
      </c>
      <c r="AV15" s="1882" t="s">
        <v>2459</v>
      </c>
      <c r="AW15" s="1882">
        <v>161</v>
      </c>
      <c r="AX15" s="1882" t="s">
        <v>2459</v>
      </c>
      <c r="AY15" s="1882">
        <v>112</v>
      </c>
      <c r="AZ15" s="1882" t="s">
        <v>2459</v>
      </c>
      <c r="BA15" s="1882"/>
      <c r="BB15" s="1882" t="s">
        <v>11765</v>
      </c>
    </row>
    <row r="16" spans="1:54">
      <c r="A16" s="1882" t="s">
        <v>8783</v>
      </c>
      <c r="B16" s="1882" t="s">
        <v>8352</v>
      </c>
      <c r="C16" s="1882" t="s">
        <v>8355</v>
      </c>
      <c r="D16" s="1882" t="s">
        <v>8720</v>
      </c>
      <c r="E16" s="1882" t="s">
        <v>8784</v>
      </c>
      <c r="F16" s="1882" t="s">
        <v>8786</v>
      </c>
      <c r="G16" s="1882"/>
      <c r="H16" s="1882"/>
      <c r="I16" s="1882"/>
      <c r="J16" s="1882"/>
      <c r="K16" s="1882"/>
      <c r="L16" s="1882"/>
      <c r="M16" s="1882"/>
      <c r="N16" s="1882"/>
      <c r="O16" s="1882"/>
      <c r="P16" s="1882" t="s">
        <v>11745</v>
      </c>
      <c r="Q16" s="1882" t="s">
        <v>11766</v>
      </c>
      <c r="R16" s="1882" t="s">
        <v>11766</v>
      </c>
      <c r="S16" s="1882"/>
      <c r="T16" s="1882" t="s">
        <v>764</v>
      </c>
      <c r="U16" s="520" t="s">
        <v>2453</v>
      </c>
      <c r="V16" s="1882">
        <v>14763</v>
      </c>
      <c r="W16" s="1882"/>
      <c r="X16" s="1882">
        <v>12983</v>
      </c>
      <c r="Y16" s="1882">
        <v>12983</v>
      </c>
      <c r="Z16" s="1882">
        <v>12983</v>
      </c>
      <c r="AA16" s="1882">
        <v>12983</v>
      </c>
      <c r="AB16" s="1882">
        <v>12983</v>
      </c>
      <c r="AC16" s="1882">
        <v>15987</v>
      </c>
      <c r="AD16" s="1882"/>
      <c r="AE16" s="1882">
        <v>14183</v>
      </c>
      <c r="AF16" s="1882">
        <v>14183</v>
      </c>
      <c r="AG16" s="1882">
        <v>14183</v>
      </c>
      <c r="AH16" s="1882">
        <v>14183</v>
      </c>
      <c r="AI16" s="1882">
        <v>14183</v>
      </c>
      <c r="AJ16" s="1882"/>
      <c r="AK16" s="1882"/>
      <c r="AL16" s="1882"/>
      <c r="AM16" s="1882"/>
      <c r="AN16" s="1882"/>
      <c r="AO16" s="1882"/>
      <c r="AP16" s="1882"/>
      <c r="AQ16" s="1882">
        <v>14183</v>
      </c>
      <c r="AR16" s="1882">
        <v>11017</v>
      </c>
      <c r="AS16" s="1882">
        <v>11885</v>
      </c>
      <c r="AT16" s="1882" t="s">
        <v>2459</v>
      </c>
      <c r="AU16" s="1882">
        <v>10522</v>
      </c>
      <c r="AV16" s="1882" t="s">
        <v>2459</v>
      </c>
      <c r="AW16" s="1882">
        <v>11936</v>
      </c>
      <c r="AX16" s="1882" t="s">
        <v>2459</v>
      </c>
      <c r="AY16" s="1882">
        <v>11908</v>
      </c>
      <c r="AZ16" s="1882" t="s">
        <v>2459</v>
      </c>
      <c r="BA16" s="1882"/>
      <c r="BB16" s="1882" t="s">
        <v>11767</v>
      </c>
    </row>
    <row r="17" spans="1:54">
      <c r="A17" s="1882" t="s">
        <v>8789</v>
      </c>
      <c r="B17" s="1882" t="s">
        <v>8352</v>
      </c>
      <c r="C17" s="1882" t="s">
        <v>8355</v>
      </c>
      <c r="D17" s="1882" t="s">
        <v>8720</v>
      </c>
      <c r="E17" s="1882" t="s">
        <v>8790</v>
      </c>
      <c r="F17" s="1882" t="s">
        <v>8792</v>
      </c>
      <c r="G17" s="1882" t="s">
        <v>8519</v>
      </c>
      <c r="H17" s="1882" t="s">
        <v>8787</v>
      </c>
      <c r="I17" s="1882" t="s">
        <v>8705</v>
      </c>
      <c r="J17" s="1882" t="s">
        <v>8706</v>
      </c>
      <c r="K17" s="1882" t="s">
        <v>2458</v>
      </c>
      <c r="L17" s="1882" t="s">
        <v>2458</v>
      </c>
      <c r="M17" s="1882" t="s">
        <v>2458</v>
      </c>
      <c r="N17" s="1882" t="s">
        <v>2458</v>
      </c>
      <c r="O17" s="1882" t="s">
        <v>2458</v>
      </c>
      <c r="P17" s="1882" t="s">
        <v>11728</v>
      </c>
      <c r="Q17" s="1882" t="s">
        <v>8792</v>
      </c>
      <c r="R17" s="1882"/>
      <c r="S17" s="1882"/>
      <c r="T17" s="1882" t="s">
        <v>8704</v>
      </c>
      <c r="U17" s="1882" t="s">
        <v>8512</v>
      </c>
      <c r="V17" s="1882"/>
      <c r="W17" s="1882"/>
      <c r="X17" s="1882"/>
      <c r="Y17" s="1882"/>
      <c r="Z17" s="1882"/>
      <c r="AA17" s="1882"/>
      <c r="AB17" s="1882"/>
      <c r="AC17" s="1882"/>
      <c r="AD17" s="1882"/>
      <c r="AE17" s="1882"/>
      <c r="AF17" s="1882"/>
      <c r="AG17" s="1882"/>
      <c r="AH17" s="1882"/>
      <c r="AI17" s="1882"/>
      <c r="AJ17" s="1882"/>
      <c r="AK17" s="1882"/>
      <c r="AL17" s="1882"/>
      <c r="AM17" s="1882"/>
      <c r="AN17" s="1882"/>
      <c r="AO17" s="1882"/>
      <c r="AP17" s="1882"/>
      <c r="AQ17" s="1882"/>
      <c r="AR17" s="1882" t="s">
        <v>8706</v>
      </c>
      <c r="AS17" s="1882" t="s">
        <v>2458</v>
      </c>
      <c r="AT17" s="1882" t="s">
        <v>2459</v>
      </c>
      <c r="AU17" s="1882" t="s">
        <v>2458</v>
      </c>
      <c r="AV17" s="1882" t="s">
        <v>2459</v>
      </c>
      <c r="AW17" s="1882" t="s">
        <v>2458</v>
      </c>
      <c r="AX17" s="1882" t="s">
        <v>2459</v>
      </c>
      <c r="AY17" s="1882" t="s">
        <v>2458</v>
      </c>
      <c r="AZ17" s="1882" t="s">
        <v>2459</v>
      </c>
      <c r="BA17" s="1882"/>
      <c r="BB17" s="1882" t="s">
        <v>11768</v>
      </c>
    </row>
    <row r="18" spans="1:54">
      <c r="A18" s="1882" t="s">
        <v>8789</v>
      </c>
      <c r="B18" s="1882" t="s">
        <v>8352</v>
      </c>
      <c r="C18" s="1882" t="s">
        <v>8355</v>
      </c>
      <c r="D18" s="1882" t="s">
        <v>8720</v>
      </c>
      <c r="E18" s="1882" t="s">
        <v>8790</v>
      </c>
      <c r="F18" s="1882" t="s">
        <v>8792</v>
      </c>
      <c r="G18" s="1882"/>
      <c r="H18" s="1882"/>
      <c r="I18" s="1882"/>
      <c r="J18" s="1882"/>
      <c r="K18" s="1882"/>
      <c r="L18" s="1882"/>
      <c r="M18" s="1882"/>
      <c r="N18" s="1882"/>
      <c r="O18" s="1882"/>
      <c r="P18" s="1882" t="s">
        <v>11730</v>
      </c>
      <c r="Q18" s="1882" t="s">
        <v>11769</v>
      </c>
      <c r="R18" s="1882" t="s">
        <v>11770</v>
      </c>
      <c r="S18" s="1882"/>
      <c r="T18" s="1882" t="s">
        <v>732</v>
      </c>
      <c r="U18" s="1882">
        <v>2</v>
      </c>
      <c r="V18" s="1882">
        <v>0.5</v>
      </c>
      <c r="W18" s="1882"/>
      <c r="X18" s="1882">
        <v>0.5</v>
      </c>
      <c r="Y18" s="1882">
        <v>0.5</v>
      </c>
      <c r="Z18" s="1882">
        <v>0.5</v>
      </c>
      <c r="AA18" s="1882">
        <v>0.5</v>
      </c>
      <c r="AB18" s="1882">
        <v>0.5</v>
      </c>
      <c r="AC18" s="1882">
        <v>1.7</v>
      </c>
      <c r="AD18" s="1882"/>
      <c r="AE18" s="1882">
        <v>1.7</v>
      </c>
      <c r="AF18" s="1882">
        <v>1.7</v>
      </c>
      <c r="AG18" s="1882">
        <v>1.7</v>
      </c>
      <c r="AH18" s="1882">
        <v>1.7</v>
      </c>
      <c r="AI18" s="1882">
        <v>1.7</v>
      </c>
      <c r="AJ18" s="1882"/>
      <c r="AK18" s="1882"/>
      <c r="AL18" s="1882"/>
      <c r="AM18" s="1882"/>
      <c r="AN18" s="1882"/>
      <c r="AO18" s="1882"/>
      <c r="AP18" s="1882"/>
      <c r="AQ18" s="1882">
        <v>1.7</v>
      </c>
      <c r="AR18" s="1882">
        <v>0</v>
      </c>
      <c r="AS18" s="1882">
        <v>0</v>
      </c>
      <c r="AT18" s="1882" t="s">
        <v>2459</v>
      </c>
      <c r="AU18" s="1882">
        <v>0.18</v>
      </c>
      <c r="AV18" s="1882" t="s">
        <v>2459</v>
      </c>
      <c r="AW18" s="1882">
        <v>0.48</v>
      </c>
      <c r="AX18" s="1882" t="s">
        <v>2459</v>
      </c>
      <c r="AY18" s="1882">
        <v>5</v>
      </c>
      <c r="AZ18" s="1882" t="s">
        <v>2460</v>
      </c>
      <c r="BA18" s="1882"/>
      <c r="BB18" s="1882" t="s">
        <v>11771</v>
      </c>
    </row>
    <row r="19" spans="1:54">
      <c r="A19" s="1882" t="s">
        <v>8789</v>
      </c>
      <c r="B19" s="1882" t="s">
        <v>8352</v>
      </c>
      <c r="C19" s="1882" t="s">
        <v>8355</v>
      </c>
      <c r="D19" s="1882" t="s">
        <v>8720</v>
      </c>
      <c r="E19" s="1882" t="s">
        <v>8790</v>
      </c>
      <c r="F19" s="1882" t="s">
        <v>8792</v>
      </c>
      <c r="G19" s="1882"/>
      <c r="H19" s="1882"/>
      <c r="I19" s="1882"/>
      <c r="J19" s="1882"/>
      <c r="K19" s="1882"/>
      <c r="L19" s="1882"/>
      <c r="M19" s="1882"/>
      <c r="N19" s="1882"/>
      <c r="O19" s="1882"/>
      <c r="P19" s="1882" t="s">
        <v>11734</v>
      </c>
      <c r="Q19" s="1882" t="s">
        <v>11772</v>
      </c>
      <c r="R19" s="1882" t="s">
        <v>11773</v>
      </c>
      <c r="S19" s="1882"/>
      <c r="T19" s="1882"/>
      <c r="U19" s="1882">
        <v>2</v>
      </c>
      <c r="V19" s="1882">
        <v>2.1</v>
      </c>
      <c r="W19" s="1882"/>
      <c r="X19" s="1882">
        <v>0</v>
      </c>
      <c r="Y19" s="1882">
        <v>0</v>
      </c>
      <c r="Z19" s="1882">
        <v>0</v>
      </c>
      <c r="AA19" s="1882">
        <v>0</v>
      </c>
      <c r="AB19" s="1882">
        <v>0</v>
      </c>
      <c r="AC19" s="1882">
        <v>2.8</v>
      </c>
      <c r="AD19" s="1882"/>
      <c r="AE19" s="1882">
        <v>2.8</v>
      </c>
      <c r="AF19" s="1882">
        <v>2.8</v>
      </c>
      <c r="AG19" s="1882">
        <v>2.8</v>
      </c>
      <c r="AH19" s="1882">
        <v>2.8</v>
      </c>
      <c r="AI19" s="1882">
        <v>2.8</v>
      </c>
      <c r="AJ19" s="1882"/>
      <c r="AK19" s="1882"/>
      <c r="AL19" s="1882"/>
      <c r="AM19" s="1882"/>
      <c r="AN19" s="1882"/>
      <c r="AO19" s="1882"/>
      <c r="AP19" s="1882"/>
      <c r="AQ19" s="1882">
        <v>2.8</v>
      </c>
      <c r="AR19" s="1882">
        <v>1.25</v>
      </c>
      <c r="AS19" s="1882">
        <v>0.82</v>
      </c>
      <c r="AT19" s="1882" t="s">
        <v>2459</v>
      </c>
      <c r="AU19" s="1882">
        <v>0.42</v>
      </c>
      <c r="AV19" s="1882" t="s">
        <v>2459</v>
      </c>
      <c r="AW19" s="1882">
        <v>1.1100000000000001</v>
      </c>
      <c r="AX19" s="1882" t="s">
        <v>2459</v>
      </c>
      <c r="AY19" s="1882">
        <v>1.3</v>
      </c>
      <c r="AZ19" s="1882" t="s">
        <v>2459</v>
      </c>
      <c r="BA19" s="1882"/>
      <c r="BB19" s="1882" t="s">
        <v>11774</v>
      </c>
    </row>
    <row r="20" spans="1:54">
      <c r="A20" s="1882" t="s">
        <v>8852</v>
      </c>
      <c r="B20" s="1882" t="s">
        <v>8394</v>
      </c>
      <c r="C20" s="1882" t="s">
        <v>8846</v>
      </c>
      <c r="D20" s="1882" t="s">
        <v>8503</v>
      </c>
      <c r="E20" s="1882" t="s">
        <v>7235</v>
      </c>
      <c r="F20" s="1882" t="s">
        <v>8854</v>
      </c>
      <c r="G20" s="1882" t="s">
        <v>8519</v>
      </c>
      <c r="H20" s="1882" t="s">
        <v>8569</v>
      </c>
      <c r="I20" s="1882" t="s">
        <v>8856</v>
      </c>
      <c r="J20" s="1882" t="s">
        <v>8706</v>
      </c>
      <c r="K20" s="1882" t="s">
        <v>8706</v>
      </c>
      <c r="L20" s="1882" t="s">
        <v>8706</v>
      </c>
      <c r="M20" s="1882" t="s">
        <v>8706</v>
      </c>
      <c r="N20" s="1882" t="s">
        <v>8706</v>
      </c>
      <c r="O20" s="1882" t="s">
        <v>8706</v>
      </c>
      <c r="P20" s="1882" t="s">
        <v>11728</v>
      </c>
      <c r="Q20" s="1882" t="s">
        <v>8854</v>
      </c>
      <c r="R20" s="1882"/>
      <c r="S20" s="1882"/>
      <c r="T20" s="1882" t="s">
        <v>8704</v>
      </c>
      <c r="U20" s="1882" t="s">
        <v>8512</v>
      </c>
      <c r="V20" s="1882"/>
      <c r="W20" s="1882"/>
      <c r="X20" s="1882"/>
      <c r="Y20" s="1882"/>
      <c r="Z20" s="1882"/>
      <c r="AA20" s="1882"/>
      <c r="AB20" s="1882"/>
      <c r="AC20" s="1882"/>
      <c r="AD20" s="1882"/>
      <c r="AE20" s="1882"/>
      <c r="AF20" s="1882"/>
      <c r="AG20" s="1882"/>
      <c r="AH20" s="1882"/>
      <c r="AI20" s="1882"/>
      <c r="AJ20" s="1882"/>
      <c r="AK20" s="1882"/>
      <c r="AL20" s="1882"/>
      <c r="AM20" s="1882"/>
      <c r="AN20" s="1882"/>
      <c r="AO20" s="1882"/>
      <c r="AP20" s="1882"/>
      <c r="AQ20" s="1882"/>
      <c r="AR20" s="1882" t="s">
        <v>8706</v>
      </c>
      <c r="AS20" s="1882" t="s">
        <v>8706</v>
      </c>
      <c r="AT20" s="1882" t="s">
        <v>2459</v>
      </c>
      <c r="AU20" s="1882" t="s">
        <v>8706</v>
      </c>
      <c r="AV20" s="1882" t="s">
        <v>2459</v>
      </c>
      <c r="AW20" s="1882" t="s">
        <v>8858</v>
      </c>
      <c r="AX20" s="1882" t="s">
        <v>2460</v>
      </c>
      <c r="AY20" s="1882" t="s">
        <v>8858</v>
      </c>
      <c r="AZ20" s="1882" t="s">
        <v>2460</v>
      </c>
      <c r="BA20" s="1882"/>
      <c r="BB20" s="1882" t="s">
        <v>11775</v>
      </c>
    </row>
    <row r="21" spans="1:54">
      <c r="A21" s="1882" t="s">
        <v>8852</v>
      </c>
      <c r="B21" s="1882" t="s">
        <v>8394</v>
      </c>
      <c r="C21" s="1882" t="s">
        <v>8846</v>
      </c>
      <c r="D21" s="1882" t="s">
        <v>8503</v>
      </c>
      <c r="E21" s="1882" t="s">
        <v>7235</v>
      </c>
      <c r="F21" s="1882" t="s">
        <v>8854</v>
      </c>
      <c r="G21" s="1882"/>
      <c r="H21" s="1882"/>
      <c r="I21" s="1882"/>
      <c r="J21" s="1882"/>
      <c r="K21" s="1882"/>
      <c r="L21" s="1882"/>
      <c r="M21" s="1882"/>
      <c r="N21" s="1882"/>
      <c r="O21" s="1882"/>
      <c r="P21" s="1882" t="s">
        <v>11730</v>
      </c>
      <c r="Q21" s="1882" t="s">
        <v>11776</v>
      </c>
      <c r="R21" s="1882" t="s">
        <v>11736</v>
      </c>
      <c r="S21" s="1882"/>
      <c r="T21" s="1882" t="s">
        <v>764</v>
      </c>
      <c r="U21" s="520" t="s">
        <v>2453</v>
      </c>
      <c r="V21" s="1882">
        <v>950</v>
      </c>
      <c r="W21" s="1882">
        <v>950</v>
      </c>
      <c r="X21" s="1882">
        <v>950</v>
      </c>
      <c r="Y21" s="1882">
        <v>950</v>
      </c>
      <c r="Z21" s="1882">
        <v>950</v>
      </c>
      <c r="AA21" s="1882">
        <v>950</v>
      </c>
      <c r="AB21" s="1882">
        <v>950</v>
      </c>
      <c r="AC21" s="1882">
        <v>1166</v>
      </c>
      <c r="AD21" s="1882"/>
      <c r="AE21" s="1882">
        <v>1166</v>
      </c>
      <c r="AF21" s="1882">
        <v>1166</v>
      </c>
      <c r="AG21" s="1882">
        <v>1166</v>
      </c>
      <c r="AH21" s="1882">
        <v>1166</v>
      </c>
      <c r="AI21" s="1882">
        <v>1166</v>
      </c>
      <c r="AJ21" s="1882">
        <v>734</v>
      </c>
      <c r="AK21" s="1882"/>
      <c r="AL21" s="1882">
        <v>734</v>
      </c>
      <c r="AM21" s="1882">
        <v>734</v>
      </c>
      <c r="AN21" s="1882">
        <v>734</v>
      </c>
      <c r="AO21" s="1882">
        <v>734</v>
      </c>
      <c r="AP21" s="1882">
        <v>734</v>
      </c>
      <c r="AQ21" s="1882"/>
      <c r="AR21" s="1882">
        <v>977</v>
      </c>
      <c r="AS21" s="1882">
        <v>764</v>
      </c>
      <c r="AT21" s="1882" t="s">
        <v>2459</v>
      </c>
      <c r="AU21" s="1882">
        <v>1034</v>
      </c>
      <c r="AV21" s="1882" t="s">
        <v>2460</v>
      </c>
      <c r="AW21" s="1882">
        <v>1222</v>
      </c>
      <c r="AX21" s="1882" t="s">
        <v>2460</v>
      </c>
      <c r="AY21" s="1882">
        <v>1074</v>
      </c>
      <c r="AZ21" s="1882" t="s">
        <v>2460</v>
      </c>
      <c r="BA21" s="1882"/>
      <c r="BB21" s="1882" t="s">
        <v>11777</v>
      </c>
    </row>
    <row r="22" spans="1:54">
      <c r="A22" s="1882" t="s">
        <v>8852</v>
      </c>
      <c r="B22" s="1882" t="s">
        <v>8394</v>
      </c>
      <c r="C22" s="1882" t="s">
        <v>8846</v>
      </c>
      <c r="D22" s="1882" t="s">
        <v>8503</v>
      </c>
      <c r="E22" s="1882" t="s">
        <v>7235</v>
      </c>
      <c r="F22" s="1882" t="s">
        <v>8854</v>
      </c>
      <c r="G22" s="1882"/>
      <c r="H22" s="1882"/>
      <c r="I22" s="1882"/>
      <c r="J22" s="1882"/>
      <c r="K22" s="1882"/>
      <c r="L22" s="1882"/>
      <c r="M22" s="1882"/>
      <c r="N22" s="1882"/>
      <c r="O22" s="1882"/>
      <c r="P22" s="1882" t="s">
        <v>11734</v>
      </c>
      <c r="Q22" s="1882" t="s">
        <v>11778</v>
      </c>
      <c r="R22" s="1882" t="s">
        <v>11779</v>
      </c>
      <c r="S22" s="1882"/>
      <c r="T22" s="1882" t="s">
        <v>764</v>
      </c>
      <c r="U22" s="520" t="s">
        <v>2453</v>
      </c>
      <c r="V22" s="1882">
        <v>69</v>
      </c>
      <c r="W22" s="1882">
        <v>68</v>
      </c>
      <c r="X22" s="1882">
        <v>69</v>
      </c>
      <c r="Y22" s="1882">
        <v>69</v>
      </c>
      <c r="Z22" s="1882">
        <v>69</v>
      </c>
      <c r="AA22" s="1882">
        <v>69</v>
      </c>
      <c r="AB22" s="1882">
        <v>69</v>
      </c>
      <c r="AC22" s="1882">
        <v>129</v>
      </c>
      <c r="AD22" s="1882"/>
      <c r="AE22" s="1882">
        <v>129</v>
      </c>
      <c r="AF22" s="1882">
        <v>129</v>
      </c>
      <c r="AG22" s="1882">
        <v>129</v>
      </c>
      <c r="AH22" s="1882">
        <v>129</v>
      </c>
      <c r="AI22" s="1882">
        <v>129</v>
      </c>
      <c r="AJ22" s="1882">
        <v>9</v>
      </c>
      <c r="AK22" s="1882"/>
      <c r="AL22" s="1882">
        <v>9</v>
      </c>
      <c r="AM22" s="1882">
        <v>9</v>
      </c>
      <c r="AN22" s="1882">
        <v>9</v>
      </c>
      <c r="AO22" s="1882">
        <v>9</v>
      </c>
      <c r="AP22" s="1882">
        <v>9</v>
      </c>
      <c r="AQ22" s="1882"/>
      <c r="AR22" s="1882">
        <v>71</v>
      </c>
      <c r="AS22" s="1882">
        <v>71</v>
      </c>
      <c r="AT22" s="1882" t="s">
        <v>2459</v>
      </c>
      <c r="AU22" s="1882">
        <v>94</v>
      </c>
      <c r="AV22" s="1882" t="s">
        <v>2460</v>
      </c>
      <c r="AW22" s="1882">
        <v>65</v>
      </c>
      <c r="AX22" s="1882" t="s">
        <v>2459</v>
      </c>
      <c r="AY22" s="1882">
        <v>61</v>
      </c>
      <c r="AZ22" s="1882" t="s">
        <v>2459</v>
      </c>
      <c r="BA22" s="1882"/>
      <c r="BB22" s="1882" t="s">
        <v>11780</v>
      </c>
    </row>
    <row r="23" spans="1:54">
      <c r="A23" s="1882" t="s">
        <v>8860</v>
      </c>
      <c r="B23" s="1882" t="s">
        <v>8394</v>
      </c>
      <c r="C23" s="1882" t="s">
        <v>8846</v>
      </c>
      <c r="D23" s="1882" t="s">
        <v>8503</v>
      </c>
      <c r="E23" s="1882" t="s">
        <v>8233</v>
      </c>
      <c r="F23" s="1882" t="s">
        <v>8862</v>
      </c>
      <c r="G23" s="1882" t="s">
        <v>8519</v>
      </c>
      <c r="H23" s="1882" t="s">
        <v>8569</v>
      </c>
      <c r="I23" s="1882" t="s">
        <v>8856</v>
      </c>
      <c r="J23" s="1882" t="s">
        <v>8706</v>
      </c>
      <c r="K23" s="1882" t="s">
        <v>8706</v>
      </c>
      <c r="L23" s="1882" t="s">
        <v>8706</v>
      </c>
      <c r="M23" s="1882" t="s">
        <v>8706</v>
      </c>
      <c r="N23" s="1882" t="s">
        <v>8706</v>
      </c>
      <c r="O23" s="1882" t="s">
        <v>8706</v>
      </c>
      <c r="P23" s="1882" t="s">
        <v>11728</v>
      </c>
      <c r="Q23" s="1882" t="s">
        <v>8862</v>
      </c>
      <c r="R23" s="1882"/>
      <c r="S23" s="1882"/>
      <c r="T23" s="1882" t="s">
        <v>8704</v>
      </c>
      <c r="U23" s="1882" t="s">
        <v>8512</v>
      </c>
      <c r="V23" s="1882"/>
      <c r="W23" s="1882"/>
      <c r="X23" s="1882"/>
      <c r="Y23" s="1882"/>
      <c r="Z23" s="1882"/>
      <c r="AA23" s="1882"/>
      <c r="AB23" s="1882"/>
      <c r="AC23" s="1882"/>
      <c r="AD23" s="1882"/>
      <c r="AE23" s="1882"/>
      <c r="AF23" s="1882"/>
      <c r="AG23" s="1882"/>
      <c r="AH23" s="1882"/>
      <c r="AI23" s="1882"/>
      <c r="AJ23" s="1882"/>
      <c r="AK23" s="1882"/>
      <c r="AL23" s="1882"/>
      <c r="AM23" s="1882"/>
      <c r="AN23" s="1882"/>
      <c r="AO23" s="1882"/>
      <c r="AP23" s="1882"/>
      <c r="AQ23" s="1882"/>
      <c r="AR23" s="1882" t="s">
        <v>8706</v>
      </c>
      <c r="AS23" s="1882" t="s">
        <v>8706</v>
      </c>
      <c r="AT23" s="1882" t="s">
        <v>2459</v>
      </c>
      <c r="AU23" s="1882" t="s">
        <v>8706</v>
      </c>
      <c r="AV23" s="1882" t="s">
        <v>2459</v>
      </c>
      <c r="AW23" s="1882" t="s">
        <v>8706</v>
      </c>
      <c r="AX23" s="1882" t="s">
        <v>2459</v>
      </c>
      <c r="AY23" s="1882" t="s">
        <v>8706</v>
      </c>
      <c r="AZ23" s="1882" t="s">
        <v>2459</v>
      </c>
      <c r="BA23" s="1882"/>
      <c r="BB23" s="1882" t="s">
        <v>11781</v>
      </c>
    </row>
    <row r="24" spans="1:54">
      <c r="A24" s="1882" t="s">
        <v>8860</v>
      </c>
      <c r="B24" s="1882" t="s">
        <v>8394</v>
      </c>
      <c r="C24" s="1882" t="s">
        <v>8846</v>
      </c>
      <c r="D24" s="1882" t="s">
        <v>8503</v>
      </c>
      <c r="E24" s="1882" t="s">
        <v>8233</v>
      </c>
      <c r="F24" s="1882" t="s">
        <v>8862</v>
      </c>
      <c r="G24" s="1882"/>
      <c r="H24" s="1882"/>
      <c r="I24" s="1882"/>
      <c r="J24" s="1882"/>
      <c r="K24" s="1882"/>
      <c r="L24" s="1882"/>
      <c r="M24" s="1882"/>
      <c r="N24" s="1882"/>
      <c r="O24" s="1882"/>
      <c r="P24" s="1882" t="s">
        <v>11730</v>
      </c>
      <c r="Q24" s="1882" t="s">
        <v>11782</v>
      </c>
      <c r="R24" s="1882" t="s">
        <v>11756</v>
      </c>
      <c r="S24" s="1882"/>
      <c r="T24" s="1882" t="s">
        <v>764</v>
      </c>
      <c r="U24" s="520" t="s">
        <v>2453</v>
      </c>
      <c r="V24" s="1882">
        <v>0</v>
      </c>
      <c r="W24" s="1882">
        <v>0</v>
      </c>
      <c r="X24" s="1882">
        <v>0</v>
      </c>
      <c r="Y24" s="1882">
        <v>0</v>
      </c>
      <c r="Z24" s="1882">
        <v>0</v>
      </c>
      <c r="AA24" s="1882">
        <v>0</v>
      </c>
      <c r="AB24" s="1882">
        <v>0</v>
      </c>
      <c r="AC24" s="1882">
        <v>1</v>
      </c>
      <c r="AD24" s="1882"/>
      <c r="AE24" s="1882">
        <v>1</v>
      </c>
      <c r="AF24" s="1882">
        <v>1</v>
      </c>
      <c r="AG24" s="1882">
        <v>1</v>
      </c>
      <c r="AH24" s="1882">
        <v>1</v>
      </c>
      <c r="AI24" s="1882">
        <v>1</v>
      </c>
      <c r="AJ24" s="1882">
        <v>0</v>
      </c>
      <c r="AK24" s="1882"/>
      <c r="AL24" s="1882">
        <v>0</v>
      </c>
      <c r="AM24" s="1882">
        <v>0</v>
      </c>
      <c r="AN24" s="1882">
        <v>0</v>
      </c>
      <c r="AO24" s="1882">
        <v>0</v>
      </c>
      <c r="AP24" s="1882">
        <v>0</v>
      </c>
      <c r="AQ24" s="1882"/>
      <c r="AR24" s="1882">
        <v>0</v>
      </c>
      <c r="AS24" s="1882">
        <v>0</v>
      </c>
      <c r="AT24" s="1882" t="s">
        <v>2459</v>
      </c>
      <c r="AU24" s="1882">
        <v>0</v>
      </c>
      <c r="AV24" s="1882" t="s">
        <v>2459</v>
      </c>
      <c r="AW24" s="1882">
        <v>0</v>
      </c>
      <c r="AX24" s="1882" t="s">
        <v>2459</v>
      </c>
      <c r="AY24" s="1882">
        <v>0</v>
      </c>
      <c r="AZ24" s="1882" t="s">
        <v>2459</v>
      </c>
      <c r="BA24" s="1882"/>
      <c r="BB24" s="1882" t="s">
        <v>11783</v>
      </c>
    </row>
    <row r="25" spans="1:54">
      <c r="A25" s="1882" t="s">
        <v>8860</v>
      </c>
      <c r="B25" s="1882" t="s">
        <v>8394</v>
      </c>
      <c r="C25" s="1882" t="s">
        <v>8846</v>
      </c>
      <c r="D25" s="1882" t="s">
        <v>8503</v>
      </c>
      <c r="E25" s="1882" t="s">
        <v>8233</v>
      </c>
      <c r="F25" s="1882" t="s">
        <v>8862</v>
      </c>
      <c r="G25" s="1882"/>
      <c r="H25" s="1882"/>
      <c r="I25" s="1882"/>
      <c r="J25" s="1882"/>
      <c r="K25" s="1882"/>
      <c r="L25" s="1882"/>
      <c r="M25" s="1882"/>
      <c r="N25" s="1882"/>
      <c r="O25" s="1882"/>
      <c r="P25" s="1882" t="s">
        <v>11734</v>
      </c>
      <c r="Q25" s="1882" t="s">
        <v>11784</v>
      </c>
      <c r="R25" s="1882" t="s">
        <v>11785</v>
      </c>
      <c r="S25" s="1882"/>
      <c r="T25" s="1882" t="s">
        <v>764</v>
      </c>
      <c r="U25" s="520" t="s">
        <v>2453</v>
      </c>
      <c r="V25" s="1882">
        <v>3976</v>
      </c>
      <c r="W25" s="1882">
        <v>3267</v>
      </c>
      <c r="X25" s="1882">
        <v>3976</v>
      </c>
      <c r="Y25" s="1882">
        <v>3976</v>
      </c>
      <c r="Z25" s="1882">
        <v>3976</v>
      </c>
      <c r="AA25" s="1882">
        <v>3976</v>
      </c>
      <c r="AB25" s="1882">
        <v>3976</v>
      </c>
      <c r="AC25" s="1882">
        <v>5083</v>
      </c>
      <c r="AD25" s="1882"/>
      <c r="AE25" s="1882">
        <v>5083</v>
      </c>
      <c r="AF25" s="1882">
        <v>5083</v>
      </c>
      <c r="AG25" s="1882">
        <v>5083</v>
      </c>
      <c r="AH25" s="1882">
        <v>5083</v>
      </c>
      <c r="AI25" s="1882">
        <v>5083</v>
      </c>
      <c r="AJ25" s="1882">
        <v>2869</v>
      </c>
      <c r="AK25" s="1882"/>
      <c r="AL25" s="1882">
        <v>2869</v>
      </c>
      <c r="AM25" s="1882">
        <v>2869</v>
      </c>
      <c r="AN25" s="1882">
        <v>2869</v>
      </c>
      <c r="AO25" s="1882">
        <v>2869</v>
      </c>
      <c r="AP25" s="1882">
        <v>2869</v>
      </c>
      <c r="AQ25" s="1882"/>
      <c r="AR25" s="1882">
        <v>3595</v>
      </c>
      <c r="AS25" s="1882">
        <v>3353</v>
      </c>
      <c r="AT25" s="1882" t="s">
        <v>2459</v>
      </c>
      <c r="AU25" s="1882">
        <v>2870</v>
      </c>
      <c r="AV25" s="1882" t="s">
        <v>2459</v>
      </c>
      <c r="AW25" s="1882">
        <v>3279</v>
      </c>
      <c r="AX25" s="1882" t="s">
        <v>2459</v>
      </c>
      <c r="AY25" s="1882">
        <v>2913</v>
      </c>
      <c r="AZ25" s="1882" t="s">
        <v>2459</v>
      </c>
      <c r="BA25" s="1882"/>
      <c r="BB25" s="1882" t="s">
        <v>11786</v>
      </c>
    </row>
    <row r="26" spans="1:54">
      <c r="A26" s="1882" t="s">
        <v>9478</v>
      </c>
      <c r="B26" s="1882" t="s">
        <v>8394</v>
      </c>
      <c r="C26" s="1882" t="s">
        <v>9453</v>
      </c>
      <c r="D26" s="1882" t="s">
        <v>8503</v>
      </c>
      <c r="E26" s="1882" t="s">
        <v>9019</v>
      </c>
      <c r="F26" s="1882" t="s">
        <v>9480</v>
      </c>
      <c r="G26" s="1882" t="s">
        <v>8519</v>
      </c>
      <c r="H26" s="1882" t="s">
        <v>8569</v>
      </c>
      <c r="I26" s="1882" t="s">
        <v>8856</v>
      </c>
      <c r="J26" s="1882" t="s">
        <v>8706</v>
      </c>
      <c r="K26" s="1882" t="s">
        <v>8706</v>
      </c>
      <c r="L26" s="1882" t="s">
        <v>8706</v>
      </c>
      <c r="M26" s="1882" t="s">
        <v>8706</v>
      </c>
      <c r="N26" s="1882" t="s">
        <v>8706</v>
      </c>
      <c r="O26" s="1882" t="s">
        <v>8706</v>
      </c>
      <c r="P26" s="1882" t="s">
        <v>11728</v>
      </c>
      <c r="Q26" s="1882" t="s">
        <v>9480</v>
      </c>
      <c r="R26" s="1882"/>
      <c r="S26" s="1882"/>
      <c r="T26" s="1882" t="s">
        <v>8704</v>
      </c>
      <c r="U26" s="1882" t="s">
        <v>8512</v>
      </c>
      <c r="V26" s="1882"/>
      <c r="W26" s="1882"/>
      <c r="X26" s="1882"/>
      <c r="Y26" s="1882"/>
      <c r="Z26" s="1882"/>
      <c r="AA26" s="1882"/>
      <c r="AB26" s="1882"/>
      <c r="AC26" s="1882"/>
      <c r="AD26" s="1882"/>
      <c r="AE26" s="1882"/>
      <c r="AF26" s="1882"/>
      <c r="AG26" s="1882"/>
      <c r="AH26" s="1882"/>
      <c r="AI26" s="1882"/>
      <c r="AJ26" s="1882"/>
      <c r="AK26" s="1882"/>
      <c r="AL26" s="1882"/>
      <c r="AM26" s="1882"/>
      <c r="AN26" s="1882"/>
      <c r="AO26" s="1882"/>
      <c r="AP26" s="1882"/>
      <c r="AQ26" s="1882"/>
      <c r="AR26" s="1882" t="s">
        <v>8706</v>
      </c>
      <c r="AS26" s="1882" t="s">
        <v>8706</v>
      </c>
      <c r="AT26" s="1882" t="s">
        <v>2459</v>
      </c>
      <c r="AU26" s="1882" t="s">
        <v>8706</v>
      </c>
      <c r="AV26" s="1882" t="s">
        <v>2459</v>
      </c>
      <c r="AW26" s="1882" t="s">
        <v>8706</v>
      </c>
      <c r="AX26" s="1882" t="s">
        <v>2459</v>
      </c>
      <c r="AY26" s="1882" t="s">
        <v>8706</v>
      </c>
      <c r="AZ26" s="1882" t="s">
        <v>2459</v>
      </c>
      <c r="BA26" s="1882"/>
      <c r="BB26" s="1882" t="s">
        <v>11787</v>
      </c>
    </row>
    <row r="27" spans="1:54">
      <c r="A27" s="1882" t="s">
        <v>9478</v>
      </c>
      <c r="B27" s="1882" t="s">
        <v>8394</v>
      </c>
      <c r="C27" s="1882" t="s">
        <v>9453</v>
      </c>
      <c r="D27" s="1882" t="s">
        <v>8503</v>
      </c>
      <c r="E27" s="1882" t="s">
        <v>9019</v>
      </c>
      <c r="F27" s="1882" t="s">
        <v>9480</v>
      </c>
      <c r="G27" s="1882"/>
      <c r="H27" s="1882"/>
      <c r="I27" s="1882"/>
      <c r="J27" s="1882"/>
      <c r="K27" s="1882"/>
      <c r="L27" s="1882"/>
      <c r="M27" s="1882"/>
      <c r="N27" s="1882"/>
      <c r="O27" s="1882"/>
      <c r="P27" s="1882" t="s">
        <v>11730</v>
      </c>
      <c r="Q27" s="1882" t="s">
        <v>11788</v>
      </c>
      <c r="R27" s="1882" t="s">
        <v>11736</v>
      </c>
      <c r="S27" s="1882"/>
      <c r="T27" s="1882" t="s">
        <v>764</v>
      </c>
      <c r="U27" s="520" t="s">
        <v>2453</v>
      </c>
      <c r="V27" s="1882"/>
      <c r="W27" s="1882"/>
      <c r="X27" s="1882">
        <v>350</v>
      </c>
      <c r="Y27" s="1882">
        <v>350</v>
      </c>
      <c r="Z27" s="1882">
        <v>350</v>
      </c>
      <c r="AA27" s="1882">
        <v>350</v>
      </c>
      <c r="AB27" s="1882">
        <v>350</v>
      </c>
      <c r="AC27" s="1882"/>
      <c r="AD27" s="1882"/>
      <c r="AE27" s="1882">
        <v>435</v>
      </c>
      <c r="AF27" s="1882">
        <v>435</v>
      </c>
      <c r="AG27" s="1882">
        <v>435</v>
      </c>
      <c r="AH27" s="1882">
        <v>435</v>
      </c>
      <c r="AI27" s="1882">
        <v>435</v>
      </c>
      <c r="AJ27" s="1882"/>
      <c r="AK27" s="1882"/>
      <c r="AL27" s="1882">
        <v>265</v>
      </c>
      <c r="AM27" s="1882">
        <v>265</v>
      </c>
      <c r="AN27" s="1882">
        <v>265</v>
      </c>
      <c r="AO27" s="1882">
        <v>265</v>
      </c>
      <c r="AP27" s="1882">
        <v>265</v>
      </c>
      <c r="AQ27" s="1882"/>
      <c r="AR27" s="1882">
        <v>291</v>
      </c>
      <c r="AS27" s="1882">
        <v>260</v>
      </c>
      <c r="AT27" s="1882" t="s">
        <v>2459</v>
      </c>
      <c r="AU27" s="1882">
        <v>280</v>
      </c>
      <c r="AV27" s="1882" t="s">
        <v>2459</v>
      </c>
      <c r="AW27" s="1882">
        <v>283</v>
      </c>
      <c r="AX27" s="1882" t="s">
        <v>2459</v>
      </c>
      <c r="AY27" s="1882">
        <v>228</v>
      </c>
      <c r="AZ27" s="1882" t="s">
        <v>2459</v>
      </c>
      <c r="BA27" s="1882"/>
      <c r="BB27" s="1882" t="s">
        <v>11789</v>
      </c>
    </row>
    <row r="28" spans="1:54">
      <c r="A28" s="1882" t="s">
        <v>9478</v>
      </c>
      <c r="B28" s="1882" t="s">
        <v>8394</v>
      </c>
      <c r="C28" s="1882" t="s">
        <v>9453</v>
      </c>
      <c r="D28" s="1882" t="s">
        <v>8503</v>
      </c>
      <c r="E28" s="1882" t="s">
        <v>9019</v>
      </c>
      <c r="F28" s="1882" t="s">
        <v>9480</v>
      </c>
      <c r="G28" s="1882"/>
      <c r="H28" s="1882"/>
      <c r="I28" s="1882"/>
      <c r="J28" s="1882"/>
      <c r="K28" s="1882"/>
      <c r="L28" s="1882"/>
      <c r="M28" s="1882"/>
      <c r="N28" s="1882"/>
      <c r="O28" s="1882"/>
      <c r="P28" s="1882" t="s">
        <v>11734</v>
      </c>
      <c r="Q28" s="1882" t="s">
        <v>11790</v>
      </c>
      <c r="R28" s="1882" t="s">
        <v>11732</v>
      </c>
      <c r="S28" s="1882"/>
      <c r="T28" s="1882" t="s">
        <v>764</v>
      </c>
      <c r="U28" s="520" t="s">
        <v>2453</v>
      </c>
      <c r="V28" s="1882"/>
      <c r="W28" s="1882"/>
      <c r="X28" s="1882">
        <v>6</v>
      </c>
      <c r="Y28" s="1882">
        <v>6</v>
      </c>
      <c r="Z28" s="1882">
        <v>6</v>
      </c>
      <c r="AA28" s="1882">
        <v>6</v>
      </c>
      <c r="AB28" s="1882">
        <v>6</v>
      </c>
      <c r="AC28" s="1882"/>
      <c r="AD28" s="1882"/>
      <c r="AE28" s="1882">
        <v>15</v>
      </c>
      <c r="AF28" s="1882">
        <v>15</v>
      </c>
      <c r="AG28" s="1882">
        <v>15</v>
      </c>
      <c r="AH28" s="1882">
        <v>15</v>
      </c>
      <c r="AI28" s="1882">
        <v>15</v>
      </c>
      <c r="AJ28" s="1882"/>
      <c r="AK28" s="1882"/>
      <c r="AL28" s="1882">
        <v>0</v>
      </c>
      <c r="AM28" s="1882">
        <v>0</v>
      </c>
      <c r="AN28" s="1882">
        <v>0</v>
      </c>
      <c r="AO28" s="1882">
        <v>0</v>
      </c>
      <c r="AP28" s="1882">
        <v>0</v>
      </c>
      <c r="AQ28" s="1882"/>
      <c r="AR28" s="1882">
        <v>0</v>
      </c>
      <c r="AS28" s="1882">
        <v>0</v>
      </c>
      <c r="AT28" s="1882" t="s">
        <v>2459</v>
      </c>
      <c r="AU28" s="1882">
        <v>0</v>
      </c>
      <c r="AV28" s="1882" t="s">
        <v>2459</v>
      </c>
      <c r="AW28" s="1882">
        <v>5</v>
      </c>
      <c r="AX28" s="1882" t="s">
        <v>2459</v>
      </c>
      <c r="AY28" s="1882">
        <v>0</v>
      </c>
      <c r="AZ28" s="1882" t="s">
        <v>2459</v>
      </c>
      <c r="BA28" s="1882"/>
      <c r="BB28" s="1882" t="s">
        <v>11791</v>
      </c>
    </row>
    <row r="29" spans="1:54">
      <c r="A29" s="1882" t="s">
        <v>9478</v>
      </c>
      <c r="B29" s="1882" t="s">
        <v>8394</v>
      </c>
      <c r="C29" s="1882" t="s">
        <v>9453</v>
      </c>
      <c r="D29" s="1882" t="s">
        <v>8503</v>
      </c>
      <c r="E29" s="1882" t="s">
        <v>9019</v>
      </c>
      <c r="F29" s="1882" t="s">
        <v>9480</v>
      </c>
      <c r="G29" s="1882"/>
      <c r="H29" s="1882"/>
      <c r="I29" s="1882"/>
      <c r="J29" s="1882"/>
      <c r="K29" s="1882"/>
      <c r="L29" s="1882"/>
      <c r="M29" s="1882"/>
      <c r="N29" s="1882"/>
      <c r="O29" s="1882"/>
      <c r="P29" s="1882" t="s">
        <v>11741</v>
      </c>
      <c r="Q29" s="1882" t="s">
        <v>11792</v>
      </c>
      <c r="R29" s="1882" t="s">
        <v>11793</v>
      </c>
      <c r="S29" s="1882"/>
      <c r="T29" s="1882" t="s">
        <v>732</v>
      </c>
      <c r="U29" s="1882">
        <v>2</v>
      </c>
      <c r="V29" s="1882"/>
      <c r="W29" s="1882"/>
      <c r="X29" s="1882">
        <v>0.19</v>
      </c>
      <c r="Y29" s="1882">
        <v>0.19</v>
      </c>
      <c r="Z29" s="1882">
        <v>0.19</v>
      </c>
      <c r="AA29" s="1882">
        <v>0.19</v>
      </c>
      <c r="AB29" s="1882">
        <v>0.19</v>
      </c>
      <c r="AC29" s="1882"/>
      <c r="AD29" s="1882"/>
      <c r="AE29" s="1882">
        <v>0.47</v>
      </c>
      <c r="AF29" s="1882">
        <v>0.47</v>
      </c>
      <c r="AG29" s="1882">
        <v>0.47</v>
      </c>
      <c r="AH29" s="1882">
        <v>0.47</v>
      </c>
      <c r="AI29" s="1882">
        <v>0.47</v>
      </c>
      <c r="AJ29" s="1882"/>
      <c r="AK29" s="1882"/>
      <c r="AL29" s="1882">
        <v>0</v>
      </c>
      <c r="AM29" s="1882">
        <v>0</v>
      </c>
      <c r="AN29" s="1882">
        <v>0</v>
      </c>
      <c r="AO29" s="1882">
        <v>0</v>
      </c>
      <c r="AP29" s="1882">
        <v>0</v>
      </c>
      <c r="AQ29" s="1882"/>
      <c r="AR29" s="1882">
        <v>0.18</v>
      </c>
      <c r="AS29" s="1882">
        <v>0</v>
      </c>
      <c r="AT29" s="1882" t="s">
        <v>2459</v>
      </c>
      <c r="AU29" s="1882">
        <v>0</v>
      </c>
      <c r="AV29" s="1882" t="s">
        <v>2459</v>
      </c>
      <c r="AW29" s="1882">
        <v>0</v>
      </c>
      <c r="AX29" s="1882" t="s">
        <v>2459</v>
      </c>
      <c r="AY29" s="1882">
        <v>0</v>
      </c>
      <c r="AZ29" s="1882" t="s">
        <v>2459</v>
      </c>
      <c r="BA29" s="1882"/>
      <c r="BB29" s="1882" t="s">
        <v>11794</v>
      </c>
    </row>
    <row r="30" spans="1:54">
      <c r="A30" s="1882" t="s">
        <v>9478</v>
      </c>
      <c r="B30" s="1882" t="s">
        <v>8394</v>
      </c>
      <c r="C30" s="1882" t="s">
        <v>9453</v>
      </c>
      <c r="D30" s="1882" t="s">
        <v>8503</v>
      </c>
      <c r="E30" s="1882" t="s">
        <v>9019</v>
      </c>
      <c r="F30" s="1882" t="s">
        <v>9480</v>
      </c>
      <c r="G30" s="1882"/>
      <c r="H30" s="1882"/>
      <c r="I30" s="1882"/>
      <c r="J30" s="1882"/>
      <c r="K30" s="1882"/>
      <c r="L30" s="1882"/>
      <c r="M30" s="1882"/>
      <c r="N30" s="1882"/>
      <c r="O30" s="1882"/>
      <c r="P30" s="1882" t="s">
        <v>11745</v>
      </c>
      <c r="Q30" s="1882" t="s">
        <v>11795</v>
      </c>
      <c r="R30" s="1882" t="s">
        <v>11779</v>
      </c>
      <c r="S30" s="1882"/>
      <c r="T30" s="1882" t="s">
        <v>764</v>
      </c>
      <c r="U30" s="520" t="s">
        <v>2453</v>
      </c>
      <c r="V30" s="1882"/>
      <c r="W30" s="1882"/>
      <c r="X30" s="1882">
        <v>0</v>
      </c>
      <c r="Y30" s="1882">
        <v>0</v>
      </c>
      <c r="Z30" s="1882">
        <v>0</v>
      </c>
      <c r="AA30" s="1882">
        <v>0</v>
      </c>
      <c r="AB30" s="1882">
        <v>0</v>
      </c>
      <c r="AC30" s="1882"/>
      <c r="AD30" s="1882"/>
      <c r="AE30" s="1882">
        <v>19</v>
      </c>
      <c r="AF30" s="1882">
        <v>19</v>
      </c>
      <c r="AG30" s="1882">
        <v>19</v>
      </c>
      <c r="AH30" s="1882">
        <v>19</v>
      </c>
      <c r="AI30" s="1882">
        <v>19</v>
      </c>
      <c r="AJ30" s="1882"/>
      <c r="AK30" s="1882"/>
      <c r="AL30" s="1882">
        <v>0</v>
      </c>
      <c r="AM30" s="1882">
        <v>0</v>
      </c>
      <c r="AN30" s="1882">
        <v>0</v>
      </c>
      <c r="AO30" s="1882">
        <v>0</v>
      </c>
      <c r="AP30" s="1882">
        <v>0</v>
      </c>
      <c r="AQ30" s="1882"/>
      <c r="AR30" s="1882">
        <v>0</v>
      </c>
      <c r="AS30" s="1882">
        <v>0</v>
      </c>
      <c r="AT30" s="1882" t="s">
        <v>2459</v>
      </c>
      <c r="AU30" s="1882">
        <v>0</v>
      </c>
      <c r="AV30" s="1882" t="s">
        <v>2459</v>
      </c>
      <c r="AW30" s="1882">
        <v>0</v>
      </c>
      <c r="AX30" s="1882" t="s">
        <v>2459</v>
      </c>
      <c r="AY30" s="1882">
        <v>0</v>
      </c>
      <c r="AZ30" s="1882" t="s">
        <v>2459</v>
      </c>
      <c r="BA30" s="1882"/>
      <c r="BB30" s="1882" t="s">
        <v>11796</v>
      </c>
    </row>
    <row r="31" spans="1:54">
      <c r="A31" s="1882" t="s">
        <v>9478</v>
      </c>
      <c r="B31" s="1882" t="s">
        <v>8394</v>
      </c>
      <c r="C31" s="1882" t="s">
        <v>9453</v>
      </c>
      <c r="D31" s="1882" t="s">
        <v>8503</v>
      </c>
      <c r="E31" s="1882" t="s">
        <v>9019</v>
      </c>
      <c r="F31" s="1882" t="s">
        <v>9480</v>
      </c>
      <c r="G31" s="1882"/>
      <c r="H31" s="1882"/>
      <c r="I31" s="1882"/>
      <c r="J31" s="1882"/>
      <c r="K31" s="1882"/>
      <c r="L31" s="1882"/>
      <c r="M31" s="1882"/>
      <c r="N31" s="1882"/>
      <c r="O31" s="1882"/>
      <c r="P31" s="1882" t="s">
        <v>11797</v>
      </c>
      <c r="Q31" s="1882" t="s">
        <v>11798</v>
      </c>
      <c r="R31" s="1882" t="s">
        <v>11743</v>
      </c>
      <c r="S31" s="1882"/>
      <c r="T31" s="1882" t="s">
        <v>764</v>
      </c>
      <c r="U31" s="1882">
        <v>2</v>
      </c>
      <c r="V31" s="1882"/>
      <c r="W31" s="1882"/>
      <c r="X31" s="1882">
        <v>0.23</v>
      </c>
      <c r="Y31" s="1882">
        <v>0.23</v>
      </c>
      <c r="Z31" s="1882">
        <v>0.23</v>
      </c>
      <c r="AA31" s="1882">
        <v>0.23</v>
      </c>
      <c r="AB31" s="1882">
        <v>0.23</v>
      </c>
      <c r="AC31" s="1882"/>
      <c r="AD31" s="1882"/>
      <c r="AE31" s="1882">
        <v>0.46</v>
      </c>
      <c r="AF31" s="1882">
        <v>0.46</v>
      </c>
      <c r="AG31" s="1882">
        <v>0.46</v>
      </c>
      <c r="AH31" s="1882">
        <v>0.46</v>
      </c>
      <c r="AI31" s="1882">
        <v>0.46</v>
      </c>
      <c r="AJ31" s="1882"/>
      <c r="AK31" s="1882"/>
      <c r="AL31" s="1882">
        <v>0</v>
      </c>
      <c r="AM31" s="1882">
        <v>0</v>
      </c>
      <c r="AN31" s="1882">
        <v>0</v>
      </c>
      <c r="AO31" s="1882">
        <v>0</v>
      </c>
      <c r="AP31" s="1882">
        <v>0</v>
      </c>
      <c r="AQ31" s="1882"/>
      <c r="AR31" s="1882">
        <v>0.24</v>
      </c>
      <c r="AS31" s="1882">
        <v>0.18</v>
      </c>
      <c r="AT31" s="1882" t="s">
        <v>2459</v>
      </c>
      <c r="AU31" s="1882">
        <v>0.31</v>
      </c>
      <c r="AV31" s="1882" t="s">
        <v>2459</v>
      </c>
      <c r="AW31" s="1882">
        <v>0.22</v>
      </c>
      <c r="AX31" s="1882" t="s">
        <v>2459</v>
      </c>
      <c r="AY31" s="1882">
        <v>0.22</v>
      </c>
      <c r="AZ31" s="1882" t="s">
        <v>2459</v>
      </c>
      <c r="BA31" s="1882"/>
      <c r="BB31" s="1882" t="s">
        <v>11799</v>
      </c>
    </row>
    <row r="32" spans="1:54">
      <c r="A32" s="1882" t="s">
        <v>9478</v>
      </c>
      <c r="B32" s="1882" t="s">
        <v>8394</v>
      </c>
      <c r="C32" s="1882" t="s">
        <v>9453</v>
      </c>
      <c r="D32" s="1882" t="s">
        <v>8503</v>
      </c>
      <c r="E32" s="1882" t="s">
        <v>9019</v>
      </c>
      <c r="F32" s="1882" t="s">
        <v>9480</v>
      </c>
      <c r="G32" s="1882"/>
      <c r="H32" s="1882"/>
      <c r="I32" s="1882"/>
      <c r="J32" s="1882"/>
      <c r="K32" s="1882"/>
      <c r="L32" s="1882"/>
      <c r="M32" s="1882"/>
      <c r="N32" s="1882"/>
      <c r="O32" s="1882"/>
      <c r="P32" s="1882" t="s">
        <v>11800</v>
      </c>
      <c r="Q32" s="1882" t="s">
        <v>11801</v>
      </c>
      <c r="R32" s="1882" t="s">
        <v>11751</v>
      </c>
      <c r="S32" s="1882"/>
      <c r="T32" s="1882" t="s">
        <v>732</v>
      </c>
      <c r="U32" s="1882">
        <v>2</v>
      </c>
      <c r="V32" s="1882"/>
      <c r="W32" s="1882"/>
      <c r="X32" s="1882">
        <v>7.0000000000000007E-2</v>
      </c>
      <c r="Y32" s="1882">
        <v>7.0000000000000007E-2</v>
      </c>
      <c r="Z32" s="1882">
        <v>7.0000000000000007E-2</v>
      </c>
      <c r="AA32" s="1882">
        <v>7.0000000000000007E-2</v>
      </c>
      <c r="AB32" s="1882">
        <v>7.0000000000000007E-2</v>
      </c>
      <c r="AC32" s="1882"/>
      <c r="AD32" s="1882"/>
      <c r="AE32" s="1882">
        <v>0.14000000000000001</v>
      </c>
      <c r="AF32" s="1882">
        <v>0.14000000000000001</v>
      </c>
      <c r="AG32" s="1882">
        <v>0.14000000000000001</v>
      </c>
      <c r="AH32" s="1882">
        <v>0.14000000000000001</v>
      </c>
      <c r="AI32" s="1882">
        <v>0.14000000000000001</v>
      </c>
      <c r="AJ32" s="1882"/>
      <c r="AK32" s="1882"/>
      <c r="AL32" s="1882">
        <v>0</v>
      </c>
      <c r="AM32" s="1882">
        <v>0</v>
      </c>
      <c r="AN32" s="1882">
        <v>0</v>
      </c>
      <c r="AO32" s="1882">
        <v>0</v>
      </c>
      <c r="AP32" s="1882">
        <v>0</v>
      </c>
      <c r="AQ32" s="1882"/>
      <c r="AR32" s="1882">
        <v>0</v>
      </c>
      <c r="AS32" s="1882">
        <v>0</v>
      </c>
      <c r="AT32" s="1882" t="s">
        <v>2459</v>
      </c>
      <c r="AU32" s="1882">
        <v>0</v>
      </c>
      <c r="AV32" s="1882" t="s">
        <v>2459</v>
      </c>
      <c r="AW32" s="1882">
        <v>0.05</v>
      </c>
      <c r="AX32" s="1882" t="s">
        <v>2459</v>
      </c>
      <c r="AY32" s="1882">
        <v>0</v>
      </c>
      <c r="AZ32" s="1882" t="s">
        <v>2459</v>
      </c>
      <c r="BA32" s="1882"/>
      <c r="BB32" s="1882" t="s">
        <v>11802</v>
      </c>
    </row>
    <row r="33" spans="1:54">
      <c r="A33" s="1882" t="s">
        <v>9478</v>
      </c>
      <c r="B33" s="1882" t="s">
        <v>8394</v>
      </c>
      <c r="C33" s="1882" t="s">
        <v>9453</v>
      </c>
      <c r="D33" s="1882" t="s">
        <v>8503</v>
      </c>
      <c r="E33" s="1882" t="s">
        <v>9019</v>
      </c>
      <c r="F33" s="1882" t="s">
        <v>9480</v>
      </c>
      <c r="G33" s="1882"/>
      <c r="H33" s="1882"/>
      <c r="I33" s="1882"/>
      <c r="J33" s="1882"/>
      <c r="K33" s="1882"/>
      <c r="L33" s="1882"/>
      <c r="M33" s="1882"/>
      <c r="N33" s="1882"/>
      <c r="O33" s="1882"/>
      <c r="P33" s="1882" t="s">
        <v>11803</v>
      </c>
      <c r="Q33" s="1882" t="s">
        <v>11804</v>
      </c>
      <c r="R33" s="1882" t="s">
        <v>11754</v>
      </c>
      <c r="S33" s="1882"/>
      <c r="T33" s="1882" t="s">
        <v>732</v>
      </c>
      <c r="U33" s="1882">
        <v>2</v>
      </c>
      <c r="V33" s="1882"/>
      <c r="W33" s="1882"/>
      <c r="X33" s="1882">
        <v>0</v>
      </c>
      <c r="Y33" s="1882">
        <v>0</v>
      </c>
      <c r="Z33" s="1882">
        <v>0</v>
      </c>
      <c r="AA33" s="1882">
        <v>0</v>
      </c>
      <c r="AB33" s="1882">
        <v>0</v>
      </c>
      <c r="AC33" s="1882"/>
      <c r="AD33" s="1882"/>
      <c r="AE33" s="1882">
        <v>5</v>
      </c>
      <c r="AF33" s="1882">
        <v>5</v>
      </c>
      <c r="AG33" s="1882">
        <v>5</v>
      </c>
      <c r="AH33" s="1882">
        <v>5</v>
      </c>
      <c r="AI33" s="1882">
        <v>5</v>
      </c>
      <c r="AJ33" s="1882"/>
      <c r="AK33" s="1882"/>
      <c r="AL33" s="1882">
        <v>0</v>
      </c>
      <c r="AM33" s="1882">
        <v>0</v>
      </c>
      <c r="AN33" s="1882">
        <v>0</v>
      </c>
      <c r="AO33" s="1882">
        <v>0</v>
      </c>
      <c r="AP33" s="1882">
        <v>0</v>
      </c>
      <c r="AQ33" s="1882"/>
      <c r="AR33" s="1882">
        <v>0</v>
      </c>
      <c r="AS33" s="1882">
        <v>0</v>
      </c>
      <c r="AT33" s="1882" t="s">
        <v>2459</v>
      </c>
      <c r="AU33" s="1882">
        <v>0</v>
      </c>
      <c r="AV33" s="1882" t="s">
        <v>2459</v>
      </c>
      <c r="AW33" s="1882">
        <v>0</v>
      </c>
      <c r="AX33" s="1882" t="s">
        <v>2459</v>
      </c>
      <c r="AY33" s="1882">
        <v>0</v>
      </c>
      <c r="AZ33" s="1882" t="s">
        <v>2459</v>
      </c>
      <c r="BA33" s="1882"/>
      <c r="BB33" s="1882" t="s">
        <v>11805</v>
      </c>
    </row>
    <row r="34" spans="1:54">
      <c r="A34" s="1882" t="s">
        <v>9478</v>
      </c>
      <c r="B34" s="1882" t="s">
        <v>8394</v>
      </c>
      <c r="C34" s="1882" t="s">
        <v>9453</v>
      </c>
      <c r="D34" s="1882" t="s">
        <v>8503</v>
      </c>
      <c r="E34" s="1882" t="s">
        <v>9019</v>
      </c>
      <c r="F34" s="1882" t="s">
        <v>9480</v>
      </c>
      <c r="G34" s="1882"/>
      <c r="H34" s="1882"/>
      <c r="I34" s="1882"/>
      <c r="J34" s="1882"/>
      <c r="K34" s="1882"/>
      <c r="L34" s="1882"/>
      <c r="M34" s="1882"/>
      <c r="N34" s="1882"/>
      <c r="O34" s="1882"/>
      <c r="P34" s="1882" t="s">
        <v>11806</v>
      </c>
      <c r="Q34" s="1882" t="s">
        <v>11807</v>
      </c>
      <c r="R34" s="1882" t="s">
        <v>11756</v>
      </c>
      <c r="S34" s="1882"/>
      <c r="T34" s="1882" t="s">
        <v>764</v>
      </c>
      <c r="U34" s="520" t="s">
        <v>2453</v>
      </c>
      <c r="V34" s="1882"/>
      <c r="W34" s="1882"/>
      <c r="X34" s="1882">
        <v>1</v>
      </c>
      <c r="Y34" s="1882">
        <v>1</v>
      </c>
      <c r="Z34" s="1882">
        <v>1</v>
      </c>
      <c r="AA34" s="1882">
        <v>1</v>
      </c>
      <c r="AB34" s="1882">
        <v>1</v>
      </c>
      <c r="AC34" s="1882"/>
      <c r="AD34" s="1882"/>
      <c r="AE34" s="1882">
        <v>2</v>
      </c>
      <c r="AF34" s="1882">
        <v>2</v>
      </c>
      <c r="AG34" s="1882">
        <v>2</v>
      </c>
      <c r="AH34" s="1882">
        <v>2</v>
      </c>
      <c r="AI34" s="1882">
        <v>2</v>
      </c>
      <c r="AJ34" s="1882"/>
      <c r="AK34" s="1882"/>
      <c r="AL34" s="1882">
        <v>0</v>
      </c>
      <c r="AM34" s="1882">
        <v>0</v>
      </c>
      <c r="AN34" s="1882">
        <v>0</v>
      </c>
      <c r="AO34" s="1882">
        <v>0</v>
      </c>
      <c r="AP34" s="1882">
        <v>0</v>
      </c>
      <c r="AQ34" s="1882"/>
      <c r="AR34" s="1882">
        <v>0</v>
      </c>
      <c r="AS34" s="1882">
        <v>0</v>
      </c>
      <c r="AT34" s="1882" t="s">
        <v>2459</v>
      </c>
      <c r="AU34" s="1882">
        <v>0</v>
      </c>
      <c r="AV34" s="1882" t="s">
        <v>2459</v>
      </c>
      <c r="AW34" s="1882">
        <v>0</v>
      </c>
      <c r="AX34" s="1882" t="s">
        <v>2459</v>
      </c>
      <c r="AY34" s="1882">
        <v>0</v>
      </c>
      <c r="AZ34" s="1882" t="s">
        <v>2459</v>
      </c>
      <c r="BA34" s="1882"/>
      <c r="BB34" s="1882" t="s">
        <v>11808</v>
      </c>
    </row>
    <row r="35" spans="1:54">
      <c r="A35" s="1882" t="s">
        <v>9478</v>
      </c>
      <c r="B35" s="1882" t="s">
        <v>8394</v>
      </c>
      <c r="C35" s="1882" t="s">
        <v>9453</v>
      </c>
      <c r="D35" s="1882" t="s">
        <v>8503</v>
      </c>
      <c r="E35" s="1882" t="s">
        <v>9019</v>
      </c>
      <c r="F35" s="1882" t="s">
        <v>9480</v>
      </c>
      <c r="G35" s="1882"/>
      <c r="H35" s="1882"/>
      <c r="I35" s="1882"/>
      <c r="J35" s="1882"/>
      <c r="K35" s="1882"/>
      <c r="L35" s="1882"/>
      <c r="M35" s="1882"/>
      <c r="N35" s="1882"/>
      <c r="O35" s="1882"/>
      <c r="P35" s="1882" t="s">
        <v>11809</v>
      </c>
      <c r="Q35" s="1882" t="s">
        <v>11810</v>
      </c>
      <c r="R35" s="1882" t="s">
        <v>11811</v>
      </c>
      <c r="S35" s="1882"/>
      <c r="T35" s="1882" t="s">
        <v>764</v>
      </c>
      <c r="U35" s="520" t="s">
        <v>2453</v>
      </c>
      <c r="V35" s="1882"/>
      <c r="W35" s="1882"/>
      <c r="X35" s="1882">
        <v>0</v>
      </c>
      <c r="Y35" s="1882">
        <v>0</v>
      </c>
      <c r="Z35" s="1882">
        <v>0</v>
      </c>
      <c r="AA35" s="1882">
        <v>0</v>
      </c>
      <c r="AB35" s="1882">
        <v>0</v>
      </c>
      <c r="AC35" s="1882"/>
      <c r="AD35" s="1882"/>
      <c r="AE35" s="1882">
        <v>1</v>
      </c>
      <c r="AF35" s="1882">
        <v>1</v>
      </c>
      <c r="AG35" s="1882">
        <v>1</v>
      </c>
      <c r="AH35" s="1882">
        <v>1</v>
      </c>
      <c r="AI35" s="1882">
        <v>1</v>
      </c>
      <c r="AJ35" s="1882"/>
      <c r="AK35" s="1882"/>
      <c r="AL35" s="1882">
        <v>0</v>
      </c>
      <c r="AM35" s="1882">
        <v>0</v>
      </c>
      <c r="AN35" s="1882">
        <v>0</v>
      </c>
      <c r="AO35" s="1882">
        <v>0</v>
      </c>
      <c r="AP35" s="1882">
        <v>0</v>
      </c>
      <c r="AQ35" s="1882"/>
      <c r="AR35" s="1882">
        <v>0</v>
      </c>
      <c r="AS35" s="1882">
        <v>0</v>
      </c>
      <c r="AT35" s="1882" t="s">
        <v>2459</v>
      </c>
      <c r="AU35" s="1882">
        <v>0</v>
      </c>
      <c r="AV35" s="1882" t="s">
        <v>2459</v>
      </c>
      <c r="AW35" s="1882">
        <v>0</v>
      </c>
      <c r="AX35" s="1882" t="s">
        <v>2459</v>
      </c>
      <c r="AY35" s="1882">
        <v>0</v>
      </c>
      <c r="AZ35" s="1882" t="s">
        <v>2459</v>
      </c>
      <c r="BA35" s="1882"/>
      <c r="BB35" s="1882" t="s">
        <v>11812</v>
      </c>
    </row>
    <row r="36" spans="1:54">
      <c r="A36" s="1882" t="s">
        <v>9478</v>
      </c>
      <c r="B36" s="1882" t="s">
        <v>8394</v>
      </c>
      <c r="C36" s="1882" t="s">
        <v>9453</v>
      </c>
      <c r="D36" s="1882" t="s">
        <v>8503</v>
      </c>
      <c r="E36" s="1882" t="s">
        <v>9019</v>
      </c>
      <c r="F36" s="1882" t="s">
        <v>9480</v>
      </c>
      <c r="G36" s="1882"/>
      <c r="H36" s="1882"/>
      <c r="I36" s="1882"/>
      <c r="J36" s="1882"/>
      <c r="K36" s="1882"/>
      <c r="L36" s="1882"/>
      <c r="M36" s="1882"/>
      <c r="N36" s="1882"/>
      <c r="O36" s="1882"/>
      <c r="P36" s="1882" t="s">
        <v>2455</v>
      </c>
      <c r="Q36" s="1882" t="s">
        <v>11813</v>
      </c>
      <c r="R36" s="1882" t="s">
        <v>11785</v>
      </c>
      <c r="S36" s="1882"/>
      <c r="T36" s="1882" t="s">
        <v>764</v>
      </c>
      <c r="U36" s="520" t="s">
        <v>2453</v>
      </c>
      <c r="V36" s="1882"/>
      <c r="W36" s="1882"/>
      <c r="X36" s="1882">
        <v>900</v>
      </c>
      <c r="Y36" s="1882">
        <v>900</v>
      </c>
      <c r="Z36" s="1882">
        <v>900</v>
      </c>
      <c r="AA36" s="1882">
        <v>900</v>
      </c>
      <c r="AB36" s="1882">
        <v>900</v>
      </c>
      <c r="AC36" s="1882"/>
      <c r="AD36" s="1882"/>
      <c r="AE36" s="1882">
        <v>1100</v>
      </c>
      <c r="AF36" s="1882">
        <v>1100</v>
      </c>
      <c r="AG36" s="1882">
        <v>1100</v>
      </c>
      <c r="AH36" s="1882">
        <v>1100</v>
      </c>
      <c r="AI36" s="1882">
        <v>1100</v>
      </c>
      <c r="AJ36" s="1882"/>
      <c r="AK36" s="1882"/>
      <c r="AL36" s="1882">
        <v>700</v>
      </c>
      <c r="AM36" s="1882">
        <v>700</v>
      </c>
      <c r="AN36" s="1882">
        <v>700</v>
      </c>
      <c r="AO36" s="1882">
        <v>700</v>
      </c>
      <c r="AP36" s="1882">
        <v>700</v>
      </c>
      <c r="AQ36" s="1882"/>
      <c r="AR36" s="1882">
        <v>781</v>
      </c>
      <c r="AS36" s="1882">
        <v>230</v>
      </c>
      <c r="AT36" s="1882" t="s">
        <v>2459</v>
      </c>
      <c r="AU36" s="1882">
        <v>212</v>
      </c>
      <c r="AV36" s="1882" t="s">
        <v>2459</v>
      </c>
      <c r="AW36" s="1882">
        <v>221</v>
      </c>
      <c r="AX36" s="1882" t="s">
        <v>2459</v>
      </c>
      <c r="AY36" s="1882">
        <v>124</v>
      </c>
      <c r="AZ36" s="1882" t="s">
        <v>2459</v>
      </c>
      <c r="BA36" s="1882"/>
      <c r="BB36" s="1882" t="s">
        <v>11814</v>
      </c>
    </row>
    <row r="37" spans="1:54">
      <c r="A37" s="1882" t="s">
        <v>9748</v>
      </c>
      <c r="B37" s="1882" t="s">
        <v>8394</v>
      </c>
      <c r="C37" s="1882" t="s">
        <v>9643</v>
      </c>
      <c r="D37" s="1882" t="s">
        <v>8503</v>
      </c>
      <c r="E37" s="1882" t="s">
        <v>6772</v>
      </c>
      <c r="F37" s="1882" t="s">
        <v>9750</v>
      </c>
      <c r="G37" s="1882" t="s">
        <v>8519</v>
      </c>
      <c r="H37" s="1882" t="s">
        <v>8569</v>
      </c>
      <c r="I37" s="1882" t="s">
        <v>8856</v>
      </c>
      <c r="J37" s="1882" t="s">
        <v>8706</v>
      </c>
      <c r="K37" s="1882" t="s">
        <v>8706</v>
      </c>
      <c r="L37" s="1882" t="s">
        <v>8706</v>
      </c>
      <c r="M37" s="1882" t="s">
        <v>8706</v>
      </c>
      <c r="N37" s="1882" t="s">
        <v>8706</v>
      </c>
      <c r="O37" s="1882" t="s">
        <v>8706</v>
      </c>
      <c r="P37" s="1882" t="s">
        <v>11728</v>
      </c>
      <c r="Q37" s="1882" t="s">
        <v>9750</v>
      </c>
      <c r="R37" s="1882"/>
      <c r="S37" s="1882"/>
      <c r="T37" s="1882" t="s">
        <v>8704</v>
      </c>
      <c r="U37" s="1882" t="s">
        <v>8512</v>
      </c>
      <c r="V37" s="1882"/>
      <c r="W37" s="1882"/>
      <c r="X37" s="1882"/>
      <c r="Y37" s="1882"/>
      <c r="Z37" s="1882"/>
      <c r="AA37" s="1882"/>
      <c r="AB37" s="1882"/>
      <c r="AC37" s="1882"/>
      <c r="AD37" s="1882"/>
      <c r="AE37" s="1882"/>
      <c r="AF37" s="1882"/>
      <c r="AG37" s="1882"/>
      <c r="AH37" s="1882"/>
      <c r="AI37" s="1882"/>
      <c r="AJ37" s="1882"/>
      <c r="AK37" s="1882"/>
      <c r="AL37" s="1882"/>
      <c r="AM37" s="1882"/>
      <c r="AN37" s="1882"/>
      <c r="AO37" s="1882"/>
      <c r="AP37" s="1882"/>
      <c r="AQ37" s="1882"/>
      <c r="AR37" s="1882" t="s">
        <v>8706</v>
      </c>
      <c r="AS37" s="1882" t="s">
        <v>8706</v>
      </c>
      <c r="AT37" s="1882" t="s">
        <v>2459</v>
      </c>
      <c r="AU37" s="1882" t="s">
        <v>8706</v>
      </c>
      <c r="AV37" s="1882" t="s">
        <v>2459</v>
      </c>
      <c r="AW37" s="1882" t="s">
        <v>8706</v>
      </c>
      <c r="AX37" s="1882" t="s">
        <v>2459</v>
      </c>
      <c r="AY37" s="1882" t="s">
        <v>8706</v>
      </c>
      <c r="AZ37" s="1882" t="s">
        <v>2459</v>
      </c>
      <c r="BA37" s="1882"/>
      <c r="BB37" s="1882" t="s">
        <v>11815</v>
      </c>
    </row>
    <row r="38" spans="1:54">
      <c r="A38" s="1882" t="s">
        <v>9748</v>
      </c>
      <c r="B38" s="1882" t="s">
        <v>8394</v>
      </c>
      <c r="C38" s="1882" t="s">
        <v>9643</v>
      </c>
      <c r="D38" s="1882" t="s">
        <v>8503</v>
      </c>
      <c r="E38" s="1882" t="s">
        <v>6772</v>
      </c>
      <c r="F38" s="1882" t="s">
        <v>9750</v>
      </c>
      <c r="G38" s="1882"/>
      <c r="H38" s="1882"/>
      <c r="I38" s="1882"/>
      <c r="J38" s="1882"/>
      <c r="K38" s="1882"/>
      <c r="L38" s="1882"/>
      <c r="M38" s="1882"/>
      <c r="N38" s="1882"/>
      <c r="O38" s="1882"/>
      <c r="P38" s="1882" t="s">
        <v>11730</v>
      </c>
      <c r="Q38" s="1882" t="s">
        <v>11816</v>
      </c>
      <c r="R38" s="1882" t="s">
        <v>11751</v>
      </c>
      <c r="S38" s="1882"/>
      <c r="T38" s="1882" t="s">
        <v>732</v>
      </c>
      <c r="U38" s="1882">
        <v>2</v>
      </c>
      <c r="V38" s="1882"/>
      <c r="W38" s="1882">
        <v>0.05</v>
      </c>
      <c r="X38" s="1882">
        <v>0.05</v>
      </c>
      <c r="Y38" s="1882">
        <v>0.05</v>
      </c>
      <c r="Z38" s="1882">
        <v>0.05</v>
      </c>
      <c r="AA38" s="1882">
        <v>0.05</v>
      </c>
      <c r="AB38" s="1882">
        <v>0.05</v>
      </c>
      <c r="AC38" s="1882"/>
      <c r="AD38" s="1882"/>
      <c r="AE38" s="1882">
        <v>0.08</v>
      </c>
      <c r="AF38" s="1882">
        <v>0.08</v>
      </c>
      <c r="AG38" s="1882">
        <v>0.08</v>
      </c>
      <c r="AH38" s="1882">
        <v>0.08</v>
      </c>
      <c r="AI38" s="1882">
        <v>0.08</v>
      </c>
      <c r="AJ38" s="1882"/>
      <c r="AK38" s="1882"/>
      <c r="AL38" s="1882"/>
      <c r="AM38" s="1882"/>
      <c r="AN38" s="1882"/>
      <c r="AO38" s="1882"/>
      <c r="AP38" s="1882"/>
      <c r="AQ38" s="1882"/>
      <c r="AR38" s="1882">
        <v>0.02</v>
      </c>
      <c r="AS38" s="1882">
        <v>0.03</v>
      </c>
      <c r="AT38" s="1882" t="s">
        <v>2459</v>
      </c>
      <c r="AU38" s="1882">
        <v>0.08</v>
      </c>
      <c r="AV38" s="1882" t="s">
        <v>2459</v>
      </c>
      <c r="AW38" s="1882">
        <v>0.05</v>
      </c>
      <c r="AX38" s="1882" t="s">
        <v>2459</v>
      </c>
      <c r="AY38" s="1882">
        <v>0.04</v>
      </c>
      <c r="AZ38" s="1882" t="s">
        <v>2459</v>
      </c>
      <c r="BA38" s="1882"/>
      <c r="BB38" s="1882" t="s">
        <v>11817</v>
      </c>
    </row>
    <row r="39" spans="1:54">
      <c r="A39" s="1882" t="s">
        <v>9748</v>
      </c>
      <c r="B39" s="1882" t="s">
        <v>8394</v>
      </c>
      <c r="C39" s="1882" t="s">
        <v>9643</v>
      </c>
      <c r="D39" s="1882" t="s">
        <v>8503</v>
      </c>
      <c r="E39" s="1882" t="s">
        <v>6772</v>
      </c>
      <c r="F39" s="1882" t="s">
        <v>9750</v>
      </c>
      <c r="G39" s="1882"/>
      <c r="H39" s="1882"/>
      <c r="I39" s="1882"/>
      <c r="J39" s="1882"/>
      <c r="K39" s="1882"/>
      <c r="L39" s="1882"/>
      <c r="M39" s="1882"/>
      <c r="N39" s="1882"/>
      <c r="O39" s="1882"/>
      <c r="P39" s="1882" t="s">
        <v>11734</v>
      </c>
      <c r="Q39" s="1882" t="s">
        <v>11818</v>
      </c>
      <c r="R39" s="1882" t="s">
        <v>11754</v>
      </c>
      <c r="S39" s="1882"/>
      <c r="T39" s="1882" t="s">
        <v>732</v>
      </c>
      <c r="U39" s="1882">
        <v>2</v>
      </c>
      <c r="V39" s="1882"/>
      <c r="W39" s="1882"/>
      <c r="X39" s="1882">
        <v>0.21</v>
      </c>
      <c r="Y39" s="1882">
        <v>0.21</v>
      </c>
      <c r="Z39" s="1882">
        <v>0.21</v>
      </c>
      <c r="AA39" s="1882">
        <v>0.21</v>
      </c>
      <c r="AB39" s="1882">
        <v>0.21</v>
      </c>
      <c r="AC39" s="1882"/>
      <c r="AD39" s="1882"/>
      <c r="AE39" s="1882">
        <v>0.84</v>
      </c>
      <c r="AF39" s="1882">
        <v>0.84</v>
      </c>
      <c r="AG39" s="1882">
        <v>0.84</v>
      </c>
      <c r="AH39" s="1882">
        <v>0.84</v>
      </c>
      <c r="AI39" s="1882">
        <v>0.84</v>
      </c>
      <c r="AJ39" s="1882"/>
      <c r="AK39" s="1882"/>
      <c r="AL39" s="1882"/>
      <c r="AM39" s="1882"/>
      <c r="AN39" s="1882"/>
      <c r="AO39" s="1882"/>
      <c r="AP39" s="1882"/>
      <c r="AQ39" s="1882"/>
      <c r="AR39" s="1882">
        <v>0.43</v>
      </c>
      <c r="AS39" s="1882">
        <v>0</v>
      </c>
      <c r="AT39" s="1882" t="s">
        <v>2459</v>
      </c>
      <c r="AU39" s="1882">
        <v>0</v>
      </c>
      <c r="AV39" s="1882" t="s">
        <v>2459</v>
      </c>
      <c r="AW39" s="1882">
        <v>0</v>
      </c>
      <c r="AX39" s="1882" t="s">
        <v>2459</v>
      </c>
      <c r="AY39" s="1882">
        <v>0</v>
      </c>
      <c r="AZ39" s="1882" t="s">
        <v>2459</v>
      </c>
      <c r="BA39" s="1882"/>
      <c r="BB39" s="1882" t="s">
        <v>11819</v>
      </c>
    </row>
    <row r="40" spans="1:54">
      <c r="A40" s="1882" t="s">
        <v>9748</v>
      </c>
      <c r="B40" s="1882" t="s">
        <v>8394</v>
      </c>
      <c r="C40" s="1882" t="s">
        <v>9643</v>
      </c>
      <c r="D40" s="1882" t="s">
        <v>8503</v>
      </c>
      <c r="E40" s="1882" t="s">
        <v>6772</v>
      </c>
      <c r="F40" s="1882" t="s">
        <v>9750</v>
      </c>
      <c r="G40" s="1882"/>
      <c r="H40" s="1882"/>
      <c r="I40" s="1882"/>
      <c r="J40" s="1882"/>
      <c r="K40" s="1882"/>
      <c r="L40" s="1882"/>
      <c r="M40" s="1882"/>
      <c r="N40" s="1882"/>
      <c r="O40" s="1882"/>
      <c r="P40" s="1882" t="s">
        <v>11741</v>
      </c>
      <c r="Q40" s="1882" t="s">
        <v>11820</v>
      </c>
      <c r="R40" s="1882" t="s">
        <v>11756</v>
      </c>
      <c r="S40" s="1882"/>
      <c r="T40" s="1882" t="s">
        <v>764</v>
      </c>
      <c r="U40" s="520" t="s">
        <v>2453</v>
      </c>
      <c r="V40" s="1882"/>
      <c r="W40" s="1882"/>
      <c r="X40" s="1882">
        <v>4</v>
      </c>
      <c r="Y40" s="1882">
        <v>4</v>
      </c>
      <c r="Z40" s="1882">
        <v>4</v>
      </c>
      <c r="AA40" s="1882">
        <v>4</v>
      </c>
      <c r="AB40" s="1882">
        <v>4</v>
      </c>
      <c r="AC40" s="1882"/>
      <c r="AD40" s="1882"/>
      <c r="AE40" s="1882">
        <v>11</v>
      </c>
      <c r="AF40" s="1882">
        <v>11</v>
      </c>
      <c r="AG40" s="1882">
        <v>11</v>
      </c>
      <c r="AH40" s="1882">
        <v>11</v>
      </c>
      <c r="AI40" s="1882">
        <v>11</v>
      </c>
      <c r="AJ40" s="1882"/>
      <c r="AK40" s="1882"/>
      <c r="AL40" s="1882"/>
      <c r="AM40" s="1882"/>
      <c r="AN40" s="1882"/>
      <c r="AO40" s="1882"/>
      <c r="AP40" s="1882"/>
      <c r="AQ40" s="1882"/>
      <c r="AR40" s="1882">
        <v>3</v>
      </c>
      <c r="AS40" s="1882">
        <v>0</v>
      </c>
      <c r="AT40" s="1882" t="s">
        <v>2459</v>
      </c>
      <c r="AU40" s="1882">
        <v>0</v>
      </c>
      <c r="AV40" s="1882" t="s">
        <v>2459</v>
      </c>
      <c r="AW40" s="1882">
        <v>0</v>
      </c>
      <c r="AX40" s="1882" t="s">
        <v>2459</v>
      </c>
      <c r="AY40" s="1882">
        <v>0</v>
      </c>
      <c r="AZ40" s="1882" t="s">
        <v>2459</v>
      </c>
      <c r="BA40" s="1882"/>
      <c r="BB40" s="1882" t="s">
        <v>11821</v>
      </c>
    </row>
    <row r="41" spans="1:54">
      <c r="A41" s="1882" t="s">
        <v>9748</v>
      </c>
      <c r="B41" s="1882" t="s">
        <v>8394</v>
      </c>
      <c r="C41" s="1882" t="s">
        <v>9643</v>
      </c>
      <c r="D41" s="1882" t="s">
        <v>8503</v>
      </c>
      <c r="E41" s="1882" t="s">
        <v>6772</v>
      </c>
      <c r="F41" s="1882" t="s">
        <v>9750</v>
      </c>
      <c r="G41" s="1882"/>
      <c r="H41" s="1882"/>
      <c r="I41" s="1882"/>
      <c r="J41" s="1882"/>
      <c r="K41" s="1882"/>
      <c r="L41" s="1882"/>
      <c r="M41" s="1882"/>
      <c r="N41" s="1882"/>
      <c r="O41" s="1882"/>
      <c r="P41" s="1882" t="s">
        <v>11745</v>
      </c>
      <c r="Q41" s="1882" t="s">
        <v>11822</v>
      </c>
      <c r="R41" s="1882" t="s">
        <v>11811</v>
      </c>
      <c r="S41" s="1882"/>
      <c r="T41" s="1882" t="s">
        <v>764</v>
      </c>
      <c r="U41" s="520" t="s">
        <v>2453</v>
      </c>
      <c r="V41" s="1882"/>
      <c r="W41" s="1882"/>
      <c r="X41" s="1882">
        <v>0</v>
      </c>
      <c r="Y41" s="1882">
        <v>0</v>
      </c>
      <c r="Z41" s="1882">
        <v>0</v>
      </c>
      <c r="AA41" s="1882">
        <v>0</v>
      </c>
      <c r="AB41" s="1882">
        <v>0</v>
      </c>
      <c r="AC41" s="1882"/>
      <c r="AD41" s="1882"/>
      <c r="AE41" s="1882">
        <v>1</v>
      </c>
      <c r="AF41" s="1882">
        <v>1</v>
      </c>
      <c r="AG41" s="1882">
        <v>1</v>
      </c>
      <c r="AH41" s="1882">
        <v>1</v>
      </c>
      <c r="AI41" s="1882">
        <v>1</v>
      </c>
      <c r="AJ41" s="1882"/>
      <c r="AK41" s="1882"/>
      <c r="AL41" s="1882"/>
      <c r="AM41" s="1882"/>
      <c r="AN41" s="1882"/>
      <c r="AO41" s="1882"/>
      <c r="AP41" s="1882"/>
      <c r="AQ41" s="1882"/>
      <c r="AR41" s="1882">
        <v>0</v>
      </c>
      <c r="AS41" s="1882">
        <v>0</v>
      </c>
      <c r="AT41" s="1882" t="s">
        <v>2459</v>
      </c>
      <c r="AU41" s="1882">
        <v>0</v>
      </c>
      <c r="AV41" s="1882" t="s">
        <v>2459</v>
      </c>
      <c r="AW41" s="1882">
        <v>0</v>
      </c>
      <c r="AX41" s="1882" t="s">
        <v>2459</v>
      </c>
      <c r="AY41" s="1882">
        <v>0</v>
      </c>
      <c r="AZ41" s="1882" t="s">
        <v>2459</v>
      </c>
      <c r="BA41" s="1882"/>
      <c r="BB41" s="1882" t="s">
        <v>11823</v>
      </c>
    </row>
    <row r="42" spans="1:54">
      <c r="A42" s="1882" t="s">
        <v>9795</v>
      </c>
      <c r="B42" s="1882" t="s">
        <v>8352</v>
      </c>
      <c r="C42" s="1882" t="s">
        <v>8375</v>
      </c>
      <c r="D42" s="1882" t="s">
        <v>8503</v>
      </c>
      <c r="E42" s="1882">
        <v>1</v>
      </c>
      <c r="F42" s="1882" t="s">
        <v>11824</v>
      </c>
      <c r="G42" s="1882" t="s">
        <v>8519</v>
      </c>
      <c r="H42" s="1882" t="s">
        <v>8569</v>
      </c>
      <c r="I42" s="1882" t="s">
        <v>8856</v>
      </c>
      <c r="J42" s="1882" t="s">
        <v>3504</v>
      </c>
      <c r="K42" s="1882" t="s">
        <v>8706</v>
      </c>
      <c r="L42" s="1882" t="s">
        <v>8706</v>
      </c>
      <c r="M42" s="1882" t="s">
        <v>8706</v>
      </c>
      <c r="N42" s="1882" t="s">
        <v>8706</v>
      </c>
      <c r="O42" s="1882" t="s">
        <v>8706</v>
      </c>
      <c r="P42" s="1882" t="s">
        <v>11728</v>
      </c>
      <c r="Q42" s="1882" t="s">
        <v>11824</v>
      </c>
      <c r="R42" s="1882"/>
      <c r="S42" s="1882"/>
      <c r="T42" s="1882" t="s">
        <v>8704</v>
      </c>
      <c r="U42" s="1882" t="s">
        <v>8512</v>
      </c>
      <c r="V42" s="1882"/>
      <c r="W42" s="1882"/>
      <c r="X42" s="1882"/>
      <c r="Y42" s="1882"/>
      <c r="Z42" s="1882"/>
      <c r="AA42" s="1882"/>
      <c r="AB42" s="1882"/>
      <c r="AC42" s="1882"/>
      <c r="AD42" s="1882"/>
      <c r="AE42" s="1882"/>
      <c r="AF42" s="1882"/>
      <c r="AG42" s="1882"/>
      <c r="AH42" s="1882"/>
      <c r="AI42" s="1882"/>
      <c r="AJ42" s="1882"/>
      <c r="AK42" s="1882"/>
      <c r="AL42" s="1882"/>
      <c r="AM42" s="1882"/>
      <c r="AN42" s="1882"/>
      <c r="AO42" s="1882"/>
      <c r="AP42" s="1882"/>
      <c r="AQ42" s="1882"/>
      <c r="AR42" s="1882" t="s">
        <v>3504</v>
      </c>
      <c r="AS42" s="1882" t="s">
        <v>8706</v>
      </c>
      <c r="AT42" s="1882" t="s">
        <v>2459</v>
      </c>
      <c r="AU42" s="1882" t="s">
        <v>8706</v>
      </c>
      <c r="AV42" s="1882" t="s">
        <v>2459</v>
      </c>
      <c r="AW42" s="1882" t="s">
        <v>8706</v>
      </c>
      <c r="AX42" s="1882" t="s">
        <v>2459</v>
      </c>
      <c r="AY42" s="1882" t="s">
        <v>8706</v>
      </c>
      <c r="AZ42" s="1882" t="s">
        <v>2459</v>
      </c>
      <c r="BA42" s="1882"/>
      <c r="BB42" s="1882" t="s">
        <v>11825</v>
      </c>
    </row>
    <row r="43" spans="1:54">
      <c r="A43" s="1882" t="s">
        <v>9795</v>
      </c>
      <c r="B43" s="1882" t="s">
        <v>8352</v>
      </c>
      <c r="C43" s="1882" t="s">
        <v>8375</v>
      </c>
      <c r="D43" s="1882" t="s">
        <v>8503</v>
      </c>
      <c r="E43" s="1882">
        <v>1</v>
      </c>
      <c r="F43" s="1882" t="s">
        <v>11824</v>
      </c>
      <c r="G43" s="1882"/>
      <c r="H43" s="1882"/>
      <c r="I43" s="1882"/>
      <c r="J43" s="1882"/>
      <c r="K43" s="1882"/>
      <c r="L43" s="1882"/>
      <c r="M43" s="1882"/>
      <c r="N43" s="1882"/>
      <c r="O43" s="1882"/>
      <c r="P43" s="1882" t="s">
        <v>11730</v>
      </c>
      <c r="Q43" s="1882" t="s">
        <v>11826</v>
      </c>
      <c r="R43" s="1882" t="s">
        <v>11736</v>
      </c>
      <c r="S43" s="1882"/>
      <c r="T43" s="1882" t="s">
        <v>764</v>
      </c>
      <c r="U43" s="520" t="s">
        <v>2453</v>
      </c>
      <c r="V43" s="1882"/>
      <c r="W43" s="1882"/>
      <c r="X43" s="1882"/>
      <c r="Y43" s="1882"/>
      <c r="Z43" s="1882"/>
      <c r="AA43" s="1882"/>
      <c r="AB43" s="1882"/>
      <c r="AC43" s="1882"/>
      <c r="AD43" s="1882"/>
      <c r="AE43" s="1882">
        <v>2865</v>
      </c>
      <c r="AF43" s="1882">
        <v>2865</v>
      </c>
      <c r="AG43" s="1882">
        <v>2865</v>
      </c>
      <c r="AH43" s="1882">
        <v>2865</v>
      </c>
      <c r="AI43" s="1882">
        <v>2865</v>
      </c>
      <c r="AJ43" s="1882"/>
      <c r="AK43" s="1882"/>
      <c r="AL43" s="1882">
        <v>2383</v>
      </c>
      <c r="AM43" s="1882">
        <v>2383</v>
      </c>
      <c r="AN43" s="1882">
        <v>2383</v>
      </c>
      <c r="AO43" s="1882">
        <v>2383</v>
      </c>
      <c r="AP43" s="1882">
        <v>2383</v>
      </c>
      <c r="AQ43" s="1882"/>
      <c r="AR43" s="1882">
        <v>1770</v>
      </c>
      <c r="AS43" s="1882">
        <v>1322</v>
      </c>
      <c r="AT43" s="1882" t="s">
        <v>2459</v>
      </c>
      <c r="AU43" s="1882">
        <v>1996</v>
      </c>
      <c r="AV43" s="1882" t="s">
        <v>2459</v>
      </c>
      <c r="AW43" s="1882">
        <v>1844</v>
      </c>
      <c r="AX43" s="1882" t="s">
        <v>2459</v>
      </c>
      <c r="AY43" s="1882">
        <v>1917</v>
      </c>
      <c r="AZ43" s="1882" t="s">
        <v>2459</v>
      </c>
      <c r="BA43" s="1882"/>
      <c r="BB43" s="1882" t="s">
        <v>11827</v>
      </c>
    </row>
    <row r="44" spans="1:54">
      <c r="A44" s="1882" t="s">
        <v>9795</v>
      </c>
      <c r="B44" s="1882" t="s">
        <v>8352</v>
      </c>
      <c r="C44" s="1882" t="s">
        <v>8375</v>
      </c>
      <c r="D44" s="1882" t="s">
        <v>8503</v>
      </c>
      <c r="E44" s="1882">
        <v>1</v>
      </c>
      <c r="F44" s="1882" t="s">
        <v>11824</v>
      </c>
      <c r="G44" s="1882"/>
      <c r="H44" s="1882"/>
      <c r="I44" s="1882"/>
      <c r="J44" s="1882"/>
      <c r="K44" s="1882"/>
      <c r="L44" s="1882"/>
      <c r="M44" s="1882"/>
      <c r="N44" s="1882"/>
      <c r="O44" s="1882"/>
      <c r="P44" s="1882" t="s">
        <v>11734</v>
      </c>
      <c r="Q44" s="1882" t="s">
        <v>11828</v>
      </c>
      <c r="R44" s="1882" t="s">
        <v>11747</v>
      </c>
      <c r="S44" s="1882"/>
      <c r="T44" s="1882" t="s">
        <v>732</v>
      </c>
      <c r="U44" s="1882">
        <v>2</v>
      </c>
      <c r="V44" s="1882"/>
      <c r="W44" s="1882"/>
      <c r="X44" s="1882"/>
      <c r="Y44" s="1882"/>
      <c r="Z44" s="1882"/>
      <c r="AA44" s="1882"/>
      <c r="AB44" s="1882"/>
      <c r="AC44" s="1882"/>
      <c r="AD44" s="1882"/>
      <c r="AE44" s="1882">
        <v>99.82</v>
      </c>
      <c r="AF44" s="1882">
        <v>99.82</v>
      </c>
      <c r="AG44" s="1882">
        <v>99.82</v>
      </c>
      <c r="AH44" s="1882">
        <v>99.82</v>
      </c>
      <c r="AI44" s="1882">
        <v>99.82</v>
      </c>
      <c r="AJ44" s="1882"/>
      <c r="AK44" s="1882"/>
      <c r="AL44" s="1882">
        <v>99.74</v>
      </c>
      <c r="AM44" s="1882">
        <v>99.74</v>
      </c>
      <c r="AN44" s="1882">
        <v>99.74</v>
      </c>
      <c r="AO44" s="1882">
        <v>99.74</v>
      </c>
      <c r="AP44" s="1882">
        <v>99.74</v>
      </c>
      <c r="AQ44" s="1882"/>
      <c r="AR44" s="1882">
        <v>99.96</v>
      </c>
      <c r="AS44" s="1882">
        <v>99.96</v>
      </c>
      <c r="AT44" s="1882" t="s">
        <v>2459</v>
      </c>
      <c r="AU44" s="1882">
        <v>99.91</v>
      </c>
      <c r="AV44" s="1882" t="s">
        <v>2459</v>
      </c>
      <c r="AW44" s="1882">
        <v>99.93</v>
      </c>
      <c r="AX44" s="1882" t="s">
        <v>2459</v>
      </c>
      <c r="AY44" s="1882">
        <v>99.97</v>
      </c>
      <c r="AZ44" s="1882" t="s">
        <v>2459</v>
      </c>
      <c r="BA44" s="1882"/>
      <c r="BB44" s="1882" t="s">
        <v>11829</v>
      </c>
    </row>
    <row r="45" spans="1:54">
      <c r="A45" s="1882" t="s">
        <v>9795</v>
      </c>
      <c r="B45" s="1882" t="s">
        <v>8352</v>
      </c>
      <c r="C45" s="1882" t="s">
        <v>8375</v>
      </c>
      <c r="D45" s="1882" t="s">
        <v>8503</v>
      </c>
      <c r="E45" s="1882">
        <v>1</v>
      </c>
      <c r="F45" s="1882" t="s">
        <v>11824</v>
      </c>
      <c r="G45" s="1882"/>
      <c r="H45" s="1882"/>
      <c r="I45" s="1882"/>
      <c r="J45" s="1882"/>
      <c r="K45" s="1882"/>
      <c r="L45" s="1882"/>
      <c r="M45" s="1882"/>
      <c r="N45" s="1882"/>
      <c r="O45" s="1882"/>
      <c r="P45" s="1882" t="s">
        <v>11741</v>
      </c>
      <c r="Q45" s="1882" t="s">
        <v>11830</v>
      </c>
      <c r="R45" s="1882" t="s">
        <v>11751</v>
      </c>
      <c r="S45" s="1882"/>
      <c r="T45" s="1882" t="s">
        <v>732</v>
      </c>
      <c r="U45" s="1882">
        <v>2</v>
      </c>
      <c r="V45" s="1882"/>
      <c r="W45" s="1882"/>
      <c r="X45" s="1882"/>
      <c r="Y45" s="1882"/>
      <c r="Z45" s="1882"/>
      <c r="AA45" s="1882"/>
      <c r="AB45" s="1882"/>
      <c r="AC45" s="1882"/>
      <c r="AD45" s="1882"/>
      <c r="AE45" s="1882">
        <v>99.92</v>
      </c>
      <c r="AF45" s="1882">
        <v>99.92</v>
      </c>
      <c r="AG45" s="1882">
        <v>99.92</v>
      </c>
      <c r="AH45" s="1882">
        <v>99.92</v>
      </c>
      <c r="AI45" s="1882">
        <v>99.92</v>
      </c>
      <c r="AJ45" s="1882"/>
      <c r="AK45" s="1882"/>
      <c r="AL45" s="1882">
        <v>99.88</v>
      </c>
      <c r="AM45" s="1882">
        <v>99.88</v>
      </c>
      <c r="AN45" s="1882">
        <v>99.88</v>
      </c>
      <c r="AO45" s="1882">
        <v>99.88</v>
      </c>
      <c r="AP45" s="1882">
        <v>99.88</v>
      </c>
      <c r="AQ45" s="1882"/>
      <c r="AR45" s="1882">
        <v>100</v>
      </c>
      <c r="AS45" s="1882">
        <v>100</v>
      </c>
      <c r="AT45" s="1882" t="s">
        <v>2459</v>
      </c>
      <c r="AU45" s="1882">
        <v>99.98</v>
      </c>
      <c r="AV45" s="1882" t="s">
        <v>2459</v>
      </c>
      <c r="AW45" s="1882">
        <v>99.98</v>
      </c>
      <c r="AX45" s="1882" t="s">
        <v>2459</v>
      </c>
      <c r="AY45" s="1882">
        <v>99.93</v>
      </c>
      <c r="AZ45" s="1882" t="s">
        <v>2459</v>
      </c>
      <c r="BA45" s="1882"/>
      <c r="BB45" s="1882" t="s">
        <v>11831</v>
      </c>
    </row>
    <row r="46" spans="1:54">
      <c r="A46" s="1882" t="s">
        <v>9795</v>
      </c>
      <c r="B46" s="1882" t="s">
        <v>8352</v>
      </c>
      <c r="C46" s="1882" t="s">
        <v>8375</v>
      </c>
      <c r="D46" s="1882" t="s">
        <v>8503</v>
      </c>
      <c r="E46" s="1882">
        <v>1</v>
      </c>
      <c r="F46" s="1882" t="s">
        <v>11824</v>
      </c>
      <c r="G46" s="1882"/>
      <c r="H46" s="1882"/>
      <c r="I46" s="1882"/>
      <c r="J46" s="1882"/>
      <c r="K46" s="1882"/>
      <c r="L46" s="1882"/>
      <c r="M46" s="1882"/>
      <c r="N46" s="1882"/>
      <c r="O46" s="1882"/>
      <c r="P46" s="1882" t="s">
        <v>11745</v>
      </c>
      <c r="Q46" s="1882" t="s">
        <v>11832</v>
      </c>
      <c r="R46" s="1882" t="s">
        <v>11754</v>
      </c>
      <c r="S46" s="1882"/>
      <c r="T46" s="1882" t="s">
        <v>732</v>
      </c>
      <c r="U46" s="520" t="s">
        <v>2453</v>
      </c>
      <c r="V46" s="1882"/>
      <c r="W46" s="1882"/>
      <c r="X46" s="1882"/>
      <c r="Y46" s="1882"/>
      <c r="Z46" s="1882"/>
      <c r="AA46" s="1882"/>
      <c r="AB46" s="1882"/>
      <c r="AC46" s="1882"/>
      <c r="AD46" s="1882"/>
      <c r="AE46" s="1882">
        <v>99</v>
      </c>
      <c r="AF46" s="1882">
        <v>99</v>
      </c>
      <c r="AG46" s="1882">
        <v>99</v>
      </c>
      <c r="AH46" s="1882">
        <v>99</v>
      </c>
      <c r="AI46" s="1882">
        <v>99</v>
      </c>
      <c r="AJ46" s="1882"/>
      <c r="AK46" s="1882"/>
      <c r="AL46" s="1882">
        <v>98</v>
      </c>
      <c r="AM46" s="1882">
        <v>98</v>
      </c>
      <c r="AN46" s="1882">
        <v>98</v>
      </c>
      <c r="AO46" s="1882">
        <v>98</v>
      </c>
      <c r="AP46" s="1882">
        <v>98</v>
      </c>
      <c r="AQ46" s="1882"/>
      <c r="AR46" s="1882">
        <v>99.96</v>
      </c>
      <c r="AS46" s="1882">
        <v>100</v>
      </c>
      <c r="AT46" s="1882" t="s">
        <v>2459</v>
      </c>
      <c r="AU46" s="1882">
        <v>100</v>
      </c>
      <c r="AV46" s="1882" t="s">
        <v>2459</v>
      </c>
      <c r="AW46" s="1882">
        <v>99.94</v>
      </c>
      <c r="AX46" s="1882" t="s">
        <v>2459</v>
      </c>
      <c r="AY46" s="1882">
        <v>100</v>
      </c>
      <c r="AZ46" s="1882" t="s">
        <v>2459</v>
      </c>
      <c r="BA46" s="1882"/>
      <c r="BB46" s="1882" t="s">
        <v>11833</v>
      </c>
    </row>
    <row r="47" spans="1:54">
      <c r="A47" s="1882" t="s">
        <v>9795</v>
      </c>
      <c r="B47" s="1882" t="s">
        <v>8352</v>
      </c>
      <c r="C47" s="1882" t="s">
        <v>8375</v>
      </c>
      <c r="D47" s="1882" t="s">
        <v>8503</v>
      </c>
      <c r="E47" s="1882">
        <v>1</v>
      </c>
      <c r="F47" s="1882" t="s">
        <v>11824</v>
      </c>
      <c r="G47" s="1882"/>
      <c r="H47" s="1882"/>
      <c r="I47" s="1882"/>
      <c r="J47" s="1882"/>
      <c r="K47" s="1882"/>
      <c r="L47" s="1882"/>
      <c r="M47" s="1882"/>
      <c r="N47" s="1882"/>
      <c r="O47" s="1882"/>
      <c r="P47" s="1882" t="s">
        <v>11797</v>
      </c>
      <c r="Q47" s="1882" t="s">
        <v>11834</v>
      </c>
      <c r="R47" s="1882" t="s">
        <v>11756</v>
      </c>
      <c r="S47" s="1882"/>
      <c r="T47" s="1882" t="s">
        <v>764</v>
      </c>
      <c r="U47" s="520" t="s">
        <v>2453</v>
      </c>
      <c r="V47" s="1882"/>
      <c r="W47" s="1882"/>
      <c r="X47" s="1882"/>
      <c r="Y47" s="1882"/>
      <c r="Z47" s="1882"/>
      <c r="AA47" s="1882"/>
      <c r="AB47" s="1882"/>
      <c r="AC47" s="1882"/>
      <c r="AD47" s="1882"/>
      <c r="AE47" s="1882">
        <v>10</v>
      </c>
      <c r="AF47" s="1882">
        <v>10</v>
      </c>
      <c r="AG47" s="1882">
        <v>10</v>
      </c>
      <c r="AH47" s="1882">
        <v>10</v>
      </c>
      <c r="AI47" s="1882">
        <v>10</v>
      </c>
      <c r="AJ47" s="1882"/>
      <c r="AK47" s="1882"/>
      <c r="AL47" s="1882">
        <v>6</v>
      </c>
      <c r="AM47" s="1882">
        <v>6</v>
      </c>
      <c r="AN47" s="1882">
        <v>6</v>
      </c>
      <c r="AO47" s="1882">
        <v>6</v>
      </c>
      <c r="AP47" s="1882">
        <v>6</v>
      </c>
      <c r="AQ47" s="1882"/>
      <c r="AR47" s="1882">
        <v>0</v>
      </c>
      <c r="AS47" s="1882">
        <v>0</v>
      </c>
      <c r="AT47" s="1882" t="s">
        <v>2459</v>
      </c>
      <c r="AU47" s="1882">
        <v>0</v>
      </c>
      <c r="AV47" s="1882" t="s">
        <v>2459</v>
      </c>
      <c r="AW47" s="1882">
        <v>1</v>
      </c>
      <c r="AX47" s="1882" t="s">
        <v>2459</v>
      </c>
      <c r="AY47" s="1882">
        <v>0</v>
      </c>
      <c r="AZ47" s="1882" t="s">
        <v>2459</v>
      </c>
      <c r="BA47" s="1882"/>
      <c r="BB47" s="1882" t="s">
        <v>11835</v>
      </c>
    </row>
    <row r="48" spans="1:54">
      <c r="A48" s="1882" t="s">
        <v>9835</v>
      </c>
      <c r="B48" s="1882" t="s">
        <v>8352</v>
      </c>
      <c r="C48" s="1882" t="s">
        <v>8375</v>
      </c>
      <c r="D48" s="1882" t="s">
        <v>8720</v>
      </c>
      <c r="E48" s="1882">
        <v>1</v>
      </c>
      <c r="F48" s="1882" t="s">
        <v>11836</v>
      </c>
      <c r="G48" s="1882" t="s">
        <v>8519</v>
      </c>
      <c r="H48" s="1882" t="s">
        <v>8787</v>
      </c>
      <c r="I48" s="1882" t="s">
        <v>8856</v>
      </c>
      <c r="J48" s="1882" t="s">
        <v>3504</v>
      </c>
      <c r="K48" s="1882" t="s">
        <v>8706</v>
      </c>
      <c r="L48" s="1882" t="s">
        <v>8706</v>
      </c>
      <c r="M48" s="1882" t="s">
        <v>8706</v>
      </c>
      <c r="N48" s="1882" t="s">
        <v>8706</v>
      </c>
      <c r="O48" s="1882" t="s">
        <v>8706</v>
      </c>
      <c r="P48" s="1882" t="s">
        <v>11728</v>
      </c>
      <c r="Q48" s="1882" t="s">
        <v>11836</v>
      </c>
      <c r="R48" s="1882"/>
      <c r="S48" s="1882"/>
      <c r="T48" s="1882" t="s">
        <v>8704</v>
      </c>
      <c r="U48" s="1882" t="s">
        <v>8512</v>
      </c>
      <c r="V48" s="1882"/>
      <c r="W48" s="1882"/>
      <c r="X48" s="1882"/>
      <c r="Y48" s="1882"/>
      <c r="Z48" s="1882"/>
      <c r="AA48" s="1882"/>
      <c r="AB48" s="1882"/>
      <c r="AC48" s="1882"/>
      <c r="AD48" s="1882"/>
      <c r="AE48" s="1882"/>
      <c r="AF48" s="1882"/>
      <c r="AG48" s="1882"/>
      <c r="AH48" s="1882"/>
      <c r="AI48" s="1882"/>
      <c r="AJ48" s="1882"/>
      <c r="AK48" s="1882"/>
      <c r="AL48" s="1882"/>
      <c r="AM48" s="1882"/>
      <c r="AN48" s="1882"/>
      <c r="AO48" s="1882"/>
      <c r="AP48" s="1882"/>
      <c r="AQ48" s="1882"/>
      <c r="AR48" s="1882" t="s">
        <v>3504</v>
      </c>
      <c r="AS48" s="1882" t="s">
        <v>8706</v>
      </c>
      <c r="AT48" s="1882" t="s">
        <v>2459</v>
      </c>
      <c r="AU48" s="1882" t="s">
        <v>8706</v>
      </c>
      <c r="AV48" s="1882" t="s">
        <v>2459</v>
      </c>
      <c r="AW48" s="1882" t="s">
        <v>8706</v>
      </c>
      <c r="AX48" s="1882" t="s">
        <v>2459</v>
      </c>
      <c r="AY48" s="1882" t="s">
        <v>8706</v>
      </c>
      <c r="AZ48" s="1882" t="s">
        <v>2459</v>
      </c>
      <c r="BA48" s="1882"/>
      <c r="BB48" s="1882" t="s">
        <v>11837</v>
      </c>
    </row>
    <row r="49" spans="1:54">
      <c r="A49" s="1882" t="s">
        <v>9835</v>
      </c>
      <c r="B49" s="1882" t="s">
        <v>8352</v>
      </c>
      <c r="C49" s="1882" t="s">
        <v>8375</v>
      </c>
      <c r="D49" s="1882" t="s">
        <v>8720</v>
      </c>
      <c r="E49" s="1882">
        <v>1</v>
      </c>
      <c r="F49" s="1882" t="s">
        <v>11836</v>
      </c>
      <c r="G49" s="1882"/>
      <c r="H49" s="1882"/>
      <c r="I49" s="1882"/>
      <c r="J49" s="1882"/>
      <c r="K49" s="1882"/>
      <c r="L49" s="1882"/>
      <c r="M49" s="1882"/>
      <c r="N49" s="1882"/>
      <c r="O49" s="1882"/>
      <c r="P49" s="1882" t="s">
        <v>11730</v>
      </c>
      <c r="Q49" s="1882" t="s">
        <v>2454</v>
      </c>
      <c r="R49" s="1882" t="s">
        <v>11761</v>
      </c>
      <c r="S49" s="1882"/>
      <c r="T49" s="1882" t="s">
        <v>764</v>
      </c>
      <c r="U49" s="520" t="s">
        <v>2453</v>
      </c>
      <c r="V49" s="1882"/>
      <c r="W49" s="1882"/>
      <c r="X49" s="1882"/>
      <c r="Y49" s="1882"/>
      <c r="Z49" s="1882"/>
      <c r="AA49" s="1882"/>
      <c r="AB49" s="1882"/>
      <c r="AC49" s="1882"/>
      <c r="AD49" s="1882"/>
      <c r="AE49" s="1882">
        <v>392</v>
      </c>
      <c r="AF49" s="1882">
        <v>392</v>
      </c>
      <c r="AG49" s="1882">
        <v>392</v>
      </c>
      <c r="AH49" s="1882">
        <v>392</v>
      </c>
      <c r="AI49" s="1882">
        <v>392</v>
      </c>
      <c r="AJ49" s="1882"/>
      <c r="AK49" s="1882"/>
      <c r="AL49" s="1882">
        <v>368</v>
      </c>
      <c r="AM49" s="1882">
        <v>368</v>
      </c>
      <c r="AN49" s="1882">
        <v>368</v>
      </c>
      <c r="AO49" s="1882">
        <v>368</v>
      </c>
      <c r="AP49" s="1882">
        <v>368</v>
      </c>
      <c r="AQ49" s="1882"/>
      <c r="AR49" s="1882">
        <v>268</v>
      </c>
      <c r="AS49" s="1882">
        <v>242</v>
      </c>
      <c r="AT49" s="1882" t="s">
        <v>2459</v>
      </c>
      <c r="AU49" s="1882">
        <v>233</v>
      </c>
      <c r="AV49" s="1882" t="s">
        <v>2459</v>
      </c>
      <c r="AW49" s="1882">
        <v>234</v>
      </c>
      <c r="AX49" s="1882" t="s">
        <v>2459</v>
      </c>
      <c r="AY49" s="1882">
        <v>245</v>
      </c>
      <c r="AZ49" s="1882" t="s">
        <v>2459</v>
      </c>
      <c r="BA49" s="1882"/>
      <c r="BB49" s="1882" t="s">
        <v>11838</v>
      </c>
    </row>
    <row r="50" spans="1:54">
      <c r="A50" s="1882" t="s">
        <v>9835</v>
      </c>
      <c r="B50" s="1882" t="s">
        <v>8352</v>
      </c>
      <c r="C50" s="1882" t="s">
        <v>8375</v>
      </c>
      <c r="D50" s="1882" t="s">
        <v>8720</v>
      </c>
      <c r="E50" s="1882">
        <v>1</v>
      </c>
      <c r="F50" s="1882" t="s">
        <v>11836</v>
      </c>
      <c r="G50" s="1882"/>
      <c r="H50" s="1882"/>
      <c r="I50" s="1882"/>
      <c r="J50" s="1882"/>
      <c r="K50" s="1882"/>
      <c r="L50" s="1882"/>
      <c r="M50" s="1882"/>
      <c r="N50" s="1882"/>
      <c r="O50" s="1882"/>
      <c r="P50" s="1882" t="s">
        <v>11734</v>
      </c>
      <c r="Q50" s="1882" t="s">
        <v>11839</v>
      </c>
      <c r="R50" s="1882" t="s">
        <v>11770</v>
      </c>
      <c r="S50" s="1882"/>
      <c r="T50" s="1882" t="s">
        <v>732</v>
      </c>
      <c r="U50" s="1882">
        <v>1</v>
      </c>
      <c r="V50" s="1882"/>
      <c r="W50" s="1882"/>
      <c r="X50" s="1882"/>
      <c r="Y50" s="1882"/>
      <c r="Z50" s="1882"/>
      <c r="AA50" s="1882"/>
      <c r="AB50" s="1882"/>
      <c r="AC50" s="1882"/>
      <c r="AD50" s="1882"/>
      <c r="AE50" s="1882">
        <v>99.9</v>
      </c>
      <c r="AF50" s="1882">
        <v>99.9</v>
      </c>
      <c r="AG50" s="1882">
        <v>99.9</v>
      </c>
      <c r="AH50" s="1882">
        <v>99.9</v>
      </c>
      <c r="AI50" s="1882">
        <v>99.9</v>
      </c>
      <c r="AJ50" s="1882"/>
      <c r="AK50" s="1882"/>
      <c r="AL50" s="1882">
        <v>99.8</v>
      </c>
      <c r="AM50" s="1882">
        <v>99.8</v>
      </c>
      <c r="AN50" s="1882">
        <v>99.8</v>
      </c>
      <c r="AO50" s="1882">
        <v>99.8</v>
      </c>
      <c r="AP50" s="1882">
        <v>99.8</v>
      </c>
      <c r="AQ50" s="1882"/>
      <c r="AR50" s="1882">
        <v>100</v>
      </c>
      <c r="AS50" s="1882">
        <v>100</v>
      </c>
      <c r="AT50" s="1882" t="s">
        <v>2459</v>
      </c>
      <c r="AU50" s="1882">
        <v>100</v>
      </c>
      <c r="AV50" s="1882" t="s">
        <v>2459</v>
      </c>
      <c r="AW50" s="1882">
        <v>99.93</v>
      </c>
      <c r="AX50" s="1882" t="s">
        <v>2459</v>
      </c>
      <c r="AY50" s="1882">
        <v>100</v>
      </c>
      <c r="AZ50" s="1882" t="s">
        <v>2459</v>
      </c>
      <c r="BA50" s="1882"/>
      <c r="BB50" s="1882" t="s">
        <v>11840</v>
      </c>
    </row>
    <row r="51" spans="1:54">
      <c r="A51" s="1882" t="s">
        <v>9835</v>
      </c>
      <c r="B51" s="1882" t="s">
        <v>8352</v>
      </c>
      <c r="C51" s="1882" t="s">
        <v>8375</v>
      </c>
      <c r="D51" s="1882" t="s">
        <v>8720</v>
      </c>
      <c r="E51" s="1882">
        <v>1</v>
      </c>
      <c r="F51" s="1882" t="s">
        <v>11836</v>
      </c>
      <c r="G51" s="1882"/>
      <c r="H51" s="1882"/>
      <c r="I51" s="1882"/>
      <c r="J51" s="1882"/>
      <c r="K51" s="1882"/>
      <c r="L51" s="1882"/>
      <c r="M51" s="1882"/>
      <c r="N51" s="1882"/>
      <c r="O51" s="1882"/>
      <c r="P51" s="1882" t="s">
        <v>11741</v>
      </c>
      <c r="Q51" s="1882" t="s">
        <v>11841</v>
      </c>
      <c r="R51" s="1882" t="s">
        <v>11842</v>
      </c>
      <c r="S51" s="1882"/>
      <c r="T51" s="1882" t="s">
        <v>764</v>
      </c>
      <c r="U51" s="520" t="s">
        <v>2453</v>
      </c>
      <c r="V51" s="1882"/>
      <c r="W51" s="1882"/>
      <c r="X51" s="1882"/>
      <c r="Y51" s="1882"/>
      <c r="Z51" s="1882"/>
      <c r="AA51" s="1882"/>
      <c r="AB51" s="1882"/>
      <c r="AC51" s="1882"/>
      <c r="AD51" s="1882"/>
      <c r="AE51" s="1882">
        <v>13004</v>
      </c>
      <c r="AF51" s="1882">
        <v>13004</v>
      </c>
      <c r="AG51" s="1882">
        <v>13004</v>
      </c>
      <c r="AH51" s="1882">
        <v>13004</v>
      </c>
      <c r="AI51" s="1882">
        <v>13004</v>
      </c>
      <c r="AJ51" s="1882"/>
      <c r="AK51" s="1882"/>
      <c r="AL51" s="1882">
        <v>10974</v>
      </c>
      <c r="AM51" s="1882">
        <v>10974</v>
      </c>
      <c r="AN51" s="1882">
        <v>10974</v>
      </c>
      <c r="AO51" s="1882">
        <v>10974</v>
      </c>
      <c r="AP51" s="1882">
        <v>10974</v>
      </c>
      <c r="AQ51" s="1882"/>
      <c r="AR51" s="1882">
        <v>8810</v>
      </c>
      <c r="AS51" s="1882">
        <v>7428</v>
      </c>
      <c r="AT51" s="1882" t="s">
        <v>2459</v>
      </c>
      <c r="AU51" s="1882">
        <v>7614</v>
      </c>
      <c r="AV51" s="1882" t="s">
        <v>2459</v>
      </c>
      <c r="AW51" s="1882">
        <v>6734</v>
      </c>
      <c r="AX51" s="1882" t="s">
        <v>2459</v>
      </c>
      <c r="AY51" s="1882">
        <v>7791</v>
      </c>
      <c r="AZ51" s="1882" t="s">
        <v>2459</v>
      </c>
      <c r="BA51" s="1882"/>
      <c r="BB51" s="1882" t="s">
        <v>11843</v>
      </c>
    </row>
    <row r="52" spans="1:54">
      <c r="A52" s="1882" t="s">
        <v>9975</v>
      </c>
      <c r="B52" s="1882" t="s">
        <v>8394</v>
      </c>
      <c r="C52" s="1882" t="s">
        <v>9958</v>
      </c>
      <c r="D52" s="1882" t="s">
        <v>8503</v>
      </c>
      <c r="E52" s="1882">
        <v>2.2000000000000002</v>
      </c>
      <c r="F52" s="1882" t="s">
        <v>9977</v>
      </c>
      <c r="G52" s="1882" t="s">
        <v>8519</v>
      </c>
      <c r="H52" s="1882" t="s">
        <v>8569</v>
      </c>
      <c r="I52" s="1882" t="s">
        <v>8856</v>
      </c>
      <c r="J52" s="1882" t="s">
        <v>8706</v>
      </c>
      <c r="K52" s="1882" t="s">
        <v>8706</v>
      </c>
      <c r="L52" s="1882" t="s">
        <v>8706</v>
      </c>
      <c r="M52" s="1882" t="s">
        <v>8706</v>
      </c>
      <c r="N52" s="1882" t="s">
        <v>8706</v>
      </c>
      <c r="O52" s="1882" t="s">
        <v>8706</v>
      </c>
      <c r="P52" s="1882" t="s">
        <v>11728</v>
      </c>
      <c r="Q52" s="1882" t="s">
        <v>9977</v>
      </c>
      <c r="R52" s="1882"/>
      <c r="S52" s="1882"/>
      <c r="T52" s="1882" t="s">
        <v>8704</v>
      </c>
      <c r="U52" s="1882" t="s">
        <v>8512</v>
      </c>
      <c r="V52" s="1882"/>
      <c r="W52" s="1882"/>
      <c r="X52" s="1882"/>
      <c r="Y52" s="1882"/>
      <c r="Z52" s="1882"/>
      <c r="AA52" s="1882"/>
      <c r="AB52" s="1882"/>
      <c r="AC52" s="1882"/>
      <c r="AD52" s="1882"/>
      <c r="AE52" s="1882"/>
      <c r="AF52" s="1882"/>
      <c r="AG52" s="1882"/>
      <c r="AH52" s="1882"/>
      <c r="AI52" s="1882"/>
      <c r="AJ52" s="1882"/>
      <c r="AK52" s="1882"/>
      <c r="AL52" s="1882"/>
      <c r="AM52" s="1882"/>
      <c r="AN52" s="1882"/>
      <c r="AO52" s="1882"/>
      <c r="AP52" s="1882"/>
      <c r="AQ52" s="1882"/>
      <c r="AR52" s="1882" t="s">
        <v>8706</v>
      </c>
      <c r="AS52" s="1882" t="s">
        <v>8706</v>
      </c>
      <c r="AT52" s="1882" t="s">
        <v>2459</v>
      </c>
      <c r="AU52" s="1882" t="s">
        <v>8706</v>
      </c>
      <c r="AV52" s="1882" t="s">
        <v>2459</v>
      </c>
      <c r="AW52" s="1882" t="s">
        <v>8706</v>
      </c>
      <c r="AX52" s="1882" t="s">
        <v>2459</v>
      </c>
      <c r="AY52" s="1882" t="s">
        <v>8706</v>
      </c>
      <c r="AZ52" s="1882" t="s">
        <v>2459</v>
      </c>
      <c r="BA52" s="1882"/>
      <c r="BB52" s="1882" t="s">
        <v>11844</v>
      </c>
    </row>
    <row r="53" spans="1:54">
      <c r="A53" s="1882" t="s">
        <v>9975</v>
      </c>
      <c r="B53" s="1882" t="s">
        <v>8394</v>
      </c>
      <c r="C53" s="1882" t="s">
        <v>9958</v>
      </c>
      <c r="D53" s="1882" t="s">
        <v>8503</v>
      </c>
      <c r="E53" s="1882">
        <v>2.2000000000000002</v>
      </c>
      <c r="F53" s="1882" t="s">
        <v>9977</v>
      </c>
      <c r="G53" s="1882"/>
      <c r="H53" s="1882"/>
      <c r="I53" s="1882"/>
      <c r="J53" s="1882"/>
      <c r="K53" s="1882"/>
      <c r="L53" s="1882"/>
      <c r="M53" s="1882"/>
      <c r="N53" s="1882"/>
      <c r="O53" s="1882"/>
      <c r="P53" s="1882" t="s">
        <v>11730</v>
      </c>
      <c r="Q53" s="1882" t="s">
        <v>2452</v>
      </c>
      <c r="R53" s="1882" t="s">
        <v>11736</v>
      </c>
      <c r="S53" s="1882">
        <v>0.5</v>
      </c>
      <c r="T53" s="1882" t="s">
        <v>764</v>
      </c>
      <c r="U53" s="520" t="s">
        <v>2453</v>
      </c>
      <c r="V53" s="1882">
        <v>1537</v>
      </c>
      <c r="W53" s="1882"/>
      <c r="X53" s="1882">
        <v>1360</v>
      </c>
      <c r="Y53" s="1882">
        <v>1360</v>
      </c>
      <c r="Z53" s="1882">
        <v>1360</v>
      </c>
      <c r="AA53" s="1882">
        <v>1360</v>
      </c>
      <c r="AB53" s="1882">
        <v>1360</v>
      </c>
      <c r="AC53" s="1882">
        <v>1839</v>
      </c>
      <c r="AD53" s="1882"/>
      <c r="AE53" s="1882">
        <v>1784</v>
      </c>
      <c r="AF53" s="1882">
        <v>1784</v>
      </c>
      <c r="AG53" s="1882">
        <v>1784</v>
      </c>
      <c r="AH53" s="1882">
        <v>1784</v>
      </c>
      <c r="AI53" s="1882">
        <v>1784</v>
      </c>
      <c r="AJ53" s="1882">
        <v>1234</v>
      </c>
      <c r="AK53" s="1882"/>
      <c r="AL53" s="1882">
        <v>937</v>
      </c>
      <c r="AM53" s="1882">
        <v>937</v>
      </c>
      <c r="AN53" s="1882">
        <v>937</v>
      </c>
      <c r="AO53" s="1882">
        <v>937</v>
      </c>
      <c r="AP53" s="1882">
        <v>937</v>
      </c>
      <c r="AQ53" s="1882"/>
      <c r="AR53" s="1882">
        <v>1104</v>
      </c>
      <c r="AS53" s="1882">
        <v>895</v>
      </c>
      <c r="AT53" s="1882" t="s">
        <v>2459</v>
      </c>
      <c r="AU53" s="1882">
        <v>1013</v>
      </c>
      <c r="AV53" s="1882" t="s">
        <v>2459</v>
      </c>
      <c r="AW53" s="1882">
        <v>1300</v>
      </c>
      <c r="AX53" s="1882" t="s">
        <v>2459</v>
      </c>
      <c r="AY53" s="1882">
        <v>1244</v>
      </c>
      <c r="AZ53" s="1882" t="s">
        <v>2459</v>
      </c>
      <c r="BA53" s="1882"/>
      <c r="BB53" s="1882" t="s">
        <v>11845</v>
      </c>
    </row>
    <row r="54" spans="1:54">
      <c r="A54" s="1882" t="s">
        <v>9975</v>
      </c>
      <c r="B54" s="1882" t="s">
        <v>8394</v>
      </c>
      <c r="C54" s="1882" t="s">
        <v>9958</v>
      </c>
      <c r="D54" s="1882" t="s">
        <v>8503</v>
      </c>
      <c r="E54" s="1882">
        <v>2.2000000000000002</v>
      </c>
      <c r="F54" s="1882" t="s">
        <v>9977</v>
      </c>
      <c r="G54" s="1882"/>
      <c r="H54" s="1882"/>
      <c r="I54" s="1882"/>
      <c r="J54" s="1882"/>
      <c r="K54" s="1882"/>
      <c r="L54" s="1882"/>
      <c r="M54" s="1882"/>
      <c r="N54" s="1882"/>
      <c r="O54" s="1882"/>
      <c r="P54" s="1882" t="s">
        <v>11734</v>
      </c>
      <c r="Q54" s="1882" t="s">
        <v>11732</v>
      </c>
      <c r="R54" s="1882" t="s">
        <v>11732</v>
      </c>
      <c r="S54" s="1882">
        <v>0.125</v>
      </c>
      <c r="T54" s="1882" t="s">
        <v>764</v>
      </c>
      <c r="U54" s="520" t="s">
        <v>2453</v>
      </c>
      <c r="V54" s="1882">
        <v>72</v>
      </c>
      <c r="W54" s="1882"/>
      <c r="X54" s="1882">
        <v>72</v>
      </c>
      <c r="Y54" s="1882">
        <v>72</v>
      </c>
      <c r="Z54" s="1882">
        <v>72</v>
      </c>
      <c r="AA54" s="1882">
        <v>72</v>
      </c>
      <c r="AB54" s="1882">
        <v>72</v>
      </c>
      <c r="AC54" s="1882">
        <v>216</v>
      </c>
      <c r="AD54" s="1882"/>
      <c r="AE54" s="1882">
        <v>216</v>
      </c>
      <c r="AF54" s="1882">
        <v>216</v>
      </c>
      <c r="AG54" s="1882">
        <v>216</v>
      </c>
      <c r="AH54" s="1882">
        <v>216</v>
      </c>
      <c r="AI54" s="1882">
        <v>216</v>
      </c>
      <c r="AJ54" s="1882">
        <v>0</v>
      </c>
      <c r="AK54" s="1882"/>
      <c r="AL54" s="1882">
        <v>0</v>
      </c>
      <c r="AM54" s="1882">
        <v>0</v>
      </c>
      <c r="AN54" s="1882">
        <v>0</v>
      </c>
      <c r="AO54" s="1882">
        <v>0</v>
      </c>
      <c r="AP54" s="1882">
        <v>0</v>
      </c>
      <c r="AQ54" s="1882"/>
      <c r="AR54" s="1882">
        <v>20</v>
      </c>
      <c r="AS54" s="1882">
        <v>40</v>
      </c>
      <c r="AT54" s="1882" t="s">
        <v>2459</v>
      </c>
      <c r="AU54" s="1882">
        <v>102</v>
      </c>
      <c r="AV54" s="1882" t="s">
        <v>2460</v>
      </c>
      <c r="AW54" s="1882">
        <v>637</v>
      </c>
      <c r="AX54" s="1882" t="s">
        <v>2460</v>
      </c>
      <c r="AY54" s="1882">
        <v>2389</v>
      </c>
      <c r="AZ54" s="1882" t="s">
        <v>2460</v>
      </c>
      <c r="BA54" s="1882"/>
      <c r="BB54" s="1882" t="s">
        <v>11846</v>
      </c>
    </row>
    <row r="55" spans="1:54">
      <c r="A55" s="1882" t="s">
        <v>9975</v>
      </c>
      <c r="B55" s="1882" t="s">
        <v>8394</v>
      </c>
      <c r="C55" s="1882" t="s">
        <v>9958</v>
      </c>
      <c r="D55" s="1882" t="s">
        <v>8503</v>
      </c>
      <c r="E55" s="1882">
        <v>2.2000000000000002</v>
      </c>
      <c r="F55" s="1882" t="s">
        <v>9977</v>
      </c>
      <c r="G55" s="1882"/>
      <c r="H55" s="1882"/>
      <c r="I55" s="1882"/>
      <c r="J55" s="1882"/>
      <c r="K55" s="1882"/>
      <c r="L55" s="1882"/>
      <c r="M55" s="1882"/>
      <c r="N55" s="1882"/>
      <c r="O55" s="1882"/>
      <c r="P55" s="1882" t="s">
        <v>11741</v>
      </c>
      <c r="Q55" s="1882" t="s">
        <v>11847</v>
      </c>
      <c r="R55" s="1882" t="s">
        <v>11779</v>
      </c>
      <c r="S55" s="1882">
        <v>0.125</v>
      </c>
      <c r="T55" s="1882" t="s">
        <v>764</v>
      </c>
      <c r="U55" s="520" t="s">
        <v>2453</v>
      </c>
      <c r="V55" s="1882">
        <v>17</v>
      </c>
      <c r="W55" s="1882"/>
      <c r="X55" s="1882">
        <v>0</v>
      </c>
      <c r="Y55" s="1882">
        <v>0</v>
      </c>
      <c r="Z55" s="1882">
        <v>0</v>
      </c>
      <c r="AA55" s="1882">
        <v>0</v>
      </c>
      <c r="AB55" s="1882">
        <v>0</v>
      </c>
      <c r="AC55" s="1882">
        <v>81</v>
      </c>
      <c r="AD55" s="1882"/>
      <c r="AE55" s="1882">
        <v>20</v>
      </c>
      <c r="AF55" s="1882">
        <v>20</v>
      </c>
      <c r="AG55" s="1882">
        <v>20</v>
      </c>
      <c r="AH55" s="1882">
        <v>20</v>
      </c>
      <c r="AI55" s="1882">
        <v>20</v>
      </c>
      <c r="AJ55" s="1882">
        <v>0</v>
      </c>
      <c r="AK55" s="1882"/>
      <c r="AL55" s="1882">
        <v>0</v>
      </c>
      <c r="AM55" s="1882">
        <v>0</v>
      </c>
      <c r="AN55" s="1882">
        <v>0</v>
      </c>
      <c r="AO55" s="1882">
        <v>0</v>
      </c>
      <c r="AP55" s="1882">
        <v>0</v>
      </c>
      <c r="AQ55" s="1882"/>
      <c r="AR55" s="1882">
        <v>1</v>
      </c>
      <c r="AS55" s="1882">
        <v>1</v>
      </c>
      <c r="AT55" s="1882" t="s">
        <v>2460</v>
      </c>
      <c r="AU55" s="1882">
        <v>1</v>
      </c>
      <c r="AV55" s="1882" t="s">
        <v>2460</v>
      </c>
      <c r="AW55" s="1882">
        <v>1</v>
      </c>
      <c r="AX55" s="1882" t="s">
        <v>2460</v>
      </c>
      <c r="AY55" s="1882">
        <v>1</v>
      </c>
      <c r="AZ55" s="1882" t="s">
        <v>2460</v>
      </c>
      <c r="BA55" s="1882"/>
      <c r="BB55" s="1882" t="s">
        <v>11848</v>
      </c>
    </row>
    <row r="56" spans="1:54">
      <c r="A56" s="1882" t="s">
        <v>9975</v>
      </c>
      <c r="B56" s="1882" t="s">
        <v>8394</v>
      </c>
      <c r="C56" s="1882" t="s">
        <v>9958</v>
      </c>
      <c r="D56" s="1882" t="s">
        <v>8503</v>
      </c>
      <c r="E56" s="1882">
        <v>2.2000000000000002</v>
      </c>
      <c r="F56" s="1882" t="s">
        <v>9977</v>
      </c>
      <c r="G56" s="1882"/>
      <c r="H56" s="1882"/>
      <c r="I56" s="1882"/>
      <c r="J56" s="1882"/>
      <c r="K56" s="1882"/>
      <c r="L56" s="1882"/>
      <c r="M56" s="1882"/>
      <c r="N56" s="1882"/>
      <c r="O56" s="1882"/>
      <c r="P56" s="1882" t="s">
        <v>11745</v>
      </c>
      <c r="Q56" s="1882" t="s">
        <v>11849</v>
      </c>
      <c r="R56" s="1882" t="s">
        <v>11743</v>
      </c>
      <c r="S56" s="1882">
        <v>0.125</v>
      </c>
      <c r="T56" s="1882" t="s">
        <v>764</v>
      </c>
      <c r="U56" s="1882">
        <v>2</v>
      </c>
      <c r="V56" s="1882">
        <v>0.92</v>
      </c>
      <c r="W56" s="1882"/>
      <c r="X56" s="1882">
        <v>0.92</v>
      </c>
      <c r="Y56" s="1882">
        <v>0.92</v>
      </c>
      <c r="Z56" s="1882">
        <v>0.92</v>
      </c>
      <c r="AA56" s="1882">
        <v>0.92</v>
      </c>
      <c r="AB56" s="1882">
        <v>0.92</v>
      </c>
      <c r="AC56" s="1882">
        <v>1.05</v>
      </c>
      <c r="AD56" s="1882"/>
      <c r="AE56" s="1882">
        <v>1.05</v>
      </c>
      <c r="AF56" s="1882">
        <v>1.05</v>
      </c>
      <c r="AG56" s="1882">
        <v>1.05</v>
      </c>
      <c r="AH56" s="1882">
        <v>1.05</v>
      </c>
      <c r="AI56" s="1882">
        <v>1.05</v>
      </c>
      <c r="AJ56" s="1882">
        <v>0.79</v>
      </c>
      <c r="AK56" s="1882"/>
      <c r="AL56" s="1882">
        <v>0.79</v>
      </c>
      <c r="AM56" s="1882">
        <v>0.79</v>
      </c>
      <c r="AN56" s="1882">
        <v>0.79</v>
      </c>
      <c r="AO56" s="1882">
        <v>0.79</v>
      </c>
      <c r="AP56" s="1882">
        <v>0.79</v>
      </c>
      <c r="AQ56" s="1882"/>
      <c r="AR56" s="1882">
        <v>0.72599999999999998</v>
      </c>
      <c r="AS56" s="1882">
        <v>0.84599999999999997</v>
      </c>
      <c r="AT56" s="1882" t="s">
        <v>2459</v>
      </c>
      <c r="AU56" s="1882">
        <v>0.83499999999999996</v>
      </c>
      <c r="AV56" s="1882" t="s">
        <v>2459</v>
      </c>
      <c r="AW56" s="1882">
        <v>0.69699999999999995</v>
      </c>
      <c r="AX56" s="1882" t="s">
        <v>2459</v>
      </c>
      <c r="AY56" s="1882">
        <v>0.82</v>
      </c>
      <c r="AZ56" s="1882" t="s">
        <v>2459</v>
      </c>
      <c r="BA56" s="1882"/>
      <c r="BB56" s="1882" t="s">
        <v>11850</v>
      </c>
    </row>
    <row r="57" spans="1:54">
      <c r="A57" s="1882" t="s">
        <v>9975</v>
      </c>
      <c r="B57" s="1882" t="s">
        <v>8394</v>
      </c>
      <c r="C57" s="1882" t="s">
        <v>9958</v>
      </c>
      <c r="D57" s="1882" t="s">
        <v>8503</v>
      </c>
      <c r="E57" s="1882">
        <v>2.2000000000000002</v>
      </c>
      <c r="F57" s="1882" t="s">
        <v>9977</v>
      </c>
      <c r="G57" s="1882"/>
      <c r="H57" s="1882"/>
      <c r="I57" s="1882"/>
      <c r="J57" s="1882"/>
      <c r="K57" s="1882"/>
      <c r="L57" s="1882"/>
      <c r="M57" s="1882"/>
      <c r="N57" s="1882"/>
      <c r="O57" s="1882"/>
      <c r="P57" s="1882" t="s">
        <v>11797</v>
      </c>
      <c r="Q57" s="1882" t="s">
        <v>11851</v>
      </c>
      <c r="R57" s="1882" t="s">
        <v>11747</v>
      </c>
      <c r="S57" s="1882">
        <v>0.125</v>
      </c>
      <c r="T57" s="1882" t="s">
        <v>8591</v>
      </c>
      <c r="U57" s="1882">
        <v>2</v>
      </c>
      <c r="V57" s="1882">
        <v>0.04</v>
      </c>
      <c r="W57" s="1882"/>
      <c r="X57" s="1882">
        <v>0.02</v>
      </c>
      <c r="Y57" s="1882">
        <v>0.02</v>
      </c>
      <c r="Z57" s="1882">
        <v>0.02</v>
      </c>
      <c r="AA57" s="1882">
        <v>0.02</v>
      </c>
      <c r="AB57" s="1882">
        <v>0.02</v>
      </c>
      <c r="AC57" s="1882">
        <v>0.13</v>
      </c>
      <c r="AD57" s="1882"/>
      <c r="AE57" s="1882">
        <v>0.08</v>
      </c>
      <c r="AF57" s="1882">
        <v>0.08</v>
      </c>
      <c r="AG57" s="1882">
        <v>0.08</v>
      </c>
      <c r="AH57" s="1882">
        <v>0.08</v>
      </c>
      <c r="AI57" s="1882">
        <v>0.08</v>
      </c>
      <c r="AJ57" s="1882">
        <v>0.02</v>
      </c>
      <c r="AK57" s="1882"/>
      <c r="AL57" s="1882">
        <v>0</v>
      </c>
      <c r="AM57" s="1882">
        <v>0</v>
      </c>
      <c r="AN57" s="1882">
        <v>0</v>
      </c>
      <c r="AO57" s="1882">
        <v>0</v>
      </c>
      <c r="AP57" s="1882">
        <v>0</v>
      </c>
      <c r="AQ57" s="1882"/>
      <c r="AR57" s="1882">
        <v>9.0999999999999998E-2</v>
      </c>
      <c r="AS57" s="1882">
        <v>0.106</v>
      </c>
      <c r="AT57" s="1882" t="s">
        <v>2460</v>
      </c>
      <c r="AU57" s="1882">
        <v>0</v>
      </c>
      <c r="AV57" s="1882" t="s">
        <v>2459</v>
      </c>
      <c r="AW57" s="1882">
        <v>0.13</v>
      </c>
      <c r="AX57" s="1882" t="s">
        <v>2460</v>
      </c>
      <c r="AY57" s="1882">
        <v>6.2E-2</v>
      </c>
      <c r="AZ57" s="1882" t="s">
        <v>2460</v>
      </c>
      <c r="BA57" s="1882"/>
      <c r="BB57" s="1882" t="s">
        <v>11852</v>
      </c>
    </row>
    <row r="58" spans="1:54">
      <c r="A58" s="1882" t="s">
        <v>9979</v>
      </c>
      <c r="B58" s="1882" t="s">
        <v>8394</v>
      </c>
      <c r="C58" s="1882" t="s">
        <v>9958</v>
      </c>
      <c r="D58" s="1882" t="s">
        <v>8503</v>
      </c>
      <c r="E58" s="1882">
        <v>2.2999999999999998</v>
      </c>
      <c r="F58" s="1882" t="s">
        <v>9981</v>
      </c>
      <c r="G58" s="1882" t="s">
        <v>8519</v>
      </c>
      <c r="H58" s="1882" t="s">
        <v>8569</v>
      </c>
      <c r="I58" s="1882" t="s">
        <v>8856</v>
      </c>
      <c r="J58" s="1882" t="s">
        <v>8706</v>
      </c>
      <c r="K58" s="1882" t="s">
        <v>8706</v>
      </c>
      <c r="L58" s="1882" t="s">
        <v>8706</v>
      </c>
      <c r="M58" s="1882" t="s">
        <v>8706</v>
      </c>
      <c r="N58" s="1882" t="s">
        <v>8706</v>
      </c>
      <c r="O58" s="1882" t="s">
        <v>8706</v>
      </c>
      <c r="P58" s="1882" t="s">
        <v>11728</v>
      </c>
      <c r="Q58" s="1882" t="s">
        <v>9981</v>
      </c>
      <c r="R58" s="1882"/>
      <c r="S58" s="1882"/>
      <c r="T58" s="1882" t="s">
        <v>8704</v>
      </c>
      <c r="U58" s="1882" t="s">
        <v>8512</v>
      </c>
      <c r="V58" s="1882"/>
      <c r="W58" s="1882"/>
      <c r="X58" s="1882"/>
      <c r="Y58" s="1882"/>
      <c r="Z58" s="1882"/>
      <c r="AA58" s="1882"/>
      <c r="AB58" s="1882"/>
      <c r="AC58" s="1882"/>
      <c r="AD58" s="1882"/>
      <c r="AE58" s="1882"/>
      <c r="AF58" s="1882"/>
      <c r="AG58" s="1882"/>
      <c r="AH58" s="1882"/>
      <c r="AI58" s="1882"/>
      <c r="AJ58" s="1882"/>
      <c r="AK58" s="1882"/>
      <c r="AL58" s="1882"/>
      <c r="AM58" s="1882"/>
      <c r="AN58" s="1882"/>
      <c r="AO58" s="1882"/>
      <c r="AP58" s="1882"/>
      <c r="AQ58" s="1882"/>
      <c r="AR58" s="1882" t="s">
        <v>8706</v>
      </c>
      <c r="AS58" s="1882" t="s">
        <v>8706</v>
      </c>
      <c r="AT58" s="1882" t="s">
        <v>2459</v>
      </c>
      <c r="AU58" s="1882" t="s">
        <v>8706</v>
      </c>
      <c r="AV58" s="1882" t="s">
        <v>2459</v>
      </c>
      <c r="AW58" s="1882" t="s">
        <v>8706</v>
      </c>
      <c r="AX58" s="1882" t="s">
        <v>2459</v>
      </c>
      <c r="AY58" s="1882" t="s">
        <v>8706</v>
      </c>
      <c r="AZ58" s="1882" t="s">
        <v>2459</v>
      </c>
      <c r="BA58" s="1882"/>
      <c r="BB58" s="1882" t="s">
        <v>11853</v>
      </c>
    </row>
    <row r="59" spans="1:54">
      <c r="A59" s="1882" t="s">
        <v>9979</v>
      </c>
      <c r="B59" s="1882" t="s">
        <v>8394</v>
      </c>
      <c r="C59" s="1882" t="s">
        <v>9958</v>
      </c>
      <c r="D59" s="1882" t="s">
        <v>8503</v>
      </c>
      <c r="E59" s="1882">
        <v>2.2999999999999998</v>
      </c>
      <c r="F59" s="1882" t="s">
        <v>9981</v>
      </c>
      <c r="G59" s="1882"/>
      <c r="H59" s="1882"/>
      <c r="I59" s="1882"/>
      <c r="J59" s="1882"/>
      <c r="K59" s="1882"/>
      <c r="L59" s="1882"/>
      <c r="M59" s="1882"/>
      <c r="N59" s="1882"/>
      <c r="O59" s="1882"/>
      <c r="P59" s="1882" t="s">
        <v>11730</v>
      </c>
      <c r="Q59" s="1882" t="s">
        <v>11854</v>
      </c>
      <c r="R59" s="1882" t="s">
        <v>11751</v>
      </c>
      <c r="S59" s="1882">
        <v>0.3</v>
      </c>
      <c r="T59" s="1882" t="s">
        <v>732</v>
      </c>
      <c r="U59" s="1882">
        <v>2</v>
      </c>
      <c r="V59" s="1882">
        <v>0.05</v>
      </c>
      <c r="W59" s="1882"/>
      <c r="X59" s="1882">
        <v>0.05</v>
      </c>
      <c r="Y59" s="1882">
        <v>0.05</v>
      </c>
      <c r="Z59" s="1882">
        <v>0.05</v>
      </c>
      <c r="AA59" s="1882">
        <v>0.05</v>
      </c>
      <c r="AB59" s="1882">
        <v>0.05</v>
      </c>
      <c r="AC59" s="1882">
        <v>0.15</v>
      </c>
      <c r="AD59" s="1882"/>
      <c r="AE59" s="1882">
        <v>0.15</v>
      </c>
      <c r="AF59" s="1882">
        <v>0.15</v>
      </c>
      <c r="AG59" s="1882">
        <v>0.15</v>
      </c>
      <c r="AH59" s="1882">
        <v>0.15</v>
      </c>
      <c r="AI59" s="1882">
        <v>0.15</v>
      </c>
      <c r="AJ59" s="1882">
        <v>0</v>
      </c>
      <c r="AK59" s="1882"/>
      <c r="AL59" s="1882">
        <v>0</v>
      </c>
      <c r="AM59" s="1882">
        <v>0</v>
      </c>
      <c r="AN59" s="1882">
        <v>0</v>
      </c>
      <c r="AO59" s="1882">
        <v>0</v>
      </c>
      <c r="AP59" s="1882">
        <v>0</v>
      </c>
      <c r="AQ59" s="1882"/>
      <c r="AR59" s="1882">
        <v>3.3000000000000002E-2</v>
      </c>
      <c r="AS59" s="1882">
        <v>3.3000000000000002E-2</v>
      </c>
      <c r="AT59" s="1882" t="s">
        <v>2459</v>
      </c>
      <c r="AU59" s="1882">
        <v>0</v>
      </c>
      <c r="AV59" s="1882" t="s">
        <v>2459</v>
      </c>
      <c r="AW59" s="1882">
        <v>5.2999999999999999E-2</v>
      </c>
      <c r="AX59" s="1882" t="s">
        <v>2460</v>
      </c>
      <c r="AY59" s="1882">
        <v>1.4999999999999999E-2</v>
      </c>
      <c r="AZ59" s="1882" t="s">
        <v>2459</v>
      </c>
      <c r="BA59" s="1882"/>
      <c r="BB59" s="1882" t="s">
        <v>11855</v>
      </c>
    </row>
    <row r="60" spans="1:54">
      <c r="A60" s="1882" t="s">
        <v>9979</v>
      </c>
      <c r="B60" s="1882" t="s">
        <v>8394</v>
      </c>
      <c r="C60" s="1882" t="s">
        <v>9958</v>
      </c>
      <c r="D60" s="1882" t="s">
        <v>8503</v>
      </c>
      <c r="E60" s="1882">
        <v>2.2999999999999998</v>
      </c>
      <c r="F60" s="1882" t="s">
        <v>9981</v>
      </c>
      <c r="G60" s="1882"/>
      <c r="H60" s="1882"/>
      <c r="I60" s="1882"/>
      <c r="J60" s="1882"/>
      <c r="K60" s="1882"/>
      <c r="L60" s="1882"/>
      <c r="M60" s="1882"/>
      <c r="N60" s="1882"/>
      <c r="O60" s="1882"/>
      <c r="P60" s="1882" t="s">
        <v>11734</v>
      </c>
      <c r="Q60" s="1882" t="s">
        <v>11856</v>
      </c>
      <c r="R60" s="1882" t="s">
        <v>11754</v>
      </c>
      <c r="S60" s="1882">
        <v>0.3</v>
      </c>
      <c r="T60" s="1882" t="s">
        <v>732</v>
      </c>
      <c r="U60" s="1882">
        <v>2</v>
      </c>
      <c r="V60" s="1882">
        <v>0</v>
      </c>
      <c r="W60" s="1882"/>
      <c r="X60" s="1882">
        <v>0</v>
      </c>
      <c r="Y60" s="1882">
        <v>0</v>
      </c>
      <c r="Z60" s="1882">
        <v>0</v>
      </c>
      <c r="AA60" s="1882">
        <v>0</v>
      </c>
      <c r="AB60" s="1882">
        <v>0</v>
      </c>
      <c r="AC60" s="1882">
        <v>4.1900000000000004</v>
      </c>
      <c r="AD60" s="1882"/>
      <c r="AE60" s="1882">
        <v>2.1</v>
      </c>
      <c r="AF60" s="1882">
        <v>2.1</v>
      </c>
      <c r="AG60" s="1882">
        <v>2.1</v>
      </c>
      <c r="AH60" s="1882">
        <v>2.1</v>
      </c>
      <c r="AI60" s="1882">
        <v>2.1</v>
      </c>
      <c r="AJ60" s="1882">
        <v>0</v>
      </c>
      <c r="AK60" s="1882"/>
      <c r="AL60" s="1882">
        <v>0</v>
      </c>
      <c r="AM60" s="1882">
        <v>0</v>
      </c>
      <c r="AN60" s="1882">
        <v>0</v>
      </c>
      <c r="AO60" s="1882">
        <v>0</v>
      </c>
      <c r="AP60" s="1882">
        <v>0</v>
      </c>
      <c r="AQ60" s="1882"/>
      <c r="AR60" s="1882">
        <v>0</v>
      </c>
      <c r="AS60" s="1882">
        <v>0</v>
      </c>
      <c r="AT60" s="1882" t="s">
        <v>2459</v>
      </c>
      <c r="AU60" s="1882">
        <v>0</v>
      </c>
      <c r="AV60" s="1882" t="s">
        <v>2459</v>
      </c>
      <c r="AW60" s="1882">
        <v>0</v>
      </c>
      <c r="AX60" s="1882" t="s">
        <v>2459</v>
      </c>
      <c r="AY60" s="1882">
        <v>0</v>
      </c>
      <c r="AZ60" s="1882" t="s">
        <v>2459</v>
      </c>
      <c r="BA60" s="1882"/>
      <c r="BB60" s="1882" t="s">
        <v>11857</v>
      </c>
    </row>
    <row r="61" spans="1:54">
      <c r="A61" s="1882" t="s">
        <v>9979</v>
      </c>
      <c r="B61" s="1882" t="s">
        <v>8394</v>
      </c>
      <c r="C61" s="1882" t="s">
        <v>9958</v>
      </c>
      <c r="D61" s="1882" t="s">
        <v>8503</v>
      </c>
      <c r="E61" s="1882">
        <v>2.2999999999999998</v>
      </c>
      <c r="F61" s="1882" t="s">
        <v>9981</v>
      </c>
      <c r="G61" s="1882"/>
      <c r="H61" s="1882"/>
      <c r="I61" s="1882"/>
      <c r="J61" s="1882"/>
      <c r="K61" s="1882"/>
      <c r="L61" s="1882"/>
      <c r="M61" s="1882"/>
      <c r="N61" s="1882"/>
      <c r="O61" s="1882"/>
      <c r="P61" s="1882" t="s">
        <v>11741</v>
      </c>
      <c r="Q61" s="1882" t="s">
        <v>11858</v>
      </c>
      <c r="R61" s="1882" t="s">
        <v>11756</v>
      </c>
      <c r="S61" s="1882">
        <v>0.2</v>
      </c>
      <c r="T61" s="1882" t="s">
        <v>764</v>
      </c>
      <c r="U61" s="520" t="s">
        <v>2453</v>
      </c>
      <c r="V61" s="1882">
        <v>0</v>
      </c>
      <c r="W61" s="1882"/>
      <c r="X61" s="1882">
        <v>0</v>
      </c>
      <c r="Y61" s="1882">
        <v>0</v>
      </c>
      <c r="Z61" s="1882">
        <v>0</v>
      </c>
      <c r="AA61" s="1882">
        <v>0</v>
      </c>
      <c r="AB61" s="1882">
        <v>0</v>
      </c>
      <c r="AC61" s="1882">
        <v>4</v>
      </c>
      <c r="AD61" s="1882"/>
      <c r="AE61" s="1882">
        <v>2</v>
      </c>
      <c r="AF61" s="1882">
        <v>2</v>
      </c>
      <c r="AG61" s="1882">
        <v>2</v>
      </c>
      <c r="AH61" s="1882">
        <v>2</v>
      </c>
      <c r="AI61" s="1882">
        <v>2</v>
      </c>
      <c r="AJ61" s="1882">
        <v>0</v>
      </c>
      <c r="AK61" s="1882"/>
      <c r="AL61" s="1882">
        <v>0</v>
      </c>
      <c r="AM61" s="1882">
        <v>0</v>
      </c>
      <c r="AN61" s="1882">
        <v>0</v>
      </c>
      <c r="AO61" s="1882">
        <v>0</v>
      </c>
      <c r="AP61" s="1882">
        <v>0</v>
      </c>
      <c r="AQ61" s="1882"/>
      <c r="AR61" s="1882">
        <v>0</v>
      </c>
      <c r="AS61" s="1882">
        <v>0</v>
      </c>
      <c r="AT61" s="1882" t="s">
        <v>2459</v>
      </c>
      <c r="AU61" s="1882">
        <v>0</v>
      </c>
      <c r="AV61" s="1882" t="s">
        <v>2459</v>
      </c>
      <c r="AW61" s="1882">
        <v>0</v>
      </c>
      <c r="AX61" s="1882" t="s">
        <v>2459</v>
      </c>
      <c r="AY61" s="1882">
        <v>0</v>
      </c>
      <c r="AZ61" s="1882" t="s">
        <v>2459</v>
      </c>
      <c r="BA61" s="1882"/>
      <c r="BB61" s="1882" t="s">
        <v>11859</v>
      </c>
    </row>
    <row r="62" spans="1:54">
      <c r="A62" s="1882" t="s">
        <v>9979</v>
      </c>
      <c r="B62" s="1882" t="s">
        <v>8394</v>
      </c>
      <c r="C62" s="1882" t="s">
        <v>9958</v>
      </c>
      <c r="D62" s="1882" t="s">
        <v>8503</v>
      </c>
      <c r="E62" s="1882">
        <v>2.2999999999999998</v>
      </c>
      <c r="F62" s="1882" t="s">
        <v>9981</v>
      </c>
      <c r="G62" s="1882"/>
      <c r="H62" s="1882"/>
      <c r="I62" s="1882"/>
      <c r="J62" s="1882"/>
      <c r="K62" s="1882"/>
      <c r="L62" s="1882"/>
      <c r="M62" s="1882"/>
      <c r="N62" s="1882"/>
      <c r="O62" s="1882"/>
      <c r="P62" s="1882" t="s">
        <v>11745</v>
      </c>
      <c r="Q62" s="1882" t="s">
        <v>11860</v>
      </c>
      <c r="R62" s="1882" t="s">
        <v>11811</v>
      </c>
      <c r="S62" s="1882">
        <v>0.15</v>
      </c>
      <c r="T62" s="1882" t="s">
        <v>764</v>
      </c>
      <c r="U62" s="520" t="s">
        <v>2453</v>
      </c>
      <c r="V62" s="1882">
        <v>0</v>
      </c>
      <c r="W62" s="1882"/>
      <c r="X62" s="1882">
        <v>0</v>
      </c>
      <c r="Y62" s="1882">
        <v>0</v>
      </c>
      <c r="Z62" s="1882">
        <v>0</v>
      </c>
      <c r="AA62" s="1882">
        <v>0</v>
      </c>
      <c r="AB62" s="1882">
        <v>0</v>
      </c>
      <c r="AC62" s="1882">
        <v>2</v>
      </c>
      <c r="AD62" s="1882"/>
      <c r="AE62" s="1882">
        <v>1</v>
      </c>
      <c r="AF62" s="1882">
        <v>1</v>
      </c>
      <c r="AG62" s="1882">
        <v>1</v>
      </c>
      <c r="AH62" s="1882">
        <v>1</v>
      </c>
      <c r="AI62" s="1882">
        <v>1</v>
      </c>
      <c r="AJ62" s="1882">
        <v>0</v>
      </c>
      <c r="AK62" s="1882"/>
      <c r="AL62" s="1882">
        <v>0</v>
      </c>
      <c r="AM62" s="1882">
        <v>0</v>
      </c>
      <c r="AN62" s="1882">
        <v>0</v>
      </c>
      <c r="AO62" s="1882">
        <v>0</v>
      </c>
      <c r="AP62" s="1882">
        <v>0</v>
      </c>
      <c r="AQ62" s="1882"/>
      <c r="AR62" s="1882">
        <v>0</v>
      </c>
      <c r="AS62" s="1882">
        <v>2</v>
      </c>
      <c r="AT62" s="1882" t="s">
        <v>2460</v>
      </c>
      <c r="AU62" s="1882">
        <v>0</v>
      </c>
      <c r="AV62" s="1882" t="s">
        <v>2459</v>
      </c>
      <c r="AW62" s="1882">
        <v>0</v>
      </c>
      <c r="AX62" s="1882" t="s">
        <v>2459</v>
      </c>
      <c r="AY62" s="1882">
        <v>0</v>
      </c>
      <c r="AZ62" s="1882" t="s">
        <v>2459</v>
      </c>
      <c r="BA62" s="1882"/>
      <c r="BB62" s="1882" t="s">
        <v>11861</v>
      </c>
    </row>
    <row r="63" spans="1:54">
      <c r="A63" s="1882" t="s">
        <v>9979</v>
      </c>
      <c r="B63" s="1882" t="s">
        <v>8394</v>
      </c>
      <c r="C63" s="1882" t="s">
        <v>9958</v>
      </c>
      <c r="D63" s="1882" t="s">
        <v>8503</v>
      </c>
      <c r="E63" s="1882">
        <v>2.2999999999999998</v>
      </c>
      <c r="F63" s="1882" t="s">
        <v>9981</v>
      </c>
      <c r="G63" s="1882"/>
      <c r="H63" s="1882"/>
      <c r="I63" s="1882"/>
      <c r="J63" s="1882"/>
      <c r="K63" s="1882"/>
      <c r="L63" s="1882"/>
      <c r="M63" s="1882"/>
      <c r="N63" s="1882"/>
      <c r="O63" s="1882"/>
      <c r="P63" s="1882" t="s">
        <v>11797</v>
      </c>
      <c r="Q63" s="1882" t="s">
        <v>11862</v>
      </c>
      <c r="R63" s="1882" t="s">
        <v>11785</v>
      </c>
      <c r="S63" s="1882">
        <v>0.05</v>
      </c>
      <c r="T63" s="1882" t="s">
        <v>764</v>
      </c>
      <c r="U63" s="520" t="s">
        <v>2453</v>
      </c>
      <c r="V63" s="1882">
        <v>4019</v>
      </c>
      <c r="W63" s="1882"/>
      <c r="X63" s="1882">
        <v>3756</v>
      </c>
      <c r="Y63" s="1882">
        <v>3756</v>
      </c>
      <c r="Z63" s="1882">
        <v>3756</v>
      </c>
      <c r="AA63" s="1882">
        <v>3756</v>
      </c>
      <c r="AB63" s="1882">
        <v>3756</v>
      </c>
      <c r="AC63" s="1882">
        <v>4972</v>
      </c>
      <c r="AD63" s="1882"/>
      <c r="AE63" s="1882">
        <v>4818</v>
      </c>
      <c r="AF63" s="1882">
        <v>4818</v>
      </c>
      <c r="AG63" s="1882">
        <v>4818</v>
      </c>
      <c r="AH63" s="1882">
        <v>4818</v>
      </c>
      <c r="AI63" s="1882">
        <v>4818</v>
      </c>
      <c r="AJ63" s="1882">
        <v>3066</v>
      </c>
      <c r="AK63" s="1882"/>
      <c r="AL63" s="1882">
        <v>2694</v>
      </c>
      <c r="AM63" s="1882">
        <v>2694</v>
      </c>
      <c r="AN63" s="1882">
        <v>2694</v>
      </c>
      <c r="AO63" s="1882">
        <v>2694</v>
      </c>
      <c r="AP63" s="1882">
        <v>2694</v>
      </c>
      <c r="AQ63" s="1882"/>
      <c r="AR63" s="1882">
        <v>4045</v>
      </c>
      <c r="AS63" s="1882">
        <v>3996</v>
      </c>
      <c r="AT63" s="1882" t="s">
        <v>2460</v>
      </c>
      <c r="AU63" s="1882">
        <v>3058</v>
      </c>
      <c r="AV63" s="1882" t="s">
        <v>2459</v>
      </c>
      <c r="AW63" s="1882">
        <v>2662</v>
      </c>
      <c r="AX63" s="1882" t="s">
        <v>2459</v>
      </c>
      <c r="AY63" s="1882">
        <v>2802</v>
      </c>
      <c r="AZ63" s="1882" t="s">
        <v>2459</v>
      </c>
      <c r="BA63" s="1882"/>
      <c r="BB63" s="1882" t="s">
        <v>11863</v>
      </c>
    </row>
    <row r="64" spans="1:54">
      <c r="A64" s="1882" t="s">
        <v>10217</v>
      </c>
      <c r="B64" s="1882" t="s">
        <v>8352</v>
      </c>
      <c r="C64" s="1882" t="s">
        <v>8365</v>
      </c>
      <c r="D64" s="1882" t="s">
        <v>8720</v>
      </c>
      <c r="E64" s="1882" t="s">
        <v>8757</v>
      </c>
      <c r="F64" s="1882" t="s">
        <v>10219</v>
      </c>
      <c r="G64" s="1882" t="s">
        <v>8519</v>
      </c>
      <c r="H64" s="1882" t="s">
        <v>8673</v>
      </c>
      <c r="I64" s="1882" t="s">
        <v>9868</v>
      </c>
      <c r="J64" s="1882" t="s">
        <v>8706</v>
      </c>
      <c r="K64" s="1882">
        <v>100</v>
      </c>
      <c r="L64" s="1882">
        <v>100</v>
      </c>
      <c r="M64" s="1882">
        <v>100</v>
      </c>
      <c r="N64" s="1882">
        <v>100</v>
      </c>
      <c r="O64" s="1882">
        <v>100</v>
      </c>
      <c r="P64" s="1882" t="s">
        <v>11728</v>
      </c>
      <c r="Q64" s="1882" t="s">
        <v>10219</v>
      </c>
      <c r="R64" s="1882"/>
      <c r="S64" s="1882"/>
      <c r="T64" s="1882" t="s">
        <v>732</v>
      </c>
      <c r="U64" s="1882">
        <v>2</v>
      </c>
      <c r="V64" s="1882"/>
      <c r="W64" s="1882"/>
      <c r="X64" s="1882"/>
      <c r="Y64" s="1882"/>
      <c r="Z64" s="1882"/>
      <c r="AA64" s="1882"/>
      <c r="AB64" s="1882"/>
      <c r="AC64" s="1882"/>
      <c r="AD64" s="1882"/>
      <c r="AE64" s="1882"/>
      <c r="AF64" s="1882"/>
      <c r="AG64" s="1882"/>
      <c r="AH64" s="1882"/>
      <c r="AI64" s="1882"/>
      <c r="AJ64" s="1882"/>
      <c r="AK64" s="1882"/>
      <c r="AL64" s="1882"/>
      <c r="AM64" s="1882"/>
      <c r="AN64" s="1882"/>
      <c r="AO64" s="1882"/>
      <c r="AP64" s="1882"/>
      <c r="AQ64" s="1882"/>
      <c r="AR64" s="1882">
        <v>95.74</v>
      </c>
      <c r="AS64" s="1882">
        <v>97.51</v>
      </c>
      <c r="AT64" s="1882" t="s">
        <v>2460</v>
      </c>
      <c r="AU64" s="1882">
        <v>97.988160870777804</v>
      </c>
      <c r="AV64" s="1882" t="s">
        <v>2460</v>
      </c>
      <c r="AW64" s="1882">
        <v>97.67</v>
      </c>
      <c r="AX64" s="1882" t="s">
        <v>2460</v>
      </c>
      <c r="AY64" s="1882" t="s">
        <v>8513</v>
      </c>
      <c r="AZ64" s="1882" t="s">
        <v>8513</v>
      </c>
      <c r="BA64" s="1882"/>
      <c r="BB64" s="1882" t="s">
        <v>11864</v>
      </c>
    </row>
    <row r="65" spans="1:54">
      <c r="A65" s="1882" t="s">
        <v>10217</v>
      </c>
      <c r="B65" s="1882" t="s">
        <v>8352</v>
      </c>
      <c r="C65" s="1882" t="s">
        <v>8365</v>
      </c>
      <c r="D65" s="1882" t="s">
        <v>8720</v>
      </c>
      <c r="E65" s="1882" t="s">
        <v>8757</v>
      </c>
      <c r="F65" s="1882" t="s">
        <v>10219</v>
      </c>
      <c r="G65" s="1882"/>
      <c r="H65" s="1882"/>
      <c r="I65" s="1882"/>
      <c r="J65" s="1882"/>
      <c r="K65" s="1882"/>
      <c r="L65" s="1882"/>
      <c r="M65" s="1882"/>
      <c r="N65" s="1882"/>
      <c r="O65" s="1882"/>
      <c r="P65" s="1882" t="s">
        <v>11730</v>
      </c>
      <c r="Q65" s="1882" t="s">
        <v>11865</v>
      </c>
      <c r="R65" s="1882" t="s">
        <v>11773</v>
      </c>
      <c r="S65" s="1882">
        <v>0.25</v>
      </c>
      <c r="T65" s="1882" t="s">
        <v>732</v>
      </c>
      <c r="U65" s="1882">
        <v>2</v>
      </c>
      <c r="V65" s="1882"/>
      <c r="W65" s="1882"/>
      <c r="X65" s="1882"/>
      <c r="Y65" s="1882"/>
      <c r="Z65" s="1882"/>
      <c r="AA65" s="1882"/>
      <c r="AB65" s="1882"/>
      <c r="AC65" s="1882"/>
      <c r="AD65" s="1882"/>
      <c r="AE65" s="1882"/>
      <c r="AF65" s="1882"/>
      <c r="AG65" s="1882"/>
      <c r="AH65" s="1882"/>
      <c r="AI65" s="1882"/>
      <c r="AJ65" s="1882"/>
      <c r="AK65" s="1882"/>
      <c r="AL65" s="1882"/>
      <c r="AM65" s="1882"/>
      <c r="AN65" s="1882"/>
      <c r="AO65" s="1882"/>
      <c r="AP65" s="1882"/>
      <c r="AQ65" s="1882"/>
      <c r="AR65" s="1882">
        <v>99.86</v>
      </c>
      <c r="AS65" s="1882">
        <v>99.01</v>
      </c>
      <c r="AT65" s="1882"/>
      <c r="AU65" s="1882">
        <v>99.857954545454504</v>
      </c>
      <c r="AV65" s="1882" t="s">
        <v>2459</v>
      </c>
      <c r="AW65" s="1882">
        <v>99.86</v>
      </c>
      <c r="AX65" s="1882" t="s">
        <v>2460</v>
      </c>
      <c r="AY65" s="1882" t="s">
        <v>8513</v>
      </c>
      <c r="AZ65" s="1882" t="s">
        <v>8513</v>
      </c>
      <c r="BA65" s="1882"/>
      <c r="BB65" s="1882" t="s">
        <v>11866</v>
      </c>
    </row>
    <row r="66" spans="1:54">
      <c r="A66" s="1882" t="s">
        <v>10217</v>
      </c>
      <c r="B66" s="1882" t="s">
        <v>8352</v>
      </c>
      <c r="C66" s="1882" t="s">
        <v>8365</v>
      </c>
      <c r="D66" s="1882" t="s">
        <v>8720</v>
      </c>
      <c r="E66" s="1882" t="s">
        <v>8757</v>
      </c>
      <c r="F66" s="1882" t="s">
        <v>10219</v>
      </c>
      <c r="G66" s="1882"/>
      <c r="H66" s="1882"/>
      <c r="I66" s="1882"/>
      <c r="J66" s="1882"/>
      <c r="K66" s="1882"/>
      <c r="L66" s="1882"/>
      <c r="M66" s="1882"/>
      <c r="N66" s="1882"/>
      <c r="O66" s="1882"/>
      <c r="P66" s="1882" t="s">
        <v>11734</v>
      </c>
      <c r="Q66" s="1882" t="s">
        <v>11867</v>
      </c>
      <c r="R66" s="1882" t="s">
        <v>11868</v>
      </c>
      <c r="S66" s="1882">
        <v>0.25</v>
      </c>
      <c r="T66" s="1882" t="s">
        <v>732</v>
      </c>
      <c r="U66" s="1882">
        <v>2</v>
      </c>
      <c r="V66" s="1882"/>
      <c r="W66" s="1882"/>
      <c r="X66" s="1882"/>
      <c r="Y66" s="1882"/>
      <c r="Z66" s="1882"/>
      <c r="AA66" s="1882"/>
      <c r="AB66" s="1882"/>
      <c r="AC66" s="1882"/>
      <c r="AD66" s="1882"/>
      <c r="AE66" s="1882"/>
      <c r="AF66" s="1882"/>
      <c r="AG66" s="1882"/>
      <c r="AH66" s="1882"/>
      <c r="AI66" s="1882"/>
      <c r="AJ66" s="1882"/>
      <c r="AK66" s="1882"/>
      <c r="AL66" s="1882"/>
      <c r="AM66" s="1882"/>
      <c r="AN66" s="1882"/>
      <c r="AO66" s="1882"/>
      <c r="AP66" s="1882"/>
      <c r="AQ66" s="1882"/>
      <c r="AR66" s="1882">
        <v>94.77</v>
      </c>
      <c r="AS66" s="1882">
        <v>97.88</v>
      </c>
      <c r="AT66" s="1882"/>
      <c r="AU66" s="1882">
        <v>97.869318181818201</v>
      </c>
      <c r="AV66" s="1882" t="s">
        <v>2459</v>
      </c>
      <c r="AW66" s="1882">
        <v>97</v>
      </c>
      <c r="AX66" s="1882" t="s">
        <v>2460</v>
      </c>
      <c r="AY66" s="1882" t="s">
        <v>8513</v>
      </c>
      <c r="AZ66" s="1882" t="s">
        <v>8513</v>
      </c>
      <c r="BA66" s="1882"/>
      <c r="BB66" s="1882" t="s">
        <v>11869</v>
      </c>
    </row>
    <row r="67" spans="1:54">
      <c r="A67" s="1882" t="s">
        <v>10217</v>
      </c>
      <c r="B67" s="1882" t="s">
        <v>8352</v>
      </c>
      <c r="C67" s="1882" t="s">
        <v>8365</v>
      </c>
      <c r="D67" s="1882" t="s">
        <v>8720</v>
      </c>
      <c r="E67" s="1882" t="s">
        <v>8757</v>
      </c>
      <c r="F67" s="1882" t="s">
        <v>10219</v>
      </c>
      <c r="G67" s="1882"/>
      <c r="H67" s="1882"/>
      <c r="I67" s="1882"/>
      <c r="J67" s="1882"/>
      <c r="K67" s="1882"/>
      <c r="L67" s="1882"/>
      <c r="M67" s="1882"/>
      <c r="N67" s="1882"/>
      <c r="O67" s="1882"/>
      <c r="P67" s="1882" t="s">
        <v>11741</v>
      </c>
      <c r="Q67" s="1882" t="s">
        <v>11870</v>
      </c>
      <c r="R67" s="1882" t="s">
        <v>11871</v>
      </c>
      <c r="S67" s="1882">
        <v>0.25</v>
      </c>
      <c r="T67" s="1882" t="s">
        <v>732</v>
      </c>
      <c r="U67" s="1882">
        <v>2</v>
      </c>
      <c r="V67" s="1882"/>
      <c r="W67" s="1882"/>
      <c r="X67" s="1882"/>
      <c r="Y67" s="1882"/>
      <c r="Z67" s="1882"/>
      <c r="AA67" s="1882"/>
      <c r="AB67" s="1882"/>
      <c r="AC67" s="1882"/>
      <c r="AD67" s="1882"/>
      <c r="AE67" s="1882"/>
      <c r="AF67" s="1882"/>
      <c r="AG67" s="1882"/>
      <c r="AH67" s="1882"/>
      <c r="AI67" s="1882"/>
      <c r="AJ67" s="1882"/>
      <c r="AK67" s="1882"/>
      <c r="AL67" s="1882"/>
      <c r="AM67" s="1882"/>
      <c r="AN67" s="1882"/>
      <c r="AO67" s="1882"/>
      <c r="AP67" s="1882"/>
      <c r="AQ67" s="1882"/>
      <c r="AR67" s="1882">
        <v>88.72</v>
      </c>
      <c r="AS67" s="1882">
        <v>93.18</v>
      </c>
      <c r="AT67" s="1882"/>
      <c r="AU67" s="1882">
        <v>94.230769230769198</v>
      </c>
      <c r="AV67" s="1882" t="s">
        <v>2459</v>
      </c>
      <c r="AW67" s="1882">
        <v>93.85</v>
      </c>
      <c r="AX67" s="1882" t="s">
        <v>2460</v>
      </c>
      <c r="AY67" s="1882" t="s">
        <v>8513</v>
      </c>
      <c r="AZ67" s="1882" t="s">
        <v>8513</v>
      </c>
      <c r="BA67" s="1882"/>
      <c r="BB67" s="1882" t="s">
        <v>11872</v>
      </c>
    </row>
    <row r="68" spans="1:54">
      <c r="A68" s="1882" t="s">
        <v>10217</v>
      </c>
      <c r="B68" s="1882" t="s">
        <v>8352</v>
      </c>
      <c r="C68" s="1882" t="s">
        <v>8365</v>
      </c>
      <c r="D68" s="1882" t="s">
        <v>8720</v>
      </c>
      <c r="E68" s="1882" t="s">
        <v>8757</v>
      </c>
      <c r="F68" s="1882" t="s">
        <v>10219</v>
      </c>
      <c r="G68" s="1882"/>
      <c r="H68" s="1882"/>
      <c r="I68" s="1882"/>
      <c r="J68" s="1882"/>
      <c r="K68" s="1882"/>
      <c r="L68" s="1882"/>
      <c r="M68" s="1882"/>
      <c r="N68" s="1882"/>
      <c r="O68" s="1882"/>
      <c r="P68" s="1882" t="s">
        <v>11745</v>
      </c>
      <c r="Q68" s="1882" t="s">
        <v>11873</v>
      </c>
      <c r="R68" s="1882" t="s">
        <v>11874</v>
      </c>
      <c r="S68" s="1882">
        <v>0.25</v>
      </c>
      <c r="T68" s="1882" t="s">
        <v>732</v>
      </c>
      <c r="U68" s="1882">
        <v>2</v>
      </c>
      <c r="V68" s="1882"/>
      <c r="W68" s="1882"/>
      <c r="X68" s="1882"/>
      <c r="Y68" s="1882"/>
      <c r="Z68" s="1882"/>
      <c r="AA68" s="1882"/>
      <c r="AB68" s="1882"/>
      <c r="AC68" s="1882"/>
      <c r="AD68" s="1882"/>
      <c r="AE68" s="1882"/>
      <c r="AF68" s="1882"/>
      <c r="AG68" s="1882"/>
      <c r="AH68" s="1882"/>
      <c r="AI68" s="1882"/>
      <c r="AJ68" s="1882"/>
      <c r="AK68" s="1882"/>
      <c r="AL68" s="1882"/>
      <c r="AM68" s="1882"/>
      <c r="AN68" s="1882"/>
      <c r="AO68" s="1882"/>
      <c r="AP68" s="1882"/>
      <c r="AQ68" s="1882"/>
      <c r="AR68" s="1882">
        <v>99.61</v>
      </c>
      <c r="AS68" s="1882">
        <v>99.96</v>
      </c>
      <c r="AT68" s="1882"/>
      <c r="AU68" s="1882">
        <v>99.9946015250692</v>
      </c>
      <c r="AV68" s="1882" t="s">
        <v>2459</v>
      </c>
      <c r="AW68" s="1882">
        <v>99.995999999999995</v>
      </c>
      <c r="AX68" s="1882" t="s">
        <v>2459</v>
      </c>
      <c r="AY68" s="1882" t="s">
        <v>8513</v>
      </c>
      <c r="AZ68" s="1882" t="s">
        <v>8513</v>
      </c>
      <c r="BA68" s="1882"/>
      <c r="BB68" s="1882" t="s">
        <v>11875</v>
      </c>
    </row>
    <row r="69" spans="1:54">
      <c r="A69" s="1882" t="s">
        <v>10237</v>
      </c>
      <c r="B69" s="1882" t="s">
        <v>8352</v>
      </c>
      <c r="C69" s="1882" t="s">
        <v>8365</v>
      </c>
      <c r="D69" s="1882" t="s">
        <v>8720</v>
      </c>
      <c r="E69" s="1882" t="s">
        <v>10238</v>
      </c>
      <c r="F69" s="1882" t="s">
        <v>10240</v>
      </c>
      <c r="G69" s="1882" t="s">
        <v>8508</v>
      </c>
      <c r="H69" s="1882" t="s">
        <v>8673</v>
      </c>
      <c r="I69" s="1882" t="s">
        <v>10241</v>
      </c>
      <c r="J69" s="1882"/>
      <c r="K69" s="1882"/>
      <c r="L69" s="1882"/>
      <c r="M69" s="1882"/>
      <c r="N69" s="1882"/>
      <c r="O69" s="1882">
        <v>3</v>
      </c>
      <c r="P69" s="1882" t="s">
        <v>11728</v>
      </c>
      <c r="Q69" s="1882" t="s">
        <v>10240</v>
      </c>
      <c r="R69" s="1882"/>
      <c r="S69" s="1882"/>
      <c r="T69" s="1882" t="s">
        <v>764</v>
      </c>
      <c r="U69" s="520" t="s">
        <v>2453</v>
      </c>
      <c r="V69" s="1882"/>
      <c r="W69" s="1882"/>
      <c r="X69" s="1882"/>
      <c r="Y69" s="1882"/>
      <c r="Z69" s="1882"/>
      <c r="AA69" s="1882"/>
      <c r="AB69" s="1882"/>
      <c r="AC69" s="1882"/>
      <c r="AD69" s="1882"/>
      <c r="AE69" s="1882"/>
      <c r="AF69" s="1882"/>
      <c r="AG69" s="1882"/>
      <c r="AH69" s="1882"/>
      <c r="AI69" s="1882"/>
      <c r="AJ69" s="1882"/>
      <c r="AK69" s="1882"/>
      <c r="AL69" s="1882"/>
      <c r="AM69" s="1882"/>
      <c r="AN69" s="1882"/>
      <c r="AO69" s="1882"/>
      <c r="AP69" s="1882"/>
      <c r="AQ69" s="1882"/>
      <c r="AR69" s="1882"/>
      <c r="AS69" s="1882" t="s">
        <v>11876</v>
      </c>
      <c r="AT69" s="1882"/>
      <c r="AU69" s="1882" t="s">
        <v>10243</v>
      </c>
      <c r="AV69" s="1882" t="s">
        <v>2451</v>
      </c>
      <c r="AW69" s="1882">
        <v>0</v>
      </c>
      <c r="AX69" s="1882" t="s">
        <v>2451</v>
      </c>
      <c r="AY69" s="1882" t="s">
        <v>8513</v>
      </c>
      <c r="AZ69" s="1882" t="s">
        <v>8513</v>
      </c>
      <c r="BA69" s="1882"/>
      <c r="BB69" s="1882" t="s">
        <v>11877</v>
      </c>
    </row>
    <row r="70" spans="1:54">
      <c r="A70" s="1882" t="s">
        <v>10237</v>
      </c>
      <c r="B70" s="1882" t="s">
        <v>8352</v>
      </c>
      <c r="C70" s="1882" t="s">
        <v>8365</v>
      </c>
      <c r="D70" s="1882" t="s">
        <v>8720</v>
      </c>
      <c r="E70" s="1882" t="s">
        <v>10238</v>
      </c>
      <c r="F70" s="1882" t="s">
        <v>10240</v>
      </c>
      <c r="G70" s="1882"/>
      <c r="H70" s="1882"/>
      <c r="I70" s="1882"/>
      <c r="J70" s="1882"/>
      <c r="K70" s="1882"/>
      <c r="L70" s="1882"/>
      <c r="M70" s="1882"/>
      <c r="N70" s="1882"/>
      <c r="O70" s="1882"/>
      <c r="P70" s="1882" t="s">
        <v>11730</v>
      </c>
      <c r="Q70" s="1882" t="s">
        <v>11878</v>
      </c>
      <c r="R70" s="1882" t="s">
        <v>11879</v>
      </c>
      <c r="S70" s="1882"/>
      <c r="T70" s="1882" t="s">
        <v>764</v>
      </c>
      <c r="U70" s="520" t="s">
        <v>2453</v>
      </c>
      <c r="V70" s="1882"/>
      <c r="W70" s="1882"/>
      <c r="X70" s="1882"/>
      <c r="Y70" s="1882"/>
      <c r="Z70" s="1882"/>
      <c r="AA70" s="1882"/>
      <c r="AB70" s="1882"/>
      <c r="AC70" s="1882"/>
      <c r="AD70" s="1882"/>
      <c r="AE70" s="1882"/>
      <c r="AF70" s="1882"/>
      <c r="AG70" s="1882"/>
      <c r="AH70" s="1882"/>
      <c r="AI70" s="1882"/>
      <c r="AJ70" s="1882"/>
      <c r="AK70" s="1882"/>
      <c r="AL70" s="1882"/>
      <c r="AM70" s="1882"/>
      <c r="AN70" s="1882"/>
      <c r="AO70" s="1882"/>
      <c r="AP70" s="1882"/>
      <c r="AQ70" s="1882"/>
      <c r="AR70" s="1882" t="s">
        <v>3504</v>
      </c>
      <c r="AS70" s="1882" t="s">
        <v>3504</v>
      </c>
      <c r="AT70" s="1882"/>
      <c r="AU70" s="1882" t="s">
        <v>10243</v>
      </c>
      <c r="AV70" s="1882" t="s">
        <v>2451</v>
      </c>
      <c r="AW70" s="1882">
        <v>0</v>
      </c>
      <c r="AX70" s="1882" t="s">
        <v>2451</v>
      </c>
      <c r="AY70" s="1882" t="s">
        <v>8513</v>
      </c>
      <c r="AZ70" s="1882" t="s">
        <v>8513</v>
      </c>
      <c r="BA70" s="1882"/>
      <c r="BB70" s="1882" t="s">
        <v>11880</v>
      </c>
    </row>
    <row r="71" spans="1:54">
      <c r="A71" s="1882" t="s">
        <v>10237</v>
      </c>
      <c r="B71" s="1882" t="s">
        <v>8352</v>
      </c>
      <c r="C71" s="1882" t="s">
        <v>8365</v>
      </c>
      <c r="D71" s="1882" t="s">
        <v>8720</v>
      </c>
      <c r="E71" s="1882" t="s">
        <v>10238</v>
      </c>
      <c r="F71" s="1882" t="s">
        <v>10240</v>
      </c>
      <c r="G71" s="1882"/>
      <c r="H71" s="1882"/>
      <c r="I71" s="1882"/>
      <c r="J71" s="1882"/>
      <c r="K71" s="1882"/>
      <c r="L71" s="1882"/>
      <c r="M71" s="1882"/>
      <c r="N71" s="1882"/>
      <c r="O71" s="1882"/>
      <c r="P71" s="1882" t="s">
        <v>11734</v>
      </c>
      <c r="Q71" s="1882" t="s">
        <v>11881</v>
      </c>
      <c r="R71" s="1882" t="s">
        <v>11882</v>
      </c>
      <c r="S71" s="1882"/>
      <c r="T71" s="1882" t="s">
        <v>764</v>
      </c>
      <c r="U71" s="520" t="s">
        <v>2453</v>
      </c>
      <c r="V71" s="1882"/>
      <c r="W71" s="1882"/>
      <c r="X71" s="1882"/>
      <c r="Y71" s="1882"/>
      <c r="Z71" s="1882"/>
      <c r="AA71" s="1882"/>
      <c r="AB71" s="1882"/>
      <c r="AC71" s="1882"/>
      <c r="AD71" s="1882"/>
      <c r="AE71" s="1882"/>
      <c r="AF71" s="1882"/>
      <c r="AG71" s="1882"/>
      <c r="AH71" s="1882"/>
      <c r="AI71" s="1882"/>
      <c r="AJ71" s="1882"/>
      <c r="AK71" s="1882"/>
      <c r="AL71" s="1882"/>
      <c r="AM71" s="1882"/>
      <c r="AN71" s="1882"/>
      <c r="AO71" s="1882"/>
      <c r="AP71" s="1882"/>
      <c r="AQ71" s="1882"/>
      <c r="AR71" s="1882" t="s">
        <v>3504</v>
      </c>
      <c r="AS71" s="1882" t="s">
        <v>3504</v>
      </c>
      <c r="AT71" s="1882"/>
      <c r="AU71" s="1882" t="s">
        <v>10243</v>
      </c>
      <c r="AV71" s="1882" t="s">
        <v>2451</v>
      </c>
      <c r="AW71" s="1882">
        <v>0</v>
      </c>
      <c r="AX71" s="1882" t="s">
        <v>2451</v>
      </c>
      <c r="AY71" s="1882" t="s">
        <v>8513</v>
      </c>
      <c r="AZ71" s="1882" t="s">
        <v>8513</v>
      </c>
      <c r="BA71" s="1882"/>
      <c r="BB71" s="1882" t="s">
        <v>11883</v>
      </c>
    </row>
    <row r="72" spans="1:54">
      <c r="A72" s="1882" t="s">
        <v>10237</v>
      </c>
      <c r="B72" s="1882" t="s">
        <v>8352</v>
      </c>
      <c r="C72" s="1882" t="s">
        <v>8365</v>
      </c>
      <c r="D72" s="1882" t="s">
        <v>8720</v>
      </c>
      <c r="E72" s="1882" t="s">
        <v>10238</v>
      </c>
      <c r="F72" s="1882" t="s">
        <v>10240</v>
      </c>
      <c r="G72" s="1882"/>
      <c r="H72" s="1882"/>
      <c r="I72" s="1882"/>
      <c r="J72" s="1882"/>
      <c r="K72" s="1882"/>
      <c r="L72" s="1882"/>
      <c r="M72" s="1882"/>
      <c r="N72" s="1882"/>
      <c r="O72" s="1882"/>
      <c r="P72" s="1882" t="s">
        <v>11741</v>
      </c>
      <c r="Q72" s="1882" t="s">
        <v>11884</v>
      </c>
      <c r="R72" s="1882" t="s">
        <v>11759</v>
      </c>
      <c r="S72" s="1882"/>
      <c r="T72" s="1882" t="s">
        <v>764</v>
      </c>
      <c r="U72" s="520" t="s">
        <v>2453</v>
      </c>
      <c r="V72" s="1882"/>
      <c r="W72" s="1882"/>
      <c r="X72" s="1882"/>
      <c r="Y72" s="1882"/>
      <c r="Z72" s="1882"/>
      <c r="AA72" s="1882"/>
      <c r="AB72" s="1882"/>
      <c r="AC72" s="1882"/>
      <c r="AD72" s="1882"/>
      <c r="AE72" s="1882"/>
      <c r="AF72" s="1882"/>
      <c r="AG72" s="1882"/>
      <c r="AH72" s="1882"/>
      <c r="AI72" s="1882"/>
      <c r="AJ72" s="1882"/>
      <c r="AK72" s="1882"/>
      <c r="AL72" s="1882"/>
      <c r="AM72" s="1882"/>
      <c r="AN72" s="1882"/>
      <c r="AO72" s="1882"/>
      <c r="AP72" s="1882"/>
      <c r="AQ72" s="1882"/>
      <c r="AR72" s="1882" t="s">
        <v>3504</v>
      </c>
      <c r="AS72" s="1882" t="s">
        <v>3504</v>
      </c>
      <c r="AT72" s="1882"/>
      <c r="AU72" s="1882" t="s">
        <v>10243</v>
      </c>
      <c r="AV72" s="1882" t="s">
        <v>2451</v>
      </c>
      <c r="AW72" s="1882">
        <v>0</v>
      </c>
      <c r="AX72" s="1882" t="s">
        <v>2451</v>
      </c>
      <c r="AY72" s="1882" t="s">
        <v>8513</v>
      </c>
      <c r="AZ72" s="1882" t="s">
        <v>8513</v>
      </c>
      <c r="BA72" s="1882"/>
      <c r="BB72" s="1882" t="s">
        <v>11885</v>
      </c>
    </row>
    <row r="73" spans="1:54">
      <c r="A73" s="1882" t="s">
        <v>10237</v>
      </c>
      <c r="B73" s="1882" t="s">
        <v>8352</v>
      </c>
      <c r="C73" s="1882" t="s">
        <v>8365</v>
      </c>
      <c r="D73" s="1882" t="s">
        <v>8720</v>
      </c>
      <c r="E73" s="1882" t="s">
        <v>10238</v>
      </c>
      <c r="F73" s="1882" t="s">
        <v>10240</v>
      </c>
      <c r="G73" s="1882"/>
      <c r="H73" s="1882"/>
      <c r="I73" s="1882"/>
      <c r="J73" s="1882"/>
      <c r="K73" s="1882"/>
      <c r="L73" s="1882"/>
      <c r="M73" s="1882"/>
      <c r="N73" s="1882"/>
      <c r="O73" s="1882"/>
      <c r="P73" s="1882" t="s">
        <v>11745</v>
      </c>
      <c r="Q73" s="1882" t="s">
        <v>11886</v>
      </c>
      <c r="R73" s="1882" t="s">
        <v>11887</v>
      </c>
      <c r="S73" s="1882"/>
      <c r="T73" s="1882" t="s">
        <v>764</v>
      </c>
      <c r="U73" s="520" t="s">
        <v>2453</v>
      </c>
      <c r="V73" s="1882"/>
      <c r="W73" s="1882"/>
      <c r="X73" s="1882"/>
      <c r="Y73" s="1882"/>
      <c r="Z73" s="1882"/>
      <c r="AA73" s="1882"/>
      <c r="AB73" s="1882"/>
      <c r="AC73" s="1882"/>
      <c r="AD73" s="1882"/>
      <c r="AE73" s="1882"/>
      <c r="AF73" s="1882"/>
      <c r="AG73" s="1882"/>
      <c r="AH73" s="1882"/>
      <c r="AI73" s="1882"/>
      <c r="AJ73" s="1882"/>
      <c r="AK73" s="1882"/>
      <c r="AL73" s="1882"/>
      <c r="AM73" s="1882"/>
      <c r="AN73" s="1882"/>
      <c r="AO73" s="1882"/>
      <c r="AP73" s="1882"/>
      <c r="AQ73" s="1882"/>
      <c r="AR73" s="1882" t="s">
        <v>3504</v>
      </c>
      <c r="AS73" s="1882" t="s">
        <v>3504</v>
      </c>
      <c r="AT73" s="1882"/>
      <c r="AU73" s="1882" t="s">
        <v>10243</v>
      </c>
      <c r="AV73" s="1882" t="s">
        <v>2451</v>
      </c>
      <c r="AW73" s="1882">
        <v>0</v>
      </c>
      <c r="AX73" s="1882" t="s">
        <v>2451</v>
      </c>
      <c r="AY73" s="1882" t="s">
        <v>8513</v>
      </c>
      <c r="AZ73" s="1882" t="s">
        <v>8513</v>
      </c>
      <c r="BA73" s="1882"/>
      <c r="BB73" s="1882" t="s">
        <v>11888</v>
      </c>
    </row>
    <row r="74" spans="1:54">
      <c r="A74" s="1882" t="s">
        <v>10290</v>
      </c>
      <c r="B74" s="1882" t="s">
        <v>8352</v>
      </c>
      <c r="C74" s="1882" t="s">
        <v>8371</v>
      </c>
      <c r="D74" s="1882" t="s">
        <v>8503</v>
      </c>
      <c r="E74" s="1882" t="s">
        <v>8524</v>
      </c>
      <c r="F74" s="1882" t="s">
        <v>11889</v>
      </c>
      <c r="G74" s="1882" t="s">
        <v>8519</v>
      </c>
      <c r="H74" s="1882" t="s">
        <v>8569</v>
      </c>
      <c r="I74" s="1882" t="s">
        <v>8856</v>
      </c>
      <c r="J74" s="1882" t="s">
        <v>8706</v>
      </c>
      <c r="K74" s="1882" t="s">
        <v>8706</v>
      </c>
      <c r="L74" s="1882" t="s">
        <v>8706</v>
      </c>
      <c r="M74" s="1882" t="s">
        <v>8706</v>
      </c>
      <c r="N74" s="1882" t="s">
        <v>8706</v>
      </c>
      <c r="O74" s="1882" t="s">
        <v>8706</v>
      </c>
      <c r="P74" s="1882" t="s">
        <v>11728</v>
      </c>
      <c r="Q74" s="1882" t="s">
        <v>11889</v>
      </c>
      <c r="R74" s="1882"/>
      <c r="S74" s="1882"/>
      <c r="T74" s="1882" t="s">
        <v>8704</v>
      </c>
      <c r="U74" s="1882" t="s">
        <v>8512</v>
      </c>
      <c r="V74" s="1882"/>
      <c r="W74" s="1882"/>
      <c r="X74" s="1882"/>
      <c r="Y74" s="1882"/>
      <c r="Z74" s="1882"/>
      <c r="AA74" s="1882"/>
      <c r="AB74" s="1882"/>
      <c r="AC74" s="1882"/>
      <c r="AD74" s="1882"/>
      <c r="AE74" s="1882"/>
      <c r="AF74" s="1882"/>
      <c r="AG74" s="1882"/>
      <c r="AH74" s="1882"/>
      <c r="AI74" s="1882"/>
      <c r="AJ74" s="1882"/>
      <c r="AK74" s="1882"/>
      <c r="AL74" s="1882"/>
      <c r="AM74" s="1882"/>
      <c r="AN74" s="1882"/>
      <c r="AO74" s="1882"/>
      <c r="AP74" s="1882"/>
      <c r="AQ74" s="1882"/>
      <c r="AR74" s="1882" t="s">
        <v>8706</v>
      </c>
      <c r="AS74" s="1882" t="s">
        <v>8706</v>
      </c>
      <c r="AT74" s="1882" t="s">
        <v>2459</v>
      </c>
      <c r="AU74" s="1882" t="s">
        <v>8706</v>
      </c>
      <c r="AV74" s="1882" t="s">
        <v>2459</v>
      </c>
      <c r="AW74" s="1882" t="s">
        <v>8706</v>
      </c>
      <c r="AX74" s="1882" t="s">
        <v>2459</v>
      </c>
      <c r="AY74" s="1882" t="s">
        <v>8706</v>
      </c>
      <c r="AZ74" s="1882" t="s">
        <v>2459</v>
      </c>
      <c r="BA74" s="1882"/>
      <c r="BB74" s="1882" t="s">
        <v>11890</v>
      </c>
    </row>
    <row r="75" spans="1:54">
      <c r="A75" s="1882" t="s">
        <v>10290</v>
      </c>
      <c r="B75" s="1882" t="s">
        <v>8352</v>
      </c>
      <c r="C75" s="1882" t="s">
        <v>8371</v>
      </c>
      <c r="D75" s="1882" t="s">
        <v>8503</v>
      </c>
      <c r="E75" s="1882" t="s">
        <v>8524</v>
      </c>
      <c r="F75" s="1882" t="s">
        <v>11889</v>
      </c>
      <c r="G75" s="1882"/>
      <c r="H75" s="1882"/>
      <c r="I75" s="1882"/>
      <c r="J75" s="1882"/>
      <c r="K75" s="1882"/>
      <c r="L75" s="1882"/>
      <c r="M75" s="1882"/>
      <c r="N75" s="1882"/>
      <c r="O75" s="1882"/>
      <c r="P75" s="1882" t="s">
        <v>11730</v>
      </c>
      <c r="Q75" s="1882" t="s">
        <v>11788</v>
      </c>
      <c r="R75" s="1882" t="s">
        <v>11736</v>
      </c>
      <c r="S75" s="1882"/>
      <c r="T75" s="1882" t="s">
        <v>764</v>
      </c>
      <c r="U75" s="520" t="s">
        <v>2453</v>
      </c>
      <c r="V75" s="1882"/>
      <c r="W75" s="1882"/>
      <c r="X75" s="1882">
        <v>2430</v>
      </c>
      <c r="Y75" s="1882">
        <v>2430</v>
      </c>
      <c r="Z75" s="1882">
        <v>2430</v>
      </c>
      <c r="AA75" s="1882">
        <v>2430</v>
      </c>
      <c r="AB75" s="1882">
        <v>2430</v>
      </c>
      <c r="AC75" s="1882"/>
      <c r="AD75" s="1882"/>
      <c r="AE75" s="1882">
        <v>2900</v>
      </c>
      <c r="AF75" s="1882">
        <v>2900</v>
      </c>
      <c r="AG75" s="1882">
        <v>2900</v>
      </c>
      <c r="AH75" s="1882">
        <v>2900</v>
      </c>
      <c r="AI75" s="1882">
        <v>2900</v>
      </c>
      <c r="AJ75" s="1882"/>
      <c r="AK75" s="1882"/>
      <c r="AL75" s="1882">
        <v>1960</v>
      </c>
      <c r="AM75" s="1882">
        <v>1960</v>
      </c>
      <c r="AN75" s="1882">
        <v>1960</v>
      </c>
      <c r="AO75" s="1882">
        <v>1960</v>
      </c>
      <c r="AP75" s="1882">
        <v>1960</v>
      </c>
      <c r="AQ75" s="1882"/>
      <c r="AR75" s="1882">
        <v>2650</v>
      </c>
      <c r="AS75" s="1882">
        <v>2250</v>
      </c>
      <c r="AT75" s="1882" t="s">
        <v>2459</v>
      </c>
      <c r="AU75" s="1882">
        <v>2478</v>
      </c>
      <c r="AV75" s="1882" t="s">
        <v>2459</v>
      </c>
      <c r="AW75" s="1882">
        <v>2496</v>
      </c>
      <c r="AX75" s="1882" t="s">
        <v>2459</v>
      </c>
      <c r="AY75" s="1882">
        <v>2517</v>
      </c>
      <c r="AZ75" s="1882" t="s">
        <v>2460</v>
      </c>
      <c r="BA75" s="1882"/>
      <c r="BB75" s="1882" t="s">
        <v>11891</v>
      </c>
    </row>
    <row r="76" spans="1:54">
      <c r="A76" s="1882" t="s">
        <v>10290</v>
      </c>
      <c r="B76" s="1882" t="s">
        <v>8352</v>
      </c>
      <c r="C76" s="1882" t="s">
        <v>8371</v>
      </c>
      <c r="D76" s="1882" t="s">
        <v>8503</v>
      </c>
      <c r="E76" s="1882" t="s">
        <v>8524</v>
      </c>
      <c r="F76" s="1882" t="s">
        <v>11889</v>
      </c>
      <c r="G76" s="1882"/>
      <c r="H76" s="1882"/>
      <c r="I76" s="1882"/>
      <c r="J76" s="1882"/>
      <c r="K76" s="1882"/>
      <c r="L76" s="1882"/>
      <c r="M76" s="1882"/>
      <c r="N76" s="1882"/>
      <c r="O76" s="1882"/>
      <c r="P76" s="1882" t="s">
        <v>11734</v>
      </c>
      <c r="Q76" s="1882" t="s">
        <v>11790</v>
      </c>
      <c r="R76" s="1882" t="s">
        <v>11732</v>
      </c>
      <c r="S76" s="1882"/>
      <c r="T76" s="1882" t="s">
        <v>764</v>
      </c>
      <c r="U76" s="520" t="s">
        <v>2453</v>
      </c>
      <c r="V76" s="1882"/>
      <c r="W76" s="1882"/>
      <c r="X76" s="1882">
        <v>437</v>
      </c>
      <c r="Y76" s="1882">
        <v>437</v>
      </c>
      <c r="Z76" s="1882">
        <v>437</v>
      </c>
      <c r="AA76" s="1882">
        <v>437</v>
      </c>
      <c r="AB76" s="1882">
        <v>437</v>
      </c>
      <c r="AC76" s="1882"/>
      <c r="AD76" s="1882"/>
      <c r="AE76" s="1882">
        <v>1115</v>
      </c>
      <c r="AF76" s="1882">
        <v>1115</v>
      </c>
      <c r="AG76" s="1882">
        <v>1115</v>
      </c>
      <c r="AH76" s="1882">
        <v>1115</v>
      </c>
      <c r="AI76" s="1882">
        <v>1115</v>
      </c>
      <c r="AJ76" s="1882"/>
      <c r="AK76" s="1882"/>
      <c r="AL76" s="1882">
        <v>0</v>
      </c>
      <c r="AM76" s="1882">
        <v>0</v>
      </c>
      <c r="AN76" s="1882">
        <v>0</v>
      </c>
      <c r="AO76" s="1882">
        <v>0</v>
      </c>
      <c r="AP76" s="1882">
        <v>0</v>
      </c>
      <c r="AQ76" s="1882"/>
      <c r="AR76" s="1882">
        <v>488</v>
      </c>
      <c r="AS76" s="1882">
        <v>2466</v>
      </c>
      <c r="AT76" s="1882" t="s">
        <v>2460</v>
      </c>
      <c r="AU76" s="1882">
        <v>1689</v>
      </c>
      <c r="AV76" s="1882" t="s">
        <v>2459</v>
      </c>
      <c r="AW76" s="1882">
        <v>716</v>
      </c>
      <c r="AX76" s="1882" t="s">
        <v>2459</v>
      </c>
      <c r="AY76" s="1882">
        <v>471</v>
      </c>
      <c r="AZ76" s="1882" t="s">
        <v>2460</v>
      </c>
      <c r="BA76" s="1882"/>
      <c r="BB76" s="1882" t="s">
        <v>11892</v>
      </c>
    </row>
    <row r="77" spans="1:54">
      <c r="A77" s="1882" t="s">
        <v>10290</v>
      </c>
      <c r="B77" s="1882" t="s">
        <v>8352</v>
      </c>
      <c r="C77" s="1882" t="s">
        <v>8371</v>
      </c>
      <c r="D77" s="1882" t="s">
        <v>8503</v>
      </c>
      <c r="E77" s="1882" t="s">
        <v>8524</v>
      </c>
      <c r="F77" s="1882" t="s">
        <v>11889</v>
      </c>
      <c r="G77" s="1882"/>
      <c r="H77" s="1882"/>
      <c r="I77" s="1882"/>
      <c r="J77" s="1882"/>
      <c r="K77" s="1882"/>
      <c r="L77" s="1882"/>
      <c r="M77" s="1882"/>
      <c r="N77" s="1882"/>
      <c r="O77" s="1882"/>
      <c r="P77" s="1882" t="s">
        <v>11741</v>
      </c>
      <c r="Q77" s="1882" t="s">
        <v>11792</v>
      </c>
      <c r="R77" s="1882" t="s">
        <v>11793</v>
      </c>
      <c r="S77" s="1882"/>
      <c r="T77" s="1882" t="s">
        <v>732</v>
      </c>
      <c r="U77" s="1882">
        <v>2</v>
      </c>
      <c r="V77" s="1882"/>
      <c r="W77" s="1882"/>
      <c r="X77" s="1882">
        <v>0.54</v>
      </c>
      <c r="Y77" s="1882">
        <v>0.54</v>
      </c>
      <c r="Z77" s="1882">
        <v>0.54</v>
      </c>
      <c r="AA77" s="1882">
        <v>0.54</v>
      </c>
      <c r="AB77" s="1882">
        <v>0.54</v>
      </c>
      <c r="AC77" s="1882"/>
      <c r="AD77" s="1882"/>
      <c r="AE77" s="1882">
        <v>1.02</v>
      </c>
      <c r="AF77" s="1882">
        <v>1.02</v>
      </c>
      <c r="AG77" s="1882">
        <v>1.02</v>
      </c>
      <c r="AH77" s="1882">
        <v>1.02</v>
      </c>
      <c r="AI77" s="1882">
        <v>1.02</v>
      </c>
      <c r="AJ77" s="1882"/>
      <c r="AK77" s="1882"/>
      <c r="AL77" s="1882">
        <v>0.06</v>
      </c>
      <c r="AM77" s="1882">
        <v>0.06</v>
      </c>
      <c r="AN77" s="1882">
        <v>0.06</v>
      </c>
      <c r="AO77" s="1882">
        <v>0.06</v>
      </c>
      <c r="AP77" s="1882">
        <v>0.06</v>
      </c>
      <c r="AQ77" s="1882"/>
      <c r="AR77" s="1882">
        <v>0.11</v>
      </c>
      <c r="AS77" s="1882">
        <v>0.34</v>
      </c>
      <c r="AT77" s="1882" t="s">
        <v>2459</v>
      </c>
      <c r="AU77" s="1882">
        <v>0.14000000000000001</v>
      </c>
      <c r="AV77" s="1882" t="s">
        <v>2459</v>
      </c>
      <c r="AW77" s="1882">
        <v>0.11</v>
      </c>
      <c r="AX77" s="1882" t="s">
        <v>2459</v>
      </c>
      <c r="AY77" s="1882">
        <v>0.2</v>
      </c>
      <c r="AZ77" s="1882" t="s">
        <v>2459</v>
      </c>
      <c r="BA77" s="1882"/>
      <c r="BB77" s="1882" t="s">
        <v>11893</v>
      </c>
    </row>
    <row r="78" spans="1:54">
      <c r="A78" s="1882" t="s">
        <v>10290</v>
      </c>
      <c r="B78" s="1882" t="s">
        <v>8352</v>
      </c>
      <c r="C78" s="1882" t="s">
        <v>8371</v>
      </c>
      <c r="D78" s="1882" t="s">
        <v>8503</v>
      </c>
      <c r="E78" s="1882" t="s">
        <v>8524</v>
      </c>
      <c r="F78" s="1882" t="s">
        <v>11889</v>
      </c>
      <c r="G78" s="1882"/>
      <c r="H78" s="1882"/>
      <c r="I78" s="1882"/>
      <c r="J78" s="1882"/>
      <c r="K78" s="1882"/>
      <c r="L78" s="1882"/>
      <c r="M78" s="1882"/>
      <c r="N78" s="1882"/>
      <c r="O78" s="1882"/>
      <c r="P78" s="1882" t="s">
        <v>11745</v>
      </c>
      <c r="Q78" s="1882" t="s">
        <v>11795</v>
      </c>
      <c r="R78" s="1882" t="s">
        <v>11779</v>
      </c>
      <c r="S78" s="1882"/>
      <c r="T78" s="1882" t="s">
        <v>764</v>
      </c>
      <c r="U78" s="520" t="s">
        <v>2453</v>
      </c>
      <c r="V78" s="1882"/>
      <c r="W78" s="1882"/>
      <c r="X78" s="1882">
        <v>204</v>
      </c>
      <c r="Y78" s="1882">
        <v>204</v>
      </c>
      <c r="Z78" s="1882">
        <v>204</v>
      </c>
      <c r="AA78" s="1882">
        <v>204</v>
      </c>
      <c r="AB78" s="1882">
        <v>204</v>
      </c>
      <c r="AC78" s="1882"/>
      <c r="AD78" s="1882"/>
      <c r="AE78" s="1882">
        <v>287</v>
      </c>
      <c r="AF78" s="1882">
        <v>287</v>
      </c>
      <c r="AG78" s="1882">
        <v>287</v>
      </c>
      <c r="AH78" s="1882">
        <v>287</v>
      </c>
      <c r="AI78" s="1882">
        <v>287</v>
      </c>
      <c r="AJ78" s="1882"/>
      <c r="AK78" s="1882"/>
      <c r="AL78" s="1882">
        <v>121</v>
      </c>
      <c r="AM78" s="1882">
        <v>121</v>
      </c>
      <c r="AN78" s="1882">
        <v>121</v>
      </c>
      <c r="AO78" s="1882">
        <v>121</v>
      </c>
      <c r="AP78" s="1882">
        <v>121</v>
      </c>
      <c r="AQ78" s="1882"/>
      <c r="AR78" s="1882">
        <v>167</v>
      </c>
      <c r="AS78" s="1882">
        <v>167</v>
      </c>
      <c r="AT78" s="1882" t="s">
        <v>2459</v>
      </c>
      <c r="AU78" s="1882">
        <v>164</v>
      </c>
      <c r="AV78" s="1882" t="s">
        <v>2459</v>
      </c>
      <c r="AW78" s="1882">
        <v>161</v>
      </c>
      <c r="AX78" s="1882" t="s">
        <v>2459</v>
      </c>
      <c r="AY78" s="1882">
        <v>158</v>
      </c>
      <c r="AZ78" s="1882" t="s">
        <v>2459</v>
      </c>
      <c r="BA78" s="1882"/>
      <c r="BB78" s="1882" t="s">
        <v>11894</v>
      </c>
    </row>
    <row r="79" spans="1:54">
      <c r="A79" s="1882" t="s">
        <v>10290</v>
      </c>
      <c r="B79" s="1882" t="s">
        <v>8352</v>
      </c>
      <c r="C79" s="1882" t="s">
        <v>8371</v>
      </c>
      <c r="D79" s="1882" t="s">
        <v>8503</v>
      </c>
      <c r="E79" s="1882" t="s">
        <v>8524</v>
      </c>
      <c r="F79" s="1882" t="s">
        <v>11889</v>
      </c>
      <c r="G79" s="1882"/>
      <c r="H79" s="1882"/>
      <c r="I79" s="1882"/>
      <c r="J79" s="1882"/>
      <c r="K79" s="1882"/>
      <c r="L79" s="1882"/>
      <c r="M79" s="1882"/>
      <c r="N79" s="1882"/>
      <c r="O79" s="1882"/>
      <c r="P79" s="1882" t="s">
        <v>11797</v>
      </c>
      <c r="Q79" s="1882" t="s">
        <v>11742</v>
      </c>
      <c r="R79" s="1882" t="s">
        <v>11743</v>
      </c>
      <c r="S79" s="1882"/>
      <c r="T79" s="1882" t="s">
        <v>764</v>
      </c>
      <c r="U79" s="1882">
        <v>2</v>
      </c>
      <c r="V79" s="1882"/>
      <c r="W79" s="1882"/>
      <c r="X79" s="1882">
        <v>9.4600000000000009</v>
      </c>
      <c r="Y79" s="1882">
        <v>9.4600000000000009</v>
      </c>
      <c r="Z79" s="1882">
        <v>9.4600000000000009</v>
      </c>
      <c r="AA79" s="1882">
        <v>9.4600000000000009</v>
      </c>
      <c r="AB79" s="1882">
        <v>9.4600000000000009</v>
      </c>
      <c r="AC79" s="1882"/>
      <c r="AD79" s="1882"/>
      <c r="AE79" s="1882">
        <v>12.13</v>
      </c>
      <c r="AF79" s="1882">
        <v>12.13</v>
      </c>
      <c r="AG79" s="1882">
        <v>12.13</v>
      </c>
      <c r="AH79" s="1882">
        <v>12.13</v>
      </c>
      <c r="AI79" s="1882">
        <v>12.13</v>
      </c>
      <c r="AJ79" s="1882"/>
      <c r="AK79" s="1882"/>
      <c r="AL79" s="1882">
        <v>6.79</v>
      </c>
      <c r="AM79" s="1882">
        <v>6.79</v>
      </c>
      <c r="AN79" s="1882">
        <v>6.79</v>
      </c>
      <c r="AO79" s="1882">
        <v>6.79</v>
      </c>
      <c r="AP79" s="1882">
        <v>6.79</v>
      </c>
      <c r="AQ79" s="1882"/>
      <c r="AR79" s="1882">
        <v>2.72</v>
      </c>
      <c r="AS79" s="1882">
        <v>2.34</v>
      </c>
      <c r="AT79" s="1882" t="s">
        <v>2459</v>
      </c>
      <c r="AU79" s="1882">
        <v>2.2400000000000002</v>
      </c>
      <c r="AV79" s="1882" t="s">
        <v>2459</v>
      </c>
      <c r="AW79" s="1882">
        <v>1.7</v>
      </c>
      <c r="AX79" s="1882" t="s">
        <v>2459</v>
      </c>
      <c r="AY79" s="1882">
        <v>1.61</v>
      </c>
      <c r="AZ79" s="1882" t="s">
        <v>2459</v>
      </c>
      <c r="BA79" s="1882"/>
      <c r="BB79" s="1882" t="s">
        <v>11895</v>
      </c>
    </row>
    <row r="80" spans="1:54">
      <c r="A80" s="1882" t="s">
        <v>10290</v>
      </c>
      <c r="B80" s="1882" t="s">
        <v>8352</v>
      </c>
      <c r="C80" s="1882" t="s">
        <v>8371</v>
      </c>
      <c r="D80" s="1882" t="s">
        <v>8503</v>
      </c>
      <c r="E80" s="1882" t="s">
        <v>8524</v>
      </c>
      <c r="F80" s="1882" t="s">
        <v>11889</v>
      </c>
      <c r="G80" s="1882"/>
      <c r="H80" s="1882"/>
      <c r="I80" s="1882"/>
      <c r="J80" s="1882"/>
      <c r="K80" s="1882"/>
      <c r="L80" s="1882"/>
      <c r="M80" s="1882"/>
      <c r="N80" s="1882"/>
      <c r="O80" s="1882"/>
      <c r="P80" s="1882" t="s">
        <v>11800</v>
      </c>
      <c r="Q80" s="1882" t="s">
        <v>11896</v>
      </c>
      <c r="R80" s="1882" t="s">
        <v>11747</v>
      </c>
      <c r="S80" s="1882"/>
      <c r="T80" s="1882" t="s">
        <v>732</v>
      </c>
      <c r="U80" s="1882">
        <v>2</v>
      </c>
      <c r="V80" s="1882"/>
      <c r="W80" s="1882"/>
      <c r="X80" s="1882">
        <v>0.18</v>
      </c>
      <c r="Y80" s="1882">
        <v>0.18</v>
      </c>
      <c r="Z80" s="1882">
        <v>0.18</v>
      </c>
      <c r="AA80" s="1882">
        <v>0.18</v>
      </c>
      <c r="AB80" s="1882">
        <v>0.18</v>
      </c>
      <c r="AC80" s="1882"/>
      <c r="AD80" s="1882"/>
      <c r="AE80" s="1882">
        <v>0.28999999999999998</v>
      </c>
      <c r="AF80" s="1882">
        <v>0.28999999999999998</v>
      </c>
      <c r="AG80" s="1882">
        <v>0.28999999999999998</v>
      </c>
      <c r="AH80" s="1882">
        <v>0.28999999999999998</v>
      </c>
      <c r="AI80" s="1882">
        <v>0.28999999999999998</v>
      </c>
      <c r="AJ80" s="1882"/>
      <c r="AK80" s="1882"/>
      <c r="AL80" s="1882">
        <v>7.0000000000000007E-2</v>
      </c>
      <c r="AM80" s="1882">
        <v>7.0000000000000007E-2</v>
      </c>
      <c r="AN80" s="1882">
        <v>7.0000000000000007E-2</v>
      </c>
      <c r="AO80" s="1882">
        <v>7.0000000000000007E-2</v>
      </c>
      <c r="AP80" s="1882">
        <v>7.0000000000000007E-2</v>
      </c>
      <c r="AQ80" s="1882"/>
      <c r="AR80" s="1882">
        <v>0.1</v>
      </c>
      <c r="AS80" s="1882">
        <v>0.13</v>
      </c>
      <c r="AT80" s="1882" t="s">
        <v>2459</v>
      </c>
      <c r="AU80" s="1882">
        <v>0.08</v>
      </c>
      <c r="AV80" s="1882" t="s">
        <v>2459</v>
      </c>
      <c r="AW80" s="1882">
        <v>0.04</v>
      </c>
      <c r="AX80" s="1882" t="s">
        <v>2459</v>
      </c>
      <c r="AY80" s="1882">
        <v>7.0000000000000007E-2</v>
      </c>
      <c r="AZ80" s="1882" t="s">
        <v>2459</v>
      </c>
      <c r="BA80" s="1882"/>
      <c r="BB80" s="1882" t="s">
        <v>11897</v>
      </c>
    </row>
    <row r="81" spans="1:54">
      <c r="A81" s="1882" t="s">
        <v>10294</v>
      </c>
      <c r="B81" s="1882" t="s">
        <v>8352</v>
      </c>
      <c r="C81" s="1882" t="s">
        <v>8371</v>
      </c>
      <c r="D81" s="1882" t="s">
        <v>8503</v>
      </c>
      <c r="E81" s="1882" t="s">
        <v>8530</v>
      </c>
      <c r="F81" s="1882" t="s">
        <v>11898</v>
      </c>
      <c r="G81" s="1882" t="s">
        <v>8519</v>
      </c>
      <c r="H81" s="1882" t="s">
        <v>8569</v>
      </c>
      <c r="I81" s="1882" t="s">
        <v>8856</v>
      </c>
      <c r="J81" s="1882" t="s">
        <v>8706</v>
      </c>
      <c r="K81" s="1882" t="s">
        <v>8706</v>
      </c>
      <c r="L81" s="1882" t="s">
        <v>8706</v>
      </c>
      <c r="M81" s="1882" t="s">
        <v>8706</v>
      </c>
      <c r="N81" s="1882" t="s">
        <v>8706</v>
      </c>
      <c r="O81" s="1882" t="s">
        <v>8706</v>
      </c>
      <c r="P81" s="1882" t="s">
        <v>11728</v>
      </c>
      <c r="Q81" s="1882" t="s">
        <v>11898</v>
      </c>
      <c r="R81" s="1882"/>
      <c r="S81" s="1882"/>
      <c r="T81" s="1882" t="s">
        <v>8704</v>
      </c>
      <c r="U81" s="1882" t="s">
        <v>8512</v>
      </c>
      <c r="V81" s="1882"/>
      <c r="W81" s="1882"/>
      <c r="X81" s="1882"/>
      <c r="Y81" s="1882"/>
      <c r="Z81" s="1882"/>
      <c r="AA81" s="1882"/>
      <c r="AB81" s="1882"/>
      <c r="AC81" s="1882"/>
      <c r="AD81" s="1882"/>
      <c r="AE81" s="1882"/>
      <c r="AF81" s="1882"/>
      <c r="AG81" s="1882"/>
      <c r="AH81" s="1882"/>
      <c r="AI81" s="1882"/>
      <c r="AJ81" s="1882"/>
      <c r="AK81" s="1882"/>
      <c r="AL81" s="1882"/>
      <c r="AM81" s="1882"/>
      <c r="AN81" s="1882"/>
      <c r="AO81" s="1882"/>
      <c r="AP81" s="1882"/>
      <c r="AQ81" s="1882"/>
      <c r="AR81" s="1882" t="s">
        <v>8706</v>
      </c>
      <c r="AS81" s="1882" t="s">
        <v>8706</v>
      </c>
      <c r="AT81" s="1882" t="s">
        <v>2459</v>
      </c>
      <c r="AU81" s="1882" t="s">
        <v>8706</v>
      </c>
      <c r="AV81" s="1882" t="s">
        <v>2459</v>
      </c>
      <c r="AW81" s="1882" t="s">
        <v>8706</v>
      </c>
      <c r="AX81" s="1882" t="s">
        <v>2459</v>
      </c>
      <c r="AY81" s="1882" t="s">
        <v>8706</v>
      </c>
      <c r="AZ81" s="1882" t="s">
        <v>2459</v>
      </c>
      <c r="BA81" s="1882"/>
      <c r="BB81" s="1882" t="s">
        <v>11899</v>
      </c>
    </row>
    <row r="82" spans="1:54">
      <c r="A82" s="1882" t="s">
        <v>10294</v>
      </c>
      <c r="B82" s="1882" t="s">
        <v>8352</v>
      </c>
      <c r="C82" s="1882" t="s">
        <v>8371</v>
      </c>
      <c r="D82" s="1882" t="s">
        <v>8503</v>
      </c>
      <c r="E82" s="1882" t="s">
        <v>8530</v>
      </c>
      <c r="F82" s="1882" t="s">
        <v>11898</v>
      </c>
      <c r="G82" s="1882"/>
      <c r="H82" s="1882"/>
      <c r="I82" s="1882"/>
      <c r="J82" s="1882"/>
      <c r="K82" s="1882"/>
      <c r="L82" s="1882"/>
      <c r="M82" s="1882"/>
      <c r="N82" s="1882"/>
      <c r="O82" s="1882"/>
      <c r="P82" s="1882" t="s">
        <v>11730</v>
      </c>
      <c r="Q82" s="1882" t="s">
        <v>11816</v>
      </c>
      <c r="R82" s="1882" t="s">
        <v>11751</v>
      </c>
      <c r="S82" s="1882"/>
      <c r="T82" s="1882" t="s">
        <v>732</v>
      </c>
      <c r="U82" s="1882">
        <v>2</v>
      </c>
      <c r="V82" s="1882"/>
      <c r="W82" s="1882"/>
      <c r="X82" s="1882">
        <v>7.0000000000000007E-2</v>
      </c>
      <c r="Y82" s="1882">
        <v>7.0000000000000007E-2</v>
      </c>
      <c r="Z82" s="1882">
        <v>7.0000000000000007E-2</v>
      </c>
      <c r="AA82" s="1882">
        <v>7.0000000000000007E-2</v>
      </c>
      <c r="AB82" s="1882">
        <v>7.0000000000000007E-2</v>
      </c>
      <c r="AC82" s="1882"/>
      <c r="AD82" s="1882"/>
      <c r="AE82" s="1882">
        <v>0.12</v>
      </c>
      <c r="AF82" s="1882">
        <v>0.12</v>
      </c>
      <c r="AG82" s="1882">
        <v>0.12</v>
      </c>
      <c r="AH82" s="1882">
        <v>0.12</v>
      </c>
      <c r="AI82" s="1882">
        <v>0.12</v>
      </c>
      <c r="AJ82" s="1882"/>
      <c r="AK82" s="1882"/>
      <c r="AL82" s="1882">
        <v>0.02</v>
      </c>
      <c r="AM82" s="1882">
        <v>0.02</v>
      </c>
      <c r="AN82" s="1882">
        <v>0.02</v>
      </c>
      <c r="AO82" s="1882">
        <v>0.02</v>
      </c>
      <c r="AP82" s="1882">
        <v>0.02</v>
      </c>
      <c r="AQ82" s="1882"/>
      <c r="AR82" s="1882">
        <v>0</v>
      </c>
      <c r="AS82" s="1882">
        <v>0.04</v>
      </c>
      <c r="AT82" s="1882" t="s">
        <v>2459</v>
      </c>
      <c r="AU82" s="1882">
        <v>0.01</v>
      </c>
      <c r="AV82" s="1882" t="s">
        <v>2459</v>
      </c>
      <c r="AW82" s="1882">
        <v>0.01</v>
      </c>
      <c r="AX82" s="1882" t="s">
        <v>2459</v>
      </c>
      <c r="AY82" s="1882">
        <v>0.03</v>
      </c>
      <c r="AZ82" s="1882" t="s">
        <v>2459</v>
      </c>
      <c r="BA82" s="1882"/>
      <c r="BB82" s="1882" t="s">
        <v>11900</v>
      </c>
    </row>
    <row r="83" spans="1:54">
      <c r="A83" s="1882" t="s">
        <v>10294</v>
      </c>
      <c r="B83" s="1882" t="s">
        <v>8352</v>
      </c>
      <c r="C83" s="1882" t="s">
        <v>8371</v>
      </c>
      <c r="D83" s="1882" t="s">
        <v>8503</v>
      </c>
      <c r="E83" s="1882" t="s">
        <v>8530</v>
      </c>
      <c r="F83" s="1882" t="s">
        <v>11898</v>
      </c>
      <c r="G83" s="1882"/>
      <c r="H83" s="1882"/>
      <c r="I83" s="1882"/>
      <c r="J83" s="1882"/>
      <c r="K83" s="1882"/>
      <c r="L83" s="1882"/>
      <c r="M83" s="1882"/>
      <c r="N83" s="1882"/>
      <c r="O83" s="1882"/>
      <c r="P83" s="1882" t="s">
        <v>11734</v>
      </c>
      <c r="Q83" s="1882" t="s">
        <v>11818</v>
      </c>
      <c r="R83" s="1882" t="s">
        <v>11754</v>
      </c>
      <c r="S83" s="1882"/>
      <c r="T83" s="1882" t="s">
        <v>732</v>
      </c>
      <c r="U83" s="1882">
        <v>2</v>
      </c>
      <c r="V83" s="1882"/>
      <c r="W83" s="1882"/>
      <c r="X83" s="1882">
        <v>0</v>
      </c>
      <c r="Y83" s="1882">
        <v>0</v>
      </c>
      <c r="Z83" s="1882">
        <v>0</v>
      </c>
      <c r="AA83" s="1882">
        <v>0</v>
      </c>
      <c r="AB83" s="1882">
        <v>0</v>
      </c>
      <c r="AC83" s="1882"/>
      <c r="AD83" s="1882"/>
      <c r="AE83" s="1882">
        <v>0.6</v>
      </c>
      <c r="AF83" s="1882">
        <v>0.6</v>
      </c>
      <c r="AG83" s="1882">
        <v>0.6</v>
      </c>
      <c r="AH83" s="1882">
        <v>0.6</v>
      </c>
      <c r="AI83" s="1882">
        <v>0.6</v>
      </c>
      <c r="AJ83" s="1882"/>
      <c r="AK83" s="1882"/>
      <c r="AL83" s="1882">
        <v>0</v>
      </c>
      <c r="AM83" s="1882">
        <v>0</v>
      </c>
      <c r="AN83" s="1882">
        <v>0</v>
      </c>
      <c r="AO83" s="1882">
        <v>0</v>
      </c>
      <c r="AP83" s="1882">
        <v>0</v>
      </c>
      <c r="AQ83" s="1882"/>
      <c r="AR83" s="1882">
        <v>0</v>
      </c>
      <c r="AS83" s="1882">
        <v>0</v>
      </c>
      <c r="AT83" s="1882" t="s">
        <v>2459</v>
      </c>
      <c r="AU83" s="1882">
        <v>0</v>
      </c>
      <c r="AV83" s="1882" t="s">
        <v>2459</v>
      </c>
      <c r="AW83" s="1882">
        <v>0</v>
      </c>
      <c r="AX83" s="1882" t="s">
        <v>2459</v>
      </c>
      <c r="AY83" s="1882">
        <v>0</v>
      </c>
      <c r="AZ83" s="1882" t="s">
        <v>2459</v>
      </c>
      <c r="BA83" s="1882"/>
      <c r="BB83" s="1882" t="s">
        <v>11901</v>
      </c>
    </row>
    <row r="84" spans="1:54">
      <c r="A84" s="1882" t="s">
        <v>10294</v>
      </c>
      <c r="B84" s="1882" t="s">
        <v>8352</v>
      </c>
      <c r="C84" s="1882" t="s">
        <v>8371</v>
      </c>
      <c r="D84" s="1882" t="s">
        <v>8503</v>
      </c>
      <c r="E84" s="1882" t="s">
        <v>8530</v>
      </c>
      <c r="F84" s="1882" t="s">
        <v>11898</v>
      </c>
      <c r="G84" s="1882"/>
      <c r="H84" s="1882"/>
      <c r="I84" s="1882"/>
      <c r="J84" s="1882"/>
      <c r="K84" s="1882"/>
      <c r="L84" s="1882"/>
      <c r="M84" s="1882"/>
      <c r="N84" s="1882"/>
      <c r="O84" s="1882"/>
      <c r="P84" s="1882" t="s">
        <v>11741</v>
      </c>
      <c r="Q84" s="1882" t="s">
        <v>11820</v>
      </c>
      <c r="R84" s="1882" t="s">
        <v>11756</v>
      </c>
      <c r="S84" s="1882"/>
      <c r="T84" s="1882" t="s">
        <v>764</v>
      </c>
      <c r="U84" s="520" t="s">
        <v>2453</v>
      </c>
      <c r="V84" s="1882"/>
      <c r="W84" s="1882"/>
      <c r="X84" s="1882">
        <v>2</v>
      </c>
      <c r="Y84" s="1882">
        <v>2</v>
      </c>
      <c r="Z84" s="1882">
        <v>2</v>
      </c>
      <c r="AA84" s="1882">
        <v>2</v>
      </c>
      <c r="AB84" s="1882">
        <v>2</v>
      </c>
      <c r="AC84" s="1882"/>
      <c r="AD84" s="1882"/>
      <c r="AE84" s="1882">
        <v>4</v>
      </c>
      <c r="AF84" s="1882">
        <v>4</v>
      </c>
      <c r="AG84" s="1882">
        <v>4</v>
      </c>
      <c r="AH84" s="1882">
        <v>4</v>
      </c>
      <c r="AI84" s="1882">
        <v>4</v>
      </c>
      <c r="AJ84" s="1882"/>
      <c r="AK84" s="1882"/>
      <c r="AL84" s="1882">
        <v>0</v>
      </c>
      <c r="AM84" s="1882">
        <v>0</v>
      </c>
      <c r="AN84" s="1882">
        <v>0</v>
      </c>
      <c r="AO84" s="1882">
        <v>0</v>
      </c>
      <c r="AP84" s="1882">
        <v>0</v>
      </c>
      <c r="AQ84" s="1882"/>
      <c r="AR84" s="1882">
        <v>0</v>
      </c>
      <c r="AS84" s="1882">
        <v>0</v>
      </c>
      <c r="AT84" s="1882" t="s">
        <v>2459</v>
      </c>
      <c r="AU84" s="1882">
        <v>0</v>
      </c>
      <c r="AV84" s="1882" t="s">
        <v>2459</v>
      </c>
      <c r="AW84" s="1882">
        <v>0</v>
      </c>
      <c r="AX84" s="1882" t="s">
        <v>2459</v>
      </c>
      <c r="AY84" s="1882">
        <v>0</v>
      </c>
      <c r="AZ84" s="1882" t="s">
        <v>2459</v>
      </c>
      <c r="BA84" s="1882"/>
      <c r="BB84" s="1882" t="s">
        <v>11902</v>
      </c>
    </row>
    <row r="85" spans="1:54">
      <c r="A85" s="1882" t="s">
        <v>10294</v>
      </c>
      <c r="B85" s="1882" t="s">
        <v>8352</v>
      </c>
      <c r="C85" s="1882" t="s">
        <v>8371</v>
      </c>
      <c r="D85" s="1882" t="s">
        <v>8503</v>
      </c>
      <c r="E85" s="1882" t="s">
        <v>8530</v>
      </c>
      <c r="F85" s="1882" t="s">
        <v>11898</v>
      </c>
      <c r="G85" s="1882"/>
      <c r="H85" s="1882"/>
      <c r="I85" s="1882"/>
      <c r="J85" s="1882"/>
      <c r="K85" s="1882"/>
      <c r="L85" s="1882"/>
      <c r="M85" s="1882"/>
      <c r="N85" s="1882"/>
      <c r="O85" s="1882"/>
      <c r="P85" s="1882" t="s">
        <v>11745</v>
      </c>
      <c r="Q85" s="1882" t="s">
        <v>11822</v>
      </c>
      <c r="R85" s="1882" t="s">
        <v>11811</v>
      </c>
      <c r="S85" s="1882"/>
      <c r="T85" s="1882" t="s">
        <v>764</v>
      </c>
      <c r="U85" s="520" t="s">
        <v>2453</v>
      </c>
      <c r="V85" s="1882"/>
      <c r="W85" s="1882"/>
      <c r="X85" s="1882">
        <v>0</v>
      </c>
      <c r="Y85" s="1882">
        <v>0</v>
      </c>
      <c r="Z85" s="1882">
        <v>0</v>
      </c>
      <c r="AA85" s="1882">
        <v>0</v>
      </c>
      <c r="AB85" s="1882">
        <v>0</v>
      </c>
      <c r="AC85" s="1882"/>
      <c r="AD85" s="1882"/>
      <c r="AE85" s="1882">
        <v>1</v>
      </c>
      <c r="AF85" s="1882">
        <v>1</v>
      </c>
      <c r="AG85" s="1882">
        <v>1</v>
      </c>
      <c r="AH85" s="1882">
        <v>1</v>
      </c>
      <c r="AI85" s="1882">
        <v>1</v>
      </c>
      <c r="AJ85" s="1882"/>
      <c r="AK85" s="1882"/>
      <c r="AL85" s="1882">
        <v>0</v>
      </c>
      <c r="AM85" s="1882">
        <v>0</v>
      </c>
      <c r="AN85" s="1882">
        <v>0</v>
      </c>
      <c r="AO85" s="1882">
        <v>0</v>
      </c>
      <c r="AP85" s="1882">
        <v>0</v>
      </c>
      <c r="AQ85" s="1882"/>
      <c r="AR85" s="1882">
        <v>0</v>
      </c>
      <c r="AS85" s="1882">
        <v>0</v>
      </c>
      <c r="AT85" s="1882" t="s">
        <v>2459</v>
      </c>
      <c r="AU85" s="1882">
        <v>0</v>
      </c>
      <c r="AV85" s="1882" t="s">
        <v>2459</v>
      </c>
      <c r="AW85" s="1882">
        <v>0</v>
      </c>
      <c r="AX85" s="1882" t="s">
        <v>2459</v>
      </c>
      <c r="AY85" s="1882">
        <v>1</v>
      </c>
      <c r="AZ85" s="1882" t="s">
        <v>2460</v>
      </c>
      <c r="BA85" s="1882"/>
      <c r="BB85" s="1882" t="s">
        <v>11903</v>
      </c>
    </row>
    <row r="86" spans="1:54">
      <c r="A86" s="1882" t="s">
        <v>10294</v>
      </c>
      <c r="B86" s="1882" t="s">
        <v>8352</v>
      </c>
      <c r="C86" s="1882" t="s">
        <v>8371</v>
      </c>
      <c r="D86" s="1882" t="s">
        <v>8503</v>
      </c>
      <c r="E86" s="1882" t="s">
        <v>8530</v>
      </c>
      <c r="F86" s="1882" t="s">
        <v>11898</v>
      </c>
      <c r="G86" s="1882"/>
      <c r="H86" s="1882"/>
      <c r="I86" s="1882"/>
      <c r="J86" s="1882"/>
      <c r="K86" s="1882"/>
      <c r="L86" s="1882"/>
      <c r="M86" s="1882"/>
      <c r="N86" s="1882"/>
      <c r="O86" s="1882"/>
      <c r="P86" s="1882" t="s">
        <v>11797</v>
      </c>
      <c r="Q86" s="1882" t="s">
        <v>11904</v>
      </c>
      <c r="R86" s="1882" t="s">
        <v>11785</v>
      </c>
      <c r="S86" s="1882"/>
      <c r="T86" s="1882" t="s">
        <v>764</v>
      </c>
      <c r="U86" s="520" t="s">
        <v>2453</v>
      </c>
      <c r="V86" s="1882"/>
      <c r="W86" s="1882"/>
      <c r="X86" s="1882">
        <v>2237</v>
      </c>
      <c r="Y86" s="1882">
        <v>2237</v>
      </c>
      <c r="Z86" s="1882">
        <v>2237</v>
      </c>
      <c r="AA86" s="1882">
        <v>2237</v>
      </c>
      <c r="AB86" s="1882">
        <v>2237</v>
      </c>
      <c r="AC86" s="1882"/>
      <c r="AD86" s="1882"/>
      <c r="AE86" s="1882">
        <v>2861</v>
      </c>
      <c r="AF86" s="1882">
        <v>2861</v>
      </c>
      <c r="AG86" s="1882">
        <v>2861</v>
      </c>
      <c r="AH86" s="1882">
        <v>2861</v>
      </c>
      <c r="AI86" s="1882">
        <v>2861</v>
      </c>
      <c r="AJ86" s="1882"/>
      <c r="AK86" s="1882"/>
      <c r="AL86" s="1882">
        <v>1613</v>
      </c>
      <c r="AM86" s="1882">
        <v>1613</v>
      </c>
      <c r="AN86" s="1882">
        <v>1613</v>
      </c>
      <c r="AO86" s="1882">
        <v>1613</v>
      </c>
      <c r="AP86" s="1882">
        <v>1613</v>
      </c>
      <c r="AQ86" s="1882"/>
      <c r="AR86" s="1882">
        <v>2822</v>
      </c>
      <c r="AS86" s="1882">
        <v>3010</v>
      </c>
      <c r="AT86" s="1882" t="s">
        <v>2460</v>
      </c>
      <c r="AU86" s="1882">
        <v>2154</v>
      </c>
      <c r="AV86" s="1882" t="s">
        <v>2459</v>
      </c>
      <c r="AW86" s="1882">
        <v>2606</v>
      </c>
      <c r="AX86" s="1882" t="s">
        <v>2459</v>
      </c>
      <c r="AY86" s="1882">
        <v>2607</v>
      </c>
      <c r="AZ86" s="1882" t="s">
        <v>2460</v>
      </c>
      <c r="BA86" s="1882"/>
      <c r="BB86" s="1882" t="s">
        <v>11905</v>
      </c>
    </row>
    <row r="87" spans="1:54">
      <c r="A87" s="1882" t="s">
        <v>10408</v>
      </c>
      <c r="B87" s="1882" t="s">
        <v>8352</v>
      </c>
      <c r="C87" s="1882" t="s">
        <v>8371</v>
      </c>
      <c r="D87" s="1882" t="s">
        <v>8720</v>
      </c>
      <c r="E87" s="1882" t="s">
        <v>8734</v>
      </c>
      <c r="F87" s="1882" t="s">
        <v>11906</v>
      </c>
      <c r="G87" s="1882" t="s">
        <v>8519</v>
      </c>
      <c r="H87" s="1882" t="s">
        <v>8787</v>
      </c>
      <c r="I87" s="1882" t="s">
        <v>8856</v>
      </c>
      <c r="J87" s="1882" t="s">
        <v>8706</v>
      </c>
      <c r="K87" s="1882" t="s">
        <v>8706</v>
      </c>
      <c r="L87" s="1882" t="s">
        <v>8706</v>
      </c>
      <c r="M87" s="1882" t="s">
        <v>8706</v>
      </c>
      <c r="N87" s="1882" t="s">
        <v>8706</v>
      </c>
      <c r="O87" s="1882" t="s">
        <v>8706</v>
      </c>
      <c r="P87" s="1882" t="s">
        <v>11728</v>
      </c>
      <c r="Q87" s="1882" t="s">
        <v>11906</v>
      </c>
      <c r="R87" s="1882"/>
      <c r="S87" s="1882"/>
      <c r="T87" s="1882" t="s">
        <v>8704</v>
      </c>
      <c r="U87" s="1882" t="s">
        <v>8512</v>
      </c>
      <c r="V87" s="1882"/>
      <c r="W87" s="1882"/>
      <c r="X87" s="1882"/>
      <c r="Y87" s="1882"/>
      <c r="Z87" s="1882"/>
      <c r="AA87" s="1882"/>
      <c r="AB87" s="1882"/>
      <c r="AC87" s="1882"/>
      <c r="AD87" s="1882"/>
      <c r="AE87" s="1882"/>
      <c r="AF87" s="1882"/>
      <c r="AG87" s="1882"/>
      <c r="AH87" s="1882"/>
      <c r="AI87" s="1882"/>
      <c r="AJ87" s="1882"/>
      <c r="AK87" s="1882"/>
      <c r="AL87" s="1882"/>
      <c r="AM87" s="1882"/>
      <c r="AN87" s="1882"/>
      <c r="AO87" s="1882"/>
      <c r="AP87" s="1882"/>
      <c r="AQ87" s="1882"/>
      <c r="AR87" s="1882" t="s">
        <v>8706</v>
      </c>
      <c r="AS87" s="1882" t="s">
        <v>8706</v>
      </c>
      <c r="AT87" s="1882" t="s">
        <v>2459</v>
      </c>
      <c r="AU87" s="1882" t="s">
        <v>8706</v>
      </c>
      <c r="AV87" s="1882" t="s">
        <v>2459</v>
      </c>
      <c r="AW87" s="1882" t="s">
        <v>8706</v>
      </c>
      <c r="AX87" s="1882" t="s">
        <v>2459</v>
      </c>
      <c r="AY87" s="1882" t="s">
        <v>8706</v>
      </c>
      <c r="AZ87" s="1882" t="s">
        <v>2459</v>
      </c>
      <c r="BA87" s="1882"/>
      <c r="BB87" s="1882" t="s">
        <v>11907</v>
      </c>
    </row>
    <row r="88" spans="1:54">
      <c r="A88" s="1882" t="s">
        <v>10408</v>
      </c>
      <c r="B88" s="1882" t="s">
        <v>8352</v>
      </c>
      <c r="C88" s="1882" t="s">
        <v>8371</v>
      </c>
      <c r="D88" s="1882" t="s">
        <v>8720</v>
      </c>
      <c r="E88" s="1882" t="s">
        <v>8734</v>
      </c>
      <c r="F88" s="1882" t="s">
        <v>11906</v>
      </c>
      <c r="G88" s="1882"/>
      <c r="H88" s="1882"/>
      <c r="I88" s="1882"/>
      <c r="J88" s="1882"/>
      <c r="K88" s="1882"/>
      <c r="L88" s="1882"/>
      <c r="M88" s="1882"/>
      <c r="N88" s="1882"/>
      <c r="O88" s="1882"/>
      <c r="P88" s="1882" t="s">
        <v>11730</v>
      </c>
      <c r="Q88" s="1882" t="s">
        <v>2454</v>
      </c>
      <c r="R88" s="1882" t="s">
        <v>11761</v>
      </c>
      <c r="S88" s="1882"/>
      <c r="T88" s="1882" t="s">
        <v>764</v>
      </c>
      <c r="U88" s="520" t="s">
        <v>2453</v>
      </c>
      <c r="V88" s="1882"/>
      <c r="W88" s="1882"/>
      <c r="X88" s="1882">
        <v>167</v>
      </c>
      <c r="Y88" s="1882">
        <v>167</v>
      </c>
      <c r="Z88" s="1882">
        <v>167</v>
      </c>
      <c r="AA88" s="1882">
        <v>167</v>
      </c>
      <c r="AB88" s="1882">
        <v>167</v>
      </c>
      <c r="AC88" s="1882"/>
      <c r="AD88" s="1882"/>
      <c r="AE88" s="1882">
        <v>221</v>
      </c>
      <c r="AF88" s="1882">
        <v>221</v>
      </c>
      <c r="AG88" s="1882">
        <v>221</v>
      </c>
      <c r="AH88" s="1882">
        <v>221</v>
      </c>
      <c r="AI88" s="1882">
        <v>221</v>
      </c>
      <c r="AJ88" s="1882"/>
      <c r="AK88" s="1882"/>
      <c r="AL88" s="1882">
        <v>113</v>
      </c>
      <c r="AM88" s="1882">
        <v>113</v>
      </c>
      <c r="AN88" s="1882">
        <v>113</v>
      </c>
      <c r="AO88" s="1882">
        <v>113</v>
      </c>
      <c r="AP88" s="1882">
        <v>113</v>
      </c>
      <c r="AQ88" s="1882"/>
      <c r="AR88" s="1882">
        <v>152</v>
      </c>
      <c r="AS88" s="1882">
        <v>161</v>
      </c>
      <c r="AT88" s="1882" t="s">
        <v>2459</v>
      </c>
      <c r="AU88" s="1882">
        <v>114</v>
      </c>
      <c r="AV88" s="1882" t="s">
        <v>2459</v>
      </c>
      <c r="AW88" s="1882">
        <v>89</v>
      </c>
      <c r="AX88" s="1882" t="s">
        <v>2459</v>
      </c>
      <c r="AY88" s="1882">
        <v>170</v>
      </c>
      <c r="AZ88" s="1882" t="s">
        <v>2460</v>
      </c>
      <c r="BA88" s="1882"/>
      <c r="BB88" s="1882" t="s">
        <v>11908</v>
      </c>
    </row>
    <row r="89" spans="1:54">
      <c r="A89" s="1882" t="s">
        <v>10408</v>
      </c>
      <c r="B89" s="1882" t="s">
        <v>8352</v>
      </c>
      <c r="C89" s="1882" t="s">
        <v>8371</v>
      </c>
      <c r="D89" s="1882" t="s">
        <v>8720</v>
      </c>
      <c r="E89" s="1882" t="s">
        <v>8734</v>
      </c>
      <c r="F89" s="1882" t="s">
        <v>11906</v>
      </c>
      <c r="G89" s="1882"/>
      <c r="H89" s="1882"/>
      <c r="I89" s="1882"/>
      <c r="J89" s="1882"/>
      <c r="K89" s="1882"/>
      <c r="L89" s="1882"/>
      <c r="M89" s="1882"/>
      <c r="N89" s="1882"/>
      <c r="O89" s="1882"/>
      <c r="P89" s="1882" t="s">
        <v>11734</v>
      </c>
      <c r="Q89" s="1882" t="s">
        <v>11909</v>
      </c>
      <c r="R89" s="1882" t="s">
        <v>11759</v>
      </c>
      <c r="S89" s="1882"/>
      <c r="T89" s="1882" t="s">
        <v>764</v>
      </c>
      <c r="U89" s="520" t="s">
        <v>2453</v>
      </c>
      <c r="V89" s="1882"/>
      <c r="W89" s="1882"/>
      <c r="X89" s="1882">
        <v>70</v>
      </c>
      <c r="Y89" s="1882">
        <v>70</v>
      </c>
      <c r="Z89" s="1882">
        <v>70</v>
      </c>
      <c r="AA89" s="1882">
        <v>70</v>
      </c>
      <c r="AB89" s="1882">
        <v>70</v>
      </c>
      <c r="AC89" s="1882"/>
      <c r="AD89" s="1882"/>
      <c r="AE89" s="1882">
        <v>100</v>
      </c>
      <c r="AF89" s="1882">
        <v>100</v>
      </c>
      <c r="AG89" s="1882">
        <v>100</v>
      </c>
      <c r="AH89" s="1882">
        <v>100</v>
      </c>
      <c r="AI89" s="1882">
        <v>100</v>
      </c>
      <c r="AJ89" s="1882"/>
      <c r="AK89" s="1882"/>
      <c r="AL89" s="1882">
        <v>40</v>
      </c>
      <c r="AM89" s="1882">
        <v>40</v>
      </c>
      <c r="AN89" s="1882">
        <v>40</v>
      </c>
      <c r="AO89" s="1882">
        <v>40</v>
      </c>
      <c r="AP89" s="1882">
        <v>40</v>
      </c>
      <c r="AQ89" s="1882"/>
      <c r="AR89" s="1882">
        <v>87</v>
      </c>
      <c r="AS89" s="1882">
        <v>97</v>
      </c>
      <c r="AT89" s="1882" t="s">
        <v>2459</v>
      </c>
      <c r="AU89" s="1882">
        <v>97</v>
      </c>
      <c r="AV89" s="1882" t="s">
        <v>2459</v>
      </c>
      <c r="AW89" s="1882">
        <v>96</v>
      </c>
      <c r="AX89" s="1882" t="s">
        <v>2459</v>
      </c>
      <c r="AY89" s="1882">
        <v>107</v>
      </c>
      <c r="AZ89" s="1882" t="s">
        <v>2460</v>
      </c>
      <c r="BA89" s="1882"/>
      <c r="BB89" s="1882" t="s">
        <v>11910</v>
      </c>
    </row>
    <row r="90" spans="1:54">
      <c r="A90" s="1882" t="s">
        <v>10408</v>
      </c>
      <c r="B90" s="1882" t="s">
        <v>8352</v>
      </c>
      <c r="C90" s="1882" t="s">
        <v>8371</v>
      </c>
      <c r="D90" s="1882" t="s">
        <v>8720</v>
      </c>
      <c r="E90" s="1882" t="s">
        <v>8734</v>
      </c>
      <c r="F90" s="1882" t="s">
        <v>11906</v>
      </c>
      <c r="G90" s="1882"/>
      <c r="H90" s="1882"/>
      <c r="I90" s="1882"/>
      <c r="J90" s="1882"/>
      <c r="K90" s="1882"/>
      <c r="L90" s="1882"/>
      <c r="M90" s="1882"/>
      <c r="N90" s="1882"/>
      <c r="O90" s="1882"/>
      <c r="P90" s="1882" t="s">
        <v>11741</v>
      </c>
      <c r="Q90" s="1882" t="s">
        <v>11911</v>
      </c>
      <c r="R90" s="1882" t="s">
        <v>11764</v>
      </c>
      <c r="S90" s="1882"/>
      <c r="T90" s="1882" t="s">
        <v>764</v>
      </c>
      <c r="U90" s="520" t="s">
        <v>2453</v>
      </c>
      <c r="V90" s="1882"/>
      <c r="W90" s="1882"/>
      <c r="X90" s="1882">
        <v>80</v>
      </c>
      <c r="Y90" s="1882">
        <v>80</v>
      </c>
      <c r="Z90" s="1882">
        <v>80</v>
      </c>
      <c r="AA90" s="1882">
        <v>80</v>
      </c>
      <c r="AB90" s="1882">
        <v>80</v>
      </c>
      <c r="AC90" s="1882"/>
      <c r="AD90" s="1882"/>
      <c r="AE90" s="1882">
        <v>110</v>
      </c>
      <c r="AF90" s="1882">
        <v>110</v>
      </c>
      <c r="AG90" s="1882">
        <v>110</v>
      </c>
      <c r="AH90" s="1882">
        <v>110</v>
      </c>
      <c r="AI90" s="1882">
        <v>110</v>
      </c>
      <c r="AJ90" s="1882"/>
      <c r="AK90" s="1882"/>
      <c r="AL90" s="1882">
        <v>50</v>
      </c>
      <c r="AM90" s="1882">
        <v>50</v>
      </c>
      <c r="AN90" s="1882">
        <v>50</v>
      </c>
      <c r="AO90" s="1882">
        <v>50</v>
      </c>
      <c r="AP90" s="1882">
        <v>50</v>
      </c>
      <c r="AQ90" s="1882"/>
      <c r="AR90" s="1882">
        <v>96</v>
      </c>
      <c r="AS90" s="1882">
        <v>96</v>
      </c>
      <c r="AT90" s="1882" t="s">
        <v>2459</v>
      </c>
      <c r="AU90" s="1882">
        <v>71</v>
      </c>
      <c r="AV90" s="1882" t="s">
        <v>2459</v>
      </c>
      <c r="AW90" s="1882">
        <v>68</v>
      </c>
      <c r="AX90" s="1882" t="s">
        <v>2459</v>
      </c>
      <c r="AY90" s="1882">
        <v>55</v>
      </c>
      <c r="AZ90" s="1882" t="s">
        <v>2459</v>
      </c>
      <c r="BA90" s="1882"/>
      <c r="BB90" s="1882" t="s">
        <v>11912</v>
      </c>
    </row>
    <row r="91" spans="1:54">
      <c r="A91" s="1882" t="s">
        <v>10408</v>
      </c>
      <c r="B91" s="1882" t="s">
        <v>8352</v>
      </c>
      <c r="C91" s="1882" t="s">
        <v>8371</v>
      </c>
      <c r="D91" s="1882" t="s">
        <v>8720</v>
      </c>
      <c r="E91" s="1882" t="s">
        <v>8734</v>
      </c>
      <c r="F91" s="1882" t="s">
        <v>11906</v>
      </c>
      <c r="G91" s="1882"/>
      <c r="H91" s="1882"/>
      <c r="I91" s="1882"/>
      <c r="J91" s="1882"/>
      <c r="K91" s="1882"/>
      <c r="L91" s="1882"/>
      <c r="M91" s="1882"/>
      <c r="N91" s="1882"/>
      <c r="O91" s="1882"/>
      <c r="P91" s="1882" t="s">
        <v>11745</v>
      </c>
      <c r="Q91" s="1882" t="s">
        <v>11913</v>
      </c>
      <c r="R91" s="1882" t="s">
        <v>11764</v>
      </c>
      <c r="S91" s="1882"/>
      <c r="T91" s="1882" t="s">
        <v>764</v>
      </c>
      <c r="U91" s="520" t="s">
        <v>2453</v>
      </c>
      <c r="V91" s="1882"/>
      <c r="W91" s="1882"/>
      <c r="X91" s="1882">
        <v>30</v>
      </c>
      <c r="Y91" s="1882">
        <v>30</v>
      </c>
      <c r="Z91" s="1882">
        <v>30</v>
      </c>
      <c r="AA91" s="1882">
        <v>30</v>
      </c>
      <c r="AB91" s="1882">
        <v>30</v>
      </c>
      <c r="AC91" s="1882"/>
      <c r="AD91" s="1882"/>
      <c r="AE91" s="1882">
        <v>45</v>
      </c>
      <c r="AF91" s="1882">
        <v>45</v>
      </c>
      <c r="AG91" s="1882">
        <v>45</v>
      </c>
      <c r="AH91" s="1882">
        <v>45</v>
      </c>
      <c r="AI91" s="1882">
        <v>45</v>
      </c>
      <c r="AJ91" s="1882"/>
      <c r="AK91" s="1882"/>
      <c r="AL91" s="1882">
        <v>15</v>
      </c>
      <c r="AM91" s="1882">
        <v>15</v>
      </c>
      <c r="AN91" s="1882">
        <v>15</v>
      </c>
      <c r="AO91" s="1882">
        <v>15</v>
      </c>
      <c r="AP91" s="1882">
        <v>15</v>
      </c>
      <c r="AQ91" s="1882"/>
      <c r="AR91" s="1882">
        <v>21</v>
      </c>
      <c r="AS91" s="1882">
        <v>16</v>
      </c>
      <c r="AT91" s="1882" t="s">
        <v>2459</v>
      </c>
      <c r="AU91" s="1882">
        <v>16</v>
      </c>
      <c r="AV91" s="1882" t="s">
        <v>2459</v>
      </c>
      <c r="AW91" s="1882">
        <v>12</v>
      </c>
      <c r="AX91" s="1882" t="s">
        <v>2459</v>
      </c>
      <c r="AY91" s="1882">
        <v>1</v>
      </c>
      <c r="AZ91" s="1882" t="s">
        <v>2459</v>
      </c>
      <c r="BA91" s="1882"/>
      <c r="BB91" s="1882" t="s">
        <v>11914</v>
      </c>
    </row>
    <row r="92" spans="1:54">
      <c r="A92" s="1882" t="s">
        <v>10408</v>
      </c>
      <c r="B92" s="1882" t="s">
        <v>8352</v>
      </c>
      <c r="C92" s="1882" t="s">
        <v>8371</v>
      </c>
      <c r="D92" s="1882" t="s">
        <v>8720</v>
      </c>
      <c r="E92" s="1882" t="s">
        <v>8734</v>
      </c>
      <c r="F92" s="1882" t="s">
        <v>11906</v>
      </c>
      <c r="G92" s="1882"/>
      <c r="H92" s="1882"/>
      <c r="I92" s="1882"/>
      <c r="J92" s="1882"/>
      <c r="K92" s="1882"/>
      <c r="L92" s="1882"/>
      <c r="M92" s="1882"/>
      <c r="N92" s="1882"/>
      <c r="O92" s="1882"/>
      <c r="P92" s="1882" t="s">
        <v>11797</v>
      </c>
      <c r="Q92" s="1882" t="s">
        <v>11766</v>
      </c>
      <c r="R92" s="1882" t="s">
        <v>11766</v>
      </c>
      <c r="S92" s="1882"/>
      <c r="T92" s="1882" t="s">
        <v>764</v>
      </c>
      <c r="U92" s="520" t="s">
        <v>2453</v>
      </c>
      <c r="V92" s="1882"/>
      <c r="W92" s="1882"/>
      <c r="X92" s="1882">
        <v>3600</v>
      </c>
      <c r="Y92" s="1882">
        <v>3600</v>
      </c>
      <c r="Z92" s="1882">
        <v>3600</v>
      </c>
      <c r="AA92" s="1882">
        <v>3600</v>
      </c>
      <c r="AB92" s="1882">
        <v>3600</v>
      </c>
      <c r="AC92" s="1882"/>
      <c r="AD92" s="1882"/>
      <c r="AE92" s="1882">
        <v>4464</v>
      </c>
      <c r="AF92" s="1882">
        <v>4464</v>
      </c>
      <c r="AG92" s="1882">
        <v>4464</v>
      </c>
      <c r="AH92" s="1882">
        <v>4464</v>
      </c>
      <c r="AI92" s="1882">
        <v>4464</v>
      </c>
      <c r="AJ92" s="1882"/>
      <c r="AK92" s="1882"/>
      <c r="AL92" s="1882">
        <v>2736</v>
      </c>
      <c r="AM92" s="1882">
        <v>2736</v>
      </c>
      <c r="AN92" s="1882">
        <v>2736</v>
      </c>
      <c r="AO92" s="1882">
        <v>2736</v>
      </c>
      <c r="AP92" s="1882">
        <v>2736</v>
      </c>
      <c r="AQ92" s="1882"/>
      <c r="AR92" s="1882">
        <v>3411</v>
      </c>
      <c r="AS92" s="1882">
        <v>3754</v>
      </c>
      <c r="AT92" s="1882" t="s">
        <v>2459</v>
      </c>
      <c r="AU92" s="1882">
        <v>3533</v>
      </c>
      <c r="AV92" s="1882" t="s">
        <v>2459</v>
      </c>
      <c r="AW92" s="1882">
        <v>3285</v>
      </c>
      <c r="AX92" s="1882" t="s">
        <v>2459</v>
      </c>
      <c r="AY92" s="1882">
        <v>3136</v>
      </c>
      <c r="AZ92" s="1882" t="s">
        <v>2459</v>
      </c>
      <c r="BA92" s="1882"/>
      <c r="BB92" s="1882" t="s">
        <v>11915</v>
      </c>
    </row>
    <row r="93" spans="1:54">
      <c r="A93" s="1882" t="s">
        <v>10408</v>
      </c>
      <c r="B93" s="1882" t="s">
        <v>8352</v>
      </c>
      <c r="C93" s="1882" t="s">
        <v>8371</v>
      </c>
      <c r="D93" s="1882" t="s">
        <v>8720</v>
      </c>
      <c r="E93" s="1882" t="s">
        <v>8734</v>
      </c>
      <c r="F93" s="1882" t="s">
        <v>11906</v>
      </c>
      <c r="G93" s="1882"/>
      <c r="H93" s="1882"/>
      <c r="I93" s="1882"/>
      <c r="J93" s="1882"/>
      <c r="K93" s="1882"/>
      <c r="L93" s="1882"/>
      <c r="M93" s="1882"/>
      <c r="N93" s="1882"/>
      <c r="O93" s="1882"/>
      <c r="P93" s="1882" t="s">
        <v>11800</v>
      </c>
      <c r="Q93" s="1882" t="s">
        <v>11916</v>
      </c>
      <c r="R93" s="1882" t="s">
        <v>11917</v>
      </c>
      <c r="S93" s="1882"/>
      <c r="T93" s="1882" t="s">
        <v>764</v>
      </c>
      <c r="U93" s="520" t="s">
        <v>2453</v>
      </c>
      <c r="V93" s="1882"/>
      <c r="W93" s="1882"/>
      <c r="X93" s="1882">
        <v>284</v>
      </c>
      <c r="Y93" s="1882">
        <v>284</v>
      </c>
      <c r="Z93" s="1882">
        <v>284</v>
      </c>
      <c r="AA93" s="1882">
        <v>284</v>
      </c>
      <c r="AB93" s="1882">
        <v>284</v>
      </c>
      <c r="AC93" s="1882"/>
      <c r="AD93" s="1882"/>
      <c r="AE93" s="1882">
        <v>376</v>
      </c>
      <c r="AF93" s="1882">
        <v>376</v>
      </c>
      <c r="AG93" s="1882">
        <v>376</v>
      </c>
      <c r="AH93" s="1882">
        <v>376</v>
      </c>
      <c r="AI93" s="1882">
        <v>376</v>
      </c>
      <c r="AJ93" s="1882"/>
      <c r="AK93" s="1882"/>
      <c r="AL93" s="1882">
        <v>192</v>
      </c>
      <c r="AM93" s="1882">
        <v>192</v>
      </c>
      <c r="AN93" s="1882">
        <v>192</v>
      </c>
      <c r="AO93" s="1882">
        <v>192</v>
      </c>
      <c r="AP93" s="1882">
        <v>192</v>
      </c>
      <c r="AQ93" s="1882"/>
      <c r="AR93" s="1882">
        <v>320</v>
      </c>
      <c r="AS93" s="1882">
        <v>258</v>
      </c>
      <c r="AT93" s="1882" t="s">
        <v>2459</v>
      </c>
      <c r="AU93" s="1882">
        <v>262</v>
      </c>
      <c r="AV93" s="1882" t="s">
        <v>2459</v>
      </c>
      <c r="AW93" s="1882">
        <v>244</v>
      </c>
      <c r="AX93" s="1882" t="s">
        <v>2459</v>
      </c>
      <c r="AY93" s="1882">
        <v>126</v>
      </c>
      <c r="AZ93" s="1882" t="s">
        <v>2459</v>
      </c>
      <c r="BA93" s="1882"/>
      <c r="BB93" s="1882" t="s">
        <v>11918</v>
      </c>
    </row>
    <row r="94" spans="1:54">
      <c r="A94" s="1882" t="s">
        <v>10412</v>
      </c>
      <c r="B94" s="1882" t="s">
        <v>8352</v>
      </c>
      <c r="C94" s="1882" t="s">
        <v>8371</v>
      </c>
      <c r="D94" s="1882" t="s">
        <v>8720</v>
      </c>
      <c r="E94" s="1882" t="s">
        <v>10199</v>
      </c>
      <c r="F94" s="1882" t="s">
        <v>11919</v>
      </c>
      <c r="G94" s="1882" t="s">
        <v>8519</v>
      </c>
      <c r="H94" s="1882" t="s">
        <v>8787</v>
      </c>
      <c r="I94" s="1882" t="s">
        <v>8856</v>
      </c>
      <c r="J94" s="1882" t="s">
        <v>8706</v>
      </c>
      <c r="K94" s="1882" t="s">
        <v>8706</v>
      </c>
      <c r="L94" s="1882" t="s">
        <v>8706</v>
      </c>
      <c r="M94" s="1882" t="s">
        <v>8706</v>
      </c>
      <c r="N94" s="1882" t="s">
        <v>8706</v>
      </c>
      <c r="O94" s="1882" t="s">
        <v>8706</v>
      </c>
      <c r="P94" s="1882" t="s">
        <v>11728</v>
      </c>
      <c r="Q94" s="1882" t="s">
        <v>11919</v>
      </c>
      <c r="R94" s="1882"/>
      <c r="S94" s="1882"/>
      <c r="T94" s="1882" t="s">
        <v>8704</v>
      </c>
      <c r="U94" s="1882" t="s">
        <v>8512</v>
      </c>
      <c r="V94" s="1882"/>
      <c r="W94" s="1882"/>
      <c r="X94" s="1882"/>
      <c r="Y94" s="1882"/>
      <c r="Z94" s="1882"/>
      <c r="AA94" s="1882"/>
      <c r="AB94" s="1882"/>
      <c r="AC94" s="1882"/>
      <c r="AD94" s="1882"/>
      <c r="AE94" s="1882"/>
      <c r="AF94" s="1882"/>
      <c r="AG94" s="1882"/>
      <c r="AH94" s="1882"/>
      <c r="AI94" s="1882"/>
      <c r="AJ94" s="1882"/>
      <c r="AK94" s="1882"/>
      <c r="AL94" s="1882"/>
      <c r="AM94" s="1882"/>
      <c r="AN94" s="1882"/>
      <c r="AO94" s="1882"/>
      <c r="AP94" s="1882"/>
      <c r="AQ94" s="1882"/>
      <c r="AR94" s="1882" t="s">
        <v>8706</v>
      </c>
      <c r="AS94" s="1882" t="s">
        <v>8706</v>
      </c>
      <c r="AT94" s="1882" t="s">
        <v>2459</v>
      </c>
      <c r="AU94" s="1882" t="s">
        <v>8706</v>
      </c>
      <c r="AV94" s="1882" t="s">
        <v>2459</v>
      </c>
      <c r="AW94" s="1882" t="s">
        <v>8706</v>
      </c>
      <c r="AX94" s="1882" t="s">
        <v>2459</v>
      </c>
      <c r="AY94" s="1882" t="s">
        <v>8706</v>
      </c>
      <c r="AZ94" s="1882" t="s">
        <v>2459</v>
      </c>
      <c r="BA94" s="1882"/>
      <c r="BB94" s="1882" t="s">
        <v>11920</v>
      </c>
    </row>
    <row r="95" spans="1:54">
      <c r="A95" s="1882" t="s">
        <v>10412</v>
      </c>
      <c r="B95" s="1882" t="s">
        <v>8352</v>
      </c>
      <c r="C95" s="1882" t="s">
        <v>8371</v>
      </c>
      <c r="D95" s="1882" t="s">
        <v>8720</v>
      </c>
      <c r="E95" s="1882" t="s">
        <v>10199</v>
      </c>
      <c r="F95" s="1882" t="s">
        <v>11919</v>
      </c>
      <c r="G95" s="1882"/>
      <c r="H95" s="1882"/>
      <c r="I95" s="1882"/>
      <c r="J95" s="1882"/>
      <c r="K95" s="1882"/>
      <c r="L95" s="1882"/>
      <c r="M95" s="1882"/>
      <c r="N95" s="1882"/>
      <c r="O95" s="1882"/>
      <c r="P95" s="1882" t="s">
        <v>11730</v>
      </c>
      <c r="Q95" s="1882" t="s">
        <v>11921</v>
      </c>
      <c r="R95" s="1882" t="s">
        <v>11773</v>
      </c>
      <c r="S95" s="1882"/>
      <c r="T95" s="1882" t="s">
        <v>732</v>
      </c>
      <c r="U95" s="1882">
        <v>2</v>
      </c>
      <c r="V95" s="1882"/>
      <c r="W95" s="1882"/>
      <c r="X95" s="1882">
        <v>7.2</v>
      </c>
      <c r="Y95" s="1882">
        <v>7.2</v>
      </c>
      <c r="Z95" s="1882">
        <v>7.2</v>
      </c>
      <c r="AA95" s="1882">
        <v>7.2</v>
      </c>
      <c r="AB95" s="1882">
        <v>7.2</v>
      </c>
      <c r="AC95" s="1882"/>
      <c r="AD95" s="1882"/>
      <c r="AE95" s="1882">
        <v>9.6999999999999993</v>
      </c>
      <c r="AF95" s="1882">
        <v>9.6999999999999993</v>
      </c>
      <c r="AG95" s="1882">
        <v>9.6999999999999993</v>
      </c>
      <c r="AH95" s="1882">
        <v>9.6999999999999993</v>
      </c>
      <c r="AI95" s="1882">
        <v>9.6999999999999993</v>
      </c>
      <c r="AJ95" s="1882"/>
      <c r="AK95" s="1882"/>
      <c r="AL95" s="1882">
        <v>4.7</v>
      </c>
      <c r="AM95" s="1882">
        <v>4.7</v>
      </c>
      <c r="AN95" s="1882">
        <v>4.7</v>
      </c>
      <c r="AO95" s="1882">
        <v>4.7</v>
      </c>
      <c r="AP95" s="1882">
        <v>4.7</v>
      </c>
      <c r="AQ95" s="1882"/>
      <c r="AR95" s="1882">
        <v>3.93</v>
      </c>
      <c r="AS95" s="1882">
        <v>4.2300000000000004</v>
      </c>
      <c r="AT95" s="1882" t="s">
        <v>2459</v>
      </c>
      <c r="AU95" s="1882">
        <v>1.6</v>
      </c>
      <c r="AV95" s="1882" t="s">
        <v>2459</v>
      </c>
      <c r="AW95" s="1882">
        <v>2.9</v>
      </c>
      <c r="AX95" s="1882" t="s">
        <v>2459</v>
      </c>
      <c r="AY95" s="1882">
        <v>1.3029315960912058</v>
      </c>
      <c r="AZ95" s="1882" t="s">
        <v>2459</v>
      </c>
      <c r="BA95" s="1882"/>
      <c r="BB95" s="1882" t="s">
        <v>11922</v>
      </c>
    </row>
    <row r="96" spans="1:54">
      <c r="A96" s="1882" t="s">
        <v>10412</v>
      </c>
      <c r="B96" s="1882" t="s">
        <v>8352</v>
      </c>
      <c r="C96" s="1882" t="s">
        <v>8371</v>
      </c>
      <c r="D96" s="1882" t="s">
        <v>8720</v>
      </c>
      <c r="E96" s="1882" t="s">
        <v>10199</v>
      </c>
      <c r="F96" s="1882" t="s">
        <v>11919</v>
      </c>
      <c r="G96" s="1882"/>
      <c r="H96" s="1882"/>
      <c r="I96" s="1882"/>
      <c r="J96" s="1882"/>
      <c r="K96" s="1882"/>
      <c r="L96" s="1882"/>
      <c r="M96" s="1882"/>
      <c r="N96" s="1882"/>
      <c r="O96" s="1882"/>
      <c r="P96" s="1882" t="s">
        <v>11734</v>
      </c>
      <c r="Q96" s="1882" t="s">
        <v>11923</v>
      </c>
      <c r="R96" s="1882" t="s">
        <v>11770</v>
      </c>
      <c r="S96" s="1882"/>
      <c r="T96" s="1882" t="s">
        <v>732</v>
      </c>
      <c r="U96" s="1882">
        <v>2</v>
      </c>
      <c r="V96" s="1882"/>
      <c r="W96" s="1882"/>
      <c r="X96" s="1882">
        <v>0.36</v>
      </c>
      <c r="Y96" s="1882">
        <v>0.36</v>
      </c>
      <c r="Z96" s="1882">
        <v>0.36</v>
      </c>
      <c r="AA96" s="1882">
        <v>0.36</v>
      </c>
      <c r="AB96" s="1882">
        <v>0.36</v>
      </c>
      <c r="AC96" s="1882"/>
      <c r="AD96" s="1882"/>
      <c r="AE96" s="1882">
        <v>0.56999999999999995</v>
      </c>
      <c r="AF96" s="1882">
        <v>0.56999999999999995</v>
      </c>
      <c r="AG96" s="1882">
        <v>0.56999999999999995</v>
      </c>
      <c r="AH96" s="1882">
        <v>0.56999999999999995</v>
      </c>
      <c r="AI96" s="1882">
        <v>0.56999999999999995</v>
      </c>
      <c r="AJ96" s="1882"/>
      <c r="AK96" s="1882"/>
      <c r="AL96" s="1882">
        <v>0.15</v>
      </c>
      <c r="AM96" s="1882">
        <v>0.15</v>
      </c>
      <c r="AN96" s="1882">
        <v>0.15</v>
      </c>
      <c r="AO96" s="1882">
        <v>0.15</v>
      </c>
      <c r="AP96" s="1882">
        <v>0.15</v>
      </c>
      <c r="AQ96" s="1882"/>
      <c r="AR96" s="1882">
        <v>0.27</v>
      </c>
      <c r="AS96" s="1882">
        <v>0.46</v>
      </c>
      <c r="AT96" s="1882" t="s">
        <v>2459</v>
      </c>
      <c r="AU96" s="1882">
        <v>0.08</v>
      </c>
      <c r="AV96" s="1882" t="s">
        <v>2459</v>
      </c>
      <c r="AW96" s="1882">
        <v>0.06</v>
      </c>
      <c r="AX96" s="1882" t="s">
        <v>2459</v>
      </c>
      <c r="AY96" s="1882">
        <v>0.10933791973831708</v>
      </c>
      <c r="AZ96" s="1882" t="s">
        <v>2459</v>
      </c>
      <c r="BA96" s="1882"/>
      <c r="BB96" s="1882" t="s">
        <v>11924</v>
      </c>
    </row>
    <row r="97" spans="1:54">
      <c r="A97" s="1882" t="s">
        <v>10412</v>
      </c>
      <c r="B97" s="1882" t="s">
        <v>8352</v>
      </c>
      <c r="C97" s="1882" t="s">
        <v>8371</v>
      </c>
      <c r="D97" s="1882" t="s">
        <v>8720</v>
      </c>
      <c r="E97" s="1882" t="s">
        <v>10199</v>
      </c>
      <c r="F97" s="1882" t="s">
        <v>11919</v>
      </c>
      <c r="G97" s="1882"/>
      <c r="H97" s="1882"/>
      <c r="I97" s="1882"/>
      <c r="J97" s="1882"/>
      <c r="K97" s="1882"/>
      <c r="L97" s="1882"/>
      <c r="M97" s="1882"/>
      <c r="N97" s="1882"/>
      <c r="O97" s="1882"/>
      <c r="P97" s="1882" t="s">
        <v>11741</v>
      </c>
      <c r="Q97" s="1882" t="s">
        <v>11904</v>
      </c>
      <c r="R97" s="1882" t="s">
        <v>11925</v>
      </c>
      <c r="S97" s="1882"/>
      <c r="T97" s="1882" t="s">
        <v>764</v>
      </c>
      <c r="U97" s="520" t="s">
        <v>2453</v>
      </c>
      <c r="V97" s="1882"/>
      <c r="W97" s="1882"/>
      <c r="X97" s="1882">
        <v>7335</v>
      </c>
      <c r="Y97" s="1882">
        <v>7335</v>
      </c>
      <c r="Z97" s="1882">
        <v>7335</v>
      </c>
      <c r="AA97" s="1882">
        <v>7335</v>
      </c>
      <c r="AB97" s="1882">
        <v>7335</v>
      </c>
      <c r="AC97" s="1882"/>
      <c r="AD97" s="1882"/>
      <c r="AE97" s="1882">
        <v>8841</v>
      </c>
      <c r="AF97" s="1882">
        <v>8841</v>
      </c>
      <c r="AG97" s="1882">
        <v>8841</v>
      </c>
      <c r="AH97" s="1882">
        <v>8841</v>
      </c>
      <c r="AI97" s="1882">
        <v>8841</v>
      </c>
      <c r="AJ97" s="1882"/>
      <c r="AK97" s="1882"/>
      <c r="AL97" s="1882">
        <v>5829</v>
      </c>
      <c r="AM97" s="1882">
        <v>5829</v>
      </c>
      <c r="AN97" s="1882">
        <v>5829</v>
      </c>
      <c r="AO97" s="1882">
        <v>5829</v>
      </c>
      <c r="AP97" s="1882">
        <v>5829</v>
      </c>
      <c r="AQ97" s="1882"/>
      <c r="AR97" s="1882">
        <v>7267</v>
      </c>
      <c r="AS97" s="1882">
        <v>8527</v>
      </c>
      <c r="AT97" s="1882" t="s">
        <v>2459</v>
      </c>
      <c r="AU97" s="1882">
        <v>8428</v>
      </c>
      <c r="AV97" s="1882" t="s">
        <v>2459</v>
      </c>
      <c r="AW97" s="1882">
        <v>6109</v>
      </c>
      <c r="AX97" s="1882" t="s">
        <v>2459</v>
      </c>
      <c r="AY97" s="1882">
        <v>7073</v>
      </c>
      <c r="AZ97" s="1882" t="s">
        <v>2459</v>
      </c>
      <c r="BA97" s="1882"/>
      <c r="BB97" s="1882" t="s">
        <v>11905</v>
      </c>
    </row>
    <row r="98" spans="1:54">
      <c r="A98" s="1882" t="s">
        <v>10524</v>
      </c>
      <c r="B98" s="1882" t="s">
        <v>8352</v>
      </c>
      <c r="C98" s="1882" t="s">
        <v>8379</v>
      </c>
      <c r="D98" s="1882" t="s">
        <v>8503</v>
      </c>
      <c r="E98" s="1882" t="s">
        <v>10526</v>
      </c>
      <c r="F98" s="1882" t="s">
        <v>10528</v>
      </c>
      <c r="G98" s="1882" t="s">
        <v>8519</v>
      </c>
      <c r="H98" s="1882" t="s">
        <v>8569</v>
      </c>
      <c r="I98" s="1882" t="s">
        <v>8856</v>
      </c>
      <c r="J98" s="1882" t="s">
        <v>8706</v>
      </c>
      <c r="K98" s="1882" t="s">
        <v>8706</v>
      </c>
      <c r="L98" s="1882" t="s">
        <v>8706</v>
      </c>
      <c r="M98" s="1882" t="s">
        <v>8706</v>
      </c>
      <c r="N98" s="1882" t="s">
        <v>8706</v>
      </c>
      <c r="O98" s="1882" t="s">
        <v>8706</v>
      </c>
      <c r="P98" s="1882" t="s">
        <v>11728</v>
      </c>
      <c r="Q98" s="1882" t="s">
        <v>10528</v>
      </c>
      <c r="R98" s="1882"/>
      <c r="S98" s="1882"/>
      <c r="T98" s="1882" t="s">
        <v>8704</v>
      </c>
      <c r="U98" s="1882" t="s">
        <v>8512</v>
      </c>
      <c r="V98" s="1882"/>
      <c r="W98" s="1882"/>
      <c r="X98" s="1882"/>
      <c r="Y98" s="1882"/>
      <c r="Z98" s="1882"/>
      <c r="AA98" s="1882"/>
      <c r="AB98" s="1882"/>
      <c r="AC98" s="1882"/>
      <c r="AD98" s="1882"/>
      <c r="AE98" s="1882"/>
      <c r="AF98" s="1882"/>
      <c r="AG98" s="1882"/>
      <c r="AH98" s="1882"/>
      <c r="AI98" s="1882"/>
      <c r="AJ98" s="1882"/>
      <c r="AK98" s="1882"/>
      <c r="AL98" s="1882"/>
      <c r="AM98" s="1882"/>
      <c r="AN98" s="1882"/>
      <c r="AO98" s="1882"/>
      <c r="AP98" s="1882"/>
      <c r="AQ98" s="1882"/>
      <c r="AR98" s="1882" t="s">
        <v>8706</v>
      </c>
      <c r="AS98" s="1882" t="s">
        <v>8858</v>
      </c>
      <c r="AT98" s="1882" t="s">
        <v>2460</v>
      </c>
      <c r="AU98" s="1882" t="s">
        <v>8858</v>
      </c>
      <c r="AV98" s="1882" t="s">
        <v>2460</v>
      </c>
      <c r="AW98" s="1882" t="s">
        <v>8858</v>
      </c>
      <c r="AX98" s="1882" t="s">
        <v>2460</v>
      </c>
      <c r="AY98" s="1882" t="s">
        <v>8858</v>
      </c>
      <c r="AZ98" s="1882" t="s">
        <v>2460</v>
      </c>
      <c r="BA98" s="1882"/>
      <c r="BB98" s="1882" t="s">
        <v>11926</v>
      </c>
    </row>
    <row r="99" spans="1:54">
      <c r="A99" s="1882" t="s">
        <v>10524</v>
      </c>
      <c r="B99" s="1882" t="s">
        <v>8352</v>
      </c>
      <c r="C99" s="1882" t="s">
        <v>8379</v>
      </c>
      <c r="D99" s="1882" t="s">
        <v>8503</v>
      </c>
      <c r="E99" s="1882" t="s">
        <v>10526</v>
      </c>
      <c r="F99" s="1882" t="s">
        <v>10528</v>
      </c>
      <c r="G99" s="1882"/>
      <c r="H99" s="1882"/>
      <c r="I99" s="1882"/>
      <c r="J99" s="1882"/>
      <c r="K99" s="1882"/>
      <c r="L99" s="1882"/>
      <c r="M99" s="1882"/>
      <c r="N99" s="1882"/>
      <c r="O99" s="1882"/>
      <c r="P99" s="1882" t="s">
        <v>11730</v>
      </c>
      <c r="Q99" s="1882" t="s">
        <v>11788</v>
      </c>
      <c r="R99" s="1882" t="s">
        <v>11736</v>
      </c>
      <c r="S99" s="1882"/>
      <c r="T99" s="1882" t="s">
        <v>764</v>
      </c>
      <c r="U99" s="520" t="s">
        <v>2453</v>
      </c>
      <c r="V99" s="1882">
        <v>11000</v>
      </c>
      <c r="W99" s="1882">
        <v>8840</v>
      </c>
      <c r="X99" s="1882">
        <v>8840</v>
      </c>
      <c r="Y99" s="1882">
        <v>8840</v>
      </c>
      <c r="Z99" s="1882">
        <v>8840</v>
      </c>
      <c r="AA99" s="1882">
        <v>8840</v>
      </c>
      <c r="AB99" s="1882">
        <v>8840</v>
      </c>
      <c r="AC99" s="1882"/>
      <c r="AD99" s="1882"/>
      <c r="AE99" s="1882">
        <v>11206</v>
      </c>
      <c r="AF99" s="1882">
        <v>11206</v>
      </c>
      <c r="AG99" s="1882">
        <v>11206</v>
      </c>
      <c r="AH99" s="1882">
        <v>11206</v>
      </c>
      <c r="AI99" s="1882">
        <v>11206</v>
      </c>
      <c r="AJ99" s="1882" t="s">
        <v>3504</v>
      </c>
      <c r="AK99" s="1882" t="s">
        <v>3504</v>
      </c>
      <c r="AL99" s="1882" t="s">
        <v>3504</v>
      </c>
      <c r="AM99" s="1882" t="s">
        <v>3504</v>
      </c>
      <c r="AN99" s="1882" t="s">
        <v>3504</v>
      </c>
      <c r="AO99" s="1882" t="s">
        <v>3504</v>
      </c>
      <c r="AP99" s="1882" t="s">
        <v>3504</v>
      </c>
      <c r="AQ99" s="1882">
        <v>13572</v>
      </c>
      <c r="AR99" s="1882">
        <v>8822</v>
      </c>
      <c r="AS99" s="1882">
        <v>6926</v>
      </c>
      <c r="AT99" s="1882" t="s">
        <v>2459</v>
      </c>
      <c r="AU99" s="1882">
        <v>8326</v>
      </c>
      <c r="AV99" s="1882" t="s">
        <v>2459</v>
      </c>
      <c r="AW99" s="1882">
        <v>8546</v>
      </c>
      <c r="AX99" s="1882" t="s">
        <v>2459</v>
      </c>
      <c r="AY99" s="1882">
        <v>10388</v>
      </c>
      <c r="AZ99" s="1882" t="s">
        <v>2460</v>
      </c>
      <c r="BA99" s="1882"/>
      <c r="BB99" s="1882" t="s">
        <v>11927</v>
      </c>
    </row>
    <row r="100" spans="1:54">
      <c r="A100" s="1882" t="s">
        <v>10524</v>
      </c>
      <c r="B100" s="1882" t="s">
        <v>8352</v>
      </c>
      <c r="C100" s="1882" t="s">
        <v>8379</v>
      </c>
      <c r="D100" s="1882" t="s">
        <v>8503</v>
      </c>
      <c r="E100" s="1882" t="s">
        <v>10526</v>
      </c>
      <c r="F100" s="1882" t="s">
        <v>10528</v>
      </c>
      <c r="G100" s="1882"/>
      <c r="H100" s="1882"/>
      <c r="I100" s="1882"/>
      <c r="J100" s="1882"/>
      <c r="K100" s="1882"/>
      <c r="L100" s="1882"/>
      <c r="M100" s="1882"/>
      <c r="N100" s="1882"/>
      <c r="O100" s="1882"/>
      <c r="P100" s="1882" t="s">
        <v>11734</v>
      </c>
      <c r="Q100" s="1882" t="s">
        <v>11928</v>
      </c>
      <c r="R100" s="1882" t="s">
        <v>11732</v>
      </c>
      <c r="S100" s="1882"/>
      <c r="T100" s="1882" t="s">
        <v>764</v>
      </c>
      <c r="U100" s="520" t="s">
        <v>2453</v>
      </c>
      <c r="V100" s="1882">
        <v>1568</v>
      </c>
      <c r="W100" s="1882">
        <v>1354</v>
      </c>
      <c r="X100" s="1882">
        <v>1354</v>
      </c>
      <c r="Y100" s="1882">
        <v>1354</v>
      </c>
      <c r="Z100" s="1882">
        <v>1354</v>
      </c>
      <c r="AA100" s="1882">
        <v>1354</v>
      </c>
      <c r="AB100" s="1882">
        <v>1354</v>
      </c>
      <c r="AC100" s="1882"/>
      <c r="AD100" s="1882"/>
      <c r="AE100" s="1882">
        <v>3055</v>
      </c>
      <c r="AF100" s="1882">
        <v>3055</v>
      </c>
      <c r="AG100" s="1882">
        <v>3055</v>
      </c>
      <c r="AH100" s="1882">
        <v>3055</v>
      </c>
      <c r="AI100" s="1882">
        <v>3055</v>
      </c>
      <c r="AJ100" s="1882" t="s">
        <v>3504</v>
      </c>
      <c r="AK100" s="1882" t="s">
        <v>3504</v>
      </c>
      <c r="AL100" s="1882" t="s">
        <v>3504</v>
      </c>
      <c r="AM100" s="1882" t="s">
        <v>3504</v>
      </c>
      <c r="AN100" s="1882" t="s">
        <v>3504</v>
      </c>
      <c r="AO100" s="1882" t="s">
        <v>3504</v>
      </c>
      <c r="AP100" s="1882" t="s">
        <v>3504</v>
      </c>
      <c r="AQ100" s="1882">
        <v>4756</v>
      </c>
      <c r="AR100" s="1882">
        <v>3124</v>
      </c>
      <c r="AS100" s="1882">
        <v>15151</v>
      </c>
      <c r="AT100" s="1882" t="s">
        <v>2460</v>
      </c>
      <c r="AU100" s="1882">
        <v>6051</v>
      </c>
      <c r="AV100" s="1882" t="s">
        <v>2460</v>
      </c>
      <c r="AW100" s="1882">
        <v>23457</v>
      </c>
      <c r="AX100" s="1882" t="s">
        <v>2460</v>
      </c>
      <c r="AY100" s="1882">
        <v>16418</v>
      </c>
      <c r="AZ100" s="1882" t="s">
        <v>2460</v>
      </c>
      <c r="BA100" s="1882"/>
      <c r="BB100" s="1882" t="s">
        <v>11929</v>
      </c>
    </row>
    <row r="101" spans="1:54">
      <c r="A101" s="1882" t="s">
        <v>10524</v>
      </c>
      <c r="B101" s="1882" t="s">
        <v>8352</v>
      </c>
      <c r="C101" s="1882" t="s">
        <v>8379</v>
      </c>
      <c r="D101" s="1882" t="s">
        <v>8503</v>
      </c>
      <c r="E101" s="1882" t="s">
        <v>10526</v>
      </c>
      <c r="F101" s="1882" t="s">
        <v>10528</v>
      </c>
      <c r="G101" s="1882"/>
      <c r="H101" s="1882"/>
      <c r="I101" s="1882"/>
      <c r="J101" s="1882"/>
      <c r="K101" s="1882"/>
      <c r="L101" s="1882"/>
      <c r="M101" s="1882"/>
      <c r="N101" s="1882"/>
      <c r="O101" s="1882"/>
      <c r="P101" s="1882" t="s">
        <v>11741</v>
      </c>
      <c r="Q101" s="1882" t="s">
        <v>11930</v>
      </c>
      <c r="R101" s="1882" t="s">
        <v>11793</v>
      </c>
      <c r="S101" s="1882"/>
      <c r="T101" s="1882" t="s">
        <v>732</v>
      </c>
      <c r="U101" s="1882">
        <v>2</v>
      </c>
      <c r="V101" s="1882"/>
      <c r="W101" s="1882">
        <v>0.16</v>
      </c>
      <c r="X101" s="1882">
        <v>0.16</v>
      </c>
      <c r="Y101" s="1882">
        <v>0.16</v>
      </c>
      <c r="Z101" s="1882">
        <v>0.16</v>
      </c>
      <c r="AA101" s="1882">
        <v>0.16</v>
      </c>
      <c r="AB101" s="1882">
        <v>0.16</v>
      </c>
      <c r="AC101" s="1882"/>
      <c r="AD101" s="1882"/>
      <c r="AE101" s="1882">
        <v>0.23</v>
      </c>
      <c r="AF101" s="1882">
        <v>0.23</v>
      </c>
      <c r="AG101" s="1882">
        <v>0.23</v>
      </c>
      <c r="AH101" s="1882">
        <v>0.23</v>
      </c>
      <c r="AI101" s="1882">
        <v>0.23</v>
      </c>
      <c r="AJ101" s="1882" t="s">
        <v>3504</v>
      </c>
      <c r="AK101" s="1882" t="s">
        <v>3504</v>
      </c>
      <c r="AL101" s="1882" t="s">
        <v>3504</v>
      </c>
      <c r="AM101" s="1882" t="s">
        <v>3504</v>
      </c>
      <c r="AN101" s="1882" t="s">
        <v>3504</v>
      </c>
      <c r="AO101" s="1882" t="s">
        <v>3504</v>
      </c>
      <c r="AP101" s="1882" t="s">
        <v>3504</v>
      </c>
      <c r="AQ101" s="1882">
        <v>0.3</v>
      </c>
      <c r="AR101" s="1882">
        <v>0.05</v>
      </c>
      <c r="AS101" s="1882">
        <v>0.18</v>
      </c>
      <c r="AT101" s="1882" t="s">
        <v>2460</v>
      </c>
      <c r="AU101" s="1882">
        <v>0.09</v>
      </c>
      <c r="AV101" s="1882" t="s">
        <v>2459</v>
      </c>
      <c r="AW101" s="1882">
        <v>7.0000000000000007E-2</v>
      </c>
      <c r="AX101" s="1882" t="s">
        <v>2459</v>
      </c>
      <c r="AY101" s="1882">
        <v>0.16</v>
      </c>
      <c r="AZ101" s="1882" t="s">
        <v>2459</v>
      </c>
      <c r="BA101" s="1882"/>
      <c r="BB101" s="1882" t="s">
        <v>11931</v>
      </c>
    </row>
    <row r="102" spans="1:54">
      <c r="A102" s="1882" t="s">
        <v>10524</v>
      </c>
      <c r="B102" s="1882" t="s">
        <v>8352</v>
      </c>
      <c r="C102" s="1882" t="s">
        <v>8379</v>
      </c>
      <c r="D102" s="1882" t="s">
        <v>8503</v>
      </c>
      <c r="E102" s="1882" t="s">
        <v>10526</v>
      </c>
      <c r="F102" s="1882" t="s">
        <v>10528</v>
      </c>
      <c r="G102" s="1882"/>
      <c r="H102" s="1882"/>
      <c r="I102" s="1882"/>
      <c r="J102" s="1882"/>
      <c r="K102" s="1882"/>
      <c r="L102" s="1882"/>
      <c r="M102" s="1882"/>
      <c r="N102" s="1882"/>
      <c r="O102" s="1882"/>
      <c r="P102" s="1882" t="s">
        <v>11745</v>
      </c>
      <c r="Q102" s="1882" t="s">
        <v>11932</v>
      </c>
      <c r="R102" s="1882" t="s">
        <v>11779</v>
      </c>
      <c r="S102" s="1882"/>
      <c r="T102" s="1882" t="s">
        <v>764</v>
      </c>
      <c r="U102" s="520" t="s">
        <v>2453</v>
      </c>
      <c r="V102" s="1882"/>
      <c r="W102" s="1882">
        <v>34</v>
      </c>
      <c r="X102" s="1882">
        <v>34</v>
      </c>
      <c r="Y102" s="1882">
        <v>34</v>
      </c>
      <c r="Z102" s="1882">
        <v>34</v>
      </c>
      <c r="AA102" s="1882">
        <v>34</v>
      </c>
      <c r="AB102" s="1882">
        <v>34</v>
      </c>
      <c r="AC102" s="1882"/>
      <c r="AD102" s="1882"/>
      <c r="AE102" s="1882">
        <v>46</v>
      </c>
      <c r="AF102" s="1882">
        <v>46</v>
      </c>
      <c r="AG102" s="1882">
        <v>46</v>
      </c>
      <c r="AH102" s="1882">
        <v>46</v>
      </c>
      <c r="AI102" s="1882">
        <v>46</v>
      </c>
      <c r="AJ102" s="1882" t="s">
        <v>3504</v>
      </c>
      <c r="AK102" s="1882" t="s">
        <v>3504</v>
      </c>
      <c r="AL102" s="1882" t="s">
        <v>3504</v>
      </c>
      <c r="AM102" s="1882" t="s">
        <v>3504</v>
      </c>
      <c r="AN102" s="1882" t="s">
        <v>3504</v>
      </c>
      <c r="AO102" s="1882" t="s">
        <v>3504</v>
      </c>
      <c r="AP102" s="1882" t="s">
        <v>3504</v>
      </c>
      <c r="AQ102" s="1882">
        <v>52</v>
      </c>
      <c r="AR102" s="1882">
        <v>0</v>
      </c>
      <c r="AS102" s="1882">
        <v>0</v>
      </c>
      <c r="AT102" s="1882" t="s">
        <v>2459</v>
      </c>
      <c r="AU102" s="1882">
        <v>5</v>
      </c>
      <c r="AV102" s="1882" t="s">
        <v>2459</v>
      </c>
      <c r="AW102" s="1882">
        <v>206</v>
      </c>
      <c r="AX102" s="1882" t="s">
        <v>2460</v>
      </c>
      <c r="AY102" s="1882">
        <v>7</v>
      </c>
      <c r="AZ102" s="1882" t="s">
        <v>2459</v>
      </c>
      <c r="BA102" s="1882"/>
      <c r="BB102" s="1882" t="s">
        <v>11933</v>
      </c>
    </row>
    <row r="103" spans="1:54">
      <c r="A103" s="1882" t="s">
        <v>10524</v>
      </c>
      <c r="B103" s="1882" t="s">
        <v>8352</v>
      </c>
      <c r="C103" s="1882" t="s">
        <v>8379</v>
      </c>
      <c r="D103" s="1882" t="s">
        <v>8503</v>
      </c>
      <c r="E103" s="1882" t="s">
        <v>10526</v>
      </c>
      <c r="F103" s="1882" t="s">
        <v>10528</v>
      </c>
      <c r="G103" s="1882"/>
      <c r="H103" s="1882"/>
      <c r="I103" s="1882"/>
      <c r="J103" s="1882"/>
      <c r="K103" s="1882"/>
      <c r="L103" s="1882"/>
      <c r="M103" s="1882"/>
      <c r="N103" s="1882"/>
      <c r="O103" s="1882"/>
      <c r="P103" s="1882" t="s">
        <v>11797</v>
      </c>
      <c r="Q103" s="1882" t="s">
        <v>11934</v>
      </c>
      <c r="R103" s="1882" t="s">
        <v>11935</v>
      </c>
      <c r="S103" s="1882"/>
      <c r="T103" s="1882" t="s">
        <v>764</v>
      </c>
      <c r="U103" s="1882">
        <v>2</v>
      </c>
      <c r="V103" s="1882"/>
      <c r="W103" s="1882"/>
      <c r="X103" s="1882"/>
      <c r="Y103" s="1882"/>
      <c r="Z103" s="1882"/>
      <c r="AA103" s="1882"/>
      <c r="AB103" s="1882">
        <v>650</v>
      </c>
      <c r="AC103" s="1882"/>
      <c r="AD103" s="1882"/>
      <c r="AE103" s="1882"/>
      <c r="AF103" s="1882"/>
      <c r="AG103" s="1882"/>
      <c r="AH103" s="1882"/>
      <c r="AI103" s="1882">
        <v>650</v>
      </c>
      <c r="AJ103" s="1882" t="s">
        <v>3504</v>
      </c>
      <c r="AK103" s="1882" t="s">
        <v>3504</v>
      </c>
      <c r="AL103" s="1882" t="s">
        <v>3504</v>
      </c>
      <c r="AM103" s="1882" t="s">
        <v>3504</v>
      </c>
      <c r="AN103" s="1882" t="s">
        <v>3504</v>
      </c>
      <c r="AO103" s="1882" t="s">
        <v>3504</v>
      </c>
      <c r="AP103" s="1882" t="s">
        <v>3504</v>
      </c>
      <c r="AQ103" s="1882">
        <v>650</v>
      </c>
      <c r="AR103" s="1882">
        <v>15.47</v>
      </c>
      <c r="AS103" s="1882">
        <v>66.454999999999998</v>
      </c>
      <c r="AT103" s="1882"/>
      <c r="AU103" s="1882">
        <v>103.28</v>
      </c>
      <c r="AV103" s="1882" t="s">
        <v>2451</v>
      </c>
      <c r="AW103" s="1882">
        <v>142.75</v>
      </c>
      <c r="AX103" s="1882" t="s">
        <v>2451</v>
      </c>
      <c r="AY103" s="1882">
        <v>172.34</v>
      </c>
      <c r="AZ103" s="1882" t="s">
        <v>2451</v>
      </c>
      <c r="BA103" s="1882"/>
      <c r="BB103" s="1882" t="s">
        <v>11936</v>
      </c>
    </row>
    <row r="104" spans="1:54">
      <c r="A104" s="1882" t="s">
        <v>10524</v>
      </c>
      <c r="B104" s="1882" t="s">
        <v>8352</v>
      </c>
      <c r="C104" s="1882" t="s">
        <v>8379</v>
      </c>
      <c r="D104" s="1882" t="s">
        <v>8503</v>
      </c>
      <c r="E104" s="1882" t="s">
        <v>10526</v>
      </c>
      <c r="F104" s="1882" t="s">
        <v>10528</v>
      </c>
      <c r="G104" s="1882"/>
      <c r="H104" s="1882"/>
      <c r="I104" s="1882"/>
      <c r="J104" s="1882"/>
      <c r="K104" s="1882"/>
      <c r="L104" s="1882"/>
      <c r="M104" s="1882"/>
      <c r="N104" s="1882"/>
      <c r="O104" s="1882"/>
      <c r="P104" s="1882" t="s">
        <v>11800</v>
      </c>
      <c r="Q104" s="1882" t="s">
        <v>11937</v>
      </c>
      <c r="R104" s="1882" t="s">
        <v>11743</v>
      </c>
      <c r="S104" s="1882"/>
      <c r="T104" s="1882" t="s">
        <v>764</v>
      </c>
      <c r="U104" s="1882">
        <v>2</v>
      </c>
      <c r="V104" s="1882"/>
      <c r="W104" s="1882">
        <v>0.38</v>
      </c>
      <c r="X104" s="1882">
        <v>0.38</v>
      </c>
      <c r="Y104" s="1882">
        <v>0.38</v>
      </c>
      <c r="Z104" s="1882">
        <v>0.38</v>
      </c>
      <c r="AA104" s="1882">
        <v>0.38</v>
      </c>
      <c r="AB104" s="1882">
        <v>0.38</v>
      </c>
      <c r="AC104" s="1882"/>
      <c r="AD104" s="1882"/>
      <c r="AE104" s="1882">
        <v>0.49</v>
      </c>
      <c r="AF104" s="1882">
        <v>0.49</v>
      </c>
      <c r="AG104" s="1882">
        <v>0.49</v>
      </c>
      <c r="AH104" s="1882">
        <v>0.49</v>
      </c>
      <c r="AI104" s="1882">
        <v>0.49</v>
      </c>
      <c r="AJ104" s="1882" t="s">
        <v>3504</v>
      </c>
      <c r="AK104" s="1882" t="s">
        <v>3504</v>
      </c>
      <c r="AL104" s="1882" t="s">
        <v>3504</v>
      </c>
      <c r="AM104" s="1882" t="s">
        <v>3504</v>
      </c>
      <c r="AN104" s="1882" t="s">
        <v>3504</v>
      </c>
      <c r="AO104" s="1882" t="s">
        <v>3504</v>
      </c>
      <c r="AP104" s="1882" t="s">
        <v>3504</v>
      </c>
      <c r="AQ104" s="1882">
        <v>0.55000000000000004</v>
      </c>
      <c r="AR104" s="1882">
        <v>0.189</v>
      </c>
      <c r="AS104" s="1882">
        <v>0.20499999999999999</v>
      </c>
      <c r="AT104" s="1882" t="s">
        <v>2459</v>
      </c>
      <c r="AU104" s="1882">
        <v>0.17</v>
      </c>
      <c r="AV104" s="1882" t="s">
        <v>2459</v>
      </c>
      <c r="AW104" s="1882">
        <v>0.17</v>
      </c>
      <c r="AX104" s="1882" t="s">
        <v>2459</v>
      </c>
      <c r="AY104" s="1882">
        <v>0.16</v>
      </c>
      <c r="AZ104" s="1882" t="s">
        <v>2459</v>
      </c>
      <c r="BA104" s="1882"/>
      <c r="BB104" s="1882" t="s">
        <v>11938</v>
      </c>
    </row>
    <row r="105" spans="1:54">
      <c r="A105" s="1882" t="s">
        <v>10530</v>
      </c>
      <c r="B105" s="1882" t="s">
        <v>8352</v>
      </c>
      <c r="C105" s="1882" t="s">
        <v>8379</v>
      </c>
      <c r="D105" s="1882" t="s">
        <v>8503</v>
      </c>
      <c r="E105" s="1882" t="s">
        <v>10531</v>
      </c>
      <c r="F105" s="1882" t="s">
        <v>10533</v>
      </c>
      <c r="G105" s="1882" t="s">
        <v>8519</v>
      </c>
      <c r="H105" s="1882" t="s">
        <v>8569</v>
      </c>
      <c r="I105" s="1882" t="s">
        <v>8856</v>
      </c>
      <c r="J105" s="1882" t="s">
        <v>8706</v>
      </c>
      <c r="K105" s="1882" t="s">
        <v>8706</v>
      </c>
      <c r="L105" s="1882" t="s">
        <v>8706</v>
      </c>
      <c r="M105" s="1882" t="s">
        <v>8706</v>
      </c>
      <c r="N105" s="1882" t="s">
        <v>8706</v>
      </c>
      <c r="O105" s="1882" t="s">
        <v>8706</v>
      </c>
      <c r="P105" s="1882" t="s">
        <v>11728</v>
      </c>
      <c r="Q105" s="1882" t="s">
        <v>10533</v>
      </c>
      <c r="R105" s="1882"/>
      <c r="S105" s="1882"/>
      <c r="T105" s="1882" t="s">
        <v>8704</v>
      </c>
      <c r="U105" s="1882" t="s">
        <v>8512</v>
      </c>
      <c r="V105" s="1882"/>
      <c r="W105" s="1882"/>
      <c r="X105" s="1882"/>
      <c r="Y105" s="1882"/>
      <c r="Z105" s="1882"/>
      <c r="AA105" s="1882"/>
      <c r="AB105" s="1882"/>
      <c r="AC105" s="1882"/>
      <c r="AD105" s="1882"/>
      <c r="AE105" s="1882"/>
      <c r="AF105" s="1882"/>
      <c r="AG105" s="1882"/>
      <c r="AH105" s="1882"/>
      <c r="AI105" s="1882"/>
      <c r="AJ105" s="1882"/>
      <c r="AK105" s="1882"/>
      <c r="AL105" s="1882"/>
      <c r="AM105" s="1882"/>
      <c r="AN105" s="1882"/>
      <c r="AO105" s="1882"/>
      <c r="AP105" s="1882"/>
      <c r="AQ105" s="1882"/>
      <c r="AR105" s="1882" t="s">
        <v>8706</v>
      </c>
      <c r="AS105" s="1882" t="s">
        <v>8706</v>
      </c>
      <c r="AT105" s="1882" t="s">
        <v>2459</v>
      </c>
      <c r="AU105" s="1882" t="s">
        <v>8706</v>
      </c>
      <c r="AV105" s="1882" t="s">
        <v>2459</v>
      </c>
      <c r="AW105" s="1882" t="s">
        <v>8706</v>
      </c>
      <c r="AX105" s="1882" t="s">
        <v>2459</v>
      </c>
      <c r="AY105" s="1882" t="s">
        <v>8706</v>
      </c>
      <c r="AZ105" s="1882" t="s">
        <v>2459</v>
      </c>
      <c r="BA105" s="1882"/>
      <c r="BB105" s="1882" t="s">
        <v>11939</v>
      </c>
    </row>
    <row r="106" spans="1:54">
      <c r="A106" s="1882" t="s">
        <v>10530</v>
      </c>
      <c r="B106" s="1882" t="s">
        <v>8352</v>
      </c>
      <c r="C106" s="1882" t="s">
        <v>8379</v>
      </c>
      <c r="D106" s="1882" t="s">
        <v>8503</v>
      </c>
      <c r="E106" s="1882" t="s">
        <v>10531</v>
      </c>
      <c r="F106" s="1882" t="s">
        <v>10533</v>
      </c>
      <c r="G106" s="1882"/>
      <c r="H106" s="1882"/>
      <c r="I106" s="1882"/>
      <c r="J106" s="1882"/>
      <c r="K106" s="1882"/>
      <c r="L106" s="1882"/>
      <c r="M106" s="1882"/>
      <c r="N106" s="1882"/>
      <c r="O106" s="1882"/>
      <c r="P106" s="1882" t="s">
        <v>11730</v>
      </c>
      <c r="Q106" s="1882" t="s">
        <v>11940</v>
      </c>
      <c r="R106" s="1882" t="s">
        <v>11751</v>
      </c>
      <c r="S106" s="1882"/>
      <c r="T106" s="1882" t="s">
        <v>732</v>
      </c>
      <c r="U106" s="1882">
        <v>2</v>
      </c>
      <c r="V106" s="1882"/>
      <c r="W106" s="1882"/>
      <c r="X106" s="1882">
        <v>99.97</v>
      </c>
      <c r="Y106" s="1882">
        <v>99.97</v>
      </c>
      <c r="Z106" s="1882">
        <v>99.97</v>
      </c>
      <c r="AA106" s="1882">
        <v>99.97</v>
      </c>
      <c r="AB106" s="1882">
        <v>99.97</v>
      </c>
      <c r="AC106" s="1882"/>
      <c r="AD106" s="1882"/>
      <c r="AE106" s="1882">
        <v>99.96</v>
      </c>
      <c r="AF106" s="1882">
        <v>99.96</v>
      </c>
      <c r="AG106" s="1882">
        <v>99.96</v>
      </c>
      <c r="AH106" s="1882">
        <v>99.96</v>
      </c>
      <c r="AI106" s="1882">
        <v>99.96</v>
      </c>
      <c r="AJ106" s="1882" t="s">
        <v>3504</v>
      </c>
      <c r="AK106" s="1882" t="s">
        <v>3504</v>
      </c>
      <c r="AL106" s="1882" t="s">
        <v>3504</v>
      </c>
      <c r="AM106" s="1882" t="s">
        <v>3504</v>
      </c>
      <c r="AN106" s="1882" t="s">
        <v>3504</v>
      </c>
      <c r="AO106" s="1882" t="s">
        <v>3504</v>
      </c>
      <c r="AP106" s="1882" t="s">
        <v>3504</v>
      </c>
      <c r="AQ106" s="1882">
        <v>99.95</v>
      </c>
      <c r="AR106" s="1882">
        <v>99.984399999999994</v>
      </c>
      <c r="AS106" s="1882">
        <v>99.976799999999997</v>
      </c>
      <c r="AT106" s="1882" t="s">
        <v>2459</v>
      </c>
      <c r="AU106" s="1882">
        <v>99.99</v>
      </c>
      <c r="AV106" s="1882" t="s">
        <v>2459</v>
      </c>
      <c r="AW106" s="1882">
        <v>99.96</v>
      </c>
      <c r="AX106" s="1882" t="s">
        <v>2460</v>
      </c>
      <c r="AY106" s="1882">
        <v>99.99</v>
      </c>
      <c r="AZ106" s="1882" t="s">
        <v>2459</v>
      </c>
      <c r="BA106" s="1882"/>
      <c r="BB106" s="1882" t="s">
        <v>11941</v>
      </c>
    </row>
    <row r="107" spans="1:54">
      <c r="A107" s="1882" t="s">
        <v>10530</v>
      </c>
      <c r="B107" s="1882" t="s">
        <v>8352</v>
      </c>
      <c r="C107" s="1882" t="s">
        <v>8379</v>
      </c>
      <c r="D107" s="1882" t="s">
        <v>8503</v>
      </c>
      <c r="E107" s="1882" t="s">
        <v>10531</v>
      </c>
      <c r="F107" s="1882" t="s">
        <v>10533</v>
      </c>
      <c r="G107" s="1882"/>
      <c r="H107" s="1882"/>
      <c r="I107" s="1882"/>
      <c r="J107" s="1882"/>
      <c r="K107" s="1882"/>
      <c r="L107" s="1882"/>
      <c r="M107" s="1882"/>
      <c r="N107" s="1882"/>
      <c r="O107" s="1882"/>
      <c r="P107" s="1882" t="s">
        <v>11734</v>
      </c>
      <c r="Q107" s="1882" t="s">
        <v>11942</v>
      </c>
      <c r="R107" s="1882" t="s">
        <v>11754</v>
      </c>
      <c r="S107" s="1882"/>
      <c r="T107" s="1882" t="s">
        <v>732</v>
      </c>
      <c r="U107" s="1882">
        <v>2</v>
      </c>
      <c r="V107" s="1882"/>
      <c r="W107" s="1882"/>
      <c r="X107" s="1882">
        <v>0.27</v>
      </c>
      <c r="Y107" s="1882">
        <v>0.27</v>
      </c>
      <c r="Z107" s="1882">
        <v>0.27</v>
      </c>
      <c r="AA107" s="1882">
        <v>0.27</v>
      </c>
      <c r="AB107" s="1882">
        <v>0.27</v>
      </c>
      <c r="AC107" s="1882"/>
      <c r="AD107" s="1882"/>
      <c r="AE107" s="1882">
        <v>0.54</v>
      </c>
      <c r="AF107" s="1882">
        <v>0.54</v>
      </c>
      <c r="AG107" s="1882">
        <v>0.54</v>
      </c>
      <c r="AH107" s="1882">
        <v>0.54</v>
      </c>
      <c r="AI107" s="1882">
        <v>0.54</v>
      </c>
      <c r="AJ107" s="1882" t="s">
        <v>3504</v>
      </c>
      <c r="AK107" s="1882" t="s">
        <v>3504</v>
      </c>
      <c r="AL107" s="1882" t="s">
        <v>3504</v>
      </c>
      <c r="AM107" s="1882" t="s">
        <v>3504</v>
      </c>
      <c r="AN107" s="1882" t="s">
        <v>3504</v>
      </c>
      <c r="AO107" s="1882" t="s">
        <v>3504</v>
      </c>
      <c r="AP107" s="1882" t="s">
        <v>3504</v>
      </c>
      <c r="AQ107" s="1882">
        <v>0.81</v>
      </c>
      <c r="AR107" s="1882">
        <v>0.26</v>
      </c>
      <c r="AS107" s="1882">
        <v>0</v>
      </c>
      <c r="AT107" s="1882" t="s">
        <v>2459</v>
      </c>
      <c r="AU107" s="1882">
        <v>0</v>
      </c>
      <c r="AV107" s="1882" t="s">
        <v>2459</v>
      </c>
      <c r="AW107" s="1882">
        <v>0</v>
      </c>
      <c r="AX107" s="1882" t="s">
        <v>2459</v>
      </c>
      <c r="AY107" s="1882">
        <v>0</v>
      </c>
      <c r="AZ107" s="1882" t="s">
        <v>2459</v>
      </c>
      <c r="BA107" s="1882"/>
      <c r="BB107" s="1882" t="s">
        <v>11943</v>
      </c>
    </row>
    <row r="108" spans="1:54">
      <c r="A108" s="1882" t="s">
        <v>10530</v>
      </c>
      <c r="B108" s="1882" t="s">
        <v>8352</v>
      </c>
      <c r="C108" s="1882" t="s">
        <v>8379</v>
      </c>
      <c r="D108" s="1882" t="s">
        <v>8503</v>
      </c>
      <c r="E108" s="1882" t="s">
        <v>10531</v>
      </c>
      <c r="F108" s="1882" t="s">
        <v>10533</v>
      </c>
      <c r="G108" s="1882"/>
      <c r="H108" s="1882"/>
      <c r="I108" s="1882"/>
      <c r="J108" s="1882"/>
      <c r="K108" s="1882"/>
      <c r="L108" s="1882"/>
      <c r="M108" s="1882"/>
      <c r="N108" s="1882"/>
      <c r="O108" s="1882"/>
      <c r="P108" s="1882" t="s">
        <v>11741</v>
      </c>
      <c r="Q108" s="1882" t="s">
        <v>11944</v>
      </c>
      <c r="R108" s="1882" t="s">
        <v>11756</v>
      </c>
      <c r="S108" s="1882"/>
      <c r="T108" s="1882" t="s">
        <v>764</v>
      </c>
      <c r="U108" s="520" t="s">
        <v>2453</v>
      </c>
      <c r="V108" s="1882"/>
      <c r="W108" s="1882">
        <v>1</v>
      </c>
      <c r="X108" s="1882">
        <v>1</v>
      </c>
      <c r="Y108" s="1882">
        <v>1</v>
      </c>
      <c r="Z108" s="1882">
        <v>1</v>
      </c>
      <c r="AA108" s="1882">
        <v>1</v>
      </c>
      <c r="AB108" s="1882">
        <v>1</v>
      </c>
      <c r="AC108" s="1882"/>
      <c r="AD108" s="1882"/>
      <c r="AE108" s="1882">
        <v>2</v>
      </c>
      <c r="AF108" s="1882">
        <v>2</v>
      </c>
      <c r="AG108" s="1882">
        <v>2</v>
      </c>
      <c r="AH108" s="1882">
        <v>2</v>
      </c>
      <c r="AI108" s="1882">
        <v>2</v>
      </c>
      <c r="AJ108" s="1882" t="s">
        <v>3504</v>
      </c>
      <c r="AK108" s="1882" t="s">
        <v>3504</v>
      </c>
      <c r="AL108" s="1882" t="s">
        <v>3504</v>
      </c>
      <c r="AM108" s="1882" t="s">
        <v>3504</v>
      </c>
      <c r="AN108" s="1882" t="s">
        <v>3504</v>
      </c>
      <c r="AO108" s="1882" t="s">
        <v>3504</v>
      </c>
      <c r="AP108" s="1882" t="s">
        <v>3504</v>
      </c>
      <c r="AQ108" s="1882">
        <v>3</v>
      </c>
      <c r="AR108" s="1882">
        <v>0</v>
      </c>
      <c r="AS108" s="1882">
        <v>0</v>
      </c>
      <c r="AT108" s="1882" t="s">
        <v>2459</v>
      </c>
      <c r="AU108" s="1882">
        <v>0</v>
      </c>
      <c r="AV108" s="1882" t="s">
        <v>2459</v>
      </c>
      <c r="AW108" s="1882">
        <v>1</v>
      </c>
      <c r="AX108" s="1882" t="s">
        <v>2459</v>
      </c>
      <c r="AY108" s="1882">
        <v>0</v>
      </c>
      <c r="AZ108" s="1882" t="s">
        <v>2459</v>
      </c>
      <c r="BA108" s="1882"/>
      <c r="BB108" s="1882" t="s">
        <v>11945</v>
      </c>
    </row>
    <row r="109" spans="1:54">
      <c r="A109" s="1882" t="s">
        <v>10530</v>
      </c>
      <c r="B109" s="1882" t="s">
        <v>8352</v>
      </c>
      <c r="C109" s="1882" t="s">
        <v>8379</v>
      </c>
      <c r="D109" s="1882" t="s">
        <v>8503</v>
      </c>
      <c r="E109" s="1882" t="s">
        <v>10531</v>
      </c>
      <c r="F109" s="1882" t="s">
        <v>10533</v>
      </c>
      <c r="G109" s="1882"/>
      <c r="H109" s="1882"/>
      <c r="I109" s="1882"/>
      <c r="J109" s="1882"/>
      <c r="K109" s="1882"/>
      <c r="L109" s="1882"/>
      <c r="M109" s="1882"/>
      <c r="N109" s="1882"/>
      <c r="O109" s="1882"/>
      <c r="P109" s="1882" t="s">
        <v>11745</v>
      </c>
      <c r="Q109" s="1882" t="s">
        <v>11946</v>
      </c>
      <c r="R109" s="1882" t="s">
        <v>11947</v>
      </c>
      <c r="S109" s="1882"/>
      <c r="T109" s="1882" t="s">
        <v>732</v>
      </c>
      <c r="U109" s="1882">
        <v>2</v>
      </c>
      <c r="V109" s="1882"/>
      <c r="W109" s="1882"/>
      <c r="X109" s="1882">
        <v>99.99</v>
      </c>
      <c r="Y109" s="1882">
        <v>99.99</v>
      </c>
      <c r="Z109" s="1882">
        <v>99.99</v>
      </c>
      <c r="AA109" s="1882">
        <v>99.99</v>
      </c>
      <c r="AB109" s="1882">
        <v>99.99</v>
      </c>
      <c r="AC109" s="1882"/>
      <c r="AD109" s="1882"/>
      <c r="AE109" s="1882">
        <v>99.98</v>
      </c>
      <c r="AF109" s="1882">
        <v>99.98</v>
      </c>
      <c r="AG109" s="1882">
        <v>99.98</v>
      </c>
      <c r="AH109" s="1882">
        <v>99.98</v>
      </c>
      <c r="AI109" s="1882">
        <v>99.98</v>
      </c>
      <c r="AJ109" s="1882" t="s">
        <v>3504</v>
      </c>
      <c r="AK109" s="1882" t="s">
        <v>3504</v>
      </c>
      <c r="AL109" s="1882" t="s">
        <v>3504</v>
      </c>
      <c r="AM109" s="1882" t="s">
        <v>3504</v>
      </c>
      <c r="AN109" s="1882" t="s">
        <v>3504</v>
      </c>
      <c r="AO109" s="1882" t="s">
        <v>3504</v>
      </c>
      <c r="AP109" s="1882" t="s">
        <v>3504</v>
      </c>
      <c r="AQ109" s="1882">
        <v>99.97</v>
      </c>
      <c r="AR109" s="1882">
        <v>99.986199999999997</v>
      </c>
      <c r="AS109" s="1882">
        <v>99.995699999999999</v>
      </c>
      <c r="AT109" s="1882" t="s">
        <v>2459</v>
      </c>
      <c r="AU109" s="1882">
        <v>100</v>
      </c>
      <c r="AV109" s="1882" t="s">
        <v>2459</v>
      </c>
      <c r="AW109" s="1882">
        <v>100</v>
      </c>
      <c r="AX109" s="1882" t="s">
        <v>2459</v>
      </c>
      <c r="AY109" s="1882">
        <v>100</v>
      </c>
      <c r="AZ109" s="1882" t="s">
        <v>2459</v>
      </c>
      <c r="BA109" s="1882"/>
      <c r="BB109" s="1882" t="s">
        <v>11948</v>
      </c>
    </row>
    <row r="110" spans="1:54">
      <c r="A110" s="1882" t="s">
        <v>10530</v>
      </c>
      <c r="B110" s="1882" t="s">
        <v>8352</v>
      </c>
      <c r="C110" s="1882" t="s">
        <v>8379</v>
      </c>
      <c r="D110" s="1882" t="s">
        <v>8503</v>
      </c>
      <c r="E110" s="1882" t="s">
        <v>10531</v>
      </c>
      <c r="F110" s="1882" t="s">
        <v>10533</v>
      </c>
      <c r="G110" s="1882"/>
      <c r="H110" s="1882"/>
      <c r="I110" s="1882"/>
      <c r="J110" s="1882"/>
      <c r="K110" s="1882"/>
      <c r="L110" s="1882"/>
      <c r="M110" s="1882"/>
      <c r="N110" s="1882"/>
      <c r="O110" s="1882"/>
      <c r="P110" s="1882" t="s">
        <v>11797</v>
      </c>
      <c r="Q110" s="1882" t="s">
        <v>11949</v>
      </c>
      <c r="R110" s="1882" t="s">
        <v>11811</v>
      </c>
      <c r="S110" s="1882"/>
      <c r="T110" s="1882" t="s">
        <v>764</v>
      </c>
      <c r="U110" s="520" t="s">
        <v>2453</v>
      </c>
      <c r="V110" s="1882"/>
      <c r="W110" s="1882">
        <v>0</v>
      </c>
      <c r="X110" s="1882">
        <v>0</v>
      </c>
      <c r="Y110" s="1882">
        <v>0</v>
      </c>
      <c r="Z110" s="1882">
        <v>0</v>
      </c>
      <c r="AA110" s="1882">
        <v>0</v>
      </c>
      <c r="AB110" s="1882">
        <v>0</v>
      </c>
      <c r="AC110" s="1882"/>
      <c r="AD110" s="1882"/>
      <c r="AE110" s="1882">
        <v>1</v>
      </c>
      <c r="AF110" s="1882">
        <v>1</v>
      </c>
      <c r="AG110" s="1882">
        <v>1</v>
      </c>
      <c r="AH110" s="1882">
        <v>1</v>
      </c>
      <c r="AI110" s="1882">
        <v>1</v>
      </c>
      <c r="AJ110" s="1882" t="s">
        <v>3504</v>
      </c>
      <c r="AK110" s="1882" t="s">
        <v>3504</v>
      </c>
      <c r="AL110" s="1882" t="s">
        <v>3504</v>
      </c>
      <c r="AM110" s="1882" t="s">
        <v>3504</v>
      </c>
      <c r="AN110" s="1882" t="s">
        <v>3504</v>
      </c>
      <c r="AO110" s="1882" t="s">
        <v>3504</v>
      </c>
      <c r="AP110" s="1882" t="s">
        <v>3504</v>
      </c>
      <c r="AQ110" s="1882">
        <v>2</v>
      </c>
      <c r="AR110" s="1882">
        <v>0</v>
      </c>
      <c r="AS110" s="1882">
        <v>0</v>
      </c>
      <c r="AT110" s="1882" t="s">
        <v>2459</v>
      </c>
      <c r="AU110" s="1882">
        <v>0</v>
      </c>
      <c r="AV110" s="1882" t="s">
        <v>2459</v>
      </c>
      <c r="AW110" s="1882">
        <v>0</v>
      </c>
      <c r="AX110" s="1882" t="s">
        <v>2459</v>
      </c>
      <c r="AY110" s="1882">
        <v>0</v>
      </c>
      <c r="AZ110" s="1882" t="s">
        <v>2459</v>
      </c>
      <c r="BA110" s="1882"/>
      <c r="BB110" s="1882" t="s">
        <v>11950</v>
      </c>
    </row>
    <row r="111" spans="1:54">
      <c r="A111" s="1882" t="s">
        <v>10530</v>
      </c>
      <c r="B111" s="1882" t="s">
        <v>8352</v>
      </c>
      <c r="C111" s="1882" t="s">
        <v>8379</v>
      </c>
      <c r="D111" s="1882" t="s">
        <v>8503</v>
      </c>
      <c r="E111" s="1882" t="s">
        <v>10531</v>
      </c>
      <c r="F111" s="1882" t="s">
        <v>10533</v>
      </c>
      <c r="G111" s="1882"/>
      <c r="H111" s="1882"/>
      <c r="I111" s="1882"/>
      <c r="J111" s="1882"/>
      <c r="K111" s="1882"/>
      <c r="L111" s="1882"/>
      <c r="M111" s="1882"/>
      <c r="N111" s="1882"/>
      <c r="O111" s="1882"/>
      <c r="P111" s="1882" t="s">
        <v>11800</v>
      </c>
      <c r="Q111" s="1882" t="s">
        <v>11951</v>
      </c>
      <c r="R111" s="1882" t="s">
        <v>11952</v>
      </c>
      <c r="S111" s="1882"/>
      <c r="T111" s="1882" t="s">
        <v>764</v>
      </c>
      <c r="U111" s="1882">
        <v>2</v>
      </c>
      <c r="V111" s="1882"/>
      <c r="W111" s="1882"/>
      <c r="X111" s="1882">
        <v>7.0000000000000007E-2</v>
      </c>
      <c r="Y111" s="1882">
        <v>7.0000000000000007E-2</v>
      </c>
      <c r="Z111" s="1882">
        <v>7.0000000000000007E-2</v>
      </c>
      <c r="AA111" s="1882">
        <v>7.0000000000000007E-2</v>
      </c>
      <c r="AB111" s="1882">
        <v>7.0000000000000007E-2</v>
      </c>
      <c r="AC111" s="1882"/>
      <c r="AD111" s="1882"/>
      <c r="AE111" s="1882">
        <v>0.124</v>
      </c>
      <c r="AF111" s="1882">
        <v>0.124</v>
      </c>
      <c r="AG111" s="1882">
        <v>0.124</v>
      </c>
      <c r="AH111" s="1882">
        <v>0.124</v>
      </c>
      <c r="AI111" s="1882">
        <v>0.124</v>
      </c>
      <c r="AJ111" s="1882" t="s">
        <v>3504</v>
      </c>
      <c r="AK111" s="1882" t="s">
        <v>3504</v>
      </c>
      <c r="AL111" s="1882" t="s">
        <v>3504</v>
      </c>
      <c r="AM111" s="1882" t="s">
        <v>3504</v>
      </c>
      <c r="AN111" s="1882" t="s">
        <v>3504</v>
      </c>
      <c r="AO111" s="1882" t="s">
        <v>3504</v>
      </c>
      <c r="AP111" s="1882" t="s">
        <v>3504</v>
      </c>
      <c r="AQ111" s="1882">
        <v>0.151</v>
      </c>
      <c r="AR111" s="1882">
        <v>9.7000000000000003E-2</v>
      </c>
      <c r="AS111" s="1882">
        <v>8.2000000000000003E-2</v>
      </c>
      <c r="AT111" s="1882" t="s">
        <v>2460</v>
      </c>
      <c r="AU111" s="1882">
        <v>0.06</v>
      </c>
      <c r="AV111" s="1882" t="s">
        <v>2459</v>
      </c>
      <c r="AW111" s="1882">
        <v>0.05</v>
      </c>
      <c r="AX111" s="1882" t="s">
        <v>2459</v>
      </c>
      <c r="AY111" s="1882">
        <v>4.8000000000000001E-2</v>
      </c>
      <c r="AZ111" s="1882" t="s">
        <v>2459</v>
      </c>
      <c r="BA111" s="1882"/>
      <c r="BB111" s="1882" t="s">
        <v>11953</v>
      </c>
    </row>
    <row r="112" spans="1:54">
      <c r="A112" s="1882" t="s">
        <v>10530</v>
      </c>
      <c r="B112" s="1882" t="s">
        <v>8352</v>
      </c>
      <c r="C112" s="1882" t="s">
        <v>8379</v>
      </c>
      <c r="D112" s="1882" t="s">
        <v>8503</v>
      </c>
      <c r="E112" s="1882" t="s">
        <v>10531</v>
      </c>
      <c r="F112" s="1882" t="s">
        <v>10533</v>
      </c>
      <c r="G112" s="1882"/>
      <c r="H112" s="1882"/>
      <c r="I112" s="1882"/>
      <c r="J112" s="1882"/>
      <c r="K112" s="1882"/>
      <c r="L112" s="1882"/>
      <c r="M112" s="1882"/>
      <c r="N112" s="1882"/>
      <c r="O112" s="1882"/>
      <c r="P112" s="1882" t="s">
        <v>11803</v>
      </c>
      <c r="Q112" s="1882" t="s">
        <v>11954</v>
      </c>
      <c r="R112" s="1882" t="s">
        <v>11952</v>
      </c>
      <c r="S112" s="1882"/>
      <c r="T112" s="1882" t="s">
        <v>764</v>
      </c>
      <c r="U112" s="1882">
        <v>3</v>
      </c>
      <c r="V112" s="1882"/>
      <c r="W112" s="1882"/>
      <c r="X112" s="1882" t="s">
        <v>11955</v>
      </c>
      <c r="Y112" s="1882" t="s">
        <v>11955</v>
      </c>
      <c r="Z112" s="1882" t="s">
        <v>11955</v>
      </c>
      <c r="AA112" s="1882" t="s">
        <v>11955</v>
      </c>
      <c r="AB112" s="1882" t="s">
        <v>11955</v>
      </c>
      <c r="AC112" s="1882"/>
      <c r="AD112" s="1882"/>
      <c r="AE112" s="1882"/>
      <c r="AF112" s="1882"/>
      <c r="AG112" s="1882"/>
      <c r="AH112" s="1882"/>
      <c r="AI112" s="1882"/>
      <c r="AJ112" s="1882" t="s">
        <v>3504</v>
      </c>
      <c r="AK112" s="1882" t="s">
        <v>3504</v>
      </c>
      <c r="AL112" s="1882" t="s">
        <v>3504</v>
      </c>
      <c r="AM112" s="1882" t="s">
        <v>3504</v>
      </c>
      <c r="AN112" s="1882" t="s">
        <v>3504</v>
      </c>
      <c r="AO112" s="1882" t="s">
        <v>3504</v>
      </c>
      <c r="AP112" s="1882" t="s">
        <v>3504</v>
      </c>
      <c r="AQ112" s="1882"/>
      <c r="AR112" s="1882">
        <v>6.0000000000000001E-3</v>
      </c>
      <c r="AS112" s="1882">
        <v>4.0000000000000001E-3</v>
      </c>
      <c r="AT112" s="1882"/>
      <c r="AU112" s="1882">
        <v>0.01</v>
      </c>
      <c r="AV112" s="1882" t="s">
        <v>2451</v>
      </c>
      <c r="AW112" s="1882">
        <v>0.01</v>
      </c>
      <c r="AX112" s="1882" t="s">
        <v>2459</v>
      </c>
      <c r="AY112" s="1882">
        <v>6.0000000000000001E-3</v>
      </c>
      <c r="AZ112" s="1882" t="s">
        <v>2459</v>
      </c>
      <c r="BA112" s="1882"/>
      <c r="BB112" s="1882" t="s">
        <v>11956</v>
      </c>
    </row>
    <row r="113" spans="1:54">
      <c r="A113" s="1882" t="s">
        <v>10623</v>
      </c>
      <c r="B113" s="1882" t="s">
        <v>8352</v>
      </c>
      <c r="C113" s="1882" t="s">
        <v>8379</v>
      </c>
      <c r="D113" s="1882" t="s">
        <v>8720</v>
      </c>
      <c r="E113" s="1882" t="s">
        <v>10625</v>
      </c>
      <c r="F113" s="1882" t="s">
        <v>10627</v>
      </c>
      <c r="G113" s="1882" t="s">
        <v>8519</v>
      </c>
      <c r="H113" s="1882" t="s">
        <v>8787</v>
      </c>
      <c r="I113" s="1882" t="s">
        <v>8856</v>
      </c>
      <c r="J113" s="1882" t="s">
        <v>8706</v>
      </c>
      <c r="K113" s="1882" t="s">
        <v>8706</v>
      </c>
      <c r="L113" s="1882" t="s">
        <v>8706</v>
      </c>
      <c r="M113" s="1882" t="s">
        <v>8706</v>
      </c>
      <c r="N113" s="1882" t="s">
        <v>8706</v>
      </c>
      <c r="O113" s="1882" t="s">
        <v>8706</v>
      </c>
      <c r="P113" s="1882" t="s">
        <v>11728</v>
      </c>
      <c r="Q113" s="1882" t="s">
        <v>10627</v>
      </c>
      <c r="R113" s="1882"/>
      <c r="S113" s="1882"/>
      <c r="T113" s="1882" t="s">
        <v>8704</v>
      </c>
      <c r="U113" s="1882" t="s">
        <v>8512</v>
      </c>
      <c r="V113" s="1882"/>
      <c r="W113" s="1882"/>
      <c r="X113" s="1882"/>
      <c r="Y113" s="1882"/>
      <c r="Z113" s="1882"/>
      <c r="AA113" s="1882"/>
      <c r="AB113" s="1882"/>
      <c r="AC113" s="1882"/>
      <c r="AD113" s="1882"/>
      <c r="AE113" s="1882"/>
      <c r="AF113" s="1882"/>
      <c r="AG113" s="1882"/>
      <c r="AH113" s="1882"/>
      <c r="AI113" s="1882"/>
      <c r="AJ113" s="1882"/>
      <c r="AK113" s="1882"/>
      <c r="AL113" s="1882"/>
      <c r="AM113" s="1882"/>
      <c r="AN113" s="1882"/>
      <c r="AO113" s="1882"/>
      <c r="AP113" s="1882"/>
      <c r="AQ113" s="1882"/>
      <c r="AR113" s="1882" t="s">
        <v>8706</v>
      </c>
      <c r="AS113" s="1882" t="s">
        <v>8706</v>
      </c>
      <c r="AT113" s="1882" t="s">
        <v>2459</v>
      </c>
      <c r="AU113" s="1882" t="s">
        <v>8706</v>
      </c>
      <c r="AV113" s="1882" t="s">
        <v>2459</v>
      </c>
      <c r="AW113" s="1882" t="s">
        <v>8706</v>
      </c>
      <c r="AX113" s="1882" t="s">
        <v>2459</v>
      </c>
      <c r="AY113" s="1882" t="s">
        <v>8706</v>
      </c>
      <c r="AZ113" s="1882" t="s">
        <v>2459</v>
      </c>
      <c r="BA113" s="1882"/>
      <c r="BB113" s="1882" t="s">
        <v>11957</v>
      </c>
    </row>
    <row r="114" spans="1:54">
      <c r="A114" s="1882" t="s">
        <v>10623</v>
      </c>
      <c r="B114" s="1882" t="s">
        <v>8352</v>
      </c>
      <c r="C114" s="1882" t="s">
        <v>8379</v>
      </c>
      <c r="D114" s="1882" t="s">
        <v>8720</v>
      </c>
      <c r="E114" s="1882" t="s">
        <v>10625</v>
      </c>
      <c r="F114" s="1882" t="s">
        <v>10627</v>
      </c>
      <c r="G114" s="1882"/>
      <c r="H114" s="1882"/>
      <c r="I114" s="1882"/>
      <c r="J114" s="1882"/>
      <c r="K114" s="1882"/>
      <c r="L114" s="1882"/>
      <c r="M114" s="1882"/>
      <c r="N114" s="1882"/>
      <c r="O114" s="1882"/>
      <c r="P114" s="1882" t="s">
        <v>11730</v>
      </c>
      <c r="Q114" s="1882" t="s">
        <v>11958</v>
      </c>
      <c r="R114" s="1882" t="s">
        <v>11959</v>
      </c>
      <c r="S114" s="1882"/>
      <c r="T114" s="1882" t="s">
        <v>764</v>
      </c>
      <c r="U114" s="520" t="s">
        <v>2453</v>
      </c>
      <c r="V114" s="1882"/>
      <c r="W114" s="1882"/>
      <c r="X114" s="1882">
        <v>27</v>
      </c>
      <c r="Y114" s="1882">
        <v>27</v>
      </c>
      <c r="Z114" s="1882">
        <v>27</v>
      </c>
      <c r="AA114" s="1882">
        <v>27</v>
      </c>
      <c r="AB114" s="1882">
        <v>27</v>
      </c>
      <c r="AC114" s="1882"/>
      <c r="AD114" s="1882"/>
      <c r="AE114" s="1882">
        <v>69</v>
      </c>
      <c r="AF114" s="1882">
        <v>69</v>
      </c>
      <c r="AG114" s="1882">
        <v>69</v>
      </c>
      <c r="AH114" s="1882">
        <v>69</v>
      </c>
      <c r="AI114" s="1882">
        <v>69</v>
      </c>
      <c r="AJ114" s="1882" t="s">
        <v>3504</v>
      </c>
      <c r="AK114" s="1882" t="s">
        <v>3504</v>
      </c>
      <c r="AL114" s="1882" t="s">
        <v>3504</v>
      </c>
      <c r="AM114" s="1882" t="s">
        <v>3504</v>
      </c>
      <c r="AN114" s="1882" t="s">
        <v>3504</v>
      </c>
      <c r="AO114" s="1882" t="s">
        <v>3504</v>
      </c>
      <c r="AP114" s="1882" t="s">
        <v>3504</v>
      </c>
      <c r="AQ114" s="1882">
        <v>90</v>
      </c>
      <c r="AR114" s="1882" t="s">
        <v>3504</v>
      </c>
      <c r="AS114" s="1882">
        <v>25</v>
      </c>
      <c r="AT114" s="1882" t="s">
        <v>2459</v>
      </c>
      <c r="AU114" s="1882">
        <v>34</v>
      </c>
      <c r="AV114" s="1882" t="s">
        <v>2459</v>
      </c>
      <c r="AW114" s="1882">
        <v>22</v>
      </c>
      <c r="AX114" s="1882" t="s">
        <v>2459</v>
      </c>
      <c r="AY114" s="1882">
        <v>45</v>
      </c>
      <c r="AZ114" s="1882" t="s">
        <v>2460</v>
      </c>
      <c r="BA114" s="1882"/>
      <c r="BB114" s="1882" t="s">
        <v>11960</v>
      </c>
    </row>
    <row r="115" spans="1:54">
      <c r="A115" s="1882" t="s">
        <v>10623</v>
      </c>
      <c r="B115" s="1882" t="s">
        <v>8352</v>
      </c>
      <c r="C115" s="1882" t="s">
        <v>8379</v>
      </c>
      <c r="D115" s="1882" t="s">
        <v>8720</v>
      </c>
      <c r="E115" s="1882" t="s">
        <v>10625</v>
      </c>
      <c r="F115" s="1882" t="s">
        <v>10627</v>
      </c>
      <c r="G115" s="1882"/>
      <c r="H115" s="1882"/>
      <c r="I115" s="1882"/>
      <c r="J115" s="1882"/>
      <c r="K115" s="1882"/>
      <c r="L115" s="1882"/>
      <c r="M115" s="1882"/>
      <c r="N115" s="1882"/>
      <c r="O115" s="1882"/>
      <c r="P115" s="1882" t="s">
        <v>11734</v>
      </c>
      <c r="Q115" s="1882" t="s">
        <v>11961</v>
      </c>
      <c r="R115" s="1882" t="s">
        <v>11773</v>
      </c>
      <c r="S115" s="1882"/>
      <c r="T115" s="1882" t="s">
        <v>732</v>
      </c>
      <c r="U115" s="1882">
        <v>2</v>
      </c>
      <c r="V115" s="1882"/>
      <c r="W115" s="1882">
        <v>1.1200000000000001</v>
      </c>
      <c r="X115" s="1882">
        <v>0</v>
      </c>
      <c r="Y115" s="1882">
        <v>0</v>
      </c>
      <c r="Z115" s="1882">
        <v>0</v>
      </c>
      <c r="AA115" s="1882">
        <v>0</v>
      </c>
      <c r="AB115" s="1882">
        <v>0</v>
      </c>
      <c r="AC115" s="1882"/>
      <c r="AD115" s="1882"/>
      <c r="AE115" s="1882">
        <v>2.0099999999999998</v>
      </c>
      <c r="AF115" s="1882">
        <v>2.0099999999999998</v>
      </c>
      <c r="AG115" s="1882">
        <v>2.0099999999999998</v>
      </c>
      <c r="AH115" s="1882">
        <v>2.0099999999999998</v>
      </c>
      <c r="AI115" s="1882">
        <v>2.0099999999999998</v>
      </c>
      <c r="AJ115" s="1882" t="s">
        <v>3504</v>
      </c>
      <c r="AK115" s="1882" t="s">
        <v>3504</v>
      </c>
      <c r="AL115" s="1882" t="s">
        <v>3504</v>
      </c>
      <c r="AM115" s="1882" t="s">
        <v>3504</v>
      </c>
      <c r="AN115" s="1882" t="s">
        <v>3504</v>
      </c>
      <c r="AO115" s="1882" t="s">
        <v>3504</v>
      </c>
      <c r="AP115" s="1882" t="s">
        <v>3504</v>
      </c>
      <c r="AQ115" s="1882">
        <v>2.61</v>
      </c>
      <c r="AR115" s="1882">
        <v>1.1494252873563227</v>
      </c>
      <c r="AS115" s="1882">
        <v>0.86699999999999999</v>
      </c>
      <c r="AT115" s="1882" t="s">
        <v>2460</v>
      </c>
      <c r="AU115" s="1882">
        <v>1.72</v>
      </c>
      <c r="AV115" s="1882" t="s">
        <v>2460</v>
      </c>
      <c r="AW115" s="1882">
        <v>0.56999999999999995</v>
      </c>
      <c r="AX115" s="1882" t="s">
        <v>2460</v>
      </c>
      <c r="AY115" s="1882">
        <v>1.1499999999999999</v>
      </c>
      <c r="AZ115" s="1882" t="s">
        <v>2460</v>
      </c>
      <c r="BA115" s="1882"/>
      <c r="BB115" s="1882" t="s">
        <v>11962</v>
      </c>
    </row>
    <row r="116" spans="1:54">
      <c r="A116" s="1882" t="s">
        <v>10623</v>
      </c>
      <c r="B116" s="1882" t="s">
        <v>8352</v>
      </c>
      <c r="C116" s="1882" t="s">
        <v>8379</v>
      </c>
      <c r="D116" s="1882" t="s">
        <v>8720</v>
      </c>
      <c r="E116" s="1882" t="s">
        <v>10625</v>
      </c>
      <c r="F116" s="1882" t="s">
        <v>10627</v>
      </c>
      <c r="G116" s="1882"/>
      <c r="H116" s="1882"/>
      <c r="I116" s="1882"/>
      <c r="J116" s="1882"/>
      <c r="K116" s="1882"/>
      <c r="L116" s="1882"/>
      <c r="M116" s="1882"/>
      <c r="N116" s="1882"/>
      <c r="O116" s="1882"/>
      <c r="P116" s="1882" t="s">
        <v>11741</v>
      </c>
      <c r="Q116" s="1882" t="s">
        <v>11963</v>
      </c>
      <c r="R116" s="1882" t="s">
        <v>11770</v>
      </c>
      <c r="S116" s="1882"/>
      <c r="T116" s="1882" t="s">
        <v>732</v>
      </c>
      <c r="U116" s="1882">
        <v>2</v>
      </c>
      <c r="V116" s="1882"/>
      <c r="W116" s="1882">
        <v>0.17</v>
      </c>
      <c r="X116" s="1882">
        <v>0</v>
      </c>
      <c r="Y116" s="1882">
        <v>0</v>
      </c>
      <c r="Z116" s="1882">
        <v>0</v>
      </c>
      <c r="AA116" s="1882">
        <v>0</v>
      </c>
      <c r="AB116" s="1882">
        <v>0</v>
      </c>
      <c r="AC116" s="1882"/>
      <c r="AD116" s="1882"/>
      <c r="AE116" s="1882">
        <v>0.68</v>
      </c>
      <c r="AF116" s="1882">
        <v>0.68</v>
      </c>
      <c r="AG116" s="1882">
        <v>0.68</v>
      </c>
      <c r="AH116" s="1882">
        <v>0.68</v>
      </c>
      <c r="AI116" s="1882">
        <v>0.68</v>
      </c>
      <c r="AJ116" s="1882" t="s">
        <v>3504</v>
      </c>
      <c r="AK116" s="1882" t="s">
        <v>3504</v>
      </c>
      <c r="AL116" s="1882" t="s">
        <v>3504</v>
      </c>
      <c r="AM116" s="1882" t="s">
        <v>3504</v>
      </c>
      <c r="AN116" s="1882" t="s">
        <v>3504</v>
      </c>
      <c r="AO116" s="1882" t="s">
        <v>3504</v>
      </c>
      <c r="AP116" s="1882" t="s">
        <v>3504</v>
      </c>
      <c r="AQ116" s="1882">
        <v>0.94</v>
      </c>
      <c r="AR116" s="1882">
        <v>0</v>
      </c>
      <c r="AS116" s="1882">
        <v>0</v>
      </c>
      <c r="AT116" s="1882" t="s">
        <v>2459</v>
      </c>
      <c r="AU116" s="1882">
        <v>0</v>
      </c>
      <c r="AV116" s="1882" t="s">
        <v>2459</v>
      </c>
      <c r="AW116" s="1882">
        <v>0</v>
      </c>
      <c r="AX116" s="1882" t="s">
        <v>2459</v>
      </c>
      <c r="AY116" s="1882">
        <v>1E-4</v>
      </c>
      <c r="AZ116" s="1882" t="s">
        <v>2460</v>
      </c>
      <c r="BA116" s="1882"/>
      <c r="BB116" s="1882" t="s">
        <v>11964</v>
      </c>
    </row>
    <row r="117" spans="1:54">
      <c r="A117" s="1882" t="s">
        <v>10629</v>
      </c>
      <c r="B117" s="1882" t="s">
        <v>8352</v>
      </c>
      <c r="C117" s="1882" t="s">
        <v>8379</v>
      </c>
      <c r="D117" s="1882" t="s">
        <v>8720</v>
      </c>
      <c r="E117" s="1882" t="s">
        <v>10630</v>
      </c>
      <c r="F117" s="1882" t="s">
        <v>10632</v>
      </c>
      <c r="G117" s="1882" t="s">
        <v>8519</v>
      </c>
      <c r="H117" s="1882" t="s">
        <v>8787</v>
      </c>
      <c r="I117" s="1882" t="s">
        <v>8856</v>
      </c>
      <c r="J117" s="1882" t="s">
        <v>8706</v>
      </c>
      <c r="K117" s="1882" t="s">
        <v>8706</v>
      </c>
      <c r="L117" s="1882" t="s">
        <v>8706</v>
      </c>
      <c r="M117" s="1882" t="s">
        <v>8706</v>
      </c>
      <c r="N117" s="1882" t="s">
        <v>8706</v>
      </c>
      <c r="O117" s="1882" t="s">
        <v>8706</v>
      </c>
      <c r="P117" s="1882" t="s">
        <v>11728</v>
      </c>
      <c r="Q117" s="1882" t="s">
        <v>10632</v>
      </c>
      <c r="R117" s="1882"/>
      <c r="S117" s="1882"/>
      <c r="T117" s="1882" t="s">
        <v>8704</v>
      </c>
      <c r="U117" s="1882" t="s">
        <v>8512</v>
      </c>
      <c r="V117" s="1882"/>
      <c r="W117" s="1882"/>
      <c r="X117" s="1882"/>
      <c r="Y117" s="1882"/>
      <c r="Z117" s="1882"/>
      <c r="AA117" s="1882"/>
      <c r="AB117" s="1882"/>
      <c r="AC117" s="1882"/>
      <c r="AD117" s="1882"/>
      <c r="AE117" s="1882"/>
      <c r="AF117" s="1882"/>
      <c r="AG117" s="1882"/>
      <c r="AH117" s="1882"/>
      <c r="AI117" s="1882"/>
      <c r="AJ117" s="1882"/>
      <c r="AK117" s="1882"/>
      <c r="AL117" s="1882"/>
      <c r="AM117" s="1882"/>
      <c r="AN117" s="1882"/>
      <c r="AO117" s="1882"/>
      <c r="AP117" s="1882"/>
      <c r="AQ117" s="1882"/>
      <c r="AR117" s="1882" t="s">
        <v>8857</v>
      </c>
      <c r="AS117" s="1882" t="s">
        <v>8706</v>
      </c>
      <c r="AT117" s="1882" t="s">
        <v>2459</v>
      </c>
      <c r="AU117" s="1882" t="s">
        <v>8706</v>
      </c>
      <c r="AV117" s="1882" t="s">
        <v>2459</v>
      </c>
      <c r="AW117" s="1882" t="s">
        <v>8706</v>
      </c>
      <c r="AX117" s="1882" t="s">
        <v>2459</v>
      </c>
      <c r="AY117" s="1882" t="s">
        <v>8706</v>
      </c>
      <c r="AZ117" s="1882" t="s">
        <v>2459</v>
      </c>
      <c r="BA117" s="1882"/>
      <c r="BB117" s="1882" t="s">
        <v>11965</v>
      </c>
    </row>
    <row r="118" spans="1:54">
      <c r="A118" s="1882" t="s">
        <v>10629</v>
      </c>
      <c r="B118" s="1882" t="s">
        <v>8352</v>
      </c>
      <c r="C118" s="1882" t="s">
        <v>8379</v>
      </c>
      <c r="D118" s="1882" t="s">
        <v>8720</v>
      </c>
      <c r="E118" s="1882" t="s">
        <v>10630</v>
      </c>
      <c r="F118" s="1882" t="s">
        <v>10632</v>
      </c>
      <c r="G118" s="1882"/>
      <c r="H118" s="1882"/>
      <c r="I118" s="1882"/>
      <c r="J118" s="1882"/>
      <c r="K118" s="1882"/>
      <c r="L118" s="1882"/>
      <c r="M118" s="1882"/>
      <c r="N118" s="1882"/>
      <c r="O118" s="1882"/>
      <c r="P118" s="1882" t="s">
        <v>11730</v>
      </c>
      <c r="Q118" s="1882" t="s">
        <v>11966</v>
      </c>
      <c r="R118" s="1882" t="s">
        <v>11761</v>
      </c>
      <c r="S118" s="1882"/>
      <c r="T118" s="1882" t="s">
        <v>764</v>
      </c>
      <c r="U118" s="520" t="s">
        <v>2453</v>
      </c>
      <c r="V118" s="1882"/>
      <c r="W118" s="1882" t="s">
        <v>11967</v>
      </c>
      <c r="X118" s="1882">
        <v>736</v>
      </c>
      <c r="Y118" s="1882">
        <v>736</v>
      </c>
      <c r="Z118" s="1882">
        <v>736</v>
      </c>
      <c r="AA118" s="1882">
        <v>736</v>
      </c>
      <c r="AB118" s="1882">
        <v>736</v>
      </c>
      <c r="AC118" s="1882"/>
      <c r="AD118" s="1882"/>
      <c r="AE118" s="1882">
        <v>881</v>
      </c>
      <c r="AF118" s="1882">
        <v>881</v>
      </c>
      <c r="AG118" s="1882">
        <v>881</v>
      </c>
      <c r="AH118" s="1882">
        <v>881</v>
      </c>
      <c r="AI118" s="1882">
        <v>881</v>
      </c>
      <c r="AJ118" s="1882" t="s">
        <v>3504</v>
      </c>
      <c r="AK118" s="1882" t="s">
        <v>3504</v>
      </c>
      <c r="AL118" s="1882" t="s">
        <v>3504</v>
      </c>
      <c r="AM118" s="1882" t="s">
        <v>3504</v>
      </c>
      <c r="AN118" s="1882" t="s">
        <v>3504</v>
      </c>
      <c r="AO118" s="1882" t="s">
        <v>3504</v>
      </c>
      <c r="AP118" s="1882" t="s">
        <v>3504</v>
      </c>
      <c r="AQ118" s="1882">
        <v>1004</v>
      </c>
      <c r="AR118" s="1882">
        <v>530</v>
      </c>
      <c r="AS118" s="1882">
        <v>471</v>
      </c>
      <c r="AT118" s="1882" t="s">
        <v>2459</v>
      </c>
      <c r="AU118" s="1882">
        <v>632</v>
      </c>
      <c r="AV118" s="1882" t="s">
        <v>2459</v>
      </c>
      <c r="AW118" s="1882">
        <v>321</v>
      </c>
      <c r="AX118" s="1882" t="s">
        <v>2459</v>
      </c>
      <c r="AY118" s="1882">
        <v>365</v>
      </c>
      <c r="AZ118" s="1882" t="s">
        <v>2459</v>
      </c>
      <c r="BA118" s="1882"/>
      <c r="BB118" s="1882" t="s">
        <v>11968</v>
      </c>
    </row>
    <row r="119" spans="1:54">
      <c r="A119" s="1882" t="s">
        <v>10629</v>
      </c>
      <c r="B119" s="1882" t="s">
        <v>8352</v>
      </c>
      <c r="C119" s="1882" t="s">
        <v>8379</v>
      </c>
      <c r="D119" s="1882" t="s">
        <v>8720</v>
      </c>
      <c r="E119" s="1882" t="s">
        <v>10630</v>
      </c>
      <c r="F119" s="1882" t="s">
        <v>10632</v>
      </c>
      <c r="G119" s="1882"/>
      <c r="H119" s="1882"/>
      <c r="I119" s="1882"/>
      <c r="J119" s="1882"/>
      <c r="K119" s="1882"/>
      <c r="L119" s="1882"/>
      <c r="M119" s="1882"/>
      <c r="N119" s="1882"/>
      <c r="O119" s="1882"/>
      <c r="P119" s="1882" t="s">
        <v>11734</v>
      </c>
      <c r="Q119" s="1882" t="s">
        <v>11969</v>
      </c>
      <c r="R119" s="1882" t="s">
        <v>11766</v>
      </c>
      <c r="S119" s="1882"/>
      <c r="T119" s="1882" t="s">
        <v>764</v>
      </c>
      <c r="U119" s="520" t="s">
        <v>2453</v>
      </c>
      <c r="V119" s="1882"/>
      <c r="W119" s="1882" t="s">
        <v>11967</v>
      </c>
      <c r="X119" s="1882">
        <v>84438</v>
      </c>
      <c r="Y119" s="1882">
        <v>84438</v>
      </c>
      <c r="Z119" s="1882">
        <v>84438</v>
      </c>
      <c r="AA119" s="1882">
        <v>84438</v>
      </c>
      <c r="AB119" s="1882">
        <v>84438</v>
      </c>
      <c r="AC119" s="1882"/>
      <c r="AD119" s="1882"/>
      <c r="AE119" s="1882">
        <v>89698</v>
      </c>
      <c r="AF119" s="1882">
        <v>89698</v>
      </c>
      <c r="AG119" s="1882">
        <v>89698</v>
      </c>
      <c r="AH119" s="1882">
        <v>89698</v>
      </c>
      <c r="AI119" s="1882">
        <v>89698</v>
      </c>
      <c r="AJ119" s="1882" t="s">
        <v>3504</v>
      </c>
      <c r="AK119" s="1882" t="s">
        <v>3504</v>
      </c>
      <c r="AL119" s="1882" t="s">
        <v>3504</v>
      </c>
      <c r="AM119" s="1882" t="s">
        <v>3504</v>
      </c>
      <c r="AN119" s="1882" t="s">
        <v>3504</v>
      </c>
      <c r="AO119" s="1882" t="s">
        <v>3504</v>
      </c>
      <c r="AP119" s="1882" t="s">
        <v>3504</v>
      </c>
      <c r="AQ119" s="1882">
        <v>93251</v>
      </c>
      <c r="AR119" s="1882">
        <v>86582</v>
      </c>
      <c r="AS119" s="1882">
        <v>84677</v>
      </c>
      <c r="AT119" s="1882" t="s">
        <v>2460</v>
      </c>
      <c r="AU119" s="1882">
        <v>80747</v>
      </c>
      <c r="AV119" s="1882" t="s">
        <v>2459</v>
      </c>
      <c r="AW119" s="1882">
        <v>77402</v>
      </c>
      <c r="AX119" s="1882" t="s">
        <v>2459</v>
      </c>
      <c r="AY119" s="1882">
        <v>79702</v>
      </c>
      <c r="AZ119" s="1882" t="s">
        <v>2459</v>
      </c>
      <c r="BA119" s="1882"/>
      <c r="BB119" s="1882" t="s">
        <v>11970</v>
      </c>
    </row>
    <row r="120" spans="1:54">
      <c r="A120" s="1882" t="s">
        <v>10629</v>
      </c>
      <c r="B120" s="1882" t="s">
        <v>8352</v>
      </c>
      <c r="C120" s="1882" t="s">
        <v>8379</v>
      </c>
      <c r="D120" s="1882" t="s">
        <v>8720</v>
      </c>
      <c r="E120" s="1882" t="s">
        <v>10630</v>
      </c>
      <c r="F120" s="1882" t="s">
        <v>10632</v>
      </c>
      <c r="G120" s="1882"/>
      <c r="H120" s="1882"/>
      <c r="I120" s="1882"/>
      <c r="J120" s="1882"/>
      <c r="K120" s="1882"/>
      <c r="L120" s="1882"/>
      <c r="M120" s="1882"/>
      <c r="N120" s="1882"/>
      <c r="O120" s="1882"/>
      <c r="P120" s="1882" t="s">
        <v>11741</v>
      </c>
      <c r="Q120" s="1882" t="s">
        <v>11971</v>
      </c>
      <c r="R120" s="1882" t="s">
        <v>11759</v>
      </c>
      <c r="S120" s="1882"/>
      <c r="T120" s="1882" t="s">
        <v>764</v>
      </c>
      <c r="U120" s="520" t="s">
        <v>2453</v>
      </c>
      <c r="V120" s="1882"/>
      <c r="W120" s="1882" t="s">
        <v>11967</v>
      </c>
      <c r="X120" s="1882">
        <v>206</v>
      </c>
      <c r="Y120" s="1882">
        <v>206</v>
      </c>
      <c r="Z120" s="1882">
        <v>206</v>
      </c>
      <c r="AA120" s="1882">
        <v>206</v>
      </c>
      <c r="AB120" s="1882">
        <v>206</v>
      </c>
      <c r="AC120" s="1882"/>
      <c r="AD120" s="1882"/>
      <c r="AE120" s="1882">
        <v>332</v>
      </c>
      <c r="AF120" s="1882">
        <v>332</v>
      </c>
      <c r="AG120" s="1882">
        <v>332</v>
      </c>
      <c r="AH120" s="1882">
        <v>332</v>
      </c>
      <c r="AI120" s="1882">
        <v>332</v>
      </c>
      <c r="AJ120" s="1882" t="s">
        <v>3504</v>
      </c>
      <c r="AK120" s="1882" t="s">
        <v>3504</v>
      </c>
      <c r="AL120" s="1882" t="s">
        <v>3504</v>
      </c>
      <c r="AM120" s="1882" t="s">
        <v>3504</v>
      </c>
      <c r="AN120" s="1882" t="s">
        <v>3504</v>
      </c>
      <c r="AO120" s="1882" t="s">
        <v>3504</v>
      </c>
      <c r="AP120" s="1882" t="s">
        <v>3504</v>
      </c>
      <c r="AQ120" s="1882">
        <v>393</v>
      </c>
      <c r="AR120" s="1882"/>
      <c r="AS120" s="1882">
        <v>178</v>
      </c>
      <c r="AT120" s="1882" t="s">
        <v>2459</v>
      </c>
      <c r="AU120" s="1882">
        <v>243</v>
      </c>
      <c r="AV120" s="1882" t="s">
        <v>2460</v>
      </c>
      <c r="AW120" s="1882">
        <v>241</v>
      </c>
      <c r="AX120" s="1882" t="s">
        <v>2460</v>
      </c>
      <c r="AY120" s="1882">
        <v>204</v>
      </c>
      <c r="AZ120" s="1882" t="s">
        <v>2459</v>
      </c>
      <c r="BA120" s="1882"/>
      <c r="BB120" s="1882" t="s">
        <v>11972</v>
      </c>
    </row>
    <row r="121" spans="1:54">
      <c r="A121" s="1882" t="s">
        <v>10629</v>
      </c>
      <c r="B121" s="1882" t="s">
        <v>8352</v>
      </c>
      <c r="C121" s="1882" t="s">
        <v>8379</v>
      </c>
      <c r="D121" s="1882" t="s">
        <v>8720</v>
      </c>
      <c r="E121" s="1882" t="s">
        <v>10630</v>
      </c>
      <c r="F121" s="1882" t="s">
        <v>10632</v>
      </c>
      <c r="G121" s="1882"/>
      <c r="H121" s="1882"/>
      <c r="I121" s="1882"/>
      <c r="J121" s="1882"/>
      <c r="K121" s="1882"/>
      <c r="L121" s="1882"/>
      <c r="M121" s="1882"/>
      <c r="N121" s="1882"/>
      <c r="O121" s="1882"/>
      <c r="P121" s="1882" t="s">
        <v>11745</v>
      </c>
      <c r="Q121" s="1882" t="s">
        <v>11973</v>
      </c>
      <c r="R121" s="1882" t="s">
        <v>11764</v>
      </c>
      <c r="S121" s="1882"/>
      <c r="T121" s="1882" t="s">
        <v>764</v>
      </c>
      <c r="U121" s="520" t="s">
        <v>2453</v>
      </c>
      <c r="V121" s="1882"/>
      <c r="W121" s="1882" t="s">
        <v>11967</v>
      </c>
      <c r="X121" s="1882">
        <v>1077</v>
      </c>
      <c r="Y121" s="1882">
        <v>1077</v>
      </c>
      <c r="Z121" s="1882">
        <v>1077</v>
      </c>
      <c r="AA121" s="1882">
        <v>1077</v>
      </c>
      <c r="AB121" s="1882">
        <v>1077</v>
      </c>
      <c r="AC121" s="1882"/>
      <c r="AD121" s="1882"/>
      <c r="AE121" s="1882">
        <v>1274</v>
      </c>
      <c r="AF121" s="1882">
        <v>1274</v>
      </c>
      <c r="AG121" s="1882">
        <v>1274</v>
      </c>
      <c r="AH121" s="1882">
        <v>1274</v>
      </c>
      <c r="AI121" s="1882">
        <v>1274</v>
      </c>
      <c r="AJ121" s="1882" t="s">
        <v>3504</v>
      </c>
      <c r="AK121" s="1882" t="s">
        <v>3504</v>
      </c>
      <c r="AL121" s="1882" t="s">
        <v>3504</v>
      </c>
      <c r="AM121" s="1882" t="s">
        <v>3504</v>
      </c>
      <c r="AN121" s="1882" t="s">
        <v>3504</v>
      </c>
      <c r="AO121" s="1882" t="s">
        <v>3504</v>
      </c>
      <c r="AP121" s="1882" t="s">
        <v>3504</v>
      </c>
      <c r="AQ121" s="1882">
        <v>1358</v>
      </c>
      <c r="AR121" s="1882">
        <v>1017</v>
      </c>
      <c r="AS121" s="1882">
        <v>1227</v>
      </c>
      <c r="AT121" s="1882" t="s">
        <v>2460</v>
      </c>
      <c r="AU121" s="1882">
        <v>1106</v>
      </c>
      <c r="AV121" s="1882" t="s">
        <v>2460</v>
      </c>
      <c r="AW121" s="1882">
        <v>969</v>
      </c>
      <c r="AX121" s="1882" t="s">
        <v>2459</v>
      </c>
      <c r="AY121" s="1882">
        <v>968</v>
      </c>
      <c r="AZ121" s="1882" t="s">
        <v>2459</v>
      </c>
      <c r="BA121" s="1882"/>
      <c r="BB121" s="1882" t="s">
        <v>11974</v>
      </c>
    </row>
    <row r="122" spans="1:54">
      <c r="A122" s="1882" t="s">
        <v>10846</v>
      </c>
      <c r="B122" s="1882" t="s">
        <v>8352</v>
      </c>
      <c r="C122" s="1882" t="s">
        <v>10833</v>
      </c>
      <c r="D122" s="1882" t="s">
        <v>8503</v>
      </c>
      <c r="E122" s="1882" t="s">
        <v>8233</v>
      </c>
      <c r="F122" s="1882" t="s">
        <v>10848</v>
      </c>
      <c r="G122" s="1882" t="s">
        <v>8508</v>
      </c>
      <c r="H122" s="1882" t="s">
        <v>8547</v>
      </c>
      <c r="I122" s="1882" t="s">
        <v>10849</v>
      </c>
      <c r="J122" s="1882">
        <v>107.2</v>
      </c>
      <c r="K122" s="1882">
        <v>119.3</v>
      </c>
      <c r="L122" s="1882">
        <v>130.30000000000001</v>
      </c>
      <c r="M122" s="1882">
        <v>145.9</v>
      </c>
      <c r="N122" s="1882">
        <v>145.9</v>
      </c>
      <c r="O122" s="1882">
        <v>145.9</v>
      </c>
      <c r="P122" s="1882" t="s">
        <v>11728</v>
      </c>
      <c r="Q122" s="1882" t="s">
        <v>10848</v>
      </c>
      <c r="R122" s="1882"/>
      <c r="S122" s="1882">
        <v>-15628.223599999999</v>
      </c>
      <c r="T122" s="1882" t="s">
        <v>8591</v>
      </c>
      <c r="U122" s="1882">
        <v>3</v>
      </c>
      <c r="V122" s="1882"/>
      <c r="W122" s="1882"/>
      <c r="X122" s="1882"/>
      <c r="Y122" s="1882"/>
      <c r="Z122" s="1882"/>
      <c r="AA122" s="1882"/>
      <c r="AB122" s="1882"/>
      <c r="AC122" s="1882"/>
      <c r="AD122" s="1882"/>
      <c r="AE122" s="1882"/>
      <c r="AF122" s="1882"/>
      <c r="AG122" s="1882"/>
      <c r="AH122" s="1882"/>
      <c r="AI122" s="1882"/>
      <c r="AJ122" s="1882"/>
      <c r="AK122" s="1882"/>
      <c r="AL122" s="1882"/>
      <c r="AM122" s="1882"/>
      <c r="AN122" s="1882"/>
      <c r="AO122" s="1882"/>
      <c r="AP122" s="1882"/>
      <c r="AQ122" s="1882"/>
      <c r="AR122" s="1882">
        <v>108.364</v>
      </c>
      <c r="AS122" s="1882">
        <v>120.465</v>
      </c>
      <c r="AT122" s="1882" t="s">
        <v>2459</v>
      </c>
      <c r="AU122" s="1882">
        <v>116.923</v>
      </c>
      <c r="AV122" s="1882" t="s">
        <v>2460</v>
      </c>
      <c r="AW122" s="1882">
        <v>98.645494378014845</v>
      </c>
      <c r="AX122" s="1882" t="s">
        <v>2460</v>
      </c>
      <c r="AY122" s="1882">
        <v>101.182</v>
      </c>
      <c r="AZ122" s="1882" t="s">
        <v>2460</v>
      </c>
      <c r="BA122" s="1882"/>
      <c r="BB122" s="1882" t="s">
        <v>11975</v>
      </c>
    </row>
    <row r="123" spans="1:54">
      <c r="A123" s="1882" t="s">
        <v>10846</v>
      </c>
      <c r="B123" s="1882" t="s">
        <v>8352</v>
      </c>
      <c r="C123" s="1882" t="s">
        <v>10833</v>
      </c>
      <c r="D123" s="1882" t="s">
        <v>8503</v>
      </c>
      <c r="E123" s="1882" t="s">
        <v>8233</v>
      </c>
      <c r="F123" s="1882" t="s">
        <v>10848</v>
      </c>
      <c r="G123" s="1882"/>
      <c r="H123" s="1882"/>
      <c r="I123" s="1882"/>
      <c r="J123" s="1882"/>
      <c r="K123" s="1882"/>
      <c r="L123" s="1882"/>
      <c r="M123" s="1882"/>
      <c r="N123" s="1882"/>
      <c r="O123" s="1882"/>
      <c r="P123" s="1882" t="s">
        <v>11730</v>
      </c>
      <c r="Q123" s="1882" t="s">
        <v>11976</v>
      </c>
      <c r="R123" s="1882" t="s">
        <v>11751</v>
      </c>
      <c r="S123" s="1882">
        <v>-16.217128118668306</v>
      </c>
      <c r="T123" s="1882" t="s">
        <v>732</v>
      </c>
      <c r="U123" s="1882">
        <v>2</v>
      </c>
      <c r="V123" s="1882"/>
      <c r="W123" s="1882">
        <v>0.04</v>
      </c>
      <c r="X123" s="1882">
        <v>0.04</v>
      </c>
      <c r="Y123" s="1882">
        <v>0.04</v>
      </c>
      <c r="Z123" s="1882">
        <v>0.04</v>
      </c>
      <c r="AA123" s="1882">
        <v>0.04</v>
      </c>
      <c r="AB123" s="1882">
        <v>0.04</v>
      </c>
      <c r="AC123" s="1882"/>
      <c r="AD123" s="1882"/>
      <c r="AE123" s="1882"/>
      <c r="AF123" s="1882"/>
      <c r="AG123" s="1882"/>
      <c r="AH123" s="1882"/>
      <c r="AI123" s="1882"/>
      <c r="AJ123" s="1882"/>
      <c r="AK123" s="1882"/>
      <c r="AL123" s="1882"/>
      <c r="AM123" s="1882"/>
      <c r="AN123" s="1882"/>
      <c r="AO123" s="1882"/>
      <c r="AP123" s="1882"/>
      <c r="AQ123" s="1882"/>
      <c r="AR123" s="1882">
        <v>0.03</v>
      </c>
      <c r="AS123" s="1882">
        <v>0.06</v>
      </c>
      <c r="AT123" s="1882" t="s">
        <v>2460</v>
      </c>
      <c r="AU123" s="1882">
        <v>0.01</v>
      </c>
      <c r="AV123" s="1882" t="s">
        <v>2459</v>
      </c>
      <c r="AW123" s="1882">
        <v>0.01</v>
      </c>
      <c r="AX123" s="1882" t="s">
        <v>2459</v>
      </c>
      <c r="AY123" s="1882">
        <v>0.01</v>
      </c>
      <c r="AZ123" s="1882" t="s">
        <v>2459</v>
      </c>
      <c r="BA123" s="1882"/>
      <c r="BB123" s="1882" t="s">
        <v>11977</v>
      </c>
    </row>
    <row r="124" spans="1:54">
      <c r="A124" s="1882" t="s">
        <v>10846</v>
      </c>
      <c r="B124" s="1882" t="s">
        <v>8352</v>
      </c>
      <c r="C124" s="1882" t="s">
        <v>10833</v>
      </c>
      <c r="D124" s="1882" t="s">
        <v>8503</v>
      </c>
      <c r="E124" s="1882" t="s">
        <v>8233</v>
      </c>
      <c r="F124" s="1882" t="s">
        <v>10848</v>
      </c>
      <c r="G124" s="1882"/>
      <c r="H124" s="1882"/>
      <c r="I124" s="1882"/>
      <c r="J124" s="1882"/>
      <c r="K124" s="1882"/>
      <c r="L124" s="1882"/>
      <c r="M124" s="1882"/>
      <c r="N124" s="1882"/>
      <c r="O124" s="1882"/>
      <c r="P124" s="1882" t="s">
        <v>11734</v>
      </c>
      <c r="Q124" s="1882" t="s">
        <v>11978</v>
      </c>
      <c r="R124" s="1882" t="s">
        <v>11754</v>
      </c>
      <c r="S124" s="1882">
        <v>37.39055984289103</v>
      </c>
      <c r="T124" s="1882" t="s">
        <v>732</v>
      </c>
      <c r="U124" s="1882">
        <v>2</v>
      </c>
      <c r="V124" s="1882"/>
      <c r="W124" s="1882">
        <v>99.96</v>
      </c>
      <c r="X124" s="1882">
        <v>99.96</v>
      </c>
      <c r="Y124" s="1882">
        <v>99.96</v>
      </c>
      <c r="Z124" s="1882">
        <v>99.96</v>
      </c>
      <c r="AA124" s="1882">
        <v>99.96</v>
      </c>
      <c r="AB124" s="1882">
        <v>99.96</v>
      </c>
      <c r="AC124" s="1882"/>
      <c r="AD124" s="1882"/>
      <c r="AE124" s="1882"/>
      <c r="AF124" s="1882"/>
      <c r="AG124" s="1882"/>
      <c r="AH124" s="1882"/>
      <c r="AI124" s="1882"/>
      <c r="AJ124" s="1882"/>
      <c r="AK124" s="1882"/>
      <c r="AL124" s="1882"/>
      <c r="AM124" s="1882"/>
      <c r="AN124" s="1882"/>
      <c r="AO124" s="1882"/>
      <c r="AP124" s="1882"/>
      <c r="AQ124" s="1882"/>
      <c r="AR124" s="1882">
        <v>99.98</v>
      </c>
      <c r="AS124" s="1882">
        <v>99.98</v>
      </c>
      <c r="AT124" s="1882" t="s">
        <v>2459</v>
      </c>
      <c r="AU124" s="1882">
        <v>99.98</v>
      </c>
      <c r="AV124" s="1882" t="s">
        <v>2459</v>
      </c>
      <c r="AW124" s="1882">
        <v>99.97</v>
      </c>
      <c r="AX124" s="1882" t="s">
        <v>2459</v>
      </c>
      <c r="AY124" s="1882">
        <v>99.98</v>
      </c>
      <c r="AZ124" s="1882" t="s">
        <v>2459</v>
      </c>
      <c r="BA124" s="1882"/>
      <c r="BB124" s="1882" t="s">
        <v>11979</v>
      </c>
    </row>
    <row r="125" spans="1:54">
      <c r="A125" s="1882" t="s">
        <v>10846</v>
      </c>
      <c r="B125" s="1882" t="s">
        <v>8352</v>
      </c>
      <c r="C125" s="1882" t="s">
        <v>10833</v>
      </c>
      <c r="D125" s="1882" t="s">
        <v>8503</v>
      </c>
      <c r="E125" s="1882" t="s">
        <v>8233</v>
      </c>
      <c r="F125" s="1882" t="s">
        <v>10848</v>
      </c>
      <c r="G125" s="1882"/>
      <c r="H125" s="1882"/>
      <c r="I125" s="1882"/>
      <c r="J125" s="1882"/>
      <c r="K125" s="1882"/>
      <c r="L125" s="1882"/>
      <c r="M125" s="1882"/>
      <c r="N125" s="1882"/>
      <c r="O125" s="1882"/>
      <c r="P125" s="1882" t="s">
        <v>11741</v>
      </c>
      <c r="Q125" s="1882" t="s">
        <v>11980</v>
      </c>
      <c r="R125" s="1882" t="s">
        <v>11756</v>
      </c>
      <c r="S125" s="1882">
        <v>-7.6539796562042461E-2</v>
      </c>
      <c r="T125" s="1882" t="s">
        <v>764</v>
      </c>
      <c r="U125" s="520" t="s">
        <v>2453</v>
      </c>
      <c r="V125" s="1882"/>
      <c r="W125" s="1882">
        <v>3</v>
      </c>
      <c r="X125" s="1882">
        <v>3</v>
      </c>
      <c r="Y125" s="1882">
        <v>3</v>
      </c>
      <c r="Z125" s="1882">
        <v>3</v>
      </c>
      <c r="AA125" s="1882">
        <v>3</v>
      </c>
      <c r="AB125" s="1882">
        <v>3</v>
      </c>
      <c r="AC125" s="1882"/>
      <c r="AD125" s="1882"/>
      <c r="AE125" s="1882"/>
      <c r="AF125" s="1882"/>
      <c r="AG125" s="1882"/>
      <c r="AH125" s="1882"/>
      <c r="AI125" s="1882"/>
      <c r="AJ125" s="1882"/>
      <c r="AK125" s="1882"/>
      <c r="AL125" s="1882"/>
      <c r="AM125" s="1882"/>
      <c r="AN125" s="1882"/>
      <c r="AO125" s="1882"/>
      <c r="AP125" s="1882"/>
      <c r="AQ125" s="1882"/>
      <c r="AR125" s="1882">
        <v>2</v>
      </c>
      <c r="AS125" s="1882">
        <v>1</v>
      </c>
      <c r="AT125" s="1882" t="s">
        <v>2459</v>
      </c>
      <c r="AU125" s="1882">
        <v>2</v>
      </c>
      <c r="AV125" s="1882" t="s">
        <v>2459</v>
      </c>
      <c r="AW125" s="1882">
        <v>1</v>
      </c>
      <c r="AX125" s="1882" t="s">
        <v>2459</v>
      </c>
      <c r="AY125" s="1882">
        <v>0</v>
      </c>
      <c r="AZ125" s="1882" t="s">
        <v>2460</v>
      </c>
      <c r="BA125" s="1882"/>
      <c r="BB125" s="1882" t="s">
        <v>11981</v>
      </c>
    </row>
    <row r="126" spans="1:54">
      <c r="A126" s="1882" t="s">
        <v>10846</v>
      </c>
      <c r="B126" s="1882" t="s">
        <v>8352</v>
      </c>
      <c r="C126" s="1882" t="s">
        <v>10833</v>
      </c>
      <c r="D126" s="1882" t="s">
        <v>8503</v>
      </c>
      <c r="E126" s="1882" t="s">
        <v>8233</v>
      </c>
      <c r="F126" s="1882" t="s">
        <v>10848</v>
      </c>
      <c r="G126" s="1882"/>
      <c r="H126" s="1882"/>
      <c r="I126" s="1882"/>
      <c r="J126" s="1882"/>
      <c r="K126" s="1882"/>
      <c r="L126" s="1882"/>
      <c r="M126" s="1882"/>
      <c r="N126" s="1882"/>
      <c r="O126" s="1882"/>
      <c r="P126" s="1882" t="s">
        <v>11745</v>
      </c>
      <c r="Q126" s="1882" t="s">
        <v>11982</v>
      </c>
      <c r="R126" s="1882" t="s">
        <v>11982</v>
      </c>
      <c r="S126" s="1882">
        <v>116.54918801406053</v>
      </c>
      <c r="T126" s="1882" t="s">
        <v>732</v>
      </c>
      <c r="U126" s="1882">
        <v>2</v>
      </c>
      <c r="V126" s="1882"/>
      <c r="W126" s="1882">
        <v>99.95</v>
      </c>
      <c r="X126" s="1882">
        <v>99.96</v>
      </c>
      <c r="Y126" s="1882">
        <v>99.96</v>
      </c>
      <c r="Z126" s="1882">
        <v>100</v>
      </c>
      <c r="AA126" s="1882">
        <v>100</v>
      </c>
      <c r="AB126" s="1882">
        <v>100</v>
      </c>
      <c r="AC126" s="1882"/>
      <c r="AD126" s="1882"/>
      <c r="AE126" s="1882"/>
      <c r="AF126" s="1882"/>
      <c r="AG126" s="1882"/>
      <c r="AH126" s="1882"/>
      <c r="AI126" s="1882"/>
      <c r="AJ126" s="1882"/>
      <c r="AK126" s="1882"/>
      <c r="AL126" s="1882"/>
      <c r="AM126" s="1882"/>
      <c r="AN126" s="1882"/>
      <c r="AO126" s="1882"/>
      <c r="AP126" s="1882"/>
      <c r="AQ126" s="1882"/>
      <c r="AR126" s="1882">
        <v>99.96</v>
      </c>
      <c r="AS126" s="1882">
        <v>99.96</v>
      </c>
      <c r="AT126" s="1882" t="s">
        <v>2459</v>
      </c>
      <c r="AU126" s="1882">
        <v>99.96</v>
      </c>
      <c r="AV126" s="1882" t="s">
        <v>2459</v>
      </c>
      <c r="AW126" s="1882">
        <v>99.97</v>
      </c>
      <c r="AX126" s="1882" t="s">
        <v>2460</v>
      </c>
      <c r="AY126" s="1882">
        <v>99.93</v>
      </c>
      <c r="AZ126" s="1882" t="s">
        <v>2460</v>
      </c>
      <c r="BA126" s="1882"/>
      <c r="BB126" s="1882" t="s">
        <v>11983</v>
      </c>
    </row>
    <row r="127" spans="1:54">
      <c r="A127" s="1882" t="s">
        <v>10846</v>
      </c>
      <c r="B127" s="1882" t="s">
        <v>8352</v>
      </c>
      <c r="C127" s="1882" t="s">
        <v>10833</v>
      </c>
      <c r="D127" s="1882" t="s">
        <v>8503</v>
      </c>
      <c r="E127" s="1882" t="s">
        <v>8233</v>
      </c>
      <c r="F127" s="1882" t="s">
        <v>10848</v>
      </c>
      <c r="G127" s="1882"/>
      <c r="H127" s="1882"/>
      <c r="I127" s="1882"/>
      <c r="J127" s="1882"/>
      <c r="K127" s="1882"/>
      <c r="L127" s="1882"/>
      <c r="M127" s="1882"/>
      <c r="N127" s="1882"/>
      <c r="O127" s="1882"/>
      <c r="P127" s="1882" t="s">
        <v>11797</v>
      </c>
      <c r="Q127" s="1882" t="s">
        <v>11984</v>
      </c>
      <c r="R127" s="1882" t="s">
        <v>11747</v>
      </c>
      <c r="S127" s="1882">
        <v>4.482469859843901</v>
      </c>
      <c r="T127" s="1882" t="s">
        <v>732</v>
      </c>
      <c r="U127" s="1882">
        <v>2</v>
      </c>
      <c r="V127" s="1882"/>
      <c r="W127" s="1882">
        <v>99.88</v>
      </c>
      <c r="X127" s="1882">
        <v>99.88</v>
      </c>
      <c r="Y127" s="1882">
        <v>99.88</v>
      </c>
      <c r="Z127" s="1882">
        <v>99.88</v>
      </c>
      <c r="AA127" s="1882">
        <v>99.88</v>
      </c>
      <c r="AB127" s="1882">
        <v>99.88</v>
      </c>
      <c r="AC127" s="1882"/>
      <c r="AD127" s="1882"/>
      <c r="AE127" s="1882"/>
      <c r="AF127" s="1882"/>
      <c r="AG127" s="1882"/>
      <c r="AH127" s="1882"/>
      <c r="AI127" s="1882"/>
      <c r="AJ127" s="1882"/>
      <c r="AK127" s="1882"/>
      <c r="AL127" s="1882"/>
      <c r="AM127" s="1882"/>
      <c r="AN127" s="1882"/>
      <c r="AO127" s="1882"/>
      <c r="AP127" s="1882"/>
      <c r="AQ127" s="1882"/>
      <c r="AR127" s="1882">
        <v>99.93</v>
      </c>
      <c r="AS127" s="1882">
        <v>99.89</v>
      </c>
      <c r="AT127" s="1882" t="s">
        <v>2459</v>
      </c>
      <c r="AU127" s="1882">
        <v>99.85</v>
      </c>
      <c r="AV127" s="1882" t="s">
        <v>2460</v>
      </c>
      <c r="AW127" s="1882">
        <v>99.89</v>
      </c>
      <c r="AX127" s="1882" t="s">
        <v>2459</v>
      </c>
      <c r="AY127" s="1882">
        <v>99.86</v>
      </c>
      <c r="AZ127" s="1882" t="s">
        <v>2460</v>
      </c>
      <c r="BA127" s="1882"/>
      <c r="BB127" s="1882" t="s">
        <v>11985</v>
      </c>
    </row>
    <row r="128" spans="1:54">
      <c r="A128" s="1882" t="s">
        <v>10846</v>
      </c>
      <c r="B128" s="1882" t="s">
        <v>8352</v>
      </c>
      <c r="C128" s="1882" t="s">
        <v>10833</v>
      </c>
      <c r="D128" s="1882" t="s">
        <v>8503</v>
      </c>
      <c r="E128" s="1882" t="s">
        <v>8233</v>
      </c>
      <c r="F128" s="1882" t="s">
        <v>10848</v>
      </c>
      <c r="G128" s="1882"/>
      <c r="H128" s="1882"/>
      <c r="I128" s="1882"/>
      <c r="J128" s="1882"/>
      <c r="K128" s="1882"/>
      <c r="L128" s="1882"/>
      <c r="M128" s="1882"/>
      <c r="N128" s="1882"/>
      <c r="O128" s="1882"/>
      <c r="P128" s="1882" t="s">
        <v>11800</v>
      </c>
      <c r="Q128" s="1882" t="s">
        <v>11986</v>
      </c>
      <c r="R128" s="1882" t="s">
        <v>11987</v>
      </c>
      <c r="S128" s="1882">
        <v>-9.4406713099461359E-3</v>
      </c>
      <c r="T128" s="1882" t="s">
        <v>764</v>
      </c>
      <c r="U128" s="520" t="s">
        <v>2453</v>
      </c>
      <c r="V128" s="1882"/>
      <c r="W128" s="1882">
        <v>10387</v>
      </c>
      <c r="X128" s="1882">
        <v>9226</v>
      </c>
      <c r="Y128" s="1882">
        <v>8065</v>
      </c>
      <c r="Z128" s="1882">
        <v>6904</v>
      </c>
      <c r="AA128" s="1882">
        <v>6904</v>
      </c>
      <c r="AB128" s="1882">
        <v>6904</v>
      </c>
      <c r="AC128" s="1882"/>
      <c r="AD128" s="1882"/>
      <c r="AE128" s="1882"/>
      <c r="AF128" s="1882"/>
      <c r="AG128" s="1882"/>
      <c r="AH128" s="1882"/>
      <c r="AI128" s="1882"/>
      <c r="AJ128" s="1882"/>
      <c r="AK128" s="1882"/>
      <c r="AL128" s="1882"/>
      <c r="AM128" s="1882"/>
      <c r="AN128" s="1882"/>
      <c r="AO128" s="1882"/>
      <c r="AP128" s="1882"/>
      <c r="AQ128" s="1882"/>
      <c r="AR128" s="1882">
        <v>10436</v>
      </c>
      <c r="AS128" s="1882">
        <v>9171</v>
      </c>
      <c r="AT128" s="1882" t="s">
        <v>2459</v>
      </c>
      <c r="AU128" s="1882">
        <v>9605</v>
      </c>
      <c r="AV128" s="1882" t="s">
        <v>2460</v>
      </c>
      <c r="AW128" s="1882">
        <v>11652</v>
      </c>
      <c r="AX128" s="1882" t="s">
        <v>2460</v>
      </c>
      <c r="AY128" s="1882">
        <v>10923</v>
      </c>
      <c r="AZ128" s="1882" t="s">
        <v>2460</v>
      </c>
      <c r="BA128" s="1882"/>
      <c r="BB128" s="1882" t="s">
        <v>11988</v>
      </c>
    </row>
    <row r="129" spans="1:54">
      <c r="A129" s="1882" t="s">
        <v>10860</v>
      </c>
      <c r="B129" s="1882" t="s">
        <v>8352</v>
      </c>
      <c r="C129" s="1882" t="s">
        <v>10833</v>
      </c>
      <c r="D129" s="1882" t="s">
        <v>8503</v>
      </c>
      <c r="E129" s="1882" t="s">
        <v>7237</v>
      </c>
      <c r="F129" s="1882" t="s">
        <v>10862</v>
      </c>
      <c r="G129" s="1882" t="s">
        <v>8508</v>
      </c>
      <c r="H129" s="1882" t="s">
        <v>8569</v>
      </c>
      <c r="I129" s="1882" t="s">
        <v>10863</v>
      </c>
      <c r="J129" s="1882">
        <v>100</v>
      </c>
      <c r="K129" s="1882">
        <v>100</v>
      </c>
      <c r="L129" s="1882">
        <v>100</v>
      </c>
      <c r="M129" s="1882">
        <v>100</v>
      </c>
      <c r="N129" s="1882">
        <v>100</v>
      </c>
      <c r="O129" s="1882">
        <v>100</v>
      </c>
      <c r="P129" s="1882" t="s">
        <v>11728</v>
      </c>
      <c r="Q129" s="1882" t="s">
        <v>10862</v>
      </c>
      <c r="R129" s="1882"/>
      <c r="S129" s="1882">
        <v>134.14671860385499</v>
      </c>
      <c r="T129" s="1882" t="s">
        <v>8591</v>
      </c>
      <c r="U129" s="1882">
        <v>3</v>
      </c>
      <c r="V129" s="1882"/>
      <c r="W129" s="1882"/>
      <c r="X129" s="1882"/>
      <c r="Y129" s="1882"/>
      <c r="Z129" s="1882"/>
      <c r="AA129" s="1882"/>
      <c r="AB129" s="1882"/>
      <c r="AC129" s="1882"/>
      <c r="AD129" s="1882"/>
      <c r="AE129" s="1882"/>
      <c r="AF129" s="1882"/>
      <c r="AG129" s="1882"/>
      <c r="AH129" s="1882"/>
      <c r="AI129" s="1882"/>
      <c r="AJ129" s="1882"/>
      <c r="AK129" s="1882"/>
      <c r="AL129" s="1882"/>
      <c r="AM129" s="1882"/>
      <c r="AN129" s="1882"/>
      <c r="AO129" s="1882"/>
      <c r="AP129" s="1882"/>
      <c r="AQ129" s="1882"/>
      <c r="AR129" s="1882">
        <v>100.321</v>
      </c>
      <c r="AS129" s="1882">
        <v>16.446999999999999</v>
      </c>
      <c r="AT129" s="1882" t="s">
        <v>2460</v>
      </c>
      <c r="AU129" s="1882">
        <v>77.84</v>
      </c>
      <c r="AV129" s="1882" t="s">
        <v>2460</v>
      </c>
      <c r="AW129" s="1882">
        <v>70.826999999999998</v>
      </c>
      <c r="AX129" s="1882" t="s">
        <v>2460</v>
      </c>
      <c r="AY129" s="1882">
        <v>98.456999999999994</v>
      </c>
      <c r="AZ129" s="1882" t="s">
        <v>2460</v>
      </c>
      <c r="BA129" s="1882"/>
      <c r="BB129" s="1882" t="s">
        <v>11989</v>
      </c>
    </row>
    <row r="130" spans="1:54">
      <c r="A130" s="1882" t="s">
        <v>10860</v>
      </c>
      <c r="B130" s="1882" t="s">
        <v>8352</v>
      </c>
      <c r="C130" s="1882" t="s">
        <v>10833</v>
      </c>
      <c r="D130" s="1882" t="s">
        <v>8503</v>
      </c>
      <c r="E130" s="1882" t="s">
        <v>7237</v>
      </c>
      <c r="F130" s="1882" t="s">
        <v>10862</v>
      </c>
      <c r="G130" s="1882"/>
      <c r="H130" s="1882"/>
      <c r="I130" s="1882"/>
      <c r="J130" s="1882"/>
      <c r="K130" s="1882"/>
      <c r="L130" s="1882"/>
      <c r="M130" s="1882"/>
      <c r="N130" s="1882"/>
      <c r="O130" s="1882"/>
      <c r="P130" s="1882" t="s">
        <v>11730</v>
      </c>
      <c r="Q130" s="1882" t="s">
        <v>11990</v>
      </c>
      <c r="R130" s="1882" t="s">
        <v>11736</v>
      </c>
      <c r="S130" s="1882">
        <v>-2.0218155830946799E-3</v>
      </c>
      <c r="T130" s="1882" t="s">
        <v>764</v>
      </c>
      <c r="U130" s="520" t="s">
        <v>2453</v>
      </c>
      <c r="V130" s="1882"/>
      <c r="W130" s="1882">
        <v>5080</v>
      </c>
      <c r="X130" s="1882">
        <v>5080</v>
      </c>
      <c r="Y130" s="1882">
        <v>5080</v>
      </c>
      <c r="Z130" s="1882">
        <v>5080</v>
      </c>
      <c r="AA130" s="1882">
        <v>5080</v>
      </c>
      <c r="AB130" s="1882">
        <v>5080</v>
      </c>
      <c r="AC130" s="1882"/>
      <c r="AD130" s="1882"/>
      <c r="AE130" s="1882"/>
      <c r="AF130" s="1882"/>
      <c r="AG130" s="1882"/>
      <c r="AH130" s="1882"/>
      <c r="AI130" s="1882"/>
      <c r="AJ130" s="1882"/>
      <c r="AK130" s="1882"/>
      <c r="AL130" s="1882"/>
      <c r="AM130" s="1882"/>
      <c r="AN130" s="1882"/>
      <c r="AO130" s="1882"/>
      <c r="AP130" s="1882"/>
      <c r="AQ130" s="1882"/>
      <c r="AR130" s="1882">
        <v>5072</v>
      </c>
      <c r="AS130" s="1882">
        <v>4785</v>
      </c>
      <c r="AT130" s="1882" t="s">
        <v>2459</v>
      </c>
      <c r="AU130" s="1882">
        <v>4590</v>
      </c>
      <c r="AV130" s="1882" t="s">
        <v>2459</v>
      </c>
      <c r="AW130" s="1882">
        <v>4484</v>
      </c>
      <c r="AX130" s="1882" t="s">
        <v>2459</v>
      </c>
      <c r="AY130" s="1882">
        <v>5212</v>
      </c>
      <c r="AZ130" s="1882" t="s">
        <v>2460</v>
      </c>
      <c r="BA130" s="1882"/>
      <c r="BB130" s="1882" t="s">
        <v>11991</v>
      </c>
    </row>
    <row r="131" spans="1:54">
      <c r="A131" s="1882" t="s">
        <v>10860</v>
      </c>
      <c r="B131" s="1882" t="s">
        <v>8352</v>
      </c>
      <c r="C131" s="1882" t="s">
        <v>10833</v>
      </c>
      <c r="D131" s="1882" t="s">
        <v>8503</v>
      </c>
      <c r="E131" s="1882" t="s">
        <v>7237</v>
      </c>
      <c r="F131" s="1882" t="s">
        <v>10862</v>
      </c>
      <c r="G131" s="1882"/>
      <c r="H131" s="1882"/>
      <c r="I131" s="1882"/>
      <c r="J131" s="1882"/>
      <c r="K131" s="1882"/>
      <c r="L131" s="1882"/>
      <c r="M131" s="1882"/>
      <c r="N131" s="1882"/>
      <c r="O131" s="1882"/>
      <c r="P131" s="1882" t="s">
        <v>11734</v>
      </c>
      <c r="Q131" s="1882" t="s">
        <v>11992</v>
      </c>
      <c r="R131" s="1882" t="s">
        <v>11732</v>
      </c>
      <c r="S131" s="1882">
        <v>-7.9020174491108795E-3</v>
      </c>
      <c r="T131" s="1882" t="s">
        <v>764</v>
      </c>
      <c r="U131" s="520" t="s">
        <v>2453</v>
      </c>
      <c r="V131" s="1882"/>
      <c r="W131" s="1882">
        <v>730</v>
      </c>
      <c r="X131" s="1882">
        <v>730</v>
      </c>
      <c r="Y131" s="1882">
        <v>730</v>
      </c>
      <c r="Z131" s="1882">
        <v>730</v>
      </c>
      <c r="AA131" s="1882">
        <v>730</v>
      </c>
      <c r="AB131" s="1882">
        <v>730</v>
      </c>
      <c r="AC131" s="1882"/>
      <c r="AD131" s="1882"/>
      <c r="AE131" s="1882"/>
      <c r="AF131" s="1882"/>
      <c r="AG131" s="1882"/>
      <c r="AH131" s="1882"/>
      <c r="AI131" s="1882"/>
      <c r="AJ131" s="1882"/>
      <c r="AK131" s="1882"/>
      <c r="AL131" s="1882"/>
      <c r="AM131" s="1882"/>
      <c r="AN131" s="1882"/>
      <c r="AO131" s="1882"/>
      <c r="AP131" s="1882"/>
      <c r="AQ131" s="1882"/>
      <c r="AR131" s="1882">
        <v>723</v>
      </c>
      <c r="AS131" s="1882">
        <v>11431</v>
      </c>
      <c r="AT131" s="1882" t="s">
        <v>2460</v>
      </c>
      <c r="AU131" s="1882">
        <v>3759</v>
      </c>
      <c r="AV131" s="1882" t="s">
        <v>2460</v>
      </c>
      <c r="AW131" s="1882">
        <v>4631</v>
      </c>
      <c r="AX131" s="1882" t="s">
        <v>2460</v>
      </c>
      <c r="AY131" s="1882">
        <v>849</v>
      </c>
      <c r="AZ131" s="1882" t="s">
        <v>2460</v>
      </c>
      <c r="BA131" s="1882"/>
      <c r="BB131" s="1882" t="s">
        <v>11993</v>
      </c>
    </row>
    <row r="132" spans="1:54">
      <c r="A132" s="1882" t="s">
        <v>10860</v>
      </c>
      <c r="B132" s="1882" t="s">
        <v>8352</v>
      </c>
      <c r="C132" s="1882" t="s">
        <v>10833</v>
      </c>
      <c r="D132" s="1882" t="s">
        <v>8503</v>
      </c>
      <c r="E132" s="1882" t="s">
        <v>7237</v>
      </c>
      <c r="F132" s="1882" t="s">
        <v>10862</v>
      </c>
      <c r="G132" s="1882"/>
      <c r="H132" s="1882"/>
      <c r="I132" s="1882"/>
      <c r="J132" s="1882"/>
      <c r="K132" s="1882"/>
      <c r="L132" s="1882"/>
      <c r="M132" s="1882"/>
      <c r="N132" s="1882"/>
      <c r="O132" s="1882"/>
      <c r="P132" s="1882" t="s">
        <v>11741</v>
      </c>
      <c r="Q132" s="1882" t="s">
        <v>11994</v>
      </c>
      <c r="R132" s="1882" t="s">
        <v>11779</v>
      </c>
      <c r="S132" s="1882">
        <v>-8.4683375208154093E-3</v>
      </c>
      <c r="T132" s="1882" t="s">
        <v>764</v>
      </c>
      <c r="U132" s="520" t="s">
        <v>2453</v>
      </c>
      <c r="V132" s="1882"/>
      <c r="W132" s="1882">
        <v>272</v>
      </c>
      <c r="X132" s="1882">
        <v>272</v>
      </c>
      <c r="Y132" s="1882">
        <v>272</v>
      </c>
      <c r="Z132" s="1882">
        <v>272</v>
      </c>
      <c r="AA132" s="1882">
        <v>272</v>
      </c>
      <c r="AB132" s="1882">
        <v>272</v>
      </c>
      <c r="AC132" s="1882"/>
      <c r="AD132" s="1882"/>
      <c r="AE132" s="1882"/>
      <c r="AF132" s="1882"/>
      <c r="AG132" s="1882"/>
      <c r="AH132" s="1882"/>
      <c r="AI132" s="1882"/>
      <c r="AJ132" s="1882"/>
      <c r="AK132" s="1882"/>
      <c r="AL132" s="1882"/>
      <c r="AM132" s="1882"/>
      <c r="AN132" s="1882"/>
      <c r="AO132" s="1882"/>
      <c r="AP132" s="1882"/>
      <c r="AQ132" s="1882"/>
      <c r="AR132" s="1882">
        <v>225</v>
      </c>
      <c r="AS132" s="1882">
        <v>262</v>
      </c>
      <c r="AT132" s="1882" t="s">
        <v>2459</v>
      </c>
      <c r="AU132" s="1882">
        <v>345</v>
      </c>
      <c r="AV132" s="1882" t="s">
        <v>2460</v>
      </c>
      <c r="AW132" s="1882">
        <v>278</v>
      </c>
      <c r="AX132" s="1882" t="s">
        <v>2460</v>
      </c>
      <c r="AY132" s="1882">
        <v>262</v>
      </c>
      <c r="AZ132" s="1882" t="s">
        <v>2459</v>
      </c>
      <c r="BA132" s="1882"/>
      <c r="BB132" s="1882" t="s">
        <v>11995</v>
      </c>
    </row>
    <row r="133" spans="1:54">
      <c r="A133" s="1882" t="s">
        <v>10860</v>
      </c>
      <c r="B133" s="1882" t="s">
        <v>8352</v>
      </c>
      <c r="C133" s="1882" t="s">
        <v>10833</v>
      </c>
      <c r="D133" s="1882" t="s">
        <v>8503</v>
      </c>
      <c r="E133" s="1882" t="s">
        <v>7237</v>
      </c>
      <c r="F133" s="1882" t="s">
        <v>10862</v>
      </c>
      <c r="G133" s="1882"/>
      <c r="H133" s="1882"/>
      <c r="I133" s="1882"/>
      <c r="J133" s="1882"/>
      <c r="K133" s="1882"/>
      <c r="L133" s="1882"/>
      <c r="M133" s="1882"/>
      <c r="N133" s="1882"/>
      <c r="O133" s="1882"/>
      <c r="P133" s="1882" t="s">
        <v>11745</v>
      </c>
      <c r="Q133" s="1882" t="s">
        <v>11996</v>
      </c>
      <c r="R133" s="1882" t="s">
        <v>11987</v>
      </c>
      <c r="S133" s="1882">
        <v>-3.2925072704628701E-4</v>
      </c>
      <c r="T133" s="1882" t="s">
        <v>764</v>
      </c>
      <c r="U133" s="520" t="s">
        <v>2453</v>
      </c>
      <c r="V133" s="1882"/>
      <c r="W133" s="1882">
        <v>48000</v>
      </c>
      <c r="X133" s="1882">
        <v>48000</v>
      </c>
      <c r="Y133" s="1882">
        <v>48000</v>
      </c>
      <c r="Z133" s="1882">
        <v>48000</v>
      </c>
      <c r="AA133" s="1882">
        <v>48000</v>
      </c>
      <c r="AB133" s="1882">
        <v>48000</v>
      </c>
      <c r="AC133" s="1882"/>
      <c r="AD133" s="1882"/>
      <c r="AE133" s="1882"/>
      <c r="AF133" s="1882"/>
      <c r="AG133" s="1882"/>
      <c r="AH133" s="1882"/>
      <c r="AI133" s="1882"/>
      <c r="AJ133" s="1882"/>
      <c r="AK133" s="1882"/>
      <c r="AL133" s="1882"/>
      <c r="AM133" s="1882"/>
      <c r="AN133" s="1882"/>
      <c r="AO133" s="1882"/>
      <c r="AP133" s="1882"/>
      <c r="AQ133" s="1882"/>
      <c r="AR133" s="1882">
        <v>48452</v>
      </c>
      <c r="AS133" s="1882">
        <v>47011</v>
      </c>
      <c r="AT133" s="1882" t="s">
        <v>2459</v>
      </c>
      <c r="AU133" s="1882">
        <v>43740</v>
      </c>
      <c r="AV133" s="1882" t="s">
        <v>2459</v>
      </c>
      <c r="AW133" s="1882">
        <v>46487</v>
      </c>
      <c r="AX133" s="1882" t="s">
        <v>2459</v>
      </c>
      <c r="AY133" s="1882">
        <v>49278</v>
      </c>
      <c r="AZ133" s="1882" t="s">
        <v>2460</v>
      </c>
      <c r="BA133" s="1882"/>
      <c r="BB133" s="1882" t="s">
        <v>11997</v>
      </c>
    </row>
    <row r="134" spans="1:54">
      <c r="A134" s="1882" t="s">
        <v>10902</v>
      </c>
      <c r="B134" s="1882" t="s">
        <v>8352</v>
      </c>
      <c r="C134" s="1882" t="s">
        <v>10833</v>
      </c>
      <c r="D134" s="1882" t="s">
        <v>8720</v>
      </c>
      <c r="E134" s="1882" t="s">
        <v>9193</v>
      </c>
      <c r="F134" s="1882" t="s">
        <v>10905</v>
      </c>
      <c r="G134" s="1882" t="s">
        <v>8508</v>
      </c>
      <c r="H134" s="1882" t="s">
        <v>8724</v>
      </c>
      <c r="I134" s="1882" t="s">
        <v>10906</v>
      </c>
      <c r="J134" s="1882">
        <v>105.8</v>
      </c>
      <c r="K134" s="1882">
        <v>100</v>
      </c>
      <c r="L134" s="1882">
        <v>100</v>
      </c>
      <c r="M134" s="1882">
        <v>100</v>
      </c>
      <c r="N134" s="1882">
        <v>100</v>
      </c>
      <c r="O134" s="1882">
        <v>100</v>
      </c>
      <c r="P134" s="1882" t="s">
        <v>11728</v>
      </c>
      <c r="Q134" s="1882" t="s">
        <v>10905</v>
      </c>
      <c r="R134" s="1882"/>
      <c r="S134" s="1882" t="s">
        <v>11998</v>
      </c>
      <c r="T134" s="1882" t="s">
        <v>8591</v>
      </c>
      <c r="U134" s="1882">
        <v>2</v>
      </c>
      <c r="V134" s="1882"/>
      <c r="W134" s="1882"/>
      <c r="X134" s="1882"/>
      <c r="Y134" s="1882"/>
      <c r="Z134" s="1882"/>
      <c r="AA134" s="1882"/>
      <c r="AB134" s="1882"/>
      <c r="AC134" s="1882"/>
      <c r="AD134" s="1882"/>
      <c r="AE134" s="1882"/>
      <c r="AF134" s="1882"/>
      <c r="AG134" s="1882"/>
      <c r="AH134" s="1882"/>
      <c r="AI134" s="1882"/>
      <c r="AJ134" s="1882"/>
      <c r="AK134" s="1882"/>
      <c r="AL134" s="1882"/>
      <c r="AM134" s="1882"/>
      <c r="AN134" s="1882"/>
      <c r="AO134" s="1882"/>
      <c r="AP134" s="1882"/>
      <c r="AQ134" s="1882"/>
      <c r="AR134" s="1882">
        <v>95.2</v>
      </c>
      <c r="AS134" s="1882">
        <v>91.69</v>
      </c>
      <c r="AT134" s="1882" t="s">
        <v>2459</v>
      </c>
      <c r="AU134" s="1882">
        <v>91.9</v>
      </c>
      <c r="AV134" s="1882" t="s">
        <v>2459</v>
      </c>
      <c r="AW134" s="1882">
        <v>85</v>
      </c>
      <c r="AX134" s="1882" t="s">
        <v>2459</v>
      </c>
      <c r="AY134" s="1882">
        <v>89.27</v>
      </c>
      <c r="AZ134" s="1882" t="s">
        <v>2459</v>
      </c>
      <c r="BA134" s="1882"/>
      <c r="BB134" s="1882" t="s">
        <v>11999</v>
      </c>
    </row>
    <row r="135" spans="1:54">
      <c r="A135" s="1882" t="s">
        <v>10902</v>
      </c>
      <c r="B135" s="1882" t="s">
        <v>8352</v>
      </c>
      <c r="C135" s="1882" t="s">
        <v>10833</v>
      </c>
      <c r="D135" s="1882" t="s">
        <v>8720</v>
      </c>
      <c r="E135" s="1882" t="s">
        <v>9193</v>
      </c>
      <c r="F135" s="1882" t="s">
        <v>10905</v>
      </c>
      <c r="G135" s="1882"/>
      <c r="H135" s="1882"/>
      <c r="I135" s="1882"/>
      <c r="J135" s="1882"/>
      <c r="K135" s="1882"/>
      <c r="L135" s="1882"/>
      <c r="M135" s="1882"/>
      <c r="N135" s="1882"/>
      <c r="O135" s="1882"/>
      <c r="P135" s="1882" t="s">
        <v>11730</v>
      </c>
      <c r="Q135" s="1882" t="s">
        <v>12000</v>
      </c>
      <c r="R135" s="1882" t="s">
        <v>11766</v>
      </c>
      <c r="S135" s="1882">
        <v>59.3</v>
      </c>
      <c r="T135" s="1882" t="s">
        <v>764</v>
      </c>
      <c r="U135" s="520" t="s">
        <v>2453</v>
      </c>
      <c r="V135" s="1882"/>
      <c r="W135" s="1882">
        <v>15734</v>
      </c>
      <c r="X135" s="1882">
        <v>15734</v>
      </c>
      <c r="Y135" s="1882">
        <v>15734</v>
      </c>
      <c r="Z135" s="1882">
        <v>15734</v>
      </c>
      <c r="AA135" s="1882">
        <v>15734</v>
      </c>
      <c r="AB135" s="1882">
        <v>15734</v>
      </c>
      <c r="AC135" s="1882"/>
      <c r="AD135" s="1882"/>
      <c r="AE135" s="1882"/>
      <c r="AF135" s="1882"/>
      <c r="AG135" s="1882"/>
      <c r="AH135" s="1882"/>
      <c r="AI135" s="1882"/>
      <c r="AJ135" s="1882"/>
      <c r="AK135" s="1882"/>
      <c r="AL135" s="1882"/>
      <c r="AM135" s="1882"/>
      <c r="AN135" s="1882"/>
      <c r="AO135" s="1882"/>
      <c r="AP135" s="1882"/>
      <c r="AQ135" s="1882"/>
      <c r="AR135" s="1882">
        <v>14543</v>
      </c>
      <c r="AS135" s="1882">
        <v>13906</v>
      </c>
      <c r="AT135" s="1882" t="s">
        <v>2459</v>
      </c>
      <c r="AU135" s="1882">
        <v>14031</v>
      </c>
      <c r="AV135" s="1882" t="s">
        <v>2459</v>
      </c>
      <c r="AW135" s="1882">
        <v>13809</v>
      </c>
      <c r="AX135" s="1882" t="s">
        <v>2459</v>
      </c>
      <c r="AY135" s="1882">
        <v>14589</v>
      </c>
      <c r="AZ135" s="1882" t="s">
        <v>2459</v>
      </c>
      <c r="BA135" s="1882"/>
      <c r="BB135" s="1882" t="s">
        <v>12001</v>
      </c>
    </row>
    <row r="136" spans="1:54">
      <c r="A136" s="1882" t="s">
        <v>10902</v>
      </c>
      <c r="B136" s="1882" t="s">
        <v>8352</v>
      </c>
      <c r="C136" s="1882" t="s">
        <v>10833</v>
      </c>
      <c r="D136" s="1882" t="s">
        <v>8720</v>
      </c>
      <c r="E136" s="1882" t="s">
        <v>9193</v>
      </c>
      <c r="F136" s="1882" t="s">
        <v>10905</v>
      </c>
      <c r="G136" s="1882"/>
      <c r="H136" s="1882"/>
      <c r="I136" s="1882"/>
      <c r="J136" s="1882"/>
      <c r="K136" s="1882"/>
      <c r="L136" s="1882"/>
      <c r="M136" s="1882"/>
      <c r="N136" s="1882"/>
      <c r="O136" s="1882"/>
      <c r="P136" s="1882" t="s">
        <v>11734</v>
      </c>
      <c r="Q136" s="1882" t="s">
        <v>12002</v>
      </c>
      <c r="R136" s="1882" t="s">
        <v>11761</v>
      </c>
      <c r="S136" s="1882">
        <v>97.1</v>
      </c>
      <c r="T136" s="1882" t="s">
        <v>764</v>
      </c>
      <c r="U136" s="520" t="s">
        <v>2453</v>
      </c>
      <c r="V136" s="1882"/>
      <c r="W136" s="1882">
        <v>553</v>
      </c>
      <c r="X136" s="1882">
        <v>553</v>
      </c>
      <c r="Y136" s="1882">
        <v>553</v>
      </c>
      <c r="Z136" s="1882">
        <v>553</v>
      </c>
      <c r="AA136" s="1882">
        <v>553</v>
      </c>
      <c r="AB136" s="1882">
        <v>553</v>
      </c>
      <c r="AC136" s="1882"/>
      <c r="AD136" s="1882"/>
      <c r="AE136" s="1882"/>
      <c r="AF136" s="1882"/>
      <c r="AG136" s="1882"/>
      <c r="AH136" s="1882"/>
      <c r="AI136" s="1882"/>
      <c r="AJ136" s="1882"/>
      <c r="AK136" s="1882"/>
      <c r="AL136" s="1882"/>
      <c r="AM136" s="1882"/>
      <c r="AN136" s="1882"/>
      <c r="AO136" s="1882"/>
      <c r="AP136" s="1882"/>
      <c r="AQ136" s="1882"/>
      <c r="AR136" s="1882">
        <v>491</v>
      </c>
      <c r="AS136" s="1882">
        <v>361</v>
      </c>
      <c r="AT136" s="1882" t="s">
        <v>2459</v>
      </c>
      <c r="AU136" s="1882">
        <v>391</v>
      </c>
      <c r="AV136" s="1882" t="s">
        <v>2459</v>
      </c>
      <c r="AW136" s="1882">
        <v>302</v>
      </c>
      <c r="AX136" s="1882" t="s">
        <v>2459</v>
      </c>
      <c r="AY136" s="1882">
        <v>316</v>
      </c>
      <c r="AZ136" s="1882" t="s">
        <v>2459</v>
      </c>
      <c r="BA136" s="1882"/>
      <c r="BB136" s="1882" t="s">
        <v>12003</v>
      </c>
    </row>
    <row r="137" spans="1:54">
      <c r="A137" s="1882" t="s">
        <v>10902</v>
      </c>
      <c r="B137" s="1882" t="s">
        <v>8352</v>
      </c>
      <c r="C137" s="1882" t="s">
        <v>10833</v>
      </c>
      <c r="D137" s="1882" t="s">
        <v>8720</v>
      </c>
      <c r="E137" s="1882" t="s">
        <v>9193</v>
      </c>
      <c r="F137" s="1882" t="s">
        <v>10905</v>
      </c>
      <c r="G137" s="1882"/>
      <c r="H137" s="1882"/>
      <c r="I137" s="1882"/>
      <c r="J137" s="1882"/>
      <c r="K137" s="1882"/>
      <c r="L137" s="1882"/>
      <c r="M137" s="1882"/>
      <c r="N137" s="1882"/>
      <c r="O137" s="1882"/>
      <c r="P137" s="1882" t="s">
        <v>11741</v>
      </c>
      <c r="Q137" s="1882" t="s">
        <v>8760</v>
      </c>
      <c r="R137" s="1882" t="s">
        <v>11759</v>
      </c>
      <c r="S137" s="1882">
        <v>1516.3</v>
      </c>
      <c r="T137" s="1882" t="s">
        <v>764</v>
      </c>
      <c r="U137" s="520" t="s">
        <v>2453</v>
      </c>
      <c r="V137" s="1882"/>
      <c r="W137" s="1882">
        <v>4</v>
      </c>
      <c r="X137" s="1882">
        <v>4</v>
      </c>
      <c r="Y137" s="1882">
        <v>4</v>
      </c>
      <c r="Z137" s="1882">
        <v>4</v>
      </c>
      <c r="AA137" s="1882">
        <v>4</v>
      </c>
      <c r="AB137" s="1882">
        <v>4</v>
      </c>
      <c r="AC137" s="1882"/>
      <c r="AD137" s="1882"/>
      <c r="AE137" s="1882"/>
      <c r="AF137" s="1882"/>
      <c r="AG137" s="1882"/>
      <c r="AH137" s="1882"/>
      <c r="AI137" s="1882"/>
      <c r="AJ137" s="1882"/>
      <c r="AK137" s="1882"/>
      <c r="AL137" s="1882"/>
      <c r="AM137" s="1882"/>
      <c r="AN137" s="1882"/>
      <c r="AO137" s="1882"/>
      <c r="AP137" s="1882"/>
      <c r="AQ137" s="1882"/>
      <c r="AR137" s="1882">
        <v>3</v>
      </c>
      <c r="AS137" s="1882">
        <v>5</v>
      </c>
      <c r="AT137" s="1882" t="s">
        <v>2460</v>
      </c>
      <c r="AU137" s="1882">
        <v>1</v>
      </c>
      <c r="AV137" s="1882" t="s">
        <v>2459</v>
      </c>
      <c r="AW137" s="1882">
        <v>4</v>
      </c>
      <c r="AX137" s="1882" t="s">
        <v>2459</v>
      </c>
      <c r="AY137" s="1882">
        <v>2</v>
      </c>
      <c r="AZ137" s="1882" t="s">
        <v>2459</v>
      </c>
      <c r="BA137" s="1882"/>
      <c r="BB137" s="1882" t="s">
        <v>12004</v>
      </c>
    </row>
    <row r="138" spans="1:54">
      <c r="A138" s="1882" t="s">
        <v>10902</v>
      </c>
      <c r="B138" s="1882" t="s">
        <v>8352</v>
      </c>
      <c r="C138" s="1882" t="s">
        <v>10833</v>
      </c>
      <c r="D138" s="1882" t="s">
        <v>8720</v>
      </c>
      <c r="E138" s="1882" t="s">
        <v>9193</v>
      </c>
      <c r="F138" s="1882" t="s">
        <v>10905</v>
      </c>
      <c r="G138" s="1882"/>
      <c r="H138" s="1882"/>
      <c r="I138" s="1882"/>
      <c r="J138" s="1882"/>
      <c r="K138" s="1882"/>
      <c r="L138" s="1882"/>
      <c r="M138" s="1882"/>
      <c r="N138" s="1882"/>
      <c r="O138" s="1882"/>
      <c r="P138" s="1882" t="s">
        <v>11745</v>
      </c>
      <c r="Q138" s="1882" t="s">
        <v>12005</v>
      </c>
      <c r="R138" s="1882" t="s">
        <v>11764</v>
      </c>
      <c r="S138" s="1882">
        <v>297.5</v>
      </c>
      <c r="T138" s="1882" t="s">
        <v>764</v>
      </c>
      <c r="U138" s="520" t="s">
        <v>2453</v>
      </c>
      <c r="V138" s="1882"/>
      <c r="W138" s="1882">
        <v>473</v>
      </c>
      <c r="X138" s="1882">
        <v>473</v>
      </c>
      <c r="Y138" s="1882">
        <v>473</v>
      </c>
      <c r="Z138" s="1882">
        <v>473</v>
      </c>
      <c r="AA138" s="1882">
        <v>473</v>
      </c>
      <c r="AB138" s="1882">
        <v>473</v>
      </c>
      <c r="AC138" s="1882"/>
      <c r="AD138" s="1882"/>
      <c r="AE138" s="1882"/>
      <c r="AF138" s="1882"/>
      <c r="AG138" s="1882"/>
      <c r="AH138" s="1882"/>
      <c r="AI138" s="1882"/>
      <c r="AJ138" s="1882"/>
      <c r="AK138" s="1882"/>
      <c r="AL138" s="1882"/>
      <c r="AM138" s="1882"/>
      <c r="AN138" s="1882"/>
      <c r="AO138" s="1882"/>
      <c r="AP138" s="1882"/>
      <c r="AQ138" s="1882"/>
      <c r="AR138" s="1882">
        <v>387</v>
      </c>
      <c r="AS138" s="1882">
        <v>418</v>
      </c>
      <c r="AT138" s="1882" t="s">
        <v>2459</v>
      </c>
      <c r="AU138" s="1882">
        <v>415</v>
      </c>
      <c r="AV138" s="1882" t="s">
        <v>2460</v>
      </c>
      <c r="AW138" s="1882">
        <v>276</v>
      </c>
      <c r="AX138" s="1882" t="s">
        <v>2459</v>
      </c>
      <c r="AY138" s="1882">
        <v>308</v>
      </c>
      <c r="AZ138" s="1882" t="s">
        <v>2459</v>
      </c>
      <c r="BA138" s="1882"/>
      <c r="BB138" s="1882" t="s">
        <v>12006</v>
      </c>
    </row>
    <row r="139" spans="1:54">
      <c r="A139" s="1882" t="s">
        <v>10902</v>
      </c>
      <c r="B139" s="1882" t="s">
        <v>8352</v>
      </c>
      <c r="C139" s="1882" t="s">
        <v>10833</v>
      </c>
      <c r="D139" s="1882" t="s">
        <v>8720</v>
      </c>
      <c r="E139" s="1882" t="s">
        <v>9193</v>
      </c>
      <c r="F139" s="1882" t="s">
        <v>10905</v>
      </c>
      <c r="G139" s="1882"/>
      <c r="H139" s="1882"/>
      <c r="I139" s="1882"/>
      <c r="J139" s="1882"/>
      <c r="K139" s="1882"/>
      <c r="L139" s="1882"/>
      <c r="M139" s="1882"/>
      <c r="N139" s="1882"/>
      <c r="O139" s="1882"/>
      <c r="P139" s="1882" t="s">
        <v>11797</v>
      </c>
      <c r="Q139" s="1882" t="s">
        <v>12007</v>
      </c>
      <c r="R139" s="1882" t="s">
        <v>11842</v>
      </c>
      <c r="S139" s="1882">
        <v>46.6</v>
      </c>
      <c r="T139" s="1882" t="s">
        <v>764</v>
      </c>
      <c r="U139" s="520" t="s">
        <v>2453</v>
      </c>
      <c r="V139" s="1882"/>
      <c r="W139" s="1882">
        <v>5550</v>
      </c>
      <c r="X139" s="1882">
        <v>5550</v>
      </c>
      <c r="Y139" s="1882">
        <v>5550</v>
      </c>
      <c r="Z139" s="1882">
        <v>5550</v>
      </c>
      <c r="AA139" s="1882">
        <v>5550</v>
      </c>
      <c r="AB139" s="1882">
        <v>5550</v>
      </c>
      <c r="AC139" s="1882"/>
      <c r="AD139" s="1882"/>
      <c r="AE139" s="1882"/>
      <c r="AF139" s="1882"/>
      <c r="AG139" s="1882"/>
      <c r="AH139" s="1882"/>
      <c r="AI139" s="1882"/>
      <c r="AJ139" s="1882"/>
      <c r="AK139" s="1882"/>
      <c r="AL139" s="1882"/>
      <c r="AM139" s="1882"/>
      <c r="AN139" s="1882"/>
      <c r="AO139" s="1882"/>
      <c r="AP139" s="1882"/>
      <c r="AQ139" s="1882"/>
      <c r="AR139" s="1882">
        <v>4777</v>
      </c>
      <c r="AS139" s="1882">
        <v>4605</v>
      </c>
      <c r="AT139" s="1882" t="s">
        <v>2459</v>
      </c>
      <c r="AU139" s="1882">
        <v>4599</v>
      </c>
      <c r="AV139" s="1882" t="s">
        <v>2460</v>
      </c>
      <c r="AW139" s="1882">
        <v>3901</v>
      </c>
      <c r="AX139" s="1882" t="s">
        <v>2459</v>
      </c>
      <c r="AY139" s="1882">
        <v>3945</v>
      </c>
      <c r="AZ139" s="1882" t="s">
        <v>2459</v>
      </c>
      <c r="BA139" s="1882"/>
      <c r="BB139" s="1882" t="s">
        <v>12008</v>
      </c>
    </row>
    <row r="140" spans="1:54">
      <c r="A140" s="1882" t="s">
        <v>10908</v>
      </c>
      <c r="B140" s="1882" t="s">
        <v>8352</v>
      </c>
      <c r="C140" s="1882" t="s">
        <v>10833</v>
      </c>
      <c r="D140" s="1882" t="s">
        <v>8720</v>
      </c>
      <c r="E140" s="1882" t="s">
        <v>8721</v>
      </c>
      <c r="F140" s="1882" t="s">
        <v>10910</v>
      </c>
      <c r="G140" s="1882" t="s">
        <v>8519</v>
      </c>
      <c r="H140" s="1882" t="s">
        <v>8787</v>
      </c>
      <c r="I140" s="1882" t="s">
        <v>10911</v>
      </c>
      <c r="J140" s="1882">
        <v>108.4</v>
      </c>
      <c r="K140" s="1882">
        <v>106.2</v>
      </c>
      <c r="L140" s="1882">
        <v>103.2</v>
      </c>
      <c r="M140" s="1882">
        <v>99.4</v>
      </c>
      <c r="N140" s="1882">
        <v>95.6</v>
      </c>
      <c r="O140" s="1882">
        <v>93.4</v>
      </c>
      <c r="P140" s="1882" t="s">
        <v>11728</v>
      </c>
      <c r="Q140" s="1882" t="s">
        <v>10910</v>
      </c>
      <c r="R140" s="1882"/>
      <c r="S140" s="1882" t="s">
        <v>12009</v>
      </c>
      <c r="T140" s="1882" t="s">
        <v>8591</v>
      </c>
      <c r="U140" s="1882">
        <v>2</v>
      </c>
      <c r="V140" s="1882"/>
      <c r="W140" s="1882"/>
      <c r="X140" s="1882"/>
      <c r="Y140" s="1882"/>
      <c r="Z140" s="1882"/>
      <c r="AA140" s="1882"/>
      <c r="AB140" s="1882"/>
      <c r="AC140" s="1882"/>
      <c r="AD140" s="1882"/>
      <c r="AE140" s="1882"/>
      <c r="AF140" s="1882"/>
      <c r="AG140" s="1882"/>
      <c r="AH140" s="1882"/>
      <c r="AI140" s="1882"/>
      <c r="AJ140" s="1882"/>
      <c r="AK140" s="1882"/>
      <c r="AL140" s="1882"/>
      <c r="AM140" s="1882"/>
      <c r="AN140" s="1882"/>
      <c r="AO140" s="1882"/>
      <c r="AP140" s="1882"/>
      <c r="AQ140" s="1882"/>
      <c r="AR140" s="1882">
        <v>94.3</v>
      </c>
      <c r="AS140" s="1882">
        <v>90.95</v>
      </c>
      <c r="AT140" s="1882" t="s">
        <v>2459</v>
      </c>
      <c r="AU140" s="1882">
        <v>89.47</v>
      </c>
      <c r="AV140" s="1882" t="s">
        <v>2459</v>
      </c>
      <c r="AW140" s="1882">
        <v>86.17</v>
      </c>
      <c r="AX140" s="1882" t="s">
        <v>2459</v>
      </c>
      <c r="AY140" s="1882">
        <v>90.75</v>
      </c>
      <c r="AZ140" s="1882" t="s">
        <v>2459</v>
      </c>
      <c r="BA140" s="1882"/>
      <c r="BB140" s="1882" t="s">
        <v>12010</v>
      </c>
    </row>
    <row r="141" spans="1:54">
      <c r="A141" s="1882" t="s">
        <v>10908</v>
      </c>
      <c r="B141" s="1882" t="s">
        <v>8352</v>
      </c>
      <c r="C141" s="1882" t="s">
        <v>10833</v>
      </c>
      <c r="D141" s="1882" t="s">
        <v>8720</v>
      </c>
      <c r="E141" s="1882" t="s">
        <v>8721</v>
      </c>
      <c r="F141" s="1882" t="s">
        <v>10910</v>
      </c>
      <c r="G141" s="1882"/>
      <c r="H141" s="1882"/>
      <c r="I141" s="1882"/>
      <c r="J141" s="1882"/>
      <c r="K141" s="1882"/>
      <c r="L141" s="1882"/>
      <c r="M141" s="1882"/>
      <c r="N141" s="1882"/>
      <c r="O141" s="1882"/>
      <c r="P141" s="1882" t="s">
        <v>11730</v>
      </c>
      <c r="Q141" s="1882" t="s">
        <v>12000</v>
      </c>
      <c r="R141" s="1882" t="s">
        <v>11766</v>
      </c>
      <c r="S141" s="1882">
        <v>26.1</v>
      </c>
      <c r="T141" s="1882" t="s">
        <v>764</v>
      </c>
      <c r="U141" s="520" t="s">
        <v>2453</v>
      </c>
      <c r="V141" s="1882"/>
      <c r="W141" s="1882">
        <v>9000</v>
      </c>
      <c r="X141" s="1882">
        <v>8754</v>
      </c>
      <c r="Y141" s="1882">
        <v>8425</v>
      </c>
      <c r="Z141" s="1882">
        <v>8015</v>
      </c>
      <c r="AA141" s="1882">
        <v>7604</v>
      </c>
      <c r="AB141" s="1882">
        <v>7358</v>
      </c>
      <c r="AC141" s="1882"/>
      <c r="AD141" s="1882"/>
      <c r="AE141" s="1882"/>
      <c r="AF141" s="1882"/>
      <c r="AG141" s="1882"/>
      <c r="AH141" s="1882"/>
      <c r="AI141" s="1882"/>
      <c r="AJ141" s="1882"/>
      <c r="AK141" s="1882"/>
      <c r="AL141" s="1882"/>
      <c r="AM141" s="1882"/>
      <c r="AN141" s="1882"/>
      <c r="AO141" s="1882"/>
      <c r="AP141" s="1882"/>
      <c r="AQ141" s="1882"/>
      <c r="AR141" s="1882">
        <v>7877</v>
      </c>
      <c r="AS141" s="1882">
        <v>7473</v>
      </c>
      <c r="AT141" s="1882" t="s">
        <v>2459</v>
      </c>
      <c r="AU141" s="1882">
        <v>7469</v>
      </c>
      <c r="AV141" s="1882" t="s">
        <v>2459</v>
      </c>
      <c r="AW141" s="1882">
        <v>7047</v>
      </c>
      <c r="AX141" s="1882" t="s">
        <v>2459</v>
      </c>
      <c r="AY141" s="1882">
        <v>7276</v>
      </c>
      <c r="AZ141" s="1882" t="s">
        <v>2459</v>
      </c>
      <c r="BA141" s="1882"/>
      <c r="BB141" s="1882" t="s">
        <v>12001</v>
      </c>
    </row>
    <row r="142" spans="1:54">
      <c r="A142" s="1882" t="s">
        <v>10908</v>
      </c>
      <c r="B142" s="1882" t="s">
        <v>8352</v>
      </c>
      <c r="C142" s="1882" t="s">
        <v>10833</v>
      </c>
      <c r="D142" s="1882" t="s">
        <v>8720</v>
      </c>
      <c r="E142" s="1882" t="s">
        <v>8721</v>
      </c>
      <c r="F142" s="1882" t="s">
        <v>10910</v>
      </c>
      <c r="G142" s="1882"/>
      <c r="H142" s="1882"/>
      <c r="I142" s="1882"/>
      <c r="J142" s="1882"/>
      <c r="K142" s="1882"/>
      <c r="L142" s="1882"/>
      <c r="M142" s="1882"/>
      <c r="N142" s="1882"/>
      <c r="O142" s="1882"/>
      <c r="P142" s="1882" t="s">
        <v>11734</v>
      </c>
      <c r="Q142" s="1882" t="s">
        <v>12002</v>
      </c>
      <c r="R142" s="1882" t="s">
        <v>11761</v>
      </c>
      <c r="S142" s="1882">
        <v>97.1</v>
      </c>
      <c r="T142" s="1882" t="s">
        <v>764</v>
      </c>
      <c r="U142" s="520" t="s">
        <v>2453</v>
      </c>
      <c r="V142" s="1882"/>
      <c r="W142" s="1882">
        <v>444</v>
      </c>
      <c r="X142" s="1882">
        <v>444</v>
      </c>
      <c r="Y142" s="1882">
        <v>444</v>
      </c>
      <c r="Z142" s="1882">
        <v>444</v>
      </c>
      <c r="AA142" s="1882">
        <v>444</v>
      </c>
      <c r="AB142" s="1882">
        <v>444</v>
      </c>
      <c r="AC142" s="1882"/>
      <c r="AD142" s="1882"/>
      <c r="AE142" s="1882"/>
      <c r="AF142" s="1882"/>
      <c r="AG142" s="1882"/>
      <c r="AH142" s="1882"/>
      <c r="AI142" s="1882"/>
      <c r="AJ142" s="1882"/>
      <c r="AK142" s="1882"/>
      <c r="AL142" s="1882"/>
      <c r="AM142" s="1882"/>
      <c r="AN142" s="1882"/>
      <c r="AO142" s="1882"/>
      <c r="AP142" s="1882"/>
      <c r="AQ142" s="1882"/>
      <c r="AR142" s="1882">
        <v>314</v>
      </c>
      <c r="AS142" s="1882">
        <v>261</v>
      </c>
      <c r="AT142" s="1882" t="s">
        <v>2459</v>
      </c>
      <c r="AU142" s="1882">
        <v>268</v>
      </c>
      <c r="AV142" s="1882" t="s">
        <v>2459</v>
      </c>
      <c r="AW142" s="1882">
        <v>232</v>
      </c>
      <c r="AX142" s="1882" t="s">
        <v>2459</v>
      </c>
      <c r="AY142" s="1882">
        <v>239</v>
      </c>
      <c r="AZ142" s="1882" t="s">
        <v>2459</v>
      </c>
      <c r="BA142" s="1882"/>
      <c r="BB142" s="1882" t="s">
        <v>12003</v>
      </c>
    </row>
    <row r="143" spans="1:54">
      <c r="A143" s="1882" t="s">
        <v>10908</v>
      </c>
      <c r="B143" s="1882" t="s">
        <v>8352</v>
      </c>
      <c r="C143" s="1882" t="s">
        <v>10833</v>
      </c>
      <c r="D143" s="1882" t="s">
        <v>8720</v>
      </c>
      <c r="E143" s="1882" t="s">
        <v>8721</v>
      </c>
      <c r="F143" s="1882" t="s">
        <v>10910</v>
      </c>
      <c r="G143" s="1882"/>
      <c r="H143" s="1882"/>
      <c r="I143" s="1882"/>
      <c r="J143" s="1882"/>
      <c r="K143" s="1882"/>
      <c r="L143" s="1882"/>
      <c r="M143" s="1882"/>
      <c r="N143" s="1882"/>
      <c r="O143" s="1882"/>
      <c r="P143" s="1882" t="s">
        <v>11741</v>
      </c>
      <c r="Q143" s="1882" t="s">
        <v>12011</v>
      </c>
      <c r="R143" s="1882" t="s">
        <v>11761</v>
      </c>
      <c r="S143" s="1882">
        <v>485.2</v>
      </c>
      <c r="T143" s="1882" t="s">
        <v>764</v>
      </c>
      <c r="U143" s="520" t="s">
        <v>2453</v>
      </c>
      <c r="V143" s="1882"/>
      <c r="W143" s="1882">
        <v>40</v>
      </c>
      <c r="X143" s="1882">
        <v>40</v>
      </c>
      <c r="Y143" s="1882">
        <v>40</v>
      </c>
      <c r="Z143" s="1882">
        <v>40</v>
      </c>
      <c r="AA143" s="1882">
        <v>40</v>
      </c>
      <c r="AB143" s="1882">
        <v>40</v>
      </c>
      <c r="AC143" s="1882"/>
      <c r="AD143" s="1882"/>
      <c r="AE143" s="1882"/>
      <c r="AF143" s="1882"/>
      <c r="AG143" s="1882"/>
      <c r="AH143" s="1882"/>
      <c r="AI143" s="1882"/>
      <c r="AJ143" s="1882"/>
      <c r="AK143" s="1882"/>
      <c r="AL143" s="1882"/>
      <c r="AM143" s="1882"/>
      <c r="AN143" s="1882"/>
      <c r="AO143" s="1882"/>
      <c r="AP143" s="1882"/>
      <c r="AQ143" s="1882"/>
      <c r="AR143" s="1882">
        <v>48</v>
      </c>
      <c r="AS143" s="1882">
        <v>51</v>
      </c>
      <c r="AT143" s="1882" t="s">
        <v>2460</v>
      </c>
      <c r="AU143" s="1882">
        <v>46</v>
      </c>
      <c r="AV143" s="1882" t="s">
        <v>2459</v>
      </c>
      <c r="AW143" s="1882">
        <v>47</v>
      </c>
      <c r="AX143" s="1882" t="s">
        <v>2460</v>
      </c>
      <c r="AY143" s="1882">
        <v>53</v>
      </c>
      <c r="AZ143" s="1882" t="s">
        <v>2460</v>
      </c>
      <c r="BA143" s="1882"/>
      <c r="BB143" s="1882" t="s">
        <v>12012</v>
      </c>
    </row>
    <row r="144" spans="1:54">
      <c r="A144" s="1882" t="s">
        <v>10908</v>
      </c>
      <c r="B144" s="1882" t="s">
        <v>8352</v>
      </c>
      <c r="C144" s="1882" t="s">
        <v>10833</v>
      </c>
      <c r="D144" s="1882" t="s">
        <v>8720</v>
      </c>
      <c r="E144" s="1882" t="s">
        <v>8721</v>
      </c>
      <c r="F144" s="1882" t="s">
        <v>10910</v>
      </c>
      <c r="G144" s="1882"/>
      <c r="H144" s="1882"/>
      <c r="I144" s="1882"/>
      <c r="J144" s="1882"/>
      <c r="K144" s="1882"/>
      <c r="L144" s="1882"/>
      <c r="M144" s="1882"/>
      <c r="N144" s="1882"/>
      <c r="O144" s="1882"/>
      <c r="P144" s="1882" t="s">
        <v>11745</v>
      </c>
      <c r="Q144" s="1882" t="s">
        <v>11916</v>
      </c>
      <c r="R144" s="1882" t="s">
        <v>11917</v>
      </c>
      <c r="S144" s="1882">
        <v>6.3</v>
      </c>
      <c r="T144" s="1882" t="s">
        <v>764</v>
      </c>
      <c r="U144" s="520" t="s">
        <v>2453</v>
      </c>
      <c r="V144" s="1882"/>
      <c r="W144" s="1882">
        <v>2418</v>
      </c>
      <c r="X144" s="1882">
        <v>2403</v>
      </c>
      <c r="Y144" s="1882">
        <v>2383</v>
      </c>
      <c r="Z144" s="1882">
        <v>2358</v>
      </c>
      <c r="AA144" s="1882">
        <v>2333</v>
      </c>
      <c r="AB144" s="1882">
        <v>2318</v>
      </c>
      <c r="AC144" s="1882"/>
      <c r="AD144" s="1882"/>
      <c r="AE144" s="1882"/>
      <c r="AF144" s="1882"/>
      <c r="AG144" s="1882"/>
      <c r="AH144" s="1882"/>
      <c r="AI144" s="1882"/>
      <c r="AJ144" s="1882"/>
      <c r="AK144" s="1882"/>
      <c r="AL144" s="1882"/>
      <c r="AM144" s="1882"/>
      <c r="AN144" s="1882"/>
      <c r="AO144" s="1882"/>
      <c r="AP144" s="1882"/>
      <c r="AQ144" s="1882"/>
      <c r="AR144" s="1882">
        <v>2041</v>
      </c>
      <c r="AS144" s="1882">
        <v>2704</v>
      </c>
      <c r="AT144" s="1882" t="s">
        <v>2460</v>
      </c>
      <c r="AU144" s="1882">
        <v>2322</v>
      </c>
      <c r="AV144" s="1882" t="s">
        <v>2459</v>
      </c>
      <c r="AW144" s="1882">
        <v>3038</v>
      </c>
      <c r="AX144" s="1882" t="s">
        <v>2460</v>
      </c>
      <c r="AY144" s="1882">
        <v>3613</v>
      </c>
      <c r="AZ144" s="1882" t="s">
        <v>2460</v>
      </c>
      <c r="BA144" s="1882"/>
      <c r="BB144" s="1882" t="s">
        <v>12013</v>
      </c>
    </row>
    <row r="145" spans="1:54">
      <c r="A145" s="1882" t="s">
        <v>10919</v>
      </c>
      <c r="B145" s="1882" t="s">
        <v>8352</v>
      </c>
      <c r="C145" s="1882" t="s">
        <v>10833</v>
      </c>
      <c r="D145" s="1882" t="s">
        <v>8720</v>
      </c>
      <c r="E145" s="1882" t="s">
        <v>9208</v>
      </c>
      <c r="F145" s="1882" t="s">
        <v>10921</v>
      </c>
      <c r="G145" s="1882" t="s">
        <v>8508</v>
      </c>
      <c r="H145" s="1882" t="s">
        <v>8724</v>
      </c>
      <c r="I145" s="1882" t="s">
        <v>10922</v>
      </c>
      <c r="J145" s="1882">
        <v>101.6</v>
      </c>
      <c r="K145" s="1882">
        <v>93.1</v>
      </c>
      <c r="L145" s="1882">
        <v>83.9</v>
      </c>
      <c r="M145" s="1882">
        <v>73.900000000000006</v>
      </c>
      <c r="N145" s="1882">
        <v>70.3</v>
      </c>
      <c r="O145" s="1882">
        <v>68.099999999999994</v>
      </c>
      <c r="P145" s="1882" t="s">
        <v>11728</v>
      </c>
      <c r="Q145" s="1882" t="s">
        <v>10921</v>
      </c>
      <c r="R145" s="1882"/>
      <c r="S145" s="1882" t="s">
        <v>12014</v>
      </c>
      <c r="T145" s="1882" t="s">
        <v>8591</v>
      </c>
      <c r="U145" s="1882">
        <v>1</v>
      </c>
      <c r="V145" s="1882"/>
      <c r="W145" s="1882"/>
      <c r="X145" s="1882"/>
      <c r="Y145" s="1882"/>
      <c r="Z145" s="1882"/>
      <c r="AA145" s="1882"/>
      <c r="AB145" s="1882"/>
      <c r="AC145" s="1882"/>
      <c r="AD145" s="1882"/>
      <c r="AE145" s="1882"/>
      <c r="AF145" s="1882"/>
      <c r="AG145" s="1882"/>
      <c r="AH145" s="1882"/>
      <c r="AI145" s="1882"/>
      <c r="AJ145" s="1882"/>
      <c r="AK145" s="1882"/>
      <c r="AL145" s="1882"/>
      <c r="AM145" s="1882"/>
      <c r="AN145" s="1882"/>
      <c r="AO145" s="1882"/>
      <c r="AP145" s="1882"/>
      <c r="AQ145" s="1882"/>
      <c r="AR145" s="1882">
        <v>81.5</v>
      </c>
      <c r="AS145" s="1882">
        <v>100.8</v>
      </c>
      <c r="AT145" s="1882" t="s">
        <v>2460</v>
      </c>
      <c r="AU145" s="1882">
        <v>94.4</v>
      </c>
      <c r="AV145" s="1882" t="s">
        <v>2460</v>
      </c>
      <c r="AW145" s="1882">
        <v>70</v>
      </c>
      <c r="AX145" s="1882" t="s">
        <v>2459</v>
      </c>
      <c r="AY145" s="1882">
        <v>61.66</v>
      </c>
      <c r="AZ145" s="1882" t="s">
        <v>2459</v>
      </c>
      <c r="BA145" s="1882"/>
      <c r="BB145" s="1882" t="s">
        <v>12015</v>
      </c>
    </row>
    <row r="146" spans="1:54">
      <c r="A146" s="1882" t="s">
        <v>10919</v>
      </c>
      <c r="B146" s="1882" t="s">
        <v>8352</v>
      </c>
      <c r="C146" s="1882" t="s">
        <v>10833</v>
      </c>
      <c r="D146" s="1882" t="s">
        <v>8720</v>
      </c>
      <c r="E146" s="1882" t="s">
        <v>9208</v>
      </c>
      <c r="F146" s="1882" t="s">
        <v>10921</v>
      </c>
      <c r="G146" s="1882"/>
      <c r="H146" s="1882"/>
      <c r="I146" s="1882"/>
      <c r="J146" s="1882"/>
      <c r="K146" s="1882"/>
      <c r="L146" s="1882"/>
      <c r="M146" s="1882"/>
      <c r="N146" s="1882"/>
      <c r="O146" s="1882"/>
      <c r="P146" s="1882" t="s">
        <v>11730</v>
      </c>
      <c r="Q146" s="1882" t="s">
        <v>11911</v>
      </c>
      <c r="R146" s="1882" t="s">
        <v>11764</v>
      </c>
      <c r="S146" s="1882">
        <v>117.1</v>
      </c>
      <c r="T146" s="1882" t="s">
        <v>764</v>
      </c>
      <c r="U146" s="520" t="s">
        <v>2453</v>
      </c>
      <c r="V146" s="1882"/>
      <c r="W146" s="1882">
        <v>723</v>
      </c>
      <c r="X146" s="1882">
        <v>607</v>
      </c>
      <c r="Y146" s="1882">
        <v>491</v>
      </c>
      <c r="Z146" s="1882">
        <v>375</v>
      </c>
      <c r="AA146" s="1882">
        <v>375</v>
      </c>
      <c r="AB146" s="1882">
        <v>375</v>
      </c>
      <c r="AC146" s="1882"/>
      <c r="AD146" s="1882"/>
      <c r="AE146" s="1882"/>
      <c r="AF146" s="1882"/>
      <c r="AG146" s="1882"/>
      <c r="AH146" s="1882"/>
      <c r="AI146" s="1882"/>
      <c r="AJ146" s="1882"/>
      <c r="AK146" s="1882"/>
      <c r="AL146" s="1882"/>
      <c r="AM146" s="1882"/>
      <c r="AN146" s="1882"/>
      <c r="AO146" s="1882"/>
      <c r="AP146" s="1882"/>
      <c r="AQ146" s="1882"/>
      <c r="AR146" s="1882">
        <v>761</v>
      </c>
      <c r="AS146" s="1882">
        <v>839</v>
      </c>
      <c r="AT146" s="1882" t="s">
        <v>2460</v>
      </c>
      <c r="AU146" s="1882">
        <v>794</v>
      </c>
      <c r="AV146" s="1882" t="s">
        <v>2460</v>
      </c>
      <c r="AW146" s="1882">
        <v>559</v>
      </c>
      <c r="AX146" s="1882" t="s">
        <v>2460</v>
      </c>
      <c r="AY146" s="1882">
        <v>551</v>
      </c>
      <c r="AZ146" s="1882" t="s">
        <v>2460</v>
      </c>
      <c r="BA146" s="1882"/>
      <c r="BB146" s="1882" t="s">
        <v>12016</v>
      </c>
    </row>
    <row r="147" spans="1:54">
      <c r="A147" s="1882" t="s">
        <v>10919</v>
      </c>
      <c r="B147" s="1882" t="s">
        <v>8352</v>
      </c>
      <c r="C147" s="1882" t="s">
        <v>10833</v>
      </c>
      <c r="D147" s="1882" t="s">
        <v>8720</v>
      </c>
      <c r="E147" s="1882" t="s">
        <v>9208</v>
      </c>
      <c r="F147" s="1882" t="s">
        <v>10921</v>
      </c>
      <c r="G147" s="1882"/>
      <c r="H147" s="1882"/>
      <c r="I147" s="1882"/>
      <c r="J147" s="1882"/>
      <c r="K147" s="1882"/>
      <c r="L147" s="1882"/>
      <c r="M147" s="1882"/>
      <c r="N147" s="1882"/>
      <c r="O147" s="1882"/>
      <c r="P147" s="1882" t="s">
        <v>11734</v>
      </c>
      <c r="Q147" s="1882" t="s">
        <v>12017</v>
      </c>
      <c r="R147" s="1882" t="s">
        <v>11764</v>
      </c>
      <c r="S147" s="1882">
        <v>117.1</v>
      </c>
      <c r="T147" s="1882" t="s">
        <v>764</v>
      </c>
      <c r="U147" s="520" t="s">
        <v>2453</v>
      </c>
      <c r="V147" s="1882"/>
      <c r="W147" s="1882">
        <v>123</v>
      </c>
      <c r="X147" s="1882">
        <v>100</v>
      </c>
      <c r="Y147" s="1882">
        <v>78</v>
      </c>
      <c r="Z147" s="1882">
        <v>55</v>
      </c>
      <c r="AA147" s="1882">
        <v>55</v>
      </c>
      <c r="AB147" s="1882">
        <v>55</v>
      </c>
      <c r="AC147" s="1882"/>
      <c r="AD147" s="1882"/>
      <c r="AE147" s="1882"/>
      <c r="AF147" s="1882"/>
      <c r="AG147" s="1882"/>
      <c r="AH147" s="1882"/>
      <c r="AI147" s="1882"/>
      <c r="AJ147" s="1882"/>
      <c r="AK147" s="1882"/>
      <c r="AL147" s="1882"/>
      <c r="AM147" s="1882"/>
      <c r="AN147" s="1882"/>
      <c r="AO147" s="1882"/>
      <c r="AP147" s="1882"/>
      <c r="AQ147" s="1882"/>
      <c r="AR147" s="1882">
        <v>47</v>
      </c>
      <c r="AS147" s="1882">
        <v>147</v>
      </c>
      <c r="AT147" s="1882" t="s">
        <v>2460</v>
      </c>
      <c r="AU147" s="1882">
        <v>147</v>
      </c>
      <c r="AV147" s="1882" t="s">
        <v>2460</v>
      </c>
      <c r="AW147" s="1882">
        <v>91</v>
      </c>
      <c r="AX147" s="1882" t="s">
        <v>2460</v>
      </c>
      <c r="AY147" s="1882">
        <v>15</v>
      </c>
      <c r="AZ147" s="1882" t="s">
        <v>2459</v>
      </c>
      <c r="BA147" s="1882"/>
      <c r="BB147" s="1882" t="s">
        <v>12018</v>
      </c>
    </row>
    <row r="148" spans="1:54">
      <c r="A148" s="1882" t="s">
        <v>10919</v>
      </c>
      <c r="B148" s="1882" t="s">
        <v>8352</v>
      </c>
      <c r="C148" s="1882" t="s">
        <v>10833</v>
      </c>
      <c r="D148" s="1882" t="s">
        <v>8720</v>
      </c>
      <c r="E148" s="1882" t="s">
        <v>9208</v>
      </c>
      <c r="F148" s="1882" t="s">
        <v>10921</v>
      </c>
      <c r="G148" s="1882"/>
      <c r="H148" s="1882"/>
      <c r="I148" s="1882"/>
      <c r="J148" s="1882"/>
      <c r="K148" s="1882"/>
      <c r="L148" s="1882"/>
      <c r="M148" s="1882"/>
      <c r="N148" s="1882"/>
      <c r="O148" s="1882"/>
      <c r="P148" s="1882" t="s">
        <v>11741</v>
      </c>
      <c r="Q148" s="1882" t="s">
        <v>12019</v>
      </c>
      <c r="R148" s="1882" t="s">
        <v>11842</v>
      </c>
      <c r="S148" s="1882">
        <v>26.3</v>
      </c>
      <c r="T148" s="1882" t="s">
        <v>764</v>
      </c>
      <c r="U148" s="520" t="s">
        <v>2453</v>
      </c>
      <c r="V148" s="1882"/>
      <c r="W148" s="1882">
        <v>4000</v>
      </c>
      <c r="X148" s="1882">
        <v>3878</v>
      </c>
      <c r="Y148" s="1882">
        <v>3715</v>
      </c>
      <c r="Z148" s="1882">
        <v>3512</v>
      </c>
      <c r="AA148" s="1882">
        <v>3309</v>
      </c>
      <c r="AB148" s="1882">
        <v>3187</v>
      </c>
      <c r="AC148" s="1882"/>
      <c r="AD148" s="1882"/>
      <c r="AE148" s="1882"/>
      <c r="AF148" s="1882"/>
      <c r="AG148" s="1882"/>
      <c r="AH148" s="1882"/>
      <c r="AI148" s="1882"/>
      <c r="AJ148" s="1882"/>
      <c r="AK148" s="1882"/>
      <c r="AL148" s="1882"/>
      <c r="AM148" s="1882"/>
      <c r="AN148" s="1882"/>
      <c r="AO148" s="1882"/>
      <c r="AP148" s="1882"/>
      <c r="AQ148" s="1882"/>
      <c r="AR148" s="1882">
        <v>3571</v>
      </c>
      <c r="AS148" s="1882">
        <v>3391</v>
      </c>
      <c r="AT148" s="1882" t="s">
        <v>2459</v>
      </c>
      <c r="AU148" s="1882">
        <v>3274</v>
      </c>
      <c r="AV148" s="1882" t="s">
        <v>2459</v>
      </c>
      <c r="AW148" s="1882">
        <v>2863</v>
      </c>
      <c r="AX148" s="1882" t="s">
        <v>2459</v>
      </c>
      <c r="AY148" s="1882">
        <v>2849</v>
      </c>
      <c r="AZ148" s="1882" t="s">
        <v>2459</v>
      </c>
      <c r="BA148" s="1882"/>
      <c r="BB148" s="1882" t="s">
        <v>12020</v>
      </c>
    </row>
    <row r="149" spans="1:54">
      <c r="A149" s="1882" t="s">
        <v>10919</v>
      </c>
      <c r="B149" s="1882" t="s">
        <v>8352</v>
      </c>
      <c r="C149" s="1882" t="s">
        <v>10833</v>
      </c>
      <c r="D149" s="1882" t="s">
        <v>8720</v>
      </c>
      <c r="E149" s="1882" t="s">
        <v>9208</v>
      </c>
      <c r="F149" s="1882" t="s">
        <v>10921</v>
      </c>
      <c r="G149" s="1882"/>
      <c r="H149" s="1882"/>
      <c r="I149" s="1882"/>
      <c r="J149" s="1882"/>
      <c r="K149" s="1882"/>
      <c r="L149" s="1882"/>
      <c r="M149" s="1882"/>
      <c r="N149" s="1882"/>
      <c r="O149" s="1882"/>
      <c r="P149" s="1882" t="s">
        <v>11745</v>
      </c>
      <c r="Q149" s="1882" t="s">
        <v>12021</v>
      </c>
      <c r="R149" s="1882" t="s">
        <v>11842</v>
      </c>
      <c r="S149" s="1882">
        <v>26.3</v>
      </c>
      <c r="T149" s="1882" t="s">
        <v>764</v>
      </c>
      <c r="U149" s="520" t="s">
        <v>2453</v>
      </c>
      <c r="V149" s="1882"/>
      <c r="W149" s="1882">
        <v>499</v>
      </c>
      <c r="X149" s="1882">
        <v>499</v>
      </c>
      <c r="Y149" s="1882">
        <v>499</v>
      </c>
      <c r="Z149" s="1882">
        <v>499</v>
      </c>
      <c r="AA149" s="1882">
        <v>499</v>
      </c>
      <c r="AB149" s="1882">
        <v>499</v>
      </c>
      <c r="AC149" s="1882"/>
      <c r="AD149" s="1882"/>
      <c r="AE149" s="1882"/>
      <c r="AF149" s="1882"/>
      <c r="AG149" s="1882"/>
      <c r="AH149" s="1882"/>
      <c r="AI149" s="1882"/>
      <c r="AJ149" s="1882"/>
      <c r="AK149" s="1882"/>
      <c r="AL149" s="1882"/>
      <c r="AM149" s="1882"/>
      <c r="AN149" s="1882"/>
      <c r="AO149" s="1882"/>
      <c r="AP149" s="1882"/>
      <c r="AQ149" s="1882"/>
      <c r="AR149" s="1882">
        <v>179</v>
      </c>
      <c r="AS149" s="1882">
        <v>455</v>
      </c>
      <c r="AT149" s="1882" t="s">
        <v>2459</v>
      </c>
      <c r="AU149" s="1882">
        <v>215</v>
      </c>
      <c r="AV149" s="1882" t="s">
        <v>2459</v>
      </c>
      <c r="AW149" s="1882">
        <v>212</v>
      </c>
      <c r="AX149" s="1882" t="s">
        <v>2459</v>
      </c>
      <c r="AY149" s="1882">
        <v>145</v>
      </c>
      <c r="AZ149" s="1882" t="s">
        <v>2459</v>
      </c>
      <c r="BA149" s="1882"/>
      <c r="BB149" s="1882" t="s">
        <v>12022</v>
      </c>
    </row>
    <row r="150" spans="1:54">
      <c r="A150" s="1882" t="s">
        <v>10919</v>
      </c>
      <c r="B150" s="1882" t="s">
        <v>8352</v>
      </c>
      <c r="C150" s="1882" t="s">
        <v>10833</v>
      </c>
      <c r="D150" s="1882" t="s">
        <v>8720</v>
      </c>
      <c r="E150" s="1882" t="s">
        <v>9208</v>
      </c>
      <c r="F150" s="1882" t="s">
        <v>10921</v>
      </c>
      <c r="G150" s="1882"/>
      <c r="H150" s="1882"/>
      <c r="I150" s="1882"/>
      <c r="J150" s="1882"/>
      <c r="K150" s="1882"/>
      <c r="L150" s="1882"/>
      <c r="M150" s="1882"/>
      <c r="N150" s="1882"/>
      <c r="O150" s="1882"/>
      <c r="P150" s="1882" t="s">
        <v>11797</v>
      </c>
      <c r="Q150" s="1882" t="s">
        <v>12023</v>
      </c>
      <c r="R150" s="1882" t="s">
        <v>12024</v>
      </c>
      <c r="S150" s="1882">
        <v>117.1</v>
      </c>
      <c r="T150" s="1882" t="s">
        <v>764</v>
      </c>
      <c r="U150" s="520" t="s">
        <v>2453</v>
      </c>
      <c r="V150" s="1882"/>
      <c r="W150" s="1882">
        <v>388</v>
      </c>
      <c r="X150" s="1882">
        <v>367</v>
      </c>
      <c r="Y150" s="1882">
        <v>338</v>
      </c>
      <c r="Z150" s="1882">
        <v>303</v>
      </c>
      <c r="AA150" s="1882">
        <v>267</v>
      </c>
      <c r="AB150" s="1882">
        <v>246</v>
      </c>
      <c r="AC150" s="1882"/>
      <c r="AD150" s="1882"/>
      <c r="AE150" s="1882"/>
      <c r="AF150" s="1882"/>
      <c r="AG150" s="1882"/>
      <c r="AH150" s="1882"/>
      <c r="AI150" s="1882"/>
      <c r="AJ150" s="1882"/>
      <c r="AK150" s="1882"/>
      <c r="AL150" s="1882"/>
      <c r="AM150" s="1882"/>
      <c r="AN150" s="1882"/>
      <c r="AO150" s="1882"/>
      <c r="AP150" s="1882"/>
      <c r="AQ150" s="1882"/>
      <c r="AR150" s="1882">
        <v>247</v>
      </c>
      <c r="AS150" s="1882">
        <v>377</v>
      </c>
      <c r="AT150" s="1882" t="s">
        <v>2460</v>
      </c>
      <c r="AU150" s="1882">
        <v>362</v>
      </c>
      <c r="AV150" s="1882" t="s">
        <v>2460</v>
      </c>
      <c r="AW150" s="1882">
        <v>206</v>
      </c>
      <c r="AX150" s="1882" t="s">
        <v>2459</v>
      </c>
      <c r="AY150" s="1882">
        <v>124</v>
      </c>
      <c r="AZ150" s="1882" t="s">
        <v>2459</v>
      </c>
      <c r="BA150" s="1882"/>
      <c r="BB150" s="1882" t="s">
        <v>12025</v>
      </c>
    </row>
    <row r="151" spans="1:54">
      <c r="A151" s="1882" t="s">
        <v>10935</v>
      </c>
      <c r="B151" s="1882" t="s">
        <v>8352</v>
      </c>
      <c r="C151" s="1882" t="s">
        <v>10833</v>
      </c>
      <c r="D151" s="1882" t="s">
        <v>8720</v>
      </c>
      <c r="E151" s="1882" t="s">
        <v>8774</v>
      </c>
      <c r="F151" s="1882" t="s">
        <v>12026</v>
      </c>
      <c r="G151" s="1882" t="s">
        <v>8519</v>
      </c>
      <c r="H151" s="1882" t="s">
        <v>8673</v>
      </c>
      <c r="I151" s="1882" t="s">
        <v>10938</v>
      </c>
      <c r="J151" s="1882">
        <v>113.97</v>
      </c>
      <c r="K151" s="1882">
        <v>83</v>
      </c>
      <c r="L151" s="1882">
        <v>83</v>
      </c>
      <c r="M151" s="1882">
        <v>83</v>
      </c>
      <c r="N151" s="1882">
        <v>54.32</v>
      </c>
      <c r="O151" s="1882">
        <v>46.13</v>
      </c>
      <c r="P151" s="1882" t="s">
        <v>11728</v>
      </c>
      <c r="Q151" s="1882" t="s">
        <v>12026</v>
      </c>
      <c r="R151" s="1882"/>
      <c r="S151" s="1882"/>
      <c r="T151" s="1882" t="s">
        <v>8591</v>
      </c>
      <c r="U151" s="1882">
        <v>4</v>
      </c>
      <c r="V151" s="1882"/>
      <c r="W151" s="1882"/>
      <c r="X151" s="1882"/>
      <c r="Y151" s="1882"/>
      <c r="Z151" s="1882"/>
      <c r="AA151" s="1882"/>
      <c r="AB151" s="1882"/>
      <c r="AC151" s="1882"/>
      <c r="AD151" s="1882"/>
      <c r="AE151" s="1882"/>
      <c r="AF151" s="1882"/>
      <c r="AG151" s="1882"/>
      <c r="AH151" s="1882"/>
      <c r="AI151" s="1882"/>
      <c r="AJ151" s="1882"/>
      <c r="AK151" s="1882"/>
      <c r="AL151" s="1882"/>
      <c r="AM151" s="1882"/>
      <c r="AN151" s="1882"/>
      <c r="AO151" s="1882"/>
      <c r="AP151" s="1882"/>
      <c r="AQ151" s="1882"/>
      <c r="AR151" s="1882">
        <v>94.99</v>
      </c>
      <c r="AS151" s="1882">
        <v>91.484999999999999</v>
      </c>
      <c r="AT151" s="1882" t="s">
        <v>2460</v>
      </c>
      <c r="AU151" s="1882">
        <v>58.708199999999998</v>
      </c>
      <c r="AV151" s="1882" t="s">
        <v>2459</v>
      </c>
      <c r="AW151" s="1882">
        <v>30.468</v>
      </c>
      <c r="AX151" s="1882" t="s">
        <v>2459</v>
      </c>
      <c r="AY151" s="1882">
        <v>39.166499999999999</v>
      </c>
      <c r="AZ151" s="1882" t="s">
        <v>2459</v>
      </c>
      <c r="BA151" s="1882"/>
      <c r="BB151" s="1882" t="s">
        <v>12027</v>
      </c>
    </row>
    <row r="152" spans="1:54">
      <c r="A152" s="1882" t="s">
        <v>10935</v>
      </c>
      <c r="B152" s="1882" t="s">
        <v>8352</v>
      </c>
      <c r="C152" s="1882" t="s">
        <v>10833</v>
      </c>
      <c r="D152" s="1882" t="s">
        <v>8720</v>
      </c>
      <c r="E152" s="1882" t="s">
        <v>8774</v>
      </c>
      <c r="F152" s="1882" t="s">
        <v>12026</v>
      </c>
      <c r="G152" s="1882"/>
      <c r="H152" s="1882"/>
      <c r="I152" s="1882"/>
      <c r="J152" s="1882"/>
      <c r="K152" s="1882"/>
      <c r="L152" s="1882"/>
      <c r="M152" s="1882"/>
      <c r="N152" s="1882"/>
      <c r="O152" s="1882"/>
      <c r="P152" s="1882" t="s">
        <v>11730</v>
      </c>
      <c r="Q152" s="1882" t="s">
        <v>12028</v>
      </c>
      <c r="R152" s="1882" t="s">
        <v>12029</v>
      </c>
      <c r="S152" s="1882">
        <v>4.0967000000000002</v>
      </c>
      <c r="T152" s="1882" t="s">
        <v>8591</v>
      </c>
      <c r="U152" s="1882">
        <v>4</v>
      </c>
      <c r="V152" s="1882"/>
      <c r="W152" s="1882">
        <v>0</v>
      </c>
      <c r="X152" s="1882">
        <v>1</v>
      </c>
      <c r="Y152" s="1882">
        <v>1</v>
      </c>
      <c r="Z152" s="1882">
        <v>1</v>
      </c>
      <c r="AA152" s="1882">
        <v>0</v>
      </c>
      <c r="AB152" s="1882">
        <v>0</v>
      </c>
      <c r="AC152" s="1882"/>
      <c r="AD152" s="1882"/>
      <c r="AE152" s="1882"/>
      <c r="AF152" s="1882"/>
      <c r="AG152" s="1882"/>
      <c r="AH152" s="1882"/>
      <c r="AI152" s="1882"/>
      <c r="AJ152" s="1882"/>
      <c r="AK152" s="1882"/>
      <c r="AL152" s="1882"/>
      <c r="AM152" s="1882"/>
      <c r="AN152" s="1882"/>
      <c r="AO152" s="1882"/>
      <c r="AP152" s="1882"/>
      <c r="AQ152" s="1882"/>
      <c r="AR152" s="1882"/>
      <c r="AS152" s="1882">
        <v>0</v>
      </c>
      <c r="AT152" s="1882" t="s">
        <v>2459</v>
      </c>
      <c r="AU152" s="1882">
        <v>2</v>
      </c>
      <c r="AV152" s="1882" t="s">
        <v>2460</v>
      </c>
      <c r="AW152" s="1882">
        <v>12.290100000000001</v>
      </c>
      <c r="AX152" s="1882" t="s">
        <v>2459</v>
      </c>
      <c r="AY152" s="1882">
        <v>4.0967000000000002</v>
      </c>
      <c r="AZ152" s="1882" t="s">
        <v>2460</v>
      </c>
      <c r="BA152" s="1882"/>
      <c r="BB152" s="1882" t="s">
        <v>12030</v>
      </c>
    </row>
    <row r="153" spans="1:54">
      <c r="A153" s="1882" t="s">
        <v>10935</v>
      </c>
      <c r="B153" s="1882" t="s">
        <v>8352</v>
      </c>
      <c r="C153" s="1882" t="s">
        <v>10833</v>
      </c>
      <c r="D153" s="1882" t="s">
        <v>8720</v>
      </c>
      <c r="E153" s="1882" t="s">
        <v>8774</v>
      </c>
      <c r="F153" s="1882" t="s">
        <v>12026</v>
      </c>
      <c r="G153" s="1882"/>
      <c r="H153" s="1882"/>
      <c r="I153" s="1882"/>
      <c r="J153" s="1882"/>
      <c r="K153" s="1882"/>
      <c r="L153" s="1882"/>
      <c r="M153" s="1882"/>
      <c r="N153" s="1882"/>
      <c r="O153" s="1882"/>
      <c r="P153" s="1882" t="s">
        <v>11734</v>
      </c>
      <c r="Q153" s="1882" t="s">
        <v>12031</v>
      </c>
      <c r="R153" s="1882" t="s">
        <v>12029</v>
      </c>
      <c r="S153" s="1882">
        <v>8.1934000000000005</v>
      </c>
      <c r="T153" s="1882" t="s">
        <v>8591</v>
      </c>
      <c r="U153" s="1882">
        <v>4</v>
      </c>
      <c r="V153" s="1882"/>
      <c r="W153" s="1882">
        <v>0</v>
      </c>
      <c r="X153" s="1882">
        <v>1</v>
      </c>
      <c r="Y153" s="1882">
        <v>1</v>
      </c>
      <c r="Z153" s="1882">
        <v>1</v>
      </c>
      <c r="AA153" s="1882">
        <v>1</v>
      </c>
      <c r="AB153" s="1882">
        <v>0</v>
      </c>
      <c r="AC153" s="1882"/>
      <c r="AD153" s="1882"/>
      <c r="AE153" s="1882"/>
      <c r="AF153" s="1882"/>
      <c r="AG153" s="1882"/>
      <c r="AH153" s="1882"/>
      <c r="AI153" s="1882"/>
      <c r="AJ153" s="1882"/>
      <c r="AK153" s="1882"/>
      <c r="AL153" s="1882"/>
      <c r="AM153" s="1882"/>
      <c r="AN153" s="1882"/>
      <c r="AO153" s="1882"/>
      <c r="AP153" s="1882"/>
      <c r="AQ153" s="1882"/>
      <c r="AR153" s="1882"/>
      <c r="AS153" s="1882">
        <v>2</v>
      </c>
      <c r="AT153" s="1882" t="s">
        <v>2460</v>
      </c>
      <c r="AU153" s="1882">
        <v>0</v>
      </c>
      <c r="AV153" s="1882" t="s">
        <v>2459</v>
      </c>
      <c r="AW153" s="1882">
        <v>0</v>
      </c>
      <c r="AX153" s="1882" t="s">
        <v>2459</v>
      </c>
      <c r="AY153" s="1882">
        <v>0</v>
      </c>
      <c r="AZ153" s="1882" t="s">
        <v>2459</v>
      </c>
      <c r="BA153" s="1882"/>
      <c r="BB153" s="1882" t="s">
        <v>12032</v>
      </c>
    </row>
    <row r="154" spans="1:54">
      <c r="A154" s="1882" t="s">
        <v>10935</v>
      </c>
      <c r="B154" s="1882" t="s">
        <v>8352</v>
      </c>
      <c r="C154" s="1882" t="s">
        <v>10833</v>
      </c>
      <c r="D154" s="1882" t="s">
        <v>8720</v>
      </c>
      <c r="E154" s="1882" t="s">
        <v>8774</v>
      </c>
      <c r="F154" s="1882" t="s">
        <v>12026</v>
      </c>
      <c r="G154" s="1882"/>
      <c r="H154" s="1882"/>
      <c r="I154" s="1882"/>
      <c r="J154" s="1882"/>
      <c r="K154" s="1882"/>
      <c r="L154" s="1882"/>
      <c r="M154" s="1882"/>
      <c r="N154" s="1882"/>
      <c r="O154" s="1882"/>
      <c r="P154" s="1882" t="s">
        <v>11741</v>
      </c>
      <c r="Q154" s="1882" t="s">
        <v>12033</v>
      </c>
      <c r="R154" s="1882" t="s">
        <v>12029</v>
      </c>
      <c r="S154" s="1882">
        <v>16.386700000000001</v>
      </c>
      <c r="T154" s="1882" t="s">
        <v>8591</v>
      </c>
      <c r="U154" s="1882">
        <v>4</v>
      </c>
      <c r="V154" s="1882"/>
      <c r="W154" s="1882">
        <v>6</v>
      </c>
      <c r="X154" s="1882">
        <v>1</v>
      </c>
      <c r="Y154" s="1882">
        <v>1</v>
      </c>
      <c r="Z154" s="1882">
        <v>1</v>
      </c>
      <c r="AA154" s="1882">
        <v>2</v>
      </c>
      <c r="AB154" s="1882">
        <v>2</v>
      </c>
      <c r="AC154" s="1882"/>
      <c r="AD154" s="1882"/>
      <c r="AE154" s="1882"/>
      <c r="AF154" s="1882"/>
      <c r="AG154" s="1882"/>
      <c r="AH154" s="1882"/>
      <c r="AI154" s="1882"/>
      <c r="AJ154" s="1882"/>
      <c r="AK154" s="1882"/>
      <c r="AL154" s="1882"/>
      <c r="AM154" s="1882"/>
      <c r="AN154" s="1882"/>
      <c r="AO154" s="1882"/>
      <c r="AP154" s="1882"/>
      <c r="AQ154" s="1882"/>
      <c r="AR154" s="1882"/>
      <c r="AS154" s="1882">
        <v>2</v>
      </c>
      <c r="AT154" s="1882" t="s">
        <v>2460</v>
      </c>
      <c r="AU154" s="1882">
        <v>3</v>
      </c>
      <c r="AV154" s="1882" t="s">
        <v>2459</v>
      </c>
      <c r="AW154" s="1882">
        <v>16.386700000000001</v>
      </c>
      <c r="AX154" s="1882" t="s">
        <v>2459</v>
      </c>
      <c r="AY154" s="1882">
        <v>32.773400000000002</v>
      </c>
      <c r="AZ154" s="1882" t="s">
        <v>2459</v>
      </c>
      <c r="BA154" s="1882"/>
      <c r="BB154" s="1882" t="s">
        <v>12034</v>
      </c>
    </row>
    <row r="155" spans="1:54">
      <c r="A155" s="1882" t="s">
        <v>10935</v>
      </c>
      <c r="B155" s="1882" t="s">
        <v>8352</v>
      </c>
      <c r="C155" s="1882" t="s">
        <v>10833</v>
      </c>
      <c r="D155" s="1882" t="s">
        <v>8720</v>
      </c>
      <c r="E155" s="1882" t="s">
        <v>8774</v>
      </c>
      <c r="F155" s="1882" t="s">
        <v>12026</v>
      </c>
      <c r="G155" s="1882"/>
      <c r="H155" s="1882"/>
      <c r="I155" s="1882"/>
      <c r="J155" s="1882"/>
      <c r="K155" s="1882"/>
      <c r="L155" s="1882"/>
      <c r="M155" s="1882"/>
      <c r="N155" s="1882"/>
      <c r="O155" s="1882"/>
      <c r="P155" s="1882" t="s">
        <v>11745</v>
      </c>
      <c r="Q155" s="1882" t="s">
        <v>12035</v>
      </c>
      <c r="R155" s="1882" t="s">
        <v>12029</v>
      </c>
      <c r="S155" s="1882">
        <v>40.966799999999999</v>
      </c>
      <c r="T155" s="1882" t="s">
        <v>8591</v>
      </c>
      <c r="U155" s="1882">
        <v>4</v>
      </c>
      <c r="V155" s="1882"/>
      <c r="W155" s="1882">
        <v>0</v>
      </c>
      <c r="X155" s="1882">
        <v>1</v>
      </c>
      <c r="Y155" s="1882">
        <v>1</v>
      </c>
      <c r="Z155" s="1882">
        <v>1</v>
      </c>
      <c r="AA155" s="1882">
        <v>0</v>
      </c>
      <c r="AB155" s="1882">
        <v>0</v>
      </c>
      <c r="AC155" s="1882"/>
      <c r="AD155" s="1882"/>
      <c r="AE155" s="1882"/>
      <c r="AF155" s="1882"/>
      <c r="AG155" s="1882"/>
      <c r="AH155" s="1882"/>
      <c r="AI155" s="1882"/>
      <c r="AJ155" s="1882"/>
      <c r="AK155" s="1882"/>
      <c r="AL155" s="1882"/>
      <c r="AM155" s="1882"/>
      <c r="AN155" s="1882"/>
      <c r="AO155" s="1882"/>
      <c r="AP155" s="1882"/>
      <c r="AQ155" s="1882"/>
      <c r="AR155" s="1882"/>
      <c r="AS155" s="1882">
        <v>1</v>
      </c>
      <c r="AT155" s="1882" t="s">
        <v>2459</v>
      </c>
      <c r="AU155" s="1882">
        <v>0</v>
      </c>
      <c r="AV155" s="1882" t="s">
        <v>2459</v>
      </c>
      <c r="AW155" s="1882">
        <v>0</v>
      </c>
      <c r="AX155" s="1882" t="s">
        <v>2459</v>
      </c>
      <c r="AY155" s="1882">
        <v>0</v>
      </c>
      <c r="AZ155" s="1882" t="s">
        <v>2459</v>
      </c>
      <c r="BA155" s="1882"/>
      <c r="BB155" s="1882" t="s">
        <v>12036</v>
      </c>
    </row>
    <row r="156" spans="1:54">
      <c r="A156" s="1882" t="s">
        <v>10935</v>
      </c>
      <c r="B156" s="1882" t="s">
        <v>8352</v>
      </c>
      <c r="C156" s="1882" t="s">
        <v>10833</v>
      </c>
      <c r="D156" s="1882" t="s">
        <v>8720</v>
      </c>
      <c r="E156" s="1882" t="s">
        <v>8774</v>
      </c>
      <c r="F156" s="1882" t="s">
        <v>12026</v>
      </c>
      <c r="G156" s="1882"/>
      <c r="H156" s="1882"/>
      <c r="I156" s="1882"/>
      <c r="J156" s="1882"/>
      <c r="K156" s="1882"/>
      <c r="L156" s="1882"/>
      <c r="M156" s="1882"/>
      <c r="N156" s="1882"/>
      <c r="O156" s="1882"/>
      <c r="P156" s="1882" t="s">
        <v>11797</v>
      </c>
      <c r="Q156" s="1882" t="s">
        <v>12037</v>
      </c>
      <c r="R156" s="1882" t="s">
        <v>12029</v>
      </c>
      <c r="S156" s="1882">
        <v>8.1900000000000001E-2</v>
      </c>
      <c r="T156" s="1882" t="s">
        <v>8591</v>
      </c>
      <c r="U156" s="1882">
        <v>4</v>
      </c>
      <c r="V156" s="1882"/>
      <c r="W156" s="1882">
        <v>10</v>
      </c>
      <c r="X156" s="1882">
        <v>12</v>
      </c>
      <c r="Y156" s="1882">
        <v>12</v>
      </c>
      <c r="Z156" s="1882">
        <v>12</v>
      </c>
      <c r="AA156" s="1882">
        <v>12</v>
      </c>
      <c r="AB156" s="1882">
        <v>12</v>
      </c>
      <c r="AC156" s="1882"/>
      <c r="AD156" s="1882"/>
      <c r="AE156" s="1882"/>
      <c r="AF156" s="1882"/>
      <c r="AG156" s="1882"/>
      <c r="AH156" s="1882"/>
      <c r="AI156" s="1882"/>
      <c r="AJ156" s="1882"/>
      <c r="AK156" s="1882"/>
      <c r="AL156" s="1882"/>
      <c r="AM156" s="1882"/>
      <c r="AN156" s="1882"/>
      <c r="AO156" s="1882"/>
      <c r="AP156" s="1882"/>
      <c r="AQ156" s="1882"/>
      <c r="AR156" s="1882"/>
      <c r="AS156" s="1882">
        <v>0.66666666666666696</v>
      </c>
      <c r="AT156" s="1882" t="s">
        <v>2459</v>
      </c>
      <c r="AU156" s="1882">
        <v>0.1159</v>
      </c>
      <c r="AV156" s="1882" t="s">
        <v>2459</v>
      </c>
      <c r="AW156" s="1882">
        <v>0.1603</v>
      </c>
      <c r="AX156" s="1882" t="s">
        <v>2459</v>
      </c>
      <c r="AY156" s="1882">
        <v>0.29320000000000002</v>
      </c>
      <c r="AZ156" s="1882" t="s">
        <v>2459</v>
      </c>
      <c r="BA156" s="1882"/>
      <c r="BB156" s="1882" t="s">
        <v>12038</v>
      </c>
    </row>
    <row r="157" spans="1:54">
      <c r="A157" s="1882" t="s">
        <v>10935</v>
      </c>
      <c r="B157" s="1882" t="s">
        <v>8352</v>
      </c>
      <c r="C157" s="1882" t="s">
        <v>10833</v>
      </c>
      <c r="D157" s="1882" t="s">
        <v>8720</v>
      </c>
      <c r="E157" s="1882" t="s">
        <v>8774</v>
      </c>
      <c r="F157" s="1882" t="s">
        <v>12026</v>
      </c>
      <c r="G157" s="1882"/>
      <c r="H157" s="1882"/>
      <c r="I157" s="1882"/>
      <c r="J157" s="1882"/>
      <c r="K157" s="1882"/>
      <c r="L157" s="1882"/>
      <c r="M157" s="1882"/>
      <c r="N157" s="1882"/>
      <c r="O157" s="1882"/>
      <c r="P157" s="1882" t="s">
        <v>11800</v>
      </c>
      <c r="Q157" s="1882" t="s">
        <v>12039</v>
      </c>
      <c r="R157" s="1882" t="s">
        <v>12029</v>
      </c>
      <c r="S157" s="1882">
        <v>0.16389999999999999</v>
      </c>
      <c r="T157" s="1882" t="s">
        <v>8591</v>
      </c>
      <c r="U157" s="1882">
        <v>4</v>
      </c>
      <c r="V157" s="1882"/>
      <c r="W157" s="1882">
        <v>1</v>
      </c>
      <c r="X157" s="1882">
        <v>1</v>
      </c>
      <c r="Y157" s="1882">
        <v>1</v>
      </c>
      <c r="Z157" s="1882">
        <v>1</v>
      </c>
      <c r="AA157" s="1882">
        <v>1</v>
      </c>
      <c r="AB157" s="1882">
        <v>1</v>
      </c>
      <c r="AC157" s="1882"/>
      <c r="AD157" s="1882"/>
      <c r="AE157" s="1882"/>
      <c r="AF157" s="1882"/>
      <c r="AG157" s="1882"/>
      <c r="AH157" s="1882"/>
      <c r="AI157" s="1882"/>
      <c r="AJ157" s="1882"/>
      <c r="AK157" s="1882"/>
      <c r="AL157" s="1882"/>
      <c r="AM157" s="1882"/>
      <c r="AN157" s="1882"/>
      <c r="AO157" s="1882"/>
      <c r="AP157" s="1882"/>
      <c r="AQ157" s="1882"/>
      <c r="AR157" s="1882"/>
      <c r="AS157" s="1882">
        <v>0</v>
      </c>
      <c r="AT157" s="1882" t="s">
        <v>2459</v>
      </c>
      <c r="AU157" s="1882">
        <v>3.4099999999999998E-2</v>
      </c>
      <c r="AV157" s="1882" t="s">
        <v>2459</v>
      </c>
      <c r="AW157" s="1882">
        <v>9.5600000000000004E-2</v>
      </c>
      <c r="AX157" s="1882" t="s">
        <v>2459</v>
      </c>
      <c r="AY157" s="1882">
        <v>1.37E-2</v>
      </c>
      <c r="AZ157" s="1882" t="s">
        <v>2459</v>
      </c>
      <c r="BA157" s="1882"/>
      <c r="BB157" s="1882" t="s">
        <v>12040</v>
      </c>
    </row>
    <row r="158" spans="1:54">
      <c r="A158" s="1882" t="s">
        <v>10935</v>
      </c>
      <c r="B158" s="1882" t="s">
        <v>8352</v>
      </c>
      <c r="C158" s="1882" t="s">
        <v>10833</v>
      </c>
      <c r="D158" s="1882" t="s">
        <v>8720</v>
      </c>
      <c r="E158" s="1882" t="s">
        <v>8774</v>
      </c>
      <c r="F158" s="1882" t="s">
        <v>12026</v>
      </c>
      <c r="G158" s="1882"/>
      <c r="H158" s="1882"/>
      <c r="I158" s="1882"/>
      <c r="J158" s="1882"/>
      <c r="K158" s="1882"/>
      <c r="L158" s="1882"/>
      <c r="M158" s="1882"/>
      <c r="N158" s="1882"/>
      <c r="O158" s="1882"/>
      <c r="P158" s="1882" t="s">
        <v>11803</v>
      </c>
      <c r="Q158" s="1882" t="s">
        <v>12041</v>
      </c>
      <c r="R158" s="1882" t="s">
        <v>12029</v>
      </c>
      <c r="S158" s="1882">
        <v>0.81930000000000003</v>
      </c>
      <c r="T158" s="1882" t="s">
        <v>8591</v>
      </c>
      <c r="U158" s="1882">
        <v>4</v>
      </c>
      <c r="V158" s="1882"/>
      <c r="W158" s="1882">
        <v>3</v>
      </c>
      <c r="X158" s="1882">
        <v>4</v>
      </c>
      <c r="Y158" s="1882">
        <v>4</v>
      </c>
      <c r="Z158" s="1882">
        <v>4</v>
      </c>
      <c r="AA158" s="1882">
        <v>4</v>
      </c>
      <c r="AB158" s="1882">
        <v>4</v>
      </c>
      <c r="AC158" s="1882"/>
      <c r="AD158" s="1882"/>
      <c r="AE158" s="1882"/>
      <c r="AF158" s="1882"/>
      <c r="AG158" s="1882"/>
      <c r="AH158" s="1882"/>
      <c r="AI158" s="1882"/>
      <c r="AJ158" s="1882"/>
      <c r="AK158" s="1882"/>
      <c r="AL158" s="1882"/>
      <c r="AM158" s="1882"/>
      <c r="AN158" s="1882"/>
      <c r="AO158" s="1882"/>
      <c r="AP158" s="1882"/>
      <c r="AQ158" s="1882"/>
      <c r="AR158" s="1882"/>
      <c r="AS158" s="1882">
        <v>0</v>
      </c>
      <c r="AT158" s="1882" t="s">
        <v>2459</v>
      </c>
      <c r="AU158" s="1882">
        <v>0</v>
      </c>
      <c r="AV158" s="1882" t="s">
        <v>2459</v>
      </c>
      <c r="AW158" s="1882">
        <v>0.40960000000000002</v>
      </c>
      <c r="AX158" s="1882" t="s">
        <v>2459</v>
      </c>
      <c r="AY158" s="1882">
        <v>0.71679999999999999</v>
      </c>
      <c r="AZ158" s="1882" t="s">
        <v>2459</v>
      </c>
      <c r="BA158" s="1882"/>
      <c r="BB158" s="1882" t="s">
        <v>12042</v>
      </c>
    </row>
    <row r="159" spans="1:54">
      <c r="A159" s="1882" t="s">
        <v>10935</v>
      </c>
      <c r="B159" s="1882" t="s">
        <v>8352</v>
      </c>
      <c r="C159" s="1882" t="s">
        <v>10833</v>
      </c>
      <c r="D159" s="1882" t="s">
        <v>8720</v>
      </c>
      <c r="E159" s="1882" t="s">
        <v>8774</v>
      </c>
      <c r="F159" s="1882" t="s">
        <v>12026</v>
      </c>
      <c r="G159" s="1882"/>
      <c r="H159" s="1882"/>
      <c r="I159" s="1882"/>
      <c r="J159" s="1882"/>
      <c r="K159" s="1882"/>
      <c r="L159" s="1882"/>
      <c r="M159" s="1882"/>
      <c r="N159" s="1882"/>
      <c r="O159" s="1882"/>
      <c r="P159" s="1882" t="s">
        <v>11806</v>
      </c>
      <c r="Q159" s="1882" t="s">
        <v>12043</v>
      </c>
      <c r="R159" s="1882" t="s">
        <v>12029</v>
      </c>
      <c r="S159" s="1882">
        <v>4.1000000000000002E-2</v>
      </c>
      <c r="T159" s="1882" t="s">
        <v>8591</v>
      </c>
      <c r="U159" s="1882">
        <v>4</v>
      </c>
      <c r="V159" s="1882"/>
      <c r="W159" s="1882">
        <v>52</v>
      </c>
      <c r="X159" s="1882">
        <v>44</v>
      </c>
      <c r="Y159" s="1882">
        <v>44</v>
      </c>
      <c r="Z159" s="1882">
        <v>44</v>
      </c>
      <c r="AA159" s="1882">
        <v>44</v>
      </c>
      <c r="AB159" s="1882">
        <v>44</v>
      </c>
      <c r="AC159" s="1882"/>
      <c r="AD159" s="1882"/>
      <c r="AE159" s="1882"/>
      <c r="AF159" s="1882"/>
      <c r="AG159" s="1882"/>
      <c r="AH159" s="1882"/>
      <c r="AI159" s="1882"/>
      <c r="AJ159" s="1882"/>
      <c r="AK159" s="1882"/>
      <c r="AL159" s="1882"/>
      <c r="AM159" s="1882"/>
      <c r="AN159" s="1882"/>
      <c r="AO159" s="1882"/>
      <c r="AP159" s="1882"/>
      <c r="AQ159" s="1882"/>
      <c r="AR159" s="1882"/>
      <c r="AS159" s="1882">
        <v>8.5</v>
      </c>
      <c r="AT159" s="1882" t="s">
        <v>2460</v>
      </c>
      <c r="AU159" s="1882">
        <v>0.31040000000000001</v>
      </c>
      <c r="AV159" s="1882" t="s">
        <v>2459</v>
      </c>
      <c r="AW159" s="1882">
        <v>0.32040000000000002</v>
      </c>
      <c r="AX159" s="1882" t="s">
        <v>2459</v>
      </c>
      <c r="AY159" s="1882">
        <v>0.31019999999999998</v>
      </c>
      <c r="AZ159" s="1882" t="s">
        <v>2459</v>
      </c>
      <c r="BA159" s="1882"/>
      <c r="BB159" s="1882" t="s">
        <v>12044</v>
      </c>
    </row>
    <row r="160" spans="1:54">
      <c r="A160" s="1882" t="s">
        <v>10935</v>
      </c>
      <c r="B160" s="1882" t="s">
        <v>8352</v>
      </c>
      <c r="C160" s="1882" t="s">
        <v>10833</v>
      </c>
      <c r="D160" s="1882" t="s">
        <v>8720</v>
      </c>
      <c r="E160" s="1882" t="s">
        <v>8774</v>
      </c>
      <c r="F160" s="1882" t="s">
        <v>12026</v>
      </c>
      <c r="G160" s="1882"/>
      <c r="H160" s="1882"/>
      <c r="I160" s="1882"/>
      <c r="J160" s="1882"/>
      <c r="K160" s="1882"/>
      <c r="L160" s="1882"/>
      <c r="M160" s="1882"/>
      <c r="N160" s="1882"/>
      <c r="O160" s="1882"/>
      <c r="P160" s="1882" t="s">
        <v>11809</v>
      </c>
      <c r="Q160" s="1882" t="s">
        <v>12045</v>
      </c>
      <c r="R160" s="1882" t="s">
        <v>12029</v>
      </c>
      <c r="S160" s="1882">
        <v>8.1900000000000001E-2</v>
      </c>
      <c r="T160" s="1882" t="s">
        <v>8591</v>
      </c>
      <c r="U160" s="1882">
        <v>4</v>
      </c>
      <c r="V160" s="1882"/>
      <c r="W160" s="1882">
        <v>8</v>
      </c>
      <c r="X160" s="1882">
        <v>7</v>
      </c>
      <c r="Y160" s="1882">
        <v>7</v>
      </c>
      <c r="Z160" s="1882">
        <v>7</v>
      </c>
      <c r="AA160" s="1882">
        <v>7</v>
      </c>
      <c r="AB160" s="1882">
        <v>7</v>
      </c>
      <c r="AC160" s="1882"/>
      <c r="AD160" s="1882"/>
      <c r="AE160" s="1882"/>
      <c r="AF160" s="1882"/>
      <c r="AG160" s="1882"/>
      <c r="AH160" s="1882"/>
      <c r="AI160" s="1882"/>
      <c r="AJ160" s="1882"/>
      <c r="AK160" s="1882"/>
      <c r="AL160" s="1882"/>
      <c r="AM160" s="1882"/>
      <c r="AN160" s="1882"/>
      <c r="AO160" s="1882"/>
      <c r="AP160" s="1882"/>
      <c r="AQ160" s="1882"/>
      <c r="AR160" s="1882"/>
      <c r="AS160" s="1882">
        <v>0.33333333333333298</v>
      </c>
      <c r="AT160" s="1882" t="s">
        <v>2459</v>
      </c>
      <c r="AU160" s="1882">
        <v>4.1000000000000002E-2</v>
      </c>
      <c r="AV160" s="1882" t="s">
        <v>2459</v>
      </c>
      <c r="AW160" s="1882">
        <v>5.4600000000000003E-2</v>
      </c>
      <c r="AX160" s="1882" t="s">
        <v>2459</v>
      </c>
      <c r="AY160" s="1882">
        <v>7.51E-2</v>
      </c>
      <c r="AZ160" s="1882" t="s">
        <v>2459</v>
      </c>
      <c r="BA160" s="1882"/>
      <c r="BB160" s="1882" t="s">
        <v>12046</v>
      </c>
    </row>
    <row r="161" spans="1:54">
      <c r="A161" s="1882" t="s">
        <v>10935</v>
      </c>
      <c r="B161" s="1882" t="s">
        <v>8352</v>
      </c>
      <c r="C161" s="1882" t="s">
        <v>10833</v>
      </c>
      <c r="D161" s="1882" t="s">
        <v>8720</v>
      </c>
      <c r="E161" s="1882" t="s">
        <v>8774</v>
      </c>
      <c r="F161" s="1882" t="s">
        <v>12026</v>
      </c>
      <c r="G161" s="1882"/>
      <c r="H161" s="1882"/>
      <c r="I161" s="1882"/>
      <c r="J161" s="1882"/>
      <c r="K161" s="1882"/>
      <c r="L161" s="1882"/>
      <c r="M161" s="1882"/>
      <c r="N161" s="1882"/>
      <c r="O161" s="1882"/>
      <c r="P161" s="1882" t="s">
        <v>2455</v>
      </c>
      <c r="Q161" s="1882" t="s">
        <v>12047</v>
      </c>
      <c r="R161" s="1882" t="s">
        <v>12029</v>
      </c>
      <c r="S161" s="1882">
        <v>0.40970000000000001</v>
      </c>
      <c r="T161" s="1882" t="s">
        <v>8591</v>
      </c>
      <c r="U161" s="1882">
        <v>4</v>
      </c>
      <c r="V161" s="1882"/>
      <c r="W161" s="1882">
        <v>23</v>
      </c>
      <c r="X161" s="1882">
        <v>16</v>
      </c>
      <c r="Y161" s="1882">
        <v>16</v>
      </c>
      <c r="Z161" s="1882">
        <v>16</v>
      </c>
      <c r="AA161" s="1882">
        <v>16</v>
      </c>
      <c r="AB161" s="1882">
        <v>16</v>
      </c>
      <c r="AC161" s="1882"/>
      <c r="AD161" s="1882"/>
      <c r="AE161" s="1882"/>
      <c r="AF161" s="1882"/>
      <c r="AG161" s="1882"/>
      <c r="AH161" s="1882"/>
      <c r="AI161" s="1882"/>
      <c r="AJ161" s="1882"/>
      <c r="AK161" s="1882"/>
      <c r="AL161" s="1882"/>
      <c r="AM161" s="1882"/>
      <c r="AN161" s="1882"/>
      <c r="AO161" s="1882"/>
      <c r="AP161" s="1882"/>
      <c r="AQ161" s="1882"/>
      <c r="AR161" s="1882"/>
      <c r="AS161" s="1882">
        <v>2.25</v>
      </c>
      <c r="AT161" s="1882" t="s">
        <v>2459</v>
      </c>
      <c r="AU161" s="1882">
        <v>0.88739999999999997</v>
      </c>
      <c r="AV161" s="1882" t="s">
        <v>2459</v>
      </c>
      <c r="AW161" s="1882">
        <v>0.75070000000000003</v>
      </c>
      <c r="AX161" s="1882" t="s">
        <v>2459</v>
      </c>
      <c r="AY161" s="1882">
        <v>0.88739999999999997</v>
      </c>
      <c r="AZ161" s="1882" t="s">
        <v>2459</v>
      </c>
      <c r="BA161" s="1882"/>
      <c r="BB161" s="1882" t="s">
        <v>12048</v>
      </c>
    </row>
    <row r="162" spans="1:54">
      <c r="A162" s="1882" t="s">
        <v>11023</v>
      </c>
      <c r="B162" s="1882" t="s">
        <v>8352</v>
      </c>
      <c r="C162" s="1882" t="s">
        <v>8359</v>
      </c>
      <c r="D162" s="1882" t="s">
        <v>8503</v>
      </c>
      <c r="E162" s="1882" t="s">
        <v>8293</v>
      </c>
      <c r="F162" s="1882" t="s">
        <v>11026</v>
      </c>
      <c r="G162" s="1882" t="s">
        <v>8519</v>
      </c>
      <c r="H162" s="1882" t="s">
        <v>8569</v>
      </c>
      <c r="I162" s="1882" t="s">
        <v>8856</v>
      </c>
      <c r="J162" s="1882" t="s">
        <v>8706</v>
      </c>
      <c r="K162" s="1882" t="s">
        <v>8706</v>
      </c>
      <c r="L162" s="1882" t="s">
        <v>8706</v>
      </c>
      <c r="M162" s="1882" t="s">
        <v>8706</v>
      </c>
      <c r="N162" s="1882" t="s">
        <v>8706</v>
      </c>
      <c r="O162" s="1882" t="s">
        <v>8706</v>
      </c>
      <c r="P162" s="1882" t="s">
        <v>11728</v>
      </c>
      <c r="Q162" s="1882" t="s">
        <v>11026</v>
      </c>
      <c r="R162" s="1882"/>
      <c r="S162" s="1882"/>
      <c r="T162" s="1882" t="s">
        <v>8704</v>
      </c>
      <c r="U162" s="1882" t="s">
        <v>8512</v>
      </c>
      <c r="V162" s="1882"/>
      <c r="W162" s="1882"/>
      <c r="X162" s="1882"/>
      <c r="Y162" s="1882"/>
      <c r="Z162" s="1882"/>
      <c r="AA162" s="1882"/>
      <c r="AB162" s="1882"/>
      <c r="AC162" s="1882"/>
      <c r="AD162" s="1882"/>
      <c r="AE162" s="1882"/>
      <c r="AF162" s="1882"/>
      <c r="AG162" s="1882"/>
      <c r="AH162" s="1882"/>
      <c r="AI162" s="1882"/>
      <c r="AJ162" s="1882"/>
      <c r="AK162" s="1882"/>
      <c r="AL162" s="1882"/>
      <c r="AM162" s="1882"/>
      <c r="AN162" s="1882"/>
      <c r="AO162" s="1882"/>
      <c r="AP162" s="1882"/>
      <c r="AQ162" s="1882"/>
      <c r="AR162" s="1882" t="s">
        <v>8706</v>
      </c>
      <c r="AS162" s="1882" t="s">
        <v>8706</v>
      </c>
      <c r="AT162" s="1882" t="s">
        <v>2459</v>
      </c>
      <c r="AU162" s="1882" t="s">
        <v>8706</v>
      </c>
      <c r="AV162" s="1882" t="s">
        <v>2459</v>
      </c>
      <c r="AW162" s="1882" t="s">
        <v>8706</v>
      </c>
      <c r="AX162" s="1882" t="s">
        <v>2459</v>
      </c>
      <c r="AY162" s="1882" t="s">
        <v>8706</v>
      </c>
      <c r="AZ162" s="1882" t="s">
        <v>2459</v>
      </c>
      <c r="BA162" s="1882"/>
      <c r="BB162" s="1882" t="s">
        <v>12049</v>
      </c>
    </row>
    <row r="163" spans="1:54">
      <c r="A163" s="1882" t="s">
        <v>11023</v>
      </c>
      <c r="B163" s="1882" t="s">
        <v>8352</v>
      </c>
      <c r="C163" s="1882" t="s">
        <v>8359</v>
      </c>
      <c r="D163" s="1882" t="s">
        <v>8503</v>
      </c>
      <c r="E163" s="1882" t="s">
        <v>8293</v>
      </c>
      <c r="F163" s="1882" t="s">
        <v>11026</v>
      </c>
      <c r="G163" s="1882"/>
      <c r="H163" s="1882"/>
      <c r="I163" s="1882"/>
      <c r="J163" s="1882"/>
      <c r="K163" s="1882"/>
      <c r="L163" s="1882"/>
      <c r="M163" s="1882"/>
      <c r="N163" s="1882"/>
      <c r="O163" s="1882"/>
      <c r="P163" s="1882" t="s">
        <v>11730</v>
      </c>
      <c r="Q163" s="1882" t="s">
        <v>12050</v>
      </c>
      <c r="R163" s="1882" t="s">
        <v>11736</v>
      </c>
      <c r="S163" s="1882"/>
      <c r="T163" s="1882" t="s">
        <v>764</v>
      </c>
      <c r="U163" s="520" t="s">
        <v>2453</v>
      </c>
      <c r="V163" s="1882">
        <v>4350</v>
      </c>
      <c r="W163" s="1882"/>
      <c r="X163" s="1882">
        <v>4350</v>
      </c>
      <c r="Y163" s="1882">
        <v>4350</v>
      </c>
      <c r="Z163" s="1882">
        <v>4350</v>
      </c>
      <c r="AA163" s="1882">
        <v>4350</v>
      </c>
      <c r="AB163" s="1882">
        <v>4350</v>
      </c>
      <c r="AC163" s="1882">
        <v>4713</v>
      </c>
      <c r="AD163" s="1882"/>
      <c r="AE163" s="1882">
        <v>4713</v>
      </c>
      <c r="AF163" s="1882">
        <v>4713</v>
      </c>
      <c r="AG163" s="1882">
        <v>4713</v>
      </c>
      <c r="AH163" s="1882">
        <v>4713</v>
      </c>
      <c r="AI163" s="1882">
        <v>4713</v>
      </c>
      <c r="AJ163" s="1882">
        <v>3987</v>
      </c>
      <c r="AK163" s="1882"/>
      <c r="AL163" s="1882">
        <v>3987</v>
      </c>
      <c r="AM163" s="1882">
        <v>3987</v>
      </c>
      <c r="AN163" s="1882">
        <v>3987</v>
      </c>
      <c r="AO163" s="1882">
        <v>3987</v>
      </c>
      <c r="AP163" s="1882">
        <v>3987</v>
      </c>
      <c r="AQ163" s="1882"/>
      <c r="AR163" s="1882">
        <v>3530</v>
      </c>
      <c r="AS163" s="1882">
        <v>3012</v>
      </c>
      <c r="AT163" s="1882" t="s">
        <v>2459</v>
      </c>
      <c r="AU163" s="1882">
        <v>3679</v>
      </c>
      <c r="AV163" s="1882" t="s">
        <v>2459</v>
      </c>
      <c r="AW163" s="1882">
        <v>4181</v>
      </c>
      <c r="AX163" s="1882" t="s">
        <v>2459</v>
      </c>
      <c r="AY163" s="1882">
        <v>4270</v>
      </c>
      <c r="AZ163" s="1882" t="s">
        <v>2459</v>
      </c>
      <c r="BA163" s="1882"/>
      <c r="BB163" s="1882" t="s">
        <v>12051</v>
      </c>
    </row>
    <row r="164" spans="1:54">
      <c r="A164" s="1882" t="s">
        <v>11023</v>
      </c>
      <c r="B164" s="1882" t="s">
        <v>8352</v>
      </c>
      <c r="C164" s="1882" t="s">
        <v>8359</v>
      </c>
      <c r="D164" s="1882" t="s">
        <v>8503</v>
      </c>
      <c r="E164" s="1882" t="s">
        <v>8293</v>
      </c>
      <c r="F164" s="1882" t="s">
        <v>11026</v>
      </c>
      <c r="G164" s="1882"/>
      <c r="H164" s="1882"/>
      <c r="I164" s="1882"/>
      <c r="J164" s="1882"/>
      <c r="K164" s="1882"/>
      <c r="L164" s="1882"/>
      <c r="M164" s="1882"/>
      <c r="N164" s="1882"/>
      <c r="O164" s="1882"/>
      <c r="P164" s="1882" t="s">
        <v>11734</v>
      </c>
      <c r="Q164" s="1882" t="s">
        <v>12052</v>
      </c>
      <c r="R164" s="1882" t="s">
        <v>11732</v>
      </c>
      <c r="S164" s="1882"/>
      <c r="T164" s="1882" t="s">
        <v>764</v>
      </c>
      <c r="U164" s="520" t="s">
        <v>2453</v>
      </c>
      <c r="V164" s="1882">
        <v>93</v>
      </c>
      <c r="W164" s="1882"/>
      <c r="X164" s="1882">
        <v>93</v>
      </c>
      <c r="Y164" s="1882">
        <v>93</v>
      </c>
      <c r="Z164" s="1882">
        <v>93</v>
      </c>
      <c r="AA164" s="1882">
        <v>93</v>
      </c>
      <c r="AB164" s="1882">
        <v>93</v>
      </c>
      <c r="AC164" s="1882">
        <v>298</v>
      </c>
      <c r="AD164" s="1882"/>
      <c r="AE164" s="1882">
        <v>298</v>
      </c>
      <c r="AF164" s="1882">
        <v>298</v>
      </c>
      <c r="AG164" s="1882">
        <v>298</v>
      </c>
      <c r="AH164" s="1882">
        <v>298</v>
      </c>
      <c r="AI164" s="1882">
        <v>298</v>
      </c>
      <c r="AJ164" s="1882">
        <v>0</v>
      </c>
      <c r="AK164" s="1882"/>
      <c r="AL164" s="1882">
        <v>0</v>
      </c>
      <c r="AM164" s="1882">
        <v>0</v>
      </c>
      <c r="AN164" s="1882">
        <v>0</v>
      </c>
      <c r="AO164" s="1882">
        <v>0</v>
      </c>
      <c r="AP164" s="1882">
        <v>0</v>
      </c>
      <c r="AQ164" s="1882"/>
      <c r="AR164" s="1882">
        <v>2375</v>
      </c>
      <c r="AS164" s="1882">
        <v>5023</v>
      </c>
      <c r="AT164" s="1882" t="s">
        <v>2460</v>
      </c>
      <c r="AU164" s="1882">
        <v>986</v>
      </c>
      <c r="AV164" s="1882" t="s">
        <v>2460</v>
      </c>
      <c r="AW164" s="1882">
        <v>19699</v>
      </c>
      <c r="AX164" s="1882" t="s">
        <v>2460</v>
      </c>
      <c r="AY164" s="1882">
        <v>4446</v>
      </c>
      <c r="AZ164" s="1882" t="s">
        <v>2460</v>
      </c>
      <c r="BA164" s="1882"/>
      <c r="BB164" s="1882" t="s">
        <v>12053</v>
      </c>
    </row>
    <row r="165" spans="1:54">
      <c r="A165" s="1882" t="s">
        <v>11023</v>
      </c>
      <c r="B165" s="1882" t="s">
        <v>8352</v>
      </c>
      <c r="C165" s="1882" t="s">
        <v>8359</v>
      </c>
      <c r="D165" s="1882" t="s">
        <v>8503</v>
      </c>
      <c r="E165" s="1882" t="s">
        <v>8293</v>
      </c>
      <c r="F165" s="1882" t="s">
        <v>11026</v>
      </c>
      <c r="G165" s="1882"/>
      <c r="H165" s="1882"/>
      <c r="I165" s="1882"/>
      <c r="J165" s="1882"/>
      <c r="K165" s="1882"/>
      <c r="L165" s="1882"/>
      <c r="M165" s="1882"/>
      <c r="N165" s="1882"/>
      <c r="O165" s="1882"/>
      <c r="P165" s="1882" t="s">
        <v>11741</v>
      </c>
      <c r="Q165" s="1882" t="s">
        <v>12054</v>
      </c>
      <c r="R165" s="1882" t="s">
        <v>11793</v>
      </c>
      <c r="S165" s="1882"/>
      <c r="T165" s="1882" t="s">
        <v>732</v>
      </c>
      <c r="U165" s="1882">
        <v>2</v>
      </c>
      <c r="V165" s="1882">
        <v>0.3</v>
      </c>
      <c r="W165" s="1882">
        <v>0.2</v>
      </c>
      <c r="X165" s="1882">
        <v>0.3</v>
      </c>
      <c r="Y165" s="1882">
        <v>0.3</v>
      </c>
      <c r="Z165" s="1882">
        <v>0.3</v>
      </c>
      <c r="AA165" s="1882">
        <v>0.3</v>
      </c>
      <c r="AB165" s="1882">
        <v>0.3</v>
      </c>
      <c r="AC165" s="1882">
        <v>0.64</v>
      </c>
      <c r="AD165" s="1882"/>
      <c r="AE165" s="1882">
        <v>0.64</v>
      </c>
      <c r="AF165" s="1882">
        <v>0.64</v>
      </c>
      <c r="AG165" s="1882">
        <v>0.64</v>
      </c>
      <c r="AH165" s="1882">
        <v>0.64</v>
      </c>
      <c r="AI165" s="1882">
        <v>0.64</v>
      </c>
      <c r="AJ165" s="1882">
        <v>0</v>
      </c>
      <c r="AK165" s="1882"/>
      <c r="AL165" s="1882">
        <v>0</v>
      </c>
      <c r="AM165" s="1882">
        <v>0</v>
      </c>
      <c r="AN165" s="1882">
        <v>0</v>
      </c>
      <c r="AO165" s="1882">
        <v>0</v>
      </c>
      <c r="AP165" s="1882">
        <v>0</v>
      </c>
      <c r="AQ165" s="1882"/>
      <c r="AR165" s="1882">
        <v>0.59</v>
      </c>
      <c r="AS165" s="1882">
        <v>0.56999999999999995</v>
      </c>
      <c r="AT165" s="1882" t="s">
        <v>2460</v>
      </c>
      <c r="AU165" s="1882">
        <v>0.19</v>
      </c>
      <c r="AV165" s="1882" t="s">
        <v>2459</v>
      </c>
      <c r="AW165" s="1882">
        <v>0.34</v>
      </c>
      <c r="AX165" s="1882" t="s">
        <v>2459</v>
      </c>
      <c r="AY165" s="1882">
        <v>0.34</v>
      </c>
      <c r="AZ165" s="1882" t="s">
        <v>2459</v>
      </c>
      <c r="BA165" s="1882"/>
      <c r="BB165" s="1882" t="s">
        <v>12055</v>
      </c>
    </row>
    <row r="166" spans="1:54">
      <c r="A166" s="1882" t="s">
        <v>11023</v>
      </c>
      <c r="B166" s="1882" t="s">
        <v>8352</v>
      </c>
      <c r="C166" s="1882" t="s">
        <v>8359</v>
      </c>
      <c r="D166" s="1882" t="s">
        <v>8503</v>
      </c>
      <c r="E166" s="1882" t="s">
        <v>8293</v>
      </c>
      <c r="F166" s="1882" t="s">
        <v>11026</v>
      </c>
      <c r="G166" s="1882"/>
      <c r="H166" s="1882"/>
      <c r="I166" s="1882"/>
      <c r="J166" s="1882"/>
      <c r="K166" s="1882"/>
      <c r="L166" s="1882"/>
      <c r="M166" s="1882"/>
      <c r="N166" s="1882"/>
      <c r="O166" s="1882"/>
      <c r="P166" s="1882" t="s">
        <v>11745</v>
      </c>
      <c r="Q166" s="1882" t="s">
        <v>12056</v>
      </c>
      <c r="R166" s="1882" t="s">
        <v>11779</v>
      </c>
      <c r="S166" s="1882"/>
      <c r="T166" s="1882" t="s">
        <v>764</v>
      </c>
      <c r="U166" s="520" t="s">
        <v>2453</v>
      </c>
      <c r="V166" s="1882">
        <v>220</v>
      </c>
      <c r="W166" s="1882">
        <v>131</v>
      </c>
      <c r="X166" s="1882">
        <v>220</v>
      </c>
      <c r="Y166" s="1882">
        <v>220</v>
      </c>
      <c r="Z166" s="1882">
        <v>220</v>
      </c>
      <c r="AA166" s="1882">
        <v>220</v>
      </c>
      <c r="AB166" s="1882">
        <v>220</v>
      </c>
      <c r="AC166" s="1882">
        <v>296</v>
      </c>
      <c r="AD166" s="1882"/>
      <c r="AE166" s="1882">
        <v>296</v>
      </c>
      <c r="AF166" s="1882">
        <v>296</v>
      </c>
      <c r="AG166" s="1882">
        <v>296</v>
      </c>
      <c r="AH166" s="1882">
        <v>296</v>
      </c>
      <c r="AI166" s="1882">
        <v>296</v>
      </c>
      <c r="AJ166" s="1882">
        <v>144</v>
      </c>
      <c r="AK166" s="1882"/>
      <c r="AL166" s="1882">
        <v>144</v>
      </c>
      <c r="AM166" s="1882">
        <v>144</v>
      </c>
      <c r="AN166" s="1882">
        <v>144</v>
      </c>
      <c r="AO166" s="1882">
        <v>144</v>
      </c>
      <c r="AP166" s="1882">
        <v>144</v>
      </c>
      <c r="AQ166" s="1882"/>
      <c r="AR166" s="1882">
        <v>116</v>
      </c>
      <c r="AS166" s="1882">
        <v>98</v>
      </c>
      <c r="AT166" s="1882" t="s">
        <v>2459</v>
      </c>
      <c r="AU166" s="1882">
        <v>92</v>
      </c>
      <c r="AV166" s="1882" t="s">
        <v>2459</v>
      </c>
      <c r="AW166" s="1882">
        <v>99</v>
      </c>
      <c r="AX166" s="1882" t="s">
        <v>2459</v>
      </c>
      <c r="AY166" s="1882">
        <v>103</v>
      </c>
      <c r="AZ166" s="1882" t="s">
        <v>2459</v>
      </c>
      <c r="BA166" s="1882"/>
      <c r="BB166" s="1882" t="s">
        <v>12057</v>
      </c>
    </row>
    <row r="167" spans="1:54">
      <c r="A167" s="1882" t="s">
        <v>11023</v>
      </c>
      <c r="B167" s="1882" t="s">
        <v>8352</v>
      </c>
      <c r="C167" s="1882" t="s">
        <v>8359</v>
      </c>
      <c r="D167" s="1882" t="s">
        <v>8503</v>
      </c>
      <c r="E167" s="1882" t="s">
        <v>8293</v>
      </c>
      <c r="F167" s="1882" t="s">
        <v>11026</v>
      </c>
      <c r="G167" s="1882"/>
      <c r="H167" s="1882"/>
      <c r="I167" s="1882"/>
      <c r="J167" s="1882"/>
      <c r="K167" s="1882"/>
      <c r="L167" s="1882"/>
      <c r="M167" s="1882"/>
      <c r="N167" s="1882"/>
      <c r="O167" s="1882"/>
      <c r="P167" s="1882" t="s">
        <v>11797</v>
      </c>
      <c r="Q167" s="1882" t="s">
        <v>12058</v>
      </c>
      <c r="R167" s="1882" t="s">
        <v>11743</v>
      </c>
      <c r="S167" s="1882"/>
      <c r="T167" s="1882" t="s">
        <v>764</v>
      </c>
      <c r="U167" s="1882">
        <v>2</v>
      </c>
      <c r="V167" s="1882">
        <v>3.09</v>
      </c>
      <c r="W167" s="1882"/>
      <c r="X167" s="1882">
        <v>3.09</v>
      </c>
      <c r="Y167" s="1882">
        <v>3.09</v>
      </c>
      <c r="Z167" s="1882">
        <v>3.09</v>
      </c>
      <c r="AA167" s="1882">
        <v>3.09</v>
      </c>
      <c r="AB167" s="1882">
        <v>3.09</v>
      </c>
      <c r="AC167" s="1882">
        <v>3.75</v>
      </c>
      <c r="AD167" s="1882"/>
      <c r="AE167" s="1882">
        <v>3.75</v>
      </c>
      <c r="AF167" s="1882">
        <v>3.75</v>
      </c>
      <c r="AG167" s="1882">
        <v>3.75</v>
      </c>
      <c r="AH167" s="1882">
        <v>3.75</v>
      </c>
      <c r="AI167" s="1882">
        <v>3.75</v>
      </c>
      <c r="AJ167" s="1882">
        <v>2.4300000000000002</v>
      </c>
      <c r="AK167" s="1882"/>
      <c r="AL167" s="1882">
        <v>2.4300000000000002</v>
      </c>
      <c r="AM167" s="1882">
        <v>2.4300000000000002</v>
      </c>
      <c r="AN167" s="1882">
        <v>2.4300000000000002</v>
      </c>
      <c r="AO167" s="1882">
        <v>2.4300000000000002</v>
      </c>
      <c r="AP167" s="1882">
        <v>2.4300000000000002</v>
      </c>
      <c r="AQ167" s="1882"/>
      <c r="AR167" s="1882">
        <v>2.34</v>
      </c>
      <c r="AS167" s="1882">
        <v>2.19</v>
      </c>
      <c r="AT167" s="1882" t="s">
        <v>2459</v>
      </c>
      <c r="AU167" s="1882">
        <v>2.35</v>
      </c>
      <c r="AV167" s="1882" t="s">
        <v>2459</v>
      </c>
      <c r="AW167" s="1882">
        <v>2.21</v>
      </c>
      <c r="AX167" s="1882" t="s">
        <v>2459</v>
      </c>
      <c r="AY167" s="1882">
        <v>2.35</v>
      </c>
      <c r="AZ167" s="1882" t="s">
        <v>2459</v>
      </c>
      <c r="BA167" s="1882"/>
      <c r="BB167" s="1882" t="s">
        <v>12059</v>
      </c>
    </row>
    <row r="168" spans="1:54">
      <c r="A168" s="1882" t="s">
        <v>11023</v>
      </c>
      <c r="B168" s="1882" t="s">
        <v>8352</v>
      </c>
      <c r="C168" s="1882" t="s">
        <v>8359</v>
      </c>
      <c r="D168" s="1882" t="s">
        <v>8503</v>
      </c>
      <c r="E168" s="1882" t="s">
        <v>8293</v>
      </c>
      <c r="F168" s="1882" t="s">
        <v>11026</v>
      </c>
      <c r="G168" s="1882"/>
      <c r="H168" s="1882"/>
      <c r="I168" s="1882"/>
      <c r="J168" s="1882"/>
      <c r="K168" s="1882"/>
      <c r="L168" s="1882"/>
      <c r="M168" s="1882"/>
      <c r="N168" s="1882"/>
      <c r="O168" s="1882"/>
      <c r="P168" s="1882" t="s">
        <v>11800</v>
      </c>
      <c r="Q168" s="1882" t="s">
        <v>12060</v>
      </c>
      <c r="R168" s="1882" t="s">
        <v>11747</v>
      </c>
      <c r="S168" s="1882"/>
      <c r="T168" s="1882" t="s">
        <v>732</v>
      </c>
      <c r="U168" s="1882">
        <v>2</v>
      </c>
      <c r="V168" s="1882">
        <v>0.23</v>
      </c>
      <c r="W168" s="1882"/>
      <c r="X168" s="1882">
        <v>0.23</v>
      </c>
      <c r="Y168" s="1882">
        <v>0.23</v>
      </c>
      <c r="Z168" s="1882">
        <v>0.23</v>
      </c>
      <c r="AA168" s="1882">
        <v>0.23</v>
      </c>
      <c r="AB168" s="1882">
        <v>0.23</v>
      </c>
      <c r="AC168" s="1882">
        <v>0.33</v>
      </c>
      <c r="AD168" s="1882"/>
      <c r="AE168" s="1882">
        <v>0.33</v>
      </c>
      <c r="AF168" s="1882">
        <v>0.33</v>
      </c>
      <c r="AG168" s="1882">
        <v>0.33</v>
      </c>
      <c r="AH168" s="1882">
        <v>0.33</v>
      </c>
      <c r="AI168" s="1882">
        <v>0.33</v>
      </c>
      <c r="AJ168" s="1882">
        <v>0.13</v>
      </c>
      <c r="AK168" s="1882"/>
      <c r="AL168" s="1882">
        <v>0.13</v>
      </c>
      <c r="AM168" s="1882">
        <v>0.13</v>
      </c>
      <c r="AN168" s="1882">
        <v>0.13</v>
      </c>
      <c r="AO168" s="1882">
        <v>0.13</v>
      </c>
      <c r="AP168" s="1882">
        <v>0.13</v>
      </c>
      <c r="AQ168" s="1882"/>
      <c r="AR168" s="1882">
        <v>99.75</v>
      </c>
      <c r="AS168" s="1882">
        <v>99.81</v>
      </c>
      <c r="AT168" s="1882" t="s">
        <v>2459</v>
      </c>
      <c r="AU168" s="1882">
        <v>99.93</v>
      </c>
      <c r="AV168" s="1882" t="s">
        <v>2459</v>
      </c>
      <c r="AW168" s="1882">
        <v>99.84</v>
      </c>
      <c r="AX168" s="1882" t="s">
        <v>2459</v>
      </c>
      <c r="AY168" s="1882">
        <v>99.87</v>
      </c>
      <c r="AZ168" s="1882" t="s">
        <v>2459</v>
      </c>
      <c r="BA168" s="1882"/>
      <c r="BB168" s="1882" t="s">
        <v>12061</v>
      </c>
    </row>
    <row r="169" spans="1:54">
      <c r="A169" s="1882" t="s">
        <v>11023</v>
      </c>
      <c r="B169" s="1882" t="s">
        <v>8352</v>
      </c>
      <c r="C169" s="1882" t="s">
        <v>8359</v>
      </c>
      <c r="D169" s="1882" t="s">
        <v>8503</v>
      </c>
      <c r="E169" s="1882" t="s">
        <v>8293</v>
      </c>
      <c r="F169" s="1882" t="s">
        <v>11026</v>
      </c>
      <c r="G169" s="1882"/>
      <c r="H169" s="1882"/>
      <c r="I169" s="1882"/>
      <c r="J169" s="1882"/>
      <c r="K169" s="1882"/>
      <c r="L169" s="1882"/>
      <c r="M169" s="1882"/>
      <c r="N169" s="1882"/>
      <c r="O169" s="1882"/>
      <c r="P169" s="1882" t="s">
        <v>11803</v>
      </c>
      <c r="Q169" s="1882" t="s">
        <v>12062</v>
      </c>
      <c r="R169" s="1882" t="s">
        <v>11751</v>
      </c>
      <c r="S169" s="1882"/>
      <c r="T169" s="1882" t="s">
        <v>732</v>
      </c>
      <c r="U169" s="1882">
        <v>2</v>
      </c>
      <c r="V169" s="1882">
        <v>0.04</v>
      </c>
      <c r="W169" s="1882"/>
      <c r="X169" s="1882">
        <v>0.04</v>
      </c>
      <c r="Y169" s="1882">
        <v>0.04</v>
      </c>
      <c r="Z169" s="1882">
        <v>0.04</v>
      </c>
      <c r="AA169" s="1882">
        <v>0.04</v>
      </c>
      <c r="AB169" s="1882">
        <v>0.04</v>
      </c>
      <c r="AC169" s="1882">
        <v>7.0000000000000007E-2</v>
      </c>
      <c r="AD169" s="1882"/>
      <c r="AE169" s="1882">
        <v>7.0000000000000007E-2</v>
      </c>
      <c r="AF169" s="1882">
        <v>7.0000000000000007E-2</v>
      </c>
      <c r="AG169" s="1882">
        <v>7.0000000000000007E-2</v>
      </c>
      <c r="AH169" s="1882">
        <v>7.0000000000000007E-2</v>
      </c>
      <c r="AI169" s="1882">
        <v>7.0000000000000007E-2</v>
      </c>
      <c r="AJ169" s="1882">
        <v>0.01</v>
      </c>
      <c r="AK169" s="1882"/>
      <c r="AL169" s="1882">
        <v>0.01</v>
      </c>
      <c r="AM169" s="1882">
        <v>0.01</v>
      </c>
      <c r="AN169" s="1882">
        <v>0.01</v>
      </c>
      <c r="AO169" s="1882">
        <v>0.01</v>
      </c>
      <c r="AP169" s="1882">
        <v>0.01</v>
      </c>
      <c r="AQ169" s="1882"/>
      <c r="AR169" s="1882">
        <v>0</v>
      </c>
      <c r="AS169" s="1882">
        <v>0.02</v>
      </c>
      <c r="AT169" s="1882" t="s">
        <v>2459</v>
      </c>
      <c r="AU169" s="1882">
        <v>0.02</v>
      </c>
      <c r="AV169" s="1882" t="s">
        <v>2459</v>
      </c>
      <c r="AW169" s="1882">
        <v>0.02</v>
      </c>
      <c r="AX169" s="1882" t="s">
        <v>2459</v>
      </c>
      <c r="AY169" s="1882">
        <v>0.03</v>
      </c>
      <c r="AZ169" s="1882" t="s">
        <v>2459</v>
      </c>
      <c r="BA169" s="1882"/>
      <c r="BB169" s="1882" t="s">
        <v>12063</v>
      </c>
    </row>
    <row r="170" spans="1:54">
      <c r="A170" s="1882" t="s">
        <v>11023</v>
      </c>
      <c r="B170" s="1882" t="s">
        <v>8352</v>
      </c>
      <c r="C170" s="1882" t="s">
        <v>8359</v>
      </c>
      <c r="D170" s="1882" t="s">
        <v>8503</v>
      </c>
      <c r="E170" s="1882" t="s">
        <v>8293</v>
      </c>
      <c r="F170" s="1882" t="s">
        <v>11026</v>
      </c>
      <c r="G170" s="1882"/>
      <c r="H170" s="1882"/>
      <c r="I170" s="1882"/>
      <c r="J170" s="1882"/>
      <c r="K170" s="1882"/>
      <c r="L170" s="1882"/>
      <c r="M170" s="1882"/>
      <c r="N170" s="1882"/>
      <c r="O170" s="1882"/>
      <c r="P170" s="1882" t="s">
        <v>11806</v>
      </c>
      <c r="Q170" s="1882" t="s">
        <v>12064</v>
      </c>
      <c r="R170" s="1882" t="s">
        <v>11754</v>
      </c>
      <c r="S170" s="1882"/>
      <c r="T170" s="1882" t="s">
        <v>732</v>
      </c>
      <c r="U170" s="1882">
        <v>2</v>
      </c>
      <c r="V170" s="1882">
        <v>0</v>
      </c>
      <c r="W170" s="1882"/>
      <c r="X170" s="1882">
        <v>0</v>
      </c>
      <c r="Y170" s="1882">
        <v>0</v>
      </c>
      <c r="Z170" s="1882">
        <v>0</v>
      </c>
      <c r="AA170" s="1882">
        <v>0</v>
      </c>
      <c r="AB170" s="1882">
        <v>0</v>
      </c>
      <c r="AC170" s="1882">
        <v>0.34</v>
      </c>
      <c r="AD170" s="1882"/>
      <c r="AE170" s="1882">
        <v>0.34</v>
      </c>
      <c r="AF170" s="1882">
        <v>0.34</v>
      </c>
      <c r="AG170" s="1882">
        <v>0.34</v>
      </c>
      <c r="AH170" s="1882">
        <v>0.34</v>
      </c>
      <c r="AI170" s="1882">
        <v>0.34</v>
      </c>
      <c r="AJ170" s="1882">
        <v>0</v>
      </c>
      <c r="AK170" s="1882"/>
      <c r="AL170" s="1882">
        <v>0</v>
      </c>
      <c r="AM170" s="1882">
        <v>0</v>
      </c>
      <c r="AN170" s="1882">
        <v>0</v>
      </c>
      <c r="AO170" s="1882">
        <v>0</v>
      </c>
      <c r="AP170" s="1882">
        <v>0</v>
      </c>
      <c r="AQ170" s="1882"/>
      <c r="AR170" s="1882">
        <v>0</v>
      </c>
      <c r="AS170" s="1882">
        <v>0</v>
      </c>
      <c r="AT170" s="1882" t="s">
        <v>2459</v>
      </c>
      <c r="AU170" s="1882">
        <v>0</v>
      </c>
      <c r="AV170" s="1882" t="s">
        <v>2459</v>
      </c>
      <c r="AW170" s="1882">
        <v>0</v>
      </c>
      <c r="AX170" s="1882" t="s">
        <v>2459</v>
      </c>
      <c r="AY170" s="1882">
        <v>0.3</v>
      </c>
      <c r="AZ170" s="1882" t="s">
        <v>2459</v>
      </c>
      <c r="BA170" s="1882"/>
      <c r="BB170" s="1882" t="s">
        <v>12065</v>
      </c>
    </row>
    <row r="171" spans="1:54">
      <c r="A171" s="1882" t="s">
        <v>11023</v>
      </c>
      <c r="B171" s="1882" t="s">
        <v>8352</v>
      </c>
      <c r="C171" s="1882" t="s">
        <v>8359</v>
      </c>
      <c r="D171" s="1882" t="s">
        <v>8503</v>
      </c>
      <c r="E171" s="1882" t="s">
        <v>8293</v>
      </c>
      <c r="F171" s="1882" t="s">
        <v>11026</v>
      </c>
      <c r="G171" s="1882"/>
      <c r="H171" s="1882"/>
      <c r="I171" s="1882"/>
      <c r="J171" s="1882"/>
      <c r="K171" s="1882"/>
      <c r="L171" s="1882"/>
      <c r="M171" s="1882"/>
      <c r="N171" s="1882"/>
      <c r="O171" s="1882"/>
      <c r="P171" s="1882" t="s">
        <v>11809</v>
      </c>
      <c r="Q171" s="1882" t="s">
        <v>12066</v>
      </c>
      <c r="R171" s="1882" t="s">
        <v>11756</v>
      </c>
      <c r="S171" s="1882"/>
      <c r="T171" s="1882" t="s">
        <v>764</v>
      </c>
      <c r="U171" s="520" t="s">
        <v>2453</v>
      </c>
      <c r="V171" s="1882">
        <v>5</v>
      </c>
      <c r="W171" s="1882"/>
      <c r="X171" s="1882">
        <v>5</v>
      </c>
      <c r="Y171" s="1882">
        <v>5</v>
      </c>
      <c r="Z171" s="1882">
        <v>5</v>
      </c>
      <c r="AA171" s="1882">
        <v>5</v>
      </c>
      <c r="AB171" s="1882">
        <v>5</v>
      </c>
      <c r="AC171" s="1882">
        <v>11</v>
      </c>
      <c r="AD171" s="1882"/>
      <c r="AE171" s="1882">
        <v>11</v>
      </c>
      <c r="AF171" s="1882">
        <v>11</v>
      </c>
      <c r="AG171" s="1882">
        <v>11</v>
      </c>
      <c r="AH171" s="1882">
        <v>11</v>
      </c>
      <c r="AI171" s="1882">
        <v>11</v>
      </c>
      <c r="AJ171" s="1882">
        <v>0</v>
      </c>
      <c r="AK171" s="1882"/>
      <c r="AL171" s="1882">
        <v>0</v>
      </c>
      <c r="AM171" s="1882">
        <v>0</v>
      </c>
      <c r="AN171" s="1882">
        <v>0</v>
      </c>
      <c r="AO171" s="1882">
        <v>0</v>
      </c>
      <c r="AP171" s="1882">
        <v>0</v>
      </c>
      <c r="AQ171" s="1882"/>
      <c r="AR171" s="1882">
        <v>0</v>
      </c>
      <c r="AS171" s="1882">
        <v>0</v>
      </c>
      <c r="AT171" s="1882" t="s">
        <v>2459</v>
      </c>
      <c r="AU171" s="1882">
        <v>0</v>
      </c>
      <c r="AV171" s="1882" t="s">
        <v>2459</v>
      </c>
      <c r="AW171" s="1882">
        <v>0</v>
      </c>
      <c r="AX171" s="1882" t="s">
        <v>2459</v>
      </c>
      <c r="AY171" s="1882">
        <v>0</v>
      </c>
      <c r="AZ171" s="1882" t="s">
        <v>2459</v>
      </c>
      <c r="BA171" s="1882"/>
      <c r="BB171" s="1882" t="s">
        <v>12067</v>
      </c>
    </row>
    <row r="172" spans="1:54">
      <c r="A172" s="1882" t="s">
        <v>11023</v>
      </c>
      <c r="B172" s="1882" t="s">
        <v>8352</v>
      </c>
      <c r="C172" s="1882" t="s">
        <v>8359</v>
      </c>
      <c r="D172" s="1882" t="s">
        <v>8503</v>
      </c>
      <c r="E172" s="1882" t="s">
        <v>8293</v>
      </c>
      <c r="F172" s="1882" t="s">
        <v>11026</v>
      </c>
      <c r="G172" s="1882"/>
      <c r="H172" s="1882"/>
      <c r="I172" s="1882"/>
      <c r="J172" s="1882"/>
      <c r="K172" s="1882"/>
      <c r="L172" s="1882"/>
      <c r="M172" s="1882"/>
      <c r="N172" s="1882"/>
      <c r="O172" s="1882"/>
      <c r="P172" s="1882" t="s">
        <v>2455</v>
      </c>
      <c r="Q172" s="1882" t="s">
        <v>12068</v>
      </c>
      <c r="R172" s="1882" t="s">
        <v>11811</v>
      </c>
      <c r="S172" s="1882"/>
      <c r="T172" s="1882" t="s">
        <v>764</v>
      </c>
      <c r="U172" s="520" t="s">
        <v>2453</v>
      </c>
      <c r="V172" s="1882">
        <v>0</v>
      </c>
      <c r="W172" s="1882"/>
      <c r="X172" s="1882">
        <v>0</v>
      </c>
      <c r="Y172" s="1882">
        <v>0</v>
      </c>
      <c r="Z172" s="1882">
        <v>0</v>
      </c>
      <c r="AA172" s="1882">
        <v>0</v>
      </c>
      <c r="AB172" s="1882">
        <v>0</v>
      </c>
      <c r="AC172" s="1882">
        <v>1</v>
      </c>
      <c r="AD172" s="1882"/>
      <c r="AE172" s="1882">
        <v>1</v>
      </c>
      <c r="AF172" s="1882">
        <v>1</v>
      </c>
      <c r="AG172" s="1882">
        <v>1</v>
      </c>
      <c r="AH172" s="1882">
        <v>1</v>
      </c>
      <c r="AI172" s="1882">
        <v>1</v>
      </c>
      <c r="AJ172" s="1882">
        <v>0</v>
      </c>
      <c r="AK172" s="1882"/>
      <c r="AL172" s="1882">
        <v>0</v>
      </c>
      <c r="AM172" s="1882">
        <v>0</v>
      </c>
      <c r="AN172" s="1882">
        <v>0</v>
      </c>
      <c r="AO172" s="1882">
        <v>0</v>
      </c>
      <c r="AP172" s="1882">
        <v>0</v>
      </c>
      <c r="AQ172" s="1882"/>
      <c r="AR172" s="1882">
        <v>0</v>
      </c>
      <c r="AS172" s="1882">
        <v>0</v>
      </c>
      <c r="AT172" s="1882" t="s">
        <v>2459</v>
      </c>
      <c r="AU172" s="1882">
        <v>0</v>
      </c>
      <c r="AV172" s="1882" t="s">
        <v>2459</v>
      </c>
      <c r="AW172" s="1882">
        <v>0</v>
      </c>
      <c r="AX172" s="1882" t="s">
        <v>2459</v>
      </c>
      <c r="AY172" s="1882">
        <v>0</v>
      </c>
      <c r="AZ172" s="1882" t="s">
        <v>2459</v>
      </c>
      <c r="BA172" s="1882"/>
      <c r="BB172" s="1882" t="s">
        <v>12069</v>
      </c>
    </row>
    <row r="173" spans="1:54">
      <c r="A173" s="1882" t="s">
        <v>11023</v>
      </c>
      <c r="B173" s="1882" t="s">
        <v>8352</v>
      </c>
      <c r="C173" s="1882" t="s">
        <v>8359</v>
      </c>
      <c r="D173" s="1882" t="s">
        <v>8503</v>
      </c>
      <c r="E173" s="1882" t="s">
        <v>8293</v>
      </c>
      <c r="F173" s="1882" t="s">
        <v>11026</v>
      </c>
      <c r="G173" s="1882"/>
      <c r="H173" s="1882"/>
      <c r="I173" s="1882"/>
      <c r="J173" s="1882"/>
      <c r="K173" s="1882"/>
      <c r="L173" s="1882"/>
      <c r="M173" s="1882"/>
      <c r="N173" s="1882"/>
      <c r="O173" s="1882"/>
      <c r="P173" s="1882" t="s">
        <v>2456</v>
      </c>
      <c r="Q173" s="1882" t="s">
        <v>12070</v>
      </c>
      <c r="R173" s="1882" t="s">
        <v>11785</v>
      </c>
      <c r="S173" s="1882"/>
      <c r="T173" s="1882" t="s">
        <v>764</v>
      </c>
      <c r="U173" s="520" t="s">
        <v>2453</v>
      </c>
      <c r="V173" s="1882">
        <v>11150</v>
      </c>
      <c r="W173" s="1882"/>
      <c r="X173" s="1882">
        <v>11150</v>
      </c>
      <c r="Y173" s="1882">
        <v>11150</v>
      </c>
      <c r="Z173" s="1882">
        <v>11150</v>
      </c>
      <c r="AA173" s="1882">
        <v>11150</v>
      </c>
      <c r="AB173" s="1882">
        <v>11150</v>
      </c>
      <c r="AC173" s="1882">
        <v>12416</v>
      </c>
      <c r="AD173" s="1882"/>
      <c r="AE173" s="1882">
        <v>12416</v>
      </c>
      <c r="AF173" s="1882">
        <v>12416</v>
      </c>
      <c r="AG173" s="1882">
        <v>12416</v>
      </c>
      <c r="AH173" s="1882">
        <v>12416</v>
      </c>
      <c r="AI173" s="1882">
        <v>12416</v>
      </c>
      <c r="AJ173" s="1882">
        <v>9884</v>
      </c>
      <c r="AK173" s="1882"/>
      <c r="AL173" s="1882">
        <v>9884</v>
      </c>
      <c r="AM173" s="1882">
        <v>9884</v>
      </c>
      <c r="AN173" s="1882">
        <v>9884</v>
      </c>
      <c r="AO173" s="1882">
        <v>9884</v>
      </c>
      <c r="AP173" s="1882">
        <v>9884</v>
      </c>
      <c r="AQ173" s="1882"/>
      <c r="AR173" s="1882">
        <v>7805</v>
      </c>
      <c r="AS173" s="1882">
        <v>4569</v>
      </c>
      <c r="AT173" s="1882" t="s">
        <v>2459</v>
      </c>
      <c r="AU173" s="1882">
        <v>6378</v>
      </c>
      <c r="AV173" s="1882" t="s">
        <v>2459</v>
      </c>
      <c r="AW173" s="1882">
        <v>11129</v>
      </c>
      <c r="AX173" s="1882" t="s">
        <v>2459</v>
      </c>
      <c r="AY173" s="1882">
        <v>12293</v>
      </c>
      <c r="AZ173" s="1882" t="s">
        <v>2459</v>
      </c>
      <c r="BA173" s="1882"/>
      <c r="BB173" s="1882" t="s">
        <v>12071</v>
      </c>
    </row>
    <row r="174" spans="1:54">
      <c r="A174" s="1882" t="s">
        <v>11069</v>
      </c>
      <c r="B174" s="1882" t="s">
        <v>8352</v>
      </c>
      <c r="C174" s="1882" t="s">
        <v>8359</v>
      </c>
      <c r="D174" s="1882" t="s">
        <v>8720</v>
      </c>
      <c r="E174" s="1882" t="s">
        <v>8293</v>
      </c>
      <c r="F174" s="1882" t="s">
        <v>11026</v>
      </c>
      <c r="G174" s="1882" t="s">
        <v>8519</v>
      </c>
      <c r="H174" s="1882" t="s">
        <v>8787</v>
      </c>
      <c r="I174" s="1882" t="s">
        <v>8856</v>
      </c>
      <c r="J174" s="1882" t="s">
        <v>8706</v>
      </c>
      <c r="K174" s="1882" t="s">
        <v>8706</v>
      </c>
      <c r="L174" s="1882" t="s">
        <v>8706</v>
      </c>
      <c r="M174" s="1882" t="s">
        <v>8706</v>
      </c>
      <c r="N174" s="1882" t="s">
        <v>8706</v>
      </c>
      <c r="O174" s="1882" t="s">
        <v>8706</v>
      </c>
      <c r="P174" s="1882" t="s">
        <v>11728</v>
      </c>
      <c r="Q174" s="1882" t="s">
        <v>11026</v>
      </c>
      <c r="R174" s="1882"/>
      <c r="S174" s="1882"/>
      <c r="T174" s="1882" t="s">
        <v>8704</v>
      </c>
      <c r="U174" s="1882" t="s">
        <v>8512</v>
      </c>
      <c r="V174" s="1882"/>
      <c r="W174" s="1882"/>
      <c r="X174" s="1882"/>
      <c r="Y174" s="1882"/>
      <c r="Z174" s="1882"/>
      <c r="AA174" s="1882"/>
      <c r="AB174" s="1882"/>
      <c r="AC174" s="1882"/>
      <c r="AD174" s="1882"/>
      <c r="AE174" s="1882"/>
      <c r="AF174" s="1882"/>
      <c r="AG174" s="1882"/>
      <c r="AH174" s="1882"/>
      <c r="AI174" s="1882"/>
      <c r="AJ174" s="1882"/>
      <c r="AK174" s="1882"/>
      <c r="AL174" s="1882"/>
      <c r="AM174" s="1882"/>
      <c r="AN174" s="1882"/>
      <c r="AO174" s="1882"/>
      <c r="AP174" s="1882"/>
      <c r="AQ174" s="1882"/>
      <c r="AR174" s="1882" t="s">
        <v>8706</v>
      </c>
      <c r="AS174" s="1882" t="s">
        <v>8706</v>
      </c>
      <c r="AT174" s="1882" t="s">
        <v>2459</v>
      </c>
      <c r="AU174" s="1882" t="s">
        <v>8706</v>
      </c>
      <c r="AV174" s="1882" t="s">
        <v>2459</v>
      </c>
      <c r="AW174" s="1882" t="s">
        <v>8706</v>
      </c>
      <c r="AX174" s="1882" t="s">
        <v>2459</v>
      </c>
      <c r="AY174" s="1882" t="s">
        <v>8706</v>
      </c>
      <c r="AZ174" s="1882" t="s">
        <v>2459</v>
      </c>
      <c r="BA174" s="1882"/>
      <c r="BB174" s="1882" t="s">
        <v>12049</v>
      </c>
    </row>
    <row r="175" spans="1:54">
      <c r="A175" s="1882" t="s">
        <v>11069</v>
      </c>
      <c r="B175" s="1882" t="s">
        <v>8352</v>
      </c>
      <c r="C175" s="1882" t="s">
        <v>8359</v>
      </c>
      <c r="D175" s="1882" t="s">
        <v>8720</v>
      </c>
      <c r="E175" s="1882" t="s">
        <v>8293</v>
      </c>
      <c r="F175" s="1882" t="s">
        <v>11026</v>
      </c>
      <c r="G175" s="1882"/>
      <c r="H175" s="1882"/>
      <c r="I175" s="1882"/>
      <c r="J175" s="1882"/>
      <c r="K175" s="1882"/>
      <c r="L175" s="1882"/>
      <c r="M175" s="1882"/>
      <c r="N175" s="1882"/>
      <c r="O175" s="1882"/>
      <c r="P175" s="1882" t="s">
        <v>11730</v>
      </c>
      <c r="Q175" s="1882" t="s">
        <v>12072</v>
      </c>
      <c r="R175" s="1882" t="s">
        <v>11761</v>
      </c>
      <c r="S175" s="1882"/>
      <c r="T175" s="1882" t="s">
        <v>764</v>
      </c>
      <c r="U175" s="520" t="s">
        <v>2453</v>
      </c>
      <c r="V175" s="1882">
        <v>504</v>
      </c>
      <c r="W175" s="1882"/>
      <c r="X175" s="1882">
        <v>775</v>
      </c>
      <c r="Y175" s="1882">
        <v>775</v>
      </c>
      <c r="Z175" s="1882">
        <v>775</v>
      </c>
      <c r="AA175" s="1882">
        <v>775</v>
      </c>
      <c r="AB175" s="1882">
        <v>775</v>
      </c>
      <c r="AC175" s="1882">
        <v>603</v>
      </c>
      <c r="AD175" s="1882"/>
      <c r="AE175" s="1882">
        <v>905</v>
      </c>
      <c r="AF175" s="1882">
        <v>905</v>
      </c>
      <c r="AG175" s="1882">
        <v>905</v>
      </c>
      <c r="AH175" s="1882">
        <v>905</v>
      </c>
      <c r="AI175" s="1882">
        <v>905</v>
      </c>
      <c r="AJ175" s="1882">
        <v>405</v>
      </c>
      <c r="AK175" s="1882"/>
      <c r="AL175" s="1882">
        <v>644</v>
      </c>
      <c r="AM175" s="1882">
        <v>644</v>
      </c>
      <c r="AN175" s="1882">
        <v>644</v>
      </c>
      <c r="AO175" s="1882">
        <v>644</v>
      </c>
      <c r="AP175" s="1882">
        <v>644</v>
      </c>
      <c r="AQ175" s="1882"/>
      <c r="AR175" s="1882">
        <v>796</v>
      </c>
      <c r="AS175" s="1882">
        <v>862</v>
      </c>
      <c r="AT175" s="1882" t="s">
        <v>2460</v>
      </c>
      <c r="AU175" s="1882">
        <v>836</v>
      </c>
      <c r="AV175" s="1882" t="s">
        <v>2460</v>
      </c>
      <c r="AW175" s="1882">
        <v>712</v>
      </c>
      <c r="AX175" s="1882" t="s">
        <v>2459</v>
      </c>
      <c r="AY175" s="1882">
        <v>659</v>
      </c>
      <c r="AZ175" s="1882" t="s">
        <v>2459</v>
      </c>
      <c r="BA175" s="1882"/>
      <c r="BB175" s="1882" t="s">
        <v>12073</v>
      </c>
    </row>
    <row r="176" spans="1:54">
      <c r="A176" s="1882" t="s">
        <v>11069</v>
      </c>
      <c r="B176" s="1882" t="s">
        <v>8352</v>
      </c>
      <c r="C176" s="1882" t="s">
        <v>8359</v>
      </c>
      <c r="D176" s="1882" t="s">
        <v>8720</v>
      </c>
      <c r="E176" s="1882" t="s">
        <v>8293</v>
      </c>
      <c r="F176" s="1882" t="s">
        <v>11026</v>
      </c>
      <c r="G176" s="1882"/>
      <c r="H176" s="1882"/>
      <c r="I176" s="1882"/>
      <c r="J176" s="1882"/>
      <c r="K176" s="1882"/>
      <c r="L176" s="1882"/>
      <c r="M176" s="1882"/>
      <c r="N176" s="1882"/>
      <c r="O176" s="1882"/>
      <c r="P176" s="1882" t="s">
        <v>11734</v>
      </c>
      <c r="Q176" s="1882" t="s">
        <v>12074</v>
      </c>
      <c r="R176" s="1882" t="s">
        <v>11759</v>
      </c>
      <c r="S176" s="1882"/>
      <c r="T176" s="1882" t="s">
        <v>764</v>
      </c>
      <c r="U176" s="520" t="s">
        <v>2453</v>
      </c>
      <c r="V176" s="1882">
        <v>155</v>
      </c>
      <c r="W176" s="1882">
        <v>100</v>
      </c>
      <c r="X176" s="1882">
        <v>155</v>
      </c>
      <c r="Y176" s="1882">
        <v>155</v>
      </c>
      <c r="Z176" s="1882">
        <v>155</v>
      </c>
      <c r="AA176" s="1882">
        <v>155</v>
      </c>
      <c r="AB176" s="1882">
        <v>155</v>
      </c>
      <c r="AC176" s="1882">
        <v>229</v>
      </c>
      <c r="AD176" s="1882"/>
      <c r="AE176" s="1882">
        <v>229</v>
      </c>
      <c r="AF176" s="1882">
        <v>229</v>
      </c>
      <c r="AG176" s="1882">
        <v>229</v>
      </c>
      <c r="AH176" s="1882">
        <v>229</v>
      </c>
      <c r="AI176" s="1882">
        <v>229</v>
      </c>
      <c r="AJ176" s="1882">
        <v>81</v>
      </c>
      <c r="AK176" s="1882"/>
      <c r="AL176" s="1882">
        <v>81</v>
      </c>
      <c r="AM176" s="1882">
        <v>81</v>
      </c>
      <c r="AN176" s="1882">
        <v>81</v>
      </c>
      <c r="AO176" s="1882">
        <v>81</v>
      </c>
      <c r="AP176" s="1882">
        <v>81</v>
      </c>
      <c r="AQ176" s="1882"/>
      <c r="AR176" s="1882">
        <v>83</v>
      </c>
      <c r="AS176" s="1882">
        <v>88</v>
      </c>
      <c r="AT176" s="1882" t="s">
        <v>2459</v>
      </c>
      <c r="AU176" s="1882">
        <v>89</v>
      </c>
      <c r="AV176" s="1882" t="s">
        <v>2459</v>
      </c>
      <c r="AW176" s="1882">
        <v>82</v>
      </c>
      <c r="AX176" s="1882" t="s">
        <v>2459</v>
      </c>
      <c r="AY176" s="1882">
        <v>73</v>
      </c>
      <c r="AZ176" s="1882" t="s">
        <v>2459</v>
      </c>
      <c r="BA176" s="1882"/>
      <c r="BB176" s="1882" t="s">
        <v>12075</v>
      </c>
    </row>
    <row r="177" spans="1:54">
      <c r="A177" s="1882" t="s">
        <v>11069</v>
      </c>
      <c r="B177" s="1882" t="s">
        <v>8352</v>
      </c>
      <c r="C177" s="1882" t="s">
        <v>8359</v>
      </c>
      <c r="D177" s="1882" t="s">
        <v>8720</v>
      </c>
      <c r="E177" s="1882" t="s">
        <v>8293</v>
      </c>
      <c r="F177" s="1882" t="s">
        <v>11026</v>
      </c>
      <c r="G177" s="1882"/>
      <c r="H177" s="1882"/>
      <c r="I177" s="1882"/>
      <c r="J177" s="1882"/>
      <c r="K177" s="1882"/>
      <c r="L177" s="1882"/>
      <c r="M177" s="1882"/>
      <c r="N177" s="1882"/>
      <c r="O177" s="1882"/>
      <c r="P177" s="1882" t="s">
        <v>11741</v>
      </c>
      <c r="Q177" s="1882" t="s">
        <v>12076</v>
      </c>
      <c r="R177" s="1882" t="s">
        <v>11764</v>
      </c>
      <c r="S177" s="1882"/>
      <c r="T177" s="1882" t="s">
        <v>764</v>
      </c>
      <c r="U177" s="520" t="s">
        <v>2453</v>
      </c>
      <c r="V177" s="1882">
        <v>120</v>
      </c>
      <c r="W177" s="1882">
        <v>100</v>
      </c>
      <c r="X177" s="1882">
        <v>240</v>
      </c>
      <c r="Y177" s="1882">
        <v>240</v>
      </c>
      <c r="Z177" s="1882">
        <v>240</v>
      </c>
      <c r="AA177" s="1882">
        <v>240</v>
      </c>
      <c r="AB177" s="1882">
        <v>240</v>
      </c>
      <c r="AC177" s="1882">
        <v>170</v>
      </c>
      <c r="AD177" s="1882"/>
      <c r="AE177" s="1882">
        <v>283</v>
      </c>
      <c r="AF177" s="1882">
        <v>283</v>
      </c>
      <c r="AG177" s="1882">
        <v>283</v>
      </c>
      <c r="AH177" s="1882">
        <v>283</v>
      </c>
      <c r="AI177" s="1882">
        <v>283</v>
      </c>
      <c r="AJ177" s="1882">
        <v>70</v>
      </c>
      <c r="AK177" s="1882"/>
      <c r="AL177" s="1882">
        <v>196</v>
      </c>
      <c r="AM177" s="1882">
        <v>196</v>
      </c>
      <c r="AN177" s="1882">
        <v>196</v>
      </c>
      <c r="AO177" s="1882">
        <v>196</v>
      </c>
      <c r="AP177" s="1882">
        <v>196</v>
      </c>
      <c r="AQ177" s="1882"/>
      <c r="AR177" s="1882">
        <v>228</v>
      </c>
      <c r="AS177" s="1882">
        <v>207</v>
      </c>
      <c r="AT177" s="1882" t="s">
        <v>2459</v>
      </c>
      <c r="AU177" s="1882">
        <v>224</v>
      </c>
      <c r="AV177" s="1882" t="s">
        <v>2459</v>
      </c>
      <c r="AW177" s="1882">
        <v>198</v>
      </c>
      <c r="AX177" s="1882" t="s">
        <v>2459</v>
      </c>
      <c r="AY177" s="1882">
        <v>212</v>
      </c>
      <c r="AZ177" s="1882" t="s">
        <v>2459</v>
      </c>
      <c r="BA177" s="1882"/>
      <c r="BB177" s="1882" t="s">
        <v>12077</v>
      </c>
    </row>
    <row r="178" spans="1:54">
      <c r="A178" s="1882" t="s">
        <v>11069</v>
      </c>
      <c r="B178" s="1882" t="s">
        <v>8352</v>
      </c>
      <c r="C178" s="1882" t="s">
        <v>8359</v>
      </c>
      <c r="D178" s="1882" t="s">
        <v>8720</v>
      </c>
      <c r="E178" s="1882" t="s">
        <v>8293</v>
      </c>
      <c r="F178" s="1882" t="s">
        <v>11026</v>
      </c>
      <c r="G178" s="1882"/>
      <c r="H178" s="1882"/>
      <c r="I178" s="1882"/>
      <c r="J178" s="1882"/>
      <c r="K178" s="1882"/>
      <c r="L178" s="1882"/>
      <c r="M178" s="1882"/>
      <c r="N178" s="1882"/>
      <c r="O178" s="1882"/>
      <c r="P178" s="1882" t="s">
        <v>11745</v>
      </c>
      <c r="Q178" s="1882" t="s">
        <v>12078</v>
      </c>
      <c r="R178" s="1882" t="s">
        <v>11764</v>
      </c>
      <c r="S178" s="1882"/>
      <c r="T178" s="1882" t="s">
        <v>764</v>
      </c>
      <c r="U178" s="520" t="s">
        <v>2453</v>
      </c>
      <c r="V178" s="1882">
        <v>92</v>
      </c>
      <c r="W178" s="1882">
        <v>86</v>
      </c>
      <c r="X178" s="1882">
        <v>92</v>
      </c>
      <c r="Y178" s="1882">
        <v>92</v>
      </c>
      <c r="Z178" s="1882">
        <v>92</v>
      </c>
      <c r="AA178" s="1882">
        <v>92</v>
      </c>
      <c r="AB178" s="1882">
        <v>92</v>
      </c>
      <c r="AC178" s="1882">
        <v>132</v>
      </c>
      <c r="AD178" s="1882"/>
      <c r="AE178" s="1882">
        <v>132</v>
      </c>
      <c r="AF178" s="1882">
        <v>132</v>
      </c>
      <c r="AG178" s="1882">
        <v>132</v>
      </c>
      <c r="AH178" s="1882">
        <v>132</v>
      </c>
      <c r="AI178" s="1882">
        <v>132</v>
      </c>
      <c r="AJ178" s="1882">
        <v>52</v>
      </c>
      <c r="AK178" s="1882"/>
      <c r="AL178" s="1882">
        <v>52</v>
      </c>
      <c r="AM178" s="1882">
        <v>52</v>
      </c>
      <c r="AN178" s="1882">
        <v>52</v>
      </c>
      <c r="AO178" s="1882">
        <v>52</v>
      </c>
      <c r="AP178" s="1882">
        <v>52</v>
      </c>
      <c r="AQ178" s="1882"/>
      <c r="AR178" s="1882">
        <v>38</v>
      </c>
      <c r="AS178" s="1882">
        <v>16</v>
      </c>
      <c r="AT178" s="1882" t="s">
        <v>2459</v>
      </c>
      <c r="AU178" s="1882">
        <v>18</v>
      </c>
      <c r="AV178" s="1882" t="s">
        <v>2459</v>
      </c>
      <c r="AW178" s="1882">
        <v>23</v>
      </c>
      <c r="AX178" s="1882" t="s">
        <v>2459</v>
      </c>
      <c r="AY178" s="1882">
        <v>9</v>
      </c>
      <c r="AZ178" s="1882" t="s">
        <v>2459</v>
      </c>
      <c r="BA178" s="1882"/>
      <c r="BB178" s="1882" t="s">
        <v>12079</v>
      </c>
    </row>
    <row r="179" spans="1:54">
      <c r="A179" s="1882" t="s">
        <v>11069</v>
      </c>
      <c r="B179" s="1882" t="s">
        <v>8352</v>
      </c>
      <c r="C179" s="1882" t="s">
        <v>8359</v>
      </c>
      <c r="D179" s="1882" t="s">
        <v>8720</v>
      </c>
      <c r="E179" s="1882" t="s">
        <v>8293</v>
      </c>
      <c r="F179" s="1882" t="s">
        <v>11026</v>
      </c>
      <c r="G179" s="1882"/>
      <c r="H179" s="1882"/>
      <c r="I179" s="1882"/>
      <c r="J179" s="1882"/>
      <c r="K179" s="1882"/>
      <c r="L179" s="1882"/>
      <c r="M179" s="1882"/>
      <c r="N179" s="1882"/>
      <c r="O179" s="1882"/>
      <c r="P179" s="1882" t="s">
        <v>11797</v>
      </c>
      <c r="Q179" s="1882" t="s">
        <v>12080</v>
      </c>
      <c r="R179" s="1882" t="s">
        <v>11766</v>
      </c>
      <c r="S179" s="1882"/>
      <c r="T179" s="1882" t="s">
        <v>764</v>
      </c>
      <c r="U179" s="520" t="s">
        <v>2453</v>
      </c>
      <c r="V179" s="1882">
        <v>13589</v>
      </c>
      <c r="W179" s="1882">
        <v>12700</v>
      </c>
      <c r="X179" s="1882">
        <v>28740</v>
      </c>
      <c r="Y179" s="1882">
        <v>28740</v>
      </c>
      <c r="Z179" s="1882">
        <v>28740</v>
      </c>
      <c r="AA179" s="1882">
        <v>28740</v>
      </c>
      <c r="AB179" s="1882">
        <v>28740</v>
      </c>
      <c r="AC179" s="1882">
        <v>14501</v>
      </c>
      <c r="AD179" s="1882"/>
      <c r="AE179" s="1882">
        <v>31410</v>
      </c>
      <c r="AF179" s="1882">
        <v>31410</v>
      </c>
      <c r="AG179" s="1882">
        <v>31410</v>
      </c>
      <c r="AH179" s="1882">
        <v>31410</v>
      </c>
      <c r="AI179" s="1882">
        <v>31410</v>
      </c>
      <c r="AJ179" s="1882">
        <v>13127</v>
      </c>
      <c r="AK179" s="1882"/>
      <c r="AL179" s="1882">
        <v>26070</v>
      </c>
      <c r="AM179" s="1882">
        <v>26070</v>
      </c>
      <c r="AN179" s="1882">
        <v>26070</v>
      </c>
      <c r="AO179" s="1882">
        <v>26070</v>
      </c>
      <c r="AP179" s="1882">
        <v>26070</v>
      </c>
      <c r="AQ179" s="1882"/>
      <c r="AR179" s="1882">
        <v>27842</v>
      </c>
      <c r="AS179" s="1882">
        <v>26771</v>
      </c>
      <c r="AT179" s="1882" t="s">
        <v>2459</v>
      </c>
      <c r="AU179" s="1882">
        <v>24203</v>
      </c>
      <c r="AV179" s="1882" t="s">
        <v>2459</v>
      </c>
      <c r="AW179" s="1882">
        <v>22612</v>
      </c>
      <c r="AX179" s="1882" t="s">
        <v>2459</v>
      </c>
      <c r="AY179" s="1882">
        <v>21979</v>
      </c>
      <c r="AZ179" s="1882" t="s">
        <v>2459</v>
      </c>
      <c r="BA179" s="1882"/>
      <c r="BB179" s="1882" t="s">
        <v>12081</v>
      </c>
    </row>
    <row r="180" spans="1:54">
      <c r="A180" s="1882" t="s">
        <v>11069</v>
      </c>
      <c r="B180" s="1882" t="s">
        <v>8352</v>
      </c>
      <c r="C180" s="1882" t="s">
        <v>8359</v>
      </c>
      <c r="D180" s="1882" t="s">
        <v>8720</v>
      </c>
      <c r="E180" s="1882" t="s">
        <v>8293</v>
      </c>
      <c r="F180" s="1882" t="s">
        <v>11026</v>
      </c>
      <c r="G180" s="1882"/>
      <c r="H180" s="1882"/>
      <c r="I180" s="1882"/>
      <c r="J180" s="1882"/>
      <c r="K180" s="1882"/>
      <c r="L180" s="1882"/>
      <c r="M180" s="1882"/>
      <c r="N180" s="1882"/>
      <c r="O180" s="1882"/>
      <c r="P180" s="1882" t="s">
        <v>11800</v>
      </c>
      <c r="Q180" s="1882" t="s">
        <v>12082</v>
      </c>
      <c r="R180" s="1882" t="s">
        <v>11917</v>
      </c>
      <c r="S180" s="1882"/>
      <c r="T180" s="1882" t="s">
        <v>764</v>
      </c>
      <c r="U180" s="520" t="s">
        <v>2453</v>
      </c>
      <c r="V180" s="1882">
        <v>250</v>
      </c>
      <c r="W180" s="1882"/>
      <c r="X180" s="1882">
        <v>250</v>
      </c>
      <c r="Y180" s="1882">
        <v>250</v>
      </c>
      <c r="Z180" s="1882">
        <v>250</v>
      </c>
      <c r="AA180" s="1882">
        <v>250</v>
      </c>
      <c r="AB180" s="1882">
        <v>250</v>
      </c>
      <c r="AC180" s="1882">
        <v>311</v>
      </c>
      <c r="AD180" s="1882"/>
      <c r="AE180" s="1882">
        <v>311</v>
      </c>
      <c r="AF180" s="1882">
        <v>311</v>
      </c>
      <c r="AG180" s="1882">
        <v>311</v>
      </c>
      <c r="AH180" s="1882">
        <v>311</v>
      </c>
      <c r="AI180" s="1882">
        <v>311</v>
      </c>
      <c r="AJ180" s="1882">
        <v>190</v>
      </c>
      <c r="AK180" s="1882"/>
      <c r="AL180" s="1882">
        <v>190</v>
      </c>
      <c r="AM180" s="1882">
        <v>190</v>
      </c>
      <c r="AN180" s="1882">
        <v>190</v>
      </c>
      <c r="AO180" s="1882">
        <v>190</v>
      </c>
      <c r="AP180" s="1882">
        <v>190</v>
      </c>
      <c r="AQ180" s="1882"/>
      <c r="AR180" s="1882">
        <v>46</v>
      </c>
      <c r="AS180" s="1882">
        <v>33</v>
      </c>
      <c r="AT180" s="1882" t="s">
        <v>2459</v>
      </c>
      <c r="AU180" s="1882">
        <v>16</v>
      </c>
      <c r="AV180" s="1882" t="s">
        <v>2459</v>
      </c>
      <c r="AW180" s="1882">
        <v>37</v>
      </c>
      <c r="AX180" s="1882" t="s">
        <v>2459</v>
      </c>
      <c r="AY180" s="1882">
        <v>54</v>
      </c>
      <c r="AZ180" s="1882" t="s">
        <v>2459</v>
      </c>
      <c r="BA180" s="1882"/>
      <c r="BB180" s="1882" t="s">
        <v>12083</v>
      </c>
    </row>
    <row r="181" spans="1:54">
      <c r="A181" s="1882" t="s">
        <v>11069</v>
      </c>
      <c r="B181" s="1882" t="s">
        <v>8352</v>
      </c>
      <c r="C181" s="1882" t="s">
        <v>8359</v>
      </c>
      <c r="D181" s="1882" t="s">
        <v>8720</v>
      </c>
      <c r="E181" s="1882" t="s">
        <v>8293</v>
      </c>
      <c r="F181" s="1882" t="s">
        <v>11026</v>
      </c>
      <c r="G181" s="1882"/>
      <c r="H181" s="1882"/>
      <c r="I181" s="1882"/>
      <c r="J181" s="1882"/>
      <c r="K181" s="1882"/>
      <c r="L181" s="1882"/>
      <c r="M181" s="1882"/>
      <c r="N181" s="1882"/>
      <c r="O181" s="1882"/>
      <c r="P181" s="1882" t="s">
        <v>11803</v>
      </c>
      <c r="Q181" s="1882" t="s">
        <v>12084</v>
      </c>
      <c r="R181" s="1882" t="s">
        <v>11773</v>
      </c>
      <c r="S181" s="1882"/>
      <c r="T181" s="1882" t="s">
        <v>732</v>
      </c>
      <c r="U181" s="1882">
        <v>2</v>
      </c>
      <c r="V181" s="1882">
        <v>2.44</v>
      </c>
      <c r="W181" s="1882"/>
      <c r="X181" s="1882">
        <v>2.44</v>
      </c>
      <c r="Y181" s="1882">
        <v>2.44</v>
      </c>
      <c r="Z181" s="1882">
        <v>2.44</v>
      </c>
      <c r="AA181" s="1882">
        <v>2.44</v>
      </c>
      <c r="AB181" s="1882">
        <v>2.44</v>
      </c>
      <c r="AC181" s="1882">
        <v>3.42</v>
      </c>
      <c r="AD181" s="1882"/>
      <c r="AE181" s="1882">
        <v>3.42</v>
      </c>
      <c r="AF181" s="1882">
        <v>3.42</v>
      </c>
      <c r="AG181" s="1882">
        <v>3.42</v>
      </c>
      <c r="AH181" s="1882">
        <v>3.42</v>
      </c>
      <c r="AI181" s="1882">
        <v>3.42</v>
      </c>
      <c r="AJ181" s="1882">
        <v>1.46</v>
      </c>
      <c r="AK181" s="1882"/>
      <c r="AL181" s="1882">
        <v>1.46</v>
      </c>
      <c r="AM181" s="1882">
        <v>1.46</v>
      </c>
      <c r="AN181" s="1882">
        <v>1.46</v>
      </c>
      <c r="AO181" s="1882">
        <v>1.46</v>
      </c>
      <c r="AP181" s="1882">
        <v>1.46</v>
      </c>
      <c r="AQ181" s="1882"/>
      <c r="AR181" s="1882">
        <v>0.87</v>
      </c>
      <c r="AS181" s="1882">
        <v>1.41</v>
      </c>
      <c r="AT181" s="1882" t="s">
        <v>2459</v>
      </c>
      <c r="AU181" s="1882">
        <v>0.53</v>
      </c>
      <c r="AV181" s="1882" t="s">
        <v>2459</v>
      </c>
      <c r="AW181" s="1882">
        <v>1.79</v>
      </c>
      <c r="AX181" s="1882" t="s">
        <v>2459</v>
      </c>
      <c r="AY181" s="1882">
        <v>0.36</v>
      </c>
      <c r="AZ181" s="1882" t="s">
        <v>2459</v>
      </c>
      <c r="BA181" s="1882"/>
      <c r="BB181" s="1882" t="s">
        <v>12085</v>
      </c>
    </row>
    <row r="182" spans="1:54">
      <c r="A182" s="1882" t="s">
        <v>11069</v>
      </c>
      <c r="B182" s="1882" t="s">
        <v>8352</v>
      </c>
      <c r="C182" s="1882" t="s">
        <v>8359</v>
      </c>
      <c r="D182" s="1882" t="s">
        <v>8720</v>
      </c>
      <c r="E182" s="1882" t="s">
        <v>8293</v>
      </c>
      <c r="F182" s="1882" t="s">
        <v>11026</v>
      </c>
      <c r="G182" s="1882"/>
      <c r="H182" s="1882"/>
      <c r="I182" s="1882"/>
      <c r="J182" s="1882"/>
      <c r="K182" s="1882"/>
      <c r="L182" s="1882"/>
      <c r="M182" s="1882"/>
      <c r="N182" s="1882"/>
      <c r="O182" s="1882"/>
      <c r="P182" s="1882" t="s">
        <v>11806</v>
      </c>
      <c r="Q182" s="1882" t="s">
        <v>12086</v>
      </c>
      <c r="R182" s="1882" t="s">
        <v>11770</v>
      </c>
      <c r="S182" s="1882"/>
      <c r="T182" s="1882" t="s">
        <v>732</v>
      </c>
      <c r="U182" s="1882">
        <v>2</v>
      </c>
      <c r="V182" s="1882">
        <v>0.1</v>
      </c>
      <c r="W182" s="1882"/>
      <c r="X182" s="1882">
        <v>0.1</v>
      </c>
      <c r="Y182" s="1882">
        <v>0.1</v>
      </c>
      <c r="Z182" s="1882">
        <v>0.1</v>
      </c>
      <c r="AA182" s="1882">
        <v>0.1</v>
      </c>
      <c r="AB182" s="1882">
        <v>0.1</v>
      </c>
      <c r="AC182" s="1882">
        <v>0.19</v>
      </c>
      <c r="AD182" s="1882"/>
      <c r="AE182" s="1882">
        <v>0.19</v>
      </c>
      <c r="AF182" s="1882">
        <v>0.19</v>
      </c>
      <c r="AG182" s="1882">
        <v>0.19</v>
      </c>
      <c r="AH182" s="1882">
        <v>0.19</v>
      </c>
      <c r="AI182" s="1882">
        <v>0.19</v>
      </c>
      <c r="AJ182" s="1882">
        <v>0.01</v>
      </c>
      <c r="AK182" s="1882"/>
      <c r="AL182" s="1882">
        <v>0.01</v>
      </c>
      <c r="AM182" s="1882">
        <v>0.01</v>
      </c>
      <c r="AN182" s="1882">
        <v>0.01</v>
      </c>
      <c r="AO182" s="1882">
        <v>0.01</v>
      </c>
      <c r="AP182" s="1882">
        <v>0.01</v>
      </c>
      <c r="AQ182" s="1882"/>
      <c r="AR182" s="1882">
        <v>0.1</v>
      </c>
      <c r="AS182" s="1882">
        <v>0.03</v>
      </c>
      <c r="AT182" s="1882" t="s">
        <v>2459</v>
      </c>
      <c r="AU182" s="1882">
        <v>0.02</v>
      </c>
      <c r="AV182" s="1882" t="s">
        <v>2459</v>
      </c>
      <c r="AW182" s="1882">
        <v>4.45</v>
      </c>
      <c r="AX182" s="1882" t="s">
        <v>2460</v>
      </c>
      <c r="AY182" s="1882">
        <v>0</v>
      </c>
      <c r="AZ182" s="1882" t="s">
        <v>2459</v>
      </c>
      <c r="BA182" s="1882"/>
      <c r="BB182" s="1882" t="s">
        <v>12087</v>
      </c>
    </row>
    <row r="183" spans="1:54">
      <c r="A183" s="1882" t="s">
        <v>11069</v>
      </c>
      <c r="B183" s="1882" t="s">
        <v>8352</v>
      </c>
      <c r="C183" s="1882" t="s">
        <v>8359</v>
      </c>
      <c r="D183" s="1882" t="s">
        <v>8720</v>
      </c>
      <c r="E183" s="1882" t="s">
        <v>8293</v>
      </c>
      <c r="F183" s="1882" t="s">
        <v>11026</v>
      </c>
      <c r="G183" s="1882"/>
      <c r="H183" s="1882"/>
      <c r="I183" s="1882"/>
      <c r="J183" s="1882"/>
      <c r="K183" s="1882"/>
      <c r="L183" s="1882"/>
      <c r="M183" s="1882"/>
      <c r="N183" s="1882"/>
      <c r="O183" s="1882"/>
      <c r="P183" s="1882" t="s">
        <v>11809</v>
      </c>
      <c r="Q183" s="1882" t="s">
        <v>12070</v>
      </c>
      <c r="R183" s="1882" t="s">
        <v>11925</v>
      </c>
      <c r="S183" s="1882"/>
      <c r="T183" s="1882" t="s">
        <v>764</v>
      </c>
      <c r="U183" s="520" t="s">
        <v>2453</v>
      </c>
      <c r="V183" s="1882">
        <v>27493</v>
      </c>
      <c r="W183" s="1882"/>
      <c r="X183" s="1882">
        <v>27493</v>
      </c>
      <c r="Y183" s="1882">
        <v>27493</v>
      </c>
      <c r="Z183" s="1882">
        <v>27493</v>
      </c>
      <c r="AA183" s="1882">
        <v>27493</v>
      </c>
      <c r="AB183" s="1882">
        <v>27493</v>
      </c>
      <c r="AC183" s="1882">
        <v>29627</v>
      </c>
      <c r="AD183" s="1882"/>
      <c r="AE183" s="1882">
        <v>29627</v>
      </c>
      <c r="AF183" s="1882">
        <v>29627</v>
      </c>
      <c r="AG183" s="1882">
        <v>29627</v>
      </c>
      <c r="AH183" s="1882">
        <v>29627</v>
      </c>
      <c r="AI183" s="1882">
        <v>29627</v>
      </c>
      <c r="AJ183" s="1882">
        <v>25358</v>
      </c>
      <c r="AK183" s="1882"/>
      <c r="AL183" s="1882">
        <v>25358</v>
      </c>
      <c r="AM183" s="1882">
        <v>25358</v>
      </c>
      <c r="AN183" s="1882">
        <v>25358</v>
      </c>
      <c r="AO183" s="1882">
        <v>25358</v>
      </c>
      <c r="AP183" s="1882">
        <v>25358</v>
      </c>
      <c r="AQ183" s="1882"/>
      <c r="AR183" s="1882">
        <v>45547</v>
      </c>
      <c r="AS183" s="1882">
        <v>43132</v>
      </c>
      <c r="AT183" s="1882" t="s">
        <v>2460</v>
      </c>
      <c r="AU183" s="1882">
        <v>33664</v>
      </c>
      <c r="AV183" s="1882" t="s">
        <v>2460</v>
      </c>
      <c r="AW183" s="1882">
        <v>32887</v>
      </c>
      <c r="AX183" s="1882" t="s">
        <v>2460</v>
      </c>
      <c r="AY183" s="1882">
        <v>37280</v>
      </c>
      <c r="AZ183" s="1882" t="s">
        <v>2460</v>
      </c>
      <c r="BA183" s="1882"/>
      <c r="BB183" s="1882" t="s">
        <v>12071</v>
      </c>
    </row>
    <row r="184" spans="1:54">
      <c r="A184" s="1882" t="s">
        <v>11296</v>
      </c>
      <c r="B184" s="1882" t="s">
        <v>8352</v>
      </c>
      <c r="C184" s="1882" t="s">
        <v>8391</v>
      </c>
      <c r="D184" s="1882" t="s">
        <v>8503</v>
      </c>
      <c r="E184" s="1882" t="s">
        <v>10512</v>
      </c>
      <c r="F184" s="1882" t="s">
        <v>11298</v>
      </c>
      <c r="G184" s="1882" t="s">
        <v>8519</v>
      </c>
      <c r="H184" s="1882" t="s">
        <v>8569</v>
      </c>
      <c r="I184" s="1882" t="s">
        <v>8856</v>
      </c>
      <c r="J184" s="1882" t="s">
        <v>8706</v>
      </c>
      <c r="K184" s="1882"/>
      <c r="L184" s="1882"/>
      <c r="M184" s="1882"/>
      <c r="N184" s="1882"/>
      <c r="O184" s="1882" t="s">
        <v>8706</v>
      </c>
      <c r="P184" s="1882" t="s">
        <v>11728</v>
      </c>
      <c r="Q184" s="1882" t="s">
        <v>11298</v>
      </c>
      <c r="R184" s="1882"/>
      <c r="S184" s="1882"/>
      <c r="T184" s="1882" t="s">
        <v>8704</v>
      </c>
      <c r="U184" s="1882" t="s">
        <v>8512</v>
      </c>
      <c r="V184" s="1882"/>
      <c r="W184" s="1882"/>
      <c r="X184" s="1882"/>
      <c r="Y184" s="1882"/>
      <c r="Z184" s="1882"/>
      <c r="AA184" s="1882"/>
      <c r="AB184" s="1882"/>
      <c r="AC184" s="1882"/>
      <c r="AD184" s="1882"/>
      <c r="AE184" s="1882"/>
      <c r="AF184" s="1882"/>
      <c r="AG184" s="1882"/>
      <c r="AH184" s="1882"/>
      <c r="AI184" s="1882"/>
      <c r="AJ184" s="1882"/>
      <c r="AK184" s="1882"/>
      <c r="AL184" s="1882"/>
      <c r="AM184" s="1882"/>
      <c r="AN184" s="1882"/>
      <c r="AO184" s="1882"/>
      <c r="AP184" s="1882"/>
      <c r="AQ184" s="1882"/>
      <c r="AR184" s="1882" t="s">
        <v>8706</v>
      </c>
      <c r="AS184" s="1882" t="s">
        <v>8706</v>
      </c>
      <c r="AT184" s="1882"/>
      <c r="AU184" s="1882" t="s">
        <v>11300</v>
      </c>
      <c r="AV184" s="1882" t="s">
        <v>2451</v>
      </c>
      <c r="AW184" s="1882" t="s">
        <v>8706</v>
      </c>
      <c r="AX184" s="1882" t="s">
        <v>2451</v>
      </c>
      <c r="AY184" s="1882" t="s">
        <v>8706</v>
      </c>
      <c r="AZ184" s="1882" t="s">
        <v>2459</v>
      </c>
      <c r="BA184" s="1882"/>
      <c r="BB184" s="1882" t="s">
        <v>12088</v>
      </c>
    </row>
    <row r="185" spans="1:54">
      <c r="A185" s="1882" t="s">
        <v>11296</v>
      </c>
      <c r="B185" s="1882" t="s">
        <v>8352</v>
      </c>
      <c r="C185" s="1882" t="s">
        <v>8391</v>
      </c>
      <c r="D185" s="1882" t="s">
        <v>8503</v>
      </c>
      <c r="E185" s="1882" t="s">
        <v>10512</v>
      </c>
      <c r="F185" s="1882" t="s">
        <v>11298</v>
      </c>
      <c r="G185" s="1882"/>
      <c r="H185" s="1882"/>
      <c r="I185" s="1882"/>
      <c r="J185" s="1882"/>
      <c r="K185" s="1882"/>
      <c r="L185" s="1882"/>
      <c r="M185" s="1882"/>
      <c r="N185" s="1882"/>
      <c r="O185" s="1882"/>
      <c r="P185" s="1882" t="s">
        <v>11730</v>
      </c>
      <c r="Q185" s="1882" t="s">
        <v>11854</v>
      </c>
      <c r="R185" s="1882" t="s">
        <v>11751</v>
      </c>
      <c r="S185" s="1882"/>
      <c r="T185" s="1882" t="s">
        <v>732</v>
      </c>
      <c r="U185" s="1882">
        <v>3</v>
      </c>
      <c r="V185" s="1882"/>
      <c r="W185" s="1882"/>
      <c r="X185" s="1882">
        <v>0.04</v>
      </c>
      <c r="Y185" s="1882">
        <v>0.04</v>
      </c>
      <c r="Z185" s="1882">
        <v>0.04</v>
      </c>
      <c r="AA185" s="1882">
        <v>0.04</v>
      </c>
      <c r="AB185" s="1882">
        <v>0.04</v>
      </c>
      <c r="AC185" s="1882"/>
      <c r="AD185" s="1882"/>
      <c r="AE185" s="1882">
        <v>7.0000000000000007E-2</v>
      </c>
      <c r="AF185" s="1882">
        <v>7.0000000000000007E-2</v>
      </c>
      <c r="AG185" s="1882">
        <v>7.0000000000000007E-2</v>
      </c>
      <c r="AH185" s="1882">
        <v>7.0000000000000007E-2</v>
      </c>
      <c r="AI185" s="1882">
        <v>7.0000000000000007E-2</v>
      </c>
      <c r="AJ185" s="1882"/>
      <c r="AK185" s="1882"/>
      <c r="AL185" s="1882"/>
      <c r="AM185" s="1882"/>
      <c r="AN185" s="1882"/>
      <c r="AO185" s="1882"/>
      <c r="AP185" s="1882"/>
      <c r="AQ185" s="1882"/>
      <c r="AR185" s="1882">
        <v>5.7000000000000002E-2</v>
      </c>
      <c r="AS185" s="1882">
        <v>1.4E-2</v>
      </c>
      <c r="AT185" s="1882"/>
      <c r="AU185" s="1882">
        <v>7.0000000000000001E-3</v>
      </c>
      <c r="AV185" s="1882" t="s">
        <v>2459</v>
      </c>
      <c r="AW185" s="1882">
        <v>1.4E-2</v>
      </c>
      <c r="AX185" s="1882" t="s">
        <v>2459</v>
      </c>
      <c r="AY185" s="1882">
        <v>2.1000000000000001E-2</v>
      </c>
      <c r="AZ185" s="1882" t="s">
        <v>2459</v>
      </c>
      <c r="BA185" s="1882"/>
      <c r="BB185" s="1882" t="s">
        <v>12089</v>
      </c>
    </row>
    <row r="186" spans="1:54">
      <c r="A186" s="1882" t="s">
        <v>11296</v>
      </c>
      <c r="B186" s="1882" t="s">
        <v>8352</v>
      </c>
      <c r="C186" s="1882" t="s">
        <v>8391</v>
      </c>
      <c r="D186" s="1882" t="s">
        <v>8503</v>
      </c>
      <c r="E186" s="1882" t="s">
        <v>10512</v>
      </c>
      <c r="F186" s="1882" t="s">
        <v>11298</v>
      </c>
      <c r="G186" s="1882"/>
      <c r="H186" s="1882"/>
      <c r="I186" s="1882"/>
      <c r="J186" s="1882"/>
      <c r="K186" s="1882"/>
      <c r="L186" s="1882"/>
      <c r="M186" s="1882"/>
      <c r="N186" s="1882"/>
      <c r="O186" s="1882"/>
      <c r="P186" s="1882" t="s">
        <v>11734</v>
      </c>
      <c r="Q186" s="1882" t="s">
        <v>12090</v>
      </c>
      <c r="R186" s="1882" t="s">
        <v>11754</v>
      </c>
      <c r="S186" s="1882"/>
      <c r="T186" s="1882" t="s">
        <v>732</v>
      </c>
      <c r="U186" s="1882">
        <v>2</v>
      </c>
      <c r="V186" s="1882"/>
      <c r="W186" s="1882"/>
      <c r="X186" s="1882">
        <v>0</v>
      </c>
      <c r="Y186" s="1882">
        <v>0</v>
      </c>
      <c r="Z186" s="1882">
        <v>0</v>
      </c>
      <c r="AA186" s="1882">
        <v>0</v>
      </c>
      <c r="AB186" s="1882">
        <v>0</v>
      </c>
      <c r="AC186" s="1882"/>
      <c r="AD186" s="1882"/>
      <c r="AE186" s="1882">
        <v>0.24</v>
      </c>
      <c r="AF186" s="1882">
        <v>0.24</v>
      </c>
      <c r="AG186" s="1882">
        <v>0.24</v>
      </c>
      <c r="AH186" s="1882">
        <v>0.24</v>
      </c>
      <c r="AI186" s="1882">
        <v>0.24</v>
      </c>
      <c r="AJ186" s="1882"/>
      <c r="AK186" s="1882"/>
      <c r="AL186" s="1882"/>
      <c r="AM186" s="1882"/>
      <c r="AN186" s="1882"/>
      <c r="AO186" s="1882"/>
      <c r="AP186" s="1882"/>
      <c r="AQ186" s="1882"/>
      <c r="AR186" s="1882">
        <v>0</v>
      </c>
      <c r="AS186" s="1882">
        <v>0</v>
      </c>
      <c r="AT186" s="1882"/>
      <c r="AU186" s="1882">
        <v>0</v>
      </c>
      <c r="AV186" s="1882" t="s">
        <v>2459</v>
      </c>
      <c r="AW186" s="1882">
        <v>0</v>
      </c>
      <c r="AX186" s="1882" t="s">
        <v>2459</v>
      </c>
      <c r="AY186" s="1882">
        <v>0</v>
      </c>
      <c r="AZ186" s="1882" t="s">
        <v>2459</v>
      </c>
      <c r="BA186" s="1882"/>
      <c r="BB186" s="1882" t="s">
        <v>12091</v>
      </c>
    </row>
    <row r="187" spans="1:54">
      <c r="A187" s="1882" t="s">
        <v>11296</v>
      </c>
      <c r="B187" s="1882" t="s">
        <v>8352</v>
      </c>
      <c r="C187" s="1882" t="s">
        <v>8391</v>
      </c>
      <c r="D187" s="1882" t="s">
        <v>8503</v>
      </c>
      <c r="E187" s="1882" t="s">
        <v>10512</v>
      </c>
      <c r="F187" s="1882" t="s">
        <v>11298</v>
      </c>
      <c r="G187" s="1882"/>
      <c r="H187" s="1882"/>
      <c r="I187" s="1882"/>
      <c r="J187" s="1882"/>
      <c r="K187" s="1882"/>
      <c r="L187" s="1882"/>
      <c r="M187" s="1882"/>
      <c r="N187" s="1882"/>
      <c r="O187" s="1882"/>
      <c r="P187" s="1882" t="s">
        <v>11741</v>
      </c>
      <c r="Q187" s="1882" t="s">
        <v>12092</v>
      </c>
      <c r="R187" s="1882" t="s">
        <v>11756</v>
      </c>
      <c r="S187" s="1882"/>
      <c r="T187" s="1882" t="s">
        <v>764</v>
      </c>
      <c r="U187" s="520" t="s">
        <v>2453</v>
      </c>
      <c r="V187" s="1882"/>
      <c r="W187" s="1882"/>
      <c r="X187" s="1882">
        <v>0</v>
      </c>
      <c r="Y187" s="1882">
        <v>0</v>
      </c>
      <c r="Z187" s="1882">
        <v>0</v>
      </c>
      <c r="AA187" s="1882">
        <v>0</v>
      </c>
      <c r="AB187" s="1882">
        <v>0</v>
      </c>
      <c r="AC187" s="1882"/>
      <c r="AD187" s="1882"/>
      <c r="AE187" s="1882">
        <v>4</v>
      </c>
      <c r="AF187" s="1882">
        <v>4</v>
      </c>
      <c r="AG187" s="1882">
        <v>4</v>
      </c>
      <c r="AH187" s="1882">
        <v>4</v>
      </c>
      <c r="AI187" s="1882">
        <v>4</v>
      </c>
      <c r="AJ187" s="1882"/>
      <c r="AK187" s="1882"/>
      <c r="AL187" s="1882"/>
      <c r="AM187" s="1882"/>
      <c r="AN187" s="1882"/>
      <c r="AO187" s="1882"/>
      <c r="AP187" s="1882"/>
      <c r="AQ187" s="1882"/>
      <c r="AR187" s="1882">
        <v>0</v>
      </c>
      <c r="AS187" s="1882">
        <v>0</v>
      </c>
      <c r="AT187" s="1882"/>
      <c r="AU187" s="1882">
        <v>1</v>
      </c>
      <c r="AV187" s="1882" t="s">
        <v>2460</v>
      </c>
      <c r="AW187" s="1882">
        <v>0</v>
      </c>
      <c r="AX187" s="1882" t="s">
        <v>2459</v>
      </c>
      <c r="AY187" s="1882">
        <v>0</v>
      </c>
      <c r="AZ187" s="1882" t="s">
        <v>2459</v>
      </c>
      <c r="BA187" s="1882"/>
      <c r="BB187" s="1882" t="s">
        <v>12093</v>
      </c>
    </row>
    <row r="188" spans="1:54">
      <c r="A188" s="1882" t="s">
        <v>11296</v>
      </c>
      <c r="B188" s="1882" t="s">
        <v>8352</v>
      </c>
      <c r="C188" s="1882" t="s">
        <v>8391</v>
      </c>
      <c r="D188" s="1882" t="s">
        <v>8503</v>
      </c>
      <c r="E188" s="1882" t="s">
        <v>10512</v>
      </c>
      <c r="F188" s="1882" t="s">
        <v>11298</v>
      </c>
      <c r="G188" s="1882"/>
      <c r="H188" s="1882"/>
      <c r="I188" s="1882"/>
      <c r="J188" s="1882"/>
      <c r="K188" s="1882"/>
      <c r="L188" s="1882"/>
      <c r="M188" s="1882"/>
      <c r="N188" s="1882"/>
      <c r="O188" s="1882"/>
      <c r="P188" s="1882" t="s">
        <v>11745</v>
      </c>
      <c r="Q188" s="1882" t="s">
        <v>12094</v>
      </c>
      <c r="R188" s="1882" t="s">
        <v>11811</v>
      </c>
      <c r="S188" s="1882"/>
      <c r="T188" s="1882" t="s">
        <v>764</v>
      </c>
      <c r="U188" s="520" t="s">
        <v>2453</v>
      </c>
      <c r="V188" s="1882"/>
      <c r="W188" s="1882"/>
      <c r="X188" s="1882">
        <v>0</v>
      </c>
      <c r="Y188" s="1882">
        <v>0</v>
      </c>
      <c r="Z188" s="1882">
        <v>0</v>
      </c>
      <c r="AA188" s="1882">
        <v>0</v>
      </c>
      <c r="AB188" s="1882">
        <v>0</v>
      </c>
      <c r="AC188" s="1882"/>
      <c r="AD188" s="1882"/>
      <c r="AE188" s="1882">
        <v>1</v>
      </c>
      <c r="AF188" s="1882">
        <v>1</v>
      </c>
      <c r="AG188" s="1882">
        <v>1</v>
      </c>
      <c r="AH188" s="1882">
        <v>1</v>
      </c>
      <c r="AI188" s="1882">
        <v>1</v>
      </c>
      <c r="AJ188" s="1882"/>
      <c r="AK188" s="1882"/>
      <c r="AL188" s="1882"/>
      <c r="AM188" s="1882"/>
      <c r="AN188" s="1882"/>
      <c r="AO188" s="1882"/>
      <c r="AP188" s="1882"/>
      <c r="AQ188" s="1882"/>
      <c r="AR188" s="1882">
        <v>0</v>
      </c>
      <c r="AS188" s="1882">
        <v>0</v>
      </c>
      <c r="AT188" s="1882"/>
      <c r="AU188" s="1882">
        <v>0</v>
      </c>
      <c r="AV188" s="1882" t="s">
        <v>2459</v>
      </c>
      <c r="AW188" s="1882">
        <v>1</v>
      </c>
      <c r="AX188" s="1882" t="s">
        <v>2460</v>
      </c>
      <c r="AY188" s="1882">
        <v>0</v>
      </c>
      <c r="AZ188" s="1882" t="s">
        <v>2459</v>
      </c>
      <c r="BA188" s="1882"/>
      <c r="BB188" s="1882" t="s">
        <v>12095</v>
      </c>
    </row>
    <row r="189" spans="1:54">
      <c r="A189" s="1882" t="s">
        <v>11296</v>
      </c>
      <c r="B189" s="1882" t="s">
        <v>8352</v>
      </c>
      <c r="C189" s="1882" t="s">
        <v>8391</v>
      </c>
      <c r="D189" s="1882" t="s">
        <v>8503</v>
      </c>
      <c r="E189" s="1882" t="s">
        <v>10512</v>
      </c>
      <c r="F189" s="1882" t="s">
        <v>11298</v>
      </c>
      <c r="G189" s="1882"/>
      <c r="H189" s="1882"/>
      <c r="I189" s="1882"/>
      <c r="J189" s="1882"/>
      <c r="K189" s="1882"/>
      <c r="L189" s="1882"/>
      <c r="M189" s="1882"/>
      <c r="N189" s="1882"/>
      <c r="O189" s="1882"/>
      <c r="P189" s="1882" t="s">
        <v>11797</v>
      </c>
      <c r="Q189" s="1882" t="s">
        <v>12096</v>
      </c>
      <c r="R189" s="1882" t="s">
        <v>12097</v>
      </c>
      <c r="S189" s="1882"/>
      <c r="T189" s="1882" t="s">
        <v>764</v>
      </c>
      <c r="U189" s="520" t="s">
        <v>2453</v>
      </c>
      <c r="V189" s="1882"/>
      <c r="W189" s="1882"/>
      <c r="X189" s="1882">
        <v>6771</v>
      </c>
      <c r="Y189" s="1882">
        <v>6771</v>
      </c>
      <c r="Z189" s="1882">
        <v>6771</v>
      </c>
      <c r="AA189" s="1882">
        <v>6771</v>
      </c>
      <c r="AB189" s="1882">
        <v>6771</v>
      </c>
      <c r="AC189" s="1882"/>
      <c r="AD189" s="1882"/>
      <c r="AE189" s="1882">
        <v>8380</v>
      </c>
      <c r="AF189" s="1882">
        <v>8380</v>
      </c>
      <c r="AG189" s="1882">
        <v>8380</v>
      </c>
      <c r="AH189" s="1882">
        <v>8380</v>
      </c>
      <c r="AI189" s="1882">
        <v>8380</v>
      </c>
      <c r="AJ189" s="1882"/>
      <c r="AK189" s="1882"/>
      <c r="AL189" s="1882"/>
      <c r="AM189" s="1882"/>
      <c r="AN189" s="1882"/>
      <c r="AO189" s="1882"/>
      <c r="AP189" s="1882"/>
      <c r="AQ189" s="1882"/>
      <c r="AR189" s="1882">
        <v>4381</v>
      </c>
      <c r="AS189" s="1882">
        <v>3955</v>
      </c>
      <c r="AT189" s="1882"/>
      <c r="AU189" s="1882">
        <v>4386</v>
      </c>
      <c r="AV189" s="1882" t="s">
        <v>2459</v>
      </c>
      <c r="AW189" s="1882">
        <v>3744</v>
      </c>
      <c r="AX189" s="1882" t="s">
        <v>2459</v>
      </c>
      <c r="AY189" s="1882">
        <v>3768</v>
      </c>
      <c r="AZ189" s="1882" t="s">
        <v>2459</v>
      </c>
      <c r="BA189" s="1882"/>
      <c r="BB189" s="1882" t="s">
        <v>12098</v>
      </c>
    </row>
    <row r="190" spans="1:54">
      <c r="A190" s="1882" t="s">
        <v>11317</v>
      </c>
      <c r="B190" s="1882" t="s">
        <v>8352</v>
      </c>
      <c r="C190" s="1882" t="s">
        <v>8391</v>
      </c>
      <c r="D190" s="1882" t="s">
        <v>8503</v>
      </c>
      <c r="E190" s="1882" t="s">
        <v>10541</v>
      </c>
      <c r="F190" s="1882" t="s">
        <v>11319</v>
      </c>
      <c r="G190" s="1882" t="s">
        <v>8519</v>
      </c>
      <c r="H190" s="1882" t="s">
        <v>8569</v>
      </c>
      <c r="I190" s="1882" t="s">
        <v>8856</v>
      </c>
      <c r="J190" s="1882" t="s">
        <v>8706</v>
      </c>
      <c r="K190" s="1882"/>
      <c r="L190" s="1882"/>
      <c r="M190" s="1882"/>
      <c r="N190" s="1882"/>
      <c r="O190" s="1882" t="s">
        <v>8706</v>
      </c>
      <c r="P190" s="1882" t="s">
        <v>11728</v>
      </c>
      <c r="Q190" s="1882" t="s">
        <v>11319</v>
      </c>
      <c r="R190" s="1882"/>
      <c r="S190" s="1882"/>
      <c r="T190" s="1882" t="s">
        <v>8704</v>
      </c>
      <c r="U190" s="1882" t="s">
        <v>8512</v>
      </c>
      <c r="V190" s="1882"/>
      <c r="W190" s="1882"/>
      <c r="X190" s="1882"/>
      <c r="Y190" s="1882"/>
      <c r="Z190" s="1882"/>
      <c r="AA190" s="1882"/>
      <c r="AB190" s="1882"/>
      <c r="AC190" s="1882"/>
      <c r="AD190" s="1882"/>
      <c r="AE190" s="1882"/>
      <c r="AF190" s="1882"/>
      <c r="AG190" s="1882"/>
      <c r="AH190" s="1882"/>
      <c r="AI190" s="1882"/>
      <c r="AJ190" s="1882"/>
      <c r="AK190" s="1882"/>
      <c r="AL190" s="1882"/>
      <c r="AM190" s="1882"/>
      <c r="AN190" s="1882"/>
      <c r="AO190" s="1882"/>
      <c r="AP190" s="1882"/>
      <c r="AQ190" s="1882"/>
      <c r="AR190" s="1882" t="s">
        <v>8706</v>
      </c>
      <c r="AS190" s="1882" t="s">
        <v>8706</v>
      </c>
      <c r="AT190" s="1882"/>
      <c r="AU190" s="1882" t="s">
        <v>8706</v>
      </c>
      <c r="AV190" s="1882" t="s">
        <v>2451</v>
      </c>
      <c r="AW190" s="1882" t="s">
        <v>8706</v>
      </c>
      <c r="AX190" s="1882" t="s">
        <v>2451</v>
      </c>
      <c r="AY190" s="1882" t="s">
        <v>8706</v>
      </c>
      <c r="AZ190" s="1882" t="s">
        <v>2459</v>
      </c>
      <c r="BA190" s="1882"/>
      <c r="BB190" s="1882" t="s">
        <v>12099</v>
      </c>
    </row>
    <row r="191" spans="1:54">
      <c r="A191" s="1882" t="s">
        <v>11317</v>
      </c>
      <c r="B191" s="1882" t="s">
        <v>8352</v>
      </c>
      <c r="C191" s="1882" t="s">
        <v>8391</v>
      </c>
      <c r="D191" s="1882" t="s">
        <v>8503</v>
      </c>
      <c r="E191" s="1882" t="s">
        <v>10541</v>
      </c>
      <c r="F191" s="1882" t="s">
        <v>11319</v>
      </c>
      <c r="G191" s="1882"/>
      <c r="H191" s="1882"/>
      <c r="I191" s="1882"/>
      <c r="J191" s="1882"/>
      <c r="K191" s="1882"/>
      <c r="L191" s="1882"/>
      <c r="M191" s="1882"/>
      <c r="N191" s="1882"/>
      <c r="O191" s="1882"/>
      <c r="P191" s="1882" t="s">
        <v>11730</v>
      </c>
      <c r="Q191" s="1882" t="s">
        <v>11788</v>
      </c>
      <c r="R191" s="1882" t="s">
        <v>11736</v>
      </c>
      <c r="S191" s="1882"/>
      <c r="T191" s="1882" t="s">
        <v>764</v>
      </c>
      <c r="U191" s="520" t="s">
        <v>2453</v>
      </c>
      <c r="V191" s="1882"/>
      <c r="W191" s="1882"/>
      <c r="X191" s="1882">
        <v>6000</v>
      </c>
      <c r="Y191" s="1882">
        <v>6000</v>
      </c>
      <c r="Z191" s="1882">
        <v>6000</v>
      </c>
      <c r="AA191" s="1882">
        <v>6000</v>
      </c>
      <c r="AB191" s="1882">
        <v>6000</v>
      </c>
      <c r="AC191" s="1882"/>
      <c r="AD191" s="1882"/>
      <c r="AE191" s="1882">
        <v>7710</v>
      </c>
      <c r="AF191" s="1882">
        <v>7710</v>
      </c>
      <c r="AG191" s="1882">
        <v>7710</v>
      </c>
      <c r="AH191" s="1882">
        <v>7710</v>
      </c>
      <c r="AI191" s="1882">
        <v>7710</v>
      </c>
      <c r="AJ191" s="1882"/>
      <c r="AK191" s="1882"/>
      <c r="AL191" s="1882"/>
      <c r="AM191" s="1882"/>
      <c r="AN191" s="1882"/>
      <c r="AO191" s="1882"/>
      <c r="AP191" s="1882"/>
      <c r="AQ191" s="1882"/>
      <c r="AR191" s="1882">
        <v>5917</v>
      </c>
      <c r="AS191" s="1882">
        <v>5027</v>
      </c>
      <c r="AT191" s="1882"/>
      <c r="AU191" s="1882">
        <v>5724</v>
      </c>
      <c r="AV191" s="1882" t="s">
        <v>2459</v>
      </c>
      <c r="AW191" s="1882">
        <v>6858</v>
      </c>
      <c r="AX191" s="1882" t="s">
        <v>2460</v>
      </c>
      <c r="AY191" s="1882">
        <v>8254</v>
      </c>
      <c r="AZ191" s="1882" t="s">
        <v>2460</v>
      </c>
      <c r="BA191" s="1882"/>
      <c r="BB191" s="1882" t="s">
        <v>12100</v>
      </c>
    </row>
    <row r="192" spans="1:54">
      <c r="A192" s="1882" t="s">
        <v>11317</v>
      </c>
      <c r="B192" s="1882" t="s">
        <v>8352</v>
      </c>
      <c r="C192" s="1882" t="s">
        <v>8391</v>
      </c>
      <c r="D192" s="1882" t="s">
        <v>8503</v>
      </c>
      <c r="E192" s="1882" t="s">
        <v>10541</v>
      </c>
      <c r="F192" s="1882" t="s">
        <v>11319</v>
      </c>
      <c r="G192" s="1882"/>
      <c r="H192" s="1882"/>
      <c r="I192" s="1882"/>
      <c r="J192" s="1882"/>
      <c r="K192" s="1882"/>
      <c r="L192" s="1882"/>
      <c r="M192" s="1882"/>
      <c r="N192" s="1882"/>
      <c r="O192" s="1882"/>
      <c r="P192" s="1882" t="s">
        <v>11734</v>
      </c>
      <c r="Q192" s="1882" t="s">
        <v>12101</v>
      </c>
      <c r="R192" s="1882" t="s">
        <v>11732</v>
      </c>
      <c r="S192" s="1882"/>
      <c r="T192" s="1882" t="s">
        <v>764</v>
      </c>
      <c r="U192" s="520" t="s">
        <v>2453</v>
      </c>
      <c r="V192" s="1882"/>
      <c r="W192" s="1882"/>
      <c r="X192" s="1882">
        <v>220</v>
      </c>
      <c r="Y192" s="1882">
        <v>220</v>
      </c>
      <c r="Z192" s="1882">
        <v>220</v>
      </c>
      <c r="AA192" s="1882">
        <v>220</v>
      </c>
      <c r="AB192" s="1882">
        <v>220</v>
      </c>
      <c r="AC192" s="1882"/>
      <c r="AD192" s="1882"/>
      <c r="AE192" s="1882">
        <v>659</v>
      </c>
      <c r="AF192" s="1882">
        <v>659</v>
      </c>
      <c r="AG192" s="1882">
        <v>659</v>
      </c>
      <c r="AH192" s="1882">
        <v>659</v>
      </c>
      <c r="AI192" s="1882">
        <v>659</v>
      </c>
      <c r="AJ192" s="1882"/>
      <c r="AK192" s="1882"/>
      <c r="AL192" s="1882"/>
      <c r="AM192" s="1882"/>
      <c r="AN192" s="1882"/>
      <c r="AO192" s="1882"/>
      <c r="AP192" s="1882"/>
      <c r="AQ192" s="1882"/>
      <c r="AR192" s="1882">
        <v>271</v>
      </c>
      <c r="AS192" s="1882">
        <v>3414</v>
      </c>
      <c r="AT192" s="1882"/>
      <c r="AU192" s="1882">
        <v>114</v>
      </c>
      <c r="AV192" s="1882" t="s">
        <v>2459</v>
      </c>
      <c r="AW192" s="1882">
        <v>320</v>
      </c>
      <c r="AX192" s="1882" t="s">
        <v>2460</v>
      </c>
      <c r="AY192" s="1882">
        <v>414</v>
      </c>
      <c r="AZ192" s="1882" t="s">
        <v>2460</v>
      </c>
      <c r="BA192" s="1882"/>
      <c r="BB192" s="1882" t="s">
        <v>12102</v>
      </c>
    </row>
    <row r="193" spans="1:54">
      <c r="A193" s="1882" t="s">
        <v>11317</v>
      </c>
      <c r="B193" s="1882" t="s">
        <v>8352</v>
      </c>
      <c r="C193" s="1882" t="s">
        <v>8391</v>
      </c>
      <c r="D193" s="1882" t="s">
        <v>8503</v>
      </c>
      <c r="E193" s="1882" t="s">
        <v>10541</v>
      </c>
      <c r="F193" s="1882" t="s">
        <v>11319</v>
      </c>
      <c r="G193" s="1882"/>
      <c r="H193" s="1882"/>
      <c r="I193" s="1882"/>
      <c r="J193" s="1882"/>
      <c r="K193" s="1882"/>
      <c r="L193" s="1882"/>
      <c r="M193" s="1882"/>
      <c r="N193" s="1882"/>
      <c r="O193" s="1882"/>
      <c r="P193" s="1882" t="s">
        <v>11741</v>
      </c>
      <c r="Q193" s="1882" t="s">
        <v>12103</v>
      </c>
      <c r="R193" s="1882" t="s">
        <v>11779</v>
      </c>
      <c r="S193" s="1882"/>
      <c r="T193" s="1882" t="s">
        <v>764</v>
      </c>
      <c r="U193" s="520" t="s">
        <v>2453</v>
      </c>
      <c r="V193" s="1882"/>
      <c r="W193" s="1882"/>
      <c r="X193" s="1882">
        <v>15</v>
      </c>
      <c r="Y193" s="1882">
        <v>15</v>
      </c>
      <c r="Z193" s="1882">
        <v>15</v>
      </c>
      <c r="AA193" s="1882">
        <v>15</v>
      </c>
      <c r="AB193" s="1882">
        <v>15</v>
      </c>
      <c r="AC193" s="1882"/>
      <c r="AD193" s="1882"/>
      <c r="AE193" s="1882">
        <v>67</v>
      </c>
      <c r="AF193" s="1882">
        <v>67</v>
      </c>
      <c r="AG193" s="1882">
        <v>67</v>
      </c>
      <c r="AH193" s="1882">
        <v>67</v>
      </c>
      <c r="AI193" s="1882">
        <v>67</v>
      </c>
      <c r="AJ193" s="1882"/>
      <c r="AK193" s="1882"/>
      <c r="AL193" s="1882"/>
      <c r="AM193" s="1882"/>
      <c r="AN193" s="1882"/>
      <c r="AO193" s="1882"/>
      <c r="AP193" s="1882"/>
      <c r="AQ193" s="1882"/>
      <c r="AR193" s="1882">
        <v>9</v>
      </c>
      <c r="AS193" s="1882">
        <v>11</v>
      </c>
      <c r="AT193" s="1882"/>
      <c r="AU193" s="1882">
        <v>8</v>
      </c>
      <c r="AV193" s="1882" t="s">
        <v>2459</v>
      </c>
      <c r="AW193" s="1882">
        <v>11</v>
      </c>
      <c r="AX193" s="1882" t="s">
        <v>2459</v>
      </c>
      <c r="AY193" s="1882">
        <v>9</v>
      </c>
      <c r="AZ193" s="1882" t="s">
        <v>2459</v>
      </c>
      <c r="BA193" s="1882"/>
      <c r="BB193" s="1882" t="s">
        <v>12104</v>
      </c>
    </row>
    <row r="194" spans="1:54">
      <c r="A194" s="1882" t="s">
        <v>11317</v>
      </c>
      <c r="B194" s="1882" t="s">
        <v>8352</v>
      </c>
      <c r="C194" s="1882" t="s">
        <v>8391</v>
      </c>
      <c r="D194" s="1882" t="s">
        <v>8503</v>
      </c>
      <c r="E194" s="1882" t="s">
        <v>10541</v>
      </c>
      <c r="F194" s="1882" t="s">
        <v>11319</v>
      </c>
      <c r="G194" s="1882"/>
      <c r="H194" s="1882"/>
      <c r="I194" s="1882"/>
      <c r="J194" s="1882"/>
      <c r="K194" s="1882"/>
      <c r="L194" s="1882"/>
      <c r="M194" s="1882"/>
      <c r="N194" s="1882"/>
      <c r="O194" s="1882"/>
      <c r="P194" s="1882" t="s">
        <v>11745</v>
      </c>
      <c r="Q194" s="1882" t="s">
        <v>12105</v>
      </c>
      <c r="R194" s="1882" t="s">
        <v>11743</v>
      </c>
      <c r="S194" s="1882"/>
      <c r="T194" s="1882" t="s">
        <v>764</v>
      </c>
      <c r="U194" s="1882">
        <v>3</v>
      </c>
      <c r="V194" s="1882"/>
      <c r="W194" s="1882"/>
      <c r="X194" s="1882">
        <v>1.18</v>
      </c>
      <c r="Y194" s="1882">
        <v>1.18</v>
      </c>
      <c r="Z194" s="1882">
        <v>1.18</v>
      </c>
      <c r="AA194" s="1882">
        <v>1.18</v>
      </c>
      <c r="AB194" s="1882">
        <v>1.18</v>
      </c>
      <c r="AC194" s="1882"/>
      <c r="AD194" s="1882"/>
      <c r="AE194" s="1882">
        <v>1.57</v>
      </c>
      <c r="AF194" s="1882">
        <v>1.57</v>
      </c>
      <c r="AG194" s="1882">
        <v>1.57</v>
      </c>
      <c r="AH194" s="1882">
        <v>1.57</v>
      </c>
      <c r="AI194" s="1882">
        <v>1.57</v>
      </c>
      <c r="AJ194" s="1882"/>
      <c r="AK194" s="1882"/>
      <c r="AL194" s="1882"/>
      <c r="AM194" s="1882"/>
      <c r="AN194" s="1882"/>
      <c r="AO194" s="1882"/>
      <c r="AP194" s="1882"/>
      <c r="AQ194" s="1882"/>
      <c r="AR194" s="1882">
        <v>1.1990000000000001</v>
      </c>
      <c r="AS194" s="1882">
        <v>1.0329999999999999</v>
      </c>
      <c r="AT194" s="1882"/>
      <c r="AU194" s="1882">
        <v>0.96499999999999997</v>
      </c>
      <c r="AV194" s="1882" t="s">
        <v>2459</v>
      </c>
      <c r="AW194" s="1882">
        <v>0.67400000000000004</v>
      </c>
      <c r="AX194" s="1882" t="s">
        <v>2459</v>
      </c>
      <c r="AY194" s="1882">
        <v>0.69899999999999995</v>
      </c>
      <c r="AZ194" s="1882" t="s">
        <v>2459</v>
      </c>
      <c r="BA194" s="1882"/>
      <c r="BB194" s="1882" t="s">
        <v>12106</v>
      </c>
    </row>
    <row r="195" spans="1:54">
      <c r="A195" s="1882" t="s">
        <v>11317</v>
      </c>
      <c r="B195" s="1882" t="s">
        <v>8352</v>
      </c>
      <c r="C195" s="1882" t="s">
        <v>8391</v>
      </c>
      <c r="D195" s="1882" t="s">
        <v>8503</v>
      </c>
      <c r="E195" s="1882" t="s">
        <v>10541</v>
      </c>
      <c r="F195" s="1882" t="s">
        <v>11319</v>
      </c>
      <c r="G195" s="1882"/>
      <c r="H195" s="1882"/>
      <c r="I195" s="1882"/>
      <c r="J195" s="1882"/>
      <c r="K195" s="1882"/>
      <c r="L195" s="1882"/>
      <c r="M195" s="1882"/>
      <c r="N195" s="1882"/>
      <c r="O195" s="1882"/>
      <c r="P195" s="1882" t="s">
        <v>11797</v>
      </c>
      <c r="Q195" s="1882" t="s">
        <v>12107</v>
      </c>
      <c r="R195" s="1882" t="s">
        <v>11747</v>
      </c>
      <c r="S195" s="1882"/>
      <c r="T195" s="1882" t="s">
        <v>732</v>
      </c>
      <c r="U195" s="1882">
        <v>3</v>
      </c>
      <c r="V195" s="1882"/>
      <c r="W195" s="1882"/>
      <c r="X195" s="1882">
        <v>0.2</v>
      </c>
      <c r="Y195" s="1882">
        <v>0.2</v>
      </c>
      <c r="Z195" s="1882">
        <v>0.2</v>
      </c>
      <c r="AA195" s="1882">
        <v>0.2</v>
      </c>
      <c r="AB195" s="1882">
        <v>0.2</v>
      </c>
      <c r="AC195" s="1882"/>
      <c r="AD195" s="1882"/>
      <c r="AE195" s="1882">
        <v>0.34</v>
      </c>
      <c r="AF195" s="1882">
        <v>0.34</v>
      </c>
      <c r="AG195" s="1882">
        <v>0.34</v>
      </c>
      <c r="AH195" s="1882">
        <v>0.34</v>
      </c>
      <c r="AI195" s="1882">
        <v>0.34</v>
      </c>
      <c r="AJ195" s="1882"/>
      <c r="AK195" s="1882"/>
      <c r="AL195" s="1882"/>
      <c r="AM195" s="1882"/>
      <c r="AN195" s="1882"/>
      <c r="AO195" s="1882"/>
      <c r="AP195" s="1882"/>
      <c r="AQ195" s="1882"/>
      <c r="AR195" s="1882">
        <v>0.186</v>
      </c>
      <c r="AS195" s="1882">
        <v>0.14199999999999999</v>
      </c>
      <c r="AT195" s="1882"/>
      <c r="AU195" s="1882">
        <v>6.8000000000000005E-2</v>
      </c>
      <c r="AV195" s="1882" t="s">
        <v>2459</v>
      </c>
      <c r="AW195" s="1882">
        <v>0.08</v>
      </c>
      <c r="AX195" s="1882" t="s">
        <v>2459</v>
      </c>
      <c r="AY195" s="1882">
        <v>0.127</v>
      </c>
      <c r="AZ195" s="1882" t="s">
        <v>11301</v>
      </c>
      <c r="BA195" s="1882"/>
      <c r="BB195" s="1882" t="s">
        <v>12108</v>
      </c>
    </row>
    <row r="196" spans="1:54">
      <c r="A196" s="1882" t="s">
        <v>11317</v>
      </c>
      <c r="B196" s="1882" t="s">
        <v>8352</v>
      </c>
      <c r="C196" s="1882" t="s">
        <v>8391</v>
      </c>
      <c r="D196" s="1882" t="s">
        <v>8503</v>
      </c>
      <c r="E196" s="1882" t="s">
        <v>10541</v>
      </c>
      <c r="F196" s="1882" t="s">
        <v>11319</v>
      </c>
      <c r="G196" s="1882"/>
      <c r="H196" s="1882"/>
      <c r="I196" s="1882"/>
      <c r="J196" s="1882"/>
      <c r="K196" s="1882"/>
      <c r="L196" s="1882"/>
      <c r="M196" s="1882"/>
      <c r="N196" s="1882"/>
      <c r="O196" s="1882"/>
      <c r="P196" s="1882" t="s">
        <v>11800</v>
      </c>
      <c r="Q196" s="1882" t="s">
        <v>12096</v>
      </c>
      <c r="R196" s="1882" t="s">
        <v>12109</v>
      </c>
      <c r="S196" s="1882"/>
      <c r="T196" s="1882" t="s">
        <v>764</v>
      </c>
      <c r="U196" s="520" t="s">
        <v>2453</v>
      </c>
      <c r="V196" s="1882"/>
      <c r="W196" s="1882"/>
      <c r="X196" s="1882">
        <v>1825</v>
      </c>
      <c r="Y196" s="1882">
        <v>1825</v>
      </c>
      <c r="Z196" s="1882">
        <v>1825</v>
      </c>
      <c r="AA196" s="1882">
        <v>1825</v>
      </c>
      <c r="AB196" s="1882">
        <v>1825</v>
      </c>
      <c r="AC196" s="1882"/>
      <c r="AD196" s="1882"/>
      <c r="AE196" s="1882">
        <v>2261</v>
      </c>
      <c r="AF196" s="1882">
        <v>2261</v>
      </c>
      <c r="AG196" s="1882">
        <v>2261</v>
      </c>
      <c r="AH196" s="1882">
        <v>2261</v>
      </c>
      <c r="AI196" s="1882">
        <v>2261</v>
      </c>
      <c r="AJ196" s="1882"/>
      <c r="AK196" s="1882"/>
      <c r="AL196" s="1882"/>
      <c r="AM196" s="1882"/>
      <c r="AN196" s="1882"/>
      <c r="AO196" s="1882"/>
      <c r="AP196" s="1882"/>
      <c r="AQ196" s="1882"/>
      <c r="AR196" s="1882">
        <v>1378</v>
      </c>
      <c r="AS196" s="1882">
        <v>1339</v>
      </c>
      <c r="AT196" s="1882"/>
      <c r="AU196" s="1882">
        <v>1228</v>
      </c>
      <c r="AV196" s="1882" t="s">
        <v>2459</v>
      </c>
      <c r="AW196" s="1882">
        <v>942</v>
      </c>
      <c r="AX196" s="1882" t="s">
        <v>2459</v>
      </c>
      <c r="AY196" s="1882">
        <v>911</v>
      </c>
      <c r="AZ196" s="1882" t="s">
        <v>2459</v>
      </c>
      <c r="BA196" s="1882"/>
      <c r="BB196" s="1882" t="s">
        <v>12098</v>
      </c>
    </row>
    <row r="197" spans="1:54">
      <c r="A197" s="1882" t="s">
        <v>11377</v>
      </c>
      <c r="B197" s="1882" t="s">
        <v>8352</v>
      </c>
      <c r="C197" s="1882" t="s">
        <v>8391</v>
      </c>
      <c r="D197" s="1882" t="s">
        <v>8720</v>
      </c>
      <c r="E197" s="1882" t="s">
        <v>11378</v>
      </c>
      <c r="F197" s="1882" t="s">
        <v>11380</v>
      </c>
      <c r="G197" s="1882" t="s">
        <v>8519</v>
      </c>
      <c r="H197" s="1882" t="s">
        <v>8787</v>
      </c>
      <c r="I197" s="1882" t="s">
        <v>8856</v>
      </c>
      <c r="J197" s="1882" t="s">
        <v>8706</v>
      </c>
      <c r="K197" s="1882"/>
      <c r="L197" s="1882"/>
      <c r="M197" s="1882"/>
      <c r="N197" s="1882"/>
      <c r="O197" s="1882" t="s">
        <v>8706</v>
      </c>
      <c r="P197" s="1882" t="s">
        <v>11728</v>
      </c>
      <c r="Q197" s="1882" t="s">
        <v>11380</v>
      </c>
      <c r="R197" s="1882"/>
      <c r="S197" s="1882"/>
      <c r="T197" s="1882" t="s">
        <v>8704</v>
      </c>
      <c r="U197" s="1882" t="s">
        <v>8512</v>
      </c>
      <c r="V197" s="1882"/>
      <c r="W197" s="1882"/>
      <c r="X197" s="1882"/>
      <c r="Y197" s="1882"/>
      <c r="Z197" s="1882"/>
      <c r="AA197" s="1882"/>
      <c r="AB197" s="1882"/>
      <c r="AC197" s="1882"/>
      <c r="AD197" s="1882"/>
      <c r="AE197" s="1882"/>
      <c r="AF197" s="1882"/>
      <c r="AG197" s="1882"/>
      <c r="AH197" s="1882"/>
      <c r="AI197" s="1882"/>
      <c r="AJ197" s="1882"/>
      <c r="AK197" s="1882"/>
      <c r="AL197" s="1882"/>
      <c r="AM197" s="1882"/>
      <c r="AN197" s="1882"/>
      <c r="AO197" s="1882"/>
      <c r="AP197" s="1882"/>
      <c r="AQ197" s="1882"/>
      <c r="AR197" s="1882" t="s">
        <v>8706</v>
      </c>
      <c r="AS197" s="1882" t="s">
        <v>8706</v>
      </c>
      <c r="AT197" s="1882"/>
      <c r="AU197" s="1882" t="s">
        <v>11300</v>
      </c>
      <c r="AV197" s="1882" t="s">
        <v>2451</v>
      </c>
      <c r="AW197" s="1882" t="s">
        <v>8706</v>
      </c>
      <c r="AX197" s="1882" t="s">
        <v>2451</v>
      </c>
      <c r="AY197" s="1882" t="s">
        <v>8706</v>
      </c>
      <c r="AZ197" s="1882" t="s">
        <v>2459</v>
      </c>
      <c r="BA197" s="1882"/>
      <c r="BB197" s="1882" t="s">
        <v>12110</v>
      </c>
    </row>
    <row r="198" spans="1:54">
      <c r="A198" s="1882" t="s">
        <v>11377</v>
      </c>
      <c r="B198" s="1882" t="s">
        <v>8352</v>
      </c>
      <c r="C198" s="1882" t="s">
        <v>8391</v>
      </c>
      <c r="D198" s="1882" t="s">
        <v>8720</v>
      </c>
      <c r="E198" s="1882" t="s">
        <v>11378</v>
      </c>
      <c r="F198" s="1882" t="s">
        <v>11380</v>
      </c>
      <c r="G198" s="1882"/>
      <c r="H198" s="1882"/>
      <c r="I198" s="1882"/>
      <c r="J198" s="1882"/>
      <c r="K198" s="1882"/>
      <c r="L198" s="1882"/>
      <c r="M198" s="1882"/>
      <c r="N198" s="1882"/>
      <c r="O198" s="1882"/>
      <c r="P198" s="1882" t="s">
        <v>11730</v>
      </c>
      <c r="Q198" s="1882" t="s">
        <v>2454</v>
      </c>
      <c r="R198" s="1882" t="s">
        <v>11761</v>
      </c>
      <c r="S198" s="1882"/>
      <c r="T198" s="1882" t="s">
        <v>764</v>
      </c>
      <c r="U198" s="520" t="s">
        <v>2453</v>
      </c>
      <c r="V198" s="1882"/>
      <c r="W198" s="1882"/>
      <c r="X198" s="1882">
        <v>255</v>
      </c>
      <c r="Y198" s="1882">
        <v>255</v>
      </c>
      <c r="Z198" s="1882">
        <v>255</v>
      </c>
      <c r="AA198" s="1882">
        <v>255</v>
      </c>
      <c r="AB198" s="1882">
        <v>255</v>
      </c>
      <c r="AC198" s="1882"/>
      <c r="AD198" s="1882"/>
      <c r="AE198" s="1882">
        <v>369</v>
      </c>
      <c r="AF198" s="1882">
        <v>369</v>
      </c>
      <c r="AG198" s="1882">
        <v>369</v>
      </c>
      <c r="AH198" s="1882">
        <v>369</v>
      </c>
      <c r="AI198" s="1882">
        <v>369</v>
      </c>
      <c r="AJ198" s="1882"/>
      <c r="AK198" s="1882"/>
      <c r="AL198" s="1882"/>
      <c r="AM198" s="1882"/>
      <c r="AN198" s="1882"/>
      <c r="AO198" s="1882"/>
      <c r="AP198" s="1882"/>
      <c r="AQ198" s="1882"/>
      <c r="AR198" s="1882">
        <v>294</v>
      </c>
      <c r="AS198" s="1882">
        <v>261</v>
      </c>
      <c r="AT198" s="1882"/>
      <c r="AU198" s="1882">
        <v>243</v>
      </c>
      <c r="AV198" s="1882" t="s">
        <v>2459</v>
      </c>
      <c r="AW198" s="1882">
        <v>218</v>
      </c>
      <c r="AX198" s="1882" t="s">
        <v>2459</v>
      </c>
      <c r="AY198" s="1882">
        <v>255</v>
      </c>
      <c r="AZ198" s="1882" t="s">
        <v>2459</v>
      </c>
      <c r="BA198" s="1882"/>
      <c r="BB198" s="1882" t="s">
        <v>12111</v>
      </c>
    </row>
    <row r="199" spans="1:54">
      <c r="A199" s="1882" t="s">
        <v>11377</v>
      </c>
      <c r="B199" s="1882" t="s">
        <v>8352</v>
      </c>
      <c r="C199" s="1882" t="s">
        <v>8391</v>
      </c>
      <c r="D199" s="1882" t="s">
        <v>8720</v>
      </c>
      <c r="E199" s="1882" t="s">
        <v>11378</v>
      </c>
      <c r="F199" s="1882" t="s">
        <v>11380</v>
      </c>
      <c r="G199" s="1882"/>
      <c r="H199" s="1882"/>
      <c r="I199" s="1882"/>
      <c r="J199" s="1882"/>
      <c r="K199" s="1882"/>
      <c r="L199" s="1882"/>
      <c r="M199" s="1882"/>
      <c r="N199" s="1882"/>
      <c r="O199" s="1882"/>
      <c r="P199" s="1882" t="s">
        <v>11734</v>
      </c>
      <c r="Q199" s="1882" t="s">
        <v>12112</v>
      </c>
      <c r="R199" s="1882" t="s">
        <v>11759</v>
      </c>
      <c r="S199" s="1882"/>
      <c r="T199" s="1882" t="s">
        <v>764</v>
      </c>
      <c r="U199" s="520" t="s">
        <v>2453</v>
      </c>
      <c r="V199" s="1882"/>
      <c r="W199" s="1882"/>
      <c r="X199" s="1882">
        <v>203</v>
      </c>
      <c r="Y199" s="1882">
        <v>203</v>
      </c>
      <c r="Z199" s="1882">
        <v>203</v>
      </c>
      <c r="AA199" s="1882">
        <v>203</v>
      </c>
      <c r="AB199" s="1882">
        <v>203</v>
      </c>
      <c r="AC199" s="1882"/>
      <c r="AD199" s="1882"/>
      <c r="AE199" s="1882">
        <v>251</v>
      </c>
      <c r="AF199" s="1882">
        <v>251</v>
      </c>
      <c r="AG199" s="1882">
        <v>251</v>
      </c>
      <c r="AH199" s="1882">
        <v>251</v>
      </c>
      <c r="AI199" s="1882">
        <v>251</v>
      </c>
      <c r="AJ199" s="1882"/>
      <c r="AK199" s="1882"/>
      <c r="AL199" s="1882"/>
      <c r="AM199" s="1882"/>
      <c r="AN199" s="1882"/>
      <c r="AO199" s="1882"/>
      <c r="AP199" s="1882"/>
      <c r="AQ199" s="1882"/>
      <c r="AR199" s="1882">
        <v>133</v>
      </c>
      <c r="AS199" s="1882">
        <v>140</v>
      </c>
      <c r="AT199" s="1882"/>
      <c r="AU199" s="1882">
        <v>167</v>
      </c>
      <c r="AV199" s="1882" t="s">
        <v>2459</v>
      </c>
      <c r="AW199" s="1882">
        <v>172</v>
      </c>
      <c r="AX199" s="1882" t="s">
        <v>2459</v>
      </c>
      <c r="AY199" s="1882">
        <v>172</v>
      </c>
      <c r="AZ199" s="1882" t="s">
        <v>2459</v>
      </c>
      <c r="BA199" s="1882"/>
      <c r="BB199" s="1882" t="s">
        <v>12113</v>
      </c>
    </row>
    <row r="200" spans="1:54">
      <c r="A200" s="1882" t="s">
        <v>11377</v>
      </c>
      <c r="B200" s="1882" t="s">
        <v>8352</v>
      </c>
      <c r="C200" s="1882" t="s">
        <v>8391</v>
      </c>
      <c r="D200" s="1882" t="s">
        <v>8720</v>
      </c>
      <c r="E200" s="1882" t="s">
        <v>11378</v>
      </c>
      <c r="F200" s="1882" t="s">
        <v>11380</v>
      </c>
      <c r="G200" s="1882"/>
      <c r="H200" s="1882"/>
      <c r="I200" s="1882"/>
      <c r="J200" s="1882"/>
      <c r="K200" s="1882"/>
      <c r="L200" s="1882"/>
      <c r="M200" s="1882"/>
      <c r="N200" s="1882"/>
      <c r="O200" s="1882"/>
      <c r="P200" s="1882" t="s">
        <v>11741</v>
      </c>
      <c r="Q200" s="1882" t="s">
        <v>11911</v>
      </c>
      <c r="R200" s="1882" t="s">
        <v>11764</v>
      </c>
      <c r="S200" s="1882"/>
      <c r="T200" s="1882" t="s">
        <v>764</v>
      </c>
      <c r="U200" s="520" t="s">
        <v>2453</v>
      </c>
      <c r="V200" s="1882"/>
      <c r="W200" s="1882"/>
      <c r="X200" s="1882">
        <v>302</v>
      </c>
      <c r="Y200" s="1882">
        <v>302</v>
      </c>
      <c r="Z200" s="1882">
        <v>302</v>
      </c>
      <c r="AA200" s="1882">
        <v>302</v>
      </c>
      <c r="AB200" s="1882">
        <v>302</v>
      </c>
      <c r="AC200" s="1882"/>
      <c r="AD200" s="1882"/>
      <c r="AE200" s="1882">
        <v>379</v>
      </c>
      <c r="AF200" s="1882">
        <v>379</v>
      </c>
      <c r="AG200" s="1882">
        <v>379</v>
      </c>
      <c r="AH200" s="1882">
        <v>379</v>
      </c>
      <c r="AI200" s="1882">
        <v>379</v>
      </c>
      <c r="AJ200" s="1882"/>
      <c r="AK200" s="1882"/>
      <c r="AL200" s="1882"/>
      <c r="AM200" s="1882"/>
      <c r="AN200" s="1882"/>
      <c r="AO200" s="1882"/>
      <c r="AP200" s="1882"/>
      <c r="AQ200" s="1882"/>
      <c r="AR200" s="1882">
        <v>292</v>
      </c>
      <c r="AS200" s="1882">
        <v>346</v>
      </c>
      <c r="AT200" s="1882"/>
      <c r="AU200" s="1882">
        <v>372</v>
      </c>
      <c r="AV200" s="1882" t="s">
        <v>2460</v>
      </c>
      <c r="AW200" s="1882">
        <v>387</v>
      </c>
      <c r="AX200" s="1882" t="s">
        <v>2460</v>
      </c>
      <c r="AY200" s="1882">
        <v>393</v>
      </c>
      <c r="AZ200" s="1882" t="s">
        <v>2460</v>
      </c>
      <c r="BA200" s="1882"/>
      <c r="BB200" s="1882" t="s">
        <v>12114</v>
      </c>
    </row>
    <row r="201" spans="1:54">
      <c r="A201" s="1882" t="s">
        <v>11377</v>
      </c>
      <c r="B201" s="1882" t="s">
        <v>8352</v>
      </c>
      <c r="C201" s="1882" t="s">
        <v>8391</v>
      </c>
      <c r="D201" s="1882" t="s">
        <v>8720</v>
      </c>
      <c r="E201" s="1882" t="s">
        <v>11378</v>
      </c>
      <c r="F201" s="1882" t="s">
        <v>11380</v>
      </c>
      <c r="G201" s="1882"/>
      <c r="H201" s="1882"/>
      <c r="I201" s="1882"/>
      <c r="J201" s="1882"/>
      <c r="K201" s="1882"/>
      <c r="L201" s="1882"/>
      <c r="M201" s="1882"/>
      <c r="N201" s="1882"/>
      <c r="O201" s="1882"/>
      <c r="P201" s="1882" t="s">
        <v>11745</v>
      </c>
      <c r="Q201" s="1882" t="s">
        <v>12115</v>
      </c>
      <c r="R201" s="1882" t="s">
        <v>11764</v>
      </c>
      <c r="S201" s="1882"/>
      <c r="T201" s="1882" t="s">
        <v>764</v>
      </c>
      <c r="U201" s="520" t="s">
        <v>2453</v>
      </c>
      <c r="V201" s="1882"/>
      <c r="W201" s="1882"/>
      <c r="X201" s="1882">
        <v>72</v>
      </c>
      <c r="Y201" s="1882">
        <v>72</v>
      </c>
      <c r="Z201" s="1882">
        <v>72</v>
      </c>
      <c r="AA201" s="1882">
        <v>72</v>
      </c>
      <c r="AB201" s="1882">
        <v>72</v>
      </c>
      <c r="AC201" s="1882"/>
      <c r="AD201" s="1882"/>
      <c r="AE201" s="1882">
        <v>110</v>
      </c>
      <c r="AF201" s="1882">
        <v>110</v>
      </c>
      <c r="AG201" s="1882">
        <v>110</v>
      </c>
      <c r="AH201" s="1882">
        <v>110</v>
      </c>
      <c r="AI201" s="1882">
        <v>110</v>
      </c>
      <c r="AJ201" s="1882"/>
      <c r="AK201" s="1882"/>
      <c r="AL201" s="1882"/>
      <c r="AM201" s="1882"/>
      <c r="AN201" s="1882"/>
      <c r="AO201" s="1882"/>
      <c r="AP201" s="1882"/>
      <c r="AQ201" s="1882"/>
      <c r="AR201" s="1882">
        <v>113</v>
      </c>
      <c r="AS201" s="1882">
        <v>50</v>
      </c>
      <c r="AT201" s="1882"/>
      <c r="AU201" s="1882">
        <v>33</v>
      </c>
      <c r="AV201" s="1882" t="s">
        <v>2459</v>
      </c>
      <c r="AW201" s="1882">
        <v>12</v>
      </c>
      <c r="AX201" s="1882" t="s">
        <v>2459</v>
      </c>
      <c r="AY201" s="1882">
        <v>8</v>
      </c>
      <c r="AZ201" s="1882" t="s">
        <v>2459</v>
      </c>
      <c r="BA201" s="1882"/>
      <c r="BB201" s="1882" t="s">
        <v>12116</v>
      </c>
    </row>
    <row r="202" spans="1:54">
      <c r="A202" s="1882" t="s">
        <v>11377</v>
      </c>
      <c r="B202" s="1882" t="s">
        <v>8352</v>
      </c>
      <c r="C202" s="1882" t="s">
        <v>8391</v>
      </c>
      <c r="D202" s="1882" t="s">
        <v>8720</v>
      </c>
      <c r="E202" s="1882" t="s">
        <v>11378</v>
      </c>
      <c r="F202" s="1882" t="s">
        <v>11380</v>
      </c>
      <c r="G202" s="1882"/>
      <c r="H202" s="1882"/>
      <c r="I202" s="1882"/>
      <c r="J202" s="1882"/>
      <c r="K202" s="1882"/>
      <c r="L202" s="1882"/>
      <c r="M202" s="1882"/>
      <c r="N202" s="1882"/>
      <c r="O202" s="1882"/>
      <c r="P202" s="1882" t="s">
        <v>11797</v>
      </c>
      <c r="Q202" s="1882" t="s">
        <v>11766</v>
      </c>
      <c r="R202" s="1882" t="s">
        <v>11766</v>
      </c>
      <c r="S202" s="1882"/>
      <c r="T202" s="1882" t="s">
        <v>764</v>
      </c>
      <c r="U202" s="520" t="s">
        <v>2453</v>
      </c>
      <c r="V202" s="1882"/>
      <c r="W202" s="1882"/>
      <c r="X202" s="1882">
        <v>20695</v>
      </c>
      <c r="Y202" s="1882">
        <v>20695</v>
      </c>
      <c r="Z202" s="1882">
        <v>20695</v>
      </c>
      <c r="AA202" s="1882">
        <v>20695</v>
      </c>
      <c r="AB202" s="1882">
        <v>20695</v>
      </c>
      <c r="AC202" s="1882"/>
      <c r="AD202" s="1882"/>
      <c r="AE202" s="1882">
        <v>22936</v>
      </c>
      <c r="AF202" s="1882">
        <v>22936</v>
      </c>
      <c r="AG202" s="1882">
        <v>22936</v>
      </c>
      <c r="AH202" s="1882">
        <v>22936</v>
      </c>
      <c r="AI202" s="1882">
        <v>22936</v>
      </c>
      <c r="AJ202" s="1882"/>
      <c r="AK202" s="1882"/>
      <c r="AL202" s="1882"/>
      <c r="AM202" s="1882"/>
      <c r="AN202" s="1882"/>
      <c r="AO202" s="1882"/>
      <c r="AP202" s="1882"/>
      <c r="AQ202" s="1882"/>
      <c r="AR202" s="1882">
        <v>18337</v>
      </c>
      <c r="AS202" s="1882">
        <v>19423</v>
      </c>
      <c r="AT202" s="1882"/>
      <c r="AU202" s="1882">
        <v>17398</v>
      </c>
      <c r="AV202" s="1882" t="s">
        <v>2459</v>
      </c>
      <c r="AW202" s="1882">
        <v>14917</v>
      </c>
      <c r="AX202" s="1882" t="s">
        <v>2459</v>
      </c>
      <c r="AY202" s="1882">
        <v>16860</v>
      </c>
      <c r="AZ202" s="1882" t="s">
        <v>2459</v>
      </c>
      <c r="BA202" s="1882"/>
      <c r="BB202" s="1882" t="s">
        <v>12117</v>
      </c>
    </row>
    <row r="203" spans="1:54">
      <c r="A203" s="1882" t="s">
        <v>11377</v>
      </c>
      <c r="B203" s="1882" t="s">
        <v>8352</v>
      </c>
      <c r="C203" s="1882" t="s">
        <v>8391</v>
      </c>
      <c r="D203" s="1882" t="s">
        <v>8720</v>
      </c>
      <c r="E203" s="1882" t="s">
        <v>11378</v>
      </c>
      <c r="F203" s="1882" t="s">
        <v>11380</v>
      </c>
      <c r="G203" s="1882"/>
      <c r="H203" s="1882"/>
      <c r="I203" s="1882"/>
      <c r="J203" s="1882"/>
      <c r="K203" s="1882"/>
      <c r="L203" s="1882"/>
      <c r="M203" s="1882"/>
      <c r="N203" s="1882"/>
      <c r="O203" s="1882"/>
      <c r="P203" s="1882" t="s">
        <v>11800</v>
      </c>
      <c r="Q203" s="1882" t="s">
        <v>12096</v>
      </c>
      <c r="R203" s="1882" t="s">
        <v>11917</v>
      </c>
      <c r="S203" s="1882"/>
      <c r="T203" s="1882" t="s">
        <v>764</v>
      </c>
      <c r="U203" s="520" t="s">
        <v>2453</v>
      </c>
      <c r="V203" s="1882"/>
      <c r="W203" s="1882"/>
      <c r="X203" s="1882">
        <v>5869</v>
      </c>
      <c r="Y203" s="1882">
        <v>5869</v>
      </c>
      <c r="Z203" s="1882">
        <v>5869</v>
      </c>
      <c r="AA203" s="1882">
        <v>5869</v>
      </c>
      <c r="AB203" s="1882">
        <v>5869</v>
      </c>
      <c r="AC203" s="1882"/>
      <c r="AD203" s="1882"/>
      <c r="AE203" s="1882">
        <v>7282</v>
      </c>
      <c r="AF203" s="1882">
        <v>7282</v>
      </c>
      <c r="AG203" s="1882">
        <v>7282</v>
      </c>
      <c r="AH203" s="1882">
        <v>7282</v>
      </c>
      <c r="AI203" s="1882">
        <v>7282</v>
      </c>
      <c r="AJ203" s="1882"/>
      <c r="AK203" s="1882"/>
      <c r="AL203" s="1882"/>
      <c r="AM203" s="1882"/>
      <c r="AN203" s="1882"/>
      <c r="AO203" s="1882"/>
      <c r="AP203" s="1882"/>
      <c r="AQ203" s="1882"/>
      <c r="AR203" s="1882">
        <v>3591</v>
      </c>
      <c r="AS203" s="1882">
        <v>3364</v>
      </c>
      <c r="AT203" s="1882"/>
      <c r="AU203" s="1882">
        <v>3695</v>
      </c>
      <c r="AV203" s="1882" t="s">
        <v>2459</v>
      </c>
      <c r="AW203" s="1882">
        <v>3400</v>
      </c>
      <c r="AX203" s="1882" t="s">
        <v>2459</v>
      </c>
      <c r="AY203" s="1882">
        <v>3537</v>
      </c>
      <c r="AZ203" s="1882" t="s">
        <v>2459</v>
      </c>
      <c r="BA203" s="1882"/>
      <c r="BB203" s="1882" t="s">
        <v>12098</v>
      </c>
    </row>
    <row r="204" spans="1:54">
      <c r="A204" s="1882" t="s">
        <v>11387</v>
      </c>
      <c r="B204" s="1882" t="s">
        <v>8352</v>
      </c>
      <c r="C204" s="1882" t="s">
        <v>8391</v>
      </c>
      <c r="D204" s="1882" t="s">
        <v>8720</v>
      </c>
      <c r="E204" s="1882" t="s">
        <v>10630</v>
      </c>
      <c r="F204" s="1882" t="s">
        <v>11389</v>
      </c>
      <c r="G204" s="1882" t="s">
        <v>8519</v>
      </c>
      <c r="H204" s="1882" t="s">
        <v>8787</v>
      </c>
      <c r="I204" s="1882" t="s">
        <v>8856</v>
      </c>
      <c r="J204" s="1882" t="s">
        <v>8706</v>
      </c>
      <c r="K204" s="1882"/>
      <c r="L204" s="1882"/>
      <c r="M204" s="1882"/>
      <c r="N204" s="1882"/>
      <c r="O204" s="1882" t="s">
        <v>8706</v>
      </c>
      <c r="P204" s="1882" t="s">
        <v>11728</v>
      </c>
      <c r="Q204" s="1882" t="s">
        <v>11389</v>
      </c>
      <c r="R204" s="1882"/>
      <c r="S204" s="1882"/>
      <c r="T204" s="1882" t="s">
        <v>8704</v>
      </c>
      <c r="U204" s="1882" t="s">
        <v>8512</v>
      </c>
      <c r="V204" s="1882"/>
      <c r="W204" s="1882"/>
      <c r="X204" s="1882"/>
      <c r="Y204" s="1882"/>
      <c r="Z204" s="1882"/>
      <c r="AA204" s="1882"/>
      <c r="AB204" s="1882"/>
      <c r="AC204" s="1882"/>
      <c r="AD204" s="1882"/>
      <c r="AE204" s="1882"/>
      <c r="AF204" s="1882"/>
      <c r="AG204" s="1882"/>
      <c r="AH204" s="1882"/>
      <c r="AI204" s="1882"/>
      <c r="AJ204" s="1882"/>
      <c r="AK204" s="1882"/>
      <c r="AL204" s="1882"/>
      <c r="AM204" s="1882"/>
      <c r="AN204" s="1882"/>
      <c r="AO204" s="1882"/>
      <c r="AP204" s="1882"/>
      <c r="AQ204" s="1882"/>
      <c r="AR204" s="1882" t="s">
        <v>8706</v>
      </c>
      <c r="AS204" s="1882" t="s">
        <v>8706</v>
      </c>
      <c r="AT204" s="1882"/>
      <c r="AU204" s="1882" t="s">
        <v>11300</v>
      </c>
      <c r="AV204" s="1882" t="s">
        <v>2451</v>
      </c>
      <c r="AW204" s="1882" t="s">
        <v>8706</v>
      </c>
      <c r="AX204" s="1882" t="s">
        <v>2451</v>
      </c>
      <c r="AY204" s="1882" t="s">
        <v>8706</v>
      </c>
      <c r="AZ204" s="1882" t="s">
        <v>2459</v>
      </c>
      <c r="BA204" s="1882"/>
      <c r="BB204" s="1882" t="s">
        <v>12118</v>
      </c>
    </row>
    <row r="205" spans="1:54">
      <c r="A205" s="1882" t="s">
        <v>11387</v>
      </c>
      <c r="B205" s="1882" t="s">
        <v>8352</v>
      </c>
      <c r="C205" s="1882" t="s">
        <v>8391</v>
      </c>
      <c r="D205" s="1882" t="s">
        <v>8720</v>
      </c>
      <c r="E205" s="1882" t="s">
        <v>10630</v>
      </c>
      <c r="F205" s="1882" t="s">
        <v>11389</v>
      </c>
      <c r="G205" s="1882"/>
      <c r="H205" s="1882"/>
      <c r="I205" s="1882"/>
      <c r="J205" s="1882"/>
      <c r="K205" s="1882"/>
      <c r="L205" s="1882"/>
      <c r="M205" s="1882"/>
      <c r="N205" s="1882"/>
      <c r="O205" s="1882"/>
      <c r="P205" s="1882" t="s">
        <v>11730</v>
      </c>
      <c r="Q205" s="1882" t="s">
        <v>12119</v>
      </c>
      <c r="R205" s="1882" t="s">
        <v>11773</v>
      </c>
      <c r="S205" s="1882"/>
      <c r="T205" s="1882" t="s">
        <v>764</v>
      </c>
      <c r="U205" s="520" t="s">
        <v>2453</v>
      </c>
      <c r="V205" s="1882"/>
      <c r="W205" s="1882"/>
      <c r="X205" s="1882">
        <v>0</v>
      </c>
      <c r="Y205" s="1882">
        <v>0</v>
      </c>
      <c r="Z205" s="1882">
        <v>0</v>
      </c>
      <c r="AA205" s="1882">
        <v>0</v>
      </c>
      <c r="AB205" s="1882">
        <v>0</v>
      </c>
      <c r="AC205" s="1882"/>
      <c r="AD205" s="1882"/>
      <c r="AE205" s="1882">
        <v>8</v>
      </c>
      <c r="AF205" s="1882">
        <v>8</v>
      </c>
      <c r="AG205" s="1882">
        <v>8</v>
      </c>
      <c r="AH205" s="1882">
        <v>8</v>
      </c>
      <c r="AI205" s="1882">
        <v>8</v>
      </c>
      <c r="AJ205" s="1882"/>
      <c r="AK205" s="1882"/>
      <c r="AL205" s="1882"/>
      <c r="AM205" s="1882"/>
      <c r="AN205" s="1882"/>
      <c r="AO205" s="1882"/>
      <c r="AP205" s="1882"/>
      <c r="AQ205" s="1882"/>
      <c r="AR205" s="1882">
        <v>2</v>
      </c>
      <c r="AS205" s="1882">
        <v>2</v>
      </c>
      <c r="AT205" s="1882"/>
      <c r="AU205" s="1882">
        <v>7</v>
      </c>
      <c r="AV205" s="1882" t="s">
        <v>2460</v>
      </c>
      <c r="AW205" s="1882">
        <v>5</v>
      </c>
      <c r="AX205" s="1882" t="s">
        <v>2460</v>
      </c>
      <c r="AY205" s="1882">
        <v>6</v>
      </c>
      <c r="AZ205" s="1882" t="s">
        <v>2460</v>
      </c>
      <c r="BA205" s="1882"/>
      <c r="BB205" s="1882" t="s">
        <v>12120</v>
      </c>
    </row>
    <row r="206" spans="1:54">
      <c r="A206" s="1882" t="s">
        <v>11387</v>
      </c>
      <c r="B206" s="1882" t="s">
        <v>8352</v>
      </c>
      <c r="C206" s="1882" t="s">
        <v>8391</v>
      </c>
      <c r="D206" s="1882" t="s">
        <v>8720</v>
      </c>
      <c r="E206" s="1882" t="s">
        <v>10630</v>
      </c>
      <c r="F206" s="1882" t="s">
        <v>11389</v>
      </c>
      <c r="G206" s="1882"/>
      <c r="H206" s="1882"/>
      <c r="I206" s="1882"/>
      <c r="J206" s="1882"/>
      <c r="K206" s="1882"/>
      <c r="L206" s="1882"/>
      <c r="M206" s="1882"/>
      <c r="N206" s="1882"/>
      <c r="O206" s="1882"/>
      <c r="P206" s="1882" t="s">
        <v>11734</v>
      </c>
      <c r="Q206" s="1882" t="s">
        <v>12121</v>
      </c>
      <c r="R206" s="1882" t="s">
        <v>11770</v>
      </c>
      <c r="S206" s="1882"/>
      <c r="T206" s="1882" t="s">
        <v>732</v>
      </c>
      <c r="U206" s="1882">
        <v>1</v>
      </c>
      <c r="V206" s="1882"/>
      <c r="W206" s="1882"/>
      <c r="X206" s="1882">
        <v>0</v>
      </c>
      <c r="Y206" s="1882">
        <v>0</v>
      </c>
      <c r="Z206" s="1882">
        <v>0</v>
      </c>
      <c r="AA206" s="1882">
        <v>0</v>
      </c>
      <c r="AB206" s="1882">
        <v>0</v>
      </c>
      <c r="AC206" s="1882"/>
      <c r="AD206" s="1882"/>
      <c r="AE206" s="1882">
        <v>0.6</v>
      </c>
      <c r="AF206" s="1882">
        <v>0.6</v>
      </c>
      <c r="AG206" s="1882">
        <v>0.6</v>
      </c>
      <c r="AH206" s="1882">
        <v>0.6</v>
      </c>
      <c r="AI206" s="1882">
        <v>0.6</v>
      </c>
      <c r="AJ206" s="1882"/>
      <c r="AK206" s="1882"/>
      <c r="AL206" s="1882"/>
      <c r="AM206" s="1882"/>
      <c r="AN206" s="1882"/>
      <c r="AO206" s="1882"/>
      <c r="AP206" s="1882"/>
      <c r="AQ206" s="1882"/>
      <c r="AR206" s="1882">
        <v>0</v>
      </c>
      <c r="AS206" s="1882">
        <v>0</v>
      </c>
      <c r="AT206" s="1882"/>
      <c r="AU206" s="1882">
        <v>0.7</v>
      </c>
      <c r="AV206" s="1882" t="s">
        <v>2460</v>
      </c>
      <c r="AW206" s="1882">
        <v>0.01</v>
      </c>
      <c r="AX206" s="1882" t="s">
        <v>2459</v>
      </c>
      <c r="AY206" s="1882">
        <v>0</v>
      </c>
      <c r="AZ206" s="1882" t="s">
        <v>2459</v>
      </c>
      <c r="BA206" s="1882"/>
      <c r="BB206" s="1882" t="s">
        <v>12122</v>
      </c>
    </row>
    <row r="207" spans="1:54">
      <c r="A207" s="1882" t="s">
        <v>11387</v>
      </c>
      <c r="B207" s="1882" t="s">
        <v>8352</v>
      </c>
      <c r="C207" s="1882" t="s">
        <v>8391</v>
      </c>
      <c r="D207" s="1882" t="s">
        <v>8720</v>
      </c>
      <c r="E207" s="1882" t="s">
        <v>10630</v>
      </c>
      <c r="F207" s="1882" t="s">
        <v>11389</v>
      </c>
      <c r="G207" s="1882"/>
      <c r="H207" s="1882"/>
      <c r="I207" s="1882"/>
      <c r="J207" s="1882"/>
      <c r="K207" s="1882"/>
      <c r="L207" s="1882"/>
      <c r="M207" s="1882"/>
      <c r="N207" s="1882"/>
      <c r="O207" s="1882"/>
      <c r="P207" s="1882" t="s">
        <v>11741</v>
      </c>
      <c r="Q207" s="1882" t="s">
        <v>12096</v>
      </c>
      <c r="R207" s="1882" t="s">
        <v>12123</v>
      </c>
      <c r="S207" s="1882"/>
      <c r="T207" s="1882" t="s">
        <v>764</v>
      </c>
      <c r="U207" s="520" t="s">
        <v>2453</v>
      </c>
      <c r="V207" s="1882"/>
      <c r="W207" s="1882"/>
      <c r="X207" s="1882">
        <v>15651</v>
      </c>
      <c r="Y207" s="1882">
        <v>15651</v>
      </c>
      <c r="Z207" s="1882">
        <v>15651</v>
      </c>
      <c r="AA207" s="1882">
        <v>15651</v>
      </c>
      <c r="AB207" s="1882">
        <v>15651</v>
      </c>
      <c r="AC207" s="1882"/>
      <c r="AD207" s="1882"/>
      <c r="AE207" s="1882">
        <v>20848</v>
      </c>
      <c r="AF207" s="1882">
        <v>20848</v>
      </c>
      <c r="AG207" s="1882">
        <v>20848</v>
      </c>
      <c r="AH207" s="1882">
        <v>20848</v>
      </c>
      <c r="AI207" s="1882">
        <v>20848</v>
      </c>
      <c r="AJ207" s="1882"/>
      <c r="AK207" s="1882"/>
      <c r="AL207" s="1882"/>
      <c r="AM207" s="1882"/>
      <c r="AN207" s="1882"/>
      <c r="AO207" s="1882"/>
      <c r="AP207" s="1882"/>
      <c r="AQ207" s="1882"/>
      <c r="AR207" s="1882">
        <v>11183</v>
      </c>
      <c r="AS207" s="1882">
        <v>12115</v>
      </c>
      <c r="AT207" s="1882"/>
      <c r="AU207" s="1882">
        <v>11564</v>
      </c>
      <c r="AV207" s="1882" t="s">
        <v>2459</v>
      </c>
      <c r="AW207" s="1882">
        <v>10884</v>
      </c>
      <c r="AX207" s="1882" t="s">
        <v>2459</v>
      </c>
      <c r="AY207" s="1882">
        <v>10035</v>
      </c>
      <c r="AZ207" s="1882" t="s">
        <v>2459</v>
      </c>
      <c r="BA207" s="1882"/>
      <c r="BB207" s="1882" t="s">
        <v>12098</v>
      </c>
    </row>
    <row r="208" spans="1:54">
      <c r="A208" s="1882" t="s">
        <v>11541</v>
      </c>
      <c r="B208" s="1882" t="s">
        <v>8352</v>
      </c>
      <c r="C208" s="1882" t="s">
        <v>8421</v>
      </c>
      <c r="D208" s="1882" t="s">
        <v>8720</v>
      </c>
      <c r="E208" s="1882" t="s">
        <v>8757</v>
      </c>
      <c r="F208" s="1882" t="s">
        <v>10219</v>
      </c>
      <c r="G208" s="1882" t="s">
        <v>8519</v>
      </c>
      <c r="H208" s="1882" t="s">
        <v>8673</v>
      </c>
      <c r="I208" s="1882" t="s">
        <v>9868</v>
      </c>
      <c r="J208" s="1882" t="s">
        <v>8706</v>
      </c>
      <c r="K208" s="1882">
        <v>100</v>
      </c>
      <c r="L208" s="1882">
        <v>100</v>
      </c>
      <c r="M208" s="1882">
        <v>100</v>
      </c>
      <c r="N208" s="1882">
        <v>100</v>
      </c>
      <c r="O208" s="1882">
        <v>100</v>
      </c>
      <c r="P208" s="1882" t="s">
        <v>11728</v>
      </c>
      <c r="Q208" s="1882" t="s">
        <v>10219</v>
      </c>
      <c r="R208" s="1882"/>
      <c r="S208" s="1882"/>
      <c r="T208" s="1882" t="s">
        <v>732</v>
      </c>
      <c r="U208" s="1882">
        <v>2</v>
      </c>
      <c r="V208" s="1882"/>
      <c r="W208" s="1882"/>
      <c r="X208" s="1882"/>
      <c r="Y208" s="1882"/>
      <c r="Z208" s="1882"/>
      <c r="AA208" s="1882"/>
      <c r="AB208" s="1882"/>
      <c r="AC208" s="1882"/>
      <c r="AD208" s="1882"/>
      <c r="AE208" s="1882"/>
      <c r="AF208" s="1882"/>
      <c r="AG208" s="1882"/>
      <c r="AH208" s="1882"/>
      <c r="AI208" s="1882"/>
      <c r="AJ208" s="1882"/>
      <c r="AK208" s="1882"/>
      <c r="AL208" s="1882"/>
      <c r="AM208" s="1882"/>
      <c r="AN208" s="1882"/>
      <c r="AO208" s="1882"/>
      <c r="AP208" s="1882"/>
      <c r="AQ208" s="1882"/>
      <c r="AR208" s="1882"/>
      <c r="AS208" s="1882"/>
      <c r="AT208" s="1882"/>
      <c r="AU208" s="1882" t="s">
        <v>2451</v>
      </c>
      <c r="AV208" s="1882"/>
      <c r="AW208" s="1882" t="s">
        <v>2451</v>
      </c>
      <c r="AY208" s="2815">
        <v>97.694825362658506</v>
      </c>
      <c r="AZ208" s="1882" t="s">
        <v>2460</v>
      </c>
      <c r="BA208" s="1882"/>
      <c r="BB208" s="1882" t="s">
        <v>11542</v>
      </c>
    </row>
    <row r="209" spans="1:60">
      <c r="A209" s="1882" t="s">
        <v>11541</v>
      </c>
      <c r="B209" s="1882" t="s">
        <v>8352</v>
      </c>
      <c r="C209" s="1882" t="s">
        <v>8421</v>
      </c>
      <c r="D209" s="1882" t="s">
        <v>8720</v>
      </c>
      <c r="E209" s="1882" t="s">
        <v>8757</v>
      </c>
      <c r="F209" s="1882" t="s">
        <v>10219</v>
      </c>
      <c r="G209" s="1882"/>
      <c r="H209" s="1882"/>
      <c r="I209" s="1882"/>
      <c r="J209" s="1882"/>
      <c r="K209" s="1882"/>
      <c r="L209" s="1882"/>
      <c r="M209" s="1882"/>
      <c r="N209" s="1882"/>
      <c r="O209" s="1882"/>
      <c r="P209" s="1882" t="s">
        <v>11730</v>
      </c>
      <c r="Q209" s="1882" t="s">
        <v>11865</v>
      </c>
      <c r="R209" s="1882" t="s">
        <v>11773</v>
      </c>
      <c r="S209" s="1882">
        <v>0.25</v>
      </c>
      <c r="T209" s="1882" t="s">
        <v>732</v>
      </c>
      <c r="U209" s="1882">
        <v>2</v>
      </c>
      <c r="V209" s="1882"/>
      <c r="W209" s="1882"/>
      <c r="X209" s="1882"/>
      <c r="Y209" s="1882"/>
      <c r="Z209" s="1882"/>
      <c r="AA209" s="1882"/>
      <c r="AB209" s="1882"/>
      <c r="AC209" s="1882"/>
      <c r="AD209" s="1882"/>
      <c r="AE209" s="1882"/>
      <c r="AF209" s="1882"/>
      <c r="AG209" s="1882"/>
      <c r="AH209" s="1882"/>
      <c r="AI209" s="1882"/>
      <c r="AJ209" s="1882"/>
      <c r="AK209" s="1882"/>
      <c r="AL209" s="1882"/>
      <c r="AM209" s="1882"/>
      <c r="AN209" s="1882"/>
      <c r="AO209" s="1882"/>
      <c r="AP209" s="1882"/>
      <c r="AQ209" s="1882"/>
      <c r="AR209" s="1882"/>
      <c r="AS209" s="1882"/>
      <c r="AT209" s="1882"/>
      <c r="AU209" s="1882" t="s">
        <v>2451</v>
      </c>
      <c r="AV209" s="1882"/>
      <c r="AW209" s="1882" t="s">
        <v>2451</v>
      </c>
      <c r="AY209" s="2815">
        <v>98.565279770444761</v>
      </c>
      <c r="AZ209" s="1882" t="s">
        <v>2460</v>
      </c>
      <c r="BA209" s="1882"/>
      <c r="BB209" s="1882" t="s">
        <v>12124</v>
      </c>
      <c r="BC209" s="1882"/>
      <c r="BD209" s="1882"/>
      <c r="BE209" s="1882"/>
      <c r="BF209" s="1882"/>
      <c r="BG209" s="1882"/>
      <c r="BH209" s="1882"/>
    </row>
    <row r="210" spans="1:60">
      <c r="A210" s="1882" t="s">
        <v>11541</v>
      </c>
      <c r="B210" s="1882" t="s">
        <v>8352</v>
      </c>
      <c r="C210" s="1882" t="s">
        <v>8421</v>
      </c>
      <c r="D210" s="1882" t="s">
        <v>8720</v>
      </c>
      <c r="E210" s="1882" t="s">
        <v>8757</v>
      </c>
      <c r="F210" s="1882" t="s">
        <v>10219</v>
      </c>
      <c r="G210" s="1882"/>
      <c r="H210" s="1882"/>
      <c r="I210" s="1882"/>
      <c r="J210" s="1882"/>
      <c r="K210" s="1882"/>
      <c r="L210" s="1882"/>
      <c r="M210" s="1882"/>
      <c r="N210" s="1882"/>
      <c r="O210" s="1882"/>
      <c r="P210" s="1882" t="s">
        <v>11734</v>
      </c>
      <c r="Q210" s="1882" t="s">
        <v>11867</v>
      </c>
      <c r="R210" s="1882" t="s">
        <v>11868</v>
      </c>
      <c r="S210" s="1882">
        <v>0.25</v>
      </c>
      <c r="T210" s="1882" t="s">
        <v>732</v>
      </c>
      <c r="U210" s="1882">
        <v>2</v>
      </c>
      <c r="V210" s="1882"/>
      <c r="W210" s="1882"/>
      <c r="X210" s="1882"/>
      <c r="Y210" s="1882"/>
      <c r="Z210" s="1882"/>
      <c r="AA210" s="1882"/>
      <c r="AB210" s="1882"/>
      <c r="AC210" s="1882"/>
      <c r="AD210" s="1882"/>
      <c r="AE210" s="1882"/>
      <c r="AF210" s="1882"/>
      <c r="AG210" s="1882"/>
      <c r="AH210" s="1882"/>
      <c r="AI210" s="1882"/>
      <c r="AJ210" s="1882"/>
      <c r="AK210" s="1882"/>
      <c r="AL210" s="1882"/>
      <c r="AM210" s="1882"/>
      <c r="AN210" s="1882"/>
      <c r="AO210" s="1882"/>
      <c r="AP210" s="1882"/>
      <c r="AQ210" s="1882"/>
      <c r="AR210" s="1882"/>
      <c r="AS210" s="1882"/>
      <c r="AT210" s="1882"/>
      <c r="AU210" s="1882" t="s">
        <v>2451</v>
      </c>
      <c r="AV210" s="1882"/>
      <c r="AW210" s="1882" t="s">
        <v>2451</v>
      </c>
      <c r="AY210" s="2815">
        <v>96.843615494978479</v>
      </c>
      <c r="AZ210" s="1882" t="s">
        <v>2460</v>
      </c>
      <c r="BA210" s="1882"/>
      <c r="BB210" s="1882" t="s">
        <v>12125</v>
      </c>
      <c r="BC210" s="1882"/>
      <c r="BD210" s="1882"/>
      <c r="BE210" s="1882"/>
      <c r="BF210" s="1882"/>
      <c r="BG210" s="1882"/>
      <c r="BH210" s="1882"/>
    </row>
    <row r="211" spans="1:60">
      <c r="A211" s="1882" t="s">
        <v>11541</v>
      </c>
      <c r="B211" s="1882" t="s">
        <v>8352</v>
      </c>
      <c r="C211" s="1882" t="s">
        <v>8421</v>
      </c>
      <c r="D211" s="1882" t="s">
        <v>8720</v>
      </c>
      <c r="E211" s="1882" t="s">
        <v>8757</v>
      </c>
      <c r="F211" s="1882" t="s">
        <v>10219</v>
      </c>
      <c r="G211" s="1882"/>
      <c r="H211" s="1882"/>
      <c r="I211" s="1882"/>
      <c r="J211" s="1882"/>
      <c r="K211" s="1882"/>
      <c r="L211" s="1882"/>
      <c r="M211" s="1882"/>
      <c r="N211" s="1882"/>
      <c r="O211" s="1882"/>
      <c r="P211" s="1882" t="s">
        <v>11741</v>
      </c>
      <c r="Q211" s="1882" t="s">
        <v>11870</v>
      </c>
      <c r="R211" s="1882" t="s">
        <v>11871</v>
      </c>
      <c r="S211" s="1882">
        <v>0.25</v>
      </c>
      <c r="T211" s="1882" t="s">
        <v>732</v>
      </c>
      <c r="U211" s="1882">
        <v>2</v>
      </c>
      <c r="V211" s="1882"/>
      <c r="W211" s="1882"/>
      <c r="X211" s="1882"/>
      <c r="Y211" s="1882"/>
      <c r="Z211" s="1882"/>
      <c r="AA211" s="1882"/>
      <c r="AB211" s="1882"/>
      <c r="AC211" s="1882"/>
      <c r="AD211" s="1882"/>
      <c r="AE211" s="1882"/>
      <c r="AF211" s="1882"/>
      <c r="AG211" s="1882"/>
      <c r="AH211" s="1882"/>
      <c r="AI211" s="1882"/>
      <c r="AJ211" s="1882"/>
      <c r="AK211" s="1882"/>
      <c r="AL211" s="1882"/>
      <c r="AM211" s="1882"/>
      <c r="AN211" s="1882"/>
      <c r="AO211" s="1882"/>
      <c r="AP211" s="1882"/>
      <c r="AQ211" s="1882"/>
      <c r="AR211" s="1882"/>
      <c r="AS211" s="1882"/>
      <c r="AT211" s="1882"/>
      <c r="AU211" s="1882" t="s">
        <v>2451</v>
      </c>
      <c r="AV211" s="1882"/>
      <c r="AW211" s="1882" t="s">
        <v>2451</v>
      </c>
      <c r="AY211" s="2815">
        <v>95.414462081128747</v>
      </c>
      <c r="AZ211" s="1882" t="s">
        <v>2460</v>
      </c>
      <c r="BA211" s="1882"/>
      <c r="BB211" s="1882" t="s">
        <v>12126</v>
      </c>
      <c r="BC211" s="1882"/>
      <c r="BD211" s="1882"/>
      <c r="BE211" s="1882"/>
      <c r="BF211" s="1882"/>
      <c r="BG211" s="1882"/>
      <c r="BH211" s="1882"/>
    </row>
    <row r="212" spans="1:60">
      <c r="A212" s="1882" t="s">
        <v>11541</v>
      </c>
      <c r="B212" s="1882" t="s">
        <v>8352</v>
      </c>
      <c r="C212" s="1882" t="s">
        <v>8421</v>
      </c>
      <c r="D212" s="1882" t="s">
        <v>8720</v>
      </c>
      <c r="E212" s="1882" t="s">
        <v>8757</v>
      </c>
      <c r="F212" s="1882" t="s">
        <v>10219</v>
      </c>
      <c r="G212" s="1882"/>
      <c r="H212" s="1882"/>
      <c r="I212" s="1882"/>
      <c r="J212" s="1882"/>
      <c r="K212" s="1882"/>
      <c r="L212" s="1882"/>
      <c r="M212" s="1882"/>
      <c r="N212" s="1882"/>
      <c r="O212" s="1882"/>
      <c r="P212" s="1882" t="s">
        <v>11745</v>
      </c>
      <c r="Q212" s="1882" t="s">
        <v>11873</v>
      </c>
      <c r="R212" s="1882" t="s">
        <v>11874</v>
      </c>
      <c r="S212" s="1882">
        <v>0.25</v>
      </c>
      <c r="T212" s="1882" t="s">
        <v>732</v>
      </c>
      <c r="U212" s="1882">
        <v>2</v>
      </c>
      <c r="V212" s="1882"/>
      <c r="W212" s="1882"/>
      <c r="X212" s="1882"/>
      <c r="Y212" s="1882"/>
      <c r="Z212" s="1882"/>
      <c r="AA212" s="1882"/>
      <c r="AB212" s="1882"/>
      <c r="AC212" s="1882"/>
      <c r="AD212" s="1882"/>
      <c r="AE212" s="1882"/>
      <c r="AF212" s="1882"/>
      <c r="AG212" s="1882"/>
      <c r="AH212" s="1882"/>
      <c r="AI212" s="1882"/>
      <c r="AJ212" s="1882"/>
      <c r="AK212" s="1882"/>
      <c r="AL212" s="1882"/>
      <c r="AM212" s="1882"/>
      <c r="AN212" s="1882"/>
      <c r="AO212" s="1882"/>
      <c r="AP212" s="1882"/>
      <c r="AQ212" s="1882"/>
      <c r="AR212" s="1882"/>
      <c r="AS212" s="1882"/>
      <c r="AT212" s="1882"/>
      <c r="AU212" s="1882" t="s">
        <v>2451</v>
      </c>
      <c r="AV212" s="1882"/>
      <c r="AW212" s="1882" t="s">
        <v>2451</v>
      </c>
      <c r="AY212" s="2815">
        <v>99.95594410408205</v>
      </c>
      <c r="AZ212" s="1882" t="s">
        <v>2460</v>
      </c>
      <c r="BA212" s="1882"/>
      <c r="BB212" s="1882" t="s">
        <v>12127</v>
      </c>
      <c r="BC212" s="1882"/>
      <c r="BD212" s="1882"/>
      <c r="BE212" s="1882"/>
      <c r="BF212" s="1882"/>
      <c r="BG212" s="1882"/>
      <c r="BH212" s="1882"/>
    </row>
    <row r="213" spans="1:60">
      <c r="A213" s="1882" t="s">
        <v>11630</v>
      </c>
      <c r="B213" s="1882" t="s">
        <v>8352</v>
      </c>
      <c r="C213" s="1882" t="s">
        <v>8424</v>
      </c>
      <c r="D213" s="1882" t="s">
        <v>8720</v>
      </c>
      <c r="E213" s="1882" t="s">
        <v>8757</v>
      </c>
      <c r="F213" s="1882" t="s">
        <v>10219</v>
      </c>
      <c r="G213" s="1882" t="s">
        <v>8519</v>
      </c>
      <c r="H213" s="1882" t="s">
        <v>8673</v>
      </c>
      <c r="I213" s="1882" t="s">
        <v>9868</v>
      </c>
      <c r="J213" s="1882" t="s">
        <v>8706</v>
      </c>
      <c r="K213" s="1882">
        <v>100</v>
      </c>
      <c r="L213" s="1882">
        <v>100</v>
      </c>
      <c r="M213" s="1882">
        <v>100</v>
      </c>
      <c r="N213" s="1882">
        <v>100</v>
      </c>
      <c r="O213" s="1882">
        <v>100</v>
      </c>
      <c r="P213" s="1882" t="s">
        <v>11728</v>
      </c>
      <c r="Q213" s="1882" t="s">
        <v>10219</v>
      </c>
      <c r="R213" s="1882"/>
      <c r="S213" s="1882"/>
      <c r="T213" s="1882" t="s">
        <v>732</v>
      </c>
      <c r="U213" s="1882">
        <v>2</v>
      </c>
      <c r="V213" s="1882"/>
      <c r="W213" s="1882"/>
      <c r="X213" s="1882"/>
      <c r="Y213" s="1882"/>
      <c r="Z213" s="1882"/>
      <c r="AA213" s="1882"/>
      <c r="AB213" s="1882"/>
      <c r="AC213" s="1882"/>
      <c r="AD213" s="1882"/>
      <c r="AE213" s="1882"/>
      <c r="AF213" s="1882"/>
      <c r="AG213" s="1882"/>
      <c r="AH213" s="1882"/>
      <c r="AI213" s="1882"/>
      <c r="AJ213" s="1882"/>
      <c r="AK213" s="1882"/>
      <c r="AL213" s="1882"/>
      <c r="AM213" s="1882"/>
      <c r="AN213" s="1882"/>
      <c r="AO213" s="1882"/>
      <c r="AP213" s="1882"/>
      <c r="AQ213" s="1882"/>
      <c r="AR213" s="1882"/>
      <c r="AS213" s="1882"/>
      <c r="AT213" s="1882"/>
      <c r="AU213" s="1882" t="s">
        <v>2451</v>
      </c>
      <c r="AV213" s="1882"/>
      <c r="AW213" s="1882" t="s">
        <v>2451</v>
      </c>
      <c r="AY213" s="2815">
        <v>97.69</v>
      </c>
      <c r="AZ213" s="1882" t="s">
        <v>2460</v>
      </c>
      <c r="BA213" s="1882"/>
      <c r="BB213" s="1882" t="s">
        <v>11631</v>
      </c>
      <c r="BC213" s="1882"/>
      <c r="BD213" s="1882"/>
      <c r="BE213" s="1882"/>
      <c r="BF213" s="1882"/>
      <c r="BG213" s="1882"/>
      <c r="BH213" s="1882"/>
    </row>
    <row r="214" spans="1:60">
      <c r="A214" s="1882" t="s">
        <v>11630</v>
      </c>
      <c r="B214" s="1882" t="s">
        <v>8352</v>
      </c>
      <c r="C214" s="1882" t="s">
        <v>8424</v>
      </c>
      <c r="D214" s="1882" t="s">
        <v>8720</v>
      </c>
      <c r="E214" s="1882" t="s">
        <v>8757</v>
      </c>
      <c r="F214" s="1882" t="s">
        <v>10219</v>
      </c>
      <c r="G214" s="1882"/>
      <c r="H214" s="1882"/>
      <c r="I214" s="1882"/>
      <c r="J214" s="1882"/>
      <c r="K214" s="1882"/>
      <c r="L214" s="1882"/>
      <c r="M214" s="1882"/>
      <c r="N214" s="1882"/>
      <c r="O214" s="1882"/>
      <c r="P214" s="1882" t="s">
        <v>11730</v>
      </c>
      <c r="Q214" s="1882" t="s">
        <v>11865</v>
      </c>
      <c r="R214" s="1882" t="s">
        <v>11773</v>
      </c>
      <c r="S214" s="1882">
        <v>0.25</v>
      </c>
      <c r="T214" s="1882" t="s">
        <v>732</v>
      </c>
      <c r="U214" s="1882">
        <v>2</v>
      </c>
      <c r="V214" s="1882"/>
      <c r="W214" s="1882"/>
      <c r="X214" s="1882"/>
      <c r="Y214" s="1882"/>
      <c r="Z214" s="1882"/>
      <c r="AA214" s="1882"/>
      <c r="AB214" s="1882"/>
      <c r="AC214" s="1882"/>
      <c r="AD214" s="1882"/>
      <c r="AE214" s="1882"/>
      <c r="AF214" s="1882"/>
      <c r="AG214" s="1882"/>
      <c r="AH214" s="1882"/>
      <c r="AI214" s="1882"/>
      <c r="AJ214" s="1882"/>
      <c r="AK214" s="1882"/>
      <c r="AL214" s="1882"/>
      <c r="AM214" s="1882"/>
      <c r="AN214" s="1882"/>
      <c r="AO214" s="1882"/>
      <c r="AP214" s="1882"/>
      <c r="AQ214" s="1882"/>
      <c r="AR214" s="1882"/>
      <c r="AS214" s="1882"/>
      <c r="AT214" s="1882"/>
      <c r="AU214" s="1882" t="s">
        <v>2451</v>
      </c>
      <c r="AV214" s="1882"/>
      <c r="AW214" s="1882" t="s">
        <v>2451</v>
      </c>
      <c r="AY214" s="2815">
        <v>98.565279770444761</v>
      </c>
      <c r="AZ214" s="1882" t="s">
        <v>2460</v>
      </c>
      <c r="BA214" s="1882"/>
      <c r="BB214" s="1882" t="s">
        <v>12128</v>
      </c>
      <c r="BC214" s="1882"/>
      <c r="BD214" s="1882"/>
      <c r="BE214" s="1882"/>
      <c r="BF214" s="1882"/>
      <c r="BG214" s="1882"/>
      <c r="BH214" s="1882"/>
    </row>
    <row r="215" spans="1:60">
      <c r="A215" s="1882" t="s">
        <v>11630</v>
      </c>
      <c r="B215" s="1882" t="s">
        <v>8352</v>
      </c>
      <c r="C215" s="1882" t="s">
        <v>8424</v>
      </c>
      <c r="D215" s="1882" t="s">
        <v>8720</v>
      </c>
      <c r="E215" s="1882" t="s">
        <v>8757</v>
      </c>
      <c r="F215" s="1882" t="s">
        <v>10219</v>
      </c>
      <c r="G215" s="1882"/>
      <c r="H215" s="1882"/>
      <c r="I215" s="1882"/>
      <c r="J215" s="1882"/>
      <c r="K215" s="1882"/>
      <c r="L215" s="1882"/>
      <c r="M215" s="1882"/>
      <c r="N215" s="1882"/>
      <c r="O215" s="1882"/>
      <c r="P215" s="1882" t="s">
        <v>11734</v>
      </c>
      <c r="Q215" s="1882" t="s">
        <v>11867</v>
      </c>
      <c r="R215" s="1882" t="s">
        <v>11868</v>
      </c>
      <c r="S215" s="1882">
        <v>0.25</v>
      </c>
      <c r="T215" s="1882" t="s">
        <v>732</v>
      </c>
      <c r="U215" s="1882">
        <v>2</v>
      </c>
      <c r="V215" s="1882"/>
      <c r="W215" s="1882"/>
      <c r="X215" s="1882"/>
      <c r="Y215" s="1882"/>
      <c r="Z215" s="1882"/>
      <c r="AA215" s="1882"/>
      <c r="AB215" s="1882"/>
      <c r="AC215" s="1882"/>
      <c r="AD215" s="1882"/>
      <c r="AE215" s="1882"/>
      <c r="AF215" s="1882"/>
      <c r="AG215" s="1882"/>
      <c r="AH215" s="1882"/>
      <c r="AI215" s="1882"/>
      <c r="AJ215" s="1882"/>
      <c r="AK215" s="1882"/>
      <c r="AL215" s="1882"/>
      <c r="AM215" s="1882"/>
      <c r="AN215" s="1882"/>
      <c r="AO215" s="1882"/>
      <c r="AP215" s="1882"/>
      <c r="AQ215" s="1882"/>
      <c r="AR215" s="1882"/>
      <c r="AS215" s="1882"/>
      <c r="AT215" s="1882"/>
      <c r="AU215" s="1882" t="s">
        <v>2451</v>
      </c>
      <c r="AV215" s="1882"/>
      <c r="AW215" s="1882" t="s">
        <v>2451</v>
      </c>
      <c r="AY215" s="2815">
        <v>96.843615494978479</v>
      </c>
      <c r="AZ215" s="1882" t="s">
        <v>2460</v>
      </c>
      <c r="BA215" s="1882"/>
      <c r="BB215" s="1882" t="s">
        <v>12129</v>
      </c>
      <c r="BC215" s="1882"/>
      <c r="BD215" s="1882"/>
      <c r="BE215" s="1882"/>
      <c r="BF215" s="1882"/>
      <c r="BG215" s="1882"/>
      <c r="BH215" s="1882"/>
    </row>
    <row r="216" spans="1:60">
      <c r="A216" s="1882" t="s">
        <v>11630</v>
      </c>
      <c r="B216" s="1882" t="s">
        <v>8352</v>
      </c>
      <c r="C216" s="1882" t="s">
        <v>8424</v>
      </c>
      <c r="D216" s="1882" t="s">
        <v>8720</v>
      </c>
      <c r="E216" s="1882" t="s">
        <v>8757</v>
      </c>
      <c r="F216" s="1882" t="s">
        <v>10219</v>
      </c>
      <c r="G216" s="1882"/>
      <c r="H216" s="1882"/>
      <c r="I216" s="1882"/>
      <c r="J216" s="1882"/>
      <c r="K216" s="1882"/>
      <c r="L216" s="1882"/>
      <c r="M216" s="1882"/>
      <c r="N216" s="1882"/>
      <c r="O216" s="1882"/>
      <c r="P216" s="1882" t="s">
        <v>11741</v>
      </c>
      <c r="Q216" s="1882" t="s">
        <v>11870</v>
      </c>
      <c r="R216" s="1882" t="s">
        <v>11871</v>
      </c>
      <c r="S216" s="1882">
        <v>0.25</v>
      </c>
      <c r="T216" s="1882" t="s">
        <v>732</v>
      </c>
      <c r="U216" s="1882">
        <v>2</v>
      </c>
      <c r="V216" s="1882"/>
      <c r="W216" s="1882"/>
      <c r="X216" s="1882"/>
      <c r="Y216" s="1882"/>
      <c r="Z216" s="1882"/>
      <c r="AA216" s="1882"/>
      <c r="AB216" s="1882"/>
      <c r="AC216" s="1882"/>
      <c r="AD216" s="1882"/>
      <c r="AE216" s="1882"/>
      <c r="AF216" s="1882"/>
      <c r="AG216" s="1882"/>
      <c r="AH216" s="1882"/>
      <c r="AI216" s="1882"/>
      <c r="AJ216" s="1882"/>
      <c r="AK216" s="1882"/>
      <c r="AL216" s="1882"/>
      <c r="AM216" s="1882"/>
      <c r="AN216" s="1882"/>
      <c r="AO216" s="1882"/>
      <c r="AP216" s="1882"/>
      <c r="AQ216" s="1882"/>
      <c r="AR216" s="1882"/>
      <c r="AS216" s="1882"/>
      <c r="AT216" s="1882"/>
      <c r="AU216" s="1882" t="s">
        <v>2451</v>
      </c>
      <c r="AV216" s="1882"/>
      <c r="AW216" s="1882" t="s">
        <v>2451</v>
      </c>
      <c r="AY216" s="2815">
        <v>95.414462081128747</v>
      </c>
      <c r="AZ216" s="1882" t="s">
        <v>2460</v>
      </c>
      <c r="BA216" s="1882"/>
      <c r="BB216" s="1882" t="s">
        <v>12130</v>
      </c>
      <c r="BC216" s="1882"/>
      <c r="BD216" s="1882"/>
      <c r="BE216" s="1882"/>
      <c r="BF216" s="1882"/>
      <c r="BG216" s="1882"/>
      <c r="BH216" s="1882"/>
    </row>
    <row r="217" spans="1:60">
      <c r="A217" s="1882" t="s">
        <v>11630</v>
      </c>
      <c r="B217" s="1882" t="s">
        <v>8352</v>
      </c>
      <c r="C217" s="1882" t="s">
        <v>8424</v>
      </c>
      <c r="D217" s="1882" t="s">
        <v>8720</v>
      </c>
      <c r="E217" s="1882" t="s">
        <v>8757</v>
      </c>
      <c r="F217" s="1882" t="s">
        <v>10219</v>
      </c>
      <c r="G217" s="1882"/>
      <c r="H217" s="1882"/>
      <c r="I217" s="1882"/>
      <c r="J217" s="1882"/>
      <c r="K217" s="1882"/>
      <c r="L217" s="1882"/>
      <c r="M217" s="1882"/>
      <c r="N217" s="1882"/>
      <c r="O217" s="1882"/>
      <c r="P217" s="1882" t="s">
        <v>11745</v>
      </c>
      <c r="Q217" s="1882" t="s">
        <v>11873</v>
      </c>
      <c r="R217" s="1882" t="s">
        <v>11874</v>
      </c>
      <c r="S217" s="1882">
        <v>0.25</v>
      </c>
      <c r="T217" s="1882" t="s">
        <v>732</v>
      </c>
      <c r="U217" s="1882">
        <v>2</v>
      </c>
      <c r="V217" s="1882"/>
      <c r="W217" s="1882"/>
      <c r="X217" s="1882"/>
      <c r="Y217" s="1882"/>
      <c r="Z217" s="1882"/>
      <c r="AA217" s="1882"/>
      <c r="AB217" s="1882"/>
      <c r="AC217" s="1882"/>
      <c r="AD217" s="1882"/>
      <c r="AE217" s="1882"/>
      <c r="AF217" s="1882"/>
      <c r="AG217" s="1882"/>
      <c r="AH217" s="1882"/>
      <c r="AI217" s="1882"/>
      <c r="AJ217" s="1882"/>
      <c r="AK217" s="1882"/>
      <c r="AL217" s="1882"/>
      <c r="AM217" s="1882"/>
      <c r="AN217" s="1882"/>
      <c r="AO217" s="1882"/>
      <c r="AP217" s="1882"/>
      <c r="AQ217" s="1882"/>
      <c r="AR217" s="1882"/>
      <c r="AS217" s="1882"/>
      <c r="AT217" s="1882"/>
      <c r="AU217" s="1882" t="s">
        <v>2451</v>
      </c>
      <c r="AV217" s="1882"/>
      <c r="AW217" s="1882" t="s">
        <v>2451</v>
      </c>
      <c r="AY217" s="2815">
        <v>99.95594410408205</v>
      </c>
      <c r="AZ217" s="1882" t="s">
        <v>2460</v>
      </c>
      <c r="BA217" s="1882"/>
      <c r="BB217" s="1882" t="s">
        <v>12131</v>
      </c>
      <c r="BC217" s="1882"/>
      <c r="BD217" s="1882"/>
      <c r="BE217" s="1882"/>
      <c r="BF217" s="1882"/>
      <c r="BG217" s="1882"/>
      <c r="BH217" s="1882"/>
    </row>
    <row r="218" spans="1:60">
      <c r="A218" s="1882" t="s">
        <v>11638</v>
      </c>
      <c r="B218" s="1882" t="s">
        <v>8352</v>
      </c>
      <c r="C218" s="1882" t="s">
        <v>8424</v>
      </c>
      <c r="D218" s="1882" t="s">
        <v>8720</v>
      </c>
      <c r="E218" s="1882" t="s">
        <v>10238</v>
      </c>
      <c r="F218" s="1882" t="s">
        <v>10240</v>
      </c>
      <c r="G218" s="1882" t="s">
        <v>8508</v>
      </c>
      <c r="H218" s="1882" t="s">
        <v>8673</v>
      </c>
      <c r="I218" s="1882" t="s">
        <v>10241</v>
      </c>
      <c r="J218" s="1882"/>
      <c r="K218" s="1882"/>
      <c r="L218" s="1882"/>
      <c r="M218" s="1882"/>
      <c r="N218" s="1882"/>
      <c r="O218" s="1882">
        <v>3</v>
      </c>
      <c r="P218" s="1882" t="s">
        <v>11728</v>
      </c>
      <c r="Q218" s="1882" t="s">
        <v>10240</v>
      </c>
      <c r="R218" s="1882"/>
      <c r="S218" s="1882"/>
      <c r="T218" s="1882" t="s">
        <v>764</v>
      </c>
      <c r="U218" s="1882" t="s">
        <v>2453</v>
      </c>
      <c r="V218" s="1882"/>
      <c r="W218" s="1882"/>
      <c r="X218" s="1882"/>
      <c r="Y218" s="1882"/>
      <c r="Z218" s="1882"/>
      <c r="AA218" s="1882"/>
      <c r="AB218" s="1882"/>
      <c r="AC218" s="1882"/>
      <c r="AD218" s="1882"/>
      <c r="AE218" s="1882"/>
      <c r="AF218" s="1882"/>
      <c r="AG218" s="1882"/>
      <c r="AH218" s="1882"/>
      <c r="AI218" s="1882"/>
      <c r="AJ218" s="1882"/>
      <c r="AK218" s="1882"/>
      <c r="AL218" s="1882"/>
      <c r="AM218" s="1882"/>
      <c r="AN218" s="1882"/>
      <c r="AO218" s="1882"/>
      <c r="AP218" s="1882"/>
      <c r="AQ218" s="1882"/>
      <c r="AR218" s="1882"/>
      <c r="AS218" s="1882"/>
      <c r="AT218" s="1882"/>
      <c r="AU218" s="1882" t="s">
        <v>2451</v>
      </c>
      <c r="AV218" s="1882"/>
      <c r="AW218" s="1882" t="s">
        <v>2451</v>
      </c>
      <c r="AY218" s="1882">
        <v>4</v>
      </c>
      <c r="AZ218" s="1882" t="s">
        <v>2459</v>
      </c>
      <c r="BA218" s="1882"/>
      <c r="BB218" s="1882" t="s">
        <v>11639</v>
      </c>
      <c r="BC218" s="1882"/>
      <c r="BD218" s="1882"/>
      <c r="BE218" s="1882"/>
      <c r="BF218" s="1882"/>
      <c r="BG218" s="1882"/>
      <c r="BH218" s="1882"/>
    </row>
    <row r="219" spans="1:60">
      <c r="A219" s="1882" t="s">
        <v>11638</v>
      </c>
      <c r="B219" s="1882" t="s">
        <v>8352</v>
      </c>
      <c r="C219" s="1882" t="s">
        <v>8424</v>
      </c>
      <c r="D219" s="1882" t="s">
        <v>8720</v>
      </c>
      <c r="E219" s="1882" t="s">
        <v>10238</v>
      </c>
      <c r="F219" s="1882" t="s">
        <v>10240</v>
      </c>
      <c r="G219" s="1882"/>
      <c r="H219" s="1882"/>
      <c r="I219" s="1882"/>
      <c r="J219" s="1882"/>
      <c r="K219" s="1882"/>
      <c r="L219" s="1882"/>
      <c r="M219" s="1882"/>
      <c r="N219" s="1882"/>
      <c r="O219" s="1882"/>
      <c r="P219" s="1882" t="s">
        <v>11730</v>
      </c>
      <c r="Q219" s="1882" t="s">
        <v>11878</v>
      </c>
      <c r="R219" s="1882" t="s">
        <v>11879</v>
      </c>
      <c r="S219" s="1882"/>
      <c r="T219" s="1882" t="s">
        <v>764</v>
      </c>
      <c r="U219" s="1882" t="s">
        <v>2453</v>
      </c>
      <c r="V219" s="1882"/>
      <c r="W219" s="1882"/>
      <c r="X219" s="1882"/>
      <c r="Y219" s="1882"/>
      <c r="Z219" s="1882"/>
      <c r="AA219" s="1882"/>
      <c r="AB219" s="1882"/>
      <c r="AC219" s="1882"/>
      <c r="AD219" s="1882"/>
      <c r="AE219" s="1882"/>
      <c r="AF219" s="1882"/>
      <c r="AG219" s="1882"/>
      <c r="AH219" s="1882"/>
      <c r="AI219" s="1882"/>
      <c r="AJ219" s="1882"/>
      <c r="AK219" s="1882"/>
      <c r="AL219" s="1882"/>
      <c r="AM219" s="1882"/>
      <c r="AN219" s="1882"/>
      <c r="AO219" s="1882"/>
      <c r="AP219" s="1882"/>
      <c r="AQ219" s="1882"/>
      <c r="AR219" s="1882"/>
      <c r="AS219" s="1882"/>
      <c r="AT219" s="1882"/>
      <c r="AU219" s="1882" t="s">
        <v>2451</v>
      </c>
      <c r="AV219" s="1882"/>
      <c r="AW219" s="1882" t="s">
        <v>2451</v>
      </c>
      <c r="AY219" s="1882" t="s">
        <v>12132</v>
      </c>
      <c r="AZ219" s="1882" t="s">
        <v>2459</v>
      </c>
      <c r="BA219" s="1882"/>
      <c r="BB219" s="1882" t="s">
        <v>12133</v>
      </c>
      <c r="BC219" s="1882"/>
      <c r="BD219" s="1882"/>
      <c r="BE219" s="1882"/>
      <c r="BF219" s="1882"/>
      <c r="BG219" s="1882"/>
      <c r="BH219" s="1882"/>
    </row>
    <row r="220" spans="1:60">
      <c r="A220" s="1882" t="s">
        <v>11638</v>
      </c>
      <c r="B220" s="1882" t="s">
        <v>8352</v>
      </c>
      <c r="C220" s="1882" t="s">
        <v>8424</v>
      </c>
      <c r="D220" s="1882" t="s">
        <v>8720</v>
      </c>
      <c r="E220" s="1882" t="s">
        <v>10238</v>
      </c>
      <c r="F220" s="1882" t="s">
        <v>10240</v>
      </c>
      <c r="G220" s="1882"/>
      <c r="H220" s="1882"/>
      <c r="I220" s="1882"/>
      <c r="J220" s="1882"/>
      <c r="K220" s="1882"/>
      <c r="L220" s="1882"/>
      <c r="M220" s="1882"/>
      <c r="N220" s="1882"/>
      <c r="O220" s="1882"/>
      <c r="P220" s="1882" t="s">
        <v>11734</v>
      </c>
      <c r="Q220" s="1882" t="s">
        <v>11881</v>
      </c>
      <c r="R220" s="1882" t="s">
        <v>11882</v>
      </c>
      <c r="S220" s="1882"/>
      <c r="T220" s="1882" t="s">
        <v>764</v>
      </c>
      <c r="U220" s="1882" t="s">
        <v>2453</v>
      </c>
      <c r="V220" s="1882"/>
      <c r="W220" s="1882"/>
      <c r="X220" s="1882"/>
      <c r="Y220" s="1882"/>
      <c r="Z220" s="1882"/>
      <c r="AA220" s="1882"/>
      <c r="AB220" s="1882"/>
      <c r="AC220" s="1882"/>
      <c r="AD220" s="1882"/>
      <c r="AE220" s="1882"/>
      <c r="AF220" s="1882"/>
      <c r="AG220" s="1882"/>
      <c r="AH220" s="1882"/>
      <c r="AI220" s="1882"/>
      <c r="AJ220" s="1882"/>
      <c r="AK220" s="1882"/>
      <c r="AL220" s="1882"/>
      <c r="AM220" s="1882"/>
      <c r="AN220" s="1882"/>
      <c r="AO220" s="1882"/>
      <c r="AP220" s="1882"/>
      <c r="AQ220" s="1882"/>
      <c r="AR220" s="1882"/>
      <c r="AS220" s="1882"/>
      <c r="AT220" s="1882"/>
      <c r="AU220" s="1882" t="s">
        <v>2451</v>
      </c>
      <c r="AV220" s="1882"/>
      <c r="AW220" s="1882" t="s">
        <v>2451</v>
      </c>
      <c r="AY220" s="1882" t="s">
        <v>12132</v>
      </c>
      <c r="AZ220" s="1882" t="s">
        <v>2459</v>
      </c>
      <c r="BA220" s="1882"/>
      <c r="BB220" s="1882" t="s">
        <v>12134</v>
      </c>
      <c r="BC220" s="1882"/>
      <c r="BD220" s="1882"/>
      <c r="BE220" s="1882"/>
      <c r="BF220" s="1882"/>
      <c r="BG220" s="1882"/>
      <c r="BH220" s="1882"/>
    </row>
    <row r="221" spans="1:60">
      <c r="A221" s="1882" t="s">
        <v>11638</v>
      </c>
      <c r="B221" s="1882" t="s">
        <v>8352</v>
      </c>
      <c r="C221" s="1882" t="s">
        <v>8424</v>
      </c>
      <c r="D221" s="1882" t="s">
        <v>8720</v>
      </c>
      <c r="E221" s="1882" t="s">
        <v>10238</v>
      </c>
      <c r="F221" s="1882" t="s">
        <v>10240</v>
      </c>
      <c r="G221" s="1882"/>
      <c r="H221" s="1882"/>
      <c r="I221" s="1882"/>
      <c r="J221" s="1882"/>
      <c r="K221" s="1882"/>
      <c r="L221" s="1882"/>
      <c r="M221" s="1882"/>
      <c r="N221" s="1882"/>
      <c r="O221" s="1882"/>
      <c r="P221" s="1882" t="s">
        <v>11741</v>
      </c>
      <c r="Q221" s="1882" t="s">
        <v>11884</v>
      </c>
      <c r="R221" s="1882" t="s">
        <v>11759</v>
      </c>
      <c r="S221" s="1882"/>
      <c r="T221" s="1882" t="s">
        <v>764</v>
      </c>
      <c r="U221" s="1882" t="s">
        <v>2453</v>
      </c>
      <c r="V221" s="1882"/>
      <c r="W221" s="1882"/>
      <c r="X221" s="1882"/>
      <c r="Y221" s="1882"/>
      <c r="Z221" s="1882"/>
      <c r="AA221" s="1882"/>
      <c r="AB221" s="1882"/>
      <c r="AC221" s="1882"/>
      <c r="AD221" s="1882"/>
      <c r="AE221" s="1882"/>
      <c r="AF221" s="1882"/>
      <c r="AG221" s="1882"/>
      <c r="AH221" s="1882"/>
      <c r="AI221" s="1882"/>
      <c r="AJ221" s="1882"/>
      <c r="AK221" s="1882"/>
      <c r="AL221" s="1882"/>
      <c r="AM221" s="1882"/>
      <c r="AN221" s="1882"/>
      <c r="AO221" s="1882"/>
      <c r="AP221" s="1882"/>
      <c r="AQ221" s="1882"/>
      <c r="AR221" s="1882"/>
      <c r="AS221" s="1882"/>
      <c r="AT221" s="1882"/>
      <c r="AU221" s="1882" t="s">
        <v>2451</v>
      </c>
      <c r="AV221" s="1882"/>
      <c r="AW221" s="1882" t="s">
        <v>2451</v>
      </c>
      <c r="AY221" s="1882" t="s">
        <v>12132</v>
      </c>
      <c r="AZ221" s="1882" t="s">
        <v>2459</v>
      </c>
      <c r="BA221" s="1882"/>
      <c r="BB221" s="1882" t="s">
        <v>12135</v>
      </c>
      <c r="BC221" s="1882"/>
      <c r="BD221" s="1882"/>
      <c r="BE221" s="1882"/>
      <c r="BF221" s="1882"/>
      <c r="BG221" s="1882"/>
      <c r="BH221" s="1882"/>
    </row>
    <row r="222" spans="1:60">
      <c r="A222" s="1882" t="s">
        <v>11638</v>
      </c>
      <c r="B222" s="1882" t="s">
        <v>8352</v>
      </c>
      <c r="C222" s="1882" t="s">
        <v>8424</v>
      </c>
      <c r="D222" s="1882" t="s">
        <v>8720</v>
      </c>
      <c r="E222" s="1882" t="s">
        <v>10238</v>
      </c>
      <c r="F222" s="1882" t="s">
        <v>10240</v>
      </c>
      <c r="G222" s="1882"/>
      <c r="H222" s="1882"/>
      <c r="I222" s="1882"/>
      <c r="J222" s="1882"/>
      <c r="K222" s="1882"/>
      <c r="L222" s="1882"/>
      <c r="M222" s="1882"/>
      <c r="N222" s="1882"/>
      <c r="O222" s="1882"/>
      <c r="P222" s="1882" t="s">
        <v>11745</v>
      </c>
      <c r="Q222" s="1882" t="s">
        <v>11886</v>
      </c>
      <c r="R222" s="1882" t="s">
        <v>11887</v>
      </c>
      <c r="S222" s="1882"/>
      <c r="T222" s="1882" t="s">
        <v>764</v>
      </c>
      <c r="U222" s="1882" t="s">
        <v>2453</v>
      </c>
      <c r="V222" s="1882"/>
      <c r="W222" s="1882"/>
      <c r="X222" s="1882"/>
      <c r="Y222" s="1882"/>
      <c r="Z222" s="1882"/>
      <c r="AA222" s="1882"/>
      <c r="AB222" s="1882"/>
      <c r="AC222" s="1882"/>
      <c r="AD222" s="1882"/>
      <c r="AE222" s="1882"/>
      <c r="AF222" s="1882"/>
      <c r="AG222" s="1882"/>
      <c r="AH222" s="1882"/>
      <c r="AI222" s="1882"/>
      <c r="AJ222" s="1882"/>
      <c r="AK222" s="1882"/>
      <c r="AL222" s="1882"/>
      <c r="AM222" s="1882"/>
      <c r="AN222" s="1882"/>
      <c r="AO222" s="1882"/>
      <c r="AP222" s="1882"/>
      <c r="AQ222" s="1882"/>
      <c r="AR222" s="1882"/>
      <c r="AS222" s="1882"/>
      <c r="AT222" s="1882"/>
      <c r="AU222" s="1882" t="s">
        <v>2451</v>
      </c>
      <c r="AV222" s="1882"/>
      <c r="AW222" s="1882" t="s">
        <v>2451</v>
      </c>
      <c r="AY222" s="1882" t="s">
        <v>12132</v>
      </c>
      <c r="AZ222" s="1882" t="s">
        <v>2459</v>
      </c>
      <c r="BA222" s="1882"/>
      <c r="BB222" s="1882" t="s">
        <v>12136</v>
      </c>
      <c r="BC222" s="1882"/>
      <c r="BD222" s="1882"/>
      <c r="BE222" s="1882"/>
      <c r="BF222" s="1882"/>
      <c r="BG222" s="1882"/>
      <c r="BH222" s="1882"/>
    </row>
    <row r="223" spans="1:60" ht="6" customHeight="1">
      <c r="A223" s="569"/>
      <c r="B223" s="569"/>
      <c r="C223" s="569"/>
      <c r="D223" s="569"/>
      <c r="E223" s="569"/>
      <c r="F223" s="569"/>
      <c r="G223" s="569"/>
      <c r="H223" s="569"/>
      <c r="I223" s="569"/>
      <c r="J223" s="569"/>
      <c r="K223" s="569"/>
      <c r="L223" s="569"/>
      <c r="M223" s="569"/>
      <c r="N223" s="569"/>
      <c r="O223" s="569"/>
      <c r="P223" s="569"/>
      <c r="Q223" s="569"/>
      <c r="R223" s="569"/>
      <c r="S223" s="569"/>
      <c r="T223" s="569"/>
      <c r="U223" s="569"/>
      <c r="V223" s="569"/>
      <c r="W223" s="569"/>
      <c r="X223" s="569"/>
      <c r="Y223" s="569"/>
      <c r="Z223" s="569"/>
      <c r="AA223" s="569"/>
      <c r="AB223" s="569"/>
      <c r="AC223" s="569"/>
      <c r="AD223" s="569"/>
      <c r="AE223" s="569"/>
      <c r="AF223" s="569"/>
      <c r="AG223" s="569"/>
      <c r="AH223" s="569"/>
      <c r="AI223" s="569"/>
      <c r="AJ223" s="569"/>
      <c r="AK223" s="569"/>
      <c r="AL223" s="569"/>
      <c r="AM223" s="569"/>
      <c r="AN223" s="569"/>
      <c r="AO223" s="569"/>
      <c r="AP223" s="569"/>
      <c r="AQ223" s="569"/>
      <c r="AR223" s="569"/>
      <c r="AS223" s="569"/>
      <c r="AT223" s="569"/>
      <c r="AU223" s="569"/>
      <c r="AV223" s="569"/>
      <c r="AW223" s="569"/>
      <c r="AX223" s="569"/>
      <c r="AY223" s="569"/>
      <c r="AZ223" s="569"/>
      <c r="BA223" s="569"/>
      <c r="BB223" s="569"/>
      <c r="BC223" s="569"/>
      <c r="BD223" s="569"/>
      <c r="BE223" s="569"/>
      <c r="BF223" s="569"/>
      <c r="BG223" s="569"/>
      <c r="BH223" s="569"/>
    </row>
  </sheetData>
  <sheetProtection algorithmName="SHA-512" hashValue="hNcqAFb8WnIJ6BCWUOyYYyJzqG3LvjgA7kEZ2B1UY+OQGe6A9YtOZl1eLuLaSQfoW4yeACeKelynKiBD16KUnA==" saltValue="iY4UK5FOnpnIE8sic0/bEQ==" spinCount="100000" sheet="1" objects="1" scenarios="1"/>
  <autoFilter ref="A2:AT207" xr:uid="{00000000-0009-0000-0000-00003A000000}"/>
  <pageMargins left="0.7" right="0.7" top="0.75" bottom="0.75" header="0.3" footer="0.3"/>
  <pageSetup paperSize="9" orientation="portrait" r:id="rId1"/>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dimension ref="A1:DP42"/>
  <sheetViews>
    <sheetView workbookViewId="0"/>
  </sheetViews>
  <sheetFormatPr defaultRowHeight="14"/>
  <cols>
    <col min="1" max="1" width="8.58203125" bestFit="1" customWidth="1"/>
    <col min="2" max="2" width="6.08203125" bestFit="1" customWidth="1"/>
    <col min="3" max="3" width="21.58203125" bestFit="1" customWidth="1"/>
    <col min="4" max="4" width="7.58203125" bestFit="1" customWidth="1"/>
    <col min="5" max="5" width="6.58203125" bestFit="1" customWidth="1"/>
    <col min="6" max="6" width="6.58203125" customWidth="1"/>
    <col min="7" max="7" width="21.08203125" bestFit="1" customWidth="1"/>
    <col min="8" max="8" width="5.58203125" bestFit="1" customWidth="1"/>
    <col min="9" max="9" width="47.08203125" bestFit="1" customWidth="1"/>
    <col min="10" max="10" width="7.58203125" bestFit="1" customWidth="1"/>
    <col min="11" max="11" width="6.5" bestFit="1" customWidth="1"/>
    <col min="12" max="12" width="6.5" customWidth="1"/>
    <col min="13" max="13" width="17.5" bestFit="1" customWidth="1"/>
    <col min="14" max="14" width="5.58203125" bestFit="1" customWidth="1"/>
    <col min="15" max="15" width="43.08203125" bestFit="1" customWidth="1"/>
    <col min="16" max="16" width="7.58203125" bestFit="1" customWidth="1"/>
    <col min="17" max="17" width="6.08203125" bestFit="1" customWidth="1"/>
    <col min="18" max="18" width="6.08203125" customWidth="1"/>
    <col min="19" max="19" width="4.58203125" bestFit="1" customWidth="1"/>
    <col min="20" max="20" width="6.08203125" bestFit="1" customWidth="1"/>
    <col min="21" max="21" width="7" bestFit="1" customWidth="1"/>
    <col min="22" max="22" width="7.58203125" bestFit="1" customWidth="1"/>
    <col min="23" max="23" width="7" bestFit="1" customWidth="1"/>
    <col min="24" max="24" width="7" customWidth="1"/>
    <col min="25" max="25" width="4.08203125" bestFit="1" customWidth="1"/>
    <col min="26" max="26" width="5.58203125" bestFit="1" customWidth="1"/>
    <col min="27" max="27" width="6.08203125" bestFit="1" customWidth="1"/>
    <col min="28" max="28" width="7.08203125" bestFit="1" customWidth="1"/>
    <col min="29" max="29" width="6.08203125" bestFit="1" customWidth="1"/>
    <col min="30" max="30" width="6.08203125" customWidth="1"/>
    <col min="31" max="31" width="4.08203125" bestFit="1" customWidth="1"/>
    <col min="32" max="32" width="5.58203125" bestFit="1" customWidth="1"/>
    <col min="33" max="33" width="6.08203125" bestFit="1" customWidth="1"/>
    <col min="34" max="34" width="7.08203125" bestFit="1" customWidth="1"/>
    <col min="35" max="35" width="6.08203125" bestFit="1" customWidth="1"/>
    <col min="36" max="36" width="6.08203125" customWidth="1"/>
    <col min="37" max="37" width="18.08203125" bestFit="1" customWidth="1"/>
    <col min="38" max="38" width="6.08203125" bestFit="1" customWidth="1"/>
    <col min="39" max="39" width="53.08203125" bestFit="1" customWidth="1"/>
    <col min="40" max="40" width="7.58203125" bestFit="1" customWidth="1"/>
    <col min="41" max="41" width="7" bestFit="1" customWidth="1"/>
    <col min="42" max="42" width="7" customWidth="1"/>
    <col min="43" max="43" width="4.08203125" bestFit="1" customWidth="1"/>
    <col min="44" max="44" width="5.58203125" bestFit="1" customWidth="1"/>
    <col min="45" max="45" width="6.08203125" bestFit="1" customWidth="1"/>
    <col min="46" max="46" width="7.08203125" bestFit="1" customWidth="1"/>
    <col min="47" max="47" width="6.08203125" bestFit="1" customWidth="1"/>
    <col min="48" max="48" width="6.08203125" customWidth="1"/>
    <col min="49" max="49" width="18.08203125" bestFit="1" customWidth="1"/>
    <col min="50" max="50" width="6.08203125" bestFit="1" customWidth="1"/>
    <col min="51" max="51" width="42.58203125" bestFit="1" customWidth="1"/>
    <col min="52" max="52" width="7.58203125" bestFit="1" customWidth="1"/>
    <col min="53" max="53" width="6.58203125" bestFit="1" customWidth="1"/>
    <col min="54" max="54" width="6.58203125" customWidth="1"/>
    <col min="55" max="55" width="18.5" bestFit="1" customWidth="1"/>
    <col min="56" max="56" width="5.58203125" bestFit="1" customWidth="1"/>
    <col min="57" max="57" width="35.08203125" bestFit="1" customWidth="1"/>
    <col min="58" max="58" width="7.58203125" bestFit="1" customWidth="1"/>
    <col min="59" max="59" width="6.5" bestFit="1" customWidth="1"/>
    <col min="60" max="60" width="6.5" customWidth="1"/>
    <col min="61" max="61" width="18.08203125" bestFit="1" customWidth="1"/>
    <col min="62" max="62" width="5.58203125" bestFit="1" customWidth="1"/>
    <col min="63" max="63" width="48.58203125" bestFit="1" customWidth="1"/>
    <col min="64" max="64" width="7.58203125" bestFit="1" customWidth="1"/>
    <col min="65" max="65" width="6.5" bestFit="1" customWidth="1"/>
    <col min="66" max="66" width="6.5" customWidth="1"/>
    <col min="67" max="67" width="21.5" bestFit="1" customWidth="1"/>
    <col min="68" max="68" width="5.58203125" bestFit="1" customWidth="1"/>
    <col min="69" max="69" width="62.83203125" customWidth="1"/>
    <col min="70" max="70" width="7.08203125" bestFit="1" customWidth="1"/>
    <col min="71" max="71" width="6.08203125" bestFit="1" customWidth="1"/>
    <col min="72" max="72" width="6.08203125" customWidth="1"/>
    <col min="73" max="73" width="22" bestFit="1" customWidth="1"/>
    <col min="74" max="74" width="6.08203125" bestFit="1" customWidth="1"/>
    <col min="75" max="75" width="59.58203125" bestFit="1" customWidth="1"/>
    <col min="76" max="76" width="7.58203125" bestFit="1" customWidth="1"/>
    <col min="77" max="77" width="6.58203125" bestFit="1" customWidth="1"/>
    <col min="78" max="78" width="6.58203125" customWidth="1"/>
    <col min="79" max="79" width="20.58203125" bestFit="1" customWidth="1"/>
    <col min="80" max="80" width="6" bestFit="1" customWidth="1"/>
    <col min="81" max="81" width="58.75" customWidth="1"/>
    <col min="82" max="82" width="7.58203125" bestFit="1" customWidth="1"/>
    <col min="83" max="83" width="6.58203125" bestFit="1" customWidth="1"/>
    <col min="84" max="84" width="6.58203125" customWidth="1"/>
    <col min="85" max="85" width="20.08203125" bestFit="1" customWidth="1"/>
    <col min="86" max="86" width="6.08203125" bestFit="1" customWidth="1"/>
    <col min="87" max="87" width="59" bestFit="1" customWidth="1"/>
    <col min="88" max="88" width="7.58203125" bestFit="1" customWidth="1"/>
    <col min="89" max="89" width="6.58203125" bestFit="1" customWidth="1"/>
    <col min="90" max="90" width="6.58203125" customWidth="1"/>
    <col min="91" max="91" width="20.08203125" bestFit="1" customWidth="1"/>
    <col min="92" max="92" width="6.08203125" bestFit="1" customWidth="1"/>
    <col min="93" max="93" width="63.08203125" bestFit="1" customWidth="1"/>
    <col min="94" max="94" width="7.58203125" bestFit="1" customWidth="1"/>
    <col min="95" max="95" width="7" bestFit="1" customWidth="1"/>
    <col min="96" max="96" width="7" customWidth="1"/>
    <col min="97" max="97" width="4.58203125" bestFit="1" customWidth="1"/>
    <col min="98" max="98" width="6.08203125" bestFit="1" customWidth="1"/>
    <col min="99" max="99" width="7" bestFit="1" customWidth="1"/>
    <col min="100" max="100" width="7.58203125" bestFit="1" customWidth="1"/>
    <col min="101" max="101" width="7" bestFit="1" customWidth="1"/>
    <col min="102" max="102" width="7" customWidth="1"/>
    <col min="103" max="103" width="20.58203125" bestFit="1" customWidth="1"/>
    <col min="104" max="104" width="5.58203125" bestFit="1" customWidth="1"/>
    <col min="105" max="105" width="60.08203125" bestFit="1" customWidth="1"/>
    <col min="106" max="106" width="7.58203125" bestFit="1" customWidth="1"/>
    <col min="107" max="107" width="6.08203125" bestFit="1" customWidth="1"/>
    <col min="109" max="109" width="20.58203125" style="1882" bestFit="1" customWidth="1"/>
    <col min="110" max="110" width="5.58203125" style="1882" bestFit="1" customWidth="1"/>
    <col min="111" max="111" width="60.08203125" style="1882" bestFit="1" customWidth="1"/>
    <col min="112" max="112" width="7.58203125" style="1882" bestFit="1" customWidth="1"/>
    <col min="113" max="113" width="6.08203125" style="1882" bestFit="1" customWidth="1"/>
    <col min="114" max="114" width="9" style="1882"/>
    <col min="115" max="115" width="20.58203125" style="1882" bestFit="1" customWidth="1"/>
    <col min="116" max="116" width="5.58203125" style="1882" bestFit="1" customWidth="1"/>
    <col min="117" max="117" width="60.08203125" style="1882" bestFit="1" customWidth="1"/>
    <col min="118" max="118" width="7.58203125" style="1882" bestFit="1" customWidth="1"/>
    <col min="119" max="119" width="6.08203125" style="1882" bestFit="1" customWidth="1"/>
    <col min="120" max="120" width="9" style="1882"/>
  </cols>
  <sheetData>
    <row r="1" spans="1:120">
      <c r="A1" s="52" t="s">
        <v>2306</v>
      </c>
      <c r="B1" s="52"/>
      <c r="C1" s="53" t="s">
        <v>2307</v>
      </c>
      <c r="D1" s="1882"/>
      <c r="E1" s="1882"/>
      <c r="F1" s="1882"/>
      <c r="G1" s="1882"/>
      <c r="H1" s="1882"/>
      <c r="I1" s="1882"/>
      <c r="J1" s="1882"/>
      <c r="K1" s="1882"/>
      <c r="L1" s="1882"/>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c r="AN1" s="1882"/>
      <c r="AO1" s="1882"/>
      <c r="AP1" s="1882"/>
      <c r="AQ1" s="1882"/>
      <c r="AR1" s="1882"/>
      <c r="AS1" s="1882"/>
      <c r="AT1" s="1882"/>
      <c r="AU1" s="1882"/>
      <c r="AV1" s="1882"/>
      <c r="AW1" s="1882"/>
      <c r="AX1" s="1882"/>
      <c r="AY1" s="1882"/>
      <c r="AZ1" s="1882"/>
      <c r="BA1" s="1882"/>
      <c r="BB1" s="1882"/>
      <c r="BC1" s="1882"/>
      <c r="BD1" s="1882"/>
      <c r="BE1" s="1882"/>
      <c r="BF1" s="1882"/>
      <c r="BG1" s="1882"/>
      <c r="BH1" s="1882"/>
      <c r="BI1" s="1882"/>
      <c r="BJ1" s="1882"/>
      <c r="BK1" s="1882"/>
      <c r="BL1" s="1882"/>
      <c r="BM1" s="1882"/>
      <c r="BN1" s="1882"/>
      <c r="BO1" s="1882"/>
      <c r="BP1" s="1882"/>
      <c r="BQ1" s="1882"/>
      <c r="BR1" s="1882"/>
      <c r="BS1" s="1882"/>
      <c r="BT1" s="1882"/>
      <c r="BU1" s="1882"/>
      <c r="BV1" s="1882"/>
      <c r="BW1" s="1882"/>
      <c r="BX1" s="1882"/>
      <c r="BY1" s="1882"/>
      <c r="BZ1" s="1882"/>
      <c r="CA1" s="1882"/>
      <c r="CB1" s="1882"/>
      <c r="CC1" s="1882"/>
      <c r="CD1" s="1882"/>
      <c r="CE1" s="1882"/>
      <c r="CF1" s="1882"/>
      <c r="CG1" s="1882"/>
      <c r="CH1" s="1882"/>
      <c r="CI1" s="1882"/>
      <c r="CJ1" s="1882"/>
      <c r="CK1" s="1882"/>
      <c r="CL1" s="1882"/>
      <c r="CM1" s="1882"/>
      <c r="CN1" s="1882"/>
      <c r="CO1" s="1882"/>
      <c r="CP1" s="1882"/>
      <c r="CQ1" s="1882"/>
      <c r="CR1" s="1882"/>
      <c r="CS1" s="1882"/>
      <c r="CT1" s="1882"/>
      <c r="CU1" s="1882"/>
      <c r="CV1" s="1882"/>
      <c r="CW1" s="1882"/>
      <c r="CX1" s="1882"/>
      <c r="CY1" s="1882"/>
      <c r="CZ1" s="1882"/>
      <c r="DA1" s="1882"/>
      <c r="DB1" s="1882"/>
      <c r="DC1" s="1882"/>
      <c r="DD1" s="1882"/>
    </row>
    <row r="2" spans="1:120" s="55" customFormat="1" ht="13">
      <c r="A2" s="2097" t="s">
        <v>8501</v>
      </c>
      <c r="B2" s="2097" t="s">
        <v>12137</v>
      </c>
      <c r="C2" s="2097" t="str">
        <f xml:space="preserve"> A2 &amp; "PC"</f>
        <v>AFWPC</v>
      </c>
      <c r="D2" s="2097" t="str">
        <f xml:space="preserve"> A2 &amp; "Unit"</f>
        <v>AFWUnit</v>
      </c>
      <c r="E2" s="2097" t="s">
        <v>11676</v>
      </c>
      <c r="F2" s="2097" t="str">
        <f xml:space="preserve"> A2 &amp; "201819ActPerf"</f>
        <v>AFW201819ActPerf</v>
      </c>
      <c r="G2" s="2098" t="s">
        <v>8355</v>
      </c>
      <c r="H2" s="2098" t="s">
        <v>12138</v>
      </c>
      <c r="I2" s="2098" t="str">
        <f>G2&amp;"PC"</f>
        <v>ANHPC</v>
      </c>
      <c r="J2" s="2098" t="str">
        <f xml:space="preserve"> G2 &amp; "Unit"</f>
        <v>ANHUnit</v>
      </c>
      <c r="K2" s="2098" t="s">
        <v>11677</v>
      </c>
      <c r="L2" s="2098" t="str">
        <f xml:space="preserve"> G2 &amp; "201819ActPerf"</f>
        <v>ANH201819ActPerf</v>
      </c>
      <c r="M2" s="2099" t="s">
        <v>8846</v>
      </c>
      <c r="N2" s="2099" t="s">
        <v>12139</v>
      </c>
      <c r="O2" s="2099" t="str">
        <f>M2&amp;"PC"</f>
        <v>BRLPC</v>
      </c>
      <c r="P2" s="2099" t="str">
        <f xml:space="preserve"> M2 &amp; "Unit"</f>
        <v>BRLUnit</v>
      </c>
      <c r="Q2" s="2099" t="s">
        <v>11678</v>
      </c>
      <c r="R2" s="2099" t="str">
        <f xml:space="preserve"> M2 &amp; "201819ActPerf"</f>
        <v>BRL201819ActPerf</v>
      </c>
      <c r="S2" s="2097" t="s">
        <v>8978</v>
      </c>
      <c r="T2" s="2097" t="s">
        <v>12140</v>
      </c>
      <c r="U2" s="2097" t="str">
        <f>S2&amp;"PC"</f>
        <v>DVWPC</v>
      </c>
      <c r="V2" s="2097" t="str">
        <f xml:space="preserve"> S2 &amp; "Unit"</f>
        <v>DVWUnit</v>
      </c>
      <c r="W2" s="2097" t="s">
        <v>11679</v>
      </c>
      <c r="X2" s="2097" t="str">
        <f xml:space="preserve"> S2 &amp; "201819ActPerf"</f>
        <v>DVW201819ActPerf</v>
      </c>
      <c r="Y2" s="2098" t="s">
        <v>8362</v>
      </c>
      <c r="Z2" s="2098" t="s">
        <v>12141</v>
      </c>
      <c r="AA2" s="2098" t="str">
        <f>Y2&amp;"PC"</f>
        <v>NESPC</v>
      </c>
      <c r="AB2" s="2098" t="str">
        <f xml:space="preserve"> Y2 &amp; "Unit"</f>
        <v>NESUnit</v>
      </c>
      <c r="AC2" s="2098" t="s">
        <v>11680</v>
      </c>
      <c r="AD2" s="2098" t="str">
        <f xml:space="preserve"> Y2 &amp; "201819ActPerf"</f>
        <v>NES201819ActPerf</v>
      </c>
      <c r="AE2" s="2099" t="s">
        <v>9373</v>
      </c>
      <c r="AF2" s="2099" t="s">
        <v>12142</v>
      </c>
      <c r="AG2" s="2099" t="str">
        <f>AE2&amp;"PC"</f>
        <v>PRTPC</v>
      </c>
      <c r="AH2" s="2099" t="str">
        <f xml:space="preserve"> AE2 &amp; "Unit"</f>
        <v>PRTUnit</v>
      </c>
      <c r="AI2" s="2099" t="s">
        <v>11681</v>
      </c>
      <c r="AJ2" s="2099" t="str">
        <f xml:space="preserve"> AE2 &amp; "201819ActPerf"</f>
        <v>PRT201819ActPerf</v>
      </c>
      <c r="AK2" s="2097" t="s">
        <v>9453</v>
      </c>
      <c r="AL2" s="2097" t="s">
        <v>12143</v>
      </c>
      <c r="AM2" s="2097" t="str">
        <f>AK2&amp;"PC"</f>
        <v>SBWPC</v>
      </c>
      <c r="AN2" s="2097" t="str">
        <f xml:space="preserve"> AK2 &amp; "Unit"</f>
        <v>SBWUnit</v>
      </c>
      <c r="AO2" s="2097" t="s">
        <v>11682</v>
      </c>
      <c r="AP2" s="2097" t="str">
        <f xml:space="preserve"> AK2 &amp; "201819ActPerf"</f>
        <v>SBW201819ActPerf</v>
      </c>
      <c r="AQ2" s="2098" t="s">
        <v>9536</v>
      </c>
      <c r="AR2" s="2098" t="s">
        <v>12144</v>
      </c>
      <c r="AS2" s="2098" t="str">
        <f>AQ2&amp;"PC"</f>
        <v>SESPC</v>
      </c>
      <c r="AT2" s="2098" t="str">
        <f xml:space="preserve"> AQ2 &amp; "Unit"</f>
        <v>SESUnit</v>
      </c>
      <c r="AU2" s="2098" t="s">
        <v>11683</v>
      </c>
      <c r="AV2" s="2098" t="str">
        <f xml:space="preserve"> AQ2 &amp; "201819ActPerf"</f>
        <v>SES201819ActPerf</v>
      </c>
      <c r="AW2" s="2099" t="s">
        <v>9643</v>
      </c>
      <c r="AX2" s="2099" t="s">
        <v>12145</v>
      </c>
      <c r="AY2" s="2099" t="str">
        <f>AW2&amp;"PC"</f>
        <v>SEWPC</v>
      </c>
      <c r="AZ2" s="2099" t="str">
        <f xml:space="preserve"> AW2 &amp; "Unit"</f>
        <v>SEWUnit</v>
      </c>
      <c r="BA2" s="2099" t="s">
        <v>11684</v>
      </c>
      <c r="BB2" s="2099" t="str">
        <f xml:space="preserve"> AW2 &amp; "201819ActPerf"</f>
        <v>SEW201819ActPerf</v>
      </c>
      <c r="BC2" s="2097" t="s">
        <v>8375</v>
      </c>
      <c r="BD2" s="2097" t="s">
        <v>12146</v>
      </c>
      <c r="BE2" s="2097" t="str">
        <f>BC2&amp;"PC"</f>
        <v>SRNPC</v>
      </c>
      <c r="BF2" s="2097" t="str">
        <f xml:space="preserve"> BC2 &amp; "Unit"</f>
        <v>SRNUnit</v>
      </c>
      <c r="BG2" s="2097" t="s">
        <v>11685</v>
      </c>
      <c r="BH2" s="2097" t="str">
        <f xml:space="preserve"> BC2 &amp; "201819ActPerf"</f>
        <v>SRN201819ActPerf</v>
      </c>
      <c r="BI2" s="2098" t="s">
        <v>9958</v>
      </c>
      <c r="BJ2" s="2098" t="s">
        <v>12147</v>
      </c>
      <c r="BK2" s="2098" t="str">
        <f>BI2&amp;"PC"</f>
        <v>SSCPC</v>
      </c>
      <c r="BL2" s="2098" t="str">
        <f xml:space="preserve"> BI2 &amp; "Unit"</f>
        <v>SSCUnit</v>
      </c>
      <c r="BM2" s="2098" t="s">
        <v>12148</v>
      </c>
      <c r="BN2" s="2098" t="str">
        <f xml:space="preserve"> BI2 &amp; "201819ActPerf"</f>
        <v>SSC201819ActPerf</v>
      </c>
      <c r="BO2" s="2099" t="s">
        <v>8365</v>
      </c>
      <c r="BP2" s="2099" t="s">
        <v>12149</v>
      </c>
      <c r="BQ2" s="2099" t="str">
        <f>BO2&amp;"PC"</f>
        <v>SVTPC</v>
      </c>
      <c r="BR2" s="2099" t="str">
        <f xml:space="preserve"> BO2 &amp; "Unit"</f>
        <v>SVTUnit</v>
      </c>
      <c r="BS2" s="2099" t="s">
        <v>11686</v>
      </c>
      <c r="BT2" s="2099" t="str">
        <f xml:space="preserve"> BO2 &amp; "201819ActPerf"</f>
        <v>SVT201819ActPerf</v>
      </c>
      <c r="BU2" s="2097" t="s">
        <v>8371</v>
      </c>
      <c r="BV2" s="2097" t="s">
        <v>12150</v>
      </c>
      <c r="BW2" s="2097" t="str">
        <f>BU2&amp;"PC"</f>
        <v>SWTPC</v>
      </c>
      <c r="BX2" s="2097" t="str">
        <f xml:space="preserve"> BU2 &amp; "Unit"</f>
        <v>SWTUnit</v>
      </c>
      <c r="BY2" s="2097" t="s">
        <v>11687</v>
      </c>
      <c r="BZ2" s="2097" t="str">
        <f xml:space="preserve"> BU2 &amp; "201819ActPerf"</f>
        <v>SWT201819ActPerf</v>
      </c>
      <c r="CA2" s="2098" t="s">
        <v>8379</v>
      </c>
      <c r="CB2" s="2098" t="s">
        <v>12151</v>
      </c>
      <c r="CC2" s="2098" t="str">
        <f>CA2&amp;"PC"</f>
        <v>TMSPC</v>
      </c>
      <c r="CD2" s="2098" t="str">
        <f xml:space="preserve"> CA2 &amp; "Unit"</f>
        <v>TMSUnit</v>
      </c>
      <c r="CE2" s="2098" t="s">
        <v>11688</v>
      </c>
      <c r="CF2" s="2098" t="str">
        <f xml:space="preserve"> CA2 &amp; "201819ActPerf"</f>
        <v>TMS201819ActPerf</v>
      </c>
      <c r="CG2" s="2099" t="s">
        <v>8383</v>
      </c>
      <c r="CH2" s="2099" t="s">
        <v>12152</v>
      </c>
      <c r="CI2" s="2099" t="str">
        <f>CG2&amp;"PC"</f>
        <v>NWTPC</v>
      </c>
      <c r="CJ2" s="2099" t="str">
        <f xml:space="preserve"> CG2 &amp; "Unit"</f>
        <v>NWTUnit</v>
      </c>
      <c r="CK2" s="2099" t="s">
        <v>11689</v>
      </c>
      <c r="CL2" s="2099" t="str">
        <f xml:space="preserve"> CG2 &amp; "201819ActPerf"</f>
        <v>NWT201819ActPerf</v>
      </c>
      <c r="CM2" s="2097" t="s">
        <v>8359</v>
      </c>
      <c r="CN2" s="2097" t="s">
        <v>12153</v>
      </c>
      <c r="CO2" s="2097" t="str">
        <f>CM2&amp;"PC"</f>
        <v>WSHPC</v>
      </c>
      <c r="CP2" s="2097" t="str">
        <f xml:space="preserve"> CM2 &amp; "Unit"</f>
        <v>WSHUnit</v>
      </c>
      <c r="CQ2" s="2097" t="s">
        <v>11690</v>
      </c>
      <c r="CR2" s="2097" t="str">
        <f xml:space="preserve"> CM2 &amp; "201819ActPerf"</f>
        <v>WSH201819ActPerf</v>
      </c>
      <c r="CS2" s="2098" t="s">
        <v>8387</v>
      </c>
      <c r="CT2" s="2098" t="s">
        <v>12154</v>
      </c>
      <c r="CU2" s="2098" t="s">
        <v>11691</v>
      </c>
      <c r="CV2" s="2098" t="str">
        <f xml:space="preserve"> CS2 &amp; "Unit"</f>
        <v>WSXUnit</v>
      </c>
      <c r="CW2" s="2098" t="s">
        <v>11692</v>
      </c>
      <c r="CX2" s="2098" t="str">
        <f xml:space="preserve"> CS2 &amp; "201516ActPerf"</f>
        <v>WSX201516ActPerf</v>
      </c>
      <c r="CY2" s="2098" t="s">
        <v>8391</v>
      </c>
      <c r="CZ2" s="2098" t="s">
        <v>12155</v>
      </c>
      <c r="DA2" s="2098" t="str">
        <f>CY2&amp;"PC"</f>
        <v>YKYPC</v>
      </c>
      <c r="DB2" s="2098" t="str">
        <f xml:space="preserve"> CY2 &amp; "Unit"</f>
        <v>YKYUnit</v>
      </c>
      <c r="DC2" s="2098" t="s">
        <v>11693</v>
      </c>
      <c r="DD2" s="2098" t="str">
        <f xml:space="preserve"> CY2 &amp; "201819ActPerf"</f>
        <v>YKY201819ActPerf</v>
      </c>
      <c r="DE2" s="2099" t="s">
        <v>8421</v>
      </c>
      <c r="DF2" s="2099" t="s">
        <v>12156</v>
      </c>
      <c r="DG2" s="2099" t="str">
        <f>DE2&amp;"PC"</f>
        <v>HDDPC</v>
      </c>
      <c r="DH2" s="2099" t="str">
        <f xml:space="preserve"> DE2 &amp; "Unit"</f>
        <v>HDDUnit</v>
      </c>
      <c r="DI2" s="2099" t="s">
        <v>11694</v>
      </c>
      <c r="DJ2" s="2099" t="str">
        <f xml:space="preserve"> DE2 &amp; "201819ActPerf"</f>
        <v>HDD201819ActPerf</v>
      </c>
      <c r="DK2" s="2097" t="s">
        <v>8424</v>
      </c>
      <c r="DL2" s="2097" t="s">
        <v>12157</v>
      </c>
      <c r="DM2" s="2097" t="str">
        <f>DK2&amp;"PC"</f>
        <v>SVEPC</v>
      </c>
      <c r="DN2" s="2097" t="str">
        <f xml:space="preserve"> DK2 &amp; "Unit"</f>
        <v>SVEUnit</v>
      </c>
      <c r="DO2" s="2097" t="s">
        <v>11695</v>
      </c>
      <c r="DP2" s="2097" t="str">
        <f xml:space="preserve"> DK2 &amp; "201819ActPerf"</f>
        <v>SVE201819ActPerf</v>
      </c>
    </row>
    <row r="3" spans="1:120">
      <c r="A3" s="1882"/>
      <c r="B3" s="1882"/>
      <c r="C3" s="1882"/>
      <c r="D3" s="1882"/>
      <c r="E3" s="1882"/>
      <c r="F3" s="1882"/>
      <c r="G3" s="1882" t="str">
        <f>'SUB LIST'!A3</f>
        <v>PR14ANHWSW_W-H1</v>
      </c>
      <c r="H3" s="1882" t="str">
        <f>'SUB LIST'!P3</f>
        <v>00</v>
      </c>
      <c r="I3" s="1882" t="str">
        <f>'SUB LIST'!Q3</f>
        <v>W-H1: Water infrastructure</v>
      </c>
      <c r="J3" s="1882" t="str">
        <f>'SUB LIST'!T3</f>
        <v>category</v>
      </c>
      <c r="K3" s="1882" t="str">
        <f>'SUB LIST'!U3</f>
        <v>na</v>
      </c>
      <c r="L3" s="1882" t="str">
        <f>'SUB LIST'!AY3</f>
        <v>Green</v>
      </c>
      <c r="M3" s="1882" t="str">
        <f>'SUB LIST'!A20</f>
        <v>PR14BRLWSW_A2</v>
      </c>
      <c r="N3" s="1882" t="str">
        <f>'SUB LIST'!P20</f>
        <v>00</v>
      </c>
      <c r="O3" s="1882" t="str">
        <f>'SUB LIST'!Q20</f>
        <v>A2: Asset reliability - infrastructure</v>
      </c>
      <c r="P3" s="1882" t="str">
        <f>'SUB LIST'!T20</f>
        <v>category</v>
      </c>
      <c r="Q3" s="1882" t="str">
        <f>'SUB LIST'!U20</f>
        <v>na</v>
      </c>
      <c r="R3" s="1882" t="str">
        <f>'SUB LIST'!AY20</f>
        <v>Marginal</v>
      </c>
      <c r="S3" s="1882"/>
      <c r="T3" s="1882"/>
      <c r="U3" s="1882"/>
      <c r="V3" s="1882"/>
      <c r="W3" s="1882"/>
      <c r="X3" s="1882"/>
      <c r="Y3" s="1882"/>
      <c r="Z3" s="1882"/>
      <c r="AA3" s="1882"/>
      <c r="AB3" s="1882"/>
      <c r="AC3" s="1882"/>
      <c r="AD3" s="1882"/>
      <c r="AE3" s="1882"/>
      <c r="AF3" s="1882"/>
      <c r="AG3" s="1882"/>
      <c r="AH3" s="1882"/>
      <c r="AI3" s="1882"/>
      <c r="AJ3" s="1882"/>
      <c r="AK3" s="1882" t="str">
        <f>'SUB LIST'!A26</f>
        <v>PR14SBWWSW_B4</v>
      </c>
      <c r="AL3" s="1882" t="str">
        <f>'SUB LIST'!P26</f>
        <v>00</v>
      </c>
      <c r="AM3" s="1882" t="str">
        <f>'SUB LIST'!Q26</f>
        <v>B4: Maintain serviceable assets</v>
      </c>
      <c r="AN3" s="1882" t="str">
        <f>'SUB LIST'!T26</f>
        <v>category</v>
      </c>
      <c r="AO3" s="1882" t="str">
        <f>'SUB LIST'!U26</f>
        <v>na</v>
      </c>
      <c r="AP3" s="1882" t="str">
        <f>'SUB LIST'!AY26</f>
        <v>Stable</v>
      </c>
      <c r="AQ3" s="1882"/>
      <c r="AR3" s="1882"/>
      <c r="AS3" s="1882"/>
      <c r="AT3" s="1882"/>
      <c r="AU3" s="1882"/>
      <c r="AV3" s="1882"/>
      <c r="AW3" s="1882" t="str">
        <f>'SUB LIST'!A37</f>
        <v>PR14SEWWSW_N2</v>
      </c>
      <c r="AX3" s="1882" t="str">
        <f>'SUB LIST'!P37</f>
        <v>00</v>
      </c>
      <c r="AY3" s="1882" t="str">
        <f>'SUB LIST'!Q37</f>
        <v>N2: Above ground asset performance assessment</v>
      </c>
      <c r="AZ3" s="1882" t="str">
        <f>'SUB LIST'!T37</f>
        <v>category</v>
      </c>
      <c r="BA3" s="1882" t="str">
        <f>'SUB LIST'!U37</f>
        <v>na</v>
      </c>
      <c r="BB3" s="1882" t="str">
        <f>'SUB LIST'!AY37</f>
        <v>Stable</v>
      </c>
      <c r="BC3" s="1882" t="str">
        <f>'SUB LIST'!A42</f>
        <v>PR14SRNWSW_1</v>
      </c>
      <c r="BD3" s="1882" t="str">
        <f>'SUB LIST'!P42</f>
        <v>00</v>
      </c>
      <c r="BE3" s="1882" t="str">
        <f>'SUB LIST'!Q42</f>
        <v>1: Water asset health</v>
      </c>
      <c r="BF3" s="1882" t="str">
        <f>'SUB LIST'!T42</f>
        <v>category</v>
      </c>
      <c r="BG3" s="1882" t="str">
        <f>'SUB LIST'!U42</f>
        <v>na</v>
      </c>
      <c r="BH3" s="1882" t="str">
        <f>'SUB LIST'!AY42</f>
        <v>Stable</v>
      </c>
      <c r="BI3" s="1882" t="str">
        <f>'SUB LIST'!A52</f>
        <v>PR14SSCWSW_2.2</v>
      </c>
      <c r="BJ3" s="1882" t="str">
        <f>'SUB LIST'!P52</f>
        <v>00</v>
      </c>
      <c r="BK3" s="1882" t="str">
        <f>'SUB LIST'!Q52</f>
        <v>2.2: Serviceability infrastructure (combined company)</v>
      </c>
      <c r="BL3" s="1882" t="str">
        <f>'SUB LIST'!T52</f>
        <v>category</v>
      </c>
      <c r="BM3" s="1882" t="str">
        <f>'SUB LIST'!U52</f>
        <v>na</v>
      </c>
      <c r="BN3" s="1882" t="str">
        <f>'SUB LIST'!AY52</f>
        <v>Stable</v>
      </c>
      <c r="BO3" s="1882" t="str">
        <f>'SUB LIST'!A64</f>
        <v>PR14SVTWSWW_S-C3</v>
      </c>
      <c r="BP3" s="1882" t="str">
        <f>'SUB LIST'!P64</f>
        <v>00</v>
      </c>
      <c r="BQ3" s="1882" t="str">
        <f>'SUB LIST'!Q64</f>
        <v>S-C3: Asset stewardship - environmental compliance (basket of measures)</v>
      </c>
      <c r="BR3" s="1882" t="str">
        <f>'SUB LIST'!T64</f>
        <v>%</v>
      </c>
      <c r="BS3" s="1882">
        <f>'SUB LIST'!U64</f>
        <v>2</v>
      </c>
      <c r="BT3" s="1882" t="str">
        <f>'SUB LIST'!AY64</f>
        <v/>
      </c>
      <c r="BU3" s="1882" t="str">
        <f>'SUB LIST'!A74</f>
        <v>PR14SWTWSW_W-A3</v>
      </c>
      <c r="BV3" s="1882" t="str">
        <f>'SUB LIST'!P74</f>
        <v>00</v>
      </c>
      <c r="BW3" s="1882" t="str">
        <f>'SUB LIST'!Q74</f>
        <v>W-A3 Asset reliability (pipes)</v>
      </c>
      <c r="BX3" s="1882" t="str">
        <f>'SUB LIST'!T74</f>
        <v>category</v>
      </c>
      <c r="BY3" s="1882" t="str">
        <f>'SUB LIST'!U74</f>
        <v>na</v>
      </c>
      <c r="BZ3" s="1882" t="str">
        <f>'SUB LIST'!AY74</f>
        <v>Stable</v>
      </c>
      <c r="CA3" s="1882" t="str">
        <f>'SUB LIST'!A98</f>
        <v>PR14TMSWSW_WB1</v>
      </c>
      <c r="CB3" s="1882" t="str">
        <f>'SUB LIST'!P98</f>
        <v>00</v>
      </c>
      <c r="CC3" s="1882" t="str">
        <f>'SUB LIST'!Q98</f>
        <v>WB1: Asset health water infrastructure</v>
      </c>
      <c r="CD3" s="1882" t="str">
        <f>'SUB LIST'!T98</f>
        <v>category</v>
      </c>
      <c r="CE3" s="1882" t="str">
        <f>'SUB LIST'!U98</f>
        <v>na</v>
      </c>
      <c r="CF3" s="1882" t="str">
        <f>'SUB LIST'!AY98</f>
        <v>Marginal</v>
      </c>
      <c r="CG3" s="1882" t="str">
        <f>'SUB LIST'!A122</f>
        <v>PR14UUWSW_A3</v>
      </c>
      <c r="CH3" s="1882" t="str">
        <f>'SUB LIST'!P122</f>
        <v>00</v>
      </c>
      <c r="CI3" s="1882" t="str">
        <f>'SUB LIST'!Q122</f>
        <v>A3: Water Quality Service Index</v>
      </c>
      <c r="CJ3" s="1882" t="str">
        <f>'SUB LIST'!T122</f>
        <v>score</v>
      </c>
      <c r="CK3" s="1882">
        <f>'SUB LIST'!U122</f>
        <v>3</v>
      </c>
      <c r="CL3" s="1882">
        <f>'SUB LIST'!AY122</f>
        <v>101.182</v>
      </c>
      <c r="CM3" s="1882" t="str">
        <f>'SUB LIST'!A162</f>
        <v>PR14WSHWSW_F1</v>
      </c>
      <c r="CN3" s="1882" t="str">
        <f>'SUB LIST'!P162</f>
        <v>00</v>
      </c>
      <c r="CO3" s="1882" t="str">
        <f>'SUB LIST'!Q162</f>
        <v>F1: Asset serviceability</v>
      </c>
      <c r="CP3" s="1882" t="str">
        <f>'SUB LIST'!T162</f>
        <v>category</v>
      </c>
      <c r="CQ3" s="1882" t="str">
        <f>'SUB LIST'!U162</f>
        <v>na</v>
      </c>
      <c r="CR3" s="1882" t="str">
        <f>'SUB LIST'!AY162</f>
        <v>Stable</v>
      </c>
      <c r="CS3" s="1882"/>
      <c r="CT3" s="1882"/>
      <c r="CU3" s="1882"/>
      <c r="CV3" s="1882"/>
      <c r="CW3" s="1882"/>
      <c r="CX3" s="1882"/>
      <c r="CY3" s="1882" t="str">
        <f>'SUB LIST'!A184</f>
        <v>PR14YKYWSW_WA4</v>
      </c>
      <c r="CZ3" s="1882" t="str">
        <f>'SUB LIST'!P184</f>
        <v>00</v>
      </c>
      <c r="DA3" s="1882" t="str">
        <f>'SUB LIST'!Q184</f>
        <v>WA4: Water quality stability and reliability factor</v>
      </c>
      <c r="DB3" s="1882" t="str">
        <f>'SUB LIST'!T184</f>
        <v>category</v>
      </c>
      <c r="DC3" s="1882" t="str">
        <f>'SUB LIST'!U184</f>
        <v>na</v>
      </c>
      <c r="DD3" s="1882" t="str">
        <f>'SUB LIST'!AY184</f>
        <v>Stable</v>
      </c>
      <c r="DE3" s="1882" t="str">
        <f>'SUB LIST'!A208</f>
        <v>PR14HDDWSWW_S-C3</v>
      </c>
      <c r="DF3" s="1882" t="str">
        <f>'SUB LIST'!P208</f>
        <v>00</v>
      </c>
      <c r="DG3" s="1882" t="str">
        <f>'SUB LIST'!Q208</f>
        <v>S-C3: Asset stewardship - environmental compliance (basket of measures)</v>
      </c>
      <c r="DH3" s="2101" t="str">
        <f>'SUB LIST'!T208</f>
        <v>%</v>
      </c>
      <c r="DI3" s="2101">
        <f>'SUB LIST'!U208</f>
        <v>2</v>
      </c>
      <c r="DJ3" s="2816">
        <f>'SUB LIST'!AY208</f>
        <v>97.694825362658506</v>
      </c>
      <c r="DK3" s="1882" t="str">
        <f>'SUB LIST'!A213</f>
        <v>PR14SVEWSWW_S-C3</v>
      </c>
      <c r="DL3" s="1882" t="str">
        <f>'SUB LIST'!P213</f>
        <v>00</v>
      </c>
      <c r="DM3" s="1882" t="str">
        <f>'SUB LIST'!Q213</f>
        <v>S-C3: Asset stewardship - environmental compliance (basket of measures)</v>
      </c>
      <c r="DN3" s="2101" t="str">
        <f>'SUB LIST'!T213</f>
        <v>%</v>
      </c>
      <c r="DO3" s="2101">
        <f>'SUB LIST'!U213</f>
        <v>2</v>
      </c>
      <c r="DP3" s="2816">
        <f>'SUB LIST'!AY213</f>
        <v>97.69</v>
      </c>
    </row>
    <row r="4" spans="1:120">
      <c r="A4" s="1882"/>
      <c r="B4" s="1882"/>
      <c r="C4" s="1882"/>
      <c r="D4" s="1882"/>
      <c r="E4" s="1882"/>
      <c r="F4" s="1882"/>
      <c r="G4" s="1882" t="str">
        <f>'SUB LIST'!A4</f>
        <v>PR14ANHWSW_W-H1</v>
      </c>
      <c r="H4" s="1882" t="str">
        <f>'SUB LIST'!P4</f>
        <v>01</v>
      </c>
      <c r="I4" s="1882" t="str">
        <f>'SUB LIST'!Q4</f>
        <v>Unplanned interruptions &gt;12 hours</v>
      </c>
      <c r="J4" s="1882" t="str">
        <f>'SUB LIST'!T4</f>
        <v>nr</v>
      </c>
      <c r="K4" s="1882" t="str">
        <f>'SUB LIST'!U4</f>
        <v>0</v>
      </c>
      <c r="L4" s="1882">
        <f>'SUB LIST'!AY4</f>
        <v>2267</v>
      </c>
      <c r="M4" s="1882" t="str">
        <f>'SUB LIST'!A21</f>
        <v>PR14BRLWSW_A2</v>
      </c>
      <c r="N4" s="1882" t="str">
        <f>'SUB LIST'!P21</f>
        <v>01</v>
      </c>
      <c r="O4" s="1882" t="str">
        <f>'SUB LIST'!Q21</f>
        <v>Total bursts (number)</v>
      </c>
      <c r="P4" s="1882" t="str">
        <f>'SUB LIST'!T21</f>
        <v>nr</v>
      </c>
      <c r="Q4" s="1882" t="str">
        <f>'SUB LIST'!U21</f>
        <v>0</v>
      </c>
      <c r="R4" s="1882">
        <f>'SUB LIST'!AY21</f>
        <v>1074</v>
      </c>
      <c r="S4" s="1882"/>
      <c r="T4" s="1882"/>
      <c r="U4" s="1882"/>
      <c r="V4" s="1882"/>
      <c r="W4" s="1882"/>
      <c r="X4" s="1882"/>
      <c r="Y4" s="1882"/>
      <c r="Z4" s="1882"/>
      <c r="AA4" s="1882"/>
      <c r="AB4" s="1882"/>
      <c r="AC4" s="1882"/>
      <c r="AD4" s="1882"/>
      <c r="AE4" s="1882"/>
      <c r="AF4" s="1882"/>
      <c r="AG4" s="1882"/>
      <c r="AH4" s="1882"/>
      <c r="AI4" s="1882"/>
      <c r="AJ4" s="1882"/>
      <c r="AK4" s="1882" t="str">
        <f>'SUB LIST'!A27</f>
        <v>PR14SBWWSW_B4</v>
      </c>
      <c r="AL4" s="1882" t="str">
        <f>'SUB LIST'!P27</f>
        <v>01</v>
      </c>
      <c r="AM4" s="1882" t="str">
        <f>'SUB LIST'!Q27</f>
        <v>Total bursts</v>
      </c>
      <c r="AN4" s="1882" t="str">
        <f>'SUB LIST'!T27</f>
        <v>nr</v>
      </c>
      <c r="AO4" s="1882" t="str">
        <f>'SUB LIST'!U27</f>
        <v>0</v>
      </c>
      <c r="AP4" s="1882">
        <f>'SUB LIST'!AY27</f>
        <v>228</v>
      </c>
      <c r="AQ4" s="1882"/>
      <c r="AR4" s="1882"/>
      <c r="AS4" s="1882"/>
      <c r="AT4" s="1882"/>
      <c r="AU4" s="1882"/>
      <c r="AV4" s="1882"/>
      <c r="AW4" s="1882" t="str">
        <f>'SUB LIST'!A38</f>
        <v>PR14SEWWSW_N2</v>
      </c>
      <c r="AX4" s="1882" t="str">
        <f>'SUB LIST'!P38</f>
        <v>01</v>
      </c>
      <c r="AY4" s="1882" t="str">
        <f>'SUB LIST'!Q38</f>
        <v>WTW coliforms non-compliance</v>
      </c>
      <c r="AZ4" s="1882" t="str">
        <f>'SUB LIST'!T38</f>
        <v>%</v>
      </c>
      <c r="BA4" s="1882">
        <f>'SUB LIST'!U38</f>
        <v>2</v>
      </c>
      <c r="BB4" s="1882">
        <f>'SUB LIST'!AY38</f>
        <v>0.04</v>
      </c>
      <c r="BC4" s="1882" t="str">
        <f>'SUB LIST'!A43</f>
        <v>PR14SRNWSW_1</v>
      </c>
      <c r="BD4" s="1882" t="str">
        <f>'SUB LIST'!P43</f>
        <v>01</v>
      </c>
      <c r="BE4" s="1882" t="str">
        <f>'SUB LIST'!Q43</f>
        <v>Number of mains bursts per year</v>
      </c>
      <c r="BF4" s="1882" t="str">
        <f>'SUB LIST'!T43</f>
        <v>nr</v>
      </c>
      <c r="BG4" s="1882" t="str">
        <f>'SUB LIST'!U43</f>
        <v>0</v>
      </c>
      <c r="BH4" s="1882">
        <f>'SUB LIST'!AY43</f>
        <v>1917</v>
      </c>
      <c r="BI4" s="1882" t="str">
        <f>'SUB LIST'!A53</f>
        <v>PR14SSCWSW_2.2</v>
      </c>
      <c r="BJ4" s="1882" t="str">
        <f>'SUB LIST'!P53</f>
        <v>01</v>
      </c>
      <c r="BK4" s="1882" t="str">
        <f>'SUB LIST'!Q53</f>
        <v>Mains bursts</v>
      </c>
      <c r="BL4" s="1882" t="str">
        <f>'SUB LIST'!T53</f>
        <v>nr</v>
      </c>
      <c r="BM4" s="1882" t="str">
        <f>'SUB LIST'!U53</f>
        <v>0</v>
      </c>
      <c r="BN4" s="1882">
        <f>'SUB LIST'!AY53</f>
        <v>1244</v>
      </c>
      <c r="BO4" s="1882" t="str">
        <f>'SUB LIST'!A65</f>
        <v>PR14SVTWSWW_S-C3</v>
      </c>
      <c r="BP4" s="1882" t="str">
        <f>'SUB LIST'!P65</f>
        <v>01</v>
      </c>
      <c r="BQ4" s="1882" t="str">
        <f>'SUB LIST'!Q65</f>
        <v>% of sewage treatment works passing their numeric consents</v>
      </c>
      <c r="BR4" s="1882" t="str">
        <f>'SUB LIST'!T65</f>
        <v>%</v>
      </c>
      <c r="BS4" s="1882">
        <f>'SUB LIST'!U65</f>
        <v>2</v>
      </c>
      <c r="BT4" s="1882" t="str">
        <f>'SUB LIST'!AY65</f>
        <v/>
      </c>
      <c r="BU4" s="1882" t="str">
        <f>'SUB LIST'!A75</f>
        <v>PR14SWTWSW_W-A3</v>
      </c>
      <c r="BV4" s="1882" t="str">
        <f>'SUB LIST'!P75</f>
        <v>01</v>
      </c>
      <c r="BW4" s="1882" t="str">
        <f>'SUB LIST'!Q75</f>
        <v>Total bursts</v>
      </c>
      <c r="BX4" s="1882" t="str">
        <f>'SUB LIST'!T75</f>
        <v>nr</v>
      </c>
      <c r="BY4" s="1882" t="str">
        <f>'SUB LIST'!U75</f>
        <v>0</v>
      </c>
      <c r="BZ4" s="1882">
        <f>'SUB LIST'!AY75</f>
        <v>2517</v>
      </c>
      <c r="CA4" s="1882" t="str">
        <f>'SUB LIST'!A99</f>
        <v>PR14TMSWSW_WB1</v>
      </c>
      <c r="CB4" s="1882" t="str">
        <f>'SUB LIST'!P99</f>
        <v>01</v>
      </c>
      <c r="CC4" s="1882" t="str">
        <f>'SUB LIST'!Q99</f>
        <v>Total bursts</v>
      </c>
      <c r="CD4" s="1882" t="str">
        <f>'SUB LIST'!T99</f>
        <v>nr</v>
      </c>
      <c r="CE4" s="1882" t="str">
        <f>'SUB LIST'!U99</f>
        <v>0</v>
      </c>
      <c r="CF4" s="1882">
        <f>'SUB LIST'!AY99</f>
        <v>10388</v>
      </c>
      <c r="CG4" s="1882" t="str">
        <f>'SUB LIST'!A123</f>
        <v>PR14UUWSW_A3</v>
      </c>
      <c r="CH4" s="1882" t="str">
        <f>'SUB LIST'!P123</f>
        <v>01</v>
      </c>
      <c r="CI4" s="1882" t="str">
        <f>'SUB LIST'!Q123</f>
        <v>WTW coliform non-compliance (%)</v>
      </c>
      <c r="CJ4" s="1882" t="str">
        <f>'SUB LIST'!T123</f>
        <v>%</v>
      </c>
      <c r="CK4" s="1882">
        <f>'SUB LIST'!U123</f>
        <v>2</v>
      </c>
      <c r="CL4" s="1882">
        <f>'SUB LIST'!AY123</f>
        <v>0.01</v>
      </c>
      <c r="CM4" s="1882" t="str">
        <f>'SUB LIST'!A163</f>
        <v>PR14WSHWSW_F1</v>
      </c>
      <c r="CN4" s="1882" t="str">
        <f>'SUB LIST'!P163</f>
        <v>01</v>
      </c>
      <c r="CO4" s="1882" t="str">
        <f>'SUB LIST'!Q163</f>
        <v>Total bursts (nr)</v>
      </c>
      <c r="CP4" s="1882" t="str">
        <f>'SUB LIST'!T163</f>
        <v>nr</v>
      </c>
      <c r="CQ4" s="1882" t="str">
        <f>'SUB LIST'!U163</f>
        <v>0</v>
      </c>
      <c r="CR4" s="1882">
        <f>'SUB LIST'!AY163</f>
        <v>4270</v>
      </c>
      <c r="CS4" s="1882"/>
      <c r="CT4" s="1882"/>
      <c r="CU4" s="1882"/>
      <c r="CV4" s="1882"/>
      <c r="CW4" s="1882"/>
      <c r="CX4" s="1882"/>
      <c r="CY4" s="1882" t="str">
        <f>'SUB LIST'!A185</f>
        <v>PR14YKYWSW_WA4</v>
      </c>
      <c r="CZ4" s="1882" t="str">
        <f>'SUB LIST'!P185</f>
        <v>01</v>
      </c>
      <c r="DA4" s="1882" t="str">
        <f>'SUB LIST'!Q185</f>
        <v>WTW coliform non-compliance</v>
      </c>
      <c r="DB4" s="1882" t="str">
        <f>'SUB LIST'!T185</f>
        <v>%</v>
      </c>
      <c r="DC4" s="1882">
        <f>'SUB LIST'!U185</f>
        <v>3</v>
      </c>
      <c r="DD4" s="1882">
        <f>'SUB LIST'!AY185</f>
        <v>2.1000000000000001E-2</v>
      </c>
      <c r="DE4" s="1882" t="str">
        <f>'SUB LIST'!A209</f>
        <v>PR14HDDWSWW_S-C3</v>
      </c>
      <c r="DF4" s="1882" t="str">
        <f>'SUB LIST'!P209</f>
        <v>01</v>
      </c>
      <c r="DG4" s="1882" t="str">
        <f>'SUB LIST'!Q209</f>
        <v>% of sewage treatment works passing their numeric consents</v>
      </c>
      <c r="DH4" s="2101" t="str">
        <f>'SUB LIST'!T209</f>
        <v>%</v>
      </c>
      <c r="DI4" s="2101">
        <f>'SUB LIST'!U209</f>
        <v>2</v>
      </c>
      <c r="DJ4" s="2816">
        <f>'SUB LIST'!AY209</f>
        <v>98.565279770444761</v>
      </c>
      <c r="DK4" s="1882" t="str">
        <f>'SUB LIST'!A214</f>
        <v>PR14SVEWSWW_S-C3</v>
      </c>
      <c r="DL4" s="1882" t="str">
        <f>'SUB LIST'!P214</f>
        <v>01</v>
      </c>
      <c r="DM4" s="1882" t="str">
        <f>'SUB LIST'!Q214</f>
        <v>% of sewage treatment works passing their numeric consents</v>
      </c>
      <c r="DN4" s="2101" t="str">
        <f>'SUB LIST'!T214</f>
        <v>%</v>
      </c>
      <c r="DO4" s="2101">
        <f>'SUB LIST'!U214</f>
        <v>2</v>
      </c>
      <c r="DP4" s="2816">
        <f>'SUB LIST'!AY214</f>
        <v>98.565279770444761</v>
      </c>
    </row>
    <row r="5" spans="1:120">
      <c r="A5" s="1882"/>
      <c r="B5" s="1882"/>
      <c r="C5" s="1882"/>
      <c r="D5" s="1882"/>
      <c r="E5" s="1882"/>
      <c r="F5" s="1882"/>
      <c r="G5" s="1882" t="str">
        <f>'SUB LIST'!A5</f>
        <v>PR14ANHWSW_W-H1</v>
      </c>
      <c r="H5" s="1882" t="str">
        <f>'SUB LIST'!P5</f>
        <v>02</v>
      </c>
      <c r="I5" s="1882" t="str">
        <f>'SUB LIST'!Q5</f>
        <v>Reactive mains bursts</v>
      </c>
      <c r="J5" s="1882">
        <f>'SUB LIST'!T5</f>
        <v>0</v>
      </c>
      <c r="K5" s="1882">
        <f>'SUB LIST'!U5</f>
        <v>1</v>
      </c>
      <c r="L5" s="1882">
        <f>'SUB LIST'!AY5</f>
        <v>0</v>
      </c>
      <c r="M5" s="1882" t="str">
        <f>'SUB LIST'!A22</f>
        <v>PR14BRLWSW_A2</v>
      </c>
      <c r="N5" s="1882" t="str">
        <f>'SUB LIST'!P22</f>
        <v>02</v>
      </c>
      <c r="O5" s="1882" t="str">
        <f>'SUB LIST'!Q22</f>
        <v>DG2: low pressure (number of properties)</v>
      </c>
      <c r="P5" s="1882" t="str">
        <f>'SUB LIST'!T22</f>
        <v>nr</v>
      </c>
      <c r="Q5" s="1882" t="str">
        <f>'SUB LIST'!U22</f>
        <v>0</v>
      </c>
      <c r="R5" s="1882">
        <f>'SUB LIST'!AY22</f>
        <v>61</v>
      </c>
      <c r="S5" s="1882"/>
      <c r="T5" s="1882"/>
      <c r="U5" s="1882"/>
      <c r="V5" s="1882"/>
      <c r="W5" s="1882"/>
      <c r="X5" s="1882"/>
      <c r="Y5" s="1882"/>
      <c r="Z5" s="1882"/>
      <c r="AA5" s="1882"/>
      <c r="AB5" s="1882"/>
      <c r="AC5" s="1882"/>
      <c r="AD5" s="1882"/>
      <c r="AE5" s="1882"/>
      <c r="AF5" s="1882"/>
      <c r="AG5" s="1882"/>
      <c r="AH5" s="1882"/>
      <c r="AI5" s="1882"/>
      <c r="AJ5" s="1882"/>
      <c r="AK5" s="1882" t="str">
        <f>'SUB LIST'!A28</f>
        <v>PR14SBWWSW_B4</v>
      </c>
      <c r="AL5" s="1882" t="str">
        <f>'SUB LIST'!P28</f>
        <v>02</v>
      </c>
      <c r="AM5" s="1882" t="str">
        <f>'SUB LIST'!Q28</f>
        <v>Interruptions &gt; 12 hours</v>
      </c>
      <c r="AN5" s="1882" t="str">
        <f>'SUB LIST'!T28</f>
        <v>nr</v>
      </c>
      <c r="AO5" s="1882" t="str">
        <f>'SUB LIST'!U28</f>
        <v>0</v>
      </c>
      <c r="AP5" s="1882">
        <f>'SUB LIST'!AY28</f>
        <v>0</v>
      </c>
      <c r="AQ5" s="1882"/>
      <c r="AR5" s="1882"/>
      <c r="AS5" s="1882"/>
      <c r="AT5" s="1882"/>
      <c r="AU5" s="1882"/>
      <c r="AV5" s="1882"/>
      <c r="AW5" s="1882" t="str">
        <f>'SUB LIST'!A39</f>
        <v>PR14SEWWSW_N2</v>
      </c>
      <c r="AX5" s="1882" t="str">
        <f>'SUB LIST'!P39</f>
        <v>02</v>
      </c>
      <c r="AY5" s="1882" t="str">
        <f>'SUB LIST'!Q39</f>
        <v>Service reservoir coliforms non-compliance</v>
      </c>
      <c r="AZ5" s="1882" t="str">
        <f>'SUB LIST'!T39</f>
        <v>%</v>
      </c>
      <c r="BA5" s="1882">
        <f>'SUB LIST'!U39</f>
        <v>2</v>
      </c>
      <c r="BB5" s="1882">
        <f>'SUB LIST'!AY39</f>
        <v>0</v>
      </c>
      <c r="BC5" s="1882" t="str">
        <f>'SUB LIST'!A44</f>
        <v>PR14SRNWSW_1</v>
      </c>
      <c r="BD5" s="1882" t="str">
        <f>'SUB LIST'!P44</f>
        <v>02</v>
      </c>
      <c r="BE5" s="1882" t="str">
        <f>'SUB LIST'!Q44</f>
        <v>TIM distribution index</v>
      </c>
      <c r="BF5" s="1882" t="str">
        <f>'SUB LIST'!T44</f>
        <v>%</v>
      </c>
      <c r="BG5" s="1882">
        <f>'SUB LIST'!U44</f>
        <v>2</v>
      </c>
      <c r="BH5" s="1882">
        <f>'SUB LIST'!AY44</f>
        <v>99.97</v>
      </c>
      <c r="BI5" s="1882" t="str">
        <f>'SUB LIST'!A54</f>
        <v>PR14SSCWSW_2.2</v>
      </c>
      <c r="BJ5" s="1882" t="str">
        <f>'SUB LIST'!P54</f>
        <v>02</v>
      </c>
      <c r="BK5" s="1882" t="str">
        <f>'SUB LIST'!Q54</f>
        <v>Supply interruptions &gt; 12 hours</v>
      </c>
      <c r="BL5" s="1882" t="str">
        <f>'SUB LIST'!T54</f>
        <v>nr</v>
      </c>
      <c r="BM5" s="1882" t="str">
        <f>'SUB LIST'!U54</f>
        <v>0</v>
      </c>
      <c r="BN5" s="1882">
        <f>'SUB LIST'!AY54</f>
        <v>2389</v>
      </c>
      <c r="BO5" s="1882" t="str">
        <f>'SUB LIST'!A66</f>
        <v>PR14SVTWSWW_S-C3</v>
      </c>
      <c r="BP5" s="1882" t="str">
        <f>'SUB LIST'!P66</f>
        <v>02</v>
      </c>
      <c r="BQ5" s="1882" t="str">
        <f>'SUB LIST'!Q66</f>
        <v>% of actions raised from EA regulatory site audits (actions raised as a % of total site visits)</v>
      </c>
      <c r="BR5" s="1882" t="str">
        <f>'SUB LIST'!T66</f>
        <v>%</v>
      </c>
      <c r="BS5" s="1882">
        <f>'SUB LIST'!U66</f>
        <v>2</v>
      </c>
      <c r="BT5" s="1882" t="str">
        <f>'SUB LIST'!AY66</f>
        <v/>
      </c>
      <c r="BU5" s="1882" t="str">
        <f>'SUB LIST'!A76</f>
        <v>PR14SWTWSW_W-A3</v>
      </c>
      <c r="BV5" s="1882" t="str">
        <f>'SUB LIST'!P76</f>
        <v>02</v>
      </c>
      <c r="BW5" s="1882" t="str">
        <f>'SUB LIST'!Q76</f>
        <v>Interruptions &gt; 12 hours</v>
      </c>
      <c r="BX5" s="1882" t="str">
        <f>'SUB LIST'!T76</f>
        <v>nr</v>
      </c>
      <c r="BY5" s="1882" t="str">
        <f>'SUB LIST'!U76</f>
        <v>0</v>
      </c>
      <c r="BZ5" s="1882">
        <f>'SUB LIST'!AY76</f>
        <v>471</v>
      </c>
      <c r="CA5" s="1882" t="str">
        <f>'SUB LIST'!A100</f>
        <v>PR14TMSWSW_WB1</v>
      </c>
      <c r="CB5" s="1882" t="str">
        <f>'SUB LIST'!P100</f>
        <v>02</v>
      </c>
      <c r="CC5" s="1882" t="str">
        <f>'SUB LIST'!Q100</f>
        <v>Unplanned interruptions to customer &gt;12 hours (DG3)</v>
      </c>
      <c r="CD5" s="1882" t="str">
        <f>'SUB LIST'!T100</f>
        <v>nr</v>
      </c>
      <c r="CE5" s="1882" t="str">
        <f>'SUB LIST'!U100</f>
        <v>0</v>
      </c>
      <c r="CF5" s="1882">
        <f>'SUB LIST'!AY100</f>
        <v>16418</v>
      </c>
      <c r="CG5" s="1882" t="str">
        <f>'SUB LIST'!A124</f>
        <v>PR14UUWSW_A3</v>
      </c>
      <c r="CH5" s="1882" t="str">
        <f>'SUB LIST'!P124</f>
        <v>02</v>
      </c>
      <c r="CI5" s="1882" t="str">
        <f>'SUB LIST'!Q124</f>
        <v>SR integrity index</v>
      </c>
      <c r="CJ5" s="1882" t="str">
        <f>'SUB LIST'!T124</f>
        <v>%</v>
      </c>
      <c r="CK5" s="1882">
        <f>'SUB LIST'!U124</f>
        <v>2</v>
      </c>
      <c r="CL5" s="1882">
        <f>'SUB LIST'!AY124</f>
        <v>99.98</v>
      </c>
      <c r="CM5" s="1882" t="str">
        <f>'SUB LIST'!A164</f>
        <v>PR14WSHWSW_F1</v>
      </c>
      <c r="CN5" s="1882" t="str">
        <f>'SUB LIST'!P164</f>
        <v>02</v>
      </c>
      <c r="CO5" s="1882" t="str">
        <f>'SUB LIST'!Q164</f>
        <v>Interruptions &gt;12h (nr)</v>
      </c>
      <c r="CP5" s="1882" t="str">
        <f>'SUB LIST'!T164</f>
        <v>nr</v>
      </c>
      <c r="CQ5" s="1882" t="str">
        <f>'SUB LIST'!U164</f>
        <v>0</v>
      </c>
      <c r="CR5" s="1882">
        <f>'SUB LIST'!AY164</f>
        <v>4446</v>
      </c>
      <c r="CS5" s="1882"/>
      <c r="CT5" s="1882"/>
      <c r="CU5" s="1882"/>
      <c r="CV5" s="1882"/>
      <c r="CW5" s="1882"/>
      <c r="CX5" s="1882"/>
      <c r="CY5" s="1882" t="str">
        <f>'SUB LIST'!A186</f>
        <v>PR14YKYWSW_WA4</v>
      </c>
      <c r="CZ5" s="1882" t="str">
        <f>'SUB LIST'!P186</f>
        <v>02</v>
      </c>
      <c r="DA5" s="1882" t="str">
        <f>'SUB LIST'!Q186</f>
        <v>SR coliform non-compliance</v>
      </c>
      <c r="DB5" s="1882" t="str">
        <f>'SUB LIST'!T186</f>
        <v>%</v>
      </c>
      <c r="DC5" s="1882">
        <f>'SUB LIST'!U186</f>
        <v>2</v>
      </c>
      <c r="DD5" s="1882">
        <f>'SUB LIST'!AY186</f>
        <v>0</v>
      </c>
      <c r="DE5" s="1882" t="str">
        <f>'SUB LIST'!A210</f>
        <v>PR14HDDWSWW_S-C3</v>
      </c>
      <c r="DF5" s="1882" t="str">
        <f>'SUB LIST'!P210</f>
        <v>02</v>
      </c>
      <c r="DG5" s="1882" t="str">
        <f>'SUB LIST'!Q210</f>
        <v>% of actions raised from EA regulatory site audits (actions raised as a % of total site visits)</v>
      </c>
      <c r="DH5" s="2101" t="str">
        <f>'SUB LIST'!T210</f>
        <v>%</v>
      </c>
      <c r="DI5" s="2101">
        <f>'SUB LIST'!U210</f>
        <v>2</v>
      </c>
      <c r="DJ5" s="2816">
        <f>'SUB LIST'!AY210</f>
        <v>96.843615494978479</v>
      </c>
      <c r="DK5" s="1882" t="str">
        <f>'SUB LIST'!A215</f>
        <v>PR14SVEWSWW_S-C3</v>
      </c>
      <c r="DL5" s="1882" t="str">
        <f>'SUB LIST'!P215</f>
        <v>02</v>
      </c>
      <c r="DM5" s="1882" t="str">
        <f>'SUB LIST'!Q215</f>
        <v>% of actions raised from EA regulatory site audits (actions raised as a % of total site visits)</v>
      </c>
      <c r="DN5" s="2101" t="str">
        <f>'SUB LIST'!T215</f>
        <v>%</v>
      </c>
      <c r="DO5" s="2101">
        <f>'SUB LIST'!U215</f>
        <v>2</v>
      </c>
      <c r="DP5" s="2816">
        <f>'SUB LIST'!AY215</f>
        <v>96.843615494978479</v>
      </c>
    </row>
    <row r="6" spans="1:120">
      <c r="A6" s="1882"/>
      <c r="B6" s="1882"/>
      <c r="C6" s="1882"/>
      <c r="D6" s="1882"/>
      <c r="E6" s="1882"/>
      <c r="F6" s="1882"/>
      <c r="G6" s="1882" t="str">
        <f>'SUB LIST'!A6</f>
        <v>PR14ANHWSW_W-H1</v>
      </c>
      <c r="H6" s="1882" t="str">
        <f>'SUB LIST'!P6</f>
        <v>03</v>
      </c>
      <c r="I6" s="1882" t="str">
        <f>'SUB LIST'!Q6</f>
        <v>Customer contacts - discolouration</v>
      </c>
      <c r="J6" s="1882">
        <f>'SUB LIST'!T6</f>
        <v>0</v>
      </c>
      <c r="K6" s="1882">
        <f>'SUB LIST'!U6</f>
        <v>2</v>
      </c>
      <c r="L6" s="1882">
        <f>'SUB LIST'!AY6</f>
        <v>0.37</v>
      </c>
      <c r="M6" s="1882" t="str">
        <f>'SUB LIST'!A23</f>
        <v>PR14BRLWSW_A3</v>
      </c>
      <c r="N6" s="1882" t="str">
        <f>'SUB LIST'!P23</f>
        <v>00</v>
      </c>
      <c r="O6" s="1882" t="str">
        <f>'SUB LIST'!Q23</f>
        <v>A3: Asset reliability - non-infrastructure</v>
      </c>
      <c r="P6" s="1882" t="str">
        <f>'SUB LIST'!T23</f>
        <v>category</v>
      </c>
      <c r="Q6" s="1882" t="str">
        <f>'SUB LIST'!U23</f>
        <v>na</v>
      </c>
      <c r="R6" s="1882" t="str">
        <f>'SUB LIST'!AY23</f>
        <v>Stable</v>
      </c>
      <c r="S6" s="1882"/>
      <c r="T6" s="1882"/>
      <c r="U6" s="1882"/>
      <c r="V6" s="1882"/>
      <c r="W6" s="1882"/>
      <c r="X6" s="1882"/>
      <c r="Y6" s="1882"/>
      <c r="Z6" s="1882"/>
      <c r="AA6" s="1882"/>
      <c r="AB6" s="1882"/>
      <c r="AC6" s="1882"/>
      <c r="AD6" s="1882"/>
      <c r="AE6" s="1882"/>
      <c r="AF6" s="1882"/>
      <c r="AG6" s="1882"/>
      <c r="AH6" s="1882"/>
      <c r="AI6" s="1882"/>
      <c r="AJ6" s="1882"/>
      <c r="AK6" s="1882" t="str">
        <f>'SUB LIST'!A29</f>
        <v>PR14SBWWSW_B4</v>
      </c>
      <c r="AL6" s="1882" t="str">
        <f>'SUB LIST'!P29</f>
        <v>03</v>
      </c>
      <c r="AM6" s="1882" t="str">
        <f>'SUB LIST'!Q29</f>
        <v>Iron non-compliance (as 100-Mean Zonal Compliance)</v>
      </c>
      <c r="AN6" s="1882" t="str">
        <f>'SUB LIST'!T29</f>
        <v>%</v>
      </c>
      <c r="AO6" s="1882">
        <f>'SUB LIST'!U29</f>
        <v>2</v>
      </c>
      <c r="AP6" s="1882">
        <f>'SUB LIST'!AY29</f>
        <v>0</v>
      </c>
      <c r="AQ6" s="1882"/>
      <c r="AR6" s="1882"/>
      <c r="AS6" s="1882"/>
      <c r="AT6" s="1882"/>
      <c r="AU6" s="1882"/>
      <c r="AV6" s="1882"/>
      <c r="AW6" s="1882" t="str">
        <f>'SUB LIST'!A40</f>
        <v>PR14SEWWSW_N2</v>
      </c>
      <c r="AX6" s="1882" t="str">
        <f>'SUB LIST'!P40</f>
        <v>03</v>
      </c>
      <c r="AY6" s="1882" t="str">
        <f>'SUB LIST'!Q40</f>
        <v>Turbidity non-compliance</v>
      </c>
      <c r="AZ6" s="1882" t="str">
        <f>'SUB LIST'!T40</f>
        <v>nr</v>
      </c>
      <c r="BA6" s="1882" t="str">
        <f>'SUB LIST'!U40</f>
        <v>0</v>
      </c>
      <c r="BB6" s="1882">
        <f>'SUB LIST'!AY40</f>
        <v>0</v>
      </c>
      <c r="BC6" s="1882" t="str">
        <f>'SUB LIST'!A45</f>
        <v>PR14SRNWSW_1</v>
      </c>
      <c r="BD6" s="1882" t="str">
        <f>'SUB LIST'!P45</f>
        <v>03</v>
      </c>
      <c r="BE6" s="1882" t="str">
        <f>'SUB LIST'!Q45</f>
        <v>Coliform compliance at WSW</v>
      </c>
      <c r="BF6" s="1882" t="str">
        <f>'SUB LIST'!T45</f>
        <v>%</v>
      </c>
      <c r="BG6" s="1882">
        <f>'SUB LIST'!U45</f>
        <v>2</v>
      </c>
      <c r="BH6" s="1882">
        <f>'SUB LIST'!AY45</f>
        <v>99.93</v>
      </c>
      <c r="BI6" s="1882" t="str">
        <f>'SUB LIST'!A55</f>
        <v>PR14SSCWSW_2.2</v>
      </c>
      <c r="BJ6" s="1882" t="str">
        <f>'SUB LIST'!P55</f>
        <v>03</v>
      </c>
      <c r="BK6" s="1882" t="str">
        <f>'SUB LIST'!Q55</f>
        <v>Properties with persistent low pressure</v>
      </c>
      <c r="BL6" s="1882" t="str">
        <f>'SUB LIST'!T55</f>
        <v>nr</v>
      </c>
      <c r="BM6" s="1882" t="str">
        <f>'SUB LIST'!U55</f>
        <v>0</v>
      </c>
      <c r="BN6" s="1882">
        <f>'SUB LIST'!AY55</f>
        <v>1</v>
      </c>
      <c r="BO6" s="1882" t="str">
        <f>'SUB LIST'!A67</f>
        <v>PR14SVTWSWW_S-C3</v>
      </c>
      <c r="BP6" s="1882" t="str">
        <f>'SUB LIST'!P67</f>
        <v>03</v>
      </c>
      <c r="BQ6" s="1882" t="str">
        <f>'SUB LIST'!Q67</f>
        <v>% of sites that do not exceed their 90%ile flow on sewage treatment works or maximum daily flow on water treatment works</v>
      </c>
      <c r="BR6" s="1882" t="str">
        <f>'SUB LIST'!T67</f>
        <v>%</v>
      </c>
      <c r="BS6" s="1882">
        <f>'SUB LIST'!U67</f>
        <v>2</v>
      </c>
      <c r="BT6" s="1882" t="str">
        <f>'SUB LIST'!AY67</f>
        <v/>
      </c>
      <c r="BU6" s="1882" t="str">
        <f>'SUB LIST'!A77</f>
        <v>PR14SWTWSW_W-A3</v>
      </c>
      <c r="BV6" s="1882" t="str">
        <f>'SUB LIST'!P77</f>
        <v>03</v>
      </c>
      <c r="BW6" s="1882" t="str">
        <f>'SUB LIST'!Q77</f>
        <v>Iron non-compliance (as 100-Mean Zonal Compliance)</v>
      </c>
      <c r="BX6" s="1882" t="str">
        <f>'SUB LIST'!T77</f>
        <v>%</v>
      </c>
      <c r="BY6" s="1882">
        <f>'SUB LIST'!U77</f>
        <v>2</v>
      </c>
      <c r="BZ6" s="1882">
        <f>'SUB LIST'!AY77</f>
        <v>0.2</v>
      </c>
      <c r="CA6" s="1882" t="str">
        <f>'SUB LIST'!A101</f>
        <v>PR14TMSWSW_WB1</v>
      </c>
      <c r="CB6" s="1882" t="str">
        <f>'SUB LIST'!P101</f>
        <v>03</v>
      </c>
      <c r="CC6" s="1882" t="str">
        <f>'SUB LIST'!Q101</f>
        <v>Iron mean zonal non-compliance</v>
      </c>
      <c r="CD6" s="1882" t="str">
        <f>'SUB LIST'!T101</f>
        <v>%</v>
      </c>
      <c r="CE6" s="1882">
        <f>'SUB LIST'!U101</f>
        <v>2</v>
      </c>
      <c r="CF6" s="1882">
        <f>'SUB LIST'!AY101</f>
        <v>0.16</v>
      </c>
      <c r="CG6" s="1882" t="str">
        <f>'SUB LIST'!A125</f>
        <v>PR14UUWSW_A3</v>
      </c>
      <c r="CH6" s="1882" t="str">
        <f>'SUB LIST'!P125</f>
        <v>03</v>
      </c>
      <c r="CI6" s="1882" t="str">
        <f>'SUB LIST'!Q125</f>
        <v>No. of WTW turbidity fails</v>
      </c>
      <c r="CJ6" s="1882" t="str">
        <f>'SUB LIST'!T125</f>
        <v>nr</v>
      </c>
      <c r="CK6" s="1882" t="str">
        <f>'SUB LIST'!U125</f>
        <v>0</v>
      </c>
      <c r="CL6" s="1882">
        <f>'SUB LIST'!AY125</f>
        <v>0</v>
      </c>
      <c r="CM6" s="1882" t="str">
        <f>'SUB LIST'!A165</f>
        <v>PR14WSHWSW_F1</v>
      </c>
      <c r="CN6" s="1882" t="str">
        <f>'SUB LIST'!P165</f>
        <v>03</v>
      </c>
      <c r="CO6" s="1882" t="str">
        <f>'SUB LIST'!Q165</f>
        <v>Iron non-compliance (as 100-Mean Zonal Compliance) (%)</v>
      </c>
      <c r="CP6" s="1882" t="str">
        <f>'SUB LIST'!T165</f>
        <v>%</v>
      </c>
      <c r="CQ6" s="1882">
        <f>'SUB LIST'!U165</f>
        <v>2</v>
      </c>
      <c r="CR6" s="1882">
        <f>'SUB LIST'!AY165</f>
        <v>0.34</v>
      </c>
      <c r="CS6" s="1882"/>
      <c r="CT6" s="1882"/>
      <c r="CU6" s="1882"/>
      <c r="CV6" s="1882"/>
      <c r="CW6" s="1882"/>
      <c r="CX6" s="1882"/>
      <c r="CY6" s="1882" t="str">
        <f>'SUB LIST'!A187</f>
        <v>PR14YKYWSW_WA4</v>
      </c>
      <c r="CZ6" s="1882" t="str">
        <f>'SUB LIST'!P187</f>
        <v>03</v>
      </c>
      <c r="DA6" s="1882" t="str">
        <f>'SUB LIST'!Q187</f>
        <v>Turbidity</v>
      </c>
      <c r="DB6" s="1882" t="str">
        <f>'SUB LIST'!T187</f>
        <v>nr</v>
      </c>
      <c r="DC6" s="1882" t="str">
        <f>'SUB LIST'!U187</f>
        <v>0</v>
      </c>
      <c r="DD6" s="1882">
        <f>'SUB LIST'!AY187</f>
        <v>0</v>
      </c>
      <c r="DE6" s="1882" t="str">
        <f>'SUB LIST'!A211</f>
        <v>PR14HDDWSWW_S-C3</v>
      </c>
      <c r="DF6" s="1882" t="str">
        <f>'SUB LIST'!P211</f>
        <v>03</v>
      </c>
      <c r="DG6" s="1882" t="str">
        <f>'SUB LIST'!Q211</f>
        <v>% of sites that do not exceed their 90%ile flow on sewage treatment works or maximum daily flow on water treatment works</v>
      </c>
      <c r="DH6" s="2101" t="str">
        <f>'SUB LIST'!T211</f>
        <v>%</v>
      </c>
      <c r="DI6" s="2101">
        <f>'SUB LIST'!U211</f>
        <v>2</v>
      </c>
      <c r="DJ6" s="2816">
        <f>'SUB LIST'!AY211</f>
        <v>95.414462081128747</v>
      </c>
      <c r="DK6" s="1882" t="str">
        <f>'SUB LIST'!A216</f>
        <v>PR14SVEWSWW_S-C3</v>
      </c>
      <c r="DL6" s="1882" t="str">
        <f>'SUB LIST'!P216</f>
        <v>03</v>
      </c>
      <c r="DM6" s="1882" t="str">
        <f>'SUB LIST'!Q216</f>
        <v>% of sites that do not exceed their 90%ile flow on sewage treatment works or maximum daily flow on water treatment works</v>
      </c>
      <c r="DN6" s="2101" t="str">
        <f>'SUB LIST'!T216</f>
        <v>%</v>
      </c>
      <c r="DO6" s="2101">
        <f>'SUB LIST'!U216</f>
        <v>2</v>
      </c>
      <c r="DP6" s="2816">
        <f>'SUB LIST'!AY216</f>
        <v>95.414462081128747</v>
      </c>
    </row>
    <row r="7" spans="1:120">
      <c r="A7" s="1882"/>
      <c r="B7" s="1882"/>
      <c r="C7" s="1882"/>
      <c r="D7" s="1882"/>
      <c r="E7" s="1882"/>
      <c r="F7" s="1882"/>
      <c r="G7" s="1882" t="str">
        <f>'SUB LIST'!A7</f>
        <v>PR14ANHWSW_W-H1</v>
      </c>
      <c r="H7" s="1882" t="str">
        <f>'SUB LIST'!P7</f>
        <v>04</v>
      </c>
      <c r="I7" s="1882" t="str">
        <f>'SUB LIST'!Q7</f>
        <v>Distribution maintenance index</v>
      </c>
      <c r="J7" s="1882">
        <f>'SUB LIST'!T7</f>
        <v>0</v>
      </c>
      <c r="K7" s="1882">
        <f>'SUB LIST'!U7</f>
        <v>2</v>
      </c>
      <c r="L7" s="1882">
        <f>'SUB LIST'!AY7</f>
        <v>7.0000000000000007E-2</v>
      </c>
      <c r="M7" s="1882" t="str">
        <f>'SUB LIST'!A24</f>
        <v>PR14BRLWSW_A3</v>
      </c>
      <c r="N7" s="1882" t="str">
        <f>'SUB LIST'!P24</f>
        <v>01</v>
      </c>
      <c r="O7" s="1882" t="str">
        <f>'SUB LIST'!Q24</f>
        <v>Turbidity performance at treatment works (number)</v>
      </c>
      <c r="P7" s="1882" t="str">
        <f>'SUB LIST'!T24</f>
        <v>nr</v>
      </c>
      <c r="Q7" s="1882" t="str">
        <f>'SUB LIST'!U24</f>
        <v>0</v>
      </c>
      <c r="R7" s="1882">
        <f>'SUB LIST'!AY24</f>
        <v>0</v>
      </c>
      <c r="S7" s="1882"/>
      <c r="T7" s="1882"/>
      <c r="U7" s="1882"/>
      <c r="V7" s="1882"/>
      <c r="W7" s="1882"/>
      <c r="X7" s="1882"/>
      <c r="Y7" s="1882"/>
      <c r="Z7" s="1882"/>
      <c r="AA7" s="1882"/>
      <c r="AB7" s="1882"/>
      <c r="AC7" s="1882"/>
      <c r="AD7" s="1882"/>
      <c r="AE7" s="1882"/>
      <c r="AF7" s="1882"/>
      <c r="AG7" s="1882"/>
      <c r="AH7" s="1882"/>
      <c r="AI7" s="1882"/>
      <c r="AJ7" s="1882"/>
      <c r="AK7" s="1882" t="str">
        <f>'SUB LIST'!A30</f>
        <v>PR14SBWWSW_B4</v>
      </c>
      <c r="AL7" s="1882" t="str">
        <f>'SUB LIST'!P30</f>
        <v>04</v>
      </c>
      <c r="AM7" s="1882" t="str">
        <f>'SUB LIST'!Q30</f>
        <v>DG2 pressure</v>
      </c>
      <c r="AN7" s="1882" t="str">
        <f>'SUB LIST'!T30</f>
        <v>nr</v>
      </c>
      <c r="AO7" s="1882" t="str">
        <f>'SUB LIST'!U30</f>
        <v>0</v>
      </c>
      <c r="AP7" s="1882">
        <f>'SUB LIST'!AY30</f>
        <v>0</v>
      </c>
      <c r="AQ7" s="1882"/>
      <c r="AR7" s="1882"/>
      <c r="AS7" s="1882"/>
      <c r="AT7" s="1882"/>
      <c r="AU7" s="1882"/>
      <c r="AV7" s="1882"/>
      <c r="AW7" s="1882" t="str">
        <f>'SUB LIST'!A41</f>
        <v>PR14SEWWSW_N2</v>
      </c>
      <c r="AX7" s="1882" t="str">
        <f>'SUB LIST'!P41</f>
        <v>04</v>
      </c>
      <c r="AY7" s="1882" t="str">
        <f>'SUB LIST'!Q41</f>
        <v>Enforcement incidents</v>
      </c>
      <c r="AZ7" s="1882" t="str">
        <f>'SUB LIST'!T41</f>
        <v>nr</v>
      </c>
      <c r="BA7" s="1882" t="str">
        <f>'SUB LIST'!U41</f>
        <v>0</v>
      </c>
      <c r="BB7" s="1882">
        <f>'SUB LIST'!AY41</f>
        <v>0</v>
      </c>
      <c r="BC7" s="1882" t="str">
        <f>'SUB LIST'!A46</f>
        <v>PR14SRNWSW_1</v>
      </c>
      <c r="BD7" s="1882" t="str">
        <f>'SUB LIST'!P46</f>
        <v>04</v>
      </c>
      <c r="BE7" s="1882" t="str">
        <f>'SUB LIST'!Q46</f>
        <v>Coliform compliance at WSR</v>
      </c>
      <c r="BF7" s="1882" t="str">
        <f>'SUB LIST'!T46</f>
        <v>%</v>
      </c>
      <c r="BG7" s="1882" t="str">
        <f>'SUB LIST'!U46</f>
        <v>0</v>
      </c>
      <c r="BH7" s="1882">
        <f>'SUB LIST'!AY46</f>
        <v>100</v>
      </c>
      <c r="BI7" s="1882" t="str">
        <f>'SUB LIST'!A56</f>
        <v>PR14SSCWSW_2.2</v>
      </c>
      <c r="BJ7" s="1882" t="str">
        <f>'SUB LIST'!P56</f>
        <v>04</v>
      </c>
      <c r="BK7" s="1882" t="str">
        <f>'SUB LIST'!Q56</f>
        <v>Discolouration contacts per 1,000 customers</v>
      </c>
      <c r="BL7" s="1882" t="str">
        <f>'SUB LIST'!T56</f>
        <v>nr</v>
      </c>
      <c r="BM7" s="1882">
        <f>'SUB LIST'!U56</f>
        <v>2</v>
      </c>
      <c r="BN7" s="1882">
        <f>'SUB LIST'!AY56</f>
        <v>0.82</v>
      </c>
      <c r="BO7" s="1882" t="str">
        <f>'SUB LIST'!A68</f>
        <v>PR14SVTWSWW_S-C3</v>
      </c>
      <c r="BP7" s="1882" t="str">
        <f>'SUB LIST'!P68</f>
        <v>04</v>
      </c>
      <c r="BQ7" s="1882" t="str">
        <f>'SUB LIST'!Q68</f>
        <v>% of sites compliant with their abstraction permits</v>
      </c>
      <c r="BR7" s="1882" t="str">
        <f>'SUB LIST'!T68</f>
        <v>%</v>
      </c>
      <c r="BS7" s="1882">
        <f>'SUB LIST'!U68</f>
        <v>2</v>
      </c>
      <c r="BT7" s="1882" t="str">
        <f>'SUB LIST'!AY68</f>
        <v/>
      </c>
      <c r="BU7" s="1882" t="str">
        <f>'SUB LIST'!A78</f>
        <v>PR14SWTWSW_W-A3</v>
      </c>
      <c r="BV7" s="1882" t="str">
        <f>'SUB LIST'!P78</f>
        <v>04</v>
      </c>
      <c r="BW7" s="1882" t="str">
        <f>'SUB LIST'!Q78</f>
        <v>DG2 pressure</v>
      </c>
      <c r="BX7" s="1882" t="str">
        <f>'SUB LIST'!T78</f>
        <v>nr</v>
      </c>
      <c r="BY7" s="1882" t="str">
        <f>'SUB LIST'!U78</f>
        <v>0</v>
      </c>
      <c r="BZ7" s="1882">
        <f>'SUB LIST'!AY78</f>
        <v>158</v>
      </c>
      <c r="CA7" s="1882" t="str">
        <f>'SUB LIST'!A102</f>
        <v>PR14TMSWSW_WB1</v>
      </c>
      <c r="CB7" s="1882" t="str">
        <f>'SUB LIST'!P102</f>
        <v>04</v>
      </c>
      <c r="CC7" s="1882" t="str">
        <f>'SUB LIST'!Q102</f>
        <v>Inadequate pressure (DG2)</v>
      </c>
      <c r="CD7" s="1882" t="str">
        <f>'SUB LIST'!T102</f>
        <v>nr</v>
      </c>
      <c r="CE7" s="1882" t="str">
        <f>'SUB LIST'!U102</f>
        <v>0</v>
      </c>
      <c r="CF7" s="1882">
        <f>'SUB LIST'!AY102</f>
        <v>7</v>
      </c>
      <c r="CG7" s="1882" t="str">
        <f>'SUB LIST'!A126</f>
        <v>PR14UUWSW_A3</v>
      </c>
      <c r="CH7" s="1882" t="str">
        <f>'SUB LIST'!P126</f>
        <v>04</v>
      </c>
      <c r="CI7" s="1882" t="str">
        <f>'SUB LIST'!Q126</f>
        <v>Mean Zonal Compliance (MZC)</v>
      </c>
      <c r="CJ7" s="1882" t="str">
        <f>'SUB LIST'!T126</f>
        <v>%</v>
      </c>
      <c r="CK7" s="1882">
        <f>'SUB LIST'!U126</f>
        <v>2</v>
      </c>
      <c r="CL7" s="1882">
        <f>'SUB LIST'!AY126</f>
        <v>99.93</v>
      </c>
      <c r="CM7" s="1882" t="str">
        <f>'SUB LIST'!A166</f>
        <v>PR14WSHWSW_F1</v>
      </c>
      <c r="CN7" s="1882" t="str">
        <f>'SUB LIST'!P166</f>
        <v>04</v>
      </c>
      <c r="CO7" s="1882" t="str">
        <f>'SUB LIST'!Q166</f>
        <v>DG2 pressure (nr)</v>
      </c>
      <c r="CP7" s="1882" t="str">
        <f>'SUB LIST'!T166</f>
        <v>nr</v>
      </c>
      <c r="CQ7" s="1882" t="str">
        <f>'SUB LIST'!U166</f>
        <v>0</v>
      </c>
      <c r="CR7" s="1882">
        <f>'SUB LIST'!AY166</f>
        <v>103</v>
      </c>
      <c r="CS7" s="1882"/>
      <c r="CT7" s="1882"/>
      <c r="CU7" s="1882"/>
      <c r="CV7" s="1882"/>
      <c r="CW7" s="1882"/>
      <c r="CX7" s="1882"/>
      <c r="CY7" s="1882" t="str">
        <f>'SUB LIST'!A188</f>
        <v>PR14YKYWSW_WA4</v>
      </c>
      <c r="CZ7" s="1882" t="str">
        <f>'SUB LIST'!P188</f>
        <v>04</v>
      </c>
      <c r="DA7" s="1882" t="str">
        <f>'SUB LIST'!Q188</f>
        <v>Enforcements</v>
      </c>
      <c r="DB7" s="1882" t="str">
        <f>'SUB LIST'!T188</f>
        <v>nr</v>
      </c>
      <c r="DC7" s="1882" t="str">
        <f>'SUB LIST'!U188</f>
        <v>0</v>
      </c>
      <c r="DD7" s="1882">
        <f>'SUB LIST'!AY188</f>
        <v>0</v>
      </c>
      <c r="DE7" s="1882" t="str">
        <f>'SUB LIST'!A212</f>
        <v>PR14HDDWSWW_S-C3</v>
      </c>
      <c r="DF7" s="1882" t="str">
        <f>'SUB LIST'!P212</f>
        <v>04</v>
      </c>
      <c r="DG7" s="1882" t="str">
        <f>'SUB LIST'!Q212</f>
        <v>% of sites compliant with their abstraction permits</v>
      </c>
      <c r="DH7" s="2101" t="str">
        <f>'SUB LIST'!T212</f>
        <v>%</v>
      </c>
      <c r="DI7" s="2101">
        <f>'SUB LIST'!U212</f>
        <v>2</v>
      </c>
      <c r="DJ7" s="2816">
        <f>'SUB LIST'!AY212</f>
        <v>99.95594410408205</v>
      </c>
      <c r="DK7" s="1882" t="str">
        <f>'SUB LIST'!A217</f>
        <v>PR14SVEWSWW_S-C3</v>
      </c>
      <c r="DL7" s="1882" t="str">
        <f>'SUB LIST'!P217</f>
        <v>04</v>
      </c>
      <c r="DM7" s="1882" t="str">
        <f>'SUB LIST'!Q217</f>
        <v>% of sites compliant with their abstraction permits</v>
      </c>
      <c r="DN7" s="2101" t="str">
        <f>'SUB LIST'!T217</f>
        <v>%</v>
      </c>
      <c r="DO7" s="2101">
        <f>'SUB LIST'!U217</f>
        <v>2</v>
      </c>
      <c r="DP7" s="2816">
        <f>'SUB LIST'!AY217</f>
        <v>99.95594410408205</v>
      </c>
    </row>
    <row r="8" spans="1:120">
      <c r="A8" s="1882"/>
      <c r="B8" s="1882"/>
      <c r="C8" s="1882"/>
      <c r="D8" s="1882"/>
      <c r="E8" s="1882"/>
      <c r="F8" s="1882"/>
      <c r="G8" s="1882" t="str">
        <f>'SUB LIST'!A8</f>
        <v>PR14ANHWSW_W-H2</v>
      </c>
      <c r="H8" s="1882" t="str">
        <f>'SUB LIST'!P8</f>
        <v>00</v>
      </c>
      <c r="I8" s="1882" t="str">
        <f>'SUB LIST'!Q8</f>
        <v>W-H2: Water non-infrastructure</v>
      </c>
      <c r="J8" s="1882" t="str">
        <f>'SUB LIST'!T8</f>
        <v>category</v>
      </c>
      <c r="K8" s="1882" t="str">
        <f>'SUB LIST'!U8</f>
        <v>na</v>
      </c>
      <c r="L8" s="1882" t="str">
        <f>'SUB LIST'!AY8</f>
        <v>Green</v>
      </c>
      <c r="M8" s="1882" t="str">
        <f>'SUB LIST'!A25</f>
        <v>PR14BRLWSW_A3</v>
      </c>
      <c r="N8" s="1882" t="str">
        <f>'SUB LIST'!P25</f>
        <v>02</v>
      </c>
      <c r="O8" s="1882" t="str">
        <f>'SUB LIST'!Q25</f>
        <v>Unplanned maintenance events (number)</v>
      </c>
      <c r="P8" s="1882" t="str">
        <f>'SUB LIST'!T25</f>
        <v>nr</v>
      </c>
      <c r="Q8" s="1882" t="str">
        <f>'SUB LIST'!U25</f>
        <v>0</v>
      </c>
      <c r="R8" s="1882">
        <f>'SUB LIST'!AY25</f>
        <v>2913</v>
      </c>
      <c r="S8" s="1882"/>
      <c r="T8" s="1882"/>
      <c r="U8" s="1882"/>
      <c r="V8" s="1882"/>
      <c r="W8" s="1882"/>
      <c r="X8" s="1882"/>
      <c r="Y8" s="1882"/>
      <c r="Z8" s="1882"/>
      <c r="AA8" s="1882"/>
      <c r="AB8" s="1882"/>
      <c r="AC8" s="1882"/>
      <c r="AD8" s="1882"/>
      <c r="AE8" s="1882"/>
      <c r="AF8" s="1882"/>
      <c r="AG8" s="1882"/>
      <c r="AH8" s="1882"/>
      <c r="AI8" s="1882"/>
      <c r="AJ8" s="1882"/>
      <c r="AK8" s="1882" t="str">
        <f>'SUB LIST'!A31</f>
        <v>PR14SBWWSW_B4</v>
      </c>
      <c r="AL8" s="1882" t="str">
        <f>'SUB LIST'!P31</f>
        <v>05</v>
      </c>
      <c r="AM8" s="1882" t="str">
        <f>'SUB LIST'!Q31</f>
        <v>Customer contacts - discolouration (number / 1,000 population)</v>
      </c>
      <c r="AN8" s="1882" t="str">
        <f>'SUB LIST'!T31</f>
        <v>nr</v>
      </c>
      <c r="AO8" s="1882">
        <f>'SUB LIST'!U31</f>
        <v>2</v>
      </c>
      <c r="AP8" s="1882">
        <f>'SUB LIST'!AY31</f>
        <v>0.22</v>
      </c>
      <c r="AQ8" s="1882"/>
      <c r="AR8" s="1882"/>
      <c r="AS8" s="1882"/>
      <c r="AT8" s="1882"/>
      <c r="AU8" s="1882"/>
      <c r="AV8" s="1882"/>
      <c r="AW8" s="1882"/>
      <c r="AX8" s="1882"/>
      <c r="AY8" s="1882"/>
      <c r="AZ8" s="1882"/>
      <c r="BA8" s="1882"/>
      <c r="BB8" s="1882"/>
      <c r="BC8" s="1882" t="str">
        <f>'SUB LIST'!A47</f>
        <v>PR14SRNWSW_1</v>
      </c>
      <c r="BD8" s="1882" t="str">
        <f>'SUB LIST'!P47</f>
        <v>05</v>
      </c>
      <c r="BE8" s="1882" t="str">
        <f>'SUB LIST'!Q47</f>
        <v>Turbidity compliance</v>
      </c>
      <c r="BF8" s="1882" t="str">
        <f>'SUB LIST'!T47</f>
        <v>nr</v>
      </c>
      <c r="BG8" s="1882" t="str">
        <f>'SUB LIST'!U47</f>
        <v>0</v>
      </c>
      <c r="BH8" s="1882">
        <f>'SUB LIST'!AY47</f>
        <v>0</v>
      </c>
      <c r="BI8" s="1882" t="str">
        <f>'SUB LIST'!A57</f>
        <v>PR14SSCWSW_2.2</v>
      </c>
      <c r="BJ8" s="1882" t="str">
        <f>'SUB LIST'!P57</f>
        <v>05</v>
      </c>
      <c r="BK8" s="1882" t="str">
        <f>'SUB LIST'!Q57</f>
        <v>TIM index non-compliance</v>
      </c>
      <c r="BL8" s="1882" t="str">
        <f>'SUB LIST'!T57</f>
        <v>score</v>
      </c>
      <c r="BM8" s="1882">
        <f>'SUB LIST'!U57</f>
        <v>2</v>
      </c>
      <c r="BN8" s="1882">
        <f>'SUB LIST'!AY57</f>
        <v>6.2E-2</v>
      </c>
      <c r="BO8" s="1882" t="str">
        <f>'SUB LIST'!A69</f>
        <v>PR14SVTWSWW_S-C7</v>
      </c>
      <c r="BP8" s="1882" t="str">
        <f>'SUB LIST'!P69</f>
        <v>00</v>
      </c>
      <c r="BQ8" s="1882" t="str">
        <f>'SUB LIST'!Q69</f>
        <v>S-C7: Overall environmental performance (basket of environmental measures)</v>
      </c>
      <c r="BR8" s="1882" t="str">
        <f>'SUB LIST'!T69</f>
        <v>nr</v>
      </c>
      <c r="BS8" s="1882" t="str">
        <f>'SUB LIST'!U69</f>
        <v>0</v>
      </c>
      <c r="BT8" s="1882" t="str">
        <f>'SUB LIST'!AY69</f>
        <v/>
      </c>
      <c r="BU8" s="1882" t="str">
        <f>'SUB LIST'!A79</f>
        <v>PR14SWTWSW_W-A3</v>
      </c>
      <c r="BV8" s="1882" t="str">
        <f>'SUB LIST'!P79</f>
        <v>05</v>
      </c>
      <c r="BW8" s="1882" t="str">
        <f>'SUB LIST'!Q79</f>
        <v>Customer contacts - discolouration</v>
      </c>
      <c r="BX8" s="1882" t="str">
        <f>'SUB LIST'!T79</f>
        <v>nr</v>
      </c>
      <c r="BY8" s="1882">
        <f>'SUB LIST'!U79</f>
        <v>2</v>
      </c>
      <c r="BZ8" s="1882">
        <f>'SUB LIST'!AY79</f>
        <v>1.61</v>
      </c>
      <c r="CA8" s="1882" t="str">
        <f>'SUB LIST'!A103</f>
        <v>PR14TMSWSW_WB1</v>
      </c>
      <c r="CB8" s="1882" t="str">
        <f>'SUB LIST'!P103</f>
        <v>05</v>
      </c>
      <c r="CC8" s="1882" t="str">
        <f>'SUB LIST'!Q103</f>
        <v>Planned network rehabilitation (kilometres)</v>
      </c>
      <c r="CD8" s="1882" t="str">
        <f>'SUB LIST'!T103</f>
        <v>nr</v>
      </c>
      <c r="CE8" s="1882">
        <f>'SUB LIST'!U103</f>
        <v>2</v>
      </c>
      <c r="CF8" s="1882">
        <f>'SUB LIST'!AY103</f>
        <v>172.34</v>
      </c>
      <c r="CG8" s="1882" t="str">
        <f>'SUB LIST'!A127</f>
        <v>PR14UUWSW_A3</v>
      </c>
      <c r="CH8" s="1882" t="str">
        <f>'SUB LIST'!P127</f>
        <v>05</v>
      </c>
      <c r="CI8" s="1882" t="str">
        <f>'SUB LIST'!Q127</f>
        <v>Distribution Maintenance Index (%)</v>
      </c>
      <c r="CJ8" s="1882" t="str">
        <f>'SUB LIST'!T127</f>
        <v>%</v>
      </c>
      <c r="CK8" s="1882">
        <f>'SUB LIST'!U127</f>
        <v>2</v>
      </c>
      <c r="CL8" s="1882">
        <f>'SUB LIST'!AY127</f>
        <v>99.86</v>
      </c>
      <c r="CM8" s="1882" t="str">
        <f>'SUB LIST'!A167</f>
        <v>PR14WSHWSW_F1</v>
      </c>
      <c r="CN8" s="1882" t="str">
        <f>'SUB LIST'!P167</f>
        <v>05</v>
      </c>
      <c r="CO8" s="1882" t="str">
        <f>'SUB LIST'!Q167</f>
        <v>Customer contacts - discolouration  (nr / 1000 population)</v>
      </c>
      <c r="CP8" s="1882" t="str">
        <f>'SUB LIST'!T167</f>
        <v>nr</v>
      </c>
      <c r="CQ8" s="1882">
        <f>'SUB LIST'!U167</f>
        <v>2</v>
      </c>
      <c r="CR8" s="1882">
        <f>'SUB LIST'!AY167</f>
        <v>2.35</v>
      </c>
      <c r="CS8" s="1882"/>
      <c r="CT8" s="1882"/>
      <c r="CU8" s="1882"/>
      <c r="CV8" s="1882"/>
      <c r="CW8" s="1882"/>
      <c r="CX8" s="1882"/>
      <c r="CY8" s="1882" t="str">
        <f>'SUB LIST'!A189</f>
        <v>PR14YKYWSW_WA4</v>
      </c>
      <c r="CZ8" s="1882" t="str">
        <f>'SUB LIST'!P189</f>
        <v>05</v>
      </c>
      <c r="DA8" s="1882" t="str">
        <f>'SUB LIST'!Q189</f>
        <v>Reactive equipment failures</v>
      </c>
      <c r="DB8" s="1882" t="str">
        <f>'SUB LIST'!T189</f>
        <v>nr</v>
      </c>
      <c r="DC8" s="1882" t="str">
        <f>'SUB LIST'!U189</f>
        <v>0</v>
      </c>
      <c r="DD8" s="1882">
        <f>'SUB LIST'!AY189</f>
        <v>3768</v>
      </c>
      <c r="DK8" s="1882" t="str">
        <f>'SUB LIST'!A218</f>
        <v>PR14SVEWSWW_S-C7</v>
      </c>
      <c r="DL8" s="1882" t="str">
        <f>'SUB LIST'!P218</f>
        <v>00</v>
      </c>
      <c r="DM8" s="1882" t="str">
        <f>'SUB LIST'!Q218</f>
        <v>S-C7: Overall environmental performance (basket of environmental measures)</v>
      </c>
      <c r="DN8" s="2101" t="str">
        <f>'SUB LIST'!T218</f>
        <v>nr</v>
      </c>
      <c r="DO8" s="2101" t="str">
        <f>'SUB LIST'!U218</f>
        <v>0</v>
      </c>
      <c r="DP8" s="2101">
        <f>'SUB LIST'!AY218</f>
        <v>4</v>
      </c>
    </row>
    <row r="9" spans="1:120">
      <c r="A9" s="1882"/>
      <c r="B9" s="1882"/>
      <c r="C9" s="1882"/>
      <c r="D9" s="1882"/>
      <c r="E9" s="1882"/>
      <c r="F9" s="1882"/>
      <c r="G9" s="1882" t="str">
        <f>'SUB LIST'!A9</f>
        <v>PR14ANHWSW_W-H2</v>
      </c>
      <c r="H9" s="1882" t="str">
        <f>'SUB LIST'!P9</f>
        <v>01</v>
      </c>
      <c r="I9" s="1882" t="str">
        <f>'SUB LIST'!Q9</f>
        <v>WTW with coliforms detected</v>
      </c>
      <c r="J9" s="1882">
        <f>'SUB LIST'!T9</f>
        <v>0</v>
      </c>
      <c r="K9" s="1882" t="str">
        <f>'SUB LIST'!U9</f>
        <v>0</v>
      </c>
      <c r="L9" s="1882">
        <f>'SUB LIST'!AY9</f>
        <v>5</v>
      </c>
      <c r="M9" s="1882"/>
      <c r="N9" s="1882"/>
      <c r="O9" s="1882"/>
      <c r="P9" s="1882"/>
      <c r="Q9" s="1882"/>
      <c r="R9" s="1882"/>
      <c r="S9" s="1882"/>
      <c r="T9" s="1882"/>
      <c r="U9" s="1882"/>
      <c r="V9" s="1882"/>
      <c r="W9" s="1882"/>
      <c r="X9" s="1882"/>
      <c r="Y9" s="1882"/>
      <c r="Z9" s="1882"/>
      <c r="AA9" s="1882"/>
      <c r="AB9" s="1882"/>
      <c r="AC9" s="1882"/>
      <c r="AD9" s="1882"/>
      <c r="AE9" s="1882"/>
      <c r="AF9" s="1882"/>
      <c r="AG9" s="1882"/>
      <c r="AH9" s="1882"/>
      <c r="AI9" s="1882"/>
      <c r="AJ9" s="1882"/>
      <c r="AK9" s="1882" t="str">
        <f>'SUB LIST'!A32</f>
        <v>PR14SBWWSW_B4</v>
      </c>
      <c r="AL9" s="1882" t="str">
        <f>'SUB LIST'!P32</f>
        <v>06</v>
      </c>
      <c r="AM9" s="1882" t="str">
        <f>'SUB LIST'!Q32</f>
        <v>Water treatment works coliforms non-compliance (%)</v>
      </c>
      <c r="AN9" s="1882" t="str">
        <f>'SUB LIST'!T32</f>
        <v>%</v>
      </c>
      <c r="AO9" s="1882">
        <f>'SUB LIST'!U32</f>
        <v>2</v>
      </c>
      <c r="AP9" s="1882">
        <f>'SUB LIST'!AY32</f>
        <v>0</v>
      </c>
      <c r="AQ9" s="1882"/>
      <c r="AR9" s="1882"/>
      <c r="AS9" s="1882"/>
      <c r="AT9" s="1882"/>
      <c r="AU9" s="1882"/>
      <c r="AV9" s="1882"/>
      <c r="AW9" s="1882"/>
      <c r="AX9" s="1882"/>
      <c r="AY9" s="1882"/>
      <c r="AZ9" s="1882"/>
      <c r="BA9" s="1882"/>
      <c r="BB9" s="1882"/>
      <c r="BC9" s="1882" t="str">
        <f>'SUB LIST'!A48</f>
        <v>PR14SRNWSWW_1</v>
      </c>
      <c r="BD9" s="1882" t="str">
        <f>'SUB LIST'!P48</f>
        <v>00</v>
      </c>
      <c r="BE9" s="1882" t="str">
        <f>'SUB LIST'!Q48</f>
        <v>1: Wastewater asset health</v>
      </c>
      <c r="BF9" s="1882" t="str">
        <f>'SUB LIST'!T48</f>
        <v>category</v>
      </c>
      <c r="BG9" s="1882" t="str">
        <f>'SUB LIST'!U48</f>
        <v>na</v>
      </c>
      <c r="BH9" s="1882" t="str">
        <f>'SUB LIST'!AY48</f>
        <v>Stable</v>
      </c>
      <c r="BI9" s="1882" t="str">
        <f>'SUB LIST'!A58</f>
        <v>PR14SSCWSW_2.3</v>
      </c>
      <c r="BJ9" s="1882" t="str">
        <f>'SUB LIST'!P58</f>
        <v>00</v>
      </c>
      <c r="BK9" s="1882" t="str">
        <f>'SUB LIST'!Q58</f>
        <v>2.3: Serviceability non-infrastructure (combined company)</v>
      </c>
      <c r="BL9" s="1882" t="str">
        <f>'SUB LIST'!T58</f>
        <v>category</v>
      </c>
      <c r="BM9" s="1882" t="str">
        <f>'SUB LIST'!U58</f>
        <v>na</v>
      </c>
      <c r="BN9" s="1882" t="str">
        <f>'SUB LIST'!AY58</f>
        <v>Stable</v>
      </c>
      <c r="BO9" s="1882" t="str">
        <f>'SUB LIST'!A70</f>
        <v>PR14SVTWSWW_S-C7</v>
      </c>
      <c r="BP9" s="1882" t="str">
        <f>'SUB LIST'!P70</f>
        <v>01</v>
      </c>
      <c r="BQ9" s="1882" t="str">
        <f>'SUB LIST'!Q70</f>
        <v>Improvements in river water quality against WFD criteria</v>
      </c>
      <c r="BR9" s="1882" t="str">
        <f>'SUB LIST'!T70</f>
        <v>nr</v>
      </c>
      <c r="BS9" s="1882" t="str">
        <f>'SUB LIST'!U70</f>
        <v>0</v>
      </c>
      <c r="BT9" s="1882" t="str">
        <f>'SUB LIST'!AY70</f>
        <v/>
      </c>
      <c r="BU9" s="1882" t="str">
        <f>'SUB LIST'!A80</f>
        <v>PR14SWTWSW_W-A3</v>
      </c>
      <c r="BV9" s="1882" t="str">
        <f>'SUB LIST'!P80</f>
        <v>06</v>
      </c>
      <c r="BW9" s="1882" t="str">
        <f>'SUB LIST'!Q80</f>
        <v>Distribution Index TIM (as 100-Mean Zonal Compliance)</v>
      </c>
      <c r="BX9" s="1882" t="str">
        <f>'SUB LIST'!T80</f>
        <v>%</v>
      </c>
      <c r="BY9" s="1882">
        <f>'SUB LIST'!U80</f>
        <v>2</v>
      </c>
      <c r="BZ9" s="1882">
        <f>'SUB LIST'!AY80</f>
        <v>7.0000000000000007E-2</v>
      </c>
      <c r="CA9" s="1882" t="str">
        <f>'SUB LIST'!A104</f>
        <v>PR14TMSWSW_WB1</v>
      </c>
      <c r="CB9" s="1882" t="str">
        <f>'SUB LIST'!P104</f>
        <v>06</v>
      </c>
      <c r="CC9" s="1882" t="str">
        <f>'SUB LIST'!Q104</f>
        <v>Customer complaints discolouration white water (nr per 1,000 population)</v>
      </c>
      <c r="CD9" s="1882" t="str">
        <f>'SUB LIST'!T104</f>
        <v>nr</v>
      </c>
      <c r="CE9" s="1882">
        <f>'SUB LIST'!U104</f>
        <v>2</v>
      </c>
      <c r="CF9" s="1882">
        <f>'SUB LIST'!AY104</f>
        <v>0.16</v>
      </c>
      <c r="CG9" s="1882" t="str">
        <f>'SUB LIST'!A128</f>
        <v>PR14UUWSW_A3</v>
      </c>
      <c r="CH9" s="1882" t="str">
        <f>'SUB LIST'!P128</f>
        <v>06</v>
      </c>
      <c r="CI9" s="1882" t="str">
        <f>'SUB LIST'!Q128</f>
        <v>Unwanted customer contacts for water quality (nr per year)</v>
      </c>
      <c r="CJ9" s="1882" t="str">
        <f>'SUB LIST'!T128</f>
        <v>nr</v>
      </c>
      <c r="CK9" s="1882" t="str">
        <f>'SUB LIST'!U128</f>
        <v>0</v>
      </c>
      <c r="CL9" s="1882">
        <f>'SUB LIST'!AY128</f>
        <v>10923</v>
      </c>
      <c r="CM9" s="1882" t="str">
        <f>'SUB LIST'!A168</f>
        <v>PR14WSHWSW_F1</v>
      </c>
      <c r="CN9" s="1882" t="str">
        <f>'SUB LIST'!P168</f>
        <v>06</v>
      </c>
      <c r="CO9" s="1882" t="str">
        <f>'SUB LIST'!Q168</f>
        <v>Distribution Index TIM (as 100-Mean Zonal Compliance) (%)</v>
      </c>
      <c r="CP9" s="1882" t="str">
        <f>'SUB LIST'!T168</f>
        <v>%</v>
      </c>
      <c r="CQ9" s="1882">
        <f>'SUB LIST'!U168</f>
        <v>2</v>
      </c>
      <c r="CR9" s="1882">
        <f>'SUB LIST'!AY168</f>
        <v>99.87</v>
      </c>
      <c r="CS9" s="1882"/>
      <c r="CT9" s="1882"/>
      <c r="CU9" s="1882"/>
      <c r="CV9" s="1882"/>
      <c r="CW9" s="1882"/>
      <c r="CX9" s="1882"/>
      <c r="CY9" s="1882" t="str">
        <f>'SUB LIST'!A190</f>
        <v>PR14YKYWSW_WB4</v>
      </c>
      <c r="CZ9" s="1882" t="str">
        <f>'SUB LIST'!P190</f>
        <v>00</v>
      </c>
      <c r="DA9" s="1882" t="str">
        <f>'SUB LIST'!Q190</f>
        <v>WB4: Water network stability and reliability factor</v>
      </c>
      <c r="DB9" s="1882" t="str">
        <f>'SUB LIST'!T190</f>
        <v>category</v>
      </c>
      <c r="DC9" s="1882" t="str">
        <f>'SUB LIST'!U190</f>
        <v>na</v>
      </c>
      <c r="DD9" s="1882" t="str">
        <f>'SUB LIST'!AY190</f>
        <v>Stable</v>
      </c>
      <c r="DK9" s="1882" t="str">
        <f>'SUB LIST'!A219</f>
        <v>PR14SVEWSWW_S-C7</v>
      </c>
      <c r="DL9" s="1882" t="str">
        <f>'SUB LIST'!P219</f>
        <v>01</v>
      </c>
      <c r="DM9" s="1882" t="str">
        <f>'SUB LIST'!Q219</f>
        <v>Improvements in river water quality against WFD criteria</v>
      </c>
      <c r="DN9" s="2101" t="str">
        <f>'SUB LIST'!T219</f>
        <v>nr</v>
      </c>
      <c r="DO9" s="2101" t="str">
        <f>'SUB LIST'!U219</f>
        <v>0</v>
      </c>
      <c r="DP9" s="2101" t="str">
        <f>'SUB LIST'!AY219</f>
        <v>Passed</v>
      </c>
    </row>
    <row r="10" spans="1:120">
      <c r="A10" s="1882"/>
      <c r="B10" s="1882"/>
      <c r="C10" s="1882"/>
      <c r="D10" s="1882"/>
      <c r="E10" s="1882"/>
      <c r="F10" s="1882"/>
      <c r="G10" s="1882" t="str">
        <f>'SUB LIST'!A10</f>
        <v>PR14ANHWSW_W-H2</v>
      </c>
      <c r="H10" s="1882" t="str">
        <f>'SUB LIST'!P10</f>
        <v>02</v>
      </c>
      <c r="I10" s="1882" t="str">
        <f>'SUB LIST'!Q10</f>
        <v>Percentage (%) service reservoirs with &gt;5% coliforms</v>
      </c>
      <c r="J10" s="1882" t="str">
        <f>'SUB LIST'!T10</f>
        <v>%</v>
      </c>
      <c r="K10" s="1882">
        <f>'SUB LIST'!U10</f>
        <v>2</v>
      </c>
      <c r="L10" s="1882">
        <f>'SUB LIST'!AY10</f>
        <v>0</v>
      </c>
      <c r="M10" s="1882"/>
      <c r="N10" s="1882"/>
      <c r="O10" s="1882"/>
      <c r="P10" s="1882"/>
      <c r="Q10" s="1882"/>
      <c r="R10" s="1882"/>
      <c r="S10" s="1882"/>
      <c r="T10" s="1882"/>
      <c r="U10" s="1882"/>
      <c r="V10" s="1882"/>
      <c r="W10" s="1882"/>
      <c r="X10" s="1882"/>
      <c r="Y10" s="1882"/>
      <c r="Z10" s="1882"/>
      <c r="AA10" s="1882"/>
      <c r="AB10" s="1882"/>
      <c r="AC10" s="1882"/>
      <c r="AD10" s="1882"/>
      <c r="AE10" s="1882"/>
      <c r="AF10" s="1882"/>
      <c r="AG10" s="1882"/>
      <c r="AH10" s="1882"/>
      <c r="AI10" s="1882"/>
      <c r="AJ10" s="1882"/>
      <c r="AK10" s="1882" t="str">
        <f>'SUB LIST'!A33</f>
        <v>PR14SBWWSW_B4</v>
      </c>
      <c r="AL10" s="1882" t="str">
        <f>'SUB LIST'!P33</f>
        <v>07</v>
      </c>
      <c r="AM10" s="1882" t="str">
        <f>'SUB LIST'!Q33</f>
        <v>Service reservoir coliforms non-compliance (%)</v>
      </c>
      <c r="AN10" s="1882" t="str">
        <f>'SUB LIST'!T33</f>
        <v>%</v>
      </c>
      <c r="AO10" s="1882">
        <f>'SUB LIST'!U33</f>
        <v>2</v>
      </c>
      <c r="AP10" s="1882">
        <f>'SUB LIST'!AY33</f>
        <v>0</v>
      </c>
      <c r="AQ10" s="1882"/>
      <c r="AR10" s="1882"/>
      <c r="AS10" s="1882"/>
      <c r="AT10" s="1882"/>
      <c r="AU10" s="1882"/>
      <c r="AV10" s="1882"/>
      <c r="AW10" s="1882"/>
      <c r="AX10" s="1882"/>
      <c r="AY10" s="1882"/>
      <c r="AZ10" s="1882"/>
      <c r="BA10" s="1882"/>
      <c r="BB10" s="1882"/>
      <c r="BC10" s="1882" t="str">
        <f>'SUB LIST'!A49</f>
        <v>PR14SRNWSWW_1</v>
      </c>
      <c r="BD10" s="1882" t="str">
        <f>'SUB LIST'!P49</f>
        <v>01</v>
      </c>
      <c r="BE10" s="1882" t="str">
        <f>'SUB LIST'!Q49</f>
        <v>Sewer collapses</v>
      </c>
      <c r="BF10" s="1882" t="str">
        <f>'SUB LIST'!T49</f>
        <v>nr</v>
      </c>
      <c r="BG10" s="1882" t="str">
        <f>'SUB LIST'!U49</f>
        <v>0</v>
      </c>
      <c r="BH10" s="1882">
        <f>'SUB LIST'!AY49</f>
        <v>245</v>
      </c>
      <c r="BI10" s="1882" t="str">
        <f>'SUB LIST'!A59</f>
        <v>PR14SSCWSW_2.3</v>
      </c>
      <c r="BJ10" s="1882" t="str">
        <f>'SUB LIST'!P59</f>
        <v>01</v>
      </c>
      <c r="BK10" s="1882" t="str">
        <f>'SUB LIST'!Q59</f>
        <v>WTW coliform non-compliance</v>
      </c>
      <c r="BL10" s="1882" t="str">
        <f>'SUB LIST'!T59</f>
        <v>%</v>
      </c>
      <c r="BM10" s="1882">
        <f>'SUB LIST'!U59</f>
        <v>2</v>
      </c>
      <c r="BN10" s="1882">
        <f>'SUB LIST'!AY59</f>
        <v>1.4999999999999999E-2</v>
      </c>
      <c r="BO10" s="1882" t="str">
        <f>'SUB LIST'!A71</f>
        <v>PR14SVTWSWW_S-C7</v>
      </c>
      <c r="BP10" s="1882" t="str">
        <f>'SUB LIST'!P71</f>
        <v>02</v>
      </c>
      <c r="BQ10" s="1882" t="str">
        <f>'SUB LIST'!Q71</f>
        <v>Asset stewardship - environmental compliance</v>
      </c>
      <c r="BR10" s="1882" t="str">
        <f>'SUB LIST'!T71</f>
        <v>nr</v>
      </c>
      <c r="BS10" s="1882" t="str">
        <f>'SUB LIST'!U71</f>
        <v>0</v>
      </c>
      <c r="BT10" s="1882" t="str">
        <f>'SUB LIST'!AY71</f>
        <v/>
      </c>
      <c r="BU10" s="1882" t="str">
        <f>'SUB LIST'!A81</f>
        <v>PR14SWTWSW_W-A4</v>
      </c>
      <c r="BV10" s="1882" t="str">
        <f>'SUB LIST'!P81</f>
        <v>00</v>
      </c>
      <c r="BW10" s="1882" t="str">
        <f>'SUB LIST'!Q81</f>
        <v>W-A4 Asset reliability (process)</v>
      </c>
      <c r="BX10" s="1882" t="str">
        <f>'SUB LIST'!T81</f>
        <v>category</v>
      </c>
      <c r="BY10" s="1882" t="str">
        <f>'SUB LIST'!U81</f>
        <v>na</v>
      </c>
      <c r="BZ10" s="1882" t="str">
        <f>'SUB LIST'!AY81</f>
        <v>Stable</v>
      </c>
      <c r="CA10" s="1882" t="str">
        <f>'SUB LIST'!A105</f>
        <v>PR14TMSWSW_WB2</v>
      </c>
      <c r="CB10" s="1882" t="str">
        <f>'SUB LIST'!P105</f>
        <v>00</v>
      </c>
      <c r="CC10" s="1882" t="str">
        <f>'SUB LIST'!Q105</f>
        <v>WB2: Asset health water non-infrastructure</v>
      </c>
      <c r="CD10" s="1882" t="str">
        <f>'SUB LIST'!T105</f>
        <v>category</v>
      </c>
      <c r="CE10" s="1882" t="str">
        <f>'SUB LIST'!U105</f>
        <v>na</v>
      </c>
      <c r="CF10" s="1882" t="str">
        <f>'SUB LIST'!AY105</f>
        <v>Stable</v>
      </c>
      <c r="CG10" s="1882" t="str">
        <f>'SUB LIST'!A129</f>
        <v>PR14UUWSW_B2</v>
      </c>
      <c r="CH10" s="1882" t="str">
        <f>'SUB LIST'!P129</f>
        <v>00</v>
      </c>
      <c r="CI10" s="1882" t="str">
        <f>'SUB LIST'!Q129</f>
        <v>B2: Reliable water service index</v>
      </c>
      <c r="CJ10" s="1882" t="str">
        <f>'SUB LIST'!T129</f>
        <v>score</v>
      </c>
      <c r="CK10" s="1882">
        <f>'SUB LIST'!U129</f>
        <v>3</v>
      </c>
      <c r="CL10" s="1882">
        <f>'SUB LIST'!AY129</f>
        <v>98.456999999999994</v>
      </c>
      <c r="CM10" s="1882" t="str">
        <f>'SUB LIST'!A169</f>
        <v>PR14WSHWSW_F1</v>
      </c>
      <c r="CN10" s="1882" t="str">
        <f>'SUB LIST'!P169</f>
        <v>07</v>
      </c>
      <c r="CO10" s="1882" t="str">
        <f>'SUB LIST'!Q169</f>
        <v>Water Treatment Works Coliforms non-compliance (%)</v>
      </c>
      <c r="CP10" s="1882" t="str">
        <f>'SUB LIST'!T169</f>
        <v>%</v>
      </c>
      <c r="CQ10" s="1882">
        <f>'SUB LIST'!U169</f>
        <v>2</v>
      </c>
      <c r="CR10" s="1882">
        <f>'SUB LIST'!AY169</f>
        <v>0.03</v>
      </c>
      <c r="CS10" s="1882"/>
      <c r="CT10" s="1882"/>
      <c r="CU10" s="1882"/>
      <c r="CV10" s="1882"/>
      <c r="CW10" s="1882"/>
      <c r="CX10" s="1882"/>
      <c r="CY10" s="1882" t="str">
        <f>'SUB LIST'!A191</f>
        <v>PR14YKYWSW_WB4</v>
      </c>
      <c r="CZ10" s="1882" t="str">
        <f>'SUB LIST'!P191</f>
        <v>01</v>
      </c>
      <c r="DA10" s="1882" t="str">
        <f>'SUB LIST'!Q191</f>
        <v>Total bursts</v>
      </c>
      <c r="DB10" s="1882" t="str">
        <f>'SUB LIST'!T191</f>
        <v>nr</v>
      </c>
      <c r="DC10" s="1882" t="str">
        <f>'SUB LIST'!U191</f>
        <v>0</v>
      </c>
      <c r="DD10" s="1882">
        <f>'SUB LIST'!AY191</f>
        <v>8254</v>
      </c>
      <c r="DK10" s="1882" t="str">
        <f>'SUB LIST'!A220</f>
        <v>PR14SVEWSWW_S-C7</v>
      </c>
      <c r="DL10" s="1882" t="str">
        <f>'SUB LIST'!P220</f>
        <v>02</v>
      </c>
      <c r="DM10" s="1882" t="str">
        <f>'SUB LIST'!Q220</f>
        <v>Asset stewardship - environmental compliance</v>
      </c>
      <c r="DN10" s="2101" t="str">
        <f>'SUB LIST'!T220</f>
        <v>nr</v>
      </c>
      <c r="DO10" s="2101" t="str">
        <f>'SUB LIST'!U220</f>
        <v>0</v>
      </c>
      <c r="DP10" s="2101" t="str">
        <f>'SUB LIST'!AY220</f>
        <v>Passed</v>
      </c>
    </row>
    <row r="11" spans="1:120">
      <c r="A11" s="1882"/>
      <c r="B11" s="1882"/>
      <c r="C11" s="1882"/>
      <c r="D11" s="1882"/>
      <c r="E11" s="1882"/>
      <c r="F11" s="1882"/>
      <c r="G11" s="1882" t="str">
        <f>'SUB LIST'!A11</f>
        <v>PR14ANHWSW_W-H2</v>
      </c>
      <c r="H11" s="1882" t="str">
        <f>'SUB LIST'!P11</f>
        <v>03</v>
      </c>
      <c r="I11" s="1882" t="str">
        <f>'SUB LIST'!Q11</f>
        <v>WTW turbidity</v>
      </c>
      <c r="J11" s="1882">
        <f>'SUB LIST'!T11</f>
        <v>0</v>
      </c>
      <c r="K11" s="1882" t="str">
        <f>'SUB LIST'!U11</f>
        <v>0</v>
      </c>
      <c r="L11" s="1882">
        <f>'SUB LIST'!AY11</f>
        <v>0</v>
      </c>
      <c r="M11" s="1882"/>
      <c r="N11" s="1882"/>
      <c r="O11" s="1882"/>
      <c r="P11" s="1882"/>
      <c r="Q11" s="1882"/>
      <c r="R11" s="1882"/>
      <c r="S11" s="1882"/>
      <c r="T11" s="1882"/>
      <c r="U11" s="1882"/>
      <c r="V11" s="1882"/>
      <c r="W11" s="1882"/>
      <c r="X11" s="1882"/>
      <c r="Y11" s="1882"/>
      <c r="Z11" s="1882"/>
      <c r="AA11" s="1882"/>
      <c r="AB11" s="1882"/>
      <c r="AC11" s="1882"/>
      <c r="AD11" s="1882"/>
      <c r="AE11" s="1882"/>
      <c r="AF11" s="1882"/>
      <c r="AG11" s="1882"/>
      <c r="AH11" s="1882"/>
      <c r="AI11" s="1882"/>
      <c r="AJ11" s="1882"/>
      <c r="AK11" s="1882" t="str">
        <f>'SUB LIST'!A34</f>
        <v>PR14SBWWSW_B4</v>
      </c>
      <c r="AL11" s="1882" t="str">
        <f>'SUB LIST'!P34</f>
        <v>08</v>
      </c>
      <c r="AM11" s="1882" t="str">
        <f>'SUB LIST'!Q34</f>
        <v>Turbidity (number)</v>
      </c>
      <c r="AN11" s="1882" t="str">
        <f>'SUB LIST'!T34</f>
        <v>nr</v>
      </c>
      <c r="AO11" s="1882" t="str">
        <f>'SUB LIST'!U34</f>
        <v>0</v>
      </c>
      <c r="AP11" s="1882">
        <f>'SUB LIST'!AY34</f>
        <v>0</v>
      </c>
      <c r="AQ11" s="1882"/>
      <c r="AR11" s="1882"/>
      <c r="AS11" s="1882"/>
      <c r="AT11" s="1882"/>
      <c r="AU11" s="1882"/>
      <c r="AV11" s="1882"/>
      <c r="AW11" s="1882"/>
      <c r="AX11" s="1882"/>
      <c r="AY11" s="1882"/>
      <c r="AZ11" s="1882"/>
      <c r="BA11" s="1882"/>
      <c r="BB11" s="1882"/>
      <c r="BC11" s="1882" t="str">
        <f>'SUB LIST'!A50</f>
        <v>PR14SRNWSWW_1</v>
      </c>
      <c r="BD11" s="1882" t="str">
        <f>'SUB LIST'!P50</f>
        <v>02</v>
      </c>
      <c r="BE11" s="1882" t="str">
        <f>'SUB LIST'!Q50</f>
        <v>WwTW population equivalent compliance</v>
      </c>
      <c r="BF11" s="1882" t="str">
        <f>'SUB LIST'!T50</f>
        <v>%</v>
      </c>
      <c r="BG11" s="1882">
        <f>'SUB LIST'!U50</f>
        <v>1</v>
      </c>
      <c r="BH11" s="1882">
        <f>'SUB LIST'!AY50</f>
        <v>100</v>
      </c>
      <c r="BI11" s="1882" t="str">
        <f>'SUB LIST'!A60</f>
        <v>PR14SSCWSW_2.3</v>
      </c>
      <c r="BJ11" s="1882" t="str">
        <f>'SUB LIST'!P60</f>
        <v>02</v>
      </c>
      <c r="BK11" s="1882" t="str">
        <f>'SUB LIST'!Q60</f>
        <v>Service reservoir coliform non-compliance</v>
      </c>
      <c r="BL11" s="1882" t="str">
        <f>'SUB LIST'!T60</f>
        <v>%</v>
      </c>
      <c r="BM11" s="1882">
        <f>'SUB LIST'!U60</f>
        <v>2</v>
      </c>
      <c r="BN11" s="1882">
        <f>'SUB LIST'!AY60</f>
        <v>0</v>
      </c>
      <c r="BO11" s="1882" t="str">
        <f>'SUB LIST'!A72</f>
        <v>PR14SVTWSWW_S-C7</v>
      </c>
      <c r="BP11" s="1882" t="str">
        <f>'SUB LIST'!P72</f>
        <v>03</v>
      </c>
      <c r="BQ11" s="1882" t="str">
        <f>'SUB LIST'!Q72</f>
        <v>Total number of category 1, 2, and 3 pollution incidents</v>
      </c>
      <c r="BR11" s="1882" t="str">
        <f>'SUB LIST'!T72</f>
        <v>nr</v>
      </c>
      <c r="BS11" s="1882" t="str">
        <f>'SUB LIST'!U72</f>
        <v>0</v>
      </c>
      <c r="BT11" s="1882" t="str">
        <f>'SUB LIST'!AY72</f>
        <v/>
      </c>
      <c r="BU11" s="1882" t="str">
        <f>'SUB LIST'!A82</f>
        <v>PR14SWTWSW_W-A4</v>
      </c>
      <c r="BV11" s="1882" t="str">
        <f>'SUB LIST'!P82</f>
        <v>01</v>
      </c>
      <c r="BW11" s="1882" t="str">
        <f>'SUB LIST'!Q82</f>
        <v>WTW coliforms non-compliance</v>
      </c>
      <c r="BX11" s="1882" t="str">
        <f>'SUB LIST'!T82</f>
        <v>%</v>
      </c>
      <c r="BY11" s="1882">
        <f>'SUB LIST'!U82</f>
        <v>2</v>
      </c>
      <c r="BZ11" s="1882">
        <f>'SUB LIST'!AY82</f>
        <v>0.03</v>
      </c>
      <c r="CA11" s="1882" t="str">
        <f>'SUB LIST'!A106</f>
        <v>PR14TMSWSW_WB2</v>
      </c>
      <c r="CB11" s="1882" t="str">
        <f>'SUB LIST'!P106</f>
        <v>01</v>
      </c>
      <c r="CC11" s="1882" t="str">
        <f>'SUB LIST'!Q106</f>
        <v>Disinfection index (DWI)</v>
      </c>
      <c r="CD11" s="1882" t="str">
        <f>'SUB LIST'!T106</f>
        <v>%</v>
      </c>
      <c r="CE11" s="1882">
        <f>'SUB LIST'!U106</f>
        <v>2</v>
      </c>
      <c r="CF11" s="1882">
        <f>'SUB LIST'!AY106</f>
        <v>99.99</v>
      </c>
      <c r="CG11" s="1882" t="str">
        <f>'SUB LIST'!A130</f>
        <v>PR14UUWSW_B2</v>
      </c>
      <c r="CH11" s="1882" t="str">
        <f>'SUB LIST'!P130</f>
        <v>01</v>
      </c>
      <c r="CI11" s="1882" t="str">
        <f>'SUB LIST'!Q130</f>
        <v>Total bursts (nr/annum)</v>
      </c>
      <c r="CJ11" s="1882" t="str">
        <f>'SUB LIST'!T130</f>
        <v>nr</v>
      </c>
      <c r="CK11" s="1882" t="str">
        <f>'SUB LIST'!U130</f>
        <v>0</v>
      </c>
      <c r="CL11" s="1882">
        <f>'SUB LIST'!AY130</f>
        <v>5212</v>
      </c>
      <c r="CM11" s="1882" t="str">
        <f>'SUB LIST'!A170</f>
        <v>PR14WSHWSW_F1</v>
      </c>
      <c r="CN11" s="1882" t="str">
        <f>'SUB LIST'!P170</f>
        <v>08</v>
      </c>
      <c r="CO11" s="1882" t="str">
        <f>'SUB LIST'!Q170</f>
        <v>Service Reservoir Coliforms non-compliance (%)</v>
      </c>
      <c r="CP11" s="1882" t="str">
        <f>'SUB LIST'!T170</f>
        <v>%</v>
      </c>
      <c r="CQ11" s="1882">
        <f>'SUB LIST'!U170</f>
        <v>2</v>
      </c>
      <c r="CR11" s="1882">
        <f>'SUB LIST'!AY170</f>
        <v>0.3</v>
      </c>
      <c r="CS11" s="1882"/>
      <c r="CT11" s="1882"/>
      <c r="CU11" s="1882"/>
      <c r="CV11" s="1882"/>
      <c r="CW11" s="1882"/>
      <c r="CX11" s="1882"/>
      <c r="CY11" s="1882" t="str">
        <f>'SUB LIST'!A192</f>
        <v>PR14YKYWSW_WB4</v>
      </c>
      <c r="CZ11" s="1882" t="str">
        <f>'SUB LIST'!P192</f>
        <v>02</v>
      </c>
      <c r="DA11" s="1882" t="str">
        <f>'SUB LIST'!Q192</f>
        <v>Interruptions &gt;12 hours</v>
      </c>
      <c r="DB11" s="1882" t="str">
        <f>'SUB LIST'!T192</f>
        <v>nr</v>
      </c>
      <c r="DC11" s="1882" t="str">
        <f>'SUB LIST'!U192</f>
        <v>0</v>
      </c>
      <c r="DD11" s="1882">
        <f>'SUB LIST'!AY192</f>
        <v>414</v>
      </c>
      <c r="DK11" s="1882" t="str">
        <f>'SUB LIST'!A221</f>
        <v>PR14SVEWSWW_S-C7</v>
      </c>
      <c r="DL11" s="1882" t="str">
        <f>'SUB LIST'!P221</f>
        <v>03</v>
      </c>
      <c r="DM11" s="1882" t="str">
        <f>'SUB LIST'!Q221</f>
        <v>Total number of category 1, 2, and 3 pollution incidents</v>
      </c>
      <c r="DN11" s="2101" t="str">
        <f>'SUB LIST'!T221</f>
        <v>nr</v>
      </c>
      <c r="DO11" s="2101" t="str">
        <f>'SUB LIST'!U221</f>
        <v>0</v>
      </c>
      <c r="DP11" s="2101" t="str">
        <f>'SUB LIST'!AY221</f>
        <v>Passed</v>
      </c>
    </row>
    <row r="12" spans="1:120">
      <c r="A12" s="1882"/>
      <c r="B12" s="1882"/>
      <c r="C12" s="1882"/>
      <c r="D12" s="1882"/>
      <c r="E12" s="1882"/>
      <c r="F12" s="1882"/>
      <c r="G12" s="1882" t="str">
        <f>'SUB LIST'!A12</f>
        <v>PR14ANHWSWW_S-F1</v>
      </c>
      <c r="H12" s="1882" t="str">
        <f>'SUB LIST'!P12</f>
        <v>00</v>
      </c>
      <c r="I12" s="1882" t="str">
        <f>'SUB LIST'!Q12</f>
        <v>S-F1: Sewerage infrastructure</v>
      </c>
      <c r="J12" s="1882" t="str">
        <f>'SUB LIST'!T12</f>
        <v>category</v>
      </c>
      <c r="K12" s="1882" t="str">
        <f>'SUB LIST'!U12</f>
        <v>na</v>
      </c>
      <c r="L12" s="1882" t="str">
        <f>'SUB LIST'!AY12</f>
        <v>Green</v>
      </c>
      <c r="M12" s="1882"/>
      <c r="N12" s="1882"/>
      <c r="O12" s="1882"/>
      <c r="P12" s="1882"/>
      <c r="Q12" s="1882"/>
      <c r="R12" s="1882"/>
      <c r="S12" s="1882"/>
      <c r="T12" s="1882"/>
      <c r="U12" s="1882"/>
      <c r="V12" s="1882"/>
      <c r="W12" s="1882"/>
      <c r="X12" s="1882"/>
      <c r="Y12" s="1882"/>
      <c r="Z12" s="1882"/>
      <c r="AA12" s="1882"/>
      <c r="AB12" s="1882"/>
      <c r="AC12" s="1882"/>
      <c r="AD12" s="1882"/>
      <c r="AE12" s="1882"/>
      <c r="AF12" s="1882"/>
      <c r="AG12" s="1882"/>
      <c r="AH12" s="1882"/>
      <c r="AI12" s="1882"/>
      <c r="AJ12" s="1882"/>
      <c r="AK12" s="1882" t="str">
        <f>'SUB LIST'!A35</f>
        <v>PR14SBWWSW_B4</v>
      </c>
      <c r="AL12" s="1882" t="str">
        <f>'SUB LIST'!P35</f>
        <v>09</v>
      </c>
      <c r="AM12" s="1882" t="str">
        <f>'SUB LIST'!Q35</f>
        <v>Enforcement (incident number)</v>
      </c>
      <c r="AN12" s="1882" t="str">
        <f>'SUB LIST'!T35</f>
        <v>nr</v>
      </c>
      <c r="AO12" s="1882" t="str">
        <f>'SUB LIST'!U35</f>
        <v>0</v>
      </c>
      <c r="AP12" s="1882">
        <f>'SUB LIST'!AY35</f>
        <v>0</v>
      </c>
      <c r="AQ12" s="1882"/>
      <c r="AR12" s="1882"/>
      <c r="AS12" s="1882"/>
      <c r="AT12" s="1882"/>
      <c r="AU12" s="1882"/>
      <c r="AV12" s="1882"/>
      <c r="AW12" s="1882"/>
      <c r="AX12" s="1882"/>
      <c r="AY12" s="1882"/>
      <c r="AZ12" s="1882"/>
      <c r="BA12" s="1882"/>
      <c r="BB12" s="1882"/>
      <c r="BC12" s="1882" t="str">
        <f>'SUB LIST'!A51</f>
        <v>PR14SRNWSWW_1</v>
      </c>
      <c r="BD12" s="1882" t="str">
        <f>'SUB LIST'!P51</f>
        <v>03</v>
      </c>
      <c r="BE12" s="1882" t="str">
        <f>'SUB LIST'!Q51</f>
        <v>External flooding - other causes</v>
      </c>
      <c r="BF12" s="1882" t="str">
        <f>'SUB LIST'!T51</f>
        <v>nr</v>
      </c>
      <c r="BG12" s="1882" t="str">
        <f>'SUB LIST'!U51</f>
        <v>0</v>
      </c>
      <c r="BH12" s="1882">
        <f>'SUB LIST'!AY51</f>
        <v>7791</v>
      </c>
      <c r="BI12" s="1882" t="str">
        <f>'SUB LIST'!A61</f>
        <v>PR14SSCWSW_2.3</v>
      </c>
      <c r="BJ12" s="1882" t="str">
        <f>'SUB LIST'!P61</f>
        <v>03</v>
      </c>
      <c r="BK12" s="1882" t="str">
        <f>'SUB LIST'!Q61</f>
        <v>WTW turbidity non-compliance</v>
      </c>
      <c r="BL12" s="1882" t="str">
        <f>'SUB LIST'!T61</f>
        <v>nr</v>
      </c>
      <c r="BM12" s="1882" t="str">
        <f>'SUB LIST'!U61</f>
        <v>0</v>
      </c>
      <c r="BN12" s="1882">
        <f>'SUB LIST'!AY61</f>
        <v>0</v>
      </c>
      <c r="BO12" s="1882" t="str">
        <f>'SUB LIST'!A73</f>
        <v>PR14SVTWSWW_S-C7</v>
      </c>
      <c r="BP12" s="1882" t="str">
        <f>'SUB LIST'!P73</f>
        <v>04</v>
      </c>
      <c r="BQ12" s="1882" t="str">
        <f>'SUB LIST'!Q73</f>
        <v>Biodiversity improvements</v>
      </c>
      <c r="BR12" s="1882" t="str">
        <f>'SUB LIST'!T73</f>
        <v>nr</v>
      </c>
      <c r="BS12" s="1882" t="str">
        <f>'SUB LIST'!U73</f>
        <v>0</v>
      </c>
      <c r="BT12" s="1882" t="str">
        <f>'SUB LIST'!AY73</f>
        <v/>
      </c>
      <c r="BU12" s="1882" t="str">
        <f>'SUB LIST'!A83</f>
        <v>PR14SWTWSW_W-A4</v>
      </c>
      <c r="BV12" s="1882" t="str">
        <f>'SUB LIST'!P83</f>
        <v>02</v>
      </c>
      <c r="BW12" s="1882" t="str">
        <f>'SUB LIST'!Q83</f>
        <v>Service reservoir coliforms non-compliance</v>
      </c>
      <c r="BX12" s="1882" t="str">
        <f>'SUB LIST'!T83</f>
        <v>%</v>
      </c>
      <c r="BY12" s="1882">
        <f>'SUB LIST'!U83</f>
        <v>2</v>
      </c>
      <c r="BZ12" s="1882">
        <f>'SUB LIST'!AY83</f>
        <v>0</v>
      </c>
      <c r="CA12" s="1882" t="str">
        <f>'SUB LIST'!A107</f>
        <v>PR14TMSWSW_WB2</v>
      </c>
      <c r="CB12" s="1882" t="str">
        <f>'SUB LIST'!P107</f>
        <v>02</v>
      </c>
      <c r="CC12" s="1882" t="str">
        <f>'SUB LIST'!Q107</f>
        <v>Reservoir integrity index</v>
      </c>
      <c r="CD12" s="1882" t="str">
        <f>'SUB LIST'!T107</f>
        <v>%</v>
      </c>
      <c r="CE12" s="1882">
        <f>'SUB LIST'!U107</f>
        <v>2</v>
      </c>
      <c r="CF12" s="1882">
        <f>'SUB LIST'!AY107</f>
        <v>0</v>
      </c>
      <c r="CG12" s="1882" t="str">
        <f>'SUB LIST'!A131</f>
        <v>PR14UUWSW_B2</v>
      </c>
      <c r="CH12" s="1882" t="str">
        <f>'SUB LIST'!P131</f>
        <v>02</v>
      </c>
      <c r="CI12" s="1882" t="str">
        <f>'SUB LIST'!Q131</f>
        <v>Interruptions &gt;12hours (nr of properties/total nr of properties)</v>
      </c>
      <c r="CJ12" s="1882" t="str">
        <f>'SUB LIST'!T131</f>
        <v>nr</v>
      </c>
      <c r="CK12" s="1882" t="str">
        <f>'SUB LIST'!U131</f>
        <v>0</v>
      </c>
      <c r="CL12" s="1882">
        <f>'SUB LIST'!AY131</f>
        <v>849</v>
      </c>
      <c r="CM12" s="1882" t="str">
        <f>'SUB LIST'!A171</f>
        <v>PR14WSHWSW_F1</v>
      </c>
      <c r="CN12" s="1882" t="str">
        <f>'SUB LIST'!P171</f>
        <v>09</v>
      </c>
      <c r="CO12" s="1882" t="str">
        <f>'SUB LIST'!Q171</f>
        <v>Turbidity (nr)</v>
      </c>
      <c r="CP12" s="1882" t="str">
        <f>'SUB LIST'!T171</f>
        <v>nr</v>
      </c>
      <c r="CQ12" s="1882" t="str">
        <f>'SUB LIST'!U171</f>
        <v>0</v>
      </c>
      <c r="CR12" s="1882">
        <f>'SUB LIST'!AY171</f>
        <v>0</v>
      </c>
      <c r="CS12" s="1882"/>
      <c r="CT12" s="1882"/>
      <c r="CU12" s="1882"/>
      <c r="CV12" s="1882"/>
      <c r="CW12" s="1882"/>
      <c r="CX12" s="1882"/>
      <c r="CY12" s="1882" t="str">
        <f>'SUB LIST'!A193</f>
        <v>PR14YKYWSW_WB4</v>
      </c>
      <c r="CZ12" s="1882" t="str">
        <f>'SUB LIST'!P193</f>
        <v>03</v>
      </c>
      <c r="DA12" s="1882" t="str">
        <f>'SUB LIST'!Q193</f>
        <v>DG2 low pressure</v>
      </c>
      <c r="DB12" s="1882" t="str">
        <f>'SUB LIST'!T193</f>
        <v>nr</v>
      </c>
      <c r="DC12" s="1882" t="str">
        <f>'SUB LIST'!U193</f>
        <v>0</v>
      </c>
      <c r="DD12" s="1882">
        <f>'SUB LIST'!AY193</f>
        <v>9</v>
      </c>
      <c r="DK12" s="1882" t="str">
        <f>'SUB LIST'!A222</f>
        <v>PR14SVEWSWW_S-C7</v>
      </c>
      <c r="DL12" s="1882" t="str">
        <f>'SUB LIST'!P222</f>
        <v>04</v>
      </c>
      <c r="DM12" s="1882" t="str">
        <f>'SUB LIST'!Q222</f>
        <v>Biodiversity improvements</v>
      </c>
      <c r="DN12" s="2101" t="str">
        <f>'SUB LIST'!T222</f>
        <v>nr</v>
      </c>
      <c r="DO12" s="2101" t="str">
        <f>'SUB LIST'!U222</f>
        <v>0</v>
      </c>
      <c r="DP12" s="2101" t="str">
        <f>'SUB LIST'!AY222</f>
        <v>Passed</v>
      </c>
    </row>
    <row r="13" spans="1:120">
      <c r="A13" s="1882"/>
      <c r="B13" s="1882"/>
      <c r="C13" s="1882"/>
      <c r="D13" s="1882"/>
      <c r="E13" s="1882"/>
      <c r="F13" s="1882"/>
      <c r="G13" s="1882" t="str">
        <f>'SUB LIST'!A13</f>
        <v>PR14ANHWSWW_S-F1</v>
      </c>
      <c r="H13" s="1882" t="str">
        <f>'SUB LIST'!P13</f>
        <v>01</v>
      </c>
      <c r="I13" s="1882" t="str">
        <f>'SUB LIST'!Q13</f>
        <v>Pollution incidents</v>
      </c>
      <c r="J13" s="1882" t="str">
        <f>'SUB LIST'!T13</f>
        <v>nr</v>
      </c>
      <c r="K13" s="1882" t="str">
        <f>'SUB LIST'!U13</f>
        <v>0</v>
      </c>
      <c r="L13" s="1882">
        <f>'SUB LIST'!AY13</f>
        <v>82</v>
      </c>
      <c r="M13" s="1882"/>
      <c r="N13" s="1882"/>
      <c r="O13" s="1882"/>
      <c r="P13" s="1882"/>
      <c r="Q13" s="1882"/>
      <c r="R13" s="1882"/>
      <c r="S13" s="1882"/>
      <c r="T13" s="1882"/>
      <c r="U13" s="1882"/>
      <c r="V13" s="1882"/>
      <c r="W13" s="1882"/>
      <c r="X13" s="1882"/>
      <c r="Y13" s="1882"/>
      <c r="Z13" s="1882"/>
      <c r="AA13" s="1882"/>
      <c r="AB13" s="1882"/>
      <c r="AC13" s="1882"/>
      <c r="AD13" s="1882"/>
      <c r="AE13" s="1882"/>
      <c r="AF13" s="1882"/>
      <c r="AG13" s="1882"/>
      <c r="AH13" s="1882"/>
      <c r="AI13" s="1882"/>
      <c r="AJ13" s="1882"/>
      <c r="AK13" s="1882" t="str">
        <f>'SUB LIST'!A36</f>
        <v>PR14SBWWSW_B4</v>
      </c>
      <c r="AL13" s="1882" t="str">
        <f>'SUB LIST'!P36</f>
        <v>10</v>
      </c>
      <c r="AM13" s="1882" t="str">
        <f>'SUB LIST'!Q36</f>
        <v>Unplanned maintenance (number)</v>
      </c>
      <c r="AN13" s="1882" t="str">
        <f>'SUB LIST'!T36</f>
        <v>nr</v>
      </c>
      <c r="AO13" s="1882" t="str">
        <f>'SUB LIST'!U36</f>
        <v>0</v>
      </c>
      <c r="AP13" s="1882">
        <f>'SUB LIST'!AY36</f>
        <v>124</v>
      </c>
      <c r="AQ13" s="1882"/>
      <c r="AR13" s="1882"/>
      <c r="AS13" s="1882"/>
      <c r="AT13" s="1882"/>
      <c r="AU13" s="1882"/>
      <c r="AV13" s="1882"/>
      <c r="AW13" s="1882"/>
      <c r="AX13" s="1882"/>
      <c r="AY13" s="1882"/>
      <c r="AZ13" s="1882"/>
      <c r="BA13" s="1882"/>
      <c r="BB13" s="1882"/>
      <c r="BC13" s="1882"/>
      <c r="BD13" s="1882"/>
      <c r="BE13" s="1882"/>
      <c r="BF13" s="1882"/>
      <c r="BG13" s="1882"/>
      <c r="BH13" s="1882"/>
      <c r="BI13" s="1882" t="str">
        <f>'SUB LIST'!A62</f>
        <v>PR14SSCWSW_2.3</v>
      </c>
      <c r="BJ13" s="1882" t="str">
        <f>'SUB LIST'!P62</f>
        <v>04</v>
      </c>
      <c r="BK13" s="1882" t="str">
        <f>'SUB LIST'!Q62</f>
        <v>DWI enforcement actions</v>
      </c>
      <c r="BL13" s="1882" t="str">
        <f>'SUB LIST'!T62</f>
        <v>nr</v>
      </c>
      <c r="BM13" s="1882" t="str">
        <f>'SUB LIST'!U62</f>
        <v>0</v>
      </c>
      <c r="BN13" s="1882">
        <f>'SUB LIST'!AY62</f>
        <v>0</v>
      </c>
      <c r="BO13" s="1882"/>
      <c r="BP13" s="1882"/>
      <c r="BQ13" s="1882"/>
      <c r="BR13" s="1882"/>
      <c r="BS13" s="1882"/>
      <c r="BT13" s="1882"/>
      <c r="BU13" s="1882" t="str">
        <f>'SUB LIST'!A84</f>
        <v>PR14SWTWSW_W-A4</v>
      </c>
      <c r="BV13" s="1882" t="str">
        <f>'SUB LIST'!P84</f>
        <v>03</v>
      </c>
      <c r="BW13" s="1882" t="str">
        <f>'SUB LIST'!Q84</f>
        <v>Turbidity non-compliance</v>
      </c>
      <c r="BX13" s="1882" t="str">
        <f>'SUB LIST'!T84</f>
        <v>nr</v>
      </c>
      <c r="BY13" s="1882" t="str">
        <f>'SUB LIST'!U84</f>
        <v>0</v>
      </c>
      <c r="BZ13" s="1882">
        <f>'SUB LIST'!AY84</f>
        <v>0</v>
      </c>
      <c r="CA13" s="1882" t="str">
        <f>'SUB LIST'!A108</f>
        <v>PR14TMSWSW_WB2</v>
      </c>
      <c r="CB13" s="1882" t="str">
        <f>'SUB LIST'!P108</f>
        <v>03</v>
      </c>
      <c r="CC13" s="1882" t="str">
        <f>'SUB LIST'!Q108</f>
        <v>DWQ compliance measures - turbidity (number of sites)</v>
      </c>
      <c r="CD13" s="1882" t="str">
        <f>'SUB LIST'!T108</f>
        <v>nr</v>
      </c>
      <c r="CE13" s="1882" t="str">
        <f>'SUB LIST'!U108</f>
        <v>0</v>
      </c>
      <c r="CF13" s="1882">
        <f>'SUB LIST'!AY108</f>
        <v>0</v>
      </c>
      <c r="CG13" s="1882" t="str">
        <f>'SUB LIST'!A132</f>
        <v>PR14UUWSW_B2</v>
      </c>
      <c r="CH13" s="1882" t="str">
        <f>'SUB LIST'!P132</f>
        <v>03</v>
      </c>
      <c r="CI13" s="1882" t="str">
        <f>'SUB LIST'!Q132</f>
        <v>Pressure (nr of properties on DG2 register/ total number of properties)</v>
      </c>
      <c r="CJ13" s="1882" t="str">
        <f>'SUB LIST'!T132</f>
        <v>nr</v>
      </c>
      <c r="CK13" s="1882" t="str">
        <f>'SUB LIST'!U132</f>
        <v>0</v>
      </c>
      <c r="CL13" s="1882">
        <f>'SUB LIST'!AY132</f>
        <v>262</v>
      </c>
      <c r="CM13" s="1882" t="str">
        <f>'SUB LIST'!A172</f>
        <v>PR14WSHWSW_F1</v>
      </c>
      <c r="CN13" s="1882" t="str">
        <f>'SUB LIST'!P172</f>
        <v>10</v>
      </c>
      <c r="CO13" s="1882" t="str">
        <f>'SUB LIST'!Q172</f>
        <v>Enforcement (incidents number)</v>
      </c>
      <c r="CP13" s="1882" t="str">
        <f>'SUB LIST'!T172</f>
        <v>nr</v>
      </c>
      <c r="CQ13" s="1882" t="str">
        <f>'SUB LIST'!U172</f>
        <v>0</v>
      </c>
      <c r="CR13" s="1882">
        <f>'SUB LIST'!AY172</f>
        <v>0</v>
      </c>
      <c r="CS13" s="1882"/>
      <c r="CT13" s="1882"/>
      <c r="CU13" s="1882"/>
      <c r="CV13" s="1882"/>
      <c r="CW13" s="1882"/>
      <c r="CX13" s="1882"/>
      <c r="CY13" s="1882" t="str">
        <f>'SUB LIST'!A194</f>
        <v>PR14YKYWSW_WB4</v>
      </c>
      <c r="CZ13" s="1882" t="str">
        <f>'SUB LIST'!P194</f>
        <v>04</v>
      </c>
      <c r="DA13" s="1882" t="str">
        <f>'SUB LIST'!Q194</f>
        <v>Customer contacts for discolouration (nr per 1,000 population)</v>
      </c>
      <c r="DB13" s="1882" t="str">
        <f>'SUB LIST'!T194</f>
        <v>nr</v>
      </c>
      <c r="DC13" s="1882">
        <f>'SUB LIST'!U194</f>
        <v>3</v>
      </c>
      <c r="DD13" s="1882">
        <f>'SUB LIST'!AY194</f>
        <v>0.69899999999999995</v>
      </c>
      <c r="DE13" s="648"/>
      <c r="DF13" s="648"/>
      <c r="DG13" s="648"/>
      <c r="DH13" s="648"/>
      <c r="DI13" s="648"/>
      <c r="DJ13" s="648"/>
      <c r="DK13" s="648"/>
      <c r="DL13" s="648"/>
      <c r="DM13" s="648"/>
      <c r="DN13" s="648"/>
      <c r="DO13" s="648"/>
      <c r="DP13" s="648"/>
    </row>
    <row r="14" spans="1:120">
      <c r="A14" s="1882"/>
      <c r="B14" s="1882"/>
      <c r="C14" s="1882"/>
      <c r="D14" s="1882"/>
      <c r="E14" s="1882"/>
      <c r="F14" s="1882"/>
      <c r="G14" s="1882" t="str">
        <f>'SUB LIST'!A14</f>
        <v>PR14ANHWSWW_S-F1</v>
      </c>
      <c r="H14" s="1882" t="str">
        <f>'SUB LIST'!P14</f>
        <v>02</v>
      </c>
      <c r="I14" s="1882" t="str">
        <f>'SUB LIST'!Q14</f>
        <v>Sewer collapses</v>
      </c>
      <c r="J14" s="1882" t="str">
        <f>'SUB LIST'!T14</f>
        <v>nr</v>
      </c>
      <c r="K14" s="1882" t="str">
        <f>'SUB LIST'!U14</f>
        <v>0</v>
      </c>
      <c r="L14" s="1882">
        <f>'SUB LIST'!AY14</f>
        <v>214</v>
      </c>
      <c r="M14" s="1882"/>
      <c r="N14" s="1882"/>
      <c r="O14" s="1882"/>
      <c r="P14" s="1882"/>
      <c r="Q14" s="1882"/>
      <c r="R14" s="1882"/>
      <c r="S14" s="1882"/>
      <c r="T14" s="1882"/>
      <c r="U14" s="1882"/>
      <c r="V14" s="1882"/>
      <c r="W14" s="1882"/>
      <c r="X14" s="1882"/>
      <c r="Y14" s="1882"/>
      <c r="Z14" s="1882"/>
      <c r="AA14" s="1882"/>
      <c r="AB14" s="1882"/>
      <c r="AC14" s="1882"/>
      <c r="AD14" s="1882"/>
      <c r="AE14" s="1882"/>
      <c r="AF14" s="1882"/>
      <c r="AG14" s="1882"/>
      <c r="AH14" s="1882"/>
      <c r="AI14" s="1882"/>
      <c r="AJ14" s="1882"/>
      <c r="AK14" s="1882"/>
      <c r="AL14" s="1882"/>
      <c r="AM14" s="1882"/>
      <c r="AN14" s="1882"/>
      <c r="AO14" s="1882"/>
      <c r="AP14" s="1882"/>
      <c r="AQ14" s="1882"/>
      <c r="AR14" s="1882"/>
      <c r="AS14" s="1882"/>
      <c r="AT14" s="1882"/>
      <c r="AU14" s="1882"/>
      <c r="AV14" s="1882"/>
      <c r="AW14" s="1882"/>
      <c r="AX14" s="1882"/>
      <c r="AY14" s="1882"/>
      <c r="AZ14" s="1882"/>
      <c r="BA14" s="1882"/>
      <c r="BB14" s="1882"/>
      <c r="BC14" s="1882"/>
      <c r="BD14" s="1882"/>
      <c r="BE14" s="1882"/>
      <c r="BF14" s="1882"/>
      <c r="BG14" s="1882"/>
      <c r="BH14" s="1882"/>
      <c r="BI14" s="1882" t="str">
        <f>'SUB LIST'!A63</f>
        <v>PR14SSCWSW_2.3</v>
      </c>
      <c r="BJ14" s="1882" t="str">
        <f>'SUB LIST'!P63</f>
        <v>05</v>
      </c>
      <c r="BK14" s="1882" t="str">
        <f>'SUB LIST'!Q63</f>
        <v>Unplanned maintenance work orders</v>
      </c>
      <c r="BL14" s="1882" t="str">
        <f>'SUB LIST'!T63</f>
        <v>nr</v>
      </c>
      <c r="BM14" s="1882" t="str">
        <f>'SUB LIST'!U63</f>
        <v>0</v>
      </c>
      <c r="BN14" s="1882">
        <f>'SUB LIST'!AY63</f>
        <v>2802</v>
      </c>
      <c r="BO14" s="1882"/>
      <c r="BP14" s="1882"/>
      <c r="BQ14" s="1882"/>
      <c r="BR14" s="1882"/>
      <c r="BS14" s="1882"/>
      <c r="BT14" s="1882"/>
      <c r="BU14" s="1882" t="str">
        <f>'SUB LIST'!A85</f>
        <v>PR14SWTWSW_W-A4</v>
      </c>
      <c r="BV14" s="1882" t="str">
        <f>'SUB LIST'!P85</f>
        <v>04</v>
      </c>
      <c r="BW14" s="1882" t="str">
        <f>'SUB LIST'!Q85</f>
        <v>Enforcement incidents</v>
      </c>
      <c r="BX14" s="1882" t="str">
        <f>'SUB LIST'!T85</f>
        <v>nr</v>
      </c>
      <c r="BY14" s="1882" t="str">
        <f>'SUB LIST'!U85</f>
        <v>0</v>
      </c>
      <c r="BZ14" s="1882">
        <f>'SUB LIST'!AY85</f>
        <v>1</v>
      </c>
      <c r="CA14" s="1882" t="str">
        <f>'SUB LIST'!A109</f>
        <v>PR14TMSWSW_WB2</v>
      </c>
      <c r="CB14" s="1882" t="str">
        <f>'SUB LIST'!P109</f>
        <v>04</v>
      </c>
      <c r="CC14" s="1882" t="str">
        <f>'SUB LIST'!Q109</f>
        <v>Process control index</v>
      </c>
      <c r="CD14" s="1882" t="str">
        <f>'SUB LIST'!T109</f>
        <v>%</v>
      </c>
      <c r="CE14" s="1882">
        <f>'SUB LIST'!U109</f>
        <v>2</v>
      </c>
      <c r="CF14" s="1882">
        <f>'SUB LIST'!AY109</f>
        <v>100</v>
      </c>
      <c r="CG14" s="1882" t="str">
        <f>'SUB LIST'!A133</f>
        <v>PR14UUWSW_B2</v>
      </c>
      <c r="CH14" s="1882" t="str">
        <f>'SUB LIST'!P133</f>
        <v>04</v>
      </c>
      <c r="CI14" s="1882" t="str">
        <f>'SUB LIST'!Q133</f>
        <v>Customer contacts for water availability (contacts/annum)</v>
      </c>
      <c r="CJ14" s="1882" t="str">
        <f>'SUB LIST'!T133</f>
        <v>nr</v>
      </c>
      <c r="CK14" s="1882" t="str">
        <f>'SUB LIST'!U133</f>
        <v>0</v>
      </c>
      <c r="CL14" s="1882">
        <f>'SUB LIST'!AY133</f>
        <v>49278</v>
      </c>
      <c r="CM14" s="1882" t="str">
        <f>'SUB LIST'!A173</f>
        <v>PR14WSHWSW_F1</v>
      </c>
      <c r="CN14" s="1882" t="str">
        <f>'SUB LIST'!P173</f>
        <v>11</v>
      </c>
      <c r="CO14" s="1882" t="str">
        <f>'SUB LIST'!Q173</f>
        <v>Unplanned maintenance (nr)</v>
      </c>
      <c r="CP14" s="1882" t="str">
        <f>'SUB LIST'!T173</f>
        <v>nr</v>
      </c>
      <c r="CQ14" s="1882" t="str">
        <f>'SUB LIST'!U173</f>
        <v>0</v>
      </c>
      <c r="CR14" s="1882">
        <f>'SUB LIST'!AY173</f>
        <v>12293</v>
      </c>
      <c r="CS14" s="1882"/>
      <c r="CT14" s="1882"/>
      <c r="CU14" s="1882"/>
      <c r="CV14" s="1882"/>
      <c r="CW14" s="1882"/>
      <c r="CX14" s="1882"/>
      <c r="CY14" s="1882" t="str">
        <f>'SUB LIST'!A195</f>
        <v>PR14YKYWSW_WB4</v>
      </c>
      <c r="CZ14" s="1882" t="str">
        <f>'SUB LIST'!P195</f>
        <v>05</v>
      </c>
      <c r="DA14" s="1882" t="str">
        <f>'SUB LIST'!Q195</f>
        <v>Distribution index TIM (100 - mean zonal compliance)</v>
      </c>
      <c r="DB14" s="1882" t="str">
        <f>'SUB LIST'!T195</f>
        <v>%</v>
      </c>
      <c r="DC14" s="1882">
        <f>'SUB LIST'!U195</f>
        <v>3</v>
      </c>
      <c r="DD14" s="1882">
        <f>'SUB LIST'!AY195</f>
        <v>0.127</v>
      </c>
    </row>
    <row r="15" spans="1:120">
      <c r="A15" s="1882"/>
      <c r="B15" s="1882"/>
      <c r="C15" s="1882"/>
      <c r="D15" s="1882"/>
      <c r="E15" s="1882"/>
      <c r="F15" s="1882"/>
      <c r="G15" s="1882" t="str">
        <f>'SUB LIST'!A15</f>
        <v>PR14ANHWSWW_S-F1</v>
      </c>
      <c r="H15" s="1882" t="str">
        <f>'SUB LIST'!P15</f>
        <v>03</v>
      </c>
      <c r="I15" s="1882" t="str">
        <f>'SUB LIST'!Q15</f>
        <v>Internal flooding (overloaded + other causes)</v>
      </c>
      <c r="J15" s="1882" t="str">
        <f>'SUB LIST'!T15</f>
        <v>nr</v>
      </c>
      <c r="K15" s="1882" t="str">
        <f>'SUB LIST'!U15</f>
        <v>0</v>
      </c>
      <c r="L15" s="1882">
        <f>'SUB LIST'!AY15</f>
        <v>112</v>
      </c>
      <c r="M15" s="1882"/>
      <c r="N15" s="1882"/>
      <c r="O15" s="1882"/>
      <c r="P15" s="1882"/>
      <c r="Q15" s="1882"/>
      <c r="R15" s="1882"/>
      <c r="S15" s="1882"/>
      <c r="T15" s="1882"/>
      <c r="U15" s="1882"/>
      <c r="V15" s="1882"/>
      <c r="W15" s="1882"/>
      <c r="X15" s="1882"/>
      <c r="Y15" s="1882"/>
      <c r="Z15" s="1882"/>
      <c r="AA15" s="1882"/>
      <c r="AB15" s="1882"/>
      <c r="AC15" s="1882"/>
      <c r="AD15" s="1882"/>
      <c r="AE15" s="1882"/>
      <c r="AF15" s="1882"/>
      <c r="AG15" s="1882"/>
      <c r="AH15" s="1882"/>
      <c r="AI15" s="1882"/>
      <c r="AJ15" s="1882"/>
      <c r="AK15" s="1882"/>
      <c r="AL15" s="1882"/>
      <c r="AM15" s="1882"/>
      <c r="AN15" s="1882"/>
      <c r="AO15" s="1882"/>
      <c r="AP15" s="1882"/>
      <c r="AQ15" s="1882"/>
      <c r="AR15" s="1882"/>
      <c r="AS15" s="1882"/>
      <c r="AT15" s="1882"/>
      <c r="AU15" s="1882"/>
      <c r="AV15" s="1882"/>
      <c r="AW15" s="1882"/>
      <c r="AX15" s="1882"/>
      <c r="AY15" s="1882"/>
      <c r="AZ15" s="1882"/>
      <c r="BA15" s="1882"/>
      <c r="BB15" s="1882"/>
      <c r="BC15" s="1882"/>
      <c r="BD15" s="1882"/>
      <c r="BE15" s="1882"/>
      <c r="BF15" s="1882"/>
      <c r="BG15" s="1882"/>
      <c r="BH15" s="1882"/>
      <c r="BI15" s="1882"/>
      <c r="BJ15" s="1882"/>
      <c r="BK15" s="1882"/>
      <c r="BL15" s="1882"/>
      <c r="BM15" s="1882"/>
      <c r="BN15" s="1882"/>
      <c r="BO15" s="1882"/>
      <c r="BP15" s="1882"/>
      <c r="BQ15" s="1882"/>
      <c r="BR15" s="1882"/>
      <c r="BS15" s="1882"/>
      <c r="BT15" s="1882"/>
      <c r="BU15" s="1882" t="str">
        <f>'SUB LIST'!A86</f>
        <v>PR14SWTWSW_W-A4</v>
      </c>
      <c r="BV15" s="1882" t="str">
        <f>'SUB LIST'!P86</f>
        <v>05</v>
      </c>
      <c r="BW15" s="1882" t="str">
        <f>'SUB LIST'!Q86</f>
        <v>Unplanned maintenance</v>
      </c>
      <c r="BX15" s="1882" t="str">
        <f>'SUB LIST'!T86</f>
        <v>nr</v>
      </c>
      <c r="BY15" s="1882" t="str">
        <f>'SUB LIST'!U86</f>
        <v>0</v>
      </c>
      <c r="BZ15" s="1882">
        <f>'SUB LIST'!AY86</f>
        <v>2607</v>
      </c>
      <c r="CA15" s="1882" t="str">
        <f>'SUB LIST'!A110</f>
        <v>PR14TMSWSW_WB2</v>
      </c>
      <c r="CB15" s="1882" t="str">
        <f>'SUB LIST'!P110</f>
        <v>05</v>
      </c>
      <c r="CC15" s="1882" t="str">
        <f>'SUB LIST'!Q110</f>
        <v>DWQ compliance measures - enforcement actions</v>
      </c>
      <c r="CD15" s="1882" t="str">
        <f>'SUB LIST'!T110</f>
        <v>nr</v>
      </c>
      <c r="CE15" s="1882" t="str">
        <f>'SUB LIST'!U110</f>
        <v>0</v>
      </c>
      <c r="CF15" s="1882">
        <f>'SUB LIST'!AY110</f>
        <v>0</v>
      </c>
      <c r="CG15" s="1882" t="str">
        <f>'SUB LIST'!A134</f>
        <v>PR14UUWSWW_S-A1</v>
      </c>
      <c r="CH15" s="1882" t="str">
        <f>'SUB LIST'!P134</f>
        <v>00</v>
      </c>
      <c r="CI15" s="1882" t="str">
        <f>'SUB LIST'!Q134</f>
        <v>S-A1: Private sewers service index</v>
      </c>
      <c r="CJ15" s="1882" t="str">
        <f>'SUB LIST'!T134</f>
        <v>score</v>
      </c>
      <c r="CK15" s="1882">
        <f>'SUB LIST'!U134</f>
        <v>2</v>
      </c>
      <c r="CL15" s="1882">
        <f>'SUB LIST'!AY134</f>
        <v>89.27</v>
      </c>
      <c r="CM15" s="1882" t="str">
        <f>'SUB LIST'!A174</f>
        <v>PR14WSHWSWW_F1</v>
      </c>
      <c r="CN15" s="1882" t="str">
        <f>'SUB LIST'!P174</f>
        <v>00</v>
      </c>
      <c r="CO15" s="1882" t="str">
        <f>'SUB LIST'!Q174</f>
        <v>F1: Asset serviceability</v>
      </c>
      <c r="CP15" s="1882" t="str">
        <f>'SUB LIST'!T174</f>
        <v>category</v>
      </c>
      <c r="CQ15" s="1882" t="str">
        <f>'SUB LIST'!U174</f>
        <v>na</v>
      </c>
      <c r="CR15" s="1882" t="str">
        <f>'SUB LIST'!AY174</f>
        <v>Stable</v>
      </c>
      <c r="CS15" s="1882"/>
      <c r="CT15" s="1882"/>
      <c r="CU15" s="1882"/>
      <c r="CV15" s="1882"/>
      <c r="CW15" s="1882"/>
      <c r="CX15" s="1882"/>
      <c r="CY15" s="1882" t="str">
        <f>'SUB LIST'!A196</f>
        <v>PR14YKYWSW_WB4</v>
      </c>
      <c r="CZ15" s="1882" t="str">
        <f>'SUB LIST'!P196</f>
        <v>06</v>
      </c>
      <c r="DA15" s="1882" t="str">
        <f>'SUB LIST'!Q196</f>
        <v>Reactive equipment failures</v>
      </c>
      <c r="DB15" s="1882" t="str">
        <f>'SUB LIST'!T196</f>
        <v>nr</v>
      </c>
      <c r="DC15" s="1882" t="str">
        <f>'SUB LIST'!U196</f>
        <v>0</v>
      </c>
      <c r="DD15" s="1882">
        <f>'SUB LIST'!AY196</f>
        <v>911</v>
      </c>
    </row>
    <row r="16" spans="1:120">
      <c r="A16" s="1882"/>
      <c r="B16" s="1882"/>
      <c r="C16" s="1882"/>
      <c r="D16" s="1882"/>
      <c r="E16" s="1882"/>
      <c r="F16" s="1882"/>
      <c r="G16" s="1882" t="str">
        <f>'SUB LIST'!A16</f>
        <v>PR14ANHWSWW_S-F1</v>
      </c>
      <c r="H16" s="1882" t="str">
        <f>'SUB LIST'!P16</f>
        <v>04</v>
      </c>
      <c r="I16" s="1882" t="str">
        <f>'SUB LIST'!Q16</f>
        <v>Sewer blockages</v>
      </c>
      <c r="J16" s="1882" t="str">
        <f>'SUB LIST'!T16</f>
        <v>nr</v>
      </c>
      <c r="K16" s="1882" t="str">
        <f>'SUB LIST'!U16</f>
        <v>0</v>
      </c>
      <c r="L16" s="1882">
        <f>'SUB LIST'!AY16</f>
        <v>11908</v>
      </c>
      <c r="M16" s="1882"/>
      <c r="N16" s="1882"/>
      <c r="O16" s="1882"/>
      <c r="P16" s="1882"/>
      <c r="Q16" s="1882"/>
      <c r="R16" s="1882"/>
      <c r="S16" s="1882"/>
      <c r="T16" s="1882"/>
      <c r="U16" s="1882"/>
      <c r="V16" s="1882"/>
      <c r="W16" s="1882"/>
      <c r="X16" s="1882"/>
      <c r="Y16" s="1882"/>
      <c r="Z16" s="1882"/>
      <c r="AA16" s="1882"/>
      <c r="AB16" s="1882"/>
      <c r="AC16" s="1882"/>
      <c r="AD16" s="1882"/>
      <c r="AE16" s="1882"/>
      <c r="AF16" s="1882"/>
      <c r="AG16" s="1882"/>
      <c r="AH16" s="1882"/>
      <c r="AI16" s="1882"/>
      <c r="AJ16" s="1882"/>
      <c r="AK16" s="1882"/>
      <c r="AL16" s="1882"/>
      <c r="AM16" s="1882"/>
      <c r="AN16" s="1882"/>
      <c r="AO16" s="1882"/>
      <c r="AP16" s="1882"/>
      <c r="AQ16" s="1882"/>
      <c r="AR16" s="1882"/>
      <c r="AS16" s="1882"/>
      <c r="AT16" s="1882"/>
      <c r="AU16" s="1882"/>
      <c r="AV16" s="1882"/>
      <c r="AW16" s="1882"/>
      <c r="AX16" s="1882"/>
      <c r="AY16" s="1882"/>
      <c r="AZ16" s="1882"/>
      <c r="BA16" s="1882"/>
      <c r="BB16" s="1882"/>
      <c r="BC16" s="1882"/>
      <c r="BD16" s="1882"/>
      <c r="BE16" s="1882"/>
      <c r="BF16" s="1882"/>
      <c r="BG16" s="1882"/>
      <c r="BH16" s="1882"/>
      <c r="BI16" s="1882"/>
      <c r="BJ16" s="1882"/>
      <c r="BK16" s="1882"/>
      <c r="BL16" s="1882"/>
      <c r="BM16" s="1882"/>
      <c r="BN16" s="1882"/>
      <c r="BO16" s="1882"/>
      <c r="BP16" s="1882"/>
      <c r="BQ16" s="1882"/>
      <c r="BR16" s="1882"/>
      <c r="BS16" s="1882"/>
      <c r="BT16" s="1882"/>
      <c r="BU16" s="1882" t="str">
        <f>'SUB LIST'!A87</f>
        <v>PR14SWTWSWW_S-A4</v>
      </c>
      <c r="BV16" s="1882" t="str">
        <f>'SUB LIST'!P87</f>
        <v>00</v>
      </c>
      <c r="BW16" s="1882" t="str">
        <f>'SUB LIST'!Q87</f>
        <v>S-A4 Asset reliability (pipes)</v>
      </c>
      <c r="BX16" s="1882" t="str">
        <f>'SUB LIST'!T87</f>
        <v>category</v>
      </c>
      <c r="BY16" s="1882" t="str">
        <f>'SUB LIST'!U87</f>
        <v>na</v>
      </c>
      <c r="BZ16" s="1882" t="str">
        <f>'SUB LIST'!AY87</f>
        <v>Stable</v>
      </c>
      <c r="CA16" s="1882" t="str">
        <f>'SUB LIST'!A111</f>
        <v>PR14TMSWSW_WB2</v>
      </c>
      <c r="CB16" s="1882" t="str">
        <f>'SUB LIST'!P111</f>
        <v>06</v>
      </c>
      <c r="CC16" s="1882" t="str">
        <f>'SUB LIST'!Q111</f>
        <v>Water quality complaints for chlorine (nr per 1,000 population)</v>
      </c>
      <c r="CD16" s="1882" t="str">
        <f>'SUB LIST'!T111</f>
        <v>nr</v>
      </c>
      <c r="CE16" s="1882">
        <f>'SUB LIST'!U111</f>
        <v>2</v>
      </c>
      <c r="CF16" s="1882">
        <f>'SUB LIST'!AY111</f>
        <v>4.8000000000000001E-2</v>
      </c>
      <c r="CG16" s="1882" t="str">
        <f>'SUB LIST'!A135</f>
        <v>PR14UUWSWW_S-A1</v>
      </c>
      <c r="CH16" s="1882" t="str">
        <f>'SUB LIST'!P135</f>
        <v>01</v>
      </c>
      <c r="CI16" s="1882" t="str">
        <f>'SUB LIST'!Q135</f>
        <v>Blockages</v>
      </c>
      <c r="CJ16" s="1882" t="str">
        <f>'SUB LIST'!T135</f>
        <v>nr</v>
      </c>
      <c r="CK16" s="1882" t="str">
        <f>'SUB LIST'!U135</f>
        <v>0</v>
      </c>
      <c r="CL16" s="1882">
        <f>'SUB LIST'!AY135</f>
        <v>14589</v>
      </c>
      <c r="CM16" s="1882" t="str">
        <f>'SUB LIST'!A175</f>
        <v>PR14WSHWSWW_F1</v>
      </c>
      <c r="CN16" s="1882" t="str">
        <f>'SUB LIST'!P175</f>
        <v>01</v>
      </c>
      <c r="CO16" s="1882" t="str">
        <f>'SUB LIST'!Q175</f>
        <v>Sewer collapses (nr)</v>
      </c>
      <c r="CP16" s="1882" t="str">
        <f>'SUB LIST'!T175</f>
        <v>nr</v>
      </c>
      <c r="CQ16" s="1882" t="str">
        <f>'SUB LIST'!U175</f>
        <v>0</v>
      </c>
      <c r="CR16" s="1882">
        <f>'SUB LIST'!AY175</f>
        <v>659</v>
      </c>
      <c r="CS16" s="1882"/>
      <c r="CT16" s="1882"/>
      <c r="CU16" s="1882"/>
      <c r="CV16" s="1882"/>
      <c r="CW16" s="1882"/>
      <c r="CX16" s="1882"/>
      <c r="CY16" s="1882" t="str">
        <f>'SUB LIST'!A197</f>
        <v>PR14YKYWSWW_SA4</v>
      </c>
      <c r="CZ16" s="1882" t="str">
        <f>'SUB LIST'!P197</f>
        <v>00</v>
      </c>
      <c r="DA16" s="1882" t="str">
        <f>'SUB LIST'!Q197</f>
        <v>SA4: Sewer network stability and reliability factor</v>
      </c>
      <c r="DB16" s="1882" t="str">
        <f>'SUB LIST'!T197</f>
        <v>category</v>
      </c>
      <c r="DC16" s="1882" t="str">
        <f>'SUB LIST'!U197</f>
        <v>na</v>
      </c>
      <c r="DD16" s="1882" t="str">
        <f>'SUB LIST'!AY197</f>
        <v>Stable</v>
      </c>
    </row>
    <row r="17" spans="7:108">
      <c r="G17" s="1882" t="str">
        <f>'SUB LIST'!A17</f>
        <v>PR14ANHWSWW_S-F2</v>
      </c>
      <c r="H17" s="1882" t="str">
        <f>'SUB LIST'!P17</f>
        <v>00</v>
      </c>
      <c r="I17" s="1882" t="str">
        <f>'SUB LIST'!Q17</f>
        <v>S-F2: Sewerage non-infrastructure</v>
      </c>
      <c r="J17" s="1882" t="str">
        <f>'SUB LIST'!T17</f>
        <v>category</v>
      </c>
      <c r="K17" s="1882" t="str">
        <f>'SUB LIST'!U17</f>
        <v>na</v>
      </c>
      <c r="L17" s="1882" t="str">
        <f>'SUB LIST'!AY17</f>
        <v>Green</v>
      </c>
      <c r="M17" s="1882"/>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c r="AL17" s="1882"/>
      <c r="AM17" s="1882"/>
      <c r="AN17" s="1882"/>
      <c r="AO17" s="1882"/>
      <c r="AP17" s="1882"/>
      <c r="AQ17" s="1882"/>
      <c r="AR17" s="1882"/>
      <c r="AS17" s="1882"/>
      <c r="AT17" s="1882"/>
      <c r="AU17" s="1882"/>
      <c r="AV17" s="1882"/>
      <c r="AW17" s="1882"/>
      <c r="AX17" s="1882"/>
      <c r="AY17" s="1882"/>
      <c r="AZ17" s="1882"/>
      <c r="BA17" s="1882"/>
      <c r="BB17" s="1882"/>
      <c r="BC17" s="1882"/>
      <c r="BD17" s="1882"/>
      <c r="BE17" s="1882"/>
      <c r="BF17" s="1882"/>
      <c r="BG17" s="1882"/>
      <c r="BH17" s="1882"/>
      <c r="BI17" s="1882"/>
      <c r="BJ17" s="1882"/>
      <c r="BK17" s="1882"/>
      <c r="BL17" s="1882"/>
      <c r="BM17" s="1882"/>
      <c r="BN17" s="1882"/>
      <c r="BO17" s="1882"/>
      <c r="BP17" s="1882"/>
      <c r="BQ17" s="1882"/>
      <c r="BR17" s="1882"/>
      <c r="BS17" s="1882"/>
      <c r="BT17" s="1882"/>
      <c r="BU17" s="1882" t="str">
        <f>'SUB LIST'!A88</f>
        <v>PR14SWTWSWW_S-A4</v>
      </c>
      <c r="BV17" s="1882" t="str">
        <f>'SUB LIST'!P88</f>
        <v>01</v>
      </c>
      <c r="BW17" s="1882" t="str">
        <f>'SUB LIST'!Q88</f>
        <v>Sewer collapses</v>
      </c>
      <c r="BX17" s="1882" t="str">
        <f>'SUB LIST'!T88</f>
        <v>nr</v>
      </c>
      <c r="BY17" s="1882" t="str">
        <f>'SUB LIST'!U88</f>
        <v>0</v>
      </c>
      <c r="BZ17" s="1882">
        <f>'SUB LIST'!AY88</f>
        <v>170</v>
      </c>
      <c r="CA17" s="1882" t="str">
        <f>'SUB LIST'!A112</f>
        <v>PR14TMSWSW_WB2</v>
      </c>
      <c r="CB17" s="1882" t="str">
        <f>'SUB LIST'!P112</f>
        <v>07</v>
      </c>
      <c r="CC17" s="1882" t="str">
        <f>'SUB LIST'!Q112</f>
        <v>Water quality complaints for hardness (nr per 1,000 population)</v>
      </c>
      <c r="CD17" s="1882" t="str">
        <f>'SUB LIST'!T112</f>
        <v>nr</v>
      </c>
      <c r="CE17" s="1882">
        <f>'SUB LIST'!U112</f>
        <v>3</v>
      </c>
      <c r="CF17" s="1882">
        <f>'SUB LIST'!AY112</f>
        <v>6.0000000000000001E-3</v>
      </c>
      <c r="CG17" s="1882" t="str">
        <f>'SUB LIST'!A136</f>
        <v>PR14UUWSWW_S-A1</v>
      </c>
      <c r="CH17" s="1882" t="str">
        <f>'SUB LIST'!P136</f>
        <v>02</v>
      </c>
      <c r="CI17" s="1882" t="str">
        <f>'SUB LIST'!Q136</f>
        <v>Collapses</v>
      </c>
      <c r="CJ17" s="1882" t="str">
        <f>'SUB LIST'!T136</f>
        <v>nr</v>
      </c>
      <c r="CK17" s="1882" t="str">
        <f>'SUB LIST'!U136</f>
        <v>0</v>
      </c>
      <c r="CL17" s="1882">
        <f>'SUB LIST'!AY136</f>
        <v>316</v>
      </c>
      <c r="CM17" s="1882" t="str">
        <f>'SUB LIST'!A176</f>
        <v>PR14WSHWSWW_F1</v>
      </c>
      <c r="CN17" s="1882" t="str">
        <f>'SUB LIST'!P176</f>
        <v>02</v>
      </c>
      <c r="CO17" s="1882" t="str">
        <f>'SUB LIST'!Q176</f>
        <v>Pollution incidents category 1, 2 &amp; 3 (CSO+RM+FS) (nr)</v>
      </c>
      <c r="CP17" s="1882" t="str">
        <f>'SUB LIST'!T176</f>
        <v>nr</v>
      </c>
      <c r="CQ17" s="1882" t="str">
        <f>'SUB LIST'!U176</f>
        <v>0</v>
      </c>
      <c r="CR17" s="1882">
        <f>'SUB LIST'!AY176</f>
        <v>73</v>
      </c>
      <c r="CS17" s="1882"/>
      <c r="CT17" s="1882"/>
      <c r="CU17" s="1882"/>
      <c r="CV17" s="1882"/>
      <c r="CW17" s="1882"/>
      <c r="CX17" s="1882"/>
      <c r="CY17" s="1882" t="str">
        <f>'SUB LIST'!A198</f>
        <v>PR14YKYWSWW_SA4</v>
      </c>
      <c r="CZ17" s="1882" t="str">
        <f>'SUB LIST'!P198</f>
        <v>01</v>
      </c>
      <c r="DA17" s="1882" t="str">
        <f>'SUB LIST'!Q198</f>
        <v>Sewer collapses</v>
      </c>
      <c r="DB17" s="1882" t="str">
        <f>'SUB LIST'!T198</f>
        <v>nr</v>
      </c>
      <c r="DC17" s="1882" t="str">
        <f>'SUB LIST'!U198</f>
        <v>0</v>
      </c>
      <c r="DD17" s="1882">
        <f>'SUB LIST'!AY198</f>
        <v>255</v>
      </c>
    </row>
    <row r="18" spans="7:108">
      <c r="G18" s="1882" t="str">
        <f>'SUB LIST'!A18</f>
        <v>PR14ANHWSWW_S-F2</v>
      </c>
      <c r="H18" s="1882" t="str">
        <f>'SUB LIST'!P18</f>
        <v>01</v>
      </c>
      <c r="I18" s="1882" t="str">
        <f>'SUB LIST'!Q18</f>
        <v>Population equivalent (PE) WwTW in breach of consent</v>
      </c>
      <c r="J18" s="1882" t="str">
        <f>'SUB LIST'!T18</f>
        <v>%</v>
      </c>
      <c r="K18" s="1882">
        <f>'SUB LIST'!U18</f>
        <v>2</v>
      </c>
      <c r="L18" s="1882">
        <f>'SUB LIST'!AY18</f>
        <v>5</v>
      </c>
      <c r="M18" s="1882"/>
      <c r="N18" s="1882"/>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c r="AL18" s="1882"/>
      <c r="AM18" s="1882"/>
      <c r="AN18" s="1882"/>
      <c r="AO18" s="1882"/>
      <c r="AP18" s="1882"/>
      <c r="AQ18" s="1882"/>
      <c r="AR18" s="1882"/>
      <c r="AS18" s="1882"/>
      <c r="AT18" s="1882"/>
      <c r="AU18" s="1882"/>
      <c r="AV18" s="1882"/>
      <c r="AW18" s="1882"/>
      <c r="AX18" s="1882"/>
      <c r="AY18" s="1882"/>
      <c r="AZ18" s="1882"/>
      <c r="BA18" s="1882"/>
      <c r="BB18" s="1882"/>
      <c r="BC18" s="1882"/>
      <c r="BD18" s="1882"/>
      <c r="BE18" s="1882"/>
      <c r="BF18" s="1882"/>
      <c r="BG18" s="1882"/>
      <c r="BH18" s="1882"/>
      <c r="BI18" s="1882"/>
      <c r="BJ18" s="1882"/>
      <c r="BK18" s="1882"/>
      <c r="BL18" s="1882"/>
      <c r="BM18" s="1882"/>
      <c r="BN18" s="1882"/>
      <c r="BO18" s="1882"/>
      <c r="BP18" s="1882"/>
      <c r="BQ18" s="1882"/>
      <c r="BR18" s="1882"/>
      <c r="BS18" s="1882"/>
      <c r="BT18" s="1882"/>
      <c r="BU18" s="1882" t="str">
        <f>'SUB LIST'!A89</f>
        <v>PR14SWTWSWW_S-A4</v>
      </c>
      <c r="BV18" s="1882" t="str">
        <f>'SUB LIST'!P89</f>
        <v>02</v>
      </c>
      <c r="BW18" s="1882" t="str">
        <f>'SUB LIST'!Q89</f>
        <v>Pollution incidents (CSO + RM + FS)</v>
      </c>
      <c r="BX18" s="1882" t="str">
        <f>'SUB LIST'!T89</f>
        <v>nr</v>
      </c>
      <c r="BY18" s="1882" t="str">
        <f>'SUB LIST'!U89</f>
        <v>0</v>
      </c>
      <c r="BZ18" s="1882">
        <f>'SUB LIST'!AY89</f>
        <v>107</v>
      </c>
      <c r="CA18" s="1882" t="str">
        <f>'SUB LIST'!A113</f>
        <v>PR14TMSWSWW_SB1</v>
      </c>
      <c r="CB18" s="1882" t="str">
        <f>'SUB LIST'!P113</f>
        <v>00</v>
      </c>
      <c r="CC18" s="1882" t="str">
        <f>'SUB LIST'!Q113</f>
        <v>SB1: Asset health wastewater non-infrastructure</v>
      </c>
      <c r="CD18" s="1882" t="str">
        <f>'SUB LIST'!T113</f>
        <v>category</v>
      </c>
      <c r="CE18" s="1882" t="str">
        <f>'SUB LIST'!U113</f>
        <v>na</v>
      </c>
      <c r="CF18" s="1882" t="str">
        <f>'SUB LIST'!AY113</f>
        <v>Stable</v>
      </c>
      <c r="CG18" s="1882" t="str">
        <f>'SUB LIST'!A137</f>
        <v>PR14UUWSWW_S-A1</v>
      </c>
      <c r="CH18" s="1882" t="str">
        <f>'SUB LIST'!P137</f>
        <v>03</v>
      </c>
      <c r="CI18" s="1882" t="str">
        <f>'SUB LIST'!Q137</f>
        <v>Pollution incidents</v>
      </c>
      <c r="CJ18" s="1882" t="str">
        <f>'SUB LIST'!T137</f>
        <v>nr</v>
      </c>
      <c r="CK18" s="1882" t="str">
        <f>'SUB LIST'!U137</f>
        <v>0</v>
      </c>
      <c r="CL18" s="1882">
        <f>'SUB LIST'!AY137</f>
        <v>2</v>
      </c>
      <c r="CM18" s="1882" t="str">
        <f>'SUB LIST'!A177</f>
        <v>PR14WSHWSWW_F1</v>
      </c>
      <c r="CN18" s="1882" t="str">
        <f>'SUB LIST'!P177</f>
        <v>03</v>
      </c>
      <c r="CO18" s="1882" t="str">
        <f>'SUB LIST'!Q177</f>
        <v>Properties flooded due to other causes (nr)</v>
      </c>
      <c r="CP18" s="1882" t="str">
        <f>'SUB LIST'!T177</f>
        <v>nr</v>
      </c>
      <c r="CQ18" s="1882" t="str">
        <f>'SUB LIST'!U177</f>
        <v>0</v>
      </c>
      <c r="CR18" s="1882">
        <f>'SUB LIST'!AY177</f>
        <v>212</v>
      </c>
      <c r="CS18" s="1882"/>
      <c r="CT18" s="1882"/>
      <c r="CU18" s="1882"/>
      <c r="CV18" s="1882"/>
      <c r="CW18" s="1882"/>
      <c r="CX18" s="1882"/>
      <c r="CY18" s="1882" t="str">
        <f>'SUB LIST'!A199</f>
        <v>PR14YKYWSWW_SA4</v>
      </c>
      <c r="CZ18" s="1882" t="str">
        <f>'SUB LIST'!P199</f>
        <v>02</v>
      </c>
      <c r="DA18" s="1882" t="str">
        <f>'SUB LIST'!Q199</f>
        <v>Pollution incidents (CSO, RM, FS and SPS)</v>
      </c>
      <c r="DB18" s="1882" t="str">
        <f>'SUB LIST'!T199</f>
        <v>nr</v>
      </c>
      <c r="DC18" s="1882" t="str">
        <f>'SUB LIST'!U199</f>
        <v>0</v>
      </c>
      <c r="DD18" s="1882">
        <f>'SUB LIST'!AY199</f>
        <v>172</v>
      </c>
    </row>
    <row r="19" spans="7:108">
      <c r="G19" s="1882" t="str">
        <f>'SUB LIST'!A19</f>
        <v>PR14ANHWSWW_S-F2</v>
      </c>
      <c r="H19" s="1882" t="str">
        <f>'SUB LIST'!P19</f>
        <v>02</v>
      </c>
      <c r="I19" s="1882" t="str">
        <f>'SUB LIST'!Q19</f>
        <v>WwTW failing numeric consent</v>
      </c>
      <c r="J19" s="1882">
        <f>'SUB LIST'!T19</f>
        <v>0</v>
      </c>
      <c r="K19" s="1882">
        <f>'SUB LIST'!U19</f>
        <v>2</v>
      </c>
      <c r="L19" s="1882">
        <f>'SUB LIST'!AY19</f>
        <v>1.3</v>
      </c>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c r="AN19" s="1882"/>
      <c r="AO19" s="1882"/>
      <c r="AP19" s="1882"/>
      <c r="AQ19" s="1882"/>
      <c r="AR19" s="1882"/>
      <c r="AS19" s="1882"/>
      <c r="AT19" s="1882"/>
      <c r="AU19" s="1882"/>
      <c r="AV19" s="1882"/>
      <c r="AW19" s="1882"/>
      <c r="AX19" s="1882"/>
      <c r="AY19" s="1882"/>
      <c r="AZ19" s="1882"/>
      <c r="BA19" s="1882"/>
      <c r="BB19" s="1882"/>
      <c r="BC19" s="1882"/>
      <c r="BD19" s="1882"/>
      <c r="BE19" s="1882"/>
      <c r="BF19" s="1882"/>
      <c r="BG19" s="1882"/>
      <c r="BH19" s="1882"/>
      <c r="BI19" s="1882"/>
      <c r="BJ19" s="1882"/>
      <c r="BK19" s="1882"/>
      <c r="BL19" s="1882"/>
      <c r="BM19" s="1882"/>
      <c r="BN19" s="1882"/>
      <c r="BO19" s="1882"/>
      <c r="BP19" s="1882"/>
      <c r="BQ19" s="1882"/>
      <c r="BR19" s="1882"/>
      <c r="BS19" s="1882"/>
      <c r="BT19" s="1882"/>
      <c r="BU19" s="1882" t="str">
        <f>'SUB LIST'!A90</f>
        <v>PR14SWTWSWW_S-A4</v>
      </c>
      <c r="BV19" s="1882" t="str">
        <f>'SUB LIST'!P90</f>
        <v>03</v>
      </c>
      <c r="BW19" s="1882" t="str">
        <f>'SUB LIST'!Q90</f>
        <v>Properties flooded due to other causes</v>
      </c>
      <c r="BX19" s="1882" t="str">
        <f>'SUB LIST'!T90</f>
        <v>nr</v>
      </c>
      <c r="BY19" s="1882" t="str">
        <f>'SUB LIST'!U90</f>
        <v>0</v>
      </c>
      <c r="BZ19" s="1882">
        <f>'SUB LIST'!AY90</f>
        <v>55</v>
      </c>
      <c r="CA19" s="1882" t="str">
        <f>'SUB LIST'!A114</f>
        <v>PR14TMSWSWW_SB1</v>
      </c>
      <c r="CB19" s="1882" t="str">
        <f>'SUB LIST'!P114</f>
        <v>01</v>
      </c>
      <c r="CC19" s="1882" t="str">
        <f>'SUB LIST'!Q114</f>
        <v>Unconsented pollution incidents (cat 1, 2 and 3) STWs, storm tanks, pumping stations and other</v>
      </c>
      <c r="CD19" s="1882" t="str">
        <f>'SUB LIST'!T114</f>
        <v>nr</v>
      </c>
      <c r="CE19" s="1882" t="str">
        <f>'SUB LIST'!U114</f>
        <v>0</v>
      </c>
      <c r="CF19" s="1882">
        <f>'SUB LIST'!AY114</f>
        <v>45</v>
      </c>
      <c r="CG19" s="1882" t="str">
        <f>'SUB LIST'!A138</f>
        <v>PR14UUWSWW_S-A1</v>
      </c>
      <c r="CH19" s="1882" t="str">
        <f>'SUB LIST'!P138</f>
        <v>04</v>
      </c>
      <c r="CI19" s="1882" t="str">
        <f>'SUB LIST'!Q138</f>
        <v>Properties flooded internally</v>
      </c>
      <c r="CJ19" s="1882" t="str">
        <f>'SUB LIST'!T138</f>
        <v>nr</v>
      </c>
      <c r="CK19" s="1882" t="str">
        <f>'SUB LIST'!U138</f>
        <v>0</v>
      </c>
      <c r="CL19" s="1882">
        <f>'SUB LIST'!AY138</f>
        <v>308</v>
      </c>
      <c r="CM19" s="1882" t="str">
        <f>'SUB LIST'!A178</f>
        <v>PR14WSHWSWW_F1</v>
      </c>
      <c r="CN19" s="1882" t="str">
        <f>'SUB LIST'!P178</f>
        <v>04</v>
      </c>
      <c r="CO19" s="1882" t="str">
        <f>'SUB LIST'!Q178</f>
        <v>Properties flooded due to overloaded sewers excluding severe weather (nr)</v>
      </c>
      <c r="CP19" s="1882" t="str">
        <f>'SUB LIST'!T178</f>
        <v>nr</v>
      </c>
      <c r="CQ19" s="1882" t="str">
        <f>'SUB LIST'!U178</f>
        <v>0</v>
      </c>
      <c r="CR19" s="1882">
        <f>'SUB LIST'!AY178</f>
        <v>9</v>
      </c>
      <c r="CS19" s="1882"/>
      <c r="CT19" s="1882"/>
      <c r="CU19" s="1882"/>
      <c r="CV19" s="1882"/>
      <c r="CW19" s="1882"/>
      <c r="CX19" s="1882"/>
      <c r="CY19" s="1882" t="str">
        <f>'SUB LIST'!A200</f>
        <v>PR14YKYWSWW_SA4</v>
      </c>
      <c r="CZ19" s="1882" t="str">
        <f>'SUB LIST'!P200</f>
        <v>03</v>
      </c>
      <c r="DA19" s="1882" t="str">
        <f>'SUB LIST'!Q200</f>
        <v>Properties flooded due to other causes</v>
      </c>
      <c r="DB19" s="1882" t="str">
        <f>'SUB LIST'!T200</f>
        <v>nr</v>
      </c>
      <c r="DC19" s="1882" t="str">
        <f>'SUB LIST'!U200</f>
        <v>0</v>
      </c>
      <c r="DD19" s="1882">
        <f>'SUB LIST'!AY200</f>
        <v>393</v>
      </c>
    </row>
    <row r="20" spans="7:108">
      <c r="G20" s="1882"/>
      <c r="H20" s="1882"/>
      <c r="I20" s="1882"/>
      <c r="J20" s="1882"/>
      <c r="K20" s="1882"/>
      <c r="L20" s="1882"/>
      <c r="M20" s="1882"/>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c r="AL20" s="1882"/>
      <c r="AM20" s="1882"/>
      <c r="AN20" s="1882"/>
      <c r="AO20" s="1882"/>
      <c r="AP20" s="1882"/>
      <c r="AQ20" s="1882"/>
      <c r="AR20" s="1882"/>
      <c r="AS20" s="1882"/>
      <c r="AT20" s="1882"/>
      <c r="AU20" s="1882"/>
      <c r="AV20" s="1882"/>
      <c r="AW20" s="1882"/>
      <c r="AX20" s="1882"/>
      <c r="AY20" s="1882"/>
      <c r="AZ20" s="1882"/>
      <c r="BA20" s="1882"/>
      <c r="BB20" s="1882"/>
      <c r="BC20" s="1882"/>
      <c r="BD20" s="1882"/>
      <c r="BE20" s="1882"/>
      <c r="BF20" s="1882"/>
      <c r="BG20" s="1882"/>
      <c r="BH20" s="1882"/>
      <c r="BI20" s="1882"/>
      <c r="BJ20" s="1882"/>
      <c r="BK20" s="1882"/>
      <c r="BL20" s="1882"/>
      <c r="BM20" s="1882"/>
      <c r="BN20" s="1882"/>
      <c r="BO20" s="1882"/>
      <c r="BP20" s="1882"/>
      <c r="BQ20" s="1882"/>
      <c r="BR20" s="1882"/>
      <c r="BS20" s="1882"/>
      <c r="BT20" s="1882"/>
      <c r="BU20" s="1882" t="str">
        <f>'SUB LIST'!A91</f>
        <v>PR14SWTWSWW_S-A4</v>
      </c>
      <c r="BV20" s="1882" t="str">
        <f>'SUB LIST'!P91</f>
        <v>04</v>
      </c>
      <c r="BW20" s="1882" t="str">
        <f>'SUB LIST'!Q91</f>
        <v>Properties flooded due to overloaded sewers excluding severe weather</v>
      </c>
      <c r="BX20" s="1882" t="str">
        <f>'SUB LIST'!T91</f>
        <v>nr</v>
      </c>
      <c r="BY20" s="1882" t="str">
        <f>'SUB LIST'!U91</f>
        <v>0</v>
      </c>
      <c r="BZ20" s="1882">
        <f>'SUB LIST'!AY91</f>
        <v>1</v>
      </c>
      <c r="CA20" s="1882" t="str">
        <f>'SUB LIST'!A115</f>
        <v>PR14TMSWSWW_SB1</v>
      </c>
      <c r="CB20" s="1882" t="str">
        <f>'SUB LIST'!P115</f>
        <v>02</v>
      </c>
      <c r="CC20" s="1882" t="str">
        <f>'SUB LIST'!Q115</f>
        <v>Sewage treatment works discharges failing numeric consents %</v>
      </c>
      <c r="CD20" s="1882" t="str">
        <f>'SUB LIST'!T115</f>
        <v>%</v>
      </c>
      <c r="CE20" s="1882">
        <f>'SUB LIST'!U115</f>
        <v>2</v>
      </c>
      <c r="CF20" s="1882">
        <f>'SUB LIST'!AY115</f>
        <v>1.1499999999999999</v>
      </c>
      <c r="CG20" s="1882" t="str">
        <f>'SUB LIST'!A139</f>
        <v>PR14UUWSWW_S-A1</v>
      </c>
      <c r="CH20" s="1882" t="str">
        <f>'SUB LIST'!P139</f>
        <v>05</v>
      </c>
      <c r="CI20" s="1882" t="str">
        <f>'SUB LIST'!Q139</f>
        <v>Areas flooded externally</v>
      </c>
      <c r="CJ20" s="1882" t="str">
        <f>'SUB LIST'!T139</f>
        <v>nr</v>
      </c>
      <c r="CK20" s="1882" t="str">
        <f>'SUB LIST'!U139</f>
        <v>0</v>
      </c>
      <c r="CL20" s="1882">
        <f>'SUB LIST'!AY139</f>
        <v>3945</v>
      </c>
      <c r="CM20" s="1882" t="str">
        <f>'SUB LIST'!A179</f>
        <v>PR14WSHWSWW_F1</v>
      </c>
      <c r="CN20" s="1882" t="str">
        <f>'SUB LIST'!P179</f>
        <v>05</v>
      </c>
      <c r="CO20" s="1882" t="str">
        <f>'SUB LIST'!Q179</f>
        <v>Sewer blockages (nr)</v>
      </c>
      <c r="CP20" s="1882" t="str">
        <f>'SUB LIST'!T179</f>
        <v>nr</v>
      </c>
      <c r="CQ20" s="1882" t="str">
        <f>'SUB LIST'!U179</f>
        <v>0</v>
      </c>
      <c r="CR20" s="1882">
        <f>'SUB LIST'!AY179</f>
        <v>21979</v>
      </c>
      <c r="CS20" s="1882"/>
      <c r="CT20" s="1882"/>
      <c r="CU20" s="1882"/>
      <c r="CV20" s="1882"/>
      <c r="CW20" s="1882"/>
      <c r="CX20" s="1882"/>
      <c r="CY20" s="1882" t="str">
        <f>'SUB LIST'!A201</f>
        <v>PR14YKYWSWW_SA4</v>
      </c>
      <c r="CZ20" s="1882" t="str">
        <f>'SUB LIST'!P201</f>
        <v>04</v>
      </c>
      <c r="DA20" s="1882" t="str">
        <f>'SUB LIST'!Q201</f>
        <v>Properties flooded due to overloaded sewers, excluding severe weather</v>
      </c>
      <c r="DB20" s="1882" t="str">
        <f>'SUB LIST'!T201</f>
        <v>nr</v>
      </c>
      <c r="DC20" s="1882" t="str">
        <f>'SUB LIST'!U201</f>
        <v>0</v>
      </c>
      <c r="DD20" s="1882">
        <f>'SUB LIST'!AY201</f>
        <v>8</v>
      </c>
    </row>
    <row r="21" spans="7:108">
      <c r="G21" s="1882"/>
      <c r="H21" s="1882"/>
      <c r="I21" s="1882"/>
      <c r="J21" s="1882"/>
      <c r="K21" s="1882"/>
      <c r="L21" s="1882"/>
      <c r="M21" s="1882"/>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c r="AL21" s="1882"/>
      <c r="AM21" s="1882"/>
      <c r="AN21" s="1882"/>
      <c r="AO21" s="1882"/>
      <c r="AP21" s="1882"/>
      <c r="AQ21" s="1882"/>
      <c r="AR21" s="1882"/>
      <c r="AS21" s="1882"/>
      <c r="AT21" s="1882"/>
      <c r="AU21" s="1882"/>
      <c r="AV21" s="1882"/>
      <c r="AW21" s="1882"/>
      <c r="AX21" s="1882"/>
      <c r="AY21" s="1882"/>
      <c r="AZ21" s="1882"/>
      <c r="BA21" s="1882"/>
      <c r="BB21" s="1882"/>
      <c r="BC21" s="1882"/>
      <c r="BD21" s="1882"/>
      <c r="BE21" s="1882"/>
      <c r="BF21" s="1882"/>
      <c r="BG21" s="1882"/>
      <c r="BH21" s="1882"/>
      <c r="BI21" s="1882"/>
      <c r="BJ21" s="1882"/>
      <c r="BK21" s="1882"/>
      <c r="BL21" s="1882"/>
      <c r="BM21" s="1882"/>
      <c r="BN21" s="1882"/>
      <c r="BO21" s="1882"/>
      <c r="BP21" s="1882"/>
      <c r="BQ21" s="1882"/>
      <c r="BR21" s="1882"/>
      <c r="BS21" s="1882"/>
      <c r="BT21" s="1882"/>
      <c r="BU21" s="1882" t="str">
        <f>'SUB LIST'!A92</f>
        <v>PR14SWTWSWW_S-A4</v>
      </c>
      <c r="BV21" s="1882" t="str">
        <f>'SUB LIST'!P92</f>
        <v>05</v>
      </c>
      <c r="BW21" s="1882" t="str">
        <f>'SUB LIST'!Q92</f>
        <v>Sewer blockages</v>
      </c>
      <c r="BX21" s="1882" t="str">
        <f>'SUB LIST'!T92</f>
        <v>nr</v>
      </c>
      <c r="BY21" s="1882" t="str">
        <f>'SUB LIST'!U92</f>
        <v>0</v>
      </c>
      <c r="BZ21" s="1882">
        <f>'SUB LIST'!AY92</f>
        <v>3136</v>
      </c>
      <c r="CA21" s="1882" t="str">
        <f>'SUB LIST'!A116</f>
        <v>PR14TMSWSWW_SB1</v>
      </c>
      <c r="CB21" s="1882" t="str">
        <f>'SUB LIST'!P116</f>
        <v>03</v>
      </c>
      <c r="CC21" s="1882" t="str">
        <f>'SUB LIST'!Q116</f>
        <v>Total population equivalent served by sewage treatment works failing look-up table consents</v>
      </c>
      <c r="CD21" s="1882" t="str">
        <f>'SUB LIST'!T116</f>
        <v>%</v>
      </c>
      <c r="CE21" s="1882">
        <f>'SUB LIST'!U116</f>
        <v>2</v>
      </c>
      <c r="CF21" s="1882">
        <f>'SUB LIST'!AY116</f>
        <v>1E-4</v>
      </c>
      <c r="CG21" s="1882" t="str">
        <f>'SUB LIST'!A140</f>
        <v>PR14UUWSWW_S-A2</v>
      </c>
      <c r="CH21" s="1882" t="str">
        <f>'SUB LIST'!P140</f>
        <v>00</v>
      </c>
      <c r="CI21" s="1882" t="str">
        <f>'SUB LIST'!Q140</f>
        <v>S-A2: Wastewater network performance index</v>
      </c>
      <c r="CJ21" s="1882" t="str">
        <f>'SUB LIST'!T140</f>
        <v>score</v>
      </c>
      <c r="CK21" s="1882">
        <f>'SUB LIST'!U140</f>
        <v>2</v>
      </c>
      <c r="CL21" s="1882">
        <f>'SUB LIST'!AY140</f>
        <v>90.75</v>
      </c>
      <c r="CM21" s="1882" t="str">
        <f>'SUB LIST'!A180</f>
        <v>PR14WSHWSWW_F1</v>
      </c>
      <c r="CN21" s="1882" t="str">
        <f>'SUB LIST'!P180</f>
        <v>06</v>
      </c>
      <c r="CO21" s="1882" t="str">
        <f>'SUB LIST'!Q180</f>
        <v>Equipment failures (nr)</v>
      </c>
      <c r="CP21" s="1882" t="str">
        <f>'SUB LIST'!T180</f>
        <v>nr</v>
      </c>
      <c r="CQ21" s="1882" t="str">
        <f>'SUB LIST'!U180</f>
        <v>0</v>
      </c>
      <c r="CR21" s="1882">
        <f>'SUB LIST'!AY180</f>
        <v>54</v>
      </c>
      <c r="CS21" s="1882"/>
      <c r="CT21" s="1882"/>
      <c r="CU21" s="1882"/>
      <c r="CV21" s="1882"/>
      <c r="CW21" s="1882"/>
      <c r="CX21" s="1882"/>
      <c r="CY21" s="1882" t="str">
        <f>'SUB LIST'!A202</f>
        <v>PR14YKYWSWW_SA4</v>
      </c>
      <c r="CZ21" s="1882" t="str">
        <f>'SUB LIST'!P202</f>
        <v>05</v>
      </c>
      <c r="DA21" s="1882" t="str">
        <f>'SUB LIST'!Q202</f>
        <v>Sewer blockages</v>
      </c>
      <c r="DB21" s="1882" t="str">
        <f>'SUB LIST'!T202</f>
        <v>nr</v>
      </c>
      <c r="DC21" s="1882" t="str">
        <f>'SUB LIST'!U202</f>
        <v>0</v>
      </c>
      <c r="DD21" s="1882">
        <f>'SUB LIST'!AY202</f>
        <v>16860</v>
      </c>
    </row>
    <row r="22" spans="7:108">
      <c r="G22" s="1882"/>
      <c r="H22" s="1882"/>
      <c r="I22" s="1882"/>
      <c r="J22" s="1882"/>
      <c r="K22" s="1882"/>
      <c r="L22" s="1882"/>
      <c r="M22" s="1882"/>
      <c r="N22" s="1882"/>
      <c r="O22" s="1882"/>
      <c r="P22" s="1882"/>
      <c r="Q22" s="1882"/>
      <c r="R22" s="1882"/>
      <c r="S22" s="1882"/>
      <c r="T22" s="1882"/>
      <c r="U22" s="1882"/>
      <c r="V22" s="1882"/>
      <c r="W22" s="1882"/>
      <c r="X22" s="1882"/>
      <c r="Y22" s="1882"/>
      <c r="Z22" s="1882"/>
      <c r="AA22" s="1882"/>
      <c r="AB22" s="1882"/>
      <c r="AC22" s="1882"/>
      <c r="AD22" s="1882"/>
      <c r="AE22" s="1882"/>
      <c r="AF22" s="1882"/>
      <c r="AG22" s="1882"/>
      <c r="AH22" s="1882"/>
      <c r="AI22" s="1882"/>
      <c r="AJ22" s="1882"/>
      <c r="AK22" s="1882"/>
      <c r="AL22" s="1882"/>
      <c r="AM22" s="1882"/>
      <c r="AN22" s="1882"/>
      <c r="AO22" s="1882"/>
      <c r="AP22" s="1882"/>
      <c r="AQ22" s="1882"/>
      <c r="AR22" s="1882"/>
      <c r="AS22" s="1882"/>
      <c r="AT22" s="1882"/>
      <c r="AU22" s="1882"/>
      <c r="AV22" s="1882"/>
      <c r="AW22" s="1882"/>
      <c r="AX22" s="1882"/>
      <c r="AY22" s="1882"/>
      <c r="AZ22" s="1882"/>
      <c r="BA22" s="1882"/>
      <c r="BB22" s="1882"/>
      <c r="BC22" s="1882"/>
      <c r="BD22" s="1882"/>
      <c r="BE22" s="1882"/>
      <c r="BF22" s="1882"/>
      <c r="BG22" s="1882"/>
      <c r="BH22" s="1882"/>
      <c r="BI22" s="1882"/>
      <c r="BJ22" s="1882"/>
      <c r="BK22" s="1882"/>
      <c r="BL22" s="1882"/>
      <c r="BM22" s="1882"/>
      <c r="BN22" s="1882"/>
      <c r="BO22" s="1882"/>
      <c r="BP22" s="1882"/>
      <c r="BQ22" s="1882"/>
      <c r="BR22" s="1882"/>
      <c r="BS22" s="1882"/>
      <c r="BT22" s="1882"/>
      <c r="BU22" s="1882" t="str">
        <f>'SUB LIST'!A93</f>
        <v>PR14SWTWSWW_S-A4</v>
      </c>
      <c r="BV22" s="1882" t="str">
        <f>'SUB LIST'!P93</f>
        <v>06</v>
      </c>
      <c r="BW22" s="1882" t="str">
        <f>'SUB LIST'!Q93</f>
        <v>Equipment failures</v>
      </c>
      <c r="BX22" s="1882" t="str">
        <f>'SUB LIST'!T93</f>
        <v>nr</v>
      </c>
      <c r="BY22" s="1882" t="str">
        <f>'SUB LIST'!U93</f>
        <v>0</v>
      </c>
      <c r="BZ22" s="1882">
        <f>'SUB LIST'!AY93</f>
        <v>126</v>
      </c>
      <c r="CA22" s="1882" t="str">
        <f>'SUB LIST'!A117</f>
        <v>PR14TMSWSWW_SB2</v>
      </c>
      <c r="CB22" s="1882" t="str">
        <f>'SUB LIST'!P117</f>
        <v>00</v>
      </c>
      <c r="CC22" s="1882" t="str">
        <f>'SUB LIST'!Q117</f>
        <v>SB2: Asset health wastewater infrastructure</v>
      </c>
      <c r="CD22" s="1882" t="str">
        <f>'SUB LIST'!T117</f>
        <v>category</v>
      </c>
      <c r="CE22" s="1882" t="str">
        <f>'SUB LIST'!U117</f>
        <v>na</v>
      </c>
      <c r="CF22" s="1882" t="str">
        <f>'SUB LIST'!AY117</f>
        <v>Stable</v>
      </c>
      <c r="CG22" s="1882" t="str">
        <f>'SUB LIST'!A141</f>
        <v>PR14UUWSWW_S-A2</v>
      </c>
      <c r="CH22" s="1882" t="str">
        <f>'SUB LIST'!P141</f>
        <v>01</v>
      </c>
      <c r="CI22" s="1882" t="str">
        <f>'SUB LIST'!Q141</f>
        <v>Blockages</v>
      </c>
      <c r="CJ22" s="1882" t="str">
        <f>'SUB LIST'!T141</f>
        <v>nr</v>
      </c>
      <c r="CK22" s="1882" t="str">
        <f>'SUB LIST'!U141</f>
        <v>0</v>
      </c>
      <c r="CL22" s="1882">
        <f>'SUB LIST'!AY141</f>
        <v>7276</v>
      </c>
      <c r="CM22" s="1882" t="str">
        <f>'SUB LIST'!A181</f>
        <v>PR14WSHWSWW_F1</v>
      </c>
      <c r="CN22" s="1882" t="str">
        <f>'SUB LIST'!P181</f>
        <v>07</v>
      </c>
      <c r="CO22" s="1882" t="str">
        <f>'SUB LIST'!Q181</f>
        <v>Sewage Treatment Works (STW) % non-compliance</v>
      </c>
      <c r="CP22" s="1882" t="str">
        <f>'SUB LIST'!T181</f>
        <v>%</v>
      </c>
      <c r="CQ22" s="1882">
        <f>'SUB LIST'!U181</f>
        <v>2</v>
      </c>
      <c r="CR22" s="1882">
        <f>'SUB LIST'!AY181</f>
        <v>0.36</v>
      </c>
      <c r="CS22" s="1882"/>
      <c r="CT22" s="1882"/>
      <c r="CU22" s="1882"/>
      <c r="CV22" s="1882"/>
      <c r="CW22" s="1882"/>
      <c r="CX22" s="1882"/>
      <c r="CY22" s="1882" t="str">
        <f>'SUB LIST'!A203</f>
        <v>PR14YKYWSWW_SA4</v>
      </c>
      <c r="CZ22" s="1882" t="str">
        <f>'SUB LIST'!P203</f>
        <v>06</v>
      </c>
      <c r="DA22" s="1882" t="str">
        <f>'SUB LIST'!Q203</f>
        <v>Reactive equipment failures</v>
      </c>
      <c r="DB22" s="1882" t="str">
        <f>'SUB LIST'!T203</f>
        <v>nr</v>
      </c>
      <c r="DC22" s="1882" t="str">
        <f>'SUB LIST'!U203</f>
        <v>0</v>
      </c>
      <c r="DD22" s="1882">
        <f>'SUB LIST'!AY203</f>
        <v>3537</v>
      </c>
    </row>
    <row r="23" spans="7:108">
      <c r="G23" s="1882"/>
      <c r="H23" s="1882"/>
      <c r="I23" s="1882"/>
      <c r="J23" s="1882"/>
      <c r="K23" s="1882"/>
      <c r="L23" s="1882"/>
      <c r="M23" s="1882"/>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c r="AL23" s="1882"/>
      <c r="AM23" s="1882"/>
      <c r="AN23" s="1882"/>
      <c r="AO23" s="1882"/>
      <c r="AP23" s="1882"/>
      <c r="AQ23" s="1882"/>
      <c r="AR23" s="1882"/>
      <c r="AS23" s="1882"/>
      <c r="AT23" s="1882"/>
      <c r="AU23" s="1882"/>
      <c r="AV23" s="1882"/>
      <c r="AW23" s="1882"/>
      <c r="AX23" s="1882"/>
      <c r="AY23" s="1882"/>
      <c r="AZ23" s="1882"/>
      <c r="BA23" s="1882"/>
      <c r="BB23" s="1882"/>
      <c r="BC23" s="1882"/>
      <c r="BD23" s="1882"/>
      <c r="BE23" s="1882"/>
      <c r="BF23" s="1882"/>
      <c r="BG23" s="1882"/>
      <c r="BH23" s="1882"/>
      <c r="BI23" s="1882"/>
      <c r="BJ23" s="1882"/>
      <c r="BK23" s="1882"/>
      <c r="BL23" s="1882"/>
      <c r="BM23" s="1882"/>
      <c r="BN23" s="1882"/>
      <c r="BO23" s="1882"/>
      <c r="BP23" s="1882"/>
      <c r="BQ23" s="1882"/>
      <c r="BR23" s="1882"/>
      <c r="BS23" s="1882"/>
      <c r="BT23" s="1882"/>
      <c r="BU23" s="1882" t="str">
        <f>'SUB LIST'!A94</f>
        <v>PR14SWTWSWW_S-A5</v>
      </c>
      <c r="BV23" s="1882" t="str">
        <f>'SUB LIST'!P94</f>
        <v>00</v>
      </c>
      <c r="BW23" s="1882" t="str">
        <f>'SUB LIST'!Q94</f>
        <v>S-A5 Asset reliability (process)</v>
      </c>
      <c r="BX23" s="1882" t="str">
        <f>'SUB LIST'!T94</f>
        <v>category</v>
      </c>
      <c r="BY23" s="1882" t="str">
        <f>'SUB LIST'!U94</f>
        <v>na</v>
      </c>
      <c r="BZ23" s="1882" t="str">
        <f>'SUB LIST'!AY94</f>
        <v>Stable</v>
      </c>
      <c r="CA23" s="1882" t="str">
        <f>'SUB LIST'!A118</f>
        <v>PR14TMSWSWW_SB2</v>
      </c>
      <c r="CB23" s="1882" t="str">
        <f>'SUB LIST'!P118</f>
        <v>01</v>
      </c>
      <c r="CC23" s="1882" t="str">
        <f>'SUB LIST'!Q118</f>
        <v>Number of sewer collapses</v>
      </c>
      <c r="CD23" s="1882" t="str">
        <f>'SUB LIST'!T118</f>
        <v>nr</v>
      </c>
      <c r="CE23" s="1882" t="str">
        <f>'SUB LIST'!U118</f>
        <v>0</v>
      </c>
      <c r="CF23" s="1882">
        <f>'SUB LIST'!AY118</f>
        <v>365</v>
      </c>
      <c r="CG23" s="1882" t="str">
        <f>'SUB LIST'!A142</f>
        <v>PR14UUWSWW_S-A2</v>
      </c>
      <c r="CH23" s="1882" t="str">
        <f>'SUB LIST'!P142</f>
        <v>02</v>
      </c>
      <c r="CI23" s="1882" t="str">
        <f>'SUB LIST'!Q142</f>
        <v>Collapses</v>
      </c>
      <c r="CJ23" s="1882" t="str">
        <f>'SUB LIST'!T142</f>
        <v>nr</v>
      </c>
      <c r="CK23" s="1882" t="str">
        <f>'SUB LIST'!U142</f>
        <v>0</v>
      </c>
      <c r="CL23" s="1882">
        <f>'SUB LIST'!AY142</f>
        <v>239</v>
      </c>
      <c r="CM23" s="1882" t="str">
        <f>'SUB LIST'!A182</f>
        <v>PR14WSHWSWW_F1</v>
      </c>
      <c r="CN23" s="1882" t="str">
        <f>'SUB LIST'!P182</f>
        <v>08</v>
      </c>
      <c r="CO23" s="1882" t="str">
        <f>'SUB LIST'!Q182</f>
        <v>Population equivalent (PE) % non-compliance</v>
      </c>
      <c r="CP23" s="1882" t="str">
        <f>'SUB LIST'!T182</f>
        <v>%</v>
      </c>
      <c r="CQ23" s="1882">
        <f>'SUB LIST'!U182</f>
        <v>2</v>
      </c>
      <c r="CR23" s="1882">
        <f>'SUB LIST'!AY182</f>
        <v>0</v>
      </c>
      <c r="CS23" s="1882"/>
      <c r="CT23" s="1882"/>
      <c r="CU23" s="1882"/>
      <c r="CV23" s="1882"/>
      <c r="CW23" s="1882"/>
      <c r="CX23" s="1882"/>
      <c r="CY23" s="1882" t="str">
        <f>'SUB LIST'!A204</f>
        <v>PR14YKYWSWW_SB2</v>
      </c>
      <c r="CZ23" s="1882" t="str">
        <f>'SUB LIST'!P204</f>
        <v>00</v>
      </c>
      <c r="DA23" s="1882" t="str">
        <f>'SUB LIST'!Q204</f>
        <v>SB2: Wastewater quality stability and reliability factor</v>
      </c>
      <c r="DB23" s="1882" t="str">
        <f>'SUB LIST'!T204</f>
        <v>category</v>
      </c>
      <c r="DC23" s="1882" t="str">
        <f>'SUB LIST'!U204</f>
        <v>na</v>
      </c>
      <c r="DD23" s="1882" t="str">
        <f>'SUB LIST'!AY204</f>
        <v>Stable</v>
      </c>
    </row>
    <row r="24" spans="7:108">
      <c r="G24" s="1882"/>
      <c r="H24" s="1882"/>
      <c r="I24" s="1882"/>
      <c r="J24" s="1882"/>
      <c r="K24" s="1882"/>
      <c r="L24" s="1882"/>
      <c r="M24" s="1882"/>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c r="AL24" s="1882"/>
      <c r="AM24" s="1882"/>
      <c r="AN24" s="1882"/>
      <c r="AO24" s="1882"/>
      <c r="AP24" s="1882"/>
      <c r="AQ24" s="1882"/>
      <c r="AR24" s="1882"/>
      <c r="AS24" s="1882"/>
      <c r="AT24" s="1882"/>
      <c r="AU24" s="1882"/>
      <c r="AV24" s="1882"/>
      <c r="AW24" s="1882"/>
      <c r="AX24" s="1882"/>
      <c r="AY24" s="1882"/>
      <c r="AZ24" s="1882"/>
      <c r="BA24" s="1882"/>
      <c r="BB24" s="1882"/>
      <c r="BC24" s="1882"/>
      <c r="BD24" s="1882"/>
      <c r="BE24" s="1882"/>
      <c r="BF24" s="1882"/>
      <c r="BG24" s="1882"/>
      <c r="BH24" s="1882"/>
      <c r="BI24" s="1882"/>
      <c r="BJ24" s="1882"/>
      <c r="BK24" s="1882"/>
      <c r="BL24" s="1882"/>
      <c r="BM24" s="1882"/>
      <c r="BN24" s="1882"/>
      <c r="BO24" s="1882"/>
      <c r="BP24" s="1882"/>
      <c r="BQ24" s="1882"/>
      <c r="BR24" s="1882"/>
      <c r="BS24" s="1882"/>
      <c r="BT24" s="1882"/>
      <c r="BU24" s="1882" t="str">
        <f>'SUB LIST'!A95</f>
        <v>PR14SWTWSWW_S-A5</v>
      </c>
      <c r="BV24" s="1882" t="str">
        <f>'SUB LIST'!P95</f>
        <v>01</v>
      </c>
      <c r="BW24" s="1882" t="str">
        <f>'SUB LIST'!Q95</f>
        <v>Sewage treatment works (STW) non-compliance</v>
      </c>
      <c r="BX24" s="1882" t="str">
        <f>'SUB LIST'!T95</f>
        <v>%</v>
      </c>
      <c r="BY24" s="1882">
        <f>'SUB LIST'!U95</f>
        <v>2</v>
      </c>
      <c r="BZ24" s="1882">
        <f>'SUB LIST'!AY95</f>
        <v>1.3029315960912058</v>
      </c>
      <c r="CA24" s="1882" t="str">
        <f>'SUB LIST'!A119</f>
        <v>PR14TMSWSWW_SB2</v>
      </c>
      <c r="CB24" s="1882" t="str">
        <f>'SUB LIST'!P119</f>
        <v>02</v>
      </c>
      <c r="CC24" s="1882" t="str">
        <f>'SUB LIST'!Q119</f>
        <v>Number of sewer blockages</v>
      </c>
      <c r="CD24" s="1882" t="str">
        <f>'SUB LIST'!T119</f>
        <v>nr</v>
      </c>
      <c r="CE24" s="1882" t="str">
        <f>'SUB LIST'!U119</f>
        <v>0</v>
      </c>
      <c r="CF24" s="1882">
        <f>'SUB LIST'!AY119</f>
        <v>79702</v>
      </c>
      <c r="CG24" s="1882" t="str">
        <f>'SUB LIST'!A143</f>
        <v>PR14UUWSWW_S-A2</v>
      </c>
      <c r="CH24" s="1882" t="str">
        <f>'SUB LIST'!P143</f>
        <v>03</v>
      </c>
      <c r="CI24" s="1882" t="str">
        <f>'SUB LIST'!Q143</f>
        <v>Rising main bursts</v>
      </c>
      <c r="CJ24" s="1882" t="str">
        <f>'SUB LIST'!T143</f>
        <v>nr</v>
      </c>
      <c r="CK24" s="1882" t="str">
        <f>'SUB LIST'!U143</f>
        <v>0</v>
      </c>
      <c r="CL24" s="1882">
        <f>'SUB LIST'!AY143</f>
        <v>53</v>
      </c>
      <c r="CM24" s="1882" t="str">
        <f>'SUB LIST'!A183</f>
        <v>PR14WSHWSWW_F1</v>
      </c>
      <c r="CN24" s="1882" t="str">
        <f>'SUB LIST'!P183</f>
        <v>09</v>
      </c>
      <c r="CO24" s="1882" t="str">
        <f>'SUB LIST'!Q183</f>
        <v>Unplanned maintenance (nr)</v>
      </c>
      <c r="CP24" s="1882" t="str">
        <f>'SUB LIST'!T183</f>
        <v>nr</v>
      </c>
      <c r="CQ24" s="1882" t="str">
        <f>'SUB LIST'!U183</f>
        <v>0</v>
      </c>
      <c r="CR24" s="1882">
        <f>'SUB LIST'!AY183</f>
        <v>37280</v>
      </c>
      <c r="CS24" s="1882"/>
      <c r="CT24" s="1882"/>
      <c r="CU24" s="1882"/>
      <c r="CV24" s="1882"/>
      <c r="CW24" s="1882"/>
      <c r="CX24" s="1882"/>
      <c r="CY24" s="1882" t="str">
        <f>'SUB LIST'!A205</f>
        <v>PR14YKYWSWW_SB2</v>
      </c>
      <c r="CZ24" s="1882" t="str">
        <f>'SUB LIST'!P205</f>
        <v>01</v>
      </c>
      <c r="DA24" s="1882" t="str">
        <f>'SUB LIST'!Q205</f>
        <v>Sewage treatment works non-compliance</v>
      </c>
      <c r="DB24" s="1882" t="str">
        <f>'SUB LIST'!T205</f>
        <v>nr</v>
      </c>
      <c r="DC24" s="1882" t="str">
        <f>'SUB LIST'!U205</f>
        <v>0</v>
      </c>
      <c r="DD24" s="1882">
        <f>'SUB LIST'!AY205</f>
        <v>6</v>
      </c>
    </row>
    <row r="25" spans="7:108">
      <c r="G25" s="1882"/>
      <c r="H25" s="1882"/>
      <c r="I25" s="1882"/>
      <c r="J25" s="1882"/>
      <c r="K25" s="1882"/>
      <c r="L25" s="1882"/>
      <c r="M25" s="1882"/>
      <c r="N25" s="1882"/>
      <c r="O25" s="1882"/>
      <c r="P25" s="1882"/>
      <c r="Q25" s="1882"/>
      <c r="R25" s="1882"/>
      <c r="S25" s="1882"/>
      <c r="T25" s="1882"/>
      <c r="U25" s="1882"/>
      <c r="V25" s="1882"/>
      <c r="W25" s="1882"/>
      <c r="X25" s="1882"/>
      <c r="Y25" s="1882"/>
      <c r="Z25" s="1882"/>
      <c r="AA25" s="1882"/>
      <c r="AB25" s="1882"/>
      <c r="AC25" s="1882"/>
      <c r="AD25" s="1882"/>
      <c r="AE25" s="1882"/>
      <c r="AF25" s="1882"/>
      <c r="AG25" s="1882"/>
      <c r="AH25" s="1882"/>
      <c r="AI25" s="1882"/>
      <c r="AJ25" s="1882"/>
      <c r="AK25" s="1882"/>
      <c r="AL25" s="1882"/>
      <c r="AM25" s="1882"/>
      <c r="AN25" s="1882"/>
      <c r="AO25" s="1882"/>
      <c r="AP25" s="1882"/>
      <c r="AQ25" s="1882"/>
      <c r="AR25" s="1882"/>
      <c r="AS25" s="1882"/>
      <c r="AT25" s="1882"/>
      <c r="AU25" s="1882"/>
      <c r="AV25" s="1882"/>
      <c r="AW25" s="1882"/>
      <c r="AX25" s="1882"/>
      <c r="AY25" s="1882"/>
      <c r="AZ25" s="1882"/>
      <c r="BA25" s="1882"/>
      <c r="BB25" s="1882"/>
      <c r="BC25" s="1882"/>
      <c r="BD25" s="1882"/>
      <c r="BE25" s="1882"/>
      <c r="BF25" s="1882"/>
      <c r="BG25" s="1882"/>
      <c r="BH25" s="1882"/>
      <c r="BI25" s="1882"/>
      <c r="BJ25" s="1882"/>
      <c r="BK25" s="1882"/>
      <c r="BL25" s="1882"/>
      <c r="BM25" s="1882"/>
      <c r="BN25" s="1882"/>
      <c r="BO25" s="1882"/>
      <c r="BP25" s="1882"/>
      <c r="BQ25" s="1882"/>
      <c r="BR25" s="1882"/>
      <c r="BS25" s="1882"/>
      <c r="BT25" s="1882"/>
      <c r="BU25" s="1882" t="str">
        <f>'SUB LIST'!A96</f>
        <v>PR14SWTWSWW_S-A5</v>
      </c>
      <c r="BV25" s="1882" t="str">
        <f>'SUB LIST'!P96</f>
        <v>02</v>
      </c>
      <c r="BW25" s="1882" t="str">
        <f>'SUB LIST'!Q96</f>
        <v>Population equivalent (PE) non-compliance</v>
      </c>
      <c r="BX25" s="1882" t="str">
        <f>'SUB LIST'!T96</f>
        <v>%</v>
      </c>
      <c r="BY25" s="1882">
        <f>'SUB LIST'!U96</f>
        <v>2</v>
      </c>
      <c r="BZ25" s="1882">
        <f>'SUB LIST'!AY96</f>
        <v>0.10933791973831708</v>
      </c>
      <c r="CA25" s="1882" t="str">
        <f>'SUB LIST'!A120</f>
        <v>PR14TMSWSWW_SB2</v>
      </c>
      <c r="CB25" s="1882" t="str">
        <f>'SUB LIST'!P120</f>
        <v>03</v>
      </c>
      <c r="CC25" s="1882" t="str">
        <f>'SUB LIST'!Q120</f>
        <v>Pollution incidents (cat 1-3)</v>
      </c>
      <c r="CD25" s="1882" t="str">
        <f>'SUB LIST'!T120</f>
        <v>nr</v>
      </c>
      <c r="CE25" s="1882" t="str">
        <f>'SUB LIST'!U120</f>
        <v>0</v>
      </c>
      <c r="CF25" s="1882">
        <f>'SUB LIST'!AY120</f>
        <v>204</v>
      </c>
      <c r="CG25" s="1882" t="str">
        <f>'SUB LIST'!A144</f>
        <v>PR14UUWSWW_S-A2</v>
      </c>
      <c r="CH25" s="1882" t="str">
        <f>'SUB LIST'!P144</f>
        <v>04</v>
      </c>
      <c r="CI25" s="1882" t="str">
        <f>'SUB LIST'!Q144</f>
        <v>Equipment failures</v>
      </c>
      <c r="CJ25" s="1882" t="str">
        <f>'SUB LIST'!T144</f>
        <v>nr</v>
      </c>
      <c r="CK25" s="1882" t="str">
        <f>'SUB LIST'!U144</f>
        <v>0</v>
      </c>
      <c r="CL25" s="1882">
        <f>'SUB LIST'!AY144</f>
        <v>3613</v>
      </c>
      <c r="CM25" s="1882"/>
      <c r="CN25" s="1882"/>
      <c r="CO25" s="1882"/>
      <c r="CP25" s="1882"/>
      <c r="CQ25" s="1882"/>
      <c r="CR25" s="1882"/>
      <c r="CS25" s="1882"/>
      <c r="CT25" s="1882"/>
      <c r="CU25" s="1882"/>
      <c r="CV25" s="1882"/>
      <c r="CW25" s="1882"/>
      <c r="CX25" s="1882"/>
      <c r="CY25" s="1882" t="str">
        <f>'SUB LIST'!A206</f>
        <v>PR14YKYWSWW_SB2</v>
      </c>
      <c r="CZ25" s="1882" t="str">
        <f>'SUB LIST'!P206</f>
        <v>02</v>
      </c>
      <c r="DA25" s="1882" t="str">
        <f>'SUB LIST'!Q206</f>
        <v>Population equivalent non-compliance</v>
      </c>
      <c r="DB25" s="1882" t="str">
        <f>'SUB LIST'!T206</f>
        <v>%</v>
      </c>
      <c r="DC25" s="1882">
        <f>'SUB LIST'!U206</f>
        <v>1</v>
      </c>
      <c r="DD25" s="1882">
        <f>'SUB LIST'!AY206</f>
        <v>0</v>
      </c>
    </row>
    <row r="26" spans="7:108">
      <c r="G26" s="1882"/>
      <c r="H26" s="1882"/>
      <c r="I26" s="1882"/>
      <c r="J26" s="1882"/>
      <c r="K26" s="1882"/>
      <c r="L26" s="1882"/>
      <c r="M26" s="1882"/>
      <c r="N26" s="1882"/>
      <c r="O26" s="1882"/>
      <c r="P26" s="1882"/>
      <c r="Q26" s="1882"/>
      <c r="R26" s="1882"/>
      <c r="S26" s="1882"/>
      <c r="T26" s="1882"/>
      <c r="U26" s="1882"/>
      <c r="V26" s="1882"/>
      <c r="W26" s="1882"/>
      <c r="X26" s="1882"/>
      <c r="Y26" s="1882"/>
      <c r="Z26" s="1882"/>
      <c r="AA26" s="1882"/>
      <c r="AB26" s="1882"/>
      <c r="AC26" s="1882"/>
      <c r="AD26" s="1882"/>
      <c r="AE26" s="1882"/>
      <c r="AF26" s="1882"/>
      <c r="AG26" s="1882"/>
      <c r="AH26" s="1882"/>
      <c r="AI26" s="1882"/>
      <c r="AJ26" s="1882"/>
      <c r="AK26" s="1882"/>
      <c r="AL26" s="1882"/>
      <c r="AM26" s="1882"/>
      <c r="AN26" s="1882"/>
      <c r="AO26" s="1882"/>
      <c r="AP26" s="1882"/>
      <c r="AQ26" s="1882"/>
      <c r="AR26" s="1882"/>
      <c r="AS26" s="1882"/>
      <c r="AT26" s="1882"/>
      <c r="AU26" s="1882"/>
      <c r="AV26" s="1882"/>
      <c r="AW26" s="1882"/>
      <c r="AX26" s="1882"/>
      <c r="AY26" s="1882"/>
      <c r="AZ26" s="1882"/>
      <c r="BA26" s="1882"/>
      <c r="BB26" s="1882"/>
      <c r="BC26" s="1882"/>
      <c r="BD26" s="1882"/>
      <c r="BE26" s="1882"/>
      <c r="BF26" s="1882"/>
      <c r="BG26" s="1882"/>
      <c r="BH26" s="1882"/>
      <c r="BI26" s="1882"/>
      <c r="BJ26" s="1882"/>
      <c r="BK26" s="1882"/>
      <c r="BL26" s="1882"/>
      <c r="BM26" s="1882"/>
      <c r="BN26" s="1882"/>
      <c r="BO26" s="1882"/>
      <c r="BP26" s="1882"/>
      <c r="BQ26" s="1882"/>
      <c r="BR26" s="1882"/>
      <c r="BS26" s="1882"/>
      <c r="BT26" s="1882"/>
      <c r="BU26" s="1882" t="str">
        <f>'SUB LIST'!A97</f>
        <v>PR14SWTWSWW_S-A5</v>
      </c>
      <c r="BV26" s="1882" t="str">
        <f>'SUB LIST'!P97</f>
        <v>03</v>
      </c>
      <c r="BW26" s="1882" t="str">
        <f>'SUB LIST'!Q97</f>
        <v>Unplanned maintenance</v>
      </c>
      <c r="BX26" s="1882" t="str">
        <f>'SUB LIST'!T97</f>
        <v>nr</v>
      </c>
      <c r="BY26" s="1882" t="str">
        <f>'SUB LIST'!U97</f>
        <v>0</v>
      </c>
      <c r="BZ26" s="1882">
        <f>'SUB LIST'!AY97</f>
        <v>7073</v>
      </c>
      <c r="CA26" s="1882" t="str">
        <f>'SUB LIST'!A121</f>
        <v>PR14TMSWSWW_SB2</v>
      </c>
      <c r="CB26" s="1882" t="str">
        <f>'SUB LIST'!P121</f>
        <v>04</v>
      </c>
      <c r="CC26" s="1882" t="str">
        <f>'SUB LIST'!Q121</f>
        <v>Properties internally flooded</v>
      </c>
      <c r="CD26" s="1882" t="str">
        <f>'SUB LIST'!T121</f>
        <v>nr</v>
      </c>
      <c r="CE26" s="1882" t="str">
        <f>'SUB LIST'!U121</f>
        <v>0</v>
      </c>
      <c r="CF26" s="1882">
        <f>'SUB LIST'!AY121</f>
        <v>968</v>
      </c>
      <c r="CG26" s="1882" t="str">
        <f>'SUB LIST'!A145</f>
        <v>PR14UUWSWW_S-B2</v>
      </c>
      <c r="CH26" s="1882" t="str">
        <f>'SUB LIST'!P145</f>
        <v>00</v>
      </c>
      <c r="CI26" s="1882" t="str">
        <f>'SUB LIST'!Q145</f>
        <v>S-B2: Sewer flooding index</v>
      </c>
      <c r="CJ26" s="1882" t="str">
        <f>'SUB LIST'!T145</f>
        <v>score</v>
      </c>
      <c r="CK26" s="1882">
        <f>'SUB LIST'!U145</f>
        <v>1</v>
      </c>
      <c r="CL26" s="1882">
        <f>'SUB LIST'!AY145</f>
        <v>61.66</v>
      </c>
      <c r="CM26" s="1882"/>
      <c r="CN26" s="1882"/>
      <c r="CO26" s="1882"/>
      <c r="CP26" s="1882"/>
      <c r="CQ26" s="1882"/>
      <c r="CR26" s="1882"/>
      <c r="CS26" s="1882"/>
      <c r="CT26" s="1882"/>
      <c r="CU26" s="1882"/>
      <c r="CV26" s="1882"/>
      <c r="CW26" s="1882"/>
      <c r="CX26" s="1882"/>
      <c r="CY26" s="1882" t="str">
        <f>'SUB LIST'!A207</f>
        <v>PR14YKYWSWW_SB2</v>
      </c>
      <c r="CZ26" s="1882" t="str">
        <f>'SUB LIST'!P207</f>
        <v>03</v>
      </c>
      <c r="DA26" s="1882" t="str">
        <f>'SUB LIST'!Q207</f>
        <v>Reactive equipment failures</v>
      </c>
      <c r="DB26" s="1882" t="str">
        <f>'SUB LIST'!T207</f>
        <v>nr</v>
      </c>
      <c r="DC26" s="1882" t="str">
        <f>'SUB LIST'!U207</f>
        <v>0</v>
      </c>
      <c r="DD26" s="1882">
        <f>'SUB LIST'!AY207</f>
        <v>10035</v>
      </c>
    </row>
    <row r="27" spans="7:108">
      <c r="G27" s="1882"/>
      <c r="H27" s="1882"/>
      <c r="I27" s="1882"/>
      <c r="J27" s="1882"/>
      <c r="K27" s="1882"/>
      <c r="L27" s="1882"/>
      <c r="M27" s="1882"/>
      <c r="N27" s="1882"/>
      <c r="O27" s="1882"/>
      <c r="P27" s="1882"/>
      <c r="Q27" s="1882"/>
      <c r="R27" s="1882"/>
      <c r="S27" s="1882"/>
      <c r="T27" s="1882"/>
      <c r="U27" s="1882"/>
      <c r="V27" s="1882"/>
      <c r="W27" s="1882"/>
      <c r="X27" s="1882"/>
      <c r="Y27" s="1882"/>
      <c r="Z27" s="1882"/>
      <c r="AA27" s="1882"/>
      <c r="AB27" s="1882"/>
      <c r="AC27" s="1882"/>
      <c r="AD27" s="1882"/>
      <c r="AE27" s="1882"/>
      <c r="AF27" s="1882"/>
      <c r="AG27" s="1882"/>
      <c r="AH27" s="1882"/>
      <c r="AI27" s="1882"/>
      <c r="AJ27" s="1882"/>
      <c r="AK27" s="1882"/>
      <c r="AL27" s="1882"/>
      <c r="AM27" s="1882"/>
      <c r="AN27" s="1882"/>
      <c r="AO27" s="1882"/>
      <c r="AP27" s="1882"/>
      <c r="AQ27" s="1882"/>
      <c r="AR27" s="1882"/>
      <c r="AS27" s="1882"/>
      <c r="AT27" s="1882"/>
      <c r="AU27" s="1882"/>
      <c r="AV27" s="1882"/>
      <c r="AW27" s="1882"/>
      <c r="AX27" s="1882"/>
      <c r="AY27" s="1882"/>
      <c r="AZ27" s="1882"/>
      <c r="BA27" s="1882"/>
      <c r="BB27" s="1882"/>
      <c r="BC27" s="1882"/>
      <c r="BD27" s="1882"/>
      <c r="BE27" s="1882"/>
      <c r="BF27" s="1882"/>
      <c r="BG27" s="1882"/>
      <c r="BH27" s="1882"/>
      <c r="BI27" s="1882"/>
      <c r="BJ27" s="1882"/>
      <c r="BK27" s="1882"/>
      <c r="BL27" s="1882"/>
      <c r="BM27" s="1882"/>
      <c r="BN27" s="1882"/>
      <c r="BO27" s="1882"/>
      <c r="BP27" s="1882"/>
      <c r="BQ27" s="1882"/>
      <c r="BR27" s="1882"/>
      <c r="BS27" s="1882"/>
      <c r="BT27" s="1882"/>
      <c r="BU27" s="1882"/>
      <c r="BV27" s="1882"/>
      <c r="BW27" s="1882"/>
      <c r="BX27" s="1882"/>
      <c r="BY27" s="1882"/>
      <c r="BZ27" s="1882"/>
      <c r="CA27" s="1882"/>
      <c r="CB27" s="1882"/>
      <c r="CC27" s="1882"/>
      <c r="CD27" s="1882"/>
      <c r="CE27" s="1882"/>
      <c r="CF27" s="1882"/>
      <c r="CG27" s="1882" t="str">
        <f>'SUB LIST'!A146</f>
        <v>PR14UUWSWW_S-B2</v>
      </c>
      <c r="CH27" s="1882" t="str">
        <f>'SUB LIST'!P146</f>
        <v>01</v>
      </c>
      <c r="CI27" s="1882" t="str">
        <f>'SUB LIST'!Q146</f>
        <v>Properties flooded due to other causes</v>
      </c>
      <c r="CJ27" s="1882" t="str">
        <f>'SUB LIST'!T146</f>
        <v>nr</v>
      </c>
      <c r="CK27" s="1882" t="str">
        <f>'SUB LIST'!U146</f>
        <v>0</v>
      </c>
      <c r="CL27" s="1882">
        <f>'SUB LIST'!AY146</f>
        <v>551</v>
      </c>
      <c r="CM27" s="1882"/>
      <c r="CN27" s="1882"/>
      <c r="CO27" s="1882"/>
      <c r="CP27" s="1882"/>
      <c r="CQ27" s="1882"/>
      <c r="CR27" s="1882"/>
      <c r="CS27" s="1882"/>
      <c r="CT27" s="1882"/>
      <c r="CU27" s="1882"/>
      <c r="CV27" s="1882"/>
      <c r="CW27" s="1882"/>
      <c r="CX27" s="1882"/>
      <c r="CY27" s="1882"/>
      <c r="CZ27" s="1882"/>
      <c r="DA27" s="1882"/>
      <c r="DB27" s="1882"/>
      <c r="DC27" s="1882"/>
      <c r="DD27" s="1882"/>
    </row>
    <row r="28" spans="7:108">
      <c r="G28" s="1882"/>
      <c r="H28" s="1882"/>
      <c r="I28" s="1882"/>
      <c r="J28" s="1882"/>
      <c r="K28" s="1882"/>
      <c r="L28" s="1882"/>
      <c r="M28" s="1882"/>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c r="AL28" s="1882"/>
      <c r="AM28" s="1882"/>
      <c r="AN28" s="1882"/>
      <c r="AO28" s="1882"/>
      <c r="AP28" s="1882"/>
      <c r="AQ28" s="1882"/>
      <c r="AR28" s="1882"/>
      <c r="AS28" s="1882"/>
      <c r="AT28" s="1882"/>
      <c r="AU28" s="1882"/>
      <c r="AV28" s="1882"/>
      <c r="AW28" s="1882"/>
      <c r="AX28" s="1882"/>
      <c r="AY28" s="1882"/>
      <c r="AZ28" s="1882"/>
      <c r="BA28" s="1882"/>
      <c r="BB28" s="1882"/>
      <c r="BC28" s="1882"/>
      <c r="BD28" s="1882"/>
      <c r="BE28" s="1882"/>
      <c r="BF28" s="1882"/>
      <c r="BG28" s="1882"/>
      <c r="BH28" s="1882"/>
      <c r="BI28" s="1882"/>
      <c r="BJ28" s="1882"/>
      <c r="BK28" s="1882"/>
      <c r="BL28" s="1882"/>
      <c r="BM28" s="1882"/>
      <c r="BN28" s="1882"/>
      <c r="BO28" s="1882"/>
      <c r="BP28" s="1882"/>
      <c r="BQ28" s="1882"/>
      <c r="BR28" s="1882"/>
      <c r="BS28" s="1882"/>
      <c r="BT28" s="1882"/>
      <c r="BU28" s="1882"/>
      <c r="BV28" s="1882"/>
      <c r="BW28" s="1882"/>
      <c r="BX28" s="1882"/>
      <c r="BY28" s="1882"/>
      <c r="BZ28" s="1882"/>
      <c r="CA28" s="1882"/>
      <c r="CB28" s="1882"/>
      <c r="CC28" s="1882"/>
      <c r="CD28" s="1882"/>
      <c r="CE28" s="1882"/>
      <c r="CF28" s="1882"/>
      <c r="CG28" s="1882" t="str">
        <f>'SUB LIST'!A147</f>
        <v>PR14UUWSWW_S-B2</v>
      </c>
      <c r="CH28" s="1882" t="str">
        <f>'SUB LIST'!P147</f>
        <v>02</v>
      </c>
      <c r="CI28" s="1882" t="str">
        <f>'SUB LIST'!Q147</f>
        <v>Properties flooded due to hydraulic overload</v>
      </c>
      <c r="CJ28" s="1882" t="str">
        <f>'SUB LIST'!T147</f>
        <v>nr</v>
      </c>
      <c r="CK28" s="1882" t="str">
        <f>'SUB LIST'!U147</f>
        <v>0</v>
      </c>
      <c r="CL28" s="1882">
        <f>'SUB LIST'!AY147</f>
        <v>15</v>
      </c>
      <c r="CM28" s="1882"/>
      <c r="CN28" s="1882"/>
      <c r="CO28" s="1882"/>
      <c r="CP28" s="1882"/>
      <c r="CQ28" s="1882"/>
      <c r="CR28" s="1882"/>
      <c r="CS28" s="1882"/>
      <c r="CT28" s="1882"/>
      <c r="CU28" s="1882"/>
      <c r="CV28" s="1882"/>
      <c r="CW28" s="1882"/>
      <c r="CX28" s="1882"/>
      <c r="CY28" s="1882"/>
      <c r="CZ28" s="1882"/>
      <c r="DA28" s="1882"/>
      <c r="DB28" s="1882"/>
      <c r="DC28" s="1882"/>
      <c r="DD28" s="1882"/>
    </row>
    <row r="29" spans="7:108">
      <c r="G29" s="1882"/>
      <c r="H29" s="1882"/>
      <c r="I29" s="1882"/>
      <c r="J29" s="1882"/>
      <c r="K29" s="1882"/>
      <c r="L29" s="1882"/>
      <c r="M29" s="1882"/>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c r="AL29" s="1882"/>
      <c r="AM29" s="1882"/>
      <c r="AN29" s="1882"/>
      <c r="AO29" s="1882"/>
      <c r="AP29" s="1882"/>
      <c r="AQ29" s="1882"/>
      <c r="AR29" s="1882"/>
      <c r="AS29" s="1882"/>
      <c r="AT29" s="1882"/>
      <c r="AU29" s="1882"/>
      <c r="AV29" s="1882"/>
      <c r="AW29" s="1882"/>
      <c r="AX29" s="1882"/>
      <c r="AY29" s="1882"/>
      <c r="AZ29" s="1882"/>
      <c r="BA29" s="1882"/>
      <c r="BB29" s="1882"/>
      <c r="BC29" s="1882"/>
      <c r="BD29" s="1882"/>
      <c r="BE29" s="1882"/>
      <c r="BF29" s="1882"/>
      <c r="BG29" s="1882"/>
      <c r="BH29" s="1882"/>
      <c r="BI29" s="1882"/>
      <c r="BJ29" s="1882"/>
      <c r="BK29" s="1882"/>
      <c r="BL29" s="1882"/>
      <c r="BM29" s="1882"/>
      <c r="BN29" s="1882"/>
      <c r="BO29" s="1882"/>
      <c r="BP29" s="1882"/>
      <c r="BQ29" s="1882"/>
      <c r="BR29" s="1882"/>
      <c r="BS29" s="1882"/>
      <c r="BT29" s="1882"/>
      <c r="BU29" s="1882"/>
      <c r="BV29" s="1882"/>
      <c r="BW29" s="1882"/>
      <c r="BX29" s="1882"/>
      <c r="BY29" s="1882"/>
      <c r="BZ29" s="1882"/>
      <c r="CA29" s="1882"/>
      <c r="CB29" s="1882"/>
      <c r="CC29" s="1882"/>
      <c r="CD29" s="1882"/>
      <c r="CE29" s="1882"/>
      <c r="CF29" s="1882"/>
      <c r="CG29" s="1882" t="str">
        <f>'SUB LIST'!A148</f>
        <v>PR14UUWSWW_S-B2</v>
      </c>
      <c r="CH29" s="1882" t="str">
        <f>'SUB LIST'!P148</f>
        <v>03</v>
      </c>
      <c r="CI29" s="1882" t="str">
        <f>'SUB LIST'!Q148</f>
        <v>Areas flooded due to other causes</v>
      </c>
      <c r="CJ29" s="1882" t="str">
        <f>'SUB LIST'!T148</f>
        <v>nr</v>
      </c>
      <c r="CK29" s="1882" t="str">
        <f>'SUB LIST'!U148</f>
        <v>0</v>
      </c>
      <c r="CL29" s="1882">
        <f>'SUB LIST'!AY148</f>
        <v>2849</v>
      </c>
      <c r="CM29" s="1882"/>
      <c r="CN29" s="1882"/>
      <c r="CO29" s="1882"/>
      <c r="CP29" s="1882"/>
      <c r="CQ29" s="1882"/>
      <c r="CR29" s="1882"/>
      <c r="CS29" s="1882"/>
      <c r="CT29" s="1882"/>
      <c r="CU29" s="1882"/>
      <c r="CV29" s="1882"/>
      <c r="CW29" s="1882"/>
      <c r="CX29" s="1882"/>
      <c r="CY29" s="1882"/>
      <c r="CZ29" s="1882"/>
      <c r="DA29" s="1882"/>
      <c r="DB29" s="1882"/>
      <c r="DC29" s="1882"/>
      <c r="DD29" s="1882"/>
    </row>
    <row r="30" spans="7:108">
      <c r="G30" s="1882"/>
      <c r="H30" s="1882"/>
      <c r="I30" s="1882"/>
      <c r="J30" s="1882"/>
      <c r="K30" s="1882"/>
      <c r="L30" s="1882"/>
      <c r="M30" s="1882"/>
      <c r="N30" s="1882"/>
      <c r="O30" s="1882"/>
      <c r="P30" s="1882"/>
      <c r="Q30" s="1882"/>
      <c r="R30" s="1882"/>
      <c r="S30" s="1882"/>
      <c r="T30" s="1882"/>
      <c r="U30" s="1882"/>
      <c r="V30" s="1882"/>
      <c r="W30" s="1882"/>
      <c r="X30" s="1882"/>
      <c r="Y30" s="1882"/>
      <c r="Z30" s="1882"/>
      <c r="AA30" s="1882"/>
      <c r="AB30" s="1882"/>
      <c r="AC30" s="1882"/>
      <c r="AD30" s="1882"/>
      <c r="AE30" s="1882"/>
      <c r="AF30" s="1882"/>
      <c r="AG30" s="1882"/>
      <c r="AH30" s="1882"/>
      <c r="AI30" s="1882"/>
      <c r="AJ30" s="1882"/>
      <c r="AK30" s="1882"/>
      <c r="AL30" s="1882"/>
      <c r="AM30" s="1882"/>
      <c r="AN30" s="1882"/>
      <c r="AO30" s="1882"/>
      <c r="AP30" s="1882"/>
      <c r="AQ30" s="1882"/>
      <c r="AR30" s="1882"/>
      <c r="AS30" s="1882"/>
      <c r="AT30" s="1882"/>
      <c r="AU30" s="1882"/>
      <c r="AV30" s="1882"/>
      <c r="AW30" s="1882"/>
      <c r="AX30" s="1882"/>
      <c r="AY30" s="1882"/>
      <c r="AZ30" s="1882"/>
      <c r="BA30" s="1882"/>
      <c r="BB30" s="1882"/>
      <c r="BC30" s="1882"/>
      <c r="BD30" s="1882"/>
      <c r="BE30" s="1882"/>
      <c r="BF30" s="1882"/>
      <c r="BG30" s="1882"/>
      <c r="BH30" s="1882"/>
      <c r="BI30" s="1882"/>
      <c r="BJ30" s="1882"/>
      <c r="BK30" s="1882"/>
      <c r="BL30" s="1882"/>
      <c r="BM30" s="1882"/>
      <c r="BN30" s="1882"/>
      <c r="BO30" s="1882"/>
      <c r="BP30" s="1882"/>
      <c r="BQ30" s="1882"/>
      <c r="BR30" s="1882"/>
      <c r="BS30" s="1882"/>
      <c r="BT30" s="1882"/>
      <c r="BU30" s="1882"/>
      <c r="BV30" s="1882"/>
      <c r="BW30" s="1882"/>
      <c r="BX30" s="1882"/>
      <c r="BY30" s="1882"/>
      <c r="BZ30" s="1882"/>
      <c r="CA30" s="1882"/>
      <c r="CB30" s="1882"/>
      <c r="CC30" s="1882"/>
      <c r="CD30" s="1882"/>
      <c r="CE30" s="1882"/>
      <c r="CF30" s="1882"/>
      <c r="CG30" s="1882" t="str">
        <f>'SUB LIST'!A149</f>
        <v>PR14UUWSWW_S-B2</v>
      </c>
      <c r="CH30" s="1882" t="str">
        <f>'SUB LIST'!P149</f>
        <v>04</v>
      </c>
      <c r="CI30" s="1882" t="str">
        <f>'SUB LIST'!Q149</f>
        <v>Areas flooded due to hydraulic overload</v>
      </c>
      <c r="CJ30" s="1882" t="str">
        <f>'SUB LIST'!T149</f>
        <v>nr</v>
      </c>
      <c r="CK30" s="1882" t="str">
        <f>'SUB LIST'!U149</f>
        <v>0</v>
      </c>
      <c r="CL30" s="1882">
        <f>'SUB LIST'!AY149</f>
        <v>145</v>
      </c>
      <c r="CM30" s="1882"/>
      <c r="CN30" s="1882"/>
      <c r="CO30" s="1882"/>
      <c r="CP30" s="1882"/>
      <c r="CQ30" s="1882"/>
      <c r="CR30" s="1882"/>
      <c r="CS30" s="1882"/>
      <c r="CT30" s="1882"/>
      <c r="CU30" s="1882"/>
      <c r="CV30" s="1882"/>
      <c r="CW30" s="1882"/>
      <c r="CX30" s="1882"/>
      <c r="CY30" s="1882"/>
      <c r="CZ30" s="1882"/>
      <c r="DA30" s="1882"/>
      <c r="DB30" s="1882"/>
      <c r="DC30" s="1882"/>
      <c r="DD30" s="1882"/>
    </row>
    <row r="31" spans="7:108">
      <c r="G31" s="1882"/>
      <c r="H31" s="1882"/>
      <c r="I31" s="1882"/>
      <c r="J31" s="1882"/>
      <c r="K31" s="1882"/>
      <c r="L31" s="1882"/>
      <c r="M31" s="1882"/>
      <c r="N31" s="1882"/>
      <c r="O31" s="1882"/>
      <c r="P31" s="1882"/>
      <c r="Q31" s="1882"/>
      <c r="R31" s="1882"/>
      <c r="S31" s="1882"/>
      <c r="T31" s="1882"/>
      <c r="U31" s="1882"/>
      <c r="V31" s="1882"/>
      <c r="W31" s="1882"/>
      <c r="X31" s="1882"/>
      <c r="Y31" s="1882"/>
      <c r="Z31" s="1882"/>
      <c r="AA31" s="1882"/>
      <c r="AB31" s="1882"/>
      <c r="AC31" s="1882"/>
      <c r="AD31" s="1882"/>
      <c r="AE31" s="1882"/>
      <c r="AF31" s="1882"/>
      <c r="AG31" s="1882"/>
      <c r="AH31" s="1882"/>
      <c r="AI31" s="1882"/>
      <c r="AJ31" s="1882"/>
      <c r="AK31" s="1882"/>
      <c r="AL31" s="1882"/>
      <c r="AM31" s="1882"/>
      <c r="AN31" s="1882"/>
      <c r="AO31" s="1882"/>
      <c r="AP31" s="1882"/>
      <c r="AQ31" s="1882"/>
      <c r="AR31" s="1882"/>
      <c r="AS31" s="1882"/>
      <c r="AT31" s="1882"/>
      <c r="AU31" s="1882"/>
      <c r="AV31" s="1882"/>
      <c r="AW31" s="1882"/>
      <c r="AX31" s="1882"/>
      <c r="AY31" s="1882"/>
      <c r="AZ31" s="1882"/>
      <c r="BA31" s="1882"/>
      <c r="BB31" s="1882"/>
      <c r="BC31" s="1882"/>
      <c r="BD31" s="1882"/>
      <c r="BE31" s="1882"/>
      <c r="BF31" s="1882"/>
      <c r="BG31" s="1882"/>
      <c r="BH31" s="1882"/>
      <c r="BI31" s="1882"/>
      <c r="BJ31" s="1882"/>
      <c r="BK31" s="1882"/>
      <c r="BL31" s="1882"/>
      <c r="BM31" s="1882"/>
      <c r="BN31" s="1882"/>
      <c r="BO31" s="1882"/>
      <c r="BP31" s="1882"/>
      <c r="BQ31" s="1882"/>
      <c r="BR31" s="1882"/>
      <c r="BS31" s="1882"/>
      <c r="BT31" s="1882"/>
      <c r="BU31" s="1882"/>
      <c r="BV31" s="1882"/>
      <c r="BW31" s="1882"/>
      <c r="BX31" s="1882"/>
      <c r="BY31" s="1882"/>
      <c r="BZ31" s="1882"/>
      <c r="CA31" s="1882"/>
      <c r="CB31" s="1882"/>
      <c r="CC31" s="1882"/>
      <c r="CD31" s="1882"/>
      <c r="CE31" s="1882"/>
      <c r="CF31" s="1882"/>
      <c r="CG31" s="1882" t="str">
        <f>'SUB LIST'!A150</f>
        <v>PR14UUWSWW_S-B2</v>
      </c>
      <c r="CH31" s="1882" t="str">
        <f>'SUB LIST'!P150</f>
        <v>05</v>
      </c>
      <c r="CI31" s="1882" t="str">
        <f>'SUB LIST'!Q150</f>
        <v>Incidents of repeat flooding</v>
      </c>
      <c r="CJ31" s="1882" t="str">
        <f>'SUB LIST'!T150</f>
        <v>nr</v>
      </c>
      <c r="CK31" s="1882" t="str">
        <f>'SUB LIST'!U150</f>
        <v>0</v>
      </c>
      <c r="CL31" s="1882">
        <f>'SUB LIST'!AY150</f>
        <v>124</v>
      </c>
      <c r="CM31" s="1882"/>
      <c r="CN31" s="1882"/>
      <c r="CO31" s="1882"/>
      <c r="CP31" s="1882"/>
      <c r="CQ31" s="1882"/>
      <c r="CR31" s="1882"/>
      <c r="CS31" s="1882"/>
      <c r="CT31" s="1882"/>
      <c r="CU31" s="1882"/>
      <c r="CV31" s="1882"/>
      <c r="CW31" s="1882"/>
      <c r="CX31" s="1882"/>
      <c r="CY31" s="1882"/>
      <c r="CZ31" s="1882"/>
      <c r="DA31" s="1882"/>
      <c r="DB31" s="1882"/>
      <c r="DC31" s="1882"/>
      <c r="DD31" s="1882"/>
    </row>
    <row r="32" spans="7:108">
      <c r="G32" s="1882"/>
      <c r="H32" s="1882"/>
      <c r="I32" s="1882"/>
      <c r="J32" s="1882"/>
      <c r="K32" s="1882"/>
      <c r="L32" s="1882"/>
      <c r="M32" s="1882"/>
      <c r="N32" s="1882"/>
      <c r="O32" s="1882"/>
      <c r="P32" s="1882"/>
      <c r="Q32" s="1882"/>
      <c r="R32" s="1882"/>
      <c r="S32" s="1882"/>
      <c r="T32" s="1882"/>
      <c r="U32" s="1882"/>
      <c r="V32" s="1882"/>
      <c r="W32" s="1882"/>
      <c r="X32" s="1882"/>
      <c r="Y32" s="1882"/>
      <c r="Z32" s="1882"/>
      <c r="AA32" s="1882"/>
      <c r="AB32" s="1882"/>
      <c r="AC32" s="1882"/>
      <c r="AD32" s="1882"/>
      <c r="AE32" s="1882"/>
      <c r="AF32" s="1882"/>
      <c r="AG32" s="1882"/>
      <c r="AH32" s="1882"/>
      <c r="AI32" s="1882"/>
      <c r="AJ32" s="1882"/>
      <c r="AK32" s="1882"/>
      <c r="AL32" s="1882"/>
      <c r="AM32" s="1882"/>
      <c r="AN32" s="1882"/>
      <c r="AO32" s="1882"/>
      <c r="AP32" s="1882"/>
      <c r="AQ32" s="1882"/>
      <c r="AR32" s="1882"/>
      <c r="AS32" s="1882"/>
      <c r="AT32" s="1882"/>
      <c r="AU32" s="1882"/>
      <c r="AV32" s="1882"/>
      <c r="AW32" s="1882"/>
      <c r="AX32" s="1882"/>
      <c r="AY32" s="1882"/>
      <c r="AZ32" s="1882"/>
      <c r="BA32" s="1882"/>
      <c r="BB32" s="1882"/>
      <c r="BC32" s="1882"/>
      <c r="BD32" s="1882"/>
      <c r="BE32" s="1882"/>
      <c r="BF32" s="1882"/>
      <c r="BG32" s="1882"/>
      <c r="BH32" s="1882"/>
      <c r="BI32" s="1882"/>
      <c r="BJ32" s="1882"/>
      <c r="BK32" s="1882"/>
      <c r="BL32" s="1882"/>
      <c r="BM32" s="1882"/>
      <c r="BN32" s="1882"/>
      <c r="BO32" s="1882"/>
      <c r="BP32" s="1882"/>
      <c r="BQ32" s="1882"/>
      <c r="BR32" s="1882"/>
      <c r="BS32" s="1882"/>
      <c r="BT32" s="1882"/>
      <c r="BU32" s="1882"/>
      <c r="BV32" s="1882"/>
      <c r="BW32" s="1882"/>
      <c r="BX32" s="1882"/>
      <c r="BY32" s="1882"/>
      <c r="BZ32" s="1882"/>
      <c r="CA32" s="1882"/>
      <c r="CB32" s="1882"/>
      <c r="CC32" s="1882"/>
      <c r="CD32" s="1882"/>
      <c r="CE32" s="1882"/>
      <c r="CF32" s="1882"/>
      <c r="CG32" s="1882" t="str">
        <f>'SUB LIST'!A151</f>
        <v>PR14UUWSWW_S-D2</v>
      </c>
      <c r="CH32" s="1882" t="str">
        <f>'SUB LIST'!P151</f>
        <v>00</v>
      </c>
      <c r="CI32" s="1882" t="str">
        <f>'SUB LIST'!Q151</f>
        <v>S-D2: Maintaining our wastewater treatment works</v>
      </c>
      <c r="CJ32" s="1882" t="str">
        <f>'SUB LIST'!T151</f>
        <v>score</v>
      </c>
      <c r="CK32" s="1882">
        <f>'SUB LIST'!U151</f>
        <v>4</v>
      </c>
      <c r="CL32" s="1882">
        <f>'SUB LIST'!AY151</f>
        <v>39.166499999999999</v>
      </c>
      <c r="CM32" s="1882"/>
      <c r="CN32" s="1882"/>
      <c r="CO32" s="1882"/>
      <c r="CP32" s="1882"/>
      <c r="CQ32" s="1882"/>
      <c r="CR32" s="1882"/>
      <c r="CS32" s="1882"/>
      <c r="CT32" s="1882"/>
      <c r="CU32" s="1882"/>
      <c r="CV32" s="1882"/>
      <c r="CW32" s="1882"/>
      <c r="CX32" s="1882"/>
      <c r="CY32" s="1882"/>
      <c r="CZ32" s="1882"/>
      <c r="DA32" s="1882"/>
      <c r="DB32" s="1882"/>
      <c r="DC32" s="1882"/>
      <c r="DD32" s="1882"/>
    </row>
    <row r="33" spans="85:90">
      <c r="CG33" s="1882" t="str">
        <f>'SUB LIST'!A152</f>
        <v>PR14UUWSWW_S-D2</v>
      </c>
      <c r="CH33" s="1882" t="str">
        <f>'SUB LIST'!P152</f>
        <v>01</v>
      </c>
      <c r="CI33" s="1882" t="str">
        <f>'SUB LIST'!Q152</f>
        <v>WwTWs failing EA permit - small (size band 1-4)</v>
      </c>
      <c r="CJ33" s="1882" t="str">
        <f>'SUB LIST'!T152</f>
        <v>score</v>
      </c>
      <c r="CK33" s="1882">
        <f>'SUB LIST'!U152</f>
        <v>4</v>
      </c>
      <c r="CL33" s="1882">
        <f>'SUB LIST'!AY152</f>
        <v>4.0967000000000002</v>
      </c>
    </row>
    <row r="34" spans="85:90">
      <c r="CG34" s="1882" t="str">
        <f>'SUB LIST'!A153</f>
        <v>PR14UUWSWW_S-D2</v>
      </c>
      <c r="CH34" s="1882" t="str">
        <f>'SUB LIST'!P153</f>
        <v>02</v>
      </c>
      <c r="CI34" s="1882" t="str">
        <f>'SUB LIST'!Q153</f>
        <v>WwTWs failing EA permit - medium (size band 5)</v>
      </c>
      <c r="CJ34" s="1882" t="str">
        <f>'SUB LIST'!T153</f>
        <v>score</v>
      </c>
      <c r="CK34" s="1882">
        <f>'SUB LIST'!U153</f>
        <v>4</v>
      </c>
      <c r="CL34" s="1882">
        <f>'SUB LIST'!AY153</f>
        <v>0</v>
      </c>
    </row>
    <row r="35" spans="85:90">
      <c r="CG35" s="1882" t="str">
        <f>'SUB LIST'!A154</f>
        <v>PR14UUWSWW_S-D2</v>
      </c>
      <c r="CH35" s="1882" t="str">
        <f>'SUB LIST'!P154</f>
        <v>03</v>
      </c>
      <c r="CI35" s="1882" t="str">
        <f>'SUB LIST'!Q154</f>
        <v>WwTWs failing EA permit - large (size band 6a)</v>
      </c>
      <c r="CJ35" s="1882" t="str">
        <f>'SUB LIST'!T154</f>
        <v>score</v>
      </c>
      <c r="CK35" s="1882">
        <f>'SUB LIST'!U154</f>
        <v>4</v>
      </c>
      <c r="CL35" s="1882">
        <f>'SUB LIST'!AY154</f>
        <v>32.773400000000002</v>
      </c>
    </row>
    <row r="36" spans="85:90">
      <c r="CG36" s="1882" t="str">
        <f>'SUB LIST'!A155</f>
        <v>PR14UUWSWW_S-D2</v>
      </c>
      <c r="CH36" s="1882" t="str">
        <f>'SUB LIST'!P155</f>
        <v>04</v>
      </c>
      <c r="CI36" s="1882" t="str">
        <f>'SUB LIST'!Q155</f>
        <v>WwTWs failing EA permit - large (size band 6b)</v>
      </c>
      <c r="CJ36" s="1882" t="str">
        <f>'SUB LIST'!T155</f>
        <v>score</v>
      </c>
      <c r="CK36" s="1882">
        <f>'SUB LIST'!U155</f>
        <v>4</v>
      </c>
      <c r="CL36" s="1882">
        <f>'SUB LIST'!AY155</f>
        <v>0</v>
      </c>
    </row>
    <row r="37" spans="85:90">
      <c r="CG37" s="1882" t="str">
        <f>'SUB LIST'!A156</f>
        <v>PR14UUWSWW_S-D2</v>
      </c>
      <c r="CH37" s="1882" t="str">
        <f>'SUB LIST'!P156</f>
        <v>05</v>
      </c>
      <c r="CI37" s="1882" t="str">
        <f>'SUB LIST'!Q156</f>
        <v>WwTWs at high risk of failing EA permit - small (size band 1-4)</v>
      </c>
      <c r="CJ37" s="1882" t="str">
        <f>'SUB LIST'!T156</f>
        <v>score</v>
      </c>
      <c r="CK37" s="1882">
        <f>'SUB LIST'!U156</f>
        <v>4</v>
      </c>
      <c r="CL37" s="1882">
        <f>'SUB LIST'!AY156</f>
        <v>0.29320000000000002</v>
      </c>
    </row>
    <row r="38" spans="85:90">
      <c r="CG38" s="1882" t="str">
        <f>'SUB LIST'!A157</f>
        <v>PR14UUWSWW_S-D2</v>
      </c>
      <c r="CH38" s="1882" t="str">
        <f>'SUB LIST'!P157</f>
        <v>06</v>
      </c>
      <c r="CI38" s="1882" t="str">
        <f>'SUB LIST'!Q157</f>
        <v>WwTWs at high risk of failing EA permit - medium (size band 5)</v>
      </c>
      <c r="CJ38" s="1882" t="str">
        <f>'SUB LIST'!T157</f>
        <v>score</v>
      </c>
      <c r="CK38" s="1882">
        <f>'SUB LIST'!U157</f>
        <v>4</v>
      </c>
      <c r="CL38" s="1882">
        <f>'SUB LIST'!AY157</f>
        <v>1.37E-2</v>
      </c>
    </row>
    <row r="39" spans="85:90">
      <c r="CG39" s="1882" t="str">
        <f>'SUB LIST'!A158</f>
        <v>PR14UUWSWW_S-D2</v>
      </c>
      <c r="CH39" s="1882" t="str">
        <f>'SUB LIST'!P158</f>
        <v>07</v>
      </c>
      <c r="CI39" s="1882" t="str">
        <f>'SUB LIST'!Q158</f>
        <v>WwTWs at high risk of failing EA permit - large (size band 6)</v>
      </c>
      <c r="CJ39" s="1882" t="str">
        <f>'SUB LIST'!T158</f>
        <v>score</v>
      </c>
      <c r="CK39" s="1882">
        <f>'SUB LIST'!U158</f>
        <v>4</v>
      </c>
      <c r="CL39" s="1882">
        <f>'SUB LIST'!AY158</f>
        <v>0.71679999999999999</v>
      </c>
    </row>
    <row r="40" spans="85:90">
      <c r="CG40" s="1882" t="str">
        <f>'SUB LIST'!A159</f>
        <v>PR14UUWSWW_S-D2</v>
      </c>
      <c r="CH40" s="1882" t="str">
        <f>'SUB LIST'!P159</f>
        <v>08</v>
      </c>
      <c r="CI40" s="1882" t="str">
        <f>'SUB LIST'!Q159</f>
        <v>WwTWs at medium risk of failing EA permit - small (size band 1-4)</v>
      </c>
      <c r="CJ40" s="1882" t="str">
        <f>'SUB LIST'!T159</f>
        <v>score</v>
      </c>
      <c r="CK40" s="1882">
        <f>'SUB LIST'!U159</f>
        <v>4</v>
      </c>
      <c r="CL40" s="1882">
        <f>'SUB LIST'!AY159</f>
        <v>0.31019999999999998</v>
      </c>
    </row>
    <row r="41" spans="85:90">
      <c r="CG41" s="1882" t="str">
        <f>'SUB LIST'!A160</f>
        <v>PR14UUWSWW_S-D2</v>
      </c>
      <c r="CH41" s="1882" t="str">
        <f>'SUB LIST'!P160</f>
        <v>09</v>
      </c>
      <c r="CI41" s="1882" t="str">
        <f>'SUB LIST'!Q160</f>
        <v>WwTWs at medium risk of failing EA permit - medium (size band 5)</v>
      </c>
      <c r="CJ41" s="1882" t="str">
        <f>'SUB LIST'!T160</f>
        <v>score</v>
      </c>
      <c r="CK41" s="1882">
        <f>'SUB LIST'!U160</f>
        <v>4</v>
      </c>
      <c r="CL41" s="1882">
        <f>'SUB LIST'!AY160</f>
        <v>7.51E-2</v>
      </c>
    </row>
    <row r="42" spans="85:90">
      <c r="CG42" s="1882" t="str">
        <f>'SUB LIST'!A161</f>
        <v>PR14UUWSWW_S-D2</v>
      </c>
      <c r="CH42" s="1882" t="str">
        <f>'SUB LIST'!P161</f>
        <v>10</v>
      </c>
      <c r="CI42" s="1882" t="str">
        <f>'SUB LIST'!Q161</f>
        <v>WwTWs at medium risk of failing EA permit - large (size band 6)</v>
      </c>
      <c r="CJ42" s="1882" t="str">
        <f>'SUB LIST'!T161</f>
        <v>score</v>
      </c>
      <c r="CK42" s="1882">
        <f>'SUB LIST'!U161</f>
        <v>4</v>
      </c>
      <c r="CL42" s="1882">
        <f>'SUB LIST'!AY161</f>
        <v>0.88739999999999997</v>
      </c>
    </row>
  </sheetData>
  <sheetProtection algorithmName="SHA-512" hashValue="fA5dR6RbWdqHuhwrmX/ZCle6ie6+LJjZLvrWlaSknRBaJYPq65Dea4mIS9yf2YDjBz1/SFHE9T9sPpV2rMH95g==" saltValue="TvEjXb93Jv32+PrY1KMgTg==" spinCount="100000" sheet="1" objects="1" scenarios="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pageSetUpPr fitToPage="1"/>
  </sheetPr>
  <dimension ref="A1:AK98"/>
  <sheetViews>
    <sheetView topLeftCell="A21" workbookViewId="0">
      <selection activeCell="B1" sqref="B1:K50"/>
    </sheetView>
  </sheetViews>
  <sheetFormatPr defaultColWidth="0" defaultRowHeight="14" zeroHeight="1"/>
  <cols>
    <col min="1" max="1" width="0.58203125" style="70" customWidth="1"/>
    <col min="2" max="2" width="7.58203125" style="70" customWidth="1"/>
    <col min="3" max="3" width="38.08203125" style="70" customWidth="1"/>
    <col min="4" max="4" width="2.58203125" style="70" hidden="1" customWidth="1"/>
    <col min="5" max="6" width="5.08203125" style="70" customWidth="1"/>
    <col min="7" max="11" width="12.5" style="70" customWidth="1"/>
    <col min="12" max="12" width="2.58203125" style="70" customWidth="1"/>
    <col min="13" max="13" width="27" style="70" customWidth="1"/>
    <col min="14" max="14" width="1.58203125" style="70" customWidth="1"/>
    <col min="15" max="15" width="1.58203125" style="71" hidden="1" customWidth="1"/>
    <col min="16" max="18" width="5.58203125" style="70" hidden="1" customWidth="1"/>
    <col min="19" max="19" width="1.58203125" style="71" hidden="1" customWidth="1"/>
    <col min="20" max="20" width="8.08203125" style="70" hidden="1" customWidth="1"/>
    <col min="21" max="23" width="8.58203125" style="70" hidden="1" customWidth="1"/>
    <col min="24" max="25" width="0" style="70" hidden="1" customWidth="1"/>
    <col min="26" max="26" width="8.08203125" style="70" customWidth="1"/>
    <col min="27" max="27" width="7.58203125" style="70" customWidth="1"/>
    <col min="28" max="28" width="38.08203125" style="70" customWidth="1"/>
    <col min="29" max="29" width="2.58203125" style="70" hidden="1" customWidth="1"/>
    <col min="30" max="31" width="5.08203125" style="70" customWidth="1"/>
    <col min="32" max="36" width="12.5" style="70" customWidth="1"/>
    <col min="37" max="37" width="2.08203125" style="70" customWidth="1"/>
    <col min="38" max="16384" width="8.08203125" style="70" hidden="1"/>
  </cols>
  <sheetData>
    <row r="1" spans="2:36" ht="20">
      <c r="B1" s="66" t="s">
        <v>247</v>
      </c>
      <c r="C1" s="66"/>
      <c r="D1" s="66"/>
      <c r="E1" s="66"/>
      <c r="F1" s="66"/>
      <c r="G1" s="66"/>
      <c r="H1" s="66"/>
      <c r="I1" s="66"/>
      <c r="J1" s="66"/>
      <c r="K1" s="68" t="str">
        <f>Validation!B3</f>
        <v>Bristol Water</v>
      </c>
      <c r="L1" s="66"/>
      <c r="M1" s="69" t="s">
        <v>32</v>
      </c>
      <c r="AA1" s="66" t="s">
        <v>33</v>
      </c>
      <c r="AB1" s="66"/>
      <c r="AC1" s="66"/>
      <c r="AD1" s="66"/>
      <c r="AE1" s="66"/>
      <c r="AF1" s="66"/>
      <c r="AG1" s="66"/>
      <c r="AH1" s="66"/>
      <c r="AI1" s="66"/>
      <c r="AJ1" s="68"/>
    </row>
    <row r="2" spans="2:36" ht="14.5" thickBot="1">
      <c r="B2" s="73" t="str">
        <f>'1B'!B2</f>
        <v>For the 12 months ended 31 March 2020</v>
      </c>
      <c r="AA2" s="73" t="str">
        <f>B2</f>
        <v>For the 12 months ended 31 March 2020</v>
      </c>
    </row>
    <row r="3" spans="2:36" ht="15" customHeight="1">
      <c r="B3" s="2894" t="s">
        <v>34</v>
      </c>
      <c r="C3" s="2895"/>
      <c r="D3" s="2820" t="s">
        <v>35</v>
      </c>
      <c r="E3" s="2898" t="s">
        <v>36</v>
      </c>
      <c r="F3" s="2900" t="s">
        <v>37</v>
      </c>
      <c r="G3" s="2902" t="s">
        <v>38</v>
      </c>
      <c r="H3" s="2904" t="s">
        <v>39</v>
      </c>
      <c r="I3" s="2905"/>
      <c r="J3" s="2906"/>
      <c r="K3" s="2907" t="s">
        <v>40</v>
      </c>
      <c r="M3" s="2907" t="s">
        <v>41</v>
      </c>
      <c r="AA3" s="2894" t="s">
        <v>34</v>
      </c>
      <c r="AB3" s="2895"/>
      <c r="AC3" s="2820" t="s">
        <v>35</v>
      </c>
      <c r="AD3" s="2898" t="s">
        <v>36</v>
      </c>
      <c r="AE3" s="2900" t="s">
        <v>37</v>
      </c>
      <c r="AF3" s="2902" t="s">
        <v>38</v>
      </c>
      <c r="AG3" s="2904" t="s">
        <v>39</v>
      </c>
      <c r="AH3" s="2905"/>
      <c r="AI3" s="2906"/>
      <c r="AJ3" s="2907" t="s">
        <v>40</v>
      </c>
    </row>
    <row r="4" spans="2:36" ht="54.75" customHeight="1" thickBot="1">
      <c r="B4" s="2896"/>
      <c r="C4" s="2897"/>
      <c r="D4" s="2821"/>
      <c r="E4" s="2899"/>
      <c r="F4" s="2901"/>
      <c r="G4" s="2903"/>
      <c r="H4" s="2832" t="s">
        <v>42</v>
      </c>
      <c r="I4" s="78" t="s">
        <v>43</v>
      </c>
      <c r="J4" s="2833" t="s">
        <v>44</v>
      </c>
      <c r="K4" s="2908"/>
      <c r="M4" s="2908"/>
      <c r="N4" s="79"/>
      <c r="P4" s="2909" t="s">
        <v>45</v>
      </c>
      <c r="Q4" s="2909"/>
      <c r="R4" s="2909"/>
      <c r="AA4" s="2896"/>
      <c r="AB4" s="2897"/>
      <c r="AC4" s="2821"/>
      <c r="AD4" s="2899"/>
      <c r="AE4" s="2901"/>
      <c r="AF4" s="2903"/>
      <c r="AG4" s="2832" t="s">
        <v>42</v>
      </c>
      <c r="AH4" s="78" t="s">
        <v>43</v>
      </c>
      <c r="AI4" s="2833" t="s">
        <v>44</v>
      </c>
      <c r="AJ4" s="2908"/>
    </row>
    <row r="5" spans="2:36" ht="14.5" thickBot="1"/>
    <row r="6" spans="2:36" ht="14.5" thickBot="1">
      <c r="B6" s="2865" t="s">
        <v>153</v>
      </c>
      <c r="C6" s="83" t="s">
        <v>248</v>
      </c>
      <c r="D6" s="1473"/>
      <c r="P6" s="85" t="s">
        <v>46</v>
      </c>
      <c r="AA6" s="2865" t="s">
        <v>153</v>
      </c>
      <c r="AB6" s="83" t="s">
        <v>248</v>
      </c>
      <c r="AC6" s="1473"/>
    </row>
    <row r="7" spans="2:36">
      <c r="B7" s="86" t="s">
        <v>249</v>
      </c>
      <c r="C7" s="117" t="s">
        <v>250</v>
      </c>
      <c r="D7" s="117"/>
      <c r="E7" s="88" t="s">
        <v>49</v>
      </c>
      <c r="F7" s="89">
        <v>3</v>
      </c>
      <c r="G7" s="467">
        <v>671.86800000000005</v>
      </c>
      <c r="H7" s="414">
        <v>-7.4370000000000003</v>
      </c>
      <c r="I7" s="425">
        <v>1.458</v>
      </c>
      <c r="J7" s="190">
        <f t="shared" ref="J7:J13" si="0" xml:space="preserve"> H7 - I7</f>
        <v>-8.8949999999999996</v>
      </c>
      <c r="K7" s="196">
        <f t="shared" ref="K7:K13" si="1" xml:space="preserve"> G7 + J7</f>
        <v>662.97300000000007</v>
      </c>
      <c r="M7" s="1339">
        <f xml:space="preserve"> IF( SUM( O7:S7 ) = 0, 0, $P$6 )</f>
        <v>0</v>
      </c>
      <c r="P7" s="93">
        <f t="shared" ref="P7:R19" si="2" xml:space="preserve"> IF( ISNUMBER( G7 ), 0, 1 )</f>
        <v>0</v>
      </c>
      <c r="Q7" s="93">
        <f t="shared" si="2"/>
        <v>0</v>
      </c>
      <c r="R7" s="93">
        <f t="shared" si="2"/>
        <v>0</v>
      </c>
      <c r="AA7" s="86" t="s">
        <v>249</v>
      </c>
      <c r="AB7" s="117" t="s">
        <v>250</v>
      </c>
      <c r="AC7" s="117"/>
      <c r="AD7" s="88" t="s">
        <v>49</v>
      </c>
      <c r="AE7" s="89">
        <v>3</v>
      </c>
      <c r="AF7" s="2385" t="s">
        <v>251</v>
      </c>
      <c r="AG7" s="2380" t="s">
        <v>252</v>
      </c>
      <c r="AH7" s="2381" t="s">
        <v>253</v>
      </c>
      <c r="AI7" s="190" t="s">
        <v>254</v>
      </c>
      <c r="AJ7" s="196" t="s">
        <v>255</v>
      </c>
    </row>
    <row r="8" spans="2:36">
      <c r="B8" s="94" t="s">
        <v>256</v>
      </c>
      <c r="C8" s="87" t="s">
        <v>257</v>
      </c>
      <c r="D8" s="87"/>
      <c r="E8" s="95" t="s">
        <v>49</v>
      </c>
      <c r="F8" s="96">
        <v>3</v>
      </c>
      <c r="G8" s="463">
        <v>13.97</v>
      </c>
      <c r="H8" s="412">
        <v>0</v>
      </c>
      <c r="I8" s="413">
        <v>0</v>
      </c>
      <c r="J8" s="191">
        <f xml:space="preserve"> H8 - I8</f>
        <v>0</v>
      </c>
      <c r="K8" s="197">
        <f xml:space="preserve"> G8 + J8</f>
        <v>13.97</v>
      </c>
      <c r="M8" s="1339">
        <f t="shared" ref="M8:M12" si="3" xml:space="preserve"> IF( SUM( O8:S8 ) = 0, 0, $P$6 )</f>
        <v>0</v>
      </c>
      <c r="P8" s="93">
        <f t="shared" si="2"/>
        <v>0</v>
      </c>
      <c r="Q8" s="93">
        <f t="shared" si="2"/>
        <v>0</v>
      </c>
      <c r="R8" s="93">
        <f t="shared" si="2"/>
        <v>0</v>
      </c>
      <c r="AA8" s="94" t="s">
        <v>256</v>
      </c>
      <c r="AB8" s="87" t="s">
        <v>257</v>
      </c>
      <c r="AC8" s="87"/>
      <c r="AD8" s="95" t="s">
        <v>49</v>
      </c>
      <c r="AE8" s="96">
        <v>3</v>
      </c>
      <c r="AF8" s="2386" t="s">
        <v>258</v>
      </c>
      <c r="AG8" s="2383" t="s">
        <v>259</v>
      </c>
      <c r="AH8" s="2384" t="s">
        <v>260</v>
      </c>
      <c r="AI8" s="191" t="s">
        <v>261</v>
      </c>
      <c r="AJ8" s="197" t="s">
        <v>262</v>
      </c>
    </row>
    <row r="9" spans="2:36">
      <c r="B9" s="94" t="s">
        <v>263</v>
      </c>
      <c r="C9" s="87" t="s">
        <v>264</v>
      </c>
      <c r="D9" s="87"/>
      <c r="E9" s="95" t="s">
        <v>49</v>
      </c>
      <c r="F9" s="96">
        <v>3</v>
      </c>
      <c r="G9" s="463">
        <v>65.5</v>
      </c>
      <c r="H9" s="412">
        <v>0</v>
      </c>
      <c r="I9" s="413">
        <v>0</v>
      </c>
      <c r="J9" s="191">
        <f t="shared" si="0"/>
        <v>0</v>
      </c>
      <c r="K9" s="197">
        <f t="shared" si="1"/>
        <v>65.5</v>
      </c>
      <c r="M9" s="1339">
        <f t="shared" si="3"/>
        <v>0</v>
      </c>
      <c r="P9" s="93">
        <f t="shared" si="2"/>
        <v>0</v>
      </c>
      <c r="Q9" s="93">
        <f t="shared" si="2"/>
        <v>0</v>
      </c>
      <c r="R9" s="93">
        <f t="shared" si="2"/>
        <v>0</v>
      </c>
      <c r="AA9" s="94" t="s">
        <v>263</v>
      </c>
      <c r="AB9" s="87" t="s">
        <v>264</v>
      </c>
      <c r="AC9" s="87"/>
      <c r="AD9" s="95" t="s">
        <v>49</v>
      </c>
      <c r="AE9" s="96">
        <v>3</v>
      </c>
      <c r="AF9" s="2386" t="s">
        <v>265</v>
      </c>
      <c r="AG9" s="2383" t="s">
        <v>266</v>
      </c>
      <c r="AH9" s="2384" t="s">
        <v>267</v>
      </c>
      <c r="AI9" s="191" t="s">
        <v>268</v>
      </c>
      <c r="AJ9" s="197" t="s">
        <v>269</v>
      </c>
    </row>
    <row r="10" spans="2:36">
      <c r="B10" s="94" t="s">
        <v>270</v>
      </c>
      <c r="C10" s="87" t="s">
        <v>271</v>
      </c>
      <c r="D10" s="87"/>
      <c r="E10" s="95" t="s">
        <v>49</v>
      </c>
      <c r="F10" s="96">
        <v>3</v>
      </c>
      <c r="G10" s="464">
        <v>0</v>
      </c>
      <c r="H10" s="465">
        <v>0</v>
      </c>
      <c r="I10" s="466">
        <v>0</v>
      </c>
      <c r="J10" s="191">
        <f t="shared" si="0"/>
        <v>0</v>
      </c>
      <c r="K10" s="197">
        <f t="shared" si="1"/>
        <v>0</v>
      </c>
      <c r="M10" s="1339">
        <f t="shared" si="3"/>
        <v>0</v>
      </c>
      <c r="P10" s="93">
        <f t="shared" si="2"/>
        <v>0</v>
      </c>
      <c r="Q10" s="93">
        <f t="shared" si="2"/>
        <v>0</v>
      </c>
      <c r="R10" s="93">
        <f t="shared" si="2"/>
        <v>0</v>
      </c>
      <c r="AA10" s="94" t="s">
        <v>270</v>
      </c>
      <c r="AB10" s="87" t="s">
        <v>271</v>
      </c>
      <c r="AC10" s="87"/>
      <c r="AD10" s="95" t="s">
        <v>49</v>
      </c>
      <c r="AE10" s="96">
        <v>3</v>
      </c>
      <c r="AF10" s="2397" t="s">
        <v>272</v>
      </c>
      <c r="AG10" s="2398" t="s">
        <v>273</v>
      </c>
      <c r="AH10" s="2399" t="s">
        <v>274</v>
      </c>
      <c r="AI10" s="191" t="s">
        <v>275</v>
      </c>
      <c r="AJ10" s="197" t="s">
        <v>276</v>
      </c>
    </row>
    <row r="11" spans="2:36">
      <c r="B11" s="94" t="s">
        <v>277</v>
      </c>
      <c r="C11" s="87" t="s">
        <v>278</v>
      </c>
      <c r="D11" s="87"/>
      <c r="E11" s="95" t="s">
        <v>49</v>
      </c>
      <c r="F11" s="96">
        <v>3</v>
      </c>
      <c r="G11" s="464">
        <v>0</v>
      </c>
      <c r="H11" s="465">
        <v>0</v>
      </c>
      <c r="I11" s="466">
        <v>0</v>
      </c>
      <c r="J11" s="191">
        <f t="shared" si="0"/>
        <v>0</v>
      </c>
      <c r="K11" s="197">
        <f xml:space="preserve"> G11 + J11</f>
        <v>0</v>
      </c>
      <c r="M11" s="1339">
        <f t="shared" si="3"/>
        <v>0</v>
      </c>
      <c r="P11" s="93">
        <f t="shared" si="2"/>
        <v>0</v>
      </c>
      <c r="Q11" s="93">
        <f t="shared" si="2"/>
        <v>0</v>
      </c>
      <c r="R11" s="93">
        <f t="shared" si="2"/>
        <v>0</v>
      </c>
      <c r="AA11" s="94" t="s">
        <v>277</v>
      </c>
      <c r="AB11" s="87" t="s">
        <v>278</v>
      </c>
      <c r="AC11" s="87"/>
      <c r="AD11" s="95" t="s">
        <v>49</v>
      </c>
      <c r="AE11" s="96">
        <v>3</v>
      </c>
      <c r="AF11" s="2397" t="s">
        <v>279</v>
      </c>
      <c r="AG11" s="2398" t="s">
        <v>280</v>
      </c>
      <c r="AH11" s="2399" t="s">
        <v>281</v>
      </c>
      <c r="AI11" s="191" t="s">
        <v>282</v>
      </c>
      <c r="AJ11" s="197" t="s">
        <v>283</v>
      </c>
    </row>
    <row r="12" spans="2:36">
      <c r="B12" s="94" t="s">
        <v>284</v>
      </c>
      <c r="C12" s="87" t="s">
        <v>285</v>
      </c>
      <c r="D12" s="87"/>
      <c r="E12" s="95" t="s">
        <v>49</v>
      </c>
      <c r="F12" s="96">
        <v>3</v>
      </c>
      <c r="G12" s="464">
        <v>9.6690000000000005</v>
      </c>
      <c r="H12" s="465">
        <v>0</v>
      </c>
      <c r="I12" s="466">
        <v>0</v>
      </c>
      <c r="J12" s="191">
        <f t="shared" si="0"/>
        <v>0</v>
      </c>
      <c r="K12" s="197">
        <f t="shared" si="1"/>
        <v>9.6690000000000005</v>
      </c>
      <c r="M12" s="1339">
        <f t="shared" si="3"/>
        <v>0</v>
      </c>
      <c r="P12" s="93">
        <f t="shared" si="2"/>
        <v>0</v>
      </c>
      <c r="Q12" s="93">
        <f t="shared" si="2"/>
        <v>0</v>
      </c>
      <c r="R12" s="93">
        <f t="shared" si="2"/>
        <v>0</v>
      </c>
      <c r="AA12" s="94" t="s">
        <v>284</v>
      </c>
      <c r="AB12" s="87" t="s">
        <v>285</v>
      </c>
      <c r="AC12" s="87"/>
      <c r="AD12" s="95" t="s">
        <v>49</v>
      </c>
      <c r="AE12" s="96">
        <v>3</v>
      </c>
      <c r="AF12" s="2397" t="s">
        <v>286</v>
      </c>
      <c r="AG12" s="2398" t="s">
        <v>287</v>
      </c>
      <c r="AH12" s="2399" t="s">
        <v>288</v>
      </c>
      <c r="AI12" s="191" t="s">
        <v>289</v>
      </c>
      <c r="AJ12" s="197" t="s">
        <v>290</v>
      </c>
    </row>
    <row r="13" spans="2:36" ht="14.5" thickBot="1">
      <c r="B13" s="101" t="s">
        <v>291</v>
      </c>
      <c r="C13" s="102" t="s">
        <v>292</v>
      </c>
      <c r="D13" s="102"/>
      <c r="E13" s="103" t="s">
        <v>49</v>
      </c>
      <c r="F13" s="100">
        <v>3</v>
      </c>
      <c r="G13" s="393">
        <f>SUM( G7:G12 )</f>
        <v>761.00700000000006</v>
      </c>
      <c r="H13" s="193">
        <f>SUM( H7:H12 )</f>
        <v>-7.4370000000000003</v>
      </c>
      <c r="I13" s="194">
        <f>SUM( I7:I12 )</f>
        <v>1.458</v>
      </c>
      <c r="J13" s="195">
        <f t="shared" si="0"/>
        <v>-8.8949999999999996</v>
      </c>
      <c r="K13" s="198">
        <f t="shared" si="1"/>
        <v>752.11200000000008</v>
      </c>
      <c r="M13" s="126"/>
      <c r="AA13" s="101" t="s">
        <v>291</v>
      </c>
      <c r="AB13" s="102" t="s">
        <v>292</v>
      </c>
      <c r="AC13" s="102"/>
      <c r="AD13" s="103" t="s">
        <v>49</v>
      </c>
      <c r="AE13" s="100">
        <v>3</v>
      </c>
      <c r="AF13" s="393" t="s">
        <v>293</v>
      </c>
      <c r="AG13" s="193" t="s">
        <v>294</v>
      </c>
      <c r="AH13" s="194" t="s">
        <v>295</v>
      </c>
      <c r="AI13" s="195" t="s">
        <v>296</v>
      </c>
      <c r="AJ13" s="198" t="s">
        <v>297</v>
      </c>
    </row>
    <row r="14" spans="2:36" ht="14.5" thickBot="1">
      <c r="M14" s="126"/>
    </row>
    <row r="15" spans="2:36" ht="14.5" thickBot="1">
      <c r="B15" s="2865" t="s">
        <v>175</v>
      </c>
      <c r="C15" s="83" t="s">
        <v>298</v>
      </c>
      <c r="D15" s="1473"/>
      <c r="M15" s="126"/>
      <c r="AA15" s="2865" t="s">
        <v>175</v>
      </c>
      <c r="AB15" s="83" t="s">
        <v>298</v>
      </c>
      <c r="AC15" s="1473"/>
    </row>
    <row r="16" spans="2:36">
      <c r="B16" s="86" t="s">
        <v>299</v>
      </c>
      <c r="C16" s="117" t="s">
        <v>300</v>
      </c>
      <c r="D16" s="117"/>
      <c r="E16" s="88" t="s">
        <v>49</v>
      </c>
      <c r="F16" s="89">
        <v>3</v>
      </c>
      <c r="G16" s="467">
        <v>1.6779999999999999</v>
      </c>
      <c r="H16" s="414">
        <v>0</v>
      </c>
      <c r="I16" s="425">
        <v>2.5999999999999999E-2</v>
      </c>
      <c r="J16" s="190">
        <f xml:space="preserve"> H16 - I16</f>
        <v>-2.5999999999999999E-2</v>
      </c>
      <c r="K16" s="196">
        <f xml:space="preserve"> G16 + J16</f>
        <v>1.6519999999999999</v>
      </c>
      <c r="M16" s="1339">
        <f t="shared" ref="M16:M19" si="4" xml:space="preserve"> IF( SUM( O16:S16 ) = 0, 0, $P$6 )</f>
        <v>0</v>
      </c>
      <c r="P16" s="93">
        <f t="shared" si="2"/>
        <v>0</v>
      </c>
      <c r="Q16" s="93">
        <f t="shared" si="2"/>
        <v>0</v>
      </c>
      <c r="R16" s="93">
        <f t="shared" si="2"/>
        <v>0</v>
      </c>
      <c r="AA16" s="86" t="s">
        <v>299</v>
      </c>
      <c r="AB16" s="117" t="s">
        <v>300</v>
      </c>
      <c r="AC16" s="117"/>
      <c r="AD16" s="88" t="s">
        <v>49</v>
      </c>
      <c r="AE16" s="89">
        <v>3</v>
      </c>
      <c r="AF16" s="2385" t="s">
        <v>301</v>
      </c>
      <c r="AG16" s="2380" t="s">
        <v>302</v>
      </c>
      <c r="AH16" s="2381" t="s">
        <v>303</v>
      </c>
      <c r="AI16" s="190" t="s">
        <v>304</v>
      </c>
      <c r="AJ16" s="196" t="s">
        <v>305</v>
      </c>
    </row>
    <row r="17" spans="2:36">
      <c r="B17" s="94" t="s">
        <v>306</v>
      </c>
      <c r="C17" s="87" t="s">
        <v>307</v>
      </c>
      <c r="D17" s="87"/>
      <c r="E17" s="95" t="s">
        <v>49</v>
      </c>
      <c r="F17" s="96">
        <v>3</v>
      </c>
      <c r="G17" s="463">
        <v>30.648</v>
      </c>
      <c r="H17" s="412">
        <v>0.19600000000000001</v>
      </c>
      <c r="I17" s="413">
        <v>0</v>
      </c>
      <c r="J17" s="191">
        <f xml:space="preserve"> H17 - I17</f>
        <v>0.19600000000000001</v>
      </c>
      <c r="K17" s="197">
        <f xml:space="preserve"> G17 + J17</f>
        <v>30.844000000000001</v>
      </c>
      <c r="M17" s="1339">
        <f t="shared" si="4"/>
        <v>0</v>
      </c>
      <c r="P17" s="93">
        <f t="shared" si="2"/>
        <v>0</v>
      </c>
      <c r="Q17" s="93">
        <f t="shared" si="2"/>
        <v>0</v>
      </c>
      <c r="R17" s="93">
        <f t="shared" si="2"/>
        <v>0</v>
      </c>
      <c r="AA17" s="94" t="s">
        <v>306</v>
      </c>
      <c r="AB17" s="87" t="s">
        <v>307</v>
      </c>
      <c r="AC17" s="87"/>
      <c r="AD17" s="95" t="s">
        <v>49</v>
      </c>
      <c r="AE17" s="96">
        <v>3</v>
      </c>
      <c r="AF17" s="2386" t="s">
        <v>308</v>
      </c>
      <c r="AG17" s="2383" t="s">
        <v>309</v>
      </c>
      <c r="AH17" s="2384" t="s">
        <v>310</v>
      </c>
      <c r="AI17" s="191" t="s">
        <v>311</v>
      </c>
      <c r="AJ17" s="197" t="s">
        <v>312</v>
      </c>
    </row>
    <row r="18" spans="2:36">
      <c r="B18" s="94" t="s">
        <v>313</v>
      </c>
      <c r="C18" s="87" t="s">
        <v>278</v>
      </c>
      <c r="D18" s="87"/>
      <c r="E18" s="95" t="s">
        <v>49</v>
      </c>
      <c r="F18" s="96">
        <v>3</v>
      </c>
      <c r="G18" s="463">
        <v>0</v>
      </c>
      <c r="H18" s="412">
        <v>0</v>
      </c>
      <c r="I18" s="413">
        <v>0</v>
      </c>
      <c r="J18" s="191">
        <f xml:space="preserve"> H18 - I18</f>
        <v>0</v>
      </c>
      <c r="K18" s="197">
        <f xml:space="preserve"> G18 + J18</f>
        <v>0</v>
      </c>
      <c r="M18" s="1339">
        <f t="shared" si="4"/>
        <v>0</v>
      </c>
      <c r="P18" s="93">
        <f t="shared" si="2"/>
        <v>0</v>
      </c>
      <c r="Q18" s="93">
        <f t="shared" si="2"/>
        <v>0</v>
      </c>
      <c r="R18" s="93">
        <f t="shared" si="2"/>
        <v>0</v>
      </c>
      <c r="AA18" s="94" t="s">
        <v>313</v>
      </c>
      <c r="AB18" s="87" t="s">
        <v>278</v>
      </c>
      <c r="AC18" s="87"/>
      <c r="AD18" s="95" t="s">
        <v>49</v>
      </c>
      <c r="AE18" s="96">
        <v>3</v>
      </c>
      <c r="AF18" s="2386" t="s">
        <v>314</v>
      </c>
      <c r="AG18" s="2383" t="s">
        <v>315</v>
      </c>
      <c r="AH18" s="2384" t="s">
        <v>316</v>
      </c>
      <c r="AI18" s="191" t="s">
        <v>317</v>
      </c>
      <c r="AJ18" s="197" t="s">
        <v>318</v>
      </c>
    </row>
    <row r="19" spans="2:36">
      <c r="B19" s="94" t="s">
        <v>319</v>
      </c>
      <c r="C19" s="87" t="s">
        <v>320</v>
      </c>
      <c r="D19" s="87"/>
      <c r="E19" s="95" t="s">
        <v>49</v>
      </c>
      <c r="F19" s="96">
        <v>3</v>
      </c>
      <c r="G19" s="463">
        <v>10.102</v>
      </c>
      <c r="H19" s="412">
        <v>0</v>
      </c>
      <c r="I19" s="413">
        <v>0</v>
      </c>
      <c r="J19" s="191">
        <f xml:space="preserve"> H19 - I19</f>
        <v>0</v>
      </c>
      <c r="K19" s="197">
        <f xml:space="preserve"> G19 + J19</f>
        <v>10.102</v>
      </c>
      <c r="M19" s="1339">
        <f t="shared" si="4"/>
        <v>0</v>
      </c>
      <c r="P19" s="93">
        <f t="shared" si="2"/>
        <v>0</v>
      </c>
      <c r="Q19" s="93">
        <f t="shared" si="2"/>
        <v>0</v>
      </c>
      <c r="R19" s="93">
        <f t="shared" si="2"/>
        <v>0</v>
      </c>
      <c r="AA19" s="94" t="s">
        <v>319</v>
      </c>
      <c r="AB19" s="87" t="s">
        <v>320</v>
      </c>
      <c r="AC19" s="87"/>
      <c r="AD19" s="95" t="s">
        <v>49</v>
      </c>
      <c r="AE19" s="96">
        <v>3</v>
      </c>
      <c r="AF19" s="2386" t="s">
        <v>321</v>
      </c>
      <c r="AG19" s="2383" t="s">
        <v>322</v>
      </c>
      <c r="AH19" s="2384" t="s">
        <v>323</v>
      </c>
      <c r="AI19" s="191" t="s">
        <v>324</v>
      </c>
      <c r="AJ19" s="197" t="s">
        <v>325</v>
      </c>
    </row>
    <row r="20" spans="2:36" ht="14.5" thickBot="1">
      <c r="B20" s="101" t="s">
        <v>326</v>
      </c>
      <c r="C20" s="102" t="s">
        <v>327</v>
      </c>
      <c r="D20" s="102"/>
      <c r="E20" s="103" t="s">
        <v>49</v>
      </c>
      <c r="F20" s="100">
        <v>3</v>
      </c>
      <c r="G20" s="195">
        <f>SUM( G16:G19 )</f>
        <v>42.427999999999997</v>
      </c>
      <c r="H20" s="200">
        <f>SUM( H16:H19 )</f>
        <v>0.19600000000000001</v>
      </c>
      <c r="I20" s="195">
        <f>SUM( I16:I19 )</f>
        <v>2.5999999999999999E-2</v>
      </c>
      <c r="J20" s="195">
        <f xml:space="preserve"> H20 - I20</f>
        <v>0.17</v>
      </c>
      <c r="K20" s="198">
        <f xml:space="preserve"> G20 + J20</f>
        <v>42.597999999999999</v>
      </c>
      <c r="M20" s="126"/>
      <c r="AA20" s="101" t="s">
        <v>326</v>
      </c>
      <c r="AB20" s="102" t="s">
        <v>327</v>
      </c>
      <c r="AC20" s="102"/>
      <c r="AD20" s="103" t="s">
        <v>49</v>
      </c>
      <c r="AE20" s="100">
        <v>3</v>
      </c>
      <c r="AF20" s="195" t="s">
        <v>328</v>
      </c>
      <c r="AG20" s="200" t="s">
        <v>329</v>
      </c>
      <c r="AH20" s="195" t="s">
        <v>330</v>
      </c>
      <c r="AI20" s="195" t="s">
        <v>331</v>
      </c>
      <c r="AJ20" s="198" t="s">
        <v>332</v>
      </c>
    </row>
    <row r="21" spans="2:36" ht="14.5" thickBot="1">
      <c r="M21" s="126"/>
    </row>
    <row r="22" spans="2:36" ht="14.5" thickBot="1">
      <c r="B22" s="2865" t="s">
        <v>333</v>
      </c>
      <c r="C22" s="83" t="s">
        <v>334</v>
      </c>
      <c r="D22" s="1473"/>
      <c r="M22" s="126"/>
      <c r="AA22" s="2865" t="s">
        <v>333</v>
      </c>
      <c r="AB22" s="83" t="s">
        <v>334</v>
      </c>
      <c r="AC22" s="1473"/>
    </row>
    <row r="23" spans="2:36">
      <c r="B23" s="86" t="s">
        <v>335</v>
      </c>
      <c r="C23" s="117" t="s">
        <v>336</v>
      </c>
      <c r="D23" s="117"/>
      <c r="E23" s="88" t="s">
        <v>49</v>
      </c>
      <c r="F23" s="89">
        <v>3</v>
      </c>
      <c r="G23" s="467">
        <v>-26.396999999999998</v>
      </c>
      <c r="H23" s="414">
        <v>0</v>
      </c>
      <c r="I23" s="425">
        <v>-1.484</v>
      </c>
      <c r="J23" s="190">
        <f t="shared" ref="J23:J31" si="5" xml:space="preserve"> H23 - I23</f>
        <v>1.484</v>
      </c>
      <c r="K23" s="196">
        <f t="shared" ref="K23:K31" si="6" xml:space="preserve"> G23 + J23</f>
        <v>-24.912999999999997</v>
      </c>
      <c r="M23" s="1339">
        <f t="shared" ref="M23:M28" si="7" xml:space="preserve"> IF( SUM( O23:S23 ) = 0, 0, $P$6 )</f>
        <v>0</v>
      </c>
      <c r="O23" s="124"/>
      <c r="P23" s="93">
        <f t="shared" ref="P23:R49" si="8" xml:space="preserve"> IF( ISNUMBER( G23 ), 0, 1 )</f>
        <v>0</v>
      </c>
      <c r="Q23" s="93">
        <f t="shared" si="8"/>
        <v>0</v>
      </c>
      <c r="R23" s="93">
        <f t="shared" si="8"/>
        <v>0</v>
      </c>
      <c r="S23" s="124"/>
      <c r="AA23" s="86" t="s">
        <v>335</v>
      </c>
      <c r="AB23" s="117" t="s">
        <v>336</v>
      </c>
      <c r="AC23" s="117"/>
      <c r="AD23" s="88" t="s">
        <v>49</v>
      </c>
      <c r="AE23" s="89">
        <v>3</v>
      </c>
      <c r="AF23" s="2385" t="s">
        <v>337</v>
      </c>
      <c r="AG23" s="2380" t="s">
        <v>338</v>
      </c>
      <c r="AH23" s="2381" t="s">
        <v>339</v>
      </c>
      <c r="AI23" s="190" t="s">
        <v>340</v>
      </c>
      <c r="AJ23" s="196" t="s">
        <v>341</v>
      </c>
    </row>
    <row r="24" spans="2:36">
      <c r="B24" s="94" t="s">
        <v>342</v>
      </c>
      <c r="C24" s="87" t="s">
        <v>343</v>
      </c>
      <c r="D24" s="87"/>
      <c r="E24" s="95" t="s">
        <v>49</v>
      </c>
      <c r="F24" s="96">
        <v>3</v>
      </c>
      <c r="G24" s="463">
        <v>-10.067</v>
      </c>
      <c r="H24" s="412">
        <v>0</v>
      </c>
      <c r="I24" s="413">
        <v>0</v>
      </c>
      <c r="J24" s="191">
        <f t="shared" si="5"/>
        <v>0</v>
      </c>
      <c r="K24" s="197">
        <f t="shared" si="6"/>
        <v>-10.067</v>
      </c>
      <c r="M24" s="1339">
        <f t="shared" si="7"/>
        <v>0</v>
      </c>
      <c r="O24" s="119"/>
      <c r="P24" s="93">
        <f t="shared" si="8"/>
        <v>0</v>
      </c>
      <c r="Q24" s="93">
        <f t="shared" si="8"/>
        <v>0</v>
      </c>
      <c r="R24" s="93">
        <f t="shared" si="8"/>
        <v>0</v>
      </c>
      <c r="S24" s="119"/>
      <c r="AA24" s="94" t="s">
        <v>342</v>
      </c>
      <c r="AB24" s="87" t="s">
        <v>343</v>
      </c>
      <c r="AC24" s="87"/>
      <c r="AD24" s="95" t="s">
        <v>49</v>
      </c>
      <c r="AE24" s="96">
        <v>3</v>
      </c>
      <c r="AF24" s="2386" t="s">
        <v>344</v>
      </c>
      <c r="AG24" s="2383" t="s">
        <v>345</v>
      </c>
      <c r="AH24" s="2384" t="s">
        <v>346</v>
      </c>
      <c r="AI24" s="191" t="s">
        <v>347</v>
      </c>
      <c r="AJ24" s="197" t="s">
        <v>348</v>
      </c>
    </row>
    <row r="25" spans="2:36">
      <c r="B25" s="94" t="s">
        <v>349</v>
      </c>
      <c r="C25" s="87" t="s">
        <v>350</v>
      </c>
      <c r="D25" s="87"/>
      <c r="E25" s="95" t="s">
        <v>49</v>
      </c>
      <c r="F25" s="96">
        <v>3</v>
      </c>
      <c r="G25" s="463">
        <v>-0.873</v>
      </c>
      <c r="H25" s="412">
        <v>0</v>
      </c>
      <c r="I25" s="413">
        <v>0</v>
      </c>
      <c r="J25" s="191">
        <f t="shared" si="5"/>
        <v>0</v>
      </c>
      <c r="K25" s="197">
        <f t="shared" si="6"/>
        <v>-0.873</v>
      </c>
      <c r="M25" s="1339">
        <f t="shared" si="7"/>
        <v>0</v>
      </c>
      <c r="O25" s="119"/>
      <c r="P25" s="93">
        <f t="shared" si="8"/>
        <v>0</v>
      </c>
      <c r="Q25" s="93">
        <f t="shared" si="8"/>
        <v>0</v>
      </c>
      <c r="R25" s="93">
        <f t="shared" si="8"/>
        <v>0</v>
      </c>
      <c r="S25" s="119"/>
      <c r="AA25" s="94" t="s">
        <v>349</v>
      </c>
      <c r="AB25" s="87" t="s">
        <v>350</v>
      </c>
      <c r="AC25" s="87"/>
      <c r="AD25" s="95" t="s">
        <v>49</v>
      </c>
      <c r="AE25" s="96">
        <v>3</v>
      </c>
      <c r="AF25" s="2386" t="s">
        <v>351</v>
      </c>
      <c r="AG25" s="2383" t="s">
        <v>352</v>
      </c>
      <c r="AH25" s="2384" t="s">
        <v>353</v>
      </c>
      <c r="AI25" s="191" t="s">
        <v>354</v>
      </c>
      <c r="AJ25" s="197" t="s">
        <v>355</v>
      </c>
    </row>
    <row r="26" spans="2:36">
      <c r="B26" s="94" t="s">
        <v>356</v>
      </c>
      <c r="C26" s="87" t="s">
        <v>278</v>
      </c>
      <c r="D26" s="87"/>
      <c r="E26" s="95" t="s">
        <v>49</v>
      </c>
      <c r="F26" s="96">
        <v>3</v>
      </c>
      <c r="G26" s="463">
        <v>0</v>
      </c>
      <c r="H26" s="412">
        <v>0</v>
      </c>
      <c r="I26" s="413">
        <v>0</v>
      </c>
      <c r="J26" s="191">
        <f t="shared" si="5"/>
        <v>0</v>
      </c>
      <c r="K26" s="197">
        <f t="shared" si="6"/>
        <v>0</v>
      </c>
      <c r="M26" s="1339">
        <f t="shared" si="7"/>
        <v>0</v>
      </c>
      <c r="O26" s="119"/>
      <c r="P26" s="93">
        <f t="shared" si="8"/>
        <v>0</v>
      </c>
      <c r="Q26" s="93">
        <f t="shared" si="8"/>
        <v>0</v>
      </c>
      <c r="R26" s="93">
        <f t="shared" si="8"/>
        <v>0</v>
      </c>
      <c r="S26" s="119"/>
      <c r="AA26" s="94" t="s">
        <v>356</v>
      </c>
      <c r="AB26" s="87" t="s">
        <v>278</v>
      </c>
      <c r="AC26" s="87"/>
      <c r="AD26" s="95" t="s">
        <v>49</v>
      </c>
      <c r="AE26" s="96">
        <v>3</v>
      </c>
      <c r="AF26" s="2386" t="s">
        <v>357</v>
      </c>
      <c r="AG26" s="2383" t="s">
        <v>358</v>
      </c>
      <c r="AH26" s="2384" t="s">
        <v>359</v>
      </c>
      <c r="AI26" s="191" t="s">
        <v>360</v>
      </c>
      <c r="AJ26" s="197" t="s">
        <v>361</v>
      </c>
    </row>
    <row r="27" spans="2:36">
      <c r="B27" s="94" t="s">
        <v>362</v>
      </c>
      <c r="C27" s="87" t="s">
        <v>363</v>
      </c>
      <c r="D27" s="87"/>
      <c r="E27" s="95" t="s">
        <v>49</v>
      </c>
      <c r="F27" s="96">
        <v>3</v>
      </c>
      <c r="G27" s="463">
        <v>1.3759999999999999</v>
      </c>
      <c r="H27" s="412">
        <v>0</v>
      </c>
      <c r="I27" s="413">
        <v>0</v>
      </c>
      <c r="J27" s="191">
        <f t="shared" si="5"/>
        <v>0</v>
      </c>
      <c r="K27" s="197">
        <f t="shared" si="6"/>
        <v>1.3759999999999999</v>
      </c>
      <c r="M27" s="1339">
        <f t="shared" si="7"/>
        <v>0</v>
      </c>
      <c r="O27" s="119"/>
      <c r="P27" s="93">
        <f t="shared" si="8"/>
        <v>0</v>
      </c>
      <c r="Q27" s="93">
        <f t="shared" si="8"/>
        <v>0</v>
      </c>
      <c r="R27" s="93">
        <f t="shared" si="8"/>
        <v>0</v>
      </c>
      <c r="S27" s="119"/>
      <c r="AA27" s="94" t="s">
        <v>362</v>
      </c>
      <c r="AB27" s="87" t="s">
        <v>363</v>
      </c>
      <c r="AC27" s="87"/>
      <c r="AD27" s="95" t="s">
        <v>49</v>
      </c>
      <c r="AE27" s="96">
        <v>3</v>
      </c>
      <c r="AF27" s="2386" t="s">
        <v>364</v>
      </c>
      <c r="AG27" s="2383" t="s">
        <v>365</v>
      </c>
      <c r="AH27" s="2384" t="s">
        <v>366</v>
      </c>
      <c r="AI27" s="191" t="s">
        <v>367</v>
      </c>
      <c r="AJ27" s="197" t="s">
        <v>368</v>
      </c>
    </row>
    <row r="28" spans="2:36">
      <c r="B28" s="94" t="s">
        <v>369</v>
      </c>
      <c r="C28" s="87" t="s">
        <v>370</v>
      </c>
      <c r="D28" s="87"/>
      <c r="E28" s="95" t="s">
        <v>49</v>
      </c>
      <c r="F28" s="96">
        <v>3</v>
      </c>
      <c r="G28" s="463">
        <v>-8.2390000000000008</v>
      </c>
      <c r="H28" s="412">
        <v>0</v>
      </c>
      <c r="I28" s="413">
        <v>0</v>
      </c>
      <c r="J28" s="191">
        <f t="shared" si="5"/>
        <v>0</v>
      </c>
      <c r="K28" s="197">
        <f t="shared" si="6"/>
        <v>-8.2390000000000008</v>
      </c>
      <c r="M28" s="1339">
        <f t="shared" si="7"/>
        <v>0</v>
      </c>
      <c r="O28" s="119"/>
      <c r="P28" s="93">
        <f t="shared" si="8"/>
        <v>0</v>
      </c>
      <c r="Q28" s="93">
        <f t="shared" si="8"/>
        <v>0</v>
      </c>
      <c r="R28" s="93">
        <f t="shared" si="8"/>
        <v>0</v>
      </c>
      <c r="S28" s="119"/>
      <c r="AA28" s="94" t="s">
        <v>369</v>
      </c>
      <c r="AB28" s="87" t="s">
        <v>370</v>
      </c>
      <c r="AC28" s="87"/>
      <c r="AD28" s="95" t="s">
        <v>49</v>
      </c>
      <c r="AE28" s="96">
        <v>3</v>
      </c>
      <c r="AF28" s="2386" t="s">
        <v>371</v>
      </c>
      <c r="AG28" s="2383" t="s">
        <v>372</v>
      </c>
      <c r="AH28" s="2384" t="s">
        <v>373</v>
      </c>
      <c r="AI28" s="191" t="s">
        <v>374</v>
      </c>
      <c r="AJ28" s="197" t="s">
        <v>375</v>
      </c>
    </row>
    <row r="29" spans="2:36" ht="14.5" thickBot="1">
      <c r="B29" s="101" t="s">
        <v>376</v>
      </c>
      <c r="C29" s="102" t="s">
        <v>377</v>
      </c>
      <c r="D29" s="102"/>
      <c r="E29" s="103" t="s">
        <v>49</v>
      </c>
      <c r="F29" s="100">
        <v>3</v>
      </c>
      <c r="G29" s="200">
        <f xml:space="preserve"> SUM( G23:G28 )</f>
        <v>-44.2</v>
      </c>
      <c r="H29" s="193">
        <f xml:space="preserve"> SUM( H23:H28 )</f>
        <v>0</v>
      </c>
      <c r="I29" s="194">
        <f xml:space="preserve"> SUM( I23:I28 )</f>
        <v>-1.484</v>
      </c>
      <c r="J29" s="195">
        <f t="shared" si="5"/>
        <v>1.484</v>
      </c>
      <c r="K29" s="198">
        <f t="shared" si="6"/>
        <v>-42.716000000000001</v>
      </c>
      <c r="M29" s="126"/>
      <c r="N29" s="120"/>
      <c r="O29" s="119"/>
      <c r="P29" s="120"/>
      <c r="Q29" s="120"/>
      <c r="R29" s="120"/>
      <c r="S29" s="119"/>
      <c r="AA29" s="101" t="s">
        <v>376</v>
      </c>
      <c r="AB29" s="102" t="s">
        <v>377</v>
      </c>
      <c r="AC29" s="102"/>
      <c r="AD29" s="103" t="s">
        <v>49</v>
      </c>
      <c r="AE29" s="100">
        <v>3</v>
      </c>
      <c r="AF29" s="200" t="s">
        <v>378</v>
      </c>
      <c r="AG29" s="193" t="s">
        <v>379</v>
      </c>
      <c r="AH29" s="194" t="s">
        <v>380</v>
      </c>
      <c r="AI29" s="195" t="s">
        <v>381</v>
      </c>
      <c r="AJ29" s="198" t="s">
        <v>382</v>
      </c>
    </row>
    <row r="30" spans="2:36" ht="14.5" thickBot="1">
      <c r="M30" s="126"/>
    </row>
    <row r="31" spans="2:36" ht="14.5" thickBot="1">
      <c r="B31" s="131" t="s">
        <v>383</v>
      </c>
      <c r="C31" s="132" t="s">
        <v>384</v>
      </c>
      <c r="D31" s="132"/>
      <c r="E31" s="133" t="s">
        <v>49</v>
      </c>
      <c r="F31" s="134">
        <v>3</v>
      </c>
      <c r="G31" s="743">
        <f xml:space="preserve"> G20 + G29</f>
        <v>-1.7720000000000056</v>
      </c>
      <c r="H31" s="744">
        <f xml:space="preserve"> H20 + H29</f>
        <v>0.19600000000000001</v>
      </c>
      <c r="I31" s="745">
        <f xml:space="preserve"> I20 + I29</f>
        <v>-1.458</v>
      </c>
      <c r="J31" s="247">
        <f t="shared" si="5"/>
        <v>1.6539999999999999</v>
      </c>
      <c r="K31" s="490">
        <f t="shared" si="6"/>
        <v>-0.11800000000000566</v>
      </c>
      <c r="M31" s="126"/>
      <c r="N31" s="120"/>
      <c r="O31" s="119"/>
      <c r="P31" s="120"/>
      <c r="Q31" s="120"/>
      <c r="R31" s="120"/>
      <c r="S31" s="119"/>
      <c r="AA31" s="131" t="s">
        <v>383</v>
      </c>
      <c r="AB31" s="132" t="s">
        <v>384</v>
      </c>
      <c r="AC31" s="132"/>
      <c r="AD31" s="133" t="s">
        <v>49</v>
      </c>
      <c r="AE31" s="134">
        <v>3</v>
      </c>
      <c r="AF31" s="743" t="s">
        <v>385</v>
      </c>
      <c r="AG31" s="744" t="s">
        <v>386</v>
      </c>
      <c r="AH31" s="745" t="s">
        <v>387</v>
      </c>
      <c r="AI31" s="247" t="s">
        <v>388</v>
      </c>
      <c r="AJ31" s="490" t="s">
        <v>389</v>
      </c>
    </row>
    <row r="32" spans="2:36" ht="14.5" thickBot="1">
      <c r="M32" s="126"/>
      <c r="O32" s="119"/>
      <c r="S32" s="119"/>
    </row>
    <row r="33" spans="2:36" ht="14.5" thickBot="1">
      <c r="B33" s="2865" t="s">
        <v>390</v>
      </c>
      <c r="C33" s="83" t="s">
        <v>391</v>
      </c>
      <c r="D33" s="1473"/>
      <c r="M33" s="126"/>
      <c r="O33" s="119"/>
      <c r="S33" s="119"/>
      <c r="AA33" s="2865" t="s">
        <v>390</v>
      </c>
      <c r="AB33" s="83" t="s">
        <v>391</v>
      </c>
      <c r="AC33" s="1473"/>
    </row>
    <row r="34" spans="2:36">
      <c r="B34" s="86" t="s">
        <v>392</v>
      </c>
      <c r="C34" s="117" t="s">
        <v>336</v>
      </c>
      <c r="D34" s="117"/>
      <c r="E34" s="88" t="s">
        <v>49</v>
      </c>
      <c r="F34" s="215">
        <v>3</v>
      </c>
      <c r="G34" s="428">
        <v>0</v>
      </c>
      <c r="H34" s="414">
        <v>0</v>
      </c>
      <c r="I34" s="425">
        <v>0</v>
      </c>
      <c r="J34" s="190">
        <f t="shared" ref="J34:J45" si="9" xml:space="preserve"> H34 - I34</f>
        <v>0</v>
      </c>
      <c r="K34" s="199">
        <f t="shared" ref="K34:K45" si="10" xml:space="preserve"> G34 + J34</f>
        <v>0</v>
      </c>
      <c r="M34" s="1339">
        <f t="shared" ref="M34:M42" si="11" xml:space="preserve"> IF( SUM( O34:S34 ) = 0, 0, $P$6 )</f>
        <v>0</v>
      </c>
      <c r="O34" s="124"/>
      <c r="P34" s="401">
        <f t="shared" si="8"/>
        <v>0</v>
      </c>
      <c r="Q34" s="401">
        <f t="shared" si="8"/>
        <v>0</v>
      </c>
      <c r="R34" s="401">
        <f t="shared" si="8"/>
        <v>0</v>
      </c>
      <c r="S34" s="124"/>
      <c r="AA34" s="86" t="s">
        <v>392</v>
      </c>
      <c r="AB34" s="117" t="s">
        <v>336</v>
      </c>
      <c r="AC34" s="117"/>
      <c r="AD34" s="88" t="s">
        <v>49</v>
      </c>
      <c r="AE34" s="215">
        <v>3</v>
      </c>
      <c r="AF34" s="2400" t="s">
        <v>393</v>
      </c>
      <c r="AG34" s="2380" t="s">
        <v>394</v>
      </c>
      <c r="AH34" s="2381" t="s">
        <v>395</v>
      </c>
      <c r="AI34" s="190" t="s">
        <v>396</v>
      </c>
      <c r="AJ34" s="199" t="s">
        <v>397</v>
      </c>
    </row>
    <row r="35" spans="2:36">
      <c r="B35" s="170" t="s">
        <v>398</v>
      </c>
      <c r="C35" s="171" t="s">
        <v>350</v>
      </c>
      <c r="D35" s="171"/>
      <c r="E35" s="167" t="s">
        <v>49</v>
      </c>
      <c r="F35" s="396">
        <v>3</v>
      </c>
      <c r="G35" s="468">
        <v>-380.85899999999998</v>
      </c>
      <c r="H35" s="469">
        <v>0</v>
      </c>
      <c r="I35" s="470">
        <v>0</v>
      </c>
      <c r="J35" s="397">
        <f t="shared" si="9"/>
        <v>0</v>
      </c>
      <c r="K35" s="398">
        <f t="shared" si="10"/>
        <v>-380.85899999999998</v>
      </c>
      <c r="M35" s="1339">
        <f t="shared" si="11"/>
        <v>0</v>
      </c>
      <c r="O35" s="124"/>
      <c r="P35" s="93">
        <f t="shared" si="8"/>
        <v>0</v>
      </c>
      <c r="Q35" s="93">
        <f t="shared" si="8"/>
        <v>0</v>
      </c>
      <c r="R35" s="93">
        <f t="shared" si="8"/>
        <v>0</v>
      </c>
      <c r="S35" s="124"/>
      <c r="AA35" s="170" t="s">
        <v>398</v>
      </c>
      <c r="AB35" s="171" t="s">
        <v>350</v>
      </c>
      <c r="AC35" s="171"/>
      <c r="AD35" s="167" t="s">
        <v>49</v>
      </c>
      <c r="AE35" s="396">
        <v>3</v>
      </c>
      <c r="AF35" s="2401" t="s">
        <v>399</v>
      </c>
      <c r="AG35" s="2402" t="s">
        <v>400</v>
      </c>
      <c r="AH35" s="2403" t="s">
        <v>401</v>
      </c>
      <c r="AI35" s="397" t="s">
        <v>402</v>
      </c>
      <c r="AJ35" s="398" t="s">
        <v>403</v>
      </c>
    </row>
    <row r="36" spans="2:36">
      <c r="B36" s="170" t="s">
        <v>404</v>
      </c>
      <c r="C36" s="171" t="s">
        <v>278</v>
      </c>
      <c r="D36" s="171"/>
      <c r="E36" s="167" t="s">
        <v>49</v>
      </c>
      <c r="F36" s="396">
        <v>3</v>
      </c>
      <c r="G36" s="468">
        <v>0</v>
      </c>
      <c r="H36" s="469">
        <v>0</v>
      </c>
      <c r="I36" s="470">
        <v>0</v>
      </c>
      <c r="J36" s="397">
        <f t="shared" si="9"/>
        <v>0</v>
      </c>
      <c r="K36" s="398">
        <f t="shared" si="10"/>
        <v>0</v>
      </c>
      <c r="M36" s="1339">
        <f t="shared" si="11"/>
        <v>0</v>
      </c>
      <c r="O36" s="124"/>
      <c r="P36" s="93">
        <f t="shared" si="8"/>
        <v>0</v>
      </c>
      <c r="Q36" s="93">
        <f t="shared" si="8"/>
        <v>0</v>
      </c>
      <c r="R36" s="93">
        <f t="shared" si="8"/>
        <v>0</v>
      </c>
      <c r="S36" s="124"/>
      <c r="AA36" s="170" t="s">
        <v>404</v>
      </c>
      <c r="AB36" s="171" t="s">
        <v>278</v>
      </c>
      <c r="AC36" s="171"/>
      <c r="AD36" s="167" t="s">
        <v>49</v>
      </c>
      <c r="AE36" s="396">
        <v>3</v>
      </c>
      <c r="AF36" s="2401" t="s">
        <v>405</v>
      </c>
      <c r="AG36" s="2402" t="s">
        <v>406</v>
      </c>
      <c r="AH36" s="2403" t="s">
        <v>407</v>
      </c>
      <c r="AI36" s="397" t="s">
        <v>408</v>
      </c>
      <c r="AJ36" s="398" t="s">
        <v>409</v>
      </c>
    </row>
    <row r="37" spans="2:36">
      <c r="B37" s="170" t="s">
        <v>410</v>
      </c>
      <c r="C37" s="171" t="s">
        <v>411</v>
      </c>
      <c r="D37" s="171"/>
      <c r="E37" s="167" t="s">
        <v>49</v>
      </c>
      <c r="F37" s="396">
        <v>3</v>
      </c>
      <c r="G37" s="468">
        <v>0</v>
      </c>
      <c r="H37" s="469">
        <v>0</v>
      </c>
      <c r="I37" s="470">
        <v>0</v>
      </c>
      <c r="J37" s="397">
        <f t="shared" si="9"/>
        <v>0</v>
      </c>
      <c r="K37" s="398">
        <f t="shared" si="10"/>
        <v>0</v>
      </c>
      <c r="M37" s="1339">
        <f t="shared" si="11"/>
        <v>0</v>
      </c>
      <c r="O37" s="124"/>
      <c r="P37" s="93">
        <f t="shared" si="8"/>
        <v>0</v>
      </c>
      <c r="Q37" s="93">
        <f t="shared" si="8"/>
        <v>0</v>
      </c>
      <c r="R37" s="93">
        <f t="shared" si="8"/>
        <v>0</v>
      </c>
      <c r="S37" s="124"/>
      <c r="AA37" s="170" t="s">
        <v>410</v>
      </c>
      <c r="AB37" s="171" t="s">
        <v>411</v>
      </c>
      <c r="AC37" s="171"/>
      <c r="AD37" s="167" t="s">
        <v>49</v>
      </c>
      <c r="AE37" s="396">
        <v>3</v>
      </c>
      <c r="AF37" s="2401" t="s">
        <v>412</v>
      </c>
      <c r="AG37" s="2402" t="s">
        <v>413</v>
      </c>
      <c r="AH37" s="2403" t="s">
        <v>414</v>
      </c>
      <c r="AI37" s="397" t="s">
        <v>415</v>
      </c>
      <c r="AJ37" s="398" t="s">
        <v>416</v>
      </c>
    </row>
    <row r="38" spans="2:36">
      <c r="B38" s="170" t="s">
        <v>417</v>
      </c>
      <c r="C38" s="171" t="s">
        <v>370</v>
      </c>
      <c r="D38" s="171"/>
      <c r="E38" s="167" t="s">
        <v>49</v>
      </c>
      <c r="F38" s="396">
        <v>3</v>
      </c>
      <c r="G38" s="468">
        <v>0</v>
      </c>
      <c r="H38" s="469">
        <v>0</v>
      </c>
      <c r="I38" s="470">
        <v>0</v>
      </c>
      <c r="J38" s="397">
        <f t="shared" si="9"/>
        <v>0</v>
      </c>
      <c r="K38" s="398">
        <f t="shared" si="10"/>
        <v>0</v>
      </c>
      <c r="M38" s="1339">
        <f t="shared" si="11"/>
        <v>0</v>
      </c>
      <c r="O38" s="124"/>
      <c r="P38" s="93">
        <f t="shared" si="8"/>
        <v>0</v>
      </c>
      <c r="Q38" s="93">
        <f t="shared" si="8"/>
        <v>0</v>
      </c>
      <c r="R38" s="93">
        <f t="shared" si="8"/>
        <v>0</v>
      </c>
      <c r="S38" s="124"/>
      <c r="AA38" s="170" t="s">
        <v>417</v>
      </c>
      <c r="AB38" s="171" t="s">
        <v>370</v>
      </c>
      <c r="AC38" s="171"/>
      <c r="AD38" s="167" t="s">
        <v>49</v>
      </c>
      <c r="AE38" s="396">
        <v>3</v>
      </c>
      <c r="AF38" s="2401" t="s">
        <v>418</v>
      </c>
      <c r="AG38" s="2402" t="s">
        <v>419</v>
      </c>
      <c r="AH38" s="2403" t="s">
        <v>420</v>
      </c>
      <c r="AI38" s="397" t="s">
        <v>421</v>
      </c>
      <c r="AJ38" s="398" t="s">
        <v>422</v>
      </c>
    </row>
    <row r="39" spans="2:36">
      <c r="B39" s="170" t="s">
        <v>423</v>
      </c>
      <c r="C39" s="171" t="s">
        <v>424</v>
      </c>
      <c r="D39" s="171"/>
      <c r="E39" s="167" t="s">
        <v>49</v>
      </c>
      <c r="F39" s="396">
        <v>3</v>
      </c>
      <c r="G39" s="468">
        <v>-82.132000000000005</v>
      </c>
      <c r="H39" s="469">
        <v>0</v>
      </c>
      <c r="I39" s="470">
        <v>0</v>
      </c>
      <c r="J39" s="397">
        <f t="shared" si="9"/>
        <v>0</v>
      </c>
      <c r="K39" s="398">
        <f t="shared" si="10"/>
        <v>-82.132000000000005</v>
      </c>
      <c r="M39" s="1339">
        <f t="shared" si="11"/>
        <v>0</v>
      </c>
      <c r="O39" s="124"/>
      <c r="P39" s="93">
        <f t="shared" si="8"/>
        <v>0</v>
      </c>
      <c r="Q39" s="93">
        <f t="shared" si="8"/>
        <v>0</v>
      </c>
      <c r="R39" s="93">
        <f t="shared" si="8"/>
        <v>0</v>
      </c>
      <c r="S39" s="124"/>
      <c r="AA39" s="170" t="s">
        <v>423</v>
      </c>
      <c r="AB39" s="171" t="s">
        <v>424</v>
      </c>
      <c r="AC39" s="171"/>
      <c r="AD39" s="167" t="s">
        <v>49</v>
      </c>
      <c r="AE39" s="396">
        <v>3</v>
      </c>
      <c r="AF39" s="2233" t="s">
        <v>425</v>
      </c>
      <c r="AG39" s="2232" t="s">
        <v>426</v>
      </c>
      <c r="AH39" s="2404" t="s">
        <v>427</v>
      </c>
      <c r="AI39" s="1892" t="s">
        <v>428</v>
      </c>
      <c r="AJ39" s="1893" t="s">
        <v>429</v>
      </c>
    </row>
    <row r="40" spans="2:36">
      <c r="B40" s="170" t="s">
        <v>430</v>
      </c>
      <c r="C40" s="171" t="s">
        <v>431</v>
      </c>
      <c r="D40" s="171"/>
      <c r="E40" s="167" t="s">
        <v>49</v>
      </c>
      <c r="F40" s="396">
        <v>3</v>
      </c>
      <c r="G40" s="468">
        <v>0</v>
      </c>
      <c r="H40" s="469">
        <v>0</v>
      </c>
      <c r="I40" s="470">
        <v>0</v>
      </c>
      <c r="J40" s="397">
        <f t="shared" ref="J40" si="12" xml:space="preserve"> H40 - I40</f>
        <v>0</v>
      </c>
      <c r="K40" s="398">
        <f t="shared" ref="K40" si="13" xml:space="preserve"> G40 + J40</f>
        <v>0</v>
      </c>
      <c r="M40" s="1339">
        <f t="shared" si="11"/>
        <v>0</v>
      </c>
      <c r="O40" s="124"/>
      <c r="P40" s="93">
        <f t="shared" ref="P40" si="14" xml:space="preserve"> IF( ISNUMBER( G40 ), 0, 1 )</f>
        <v>0</v>
      </c>
      <c r="Q40" s="93">
        <f t="shared" ref="Q40" si="15" xml:space="preserve"> IF( ISNUMBER( H40 ), 0, 1 )</f>
        <v>0</v>
      </c>
      <c r="R40" s="93">
        <f t="shared" ref="R40" si="16" xml:space="preserve"> IF( ISNUMBER( I40 ), 0, 1 )</f>
        <v>0</v>
      </c>
      <c r="S40" s="124"/>
      <c r="AA40" s="170" t="s">
        <v>430</v>
      </c>
      <c r="AB40" s="171" t="s">
        <v>431</v>
      </c>
      <c r="AC40" s="171"/>
      <c r="AD40" s="167" t="s">
        <v>49</v>
      </c>
      <c r="AE40" s="396">
        <v>3</v>
      </c>
      <c r="AF40" s="2233" t="s">
        <v>432</v>
      </c>
      <c r="AG40" s="2232" t="s">
        <v>433</v>
      </c>
      <c r="AH40" s="2404" t="s">
        <v>434</v>
      </c>
      <c r="AI40" s="1892" t="s">
        <v>435</v>
      </c>
      <c r="AJ40" s="1893" t="s">
        <v>436</v>
      </c>
    </row>
    <row r="41" spans="2:36">
      <c r="B41" s="170" t="s">
        <v>437</v>
      </c>
      <c r="C41" s="171" t="s">
        <v>438</v>
      </c>
      <c r="D41" s="171"/>
      <c r="E41" s="167" t="s">
        <v>49</v>
      </c>
      <c r="F41" s="396">
        <v>3</v>
      </c>
      <c r="G41" s="468">
        <v>-12.5</v>
      </c>
      <c r="H41" s="469">
        <v>0</v>
      </c>
      <c r="I41" s="470">
        <v>0</v>
      </c>
      <c r="J41" s="397">
        <f t="shared" si="9"/>
        <v>0</v>
      </c>
      <c r="K41" s="398">
        <f t="shared" si="10"/>
        <v>-12.5</v>
      </c>
      <c r="M41" s="1339">
        <f t="shared" si="11"/>
        <v>0</v>
      </c>
      <c r="O41" s="124"/>
      <c r="P41" s="93">
        <f t="shared" si="8"/>
        <v>0</v>
      </c>
      <c r="Q41" s="93">
        <f t="shared" si="8"/>
        <v>0</v>
      </c>
      <c r="R41" s="93">
        <f t="shared" si="8"/>
        <v>0</v>
      </c>
      <c r="S41" s="124"/>
      <c r="AA41" s="170" t="s">
        <v>437</v>
      </c>
      <c r="AB41" s="171" t="s">
        <v>438</v>
      </c>
      <c r="AC41" s="171"/>
      <c r="AD41" s="167" t="s">
        <v>49</v>
      </c>
      <c r="AE41" s="396">
        <v>3</v>
      </c>
      <c r="AF41" s="2401" t="s">
        <v>439</v>
      </c>
      <c r="AG41" s="2402" t="s">
        <v>440</v>
      </c>
      <c r="AH41" s="2403" t="s">
        <v>441</v>
      </c>
      <c r="AI41" s="397" t="s">
        <v>442</v>
      </c>
      <c r="AJ41" s="398" t="s">
        <v>443</v>
      </c>
    </row>
    <row r="42" spans="2:36">
      <c r="B42" s="170" t="s">
        <v>444</v>
      </c>
      <c r="C42" s="171" t="s">
        <v>133</v>
      </c>
      <c r="D42" s="171"/>
      <c r="E42" s="167" t="s">
        <v>49</v>
      </c>
      <c r="F42" s="396">
        <v>3</v>
      </c>
      <c r="G42" s="468">
        <v>-65.759</v>
      </c>
      <c r="H42" s="469">
        <v>1.1160000000000001</v>
      </c>
      <c r="I42" s="470">
        <v>0</v>
      </c>
      <c r="J42" s="397">
        <f t="shared" si="9"/>
        <v>1.1160000000000001</v>
      </c>
      <c r="K42" s="398">
        <f t="shared" si="10"/>
        <v>-64.643000000000001</v>
      </c>
      <c r="M42" s="1339">
        <f t="shared" si="11"/>
        <v>0</v>
      </c>
      <c r="O42" s="124"/>
      <c r="P42" s="93">
        <f t="shared" si="8"/>
        <v>0</v>
      </c>
      <c r="Q42" s="93">
        <f t="shared" si="8"/>
        <v>0</v>
      </c>
      <c r="R42" s="93">
        <f t="shared" si="8"/>
        <v>0</v>
      </c>
      <c r="S42" s="124"/>
      <c r="AA42" s="170" t="s">
        <v>444</v>
      </c>
      <c r="AB42" s="171" t="s">
        <v>133</v>
      </c>
      <c r="AC42" s="171"/>
      <c r="AD42" s="167" t="s">
        <v>49</v>
      </c>
      <c r="AE42" s="396">
        <v>3</v>
      </c>
      <c r="AF42" s="2401" t="s">
        <v>445</v>
      </c>
      <c r="AG42" s="2402" t="s">
        <v>446</v>
      </c>
      <c r="AH42" s="2403" t="s">
        <v>447</v>
      </c>
      <c r="AI42" s="397" t="s">
        <v>448</v>
      </c>
      <c r="AJ42" s="398" t="s">
        <v>449</v>
      </c>
    </row>
    <row r="43" spans="2:36" ht="14.5" thickBot="1">
      <c r="B43" s="101" t="s">
        <v>450</v>
      </c>
      <c r="C43" s="102" t="s">
        <v>451</v>
      </c>
      <c r="D43" s="102"/>
      <c r="E43" s="103" t="s">
        <v>49</v>
      </c>
      <c r="F43" s="100">
        <v>3</v>
      </c>
      <c r="G43" s="200">
        <f xml:space="preserve"> SUM( G34:G42 )</f>
        <v>-541.25</v>
      </c>
      <c r="H43" s="193">
        <f xml:space="preserve"> SUM( H34:H42 )</f>
        <v>1.1160000000000001</v>
      </c>
      <c r="I43" s="194">
        <f xml:space="preserve"> SUM( I34:I42 )</f>
        <v>0</v>
      </c>
      <c r="J43" s="195">
        <f t="shared" si="9"/>
        <v>1.1160000000000001</v>
      </c>
      <c r="K43" s="198">
        <f t="shared" si="10"/>
        <v>-540.13400000000001</v>
      </c>
      <c r="M43" s="126"/>
      <c r="N43" s="120"/>
      <c r="O43" s="124"/>
      <c r="P43" s="120"/>
      <c r="Q43" s="120"/>
      <c r="R43" s="120"/>
      <c r="S43" s="124"/>
      <c r="AA43" s="101" t="s">
        <v>450</v>
      </c>
      <c r="AB43" s="102" t="s">
        <v>451</v>
      </c>
      <c r="AC43" s="102"/>
      <c r="AD43" s="103" t="s">
        <v>49</v>
      </c>
      <c r="AE43" s="100">
        <v>3</v>
      </c>
      <c r="AF43" s="200" t="s">
        <v>452</v>
      </c>
      <c r="AG43" s="193" t="s">
        <v>453</v>
      </c>
      <c r="AH43" s="194" t="s">
        <v>454</v>
      </c>
      <c r="AI43" s="195" t="s">
        <v>455</v>
      </c>
      <c r="AJ43" s="198" t="s">
        <v>456</v>
      </c>
    </row>
    <row r="44" spans="2:36" ht="14.5" thickBot="1">
      <c r="M44" s="126"/>
    </row>
    <row r="45" spans="2:36" ht="14.5" thickBot="1">
      <c r="B45" s="131" t="s">
        <v>457</v>
      </c>
      <c r="C45" s="132" t="s">
        <v>458</v>
      </c>
      <c r="D45" s="132"/>
      <c r="E45" s="133" t="s">
        <v>49</v>
      </c>
      <c r="F45" s="134">
        <v>3</v>
      </c>
      <c r="G45" s="743">
        <f xml:space="preserve"> G13 + G31 + G43</f>
        <v>217.98500000000001</v>
      </c>
      <c r="H45" s="744">
        <f xml:space="preserve"> H13 + H31 + H43</f>
        <v>-6.125</v>
      </c>
      <c r="I45" s="745">
        <f xml:space="preserve"> I13 + I31 + I43</f>
        <v>0</v>
      </c>
      <c r="J45" s="247">
        <f t="shared" si="9"/>
        <v>-6.125</v>
      </c>
      <c r="K45" s="490">
        <f t="shared" si="10"/>
        <v>211.86</v>
      </c>
      <c r="M45" s="126"/>
      <c r="N45" s="120"/>
      <c r="P45" s="120"/>
      <c r="Q45" s="120"/>
      <c r="R45" s="120"/>
      <c r="AA45" s="131" t="s">
        <v>457</v>
      </c>
      <c r="AB45" s="132" t="s">
        <v>458</v>
      </c>
      <c r="AC45" s="132"/>
      <c r="AD45" s="133" t="s">
        <v>49</v>
      </c>
      <c r="AE45" s="134">
        <v>3</v>
      </c>
      <c r="AF45" s="743" t="s">
        <v>459</v>
      </c>
      <c r="AG45" s="744" t="s">
        <v>460</v>
      </c>
      <c r="AH45" s="745" t="s">
        <v>461</v>
      </c>
      <c r="AI45" s="247" t="s">
        <v>462</v>
      </c>
      <c r="AJ45" s="490" t="s">
        <v>463</v>
      </c>
    </row>
    <row r="46" spans="2:36" ht="14.5" thickBot="1">
      <c r="M46" s="126"/>
    </row>
    <row r="47" spans="2:36" ht="14.5" thickBot="1">
      <c r="B47" s="2865" t="s">
        <v>464</v>
      </c>
      <c r="C47" s="83" t="s">
        <v>465</v>
      </c>
      <c r="D47" s="1473"/>
      <c r="M47" s="126"/>
      <c r="AA47" s="2865" t="s">
        <v>464</v>
      </c>
      <c r="AB47" s="83" t="s">
        <v>465</v>
      </c>
      <c r="AC47" s="1473"/>
    </row>
    <row r="48" spans="2:36">
      <c r="B48" s="86" t="s">
        <v>466</v>
      </c>
      <c r="C48" s="117" t="s">
        <v>467</v>
      </c>
      <c r="D48" s="117"/>
      <c r="E48" s="88" t="s">
        <v>49</v>
      </c>
      <c r="F48" s="215">
        <v>3</v>
      </c>
      <c r="G48" s="428">
        <v>5.9980000000000002</v>
      </c>
      <c r="H48" s="414">
        <v>0</v>
      </c>
      <c r="I48" s="425">
        <v>0</v>
      </c>
      <c r="J48" s="190">
        <f xml:space="preserve"> H48 - I48</f>
        <v>0</v>
      </c>
      <c r="K48" s="199">
        <f xml:space="preserve"> G48 + J48</f>
        <v>5.9980000000000002</v>
      </c>
      <c r="M48" s="1339">
        <f xml:space="preserve"> IF( SUM( O48:S48 ) = 0, 0, $P$6 )</f>
        <v>0</v>
      </c>
      <c r="P48" s="93">
        <f t="shared" si="8"/>
        <v>0</v>
      </c>
      <c r="Q48" s="93">
        <f t="shared" si="8"/>
        <v>0</v>
      </c>
      <c r="R48" s="93">
        <f t="shared" si="8"/>
        <v>0</v>
      </c>
      <c r="AA48" s="86" t="s">
        <v>466</v>
      </c>
      <c r="AB48" s="117" t="s">
        <v>467</v>
      </c>
      <c r="AC48" s="117"/>
      <c r="AD48" s="88" t="s">
        <v>49</v>
      </c>
      <c r="AE48" s="215">
        <v>3</v>
      </c>
      <c r="AF48" s="2400" t="s">
        <v>468</v>
      </c>
      <c r="AG48" s="2380" t="s">
        <v>469</v>
      </c>
      <c r="AH48" s="2381" t="s">
        <v>470</v>
      </c>
      <c r="AI48" s="190" t="s">
        <v>471</v>
      </c>
      <c r="AJ48" s="199" t="s">
        <v>472</v>
      </c>
    </row>
    <row r="49" spans="1:36">
      <c r="B49" s="170" t="s">
        <v>473</v>
      </c>
      <c r="C49" s="171" t="s">
        <v>474</v>
      </c>
      <c r="D49" s="171"/>
      <c r="E49" s="167" t="s">
        <v>49</v>
      </c>
      <c r="F49" s="396">
        <v>3</v>
      </c>
      <c r="G49" s="468">
        <v>211.98699999999999</v>
      </c>
      <c r="H49" s="469">
        <v>-6.125</v>
      </c>
      <c r="I49" s="470">
        <v>0</v>
      </c>
      <c r="J49" s="397">
        <f xml:space="preserve"> H49 - I49</f>
        <v>-6.125</v>
      </c>
      <c r="K49" s="398">
        <f xml:space="preserve"> G49 + J49</f>
        <v>205.86199999999999</v>
      </c>
      <c r="M49" s="1339">
        <f xml:space="preserve"> IF( SUM( O49:S49 ) = 0, 0, $P$6 )</f>
        <v>0</v>
      </c>
      <c r="P49" s="93">
        <f t="shared" si="8"/>
        <v>0</v>
      </c>
      <c r="Q49" s="93">
        <f t="shared" si="8"/>
        <v>0</v>
      </c>
      <c r="R49" s="93">
        <f t="shared" si="8"/>
        <v>0</v>
      </c>
      <c r="AA49" s="170" t="s">
        <v>473</v>
      </c>
      <c r="AB49" s="171" t="s">
        <v>474</v>
      </c>
      <c r="AC49" s="171"/>
      <c r="AD49" s="167" t="s">
        <v>49</v>
      </c>
      <c r="AE49" s="396">
        <v>3</v>
      </c>
      <c r="AF49" s="2401" t="s">
        <v>475</v>
      </c>
      <c r="AG49" s="2402" t="s">
        <v>476</v>
      </c>
      <c r="AH49" s="2403" t="s">
        <v>477</v>
      </c>
      <c r="AI49" s="397" t="s">
        <v>478</v>
      </c>
      <c r="AJ49" s="398" t="s">
        <v>479</v>
      </c>
    </row>
    <row r="50" spans="1:36" ht="14.5" thickBot="1">
      <c r="B50" s="174" t="s">
        <v>480</v>
      </c>
      <c r="C50" s="391" t="s">
        <v>481</v>
      </c>
      <c r="D50" s="391"/>
      <c r="E50" s="175" t="s">
        <v>49</v>
      </c>
      <c r="F50" s="392">
        <v>3</v>
      </c>
      <c r="G50" s="399">
        <f xml:space="preserve"> G48 + G49</f>
        <v>217.98499999999999</v>
      </c>
      <c r="H50" s="394">
        <f xml:space="preserve"> H48 + H49</f>
        <v>-6.125</v>
      </c>
      <c r="I50" s="395">
        <f xml:space="preserve"> I48 + I49</f>
        <v>0</v>
      </c>
      <c r="J50" s="250">
        <f xml:space="preserve"> H50 - I50</f>
        <v>-6.125</v>
      </c>
      <c r="K50" s="399">
        <f xml:space="preserve"> G50 + J50</f>
        <v>211.85999999999999</v>
      </c>
      <c r="M50" s="126"/>
      <c r="AA50" s="174" t="s">
        <v>480</v>
      </c>
      <c r="AB50" s="391" t="s">
        <v>481</v>
      </c>
      <c r="AC50" s="391"/>
      <c r="AD50" s="175" t="s">
        <v>49</v>
      </c>
      <c r="AE50" s="392">
        <v>3</v>
      </c>
      <c r="AF50" s="399" t="s">
        <v>482</v>
      </c>
      <c r="AG50" s="394" t="s">
        <v>483</v>
      </c>
      <c r="AH50" s="395" t="s">
        <v>484</v>
      </c>
      <c r="AI50" s="250" t="s">
        <v>485</v>
      </c>
      <c r="AJ50" s="399" t="s">
        <v>486</v>
      </c>
    </row>
    <row r="51" spans="1:36" s="110" customFormat="1">
      <c r="C51" s="152"/>
      <c r="D51" s="152"/>
      <c r="H51" s="163"/>
      <c r="J51" s="118"/>
      <c r="K51" s="118"/>
      <c r="L51" s="118"/>
      <c r="M51" s="126"/>
      <c r="N51" s="118"/>
      <c r="O51" s="71"/>
      <c r="P51" s="120"/>
      <c r="Q51" s="118"/>
      <c r="R51" s="280"/>
      <c r="S51" s="71"/>
      <c r="AB51" s="152"/>
      <c r="AC51" s="152"/>
      <c r="AG51" s="163"/>
      <c r="AI51" s="118"/>
      <c r="AJ51" s="118"/>
    </row>
    <row r="52" spans="1:36" s="163" customFormat="1">
      <c r="B52" s="2914" t="s">
        <v>241</v>
      </c>
      <c r="C52" s="2914"/>
      <c r="D52" s="2823"/>
      <c r="J52" s="126"/>
      <c r="K52" s="126"/>
      <c r="L52" s="126"/>
      <c r="M52" s="126"/>
      <c r="N52" s="126"/>
      <c r="O52" s="71"/>
      <c r="P52" s="126"/>
      <c r="Q52" s="126"/>
      <c r="R52" s="203"/>
      <c r="S52" s="71"/>
    </row>
    <row r="53" spans="1:36" s="163" customFormat="1">
      <c r="B53" s="141"/>
      <c r="C53" s="142"/>
      <c r="D53" s="142"/>
      <c r="J53" s="126"/>
      <c r="K53" s="126"/>
      <c r="L53" s="126"/>
      <c r="M53" s="126"/>
      <c r="N53" s="126"/>
      <c r="O53" s="71"/>
      <c r="P53" s="126"/>
      <c r="Q53" s="126"/>
      <c r="R53" s="203"/>
      <c r="S53" s="71"/>
    </row>
    <row r="54" spans="1:36" s="163" customFormat="1">
      <c r="B54" s="25"/>
      <c r="C54" s="143" t="s">
        <v>188</v>
      </c>
      <c r="D54" s="143"/>
      <c r="J54" s="126"/>
      <c r="K54" s="126"/>
      <c r="L54" s="126"/>
      <c r="M54" s="126"/>
      <c r="N54" s="126"/>
      <c r="O54" s="71"/>
      <c r="P54" s="126"/>
      <c r="Q54" s="126"/>
      <c r="R54" s="203"/>
      <c r="S54" s="71"/>
    </row>
    <row r="55" spans="1:36" s="163" customFormat="1">
      <c r="B55" s="141"/>
      <c r="C55" s="142"/>
      <c r="D55" s="142"/>
      <c r="J55" s="126"/>
      <c r="K55" s="126"/>
      <c r="L55" s="126"/>
      <c r="M55" s="126"/>
      <c r="N55" s="126"/>
      <c r="O55" s="71"/>
      <c r="P55" s="126"/>
      <c r="Q55" s="126"/>
      <c r="R55" s="203"/>
      <c r="S55" s="71"/>
    </row>
    <row r="56" spans="1:36" s="163" customFormat="1">
      <c r="B56" s="144"/>
      <c r="C56" s="143" t="s">
        <v>189</v>
      </c>
      <c r="D56" s="143"/>
      <c r="J56" s="126"/>
      <c r="K56" s="126"/>
      <c r="L56" s="126"/>
      <c r="M56" s="126"/>
      <c r="N56" s="126"/>
      <c r="O56" s="71"/>
      <c r="P56" s="126"/>
      <c r="Q56" s="126"/>
      <c r="R56" s="203"/>
      <c r="S56" s="71"/>
    </row>
    <row r="57" spans="1:36" s="163" customFormat="1">
      <c r="B57" s="145"/>
      <c r="C57" s="143"/>
      <c r="D57" s="143"/>
      <c r="J57" s="126"/>
      <c r="K57" s="126"/>
      <c r="L57" s="126"/>
      <c r="M57" s="126"/>
      <c r="N57" s="126"/>
      <c r="O57" s="71"/>
      <c r="P57" s="126"/>
      <c r="Q57" s="126"/>
      <c r="R57" s="203"/>
      <c r="S57" s="71"/>
    </row>
    <row r="58" spans="1:36" s="178" customFormat="1" ht="14.5" thickBot="1">
      <c r="C58" s="179"/>
      <c r="D58" s="179"/>
      <c r="J58" s="130"/>
      <c r="K58" s="130"/>
      <c r="L58" s="130"/>
      <c r="M58" s="126"/>
      <c r="N58" s="126"/>
      <c r="O58" s="71"/>
      <c r="P58" s="126"/>
      <c r="Q58" s="126"/>
      <c r="R58" s="302"/>
      <c r="S58" s="71"/>
    </row>
    <row r="59" spans="1:36" s="178" customFormat="1" ht="20.5" thickBot="1">
      <c r="B59" s="2886" t="str">
        <f>'1B'!B19</f>
        <v>Please refer to RAG 4.08 - Guideline for the table definitions in the annual performance report for the reporting year 2019-20</v>
      </c>
      <c r="C59" s="147"/>
      <c r="D59" s="147"/>
      <c r="E59" s="148"/>
      <c r="F59" s="148"/>
      <c r="G59" s="148"/>
      <c r="H59" s="148"/>
      <c r="I59" s="148"/>
      <c r="J59" s="148"/>
      <c r="K59" s="154"/>
      <c r="L59" s="130"/>
      <c r="M59" s="126"/>
      <c r="N59" s="126"/>
      <c r="O59" s="71"/>
      <c r="P59" s="126"/>
      <c r="Q59" s="126"/>
      <c r="R59" s="302"/>
      <c r="S59" s="71"/>
    </row>
    <row r="60" spans="1:36" s="178" customFormat="1">
      <c r="C60" s="179"/>
      <c r="D60" s="179"/>
      <c r="J60" s="130"/>
      <c r="K60" s="130"/>
      <c r="L60" s="130"/>
      <c r="M60" s="126"/>
      <c r="N60" s="126"/>
      <c r="O60" s="71"/>
      <c r="P60" s="126"/>
      <c r="Q60" s="126"/>
      <c r="R60" s="302"/>
      <c r="S60" s="71"/>
    </row>
    <row r="61" spans="1:36" s="110" customFormat="1" ht="27" hidden="1" customHeight="1" thickBot="1">
      <c r="A61" s="1528"/>
      <c r="B61" s="146" t="str">
        <f ca="1" xml:space="preserve"> RIGHT(CELL("filename", $A$1), LEN(CELL("filename", $A$1)) - SEARCH("]", CELL("filename", $A$1)))&amp;" - Line definitions"</f>
        <v>1C - Line definitions</v>
      </c>
      <c r="C61" s="147"/>
      <c r="D61" s="147"/>
      <c r="E61" s="148"/>
      <c r="F61" s="148"/>
      <c r="G61" s="148"/>
      <c r="H61" s="148"/>
      <c r="I61" s="148"/>
      <c r="J61" s="148"/>
      <c r="K61" s="154"/>
      <c r="L61" s="118"/>
      <c r="M61" s="120"/>
      <c r="N61" s="118"/>
      <c r="O61" s="71"/>
      <c r="P61" s="120"/>
      <c r="Q61" s="118"/>
      <c r="R61" s="280"/>
      <c r="S61" s="71"/>
    </row>
    <row r="62" spans="1:36" s="110" customFormat="1" ht="14.5" hidden="1" thickBot="1">
      <c r="A62" s="1528"/>
      <c r="B62" s="74"/>
      <c r="C62" s="155"/>
      <c r="D62" s="155"/>
      <c r="E62" s="74"/>
      <c r="F62" s="74"/>
      <c r="G62" s="74"/>
      <c r="J62" s="118"/>
      <c r="K62" s="118"/>
      <c r="L62" s="118"/>
      <c r="M62" s="120"/>
      <c r="N62" s="118"/>
      <c r="O62" s="71"/>
      <c r="P62" s="120"/>
      <c r="Q62" s="118"/>
      <c r="R62" s="280"/>
      <c r="S62" s="71"/>
    </row>
    <row r="63" spans="1:36" s="178" customFormat="1" ht="14.5" hidden="1" thickBot="1">
      <c r="A63" s="1529"/>
      <c r="B63" s="287" t="s">
        <v>191</v>
      </c>
      <c r="C63" s="2847" t="s">
        <v>192</v>
      </c>
      <c r="D63" s="2848"/>
      <c r="E63" s="2848"/>
      <c r="F63" s="2848"/>
      <c r="G63" s="2848"/>
      <c r="H63" s="2848"/>
      <c r="I63" s="2848"/>
      <c r="J63" s="2848"/>
      <c r="K63" s="157"/>
      <c r="L63" s="346"/>
      <c r="M63" s="130"/>
      <c r="N63" s="118"/>
      <c r="O63" s="71"/>
      <c r="P63" s="85" t="s">
        <v>193</v>
      </c>
      <c r="Q63" s="118"/>
      <c r="S63" s="71"/>
    </row>
    <row r="64" spans="1:36" s="110" customFormat="1" ht="13.5" hidden="1" customHeight="1">
      <c r="A64" s="1528"/>
      <c r="B64" s="181" t="str">
        <f t="shared" ref="B64:B70" si="17">B7</f>
        <v>1C.1</v>
      </c>
      <c r="C64" s="2910" t="s">
        <v>487</v>
      </c>
      <c r="D64" s="2910"/>
      <c r="E64" s="2910"/>
      <c r="F64" s="2910"/>
      <c r="G64" s="2910"/>
      <c r="H64" s="2910"/>
      <c r="I64" s="2910"/>
      <c r="J64" s="2910"/>
      <c r="K64" s="2911"/>
      <c r="L64" s="348"/>
      <c r="M64" s="120"/>
      <c r="N64" s="118"/>
      <c r="O64" s="71"/>
      <c r="P64" s="161">
        <v>1</v>
      </c>
      <c r="Q64" s="118"/>
      <c r="R64" s="280"/>
      <c r="S64" s="71"/>
    </row>
    <row r="65" spans="1:19" s="110" customFormat="1" ht="13.5" hidden="1" customHeight="1">
      <c r="A65" s="1528"/>
      <c r="B65" s="159" t="str">
        <f t="shared" si="17"/>
        <v>1C.2</v>
      </c>
      <c r="C65" s="2892" t="s">
        <v>488</v>
      </c>
      <c r="D65" s="2892"/>
      <c r="E65" s="2892"/>
      <c r="F65" s="2892"/>
      <c r="G65" s="2892"/>
      <c r="H65" s="2892"/>
      <c r="I65" s="2892"/>
      <c r="J65" s="2892"/>
      <c r="K65" s="2893"/>
      <c r="L65" s="348"/>
      <c r="O65" s="71"/>
      <c r="P65" s="253">
        <v>1</v>
      </c>
      <c r="S65" s="71"/>
    </row>
    <row r="66" spans="1:19" s="110" customFormat="1" ht="13.5" hidden="1" customHeight="1">
      <c r="A66" s="1528"/>
      <c r="B66" s="159" t="str">
        <f t="shared" si="17"/>
        <v>1C.3</v>
      </c>
      <c r="C66" s="2892" t="s">
        <v>489</v>
      </c>
      <c r="D66" s="2892"/>
      <c r="E66" s="2892"/>
      <c r="F66" s="2892"/>
      <c r="G66" s="2892"/>
      <c r="H66" s="2892"/>
      <c r="I66" s="2892"/>
      <c r="J66" s="2892"/>
      <c r="K66" s="2893"/>
      <c r="L66" s="348"/>
      <c r="O66" s="71"/>
      <c r="P66" s="253">
        <v>1</v>
      </c>
      <c r="S66" s="71"/>
    </row>
    <row r="67" spans="1:19" s="120" customFormat="1" ht="13.5" hidden="1" customHeight="1">
      <c r="A67" s="1530"/>
      <c r="B67" s="159" t="str">
        <f t="shared" si="17"/>
        <v>1C.4</v>
      </c>
      <c r="C67" s="2892" t="s">
        <v>490</v>
      </c>
      <c r="D67" s="2892"/>
      <c r="E67" s="2892"/>
      <c r="F67" s="2892"/>
      <c r="G67" s="2892"/>
      <c r="H67" s="2892"/>
      <c r="I67" s="2892"/>
      <c r="J67" s="2892"/>
      <c r="K67" s="2893"/>
      <c r="L67" s="348"/>
      <c r="O67" s="71"/>
      <c r="P67" s="253">
        <v>1</v>
      </c>
      <c r="S67" s="71"/>
    </row>
    <row r="68" spans="1:19" s="120" customFormat="1" ht="23.25" hidden="1" customHeight="1">
      <c r="A68" s="1530"/>
      <c r="B68" s="159" t="str">
        <f t="shared" si="17"/>
        <v>1C.5</v>
      </c>
      <c r="C68" s="2892" t="s">
        <v>491</v>
      </c>
      <c r="D68" s="2892"/>
      <c r="E68" s="2892"/>
      <c r="F68" s="2892"/>
      <c r="G68" s="2892"/>
      <c r="H68" s="2892"/>
      <c r="I68" s="2892"/>
      <c r="J68" s="2892"/>
      <c r="K68" s="2893"/>
      <c r="L68" s="348"/>
      <c r="O68" s="71"/>
      <c r="P68" s="374" t="s">
        <v>195</v>
      </c>
      <c r="S68" s="71"/>
    </row>
    <row r="69" spans="1:19" s="120" customFormat="1" ht="23.25" hidden="1" customHeight="1">
      <c r="A69" s="1530"/>
      <c r="B69" s="159" t="str">
        <f t="shared" si="17"/>
        <v>1C.6</v>
      </c>
      <c r="C69" s="2892" t="s">
        <v>492</v>
      </c>
      <c r="D69" s="2892"/>
      <c r="E69" s="2892"/>
      <c r="F69" s="2892"/>
      <c r="G69" s="2892"/>
      <c r="H69" s="2892"/>
      <c r="I69" s="2892"/>
      <c r="J69" s="2892"/>
      <c r="K69" s="2893"/>
      <c r="L69" s="348"/>
      <c r="O69" s="71"/>
      <c r="P69" s="374" t="s">
        <v>195</v>
      </c>
      <c r="S69" s="71"/>
    </row>
    <row r="70" spans="1:19" ht="13.5" hidden="1" customHeight="1">
      <c r="A70" s="1531"/>
      <c r="B70" s="159" t="str">
        <f t="shared" si="17"/>
        <v>1C.7</v>
      </c>
      <c r="C70" s="2892" t="s">
        <v>493</v>
      </c>
      <c r="D70" s="2892"/>
      <c r="E70" s="2892"/>
      <c r="F70" s="2892"/>
      <c r="G70" s="2892"/>
      <c r="H70" s="2892"/>
      <c r="I70" s="2892"/>
      <c r="J70" s="2892"/>
      <c r="K70" s="2893"/>
      <c r="L70" s="348"/>
      <c r="P70" s="158">
        <v>1</v>
      </c>
    </row>
    <row r="71" spans="1:19" ht="13.5" hidden="1" customHeight="1">
      <c r="A71" s="1531"/>
      <c r="B71" s="159" t="str">
        <f>B16</f>
        <v>1C.8</v>
      </c>
      <c r="C71" s="2892" t="s">
        <v>494</v>
      </c>
      <c r="D71" s="2892"/>
      <c r="E71" s="2892"/>
      <c r="F71" s="2892"/>
      <c r="G71" s="2892"/>
      <c r="H71" s="2892"/>
      <c r="I71" s="2892"/>
      <c r="J71" s="2892"/>
      <c r="K71" s="2893"/>
      <c r="L71" s="348"/>
      <c r="P71" s="158">
        <v>1</v>
      </c>
    </row>
    <row r="72" spans="1:19" ht="23.25" hidden="1" customHeight="1">
      <c r="A72" s="1531"/>
      <c r="B72" s="159" t="str">
        <f>B17</f>
        <v>1C.9</v>
      </c>
      <c r="C72" s="2892" t="s">
        <v>495</v>
      </c>
      <c r="D72" s="2892"/>
      <c r="E72" s="2892"/>
      <c r="F72" s="2892"/>
      <c r="G72" s="2892"/>
      <c r="H72" s="2892"/>
      <c r="I72" s="2892"/>
      <c r="J72" s="2892"/>
      <c r="K72" s="2893"/>
      <c r="L72" s="348"/>
      <c r="P72" s="374" t="s">
        <v>195</v>
      </c>
    </row>
    <row r="73" spans="1:19" ht="23.25" hidden="1" customHeight="1">
      <c r="A73" s="1531"/>
      <c r="B73" s="159" t="str">
        <f>B18</f>
        <v>1C.10</v>
      </c>
      <c r="C73" s="2892" t="s">
        <v>496</v>
      </c>
      <c r="D73" s="2892"/>
      <c r="E73" s="2892"/>
      <c r="F73" s="2892"/>
      <c r="G73" s="2892"/>
      <c r="H73" s="2892"/>
      <c r="I73" s="2892"/>
      <c r="J73" s="2892"/>
      <c r="K73" s="2893"/>
      <c r="L73" s="348"/>
      <c r="P73" s="374" t="s">
        <v>195</v>
      </c>
    </row>
    <row r="74" spans="1:19" ht="23.25" hidden="1" customHeight="1">
      <c r="A74" s="1531"/>
      <c r="B74" s="159" t="str">
        <f>B19</f>
        <v>1C.11</v>
      </c>
      <c r="C74" s="2892" t="s">
        <v>497</v>
      </c>
      <c r="D74" s="2892"/>
      <c r="E74" s="2892"/>
      <c r="F74" s="2892"/>
      <c r="G74" s="2892"/>
      <c r="H74" s="2892"/>
      <c r="I74" s="2892"/>
      <c r="J74" s="2892"/>
      <c r="K74" s="2893"/>
      <c r="L74" s="348"/>
      <c r="P74" s="374" t="s">
        <v>195</v>
      </c>
    </row>
    <row r="75" spans="1:19" ht="13.5" hidden="1" customHeight="1">
      <c r="A75" s="1531"/>
      <c r="B75" s="159" t="str">
        <f>B20</f>
        <v>1C.12</v>
      </c>
      <c r="C75" s="2892" t="s">
        <v>498</v>
      </c>
      <c r="D75" s="2892"/>
      <c r="E75" s="2892"/>
      <c r="F75" s="2892"/>
      <c r="G75" s="2892"/>
      <c r="H75" s="2892"/>
      <c r="I75" s="2892"/>
      <c r="J75" s="2892"/>
      <c r="K75" s="2893"/>
      <c r="L75" s="348"/>
      <c r="P75" s="158">
        <v>1</v>
      </c>
    </row>
    <row r="76" spans="1:19" ht="23.25" hidden="1" customHeight="1">
      <c r="A76" s="1531"/>
      <c r="B76" s="159" t="str">
        <f t="shared" ref="B76:B82" si="18">B23</f>
        <v>1C.13</v>
      </c>
      <c r="C76" s="2892" t="s">
        <v>499</v>
      </c>
      <c r="D76" s="2892"/>
      <c r="E76" s="2892"/>
      <c r="F76" s="2892"/>
      <c r="G76" s="2892"/>
      <c r="H76" s="2892"/>
      <c r="I76" s="2892"/>
      <c r="J76" s="2892"/>
      <c r="K76" s="2893"/>
      <c r="L76" s="348"/>
      <c r="P76" s="374" t="s">
        <v>195</v>
      </c>
    </row>
    <row r="77" spans="1:19" ht="13.5" hidden="1" customHeight="1">
      <c r="A77" s="1531"/>
      <c r="B77" s="159" t="str">
        <f t="shared" si="18"/>
        <v>1C.14</v>
      </c>
      <c r="C77" s="2892" t="s">
        <v>500</v>
      </c>
      <c r="D77" s="2892"/>
      <c r="E77" s="2892"/>
      <c r="F77" s="2892"/>
      <c r="G77" s="2892"/>
      <c r="H77" s="2892"/>
      <c r="I77" s="2892"/>
      <c r="J77" s="2892"/>
      <c r="K77" s="2893"/>
      <c r="L77" s="348"/>
      <c r="P77" s="158">
        <v>1</v>
      </c>
    </row>
    <row r="78" spans="1:19" ht="116.25" hidden="1" customHeight="1">
      <c r="A78" s="1531"/>
      <c r="B78" s="159" t="str">
        <f t="shared" si="18"/>
        <v>1C.15</v>
      </c>
      <c r="C78" s="2892" t="s">
        <v>501</v>
      </c>
      <c r="D78" s="2892"/>
      <c r="E78" s="2892"/>
      <c r="F78" s="2892"/>
      <c r="G78" s="2892"/>
      <c r="H78" s="2892"/>
      <c r="I78" s="2892"/>
      <c r="J78" s="2892"/>
      <c r="K78" s="2893"/>
      <c r="L78" s="348"/>
      <c r="P78" s="161" t="s">
        <v>200</v>
      </c>
    </row>
    <row r="79" spans="1:19" ht="23.25" hidden="1" customHeight="1">
      <c r="A79" s="1531"/>
      <c r="B79" s="159" t="str">
        <f t="shared" si="18"/>
        <v>1C.16</v>
      </c>
      <c r="C79" s="2892" t="s">
        <v>502</v>
      </c>
      <c r="D79" s="2892"/>
      <c r="E79" s="2892"/>
      <c r="F79" s="2892"/>
      <c r="G79" s="2892"/>
      <c r="H79" s="2892"/>
      <c r="I79" s="2892"/>
      <c r="J79" s="2892"/>
      <c r="K79" s="2893"/>
      <c r="L79" s="348"/>
      <c r="P79" s="161" t="s">
        <v>195</v>
      </c>
    </row>
    <row r="80" spans="1:19" ht="13.5" hidden="1" customHeight="1">
      <c r="A80" s="1531"/>
      <c r="B80" s="159" t="str">
        <f t="shared" si="18"/>
        <v>1C.17</v>
      </c>
      <c r="C80" s="2892" t="s">
        <v>503</v>
      </c>
      <c r="D80" s="2892"/>
      <c r="E80" s="2892"/>
      <c r="F80" s="2892"/>
      <c r="G80" s="2892"/>
      <c r="H80" s="2892"/>
      <c r="I80" s="2892"/>
      <c r="J80" s="2892"/>
      <c r="K80" s="2893"/>
      <c r="L80" s="348"/>
      <c r="P80" s="158">
        <v>1</v>
      </c>
    </row>
    <row r="81" spans="1:16" ht="23.25" hidden="1" customHeight="1">
      <c r="A81" s="1531"/>
      <c r="B81" s="159" t="str">
        <f t="shared" si="18"/>
        <v>1C.18</v>
      </c>
      <c r="C81" s="2892" t="s">
        <v>504</v>
      </c>
      <c r="D81" s="2892"/>
      <c r="E81" s="2892"/>
      <c r="F81" s="2892"/>
      <c r="G81" s="2892"/>
      <c r="H81" s="2892"/>
      <c r="I81" s="2892"/>
      <c r="J81" s="2892"/>
      <c r="K81" s="2893"/>
      <c r="L81" s="348"/>
      <c r="P81" s="161" t="s">
        <v>195</v>
      </c>
    </row>
    <row r="82" spans="1:16" ht="13.5" hidden="1" customHeight="1">
      <c r="A82" s="1531"/>
      <c r="B82" s="159" t="str">
        <f t="shared" si="18"/>
        <v>1C.19</v>
      </c>
      <c r="C82" s="2892" t="s">
        <v>505</v>
      </c>
      <c r="D82" s="2892"/>
      <c r="E82" s="2892"/>
      <c r="F82" s="2892"/>
      <c r="G82" s="2892"/>
      <c r="H82" s="2892"/>
      <c r="I82" s="2892"/>
      <c r="J82" s="2892"/>
      <c r="K82" s="2893"/>
      <c r="L82" s="348"/>
      <c r="P82" s="158">
        <v>1</v>
      </c>
    </row>
    <row r="83" spans="1:16" ht="13.5" hidden="1" customHeight="1">
      <c r="A83" s="1531"/>
      <c r="B83" s="159" t="str">
        <f t="shared" ref="B83" si="19">B31</f>
        <v>1C.20</v>
      </c>
      <c r="C83" s="2892" t="s">
        <v>506</v>
      </c>
      <c r="D83" s="2892"/>
      <c r="E83" s="2892"/>
      <c r="F83" s="2892"/>
      <c r="G83" s="2892"/>
      <c r="H83" s="2892"/>
      <c r="I83" s="2892"/>
      <c r="J83" s="2892"/>
      <c r="K83" s="2893"/>
      <c r="L83" s="348"/>
      <c r="P83" s="158">
        <v>1</v>
      </c>
    </row>
    <row r="84" spans="1:16" ht="23.25" hidden="1" customHeight="1">
      <c r="A84" s="1531"/>
      <c r="B84" s="159" t="str">
        <f t="shared" ref="B84:B93" si="20">B34</f>
        <v>1C.21</v>
      </c>
      <c r="C84" s="2892" t="s">
        <v>507</v>
      </c>
      <c r="D84" s="2892"/>
      <c r="E84" s="2892"/>
      <c r="F84" s="2892"/>
      <c r="G84" s="2892"/>
      <c r="H84" s="2892"/>
      <c r="I84" s="2892"/>
      <c r="J84" s="2892"/>
      <c r="K84" s="2893"/>
      <c r="L84" s="348"/>
      <c r="P84" s="161" t="s">
        <v>195</v>
      </c>
    </row>
    <row r="85" spans="1:16" ht="116.25" hidden="1" customHeight="1">
      <c r="A85" s="1531"/>
      <c r="B85" s="159" t="str">
        <f t="shared" si="20"/>
        <v>1C.22</v>
      </c>
      <c r="C85" s="2892" t="s">
        <v>508</v>
      </c>
      <c r="D85" s="2892"/>
      <c r="E85" s="2892"/>
      <c r="F85" s="2892"/>
      <c r="G85" s="2892"/>
      <c r="H85" s="2892"/>
      <c r="I85" s="2892"/>
      <c r="J85" s="2892"/>
      <c r="K85" s="2893"/>
      <c r="L85" s="348"/>
      <c r="P85" s="161" t="s">
        <v>200</v>
      </c>
    </row>
    <row r="86" spans="1:16" ht="23.25" hidden="1" customHeight="1">
      <c r="A86" s="1531"/>
      <c r="B86" s="159" t="str">
        <f t="shared" si="20"/>
        <v>1C.23</v>
      </c>
      <c r="C86" s="2892" t="s">
        <v>509</v>
      </c>
      <c r="D86" s="2892"/>
      <c r="E86" s="2892"/>
      <c r="F86" s="2892"/>
      <c r="G86" s="2892"/>
      <c r="H86" s="2892"/>
      <c r="I86" s="2892"/>
      <c r="J86" s="2892"/>
      <c r="K86" s="2893"/>
      <c r="L86" s="348"/>
      <c r="P86" s="161" t="s">
        <v>195</v>
      </c>
    </row>
    <row r="87" spans="1:16" ht="34.5" hidden="1" customHeight="1">
      <c r="A87" s="1531"/>
      <c r="B87" s="159" t="str">
        <f t="shared" si="20"/>
        <v>1C.24</v>
      </c>
      <c r="C87" s="2892" t="s">
        <v>510</v>
      </c>
      <c r="D87" s="2892"/>
      <c r="E87" s="2892"/>
      <c r="F87" s="2892"/>
      <c r="G87" s="2892"/>
      <c r="H87" s="2892"/>
      <c r="I87" s="2892"/>
      <c r="J87" s="2892"/>
      <c r="K87" s="2893"/>
      <c r="L87" s="348"/>
      <c r="P87" s="161" t="s">
        <v>195</v>
      </c>
    </row>
    <row r="88" spans="1:16" ht="13.5" hidden="1" customHeight="1">
      <c r="A88" s="1531"/>
      <c r="B88" s="159" t="str">
        <f t="shared" si="20"/>
        <v>1C.25</v>
      </c>
      <c r="C88" s="2892" t="s">
        <v>511</v>
      </c>
      <c r="D88" s="2892"/>
      <c r="E88" s="2892"/>
      <c r="F88" s="2892"/>
      <c r="G88" s="2892"/>
      <c r="H88" s="2892"/>
      <c r="I88" s="2892"/>
      <c r="J88" s="2892"/>
      <c r="K88" s="2893"/>
      <c r="L88" s="348"/>
      <c r="P88" s="158">
        <v>1</v>
      </c>
    </row>
    <row r="89" spans="1:16" ht="13.5" hidden="1" customHeight="1">
      <c r="A89" s="1531"/>
      <c r="B89" s="159" t="str">
        <f t="shared" si="20"/>
        <v>1C.26</v>
      </c>
      <c r="C89" s="2892" t="s">
        <v>512</v>
      </c>
      <c r="D89" s="2892"/>
      <c r="E89" s="2892"/>
      <c r="F89" s="2892"/>
      <c r="G89" s="2892"/>
      <c r="H89" s="2892"/>
      <c r="I89" s="2892"/>
      <c r="J89" s="2892"/>
      <c r="K89" s="2893"/>
      <c r="L89" s="348"/>
      <c r="P89" s="161">
        <v>1</v>
      </c>
    </row>
    <row r="90" spans="1:16" ht="13.5" hidden="1" customHeight="1">
      <c r="A90" s="1531"/>
      <c r="B90" s="159" t="str">
        <f t="shared" si="20"/>
        <v>1C.27</v>
      </c>
      <c r="C90" s="2892" t="s">
        <v>513</v>
      </c>
      <c r="D90" s="2892"/>
      <c r="E90" s="2892"/>
      <c r="F90" s="2892"/>
      <c r="G90" s="2892"/>
      <c r="H90" s="2892"/>
      <c r="I90" s="2892"/>
      <c r="J90" s="2892"/>
      <c r="K90" s="2893"/>
      <c r="L90" s="348"/>
      <c r="P90" s="161"/>
    </row>
    <row r="91" spans="1:16" ht="13.5" hidden="1" customHeight="1">
      <c r="A91" s="1531"/>
      <c r="B91" s="159" t="str">
        <f t="shared" si="20"/>
        <v>1C.28</v>
      </c>
      <c r="C91" s="2892" t="s">
        <v>514</v>
      </c>
      <c r="D91" s="2892"/>
      <c r="E91" s="2892"/>
      <c r="F91" s="2892"/>
      <c r="G91" s="2892"/>
      <c r="H91" s="2892"/>
      <c r="I91" s="2892"/>
      <c r="J91" s="2892"/>
      <c r="K91" s="2893"/>
      <c r="L91" s="348"/>
      <c r="P91" s="158">
        <v>1</v>
      </c>
    </row>
    <row r="92" spans="1:16" ht="23.25" hidden="1" customHeight="1">
      <c r="A92" s="1531"/>
      <c r="B92" s="159" t="str">
        <f t="shared" si="20"/>
        <v>1C.29</v>
      </c>
      <c r="C92" s="2892" t="s">
        <v>515</v>
      </c>
      <c r="D92" s="2892"/>
      <c r="E92" s="2892"/>
      <c r="F92" s="2892"/>
      <c r="G92" s="2892"/>
      <c r="H92" s="2892"/>
      <c r="I92" s="2892"/>
      <c r="J92" s="2892"/>
      <c r="K92" s="2893"/>
      <c r="L92" s="348"/>
      <c r="P92" s="161" t="s">
        <v>195</v>
      </c>
    </row>
    <row r="93" spans="1:16" ht="13.5" hidden="1" customHeight="1">
      <c r="A93" s="1531"/>
      <c r="B93" s="159" t="str">
        <f t="shared" si="20"/>
        <v>1C.30</v>
      </c>
      <c r="C93" s="2892" t="s">
        <v>516</v>
      </c>
      <c r="D93" s="2892"/>
      <c r="E93" s="2892"/>
      <c r="F93" s="2892"/>
      <c r="G93" s="2892"/>
      <c r="H93" s="2892"/>
      <c r="I93" s="2892"/>
      <c r="J93" s="2892"/>
      <c r="K93" s="2893"/>
      <c r="L93" s="348"/>
      <c r="P93" s="158">
        <v>1</v>
      </c>
    </row>
    <row r="94" spans="1:16" ht="13.5" hidden="1" customHeight="1">
      <c r="A94" s="1531"/>
      <c r="B94" s="159" t="str">
        <f t="shared" ref="B94" si="21">B45</f>
        <v>1C.31</v>
      </c>
      <c r="C94" s="2892" t="s">
        <v>517</v>
      </c>
      <c r="D94" s="2892"/>
      <c r="E94" s="2892"/>
      <c r="F94" s="2892"/>
      <c r="G94" s="2892"/>
      <c r="H94" s="2892"/>
      <c r="I94" s="2892"/>
      <c r="J94" s="2892"/>
      <c r="K94" s="2893"/>
      <c r="L94" s="348"/>
      <c r="P94" s="158">
        <v>1</v>
      </c>
    </row>
    <row r="95" spans="1:16" ht="13.5" hidden="1" customHeight="1">
      <c r="A95" s="1531"/>
      <c r="B95" s="159" t="str">
        <f>B48</f>
        <v>1C.32</v>
      </c>
      <c r="C95" s="2892" t="s">
        <v>518</v>
      </c>
      <c r="D95" s="2892"/>
      <c r="E95" s="2892"/>
      <c r="F95" s="2892"/>
      <c r="G95" s="2892"/>
      <c r="H95" s="2892"/>
      <c r="I95" s="2892"/>
      <c r="J95" s="2892"/>
      <c r="K95" s="2893"/>
      <c r="L95" s="348"/>
      <c r="P95" s="158">
        <v>1</v>
      </c>
    </row>
    <row r="96" spans="1:16" ht="13.5" hidden="1" customHeight="1">
      <c r="A96" s="1531"/>
      <c r="B96" s="159" t="str">
        <f>B49</f>
        <v>1C.33</v>
      </c>
      <c r="C96" s="2892" t="s">
        <v>519</v>
      </c>
      <c r="D96" s="2892"/>
      <c r="E96" s="2892"/>
      <c r="F96" s="2892"/>
      <c r="G96" s="2892"/>
      <c r="H96" s="2892"/>
      <c r="I96" s="2892"/>
      <c r="J96" s="2892"/>
      <c r="K96" s="2893"/>
      <c r="P96" s="158">
        <v>1</v>
      </c>
    </row>
    <row r="97" spans="1:16" ht="14.25" hidden="1" customHeight="1" thickBot="1">
      <c r="A97" s="1531"/>
      <c r="B97" s="183" t="str">
        <f>B50</f>
        <v>1C.34</v>
      </c>
      <c r="C97" s="2912" t="s">
        <v>520</v>
      </c>
      <c r="D97" s="2912"/>
      <c r="E97" s="2912"/>
      <c r="F97" s="2912"/>
      <c r="G97" s="2912"/>
      <c r="H97" s="2912"/>
      <c r="I97" s="2912"/>
      <c r="J97" s="2912"/>
      <c r="K97" s="2913"/>
      <c r="P97" s="161">
        <v>1</v>
      </c>
    </row>
    <row r="98" spans="1:16" hidden="1">
      <c r="A98" s="1531"/>
      <c r="B98" s="402"/>
      <c r="C98" s="343"/>
      <c r="D98" s="343"/>
      <c r="E98" s="343"/>
      <c r="F98" s="343"/>
      <c r="G98" s="343"/>
      <c r="H98" s="343"/>
      <c r="I98" s="343"/>
      <c r="J98" s="343"/>
      <c r="K98" s="343"/>
      <c r="P98" s="254"/>
    </row>
  </sheetData>
  <sheetProtection algorithmName="SHA-512" hashValue="yRWe1HSkSa0wTFavCW20F45duyvH7ti5OXxOfDOYaLmrZDe4GQMYcYskRFe6bGg45EUtJ9lbXVT65wiecTva2Q==" saltValue="FuGk9mmkV7Zqy/4GS9ydrQ==" spinCount="100000" sheet="1" objects="1" scenarios="1"/>
  <mergeCells count="49">
    <mergeCell ref="AJ3:AJ4"/>
    <mergeCell ref="AA3:AB4"/>
    <mergeCell ref="AD3:AD4"/>
    <mergeCell ref="AE3:AE4"/>
    <mergeCell ref="AF3:AF4"/>
    <mergeCell ref="AG3:AI3"/>
    <mergeCell ref="C97:K97"/>
    <mergeCell ref="C85:K85"/>
    <mergeCell ref="C86:K86"/>
    <mergeCell ref="C87:K87"/>
    <mergeCell ref="C88:K88"/>
    <mergeCell ref="C89:K89"/>
    <mergeCell ref="C91:K91"/>
    <mergeCell ref="C92:K92"/>
    <mergeCell ref="C93:K93"/>
    <mergeCell ref="C94:K94"/>
    <mergeCell ref="C95:K95"/>
    <mergeCell ref="C96:K96"/>
    <mergeCell ref="C90:K90"/>
    <mergeCell ref="C70:K70"/>
    <mergeCell ref="C71:K71"/>
    <mergeCell ref="C84:K84"/>
    <mergeCell ref="C73:K73"/>
    <mergeCell ref="C74:K74"/>
    <mergeCell ref="C75:K75"/>
    <mergeCell ref="C76:K76"/>
    <mergeCell ref="C77:K77"/>
    <mergeCell ref="C78:K78"/>
    <mergeCell ref="C79:K79"/>
    <mergeCell ref="C80:K80"/>
    <mergeCell ref="C81:K81"/>
    <mergeCell ref="C82:K82"/>
    <mergeCell ref="C83:K83"/>
    <mergeCell ref="C72:K72"/>
    <mergeCell ref="M3:M4"/>
    <mergeCell ref="P4:R4"/>
    <mergeCell ref="B52:C52"/>
    <mergeCell ref="C64:K64"/>
    <mergeCell ref="C65:K65"/>
    <mergeCell ref="C67:K67"/>
    <mergeCell ref="C68:K68"/>
    <mergeCell ref="C69:K69"/>
    <mergeCell ref="C66:K66"/>
    <mergeCell ref="B3:C4"/>
    <mergeCell ref="E3:E4"/>
    <mergeCell ref="F3:F4"/>
    <mergeCell ref="G3:G4"/>
    <mergeCell ref="H3:J3"/>
    <mergeCell ref="K3:K4"/>
  </mergeCells>
  <conditionalFormatting sqref="M7:M12 M48:M49 M23:M28 M16:M19 M34:M42">
    <cfRule type="cellIs" dxfId="5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8" orientation="landscape" r:id="rId1"/>
  <headerFooter>
    <oddHeader>&amp;L&amp;9&amp;K857362Page &amp;P of &amp;N&amp;C&amp;9 &amp;K8573622019-20 annual performance report tables&amp;R&amp;G</oddHeader>
    <oddFooter>&amp;L&amp;9&amp;K857362&amp;A&amp;R&amp;9&amp;K857362Printed: &amp;D &amp;T</oddFooter>
  </headerFooter>
  <rowBreaks count="1" manualBreakCount="1">
    <brk id="60" max="19" man="1"/>
  </row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pageSetUpPr fitToPage="1"/>
  </sheetPr>
  <dimension ref="A1:R25"/>
  <sheetViews>
    <sheetView workbookViewId="0"/>
  </sheetViews>
  <sheetFormatPr defaultRowHeight="14"/>
  <cols>
    <col min="1" max="1" width="26.58203125" customWidth="1"/>
    <col min="2" max="2" width="22.08203125" customWidth="1"/>
    <col min="3" max="17" width="18.5" customWidth="1"/>
    <col min="18" max="18" width="25.08203125" customWidth="1"/>
  </cols>
  <sheetData>
    <row r="1" spans="1:18" ht="14.5" thickBot="1">
      <c r="A1" s="60" t="s">
        <v>8355</v>
      </c>
      <c r="B1" s="60" t="s">
        <v>8365</v>
      </c>
      <c r="C1" s="60" t="s">
        <v>8375</v>
      </c>
      <c r="D1" s="60" t="s">
        <v>8383</v>
      </c>
      <c r="E1" s="60" t="s">
        <v>8387</v>
      </c>
      <c r="F1" s="60" t="s">
        <v>8391</v>
      </c>
      <c r="G1" s="60" t="s">
        <v>8379</v>
      </c>
      <c r="H1" s="60" t="s">
        <v>8846</v>
      </c>
      <c r="I1" s="60" t="s">
        <v>8978</v>
      </c>
      <c r="J1" s="60" t="s">
        <v>9373</v>
      </c>
      <c r="K1" s="60" t="s">
        <v>9453</v>
      </c>
      <c r="L1" s="60" t="s">
        <v>9643</v>
      </c>
      <c r="M1" s="60" t="s">
        <v>9958</v>
      </c>
      <c r="N1" s="60" t="s">
        <v>9536</v>
      </c>
      <c r="O1" s="60" t="s">
        <v>8371</v>
      </c>
      <c r="P1" s="60" t="s">
        <v>8359</v>
      </c>
      <c r="Q1" s="60" t="s">
        <v>8501</v>
      </c>
      <c r="R1" s="60" t="s">
        <v>8362</v>
      </c>
    </row>
    <row r="2" spans="1:18" ht="13.5" customHeight="1" thickBot="1">
      <c r="A2" s="61" t="s">
        <v>12158</v>
      </c>
      <c r="B2" s="61" t="s">
        <v>12158</v>
      </c>
      <c r="C2" s="61" t="s">
        <v>12158</v>
      </c>
      <c r="D2" s="61" t="s">
        <v>12158</v>
      </c>
      <c r="E2" s="61" t="s">
        <v>12158</v>
      </c>
      <c r="F2" s="61" t="s">
        <v>12158</v>
      </c>
      <c r="G2" s="61" t="s">
        <v>12158</v>
      </c>
      <c r="H2" s="61" t="s">
        <v>12158</v>
      </c>
      <c r="I2" s="61" t="s">
        <v>12158</v>
      </c>
      <c r="J2" s="61" t="s">
        <v>12158</v>
      </c>
      <c r="K2" s="61" t="s">
        <v>12158</v>
      </c>
      <c r="L2" s="61" t="s">
        <v>12158</v>
      </c>
      <c r="M2" s="61" t="s">
        <v>12158</v>
      </c>
      <c r="N2" s="61" t="s">
        <v>12158</v>
      </c>
      <c r="O2" s="61" t="s">
        <v>12158</v>
      </c>
      <c r="P2" s="61" t="s">
        <v>12158</v>
      </c>
      <c r="Q2" s="61" t="s">
        <v>12158</v>
      </c>
      <c r="R2" s="61" t="s">
        <v>12158</v>
      </c>
    </row>
    <row r="3" spans="1:18" ht="56.5" thickBot="1">
      <c r="A3" s="62" t="s">
        <v>12159</v>
      </c>
      <c r="B3" s="62" t="s">
        <v>12160</v>
      </c>
      <c r="C3" s="62" t="s">
        <v>12161</v>
      </c>
      <c r="D3" s="62" t="s">
        <v>12162</v>
      </c>
      <c r="E3" s="62" t="s">
        <v>12163</v>
      </c>
      <c r="F3" s="62" t="s">
        <v>12164</v>
      </c>
      <c r="G3" s="62" t="s">
        <v>12165</v>
      </c>
      <c r="H3" s="62" t="s">
        <v>12166</v>
      </c>
      <c r="I3" s="62" t="s">
        <v>12167</v>
      </c>
      <c r="J3" s="62" t="s">
        <v>12168</v>
      </c>
      <c r="K3" s="62" t="s">
        <v>12169</v>
      </c>
      <c r="L3" s="62" t="s">
        <v>12170</v>
      </c>
      <c r="M3" s="62" t="s">
        <v>12171</v>
      </c>
      <c r="N3" s="62" t="s">
        <v>12172</v>
      </c>
      <c r="O3" s="62" t="s">
        <v>12173</v>
      </c>
      <c r="P3" s="62" t="s">
        <v>12174</v>
      </c>
      <c r="Q3" s="62" t="s">
        <v>12175</v>
      </c>
      <c r="R3" s="62" t="s">
        <v>12176</v>
      </c>
    </row>
    <row r="4" spans="1:18" ht="42.5" thickBot="1">
      <c r="A4" s="62" t="s">
        <v>12177</v>
      </c>
      <c r="B4" s="62" t="s">
        <v>12178</v>
      </c>
      <c r="C4" s="62" t="s">
        <v>12179</v>
      </c>
      <c r="D4" s="62" t="s">
        <v>12180</v>
      </c>
      <c r="E4" s="62" t="s">
        <v>12181</v>
      </c>
      <c r="F4" s="62" t="s">
        <v>12182</v>
      </c>
      <c r="G4" s="62" t="s">
        <v>12183</v>
      </c>
      <c r="H4" s="62" t="s">
        <v>12184</v>
      </c>
      <c r="I4" s="62" t="s">
        <v>12185</v>
      </c>
      <c r="J4" s="62" t="s">
        <v>12186</v>
      </c>
      <c r="K4" s="62" t="s">
        <v>12187</v>
      </c>
      <c r="L4" s="62" t="s">
        <v>12188</v>
      </c>
      <c r="M4" s="62" t="s">
        <v>12189</v>
      </c>
      <c r="N4" s="62" t="s">
        <v>12190</v>
      </c>
      <c r="O4" s="62" t="s">
        <v>12191</v>
      </c>
      <c r="P4" s="62" t="s">
        <v>12192</v>
      </c>
      <c r="Q4" s="62" t="s">
        <v>12193</v>
      </c>
      <c r="R4" s="62" t="s">
        <v>12194</v>
      </c>
    </row>
    <row r="5" spans="1:18" ht="56.5" thickBot="1">
      <c r="A5" s="62" t="s">
        <v>12195</v>
      </c>
      <c r="B5" s="62" t="s">
        <v>12196</v>
      </c>
      <c r="C5" s="62" t="s">
        <v>12197</v>
      </c>
      <c r="D5" s="62" t="s">
        <v>12198</v>
      </c>
      <c r="E5" s="62" t="s">
        <v>12199</v>
      </c>
      <c r="F5" s="62" t="s">
        <v>12200</v>
      </c>
      <c r="G5" s="62" t="s">
        <v>12201</v>
      </c>
      <c r="H5" s="62" t="s">
        <v>12202</v>
      </c>
      <c r="I5" s="62" t="s">
        <v>12203</v>
      </c>
      <c r="J5" s="62" t="s">
        <v>12204</v>
      </c>
      <c r="K5" s="62" t="s">
        <v>12205</v>
      </c>
      <c r="L5" s="62" t="s">
        <v>12206</v>
      </c>
      <c r="M5" s="62" t="s">
        <v>12207</v>
      </c>
      <c r="N5" s="62" t="s">
        <v>12208</v>
      </c>
      <c r="O5" s="62" t="s">
        <v>12209</v>
      </c>
      <c r="P5" s="62" t="s">
        <v>12210</v>
      </c>
      <c r="Q5" s="62" t="s">
        <v>12211</v>
      </c>
      <c r="R5" s="62" t="s">
        <v>12212</v>
      </c>
    </row>
    <row r="6" spans="1:18" ht="56.5" thickBot="1">
      <c r="A6" s="62" t="s">
        <v>12213</v>
      </c>
      <c r="B6" s="62" t="s">
        <v>12214</v>
      </c>
      <c r="C6" s="62" t="s">
        <v>12215</v>
      </c>
      <c r="D6" s="62" t="s">
        <v>12216</v>
      </c>
      <c r="E6" s="62" t="s">
        <v>12217</v>
      </c>
      <c r="F6" s="62" t="s">
        <v>12218</v>
      </c>
      <c r="G6" s="62" t="s">
        <v>12219</v>
      </c>
      <c r="H6" s="62" t="s">
        <v>12220</v>
      </c>
      <c r="I6" s="62" t="s">
        <v>12221</v>
      </c>
      <c r="J6" s="62" t="s">
        <v>12222</v>
      </c>
      <c r="K6" s="62" t="s">
        <v>12223</v>
      </c>
      <c r="L6" s="62" t="s">
        <v>12224</v>
      </c>
      <c r="M6" s="62" t="s">
        <v>12225</v>
      </c>
      <c r="N6" s="62" t="s">
        <v>12226</v>
      </c>
      <c r="O6" s="62" t="s">
        <v>12227</v>
      </c>
      <c r="P6" s="62" t="s">
        <v>12210</v>
      </c>
      <c r="Q6" s="62" t="s">
        <v>12228</v>
      </c>
      <c r="R6" s="62" t="s">
        <v>12229</v>
      </c>
    </row>
    <row r="7" spans="1:18" ht="56.5" thickBot="1">
      <c r="A7" s="62" t="s">
        <v>12230</v>
      </c>
      <c r="B7" s="62" t="s">
        <v>12231</v>
      </c>
      <c r="C7" s="62" t="s">
        <v>12232</v>
      </c>
      <c r="D7" s="62" t="s">
        <v>12233</v>
      </c>
      <c r="E7" s="62" t="s">
        <v>12234</v>
      </c>
      <c r="F7" s="1882"/>
      <c r="G7" s="62" t="s">
        <v>12235</v>
      </c>
      <c r="H7" s="62" t="s">
        <v>12236</v>
      </c>
      <c r="I7" s="62" t="s">
        <v>12237</v>
      </c>
      <c r="J7" s="1882"/>
      <c r="K7" s="62" t="s">
        <v>12238</v>
      </c>
      <c r="L7" s="62" t="s">
        <v>12239</v>
      </c>
      <c r="M7" s="62" t="s">
        <v>12240</v>
      </c>
      <c r="N7" s="62" t="s">
        <v>12241</v>
      </c>
      <c r="O7" s="62" t="s">
        <v>12242</v>
      </c>
      <c r="P7" s="62" t="s">
        <v>12243</v>
      </c>
      <c r="Q7" s="62" t="s">
        <v>12244</v>
      </c>
      <c r="R7" s="62" t="s">
        <v>12245</v>
      </c>
    </row>
    <row r="8" spans="1:18" ht="42.5" thickBot="1">
      <c r="A8" s="62" t="s">
        <v>12246</v>
      </c>
      <c r="B8" s="1882"/>
      <c r="C8" s="62" t="s">
        <v>12247</v>
      </c>
      <c r="D8" s="62" t="s">
        <v>12248</v>
      </c>
      <c r="E8" s="62" t="s">
        <v>12249</v>
      </c>
      <c r="F8" s="1882"/>
      <c r="G8" s="62" t="s">
        <v>12250</v>
      </c>
      <c r="H8" s="62" t="s">
        <v>12251</v>
      </c>
      <c r="I8" s="62" t="s">
        <v>12252</v>
      </c>
      <c r="J8" s="1882"/>
      <c r="K8" s="62" t="s">
        <v>12253</v>
      </c>
      <c r="L8" s="62" t="s">
        <v>12254</v>
      </c>
      <c r="M8" s="62" t="s">
        <v>12255</v>
      </c>
      <c r="N8" s="62" t="s">
        <v>12256</v>
      </c>
      <c r="O8" s="62" t="s">
        <v>12257</v>
      </c>
      <c r="P8" s="62" t="s">
        <v>12258</v>
      </c>
      <c r="Q8" s="1882"/>
      <c r="R8" s="62" t="s">
        <v>12259</v>
      </c>
    </row>
    <row r="9" spans="1:18" ht="42.5" thickBot="1">
      <c r="A9" s="62" t="s">
        <v>12260</v>
      </c>
      <c r="B9" s="1882"/>
      <c r="C9" s="1882"/>
      <c r="D9" s="1882"/>
      <c r="E9" s="62" t="s">
        <v>12261</v>
      </c>
      <c r="F9" s="1882"/>
      <c r="G9" s="62" t="s">
        <v>12262</v>
      </c>
      <c r="H9" s="62" t="s">
        <v>12263</v>
      </c>
      <c r="I9" s="1882"/>
      <c r="J9" s="1882"/>
      <c r="K9" s="62" t="s">
        <v>12264</v>
      </c>
      <c r="L9" s="1882"/>
      <c r="M9" s="62" t="s">
        <v>12265</v>
      </c>
      <c r="N9" s="62" t="s">
        <v>12266</v>
      </c>
      <c r="O9" s="1882"/>
      <c r="P9" s="62" t="s">
        <v>12267</v>
      </c>
      <c r="Q9" s="1882"/>
      <c r="R9" s="62" t="s">
        <v>12268</v>
      </c>
    </row>
    <row r="10" spans="1:18" ht="56.5" thickBot="1">
      <c r="A10" s="62" t="s">
        <v>12269</v>
      </c>
      <c r="B10" s="1882"/>
      <c r="C10" s="1882"/>
      <c r="D10" s="1882"/>
      <c r="E10" s="62" t="s">
        <v>12270</v>
      </c>
      <c r="F10" s="1882"/>
      <c r="G10" s="62" t="s">
        <v>12271</v>
      </c>
      <c r="H10" s="62" t="s">
        <v>12272</v>
      </c>
      <c r="I10" s="1882"/>
      <c r="J10" s="1882"/>
      <c r="K10" s="62" t="s">
        <v>12273</v>
      </c>
      <c r="L10" s="1882"/>
      <c r="M10" s="62" t="s">
        <v>12274</v>
      </c>
      <c r="N10" s="62" t="s">
        <v>12275</v>
      </c>
      <c r="O10" s="1882"/>
      <c r="P10" s="62" t="s">
        <v>12276</v>
      </c>
      <c r="Q10" s="1882"/>
      <c r="R10" s="62" t="s">
        <v>12277</v>
      </c>
    </row>
    <row r="11" spans="1:18" ht="56.5" thickBot="1">
      <c r="A11" s="62" t="s">
        <v>12278</v>
      </c>
      <c r="B11" s="1882"/>
      <c r="C11" s="1882"/>
      <c r="D11" s="1882"/>
      <c r="E11" s="62" t="s">
        <v>12279</v>
      </c>
      <c r="F11" s="1882"/>
      <c r="G11" s="62" t="s">
        <v>12280</v>
      </c>
      <c r="H11" s="1882"/>
      <c r="I11" s="63"/>
      <c r="J11" s="1882"/>
      <c r="K11" s="1882"/>
      <c r="L11" s="1882"/>
      <c r="M11" s="62" t="s">
        <v>12281</v>
      </c>
      <c r="N11" s="62" t="s">
        <v>12282</v>
      </c>
      <c r="O11" s="1882"/>
      <c r="P11" s="62" t="s">
        <v>12283</v>
      </c>
      <c r="Q11" s="1882"/>
      <c r="R11" s="62" t="s">
        <v>12284</v>
      </c>
    </row>
    <row r="12" spans="1:18" ht="56.5" thickBot="1">
      <c r="A12" s="62" t="s">
        <v>12285</v>
      </c>
      <c r="B12" s="1882"/>
      <c r="C12" s="1882"/>
      <c r="D12" s="1882"/>
      <c r="E12" s="62" t="s">
        <v>12286</v>
      </c>
      <c r="F12" s="1882"/>
      <c r="G12" s="62" t="s">
        <v>12287</v>
      </c>
      <c r="H12" s="1882"/>
      <c r="I12" s="63"/>
      <c r="J12" s="1882"/>
      <c r="K12" s="1882"/>
      <c r="L12" s="1882"/>
      <c r="M12" s="62" t="s">
        <v>12288</v>
      </c>
      <c r="N12" s="62" t="s">
        <v>12289</v>
      </c>
      <c r="O12" s="1882"/>
      <c r="P12" s="62" t="s">
        <v>12290</v>
      </c>
      <c r="Q12" s="1882"/>
      <c r="R12" s="62" t="s">
        <v>12291</v>
      </c>
    </row>
    <row r="13" spans="1:18" ht="56.5" thickBot="1">
      <c r="A13" s="62" t="s">
        <v>12292</v>
      </c>
      <c r="B13" s="1882"/>
      <c r="C13" s="1882"/>
      <c r="D13" s="1882"/>
      <c r="E13" s="62" t="s">
        <v>12293</v>
      </c>
      <c r="F13" s="1882"/>
      <c r="G13" s="62" t="s">
        <v>12294</v>
      </c>
      <c r="H13" s="1882"/>
      <c r="I13" s="63"/>
      <c r="J13" s="1882"/>
      <c r="K13" s="1882"/>
      <c r="L13" s="1882"/>
      <c r="M13" s="1882"/>
      <c r="N13" s="1882"/>
      <c r="O13" s="1882"/>
      <c r="P13" s="62" t="s">
        <v>12295</v>
      </c>
      <c r="Q13" s="1882"/>
      <c r="R13" s="62" t="s">
        <v>12296</v>
      </c>
    </row>
    <row r="14" spans="1:18" ht="56.5" thickBot="1">
      <c r="A14" s="62" t="s">
        <v>12297</v>
      </c>
      <c r="B14" s="1882"/>
      <c r="C14" s="1882"/>
      <c r="D14" s="1882"/>
      <c r="E14" s="62" t="s">
        <v>12298</v>
      </c>
      <c r="F14" s="1882"/>
      <c r="G14" s="62" t="s">
        <v>12299</v>
      </c>
      <c r="H14" s="1882"/>
      <c r="I14" s="1882"/>
      <c r="J14" s="1882"/>
      <c r="K14" s="1882"/>
      <c r="L14" s="1882"/>
      <c r="M14" s="1882"/>
      <c r="N14" s="1882"/>
      <c r="O14" s="1882"/>
      <c r="P14" s="62" t="s">
        <v>12300</v>
      </c>
      <c r="Q14" s="1882"/>
      <c r="R14" s="1882"/>
    </row>
    <row r="15" spans="1:18" ht="56.5" thickBot="1">
      <c r="A15" s="62" t="s">
        <v>12301</v>
      </c>
      <c r="B15" s="1882"/>
      <c r="C15" s="1882"/>
      <c r="D15" s="1882"/>
      <c r="E15" s="62" t="s">
        <v>12302</v>
      </c>
      <c r="F15" s="1882"/>
      <c r="G15" s="1882"/>
      <c r="H15" s="1882"/>
      <c r="I15" s="1882"/>
      <c r="J15" s="1882"/>
      <c r="K15" s="1882"/>
      <c r="L15" s="1882"/>
      <c r="M15" s="1882"/>
      <c r="N15" s="1882"/>
      <c r="O15" s="1882"/>
      <c r="P15" s="62" t="s">
        <v>12303</v>
      </c>
      <c r="Q15" s="1882"/>
      <c r="R15" s="1882"/>
    </row>
    <row r="16" spans="1:18" ht="56.5" thickBot="1">
      <c r="A16" s="62" t="s">
        <v>12304</v>
      </c>
      <c r="B16" s="1882"/>
      <c r="C16" s="1882"/>
      <c r="D16" s="1882"/>
      <c r="E16" s="1882"/>
      <c r="F16" s="1882"/>
      <c r="G16" s="1882"/>
      <c r="H16" s="1882"/>
      <c r="I16" s="1882"/>
      <c r="J16" s="1882"/>
      <c r="K16" s="1882"/>
      <c r="L16" s="1882"/>
      <c r="M16" s="1882"/>
      <c r="N16" s="1882"/>
      <c r="O16" s="1882"/>
      <c r="P16" s="62" t="s">
        <v>12305</v>
      </c>
      <c r="Q16" s="1882"/>
      <c r="R16" s="1882"/>
    </row>
    <row r="17" spans="1:18" ht="28.5" thickBot="1">
      <c r="A17" s="62" t="s">
        <v>12306</v>
      </c>
      <c r="B17" s="1882"/>
      <c r="C17" s="1882"/>
      <c r="D17" s="1882"/>
      <c r="E17" s="1882"/>
      <c r="F17" s="1882"/>
      <c r="G17" s="1882"/>
      <c r="H17" s="1882"/>
      <c r="I17" s="1882"/>
      <c r="J17" s="1882"/>
      <c r="K17" s="1882"/>
      <c r="L17" s="1882"/>
      <c r="M17" s="1882"/>
      <c r="N17" s="1882"/>
      <c r="O17" s="1882"/>
      <c r="P17" s="1882"/>
      <c r="Q17" s="1882"/>
      <c r="R17" s="1882"/>
    </row>
    <row r="18" spans="1:18" ht="28.5" thickBot="1">
      <c r="A18" s="62" t="s">
        <v>12307</v>
      </c>
      <c r="B18" s="1882"/>
      <c r="C18" s="1882"/>
      <c r="D18" s="1882"/>
      <c r="E18" s="1882"/>
      <c r="F18" s="1882"/>
      <c r="G18" s="1882"/>
      <c r="H18" s="1882"/>
      <c r="I18" s="1882"/>
      <c r="J18" s="1882"/>
      <c r="K18" s="1882"/>
      <c r="L18" s="1882"/>
      <c r="M18" s="1882"/>
      <c r="N18" s="1882"/>
      <c r="O18" s="1882"/>
      <c r="P18" s="1882"/>
      <c r="Q18" s="1882"/>
      <c r="R18" s="1882"/>
    </row>
    <row r="19" spans="1:18" ht="28">
      <c r="A19" s="62" t="s">
        <v>12308</v>
      </c>
      <c r="B19" s="1882"/>
      <c r="C19" s="1882"/>
      <c r="D19" s="1882"/>
      <c r="E19" s="1882"/>
      <c r="F19" s="1882"/>
      <c r="G19" s="1882"/>
      <c r="H19" s="1882"/>
      <c r="I19" s="1882"/>
      <c r="J19" s="1882"/>
      <c r="K19" s="1882"/>
      <c r="L19" s="1882"/>
      <c r="M19" s="1882"/>
      <c r="N19" s="1882"/>
      <c r="O19" s="1882"/>
      <c r="P19" s="1882"/>
      <c r="Q19" s="1882"/>
      <c r="R19" s="64"/>
    </row>
    <row r="20" spans="1:18">
      <c r="A20" s="1882"/>
      <c r="B20" s="1882"/>
      <c r="C20" s="1882"/>
      <c r="D20" s="1882"/>
      <c r="E20" s="1882"/>
      <c r="F20" s="1882"/>
      <c r="G20" s="1882"/>
      <c r="H20" s="1882"/>
      <c r="I20" s="1882"/>
      <c r="J20" s="1882"/>
      <c r="K20" s="1882"/>
      <c r="L20" s="1882"/>
      <c r="M20" s="1882"/>
      <c r="N20" s="1882"/>
      <c r="O20" s="1882"/>
      <c r="P20" s="1882"/>
      <c r="Q20" s="1882"/>
      <c r="R20" s="64"/>
    </row>
    <row r="21" spans="1:18">
      <c r="A21" s="1882"/>
      <c r="B21" s="1882"/>
      <c r="C21" s="1882"/>
      <c r="D21" s="1882"/>
      <c r="E21" s="1882"/>
      <c r="F21" s="1882"/>
      <c r="G21" s="1882"/>
      <c r="H21" s="1882"/>
      <c r="I21" s="1882"/>
      <c r="J21" s="1882"/>
      <c r="K21" s="1882"/>
      <c r="L21" s="1882"/>
      <c r="M21" s="1882"/>
      <c r="N21" s="1882"/>
      <c r="O21" s="1882"/>
      <c r="P21" s="1882"/>
      <c r="Q21" s="1882"/>
      <c r="R21" s="64"/>
    </row>
    <row r="22" spans="1:18">
      <c r="A22" s="1882"/>
      <c r="B22" s="1882"/>
      <c r="C22" s="1882"/>
      <c r="D22" s="1882"/>
      <c r="E22" s="1882"/>
      <c r="F22" s="1882"/>
      <c r="G22" s="1882"/>
      <c r="H22" s="1882"/>
      <c r="I22" s="1882"/>
      <c r="J22" s="1882"/>
      <c r="K22" s="1882"/>
      <c r="L22" s="1882"/>
      <c r="M22" s="1882"/>
      <c r="N22" s="1882"/>
      <c r="O22" s="1882"/>
      <c r="P22" s="1882"/>
      <c r="Q22" s="1882"/>
      <c r="R22" s="64"/>
    </row>
    <row r="23" spans="1:18">
      <c r="A23" s="1882"/>
      <c r="B23" s="1882"/>
      <c r="C23" s="1882"/>
      <c r="D23" s="1882"/>
      <c r="E23" s="1882"/>
      <c r="F23" s="1882"/>
      <c r="G23" s="1882"/>
      <c r="H23" s="1882"/>
      <c r="I23" s="1882"/>
      <c r="J23" s="1882"/>
      <c r="K23" s="1882"/>
      <c r="L23" s="1882"/>
      <c r="M23" s="1882"/>
      <c r="N23" s="1882"/>
      <c r="O23" s="1882"/>
      <c r="P23" s="1882"/>
      <c r="Q23" s="1882"/>
      <c r="R23" s="64"/>
    </row>
    <row r="24" spans="1:18">
      <c r="A24" s="1882"/>
      <c r="B24" s="1882"/>
      <c r="C24" s="1882"/>
      <c r="D24" s="1882"/>
      <c r="E24" s="1882"/>
      <c r="F24" s="1882"/>
      <c r="G24" s="1882"/>
      <c r="H24" s="1882"/>
      <c r="I24" s="1882"/>
      <c r="J24" s="1882"/>
      <c r="K24" s="1882"/>
      <c r="L24" s="1882"/>
      <c r="M24" s="1882"/>
      <c r="N24" s="1882"/>
      <c r="O24" s="1882"/>
      <c r="P24" s="1882"/>
      <c r="Q24" s="1882"/>
      <c r="R24" s="64"/>
    </row>
    <row r="25" spans="1:18">
      <c r="A25" s="1882"/>
      <c r="B25" s="1882"/>
      <c r="C25" s="1882"/>
      <c r="D25" s="1882"/>
      <c r="E25" s="1882"/>
      <c r="F25" s="1882"/>
      <c r="G25" s="1882"/>
      <c r="H25" s="1882"/>
      <c r="I25" s="1882"/>
      <c r="J25" s="1882"/>
      <c r="K25" s="1882"/>
      <c r="L25" s="1882"/>
      <c r="M25" s="1882"/>
      <c r="N25" s="1882"/>
      <c r="O25" s="1882"/>
      <c r="P25" s="1882"/>
      <c r="Q25" s="1882"/>
      <c r="R25" s="64"/>
    </row>
  </sheetData>
  <sheetProtection algorithmName="SHA-512" hashValue="/SxEBPluF3Eb7b7wf44AXpvdoZdDPUbHm13Ory+AOsgiSoyqBXP7DEXWxkYvDdwAwUIIY7Jmx/1EEDT+AZOLzQ==" saltValue="k8QrYbJVUDRZRYGr5STtRQ==" spinCount="100000" sheet="1" objects="1" scenarios="1"/>
  <autoFilter ref="A1:R25" xr:uid="{00000000-0009-0000-0000-00003C000000}"/>
  <printOptions horizontalCentered="1"/>
  <pageMargins left="0.39370078740157483" right="0.39370078740157483" top="0.78740157480314965" bottom="0.78740157480314965" header="0.31496062992125984" footer="0.31496062992125984"/>
  <pageSetup paperSize="9" scale="24"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6">
    <pageSetUpPr fitToPage="1"/>
  </sheetPr>
  <dimension ref="A1:J22"/>
  <sheetViews>
    <sheetView workbookViewId="0"/>
  </sheetViews>
  <sheetFormatPr defaultRowHeight="14"/>
  <cols>
    <col min="1" max="1" width="26.58203125" customWidth="1"/>
    <col min="2" max="2" width="22.08203125" customWidth="1"/>
    <col min="3" max="7" width="18.5" customWidth="1"/>
    <col min="8" max="8" width="15.08203125" customWidth="1"/>
    <col min="9" max="9" width="15" customWidth="1"/>
    <col min="10" max="10" width="18.58203125" customWidth="1"/>
  </cols>
  <sheetData>
    <row r="1" spans="1:10" s="60" customFormat="1" ht="14.5" thickBot="1">
      <c r="A1" s="60" t="s">
        <v>8355</v>
      </c>
      <c r="B1" s="60" t="s">
        <v>8365</v>
      </c>
      <c r="C1" s="60" t="s">
        <v>8375</v>
      </c>
      <c r="D1" s="60" t="s">
        <v>8383</v>
      </c>
      <c r="E1" s="60" t="s">
        <v>8387</v>
      </c>
      <c r="F1" s="60" t="s">
        <v>8391</v>
      </c>
      <c r="G1" s="60" t="s">
        <v>8379</v>
      </c>
      <c r="H1" s="60" t="s">
        <v>8359</v>
      </c>
      <c r="I1" s="60" t="s">
        <v>8362</v>
      </c>
      <c r="J1" s="60" t="s">
        <v>8371</v>
      </c>
    </row>
    <row r="2" spans="1:10" ht="14.5" thickBot="1">
      <c r="A2" s="61" t="s">
        <v>12158</v>
      </c>
      <c r="B2" s="61" t="s">
        <v>12158</v>
      </c>
      <c r="C2" s="61" t="s">
        <v>12158</v>
      </c>
      <c r="D2" s="61" t="s">
        <v>12158</v>
      </c>
      <c r="E2" s="61" t="s">
        <v>12158</v>
      </c>
      <c r="F2" s="61" t="s">
        <v>12158</v>
      </c>
      <c r="G2" s="61" t="s">
        <v>12158</v>
      </c>
      <c r="H2" s="61" t="s">
        <v>12158</v>
      </c>
      <c r="I2" s="61" t="s">
        <v>12158</v>
      </c>
      <c r="J2" s="61" t="s">
        <v>12158</v>
      </c>
    </row>
    <row r="3" spans="1:10" ht="56.5" thickBot="1">
      <c r="A3" s="62" t="s">
        <v>12309</v>
      </c>
      <c r="B3" s="62" t="s">
        <v>12310</v>
      </c>
      <c r="C3" s="62" t="s">
        <v>12311</v>
      </c>
      <c r="D3" s="62" t="s">
        <v>12312</v>
      </c>
      <c r="E3" s="62" t="s">
        <v>12313</v>
      </c>
      <c r="F3" s="62" t="s">
        <v>12314</v>
      </c>
      <c r="G3" s="62" t="s">
        <v>12315</v>
      </c>
      <c r="H3" s="62" t="s">
        <v>12316</v>
      </c>
      <c r="I3" s="62" t="s">
        <v>12317</v>
      </c>
      <c r="J3" s="62" t="s">
        <v>12318</v>
      </c>
    </row>
    <row r="4" spans="1:10" ht="56.5" thickBot="1">
      <c r="A4" s="62" t="s">
        <v>12319</v>
      </c>
      <c r="B4" s="62" t="s">
        <v>12320</v>
      </c>
      <c r="C4" s="62" t="s">
        <v>12321</v>
      </c>
      <c r="D4" s="62" t="s">
        <v>12322</v>
      </c>
      <c r="E4" s="62" t="s">
        <v>12323</v>
      </c>
      <c r="F4" s="62" t="s">
        <v>12324</v>
      </c>
      <c r="G4" s="62" t="s">
        <v>12325</v>
      </c>
      <c r="H4" s="62" t="s">
        <v>12326</v>
      </c>
      <c r="I4" s="62" t="s">
        <v>12327</v>
      </c>
      <c r="J4" s="62" t="s">
        <v>12328</v>
      </c>
    </row>
    <row r="5" spans="1:10" ht="56.5" thickBot="1">
      <c r="A5" s="62" t="s">
        <v>12329</v>
      </c>
      <c r="B5" s="62" t="s">
        <v>12330</v>
      </c>
      <c r="C5" s="62" t="s">
        <v>12331</v>
      </c>
      <c r="D5" s="62" t="s">
        <v>12332</v>
      </c>
      <c r="E5" s="62" t="s">
        <v>12333</v>
      </c>
      <c r="F5" s="62" t="s">
        <v>12334</v>
      </c>
      <c r="G5" s="62" t="s">
        <v>12335</v>
      </c>
      <c r="H5" s="62" t="s">
        <v>12336</v>
      </c>
      <c r="I5" s="62" t="s">
        <v>12337</v>
      </c>
      <c r="J5" s="62" t="s">
        <v>12338</v>
      </c>
    </row>
    <row r="6" spans="1:10" ht="56.5" thickBot="1">
      <c r="A6" s="62" t="s">
        <v>12339</v>
      </c>
      <c r="B6" s="62" t="s">
        <v>12340</v>
      </c>
      <c r="C6" s="62" t="s">
        <v>12341</v>
      </c>
      <c r="D6" s="62" t="s">
        <v>12342</v>
      </c>
      <c r="E6" s="62" t="s">
        <v>12343</v>
      </c>
      <c r="F6" s="62" t="s">
        <v>12344</v>
      </c>
      <c r="G6" s="62" t="s">
        <v>12345</v>
      </c>
      <c r="H6" s="62" t="s">
        <v>12346</v>
      </c>
      <c r="I6" s="62" t="s">
        <v>12347</v>
      </c>
      <c r="J6" s="62" t="s">
        <v>12348</v>
      </c>
    </row>
    <row r="7" spans="1:10" ht="70.5" thickBot="1">
      <c r="A7" s="62" t="s">
        <v>12349</v>
      </c>
      <c r="B7" s="62" t="s">
        <v>12350</v>
      </c>
      <c r="C7" s="62" t="s">
        <v>12351</v>
      </c>
      <c r="D7" s="62" t="s">
        <v>12352</v>
      </c>
      <c r="E7" s="62" t="s">
        <v>12353</v>
      </c>
      <c r="F7" s="62" t="s">
        <v>12354</v>
      </c>
      <c r="G7" s="62" t="s">
        <v>12355</v>
      </c>
      <c r="H7" s="62" t="s">
        <v>12356</v>
      </c>
      <c r="I7" s="62" t="s">
        <v>12357</v>
      </c>
      <c r="J7" s="62" t="s">
        <v>12358</v>
      </c>
    </row>
    <row r="8" spans="1:10" ht="42.5" thickBot="1">
      <c r="A8" s="62" t="s">
        <v>12359</v>
      </c>
      <c r="B8" s="62" t="s">
        <v>12360</v>
      </c>
      <c r="C8" s="62" t="s">
        <v>12361</v>
      </c>
      <c r="D8" s="62" t="s">
        <v>12362</v>
      </c>
      <c r="E8" s="62" t="s">
        <v>12363</v>
      </c>
      <c r="F8" s="62" t="s">
        <v>12364</v>
      </c>
      <c r="G8" s="62" t="s">
        <v>12365</v>
      </c>
      <c r="H8" s="62" t="s">
        <v>12366</v>
      </c>
      <c r="I8" s="65"/>
      <c r="J8" s="62" t="s">
        <v>12367</v>
      </c>
    </row>
    <row r="9" spans="1:10" ht="42.5" thickBot="1">
      <c r="A9" s="62" t="s">
        <v>12368</v>
      </c>
      <c r="B9" s="62" t="s">
        <v>12369</v>
      </c>
      <c r="C9" s="62" t="s">
        <v>12370</v>
      </c>
      <c r="D9" s="62" t="s">
        <v>12371</v>
      </c>
      <c r="E9" s="62" t="s">
        <v>12372</v>
      </c>
      <c r="F9" s="62" t="s">
        <v>12373</v>
      </c>
      <c r="G9" s="62" t="s">
        <v>12374</v>
      </c>
      <c r="H9" s="1882"/>
      <c r="I9" s="65"/>
      <c r="J9" s="62" t="s">
        <v>12375</v>
      </c>
    </row>
    <row r="10" spans="1:10" ht="42.5" thickBot="1">
      <c r="A10" s="62" t="s">
        <v>12376</v>
      </c>
      <c r="B10" s="62" t="s">
        <v>12377</v>
      </c>
      <c r="C10" s="62" t="s">
        <v>12378</v>
      </c>
      <c r="D10" s="62" t="s">
        <v>12379</v>
      </c>
      <c r="E10" s="62" t="s">
        <v>12380</v>
      </c>
      <c r="F10" s="1882"/>
      <c r="G10" s="62" t="s">
        <v>12381</v>
      </c>
      <c r="H10" s="1882"/>
      <c r="I10" s="65"/>
      <c r="J10" s="1882"/>
    </row>
    <row r="11" spans="1:10" ht="42.5" thickBot="1">
      <c r="A11" s="62" t="s">
        <v>12382</v>
      </c>
      <c r="B11" s="62" t="s">
        <v>12383</v>
      </c>
      <c r="C11" s="1882"/>
      <c r="D11" s="62" t="s">
        <v>12384</v>
      </c>
      <c r="E11" s="62" t="s">
        <v>12385</v>
      </c>
      <c r="F11" s="1882"/>
      <c r="G11" s="62" t="s">
        <v>12386</v>
      </c>
      <c r="H11" s="1882"/>
      <c r="I11" s="65"/>
      <c r="J11" s="1882"/>
    </row>
    <row r="12" spans="1:10" ht="42.5" thickBot="1">
      <c r="A12" s="62" t="s">
        <v>12387</v>
      </c>
      <c r="B12" s="62" t="s">
        <v>12388</v>
      </c>
      <c r="C12" s="1882"/>
      <c r="D12" s="1882"/>
      <c r="E12" s="62" t="s">
        <v>12389</v>
      </c>
      <c r="F12" s="1882"/>
      <c r="G12" s="62" t="s">
        <v>12390</v>
      </c>
      <c r="H12" s="1882"/>
      <c r="I12" s="1882"/>
      <c r="J12" s="1882"/>
    </row>
    <row r="13" spans="1:10" ht="56.5" thickBot="1">
      <c r="A13" s="1882"/>
      <c r="B13" s="62" t="s">
        <v>12391</v>
      </c>
      <c r="C13" s="1882"/>
      <c r="D13" s="1882"/>
      <c r="E13" s="62" t="s">
        <v>12392</v>
      </c>
      <c r="F13" s="1882"/>
      <c r="G13" s="62" t="s">
        <v>12393</v>
      </c>
      <c r="H13" s="1882"/>
      <c r="I13" s="1882"/>
      <c r="J13" s="1882"/>
    </row>
    <row r="14" spans="1:10" ht="56.5" thickBot="1">
      <c r="A14" s="1882"/>
      <c r="B14" s="62" t="s">
        <v>12394</v>
      </c>
      <c r="C14" s="1882"/>
      <c r="D14" s="1882"/>
      <c r="E14" s="62" t="s">
        <v>12395</v>
      </c>
      <c r="F14" s="1882"/>
      <c r="G14" s="62" t="s">
        <v>12396</v>
      </c>
      <c r="H14" s="1882"/>
      <c r="I14" s="1882"/>
      <c r="J14" s="1882"/>
    </row>
    <row r="15" spans="1:10" ht="56.5" thickBot="1">
      <c r="A15" s="1882"/>
      <c r="B15" s="62" t="s">
        <v>12397</v>
      </c>
      <c r="C15" s="1882"/>
      <c r="D15" s="1882"/>
      <c r="E15" s="62" t="s">
        <v>12398</v>
      </c>
      <c r="F15" s="1882"/>
      <c r="G15" s="62" t="s">
        <v>12399</v>
      </c>
      <c r="H15" s="1882"/>
      <c r="I15" s="1882"/>
      <c r="J15" s="1882"/>
    </row>
    <row r="16" spans="1:10" ht="42.5" thickBot="1">
      <c r="A16" s="1882"/>
      <c r="B16" s="1882"/>
      <c r="C16" s="1882"/>
      <c r="D16" s="1882"/>
      <c r="E16" s="62" t="s">
        <v>12400</v>
      </c>
      <c r="F16" s="1882"/>
      <c r="G16" s="62" t="s">
        <v>12401</v>
      </c>
      <c r="H16" s="1882"/>
      <c r="I16" s="1882"/>
      <c r="J16" s="1882"/>
    </row>
    <row r="17" spans="5:7" ht="56.5" thickBot="1">
      <c r="E17" s="62" t="s">
        <v>12402</v>
      </c>
      <c r="F17" s="1882"/>
      <c r="G17" s="62" t="s">
        <v>12403</v>
      </c>
    </row>
    <row r="18" spans="5:7" ht="56.5" thickBot="1">
      <c r="E18" s="62" t="s">
        <v>12404</v>
      </c>
      <c r="F18" s="1882"/>
      <c r="G18" s="62" t="s">
        <v>12405</v>
      </c>
    </row>
    <row r="19" spans="5:7" ht="70.5" thickBot="1">
      <c r="E19" s="62" t="s">
        <v>12406</v>
      </c>
      <c r="F19" s="1882"/>
      <c r="G19" s="62" t="s">
        <v>12407</v>
      </c>
    </row>
    <row r="20" spans="5:7" ht="70.5" thickBot="1">
      <c r="E20" s="62" t="s">
        <v>12408</v>
      </c>
      <c r="F20" s="1882"/>
      <c r="G20" s="62" t="s">
        <v>12409</v>
      </c>
    </row>
    <row r="21" spans="5:7" ht="56.5" thickBot="1">
      <c r="E21" s="62" t="s">
        <v>12410</v>
      </c>
      <c r="F21" s="1882"/>
      <c r="G21" s="62" t="s">
        <v>12411</v>
      </c>
    </row>
    <row r="22" spans="5:7" ht="28">
      <c r="E22" s="62" t="s">
        <v>12412</v>
      </c>
      <c r="F22" s="1882"/>
      <c r="G22" s="1882"/>
    </row>
  </sheetData>
  <sheetProtection algorithmName="SHA-512" hashValue="IGJYJGvfmzBHd7mxvx64LVCpXzLj9+NqLtewkiX0sg562Ro3FLpEFhgTFM9WvEfdVkTEaM4hV6Nv4Z7WT5aLFQ==" saltValue="WcTMGyhkVSL6VeLV/RB5qw==" spinCount="100000" sheet="1" objects="1" scenarios="1"/>
  <autoFilter ref="A1:G30" xr:uid="{00000000-0009-0000-0000-00003D000000}"/>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7">
    <pageSetUpPr fitToPage="1"/>
  </sheetPr>
  <dimension ref="A1:R21"/>
  <sheetViews>
    <sheetView workbookViewId="0"/>
  </sheetViews>
  <sheetFormatPr defaultRowHeight="14"/>
  <cols>
    <col min="1" max="1" width="14.08203125" style="1293" customWidth="1"/>
    <col min="2" max="18" width="14.08203125" customWidth="1"/>
  </cols>
  <sheetData>
    <row r="1" spans="1:18" ht="14.5" thickBot="1">
      <c r="A1" s="1844" t="s">
        <v>8355</v>
      </c>
      <c r="B1" s="1845" t="s">
        <v>8365</v>
      </c>
      <c r="C1" s="1845" t="s">
        <v>8375</v>
      </c>
      <c r="D1" s="1845" t="s">
        <v>8383</v>
      </c>
      <c r="E1" s="1845" t="s">
        <v>8387</v>
      </c>
      <c r="F1" s="1845" t="s">
        <v>8391</v>
      </c>
      <c r="G1" s="1845" t="s">
        <v>8379</v>
      </c>
      <c r="H1" s="1845" t="s">
        <v>8846</v>
      </c>
      <c r="I1" s="1845" t="s">
        <v>8978</v>
      </c>
      <c r="J1" s="1845" t="s">
        <v>9373</v>
      </c>
      <c r="K1" s="1845" t="s">
        <v>9453</v>
      </c>
      <c r="L1" s="1845" t="s">
        <v>9643</v>
      </c>
      <c r="M1" s="1845" t="s">
        <v>9958</v>
      </c>
      <c r="N1" s="1845" t="s">
        <v>9536</v>
      </c>
      <c r="O1" s="1845" t="s">
        <v>8371</v>
      </c>
      <c r="P1" s="1845" t="s">
        <v>8359</v>
      </c>
      <c r="Q1" s="1845" t="s">
        <v>8501</v>
      </c>
      <c r="R1" s="1845" t="s">
        <v>8362</v>
      </c>
    </row>
    <row r="2" spans="1:18" ht="14.5" thickBot="1">
      <c r="A2" s="61" t="s">
        <v>12158</v>
      </c>
      <c r="B2" s="61" t="s">
        <v>12158</v>
      </c>
      <c r="C2" s="61" t="s">
        <v>12158</v>
      </c>
      <c r="D2" s="61" t="s">
        <v>12158</v>
      </c>
      <c r="E2" s="61" t="s">
        <v>12158</v>
      </c>
      <c r="F2" s="61" t="s">
        <v>12158</v>
      </c>
      <c r="G2" s="61" t="s">
        <v>12158</v>
      </c>
      <c r="H2" s="61" t="s">
        <v>12158</v>
      </c>
      <c r="I2" s="61" t="s">
        <v>12158</v>
      </c>
      <c r="J2" s="61" t="s">
        <v>12158</v>
      </c>
      <c r="K2" s="61" t="s">
        <v>12158</v>
      </c>
      <c r="L2" s="61" t="s">
        <v>12158</v>
      </c>
      <c r="M2" s="61" t="s">
        <v>12158</v>
      </c>
      <c r="N2" s="61" t="s">
        <v>12158</v>
      </c>
      <c r="O2" s="61" t="s">
        <v>12158</v>
      </c>
      <c r="P2" s="61" t="s">
        <v>12158</v>
      </c>
      <c r="Q2" s="61" t="s">
        <v>12158</v>
      </c>
      <c r="R2" s="61" t="s">
        <v>12158</v>
      </c>
    </row>
    <row r="3" spans="1:18" ht="61.5" customHeight="1" thickBot="1">
      <c r="A3" s="62" t="s">
        <v>12159</v>
      </c>
      <c r="B3" s="62" t="s">
        <v>3514</v>
      </c>
      <c r="C3" s="62" t="s">
        <v>12161</v>
      </c>
      <c r="D3" s="62" t="s">
        <v>3514</v>
      </c>
      <c r="E3" s="62" t="s">
        <v>12163</v>
      </c>
      <c r="F3" s="62" t="s">
        <v>3514</v>
      </c>
      <c r="G3" s="62" t="s">
        <v>12165</v>
      </c>
      <c r="H3" s="62" t="s">
        <v>3514</v>
      </c>
      <c r="I3" s="62" t="s">
        <v>12167</v>
      </c>
      <c r="J3" s="62" t="s">
        <v>12168</v>
      </c>
      <c r="K3" s="62" t="s">
        <v>3514</v>
      </c>
      <c r="L3" s="62" t="s">
        <v>3514</v>
      </c>
      <c r="M3" s="62" t="s">
        <v>3514</v>
      </c>
      <c r="N3" s="62" t="s">
        <v>3514</v>
      </c>
      <c r="O3" s="62" t="s">
        <v>12173</v>
      </c>
      <c r="P3" s="62" t="s">
        <v>3514</v>
      </c>
      <c r="Q3" s="62" t="s">
        <v>3514</v>
      </c>
      <c r="R3" s="62" t="s">
        <v>3514</v>
      </c>
    </row>
    <row r="4" spans="1:18" ht="61.5" customHeight="1" thickBot="1">
      <c r="A4" s="62" t="s">
        <v>12177</v>
      </c>
      <c r="B4" s="62" t="s">
        <v>3514</v>
      </c>
      <c r="C4" s="62" t="s">
        <v>12179</v>
      </c>
      <c r="D4" s="62" t="s">
        <v>3514</v>
      </c>
      <c r="E4" s="62" t="s">
        <v>3514</v>
      </c>
      <c r="F4" s="62" t="s">
        <v>3514</v>
      </c>
      <c r="G4" s="62" t="s">
        <v>12183</v>
      </c>
      <c r="H4" s="62" t="s">
        <v>3514</v>
      </c>
      <c r="I4" s="62" t="s">
        <v>12185</v>
      </c>
      <c r="J4" s="62" t="s">
        <v>3514</v>
      </c>
      <c r="K4" s="62" t="s">
        <v>3514</v>
      </c>
      <c r="L4" s="62" t="s">
        <v>3514</v>
      </c>
      <c r="M4" s="62" t="s">
        <v>3514</v>
      </c>
      <c r="N4" s="62" t="s">
        <v>3514</v>
      </c>
      <c r="O4" s="62" t="s">
        <v>3514</v>
      </c>
      <c r="P4" s="62" t="s">
        <v>3514</v>
      </c>
      <c r="Q4" s="62" t="s">
        <v>3514</v>
      </c>
      <c r="R4" s="62" t="s">
        <v>3514</v>
      </c>
    </row>
    <row r="5" spans="1:18" ht="61.5" customHeight="1" thickBot="1">
      <c r="A5" s="62" t="s">
        <v>12195</v>
      </c>
      <c r="B5" s="62" t="s">
        <v>3514</v>
      </c>
      <c r="C5" s="62" t="s">
        <v>12197</v>
      </c>
      <c r="D5" s="62" t="s">
        <v>3514</v>
      </c>
      <c r="E5" s="62" t="s">
        <v>12199</v>
      </c>
      <c r="F5" s="62" t="s">
        <v>3514</v>
      </c>
      <c r="G5" s="62" t="s">
        <v>12201</v>
      </c>
      <c r="H5" s="62" t="s">
        <v>3514</v>
      </c>
      <c r="I5" s="62" t="s">
        <v>12203</v>
      </c>
      <c r="J5" s="62" t="s">
        <v>3514</v>
      </c>
      <c r="K5" s="62" t="s">
        <v>3514</v>
      </c>
      <c r="L5" s="62" t="s">
        <v>3514</v>
      </c>
      <c r="M5" s="62" t="s">
        <v>3514</v>
      </c>
      <c r="N5" s="62" t="s">
        <v>3514</v>
      </c>
      <c r="O5" s="62" t="s">
        <v>3514</v>
      </c>
      <c r="P5" s="62" t="s">
        <v>3514</v>
      </c>
      <c r="Q5" s="62" t="s">
        <v>3514</v>
      </c>
      <c r="R5" s="62" t="s">
        <v>3514</v>
      </c>
    </row>
    <row r="6" spans="1:18" ht="61.5" customHeight="1" thickBot="1">
      <c r="A6" s="62" t="s">
        <v>12213</v>
      </c>
      <c r="B6" s="62" t="s">
        <v>3514</v>
      </c>
      <c r="C6" s="62" t="s">
        <v>3514</v>
      </c>
      <c r="D6" s="62" t="s">
        <v>3514</v>
      </c>
      <c r="E6" s="62" t="s">
        <v>3514</v>
      </c>
      <c r="F6" s="62" t="s">
        <v>3514</v>
      </c>
      <c r="G6" s="62" t="s">
        <v>3514</v>
      </c>
      <c r="H6" s="62" t="s">
        <v>3514</v>
      </c>
      <c r="I6" s="62" t="s">
        <v>3514</v>
      </c>
      <c r="J6" s="62" t="s">
        <v>3514</v>
      </c>
      <c r="K6" s="62" t="s">
        <v>3514</v>
      </c>
      <c r="L6" s="62" t="s">
        <v>3514</v>
      </c>
      <c r="M6" s="62" t="s">
        <v>3514</v>
      </c>
      <c r="N6" s="62" t="s">
        <v>3514</v>
      </c>
      <c r="O6" s="62" t="s">
        <v>3514</v>
      </c>
      <c r="P6" s="62" t="s">
        <v>3514</v>
      </c>
      <c r="Q6" s="62" t="s">
        <v>3514</v>
      </c>
      <c r="R6" s="62" t="s">
        <v>3514</v>
      </c>
    </row>
    <row r="7" spans="1:18" ht="61.5" customHeight="1" thickBot="1">
      <c r="A7" s="62" t="s">
        <v>12413</v>
      </c>
      <c r="B7" s="62" t="s">
        <v>3514</v>
      </c>
      <c r="C7" s="62" t="s">
        <v>3514</v>
      </c>
      <c r="D7" s="62" t="s">
        <v>3514</v>
      </c>
      <c r="E7" s="62" t="s">
        <v>12234</v>
      </c>
      <c r="F7" s="62" t="s">
        <v>12414</v>
      </c>
      <c r="G7" s="62" t="s">
        <v>3514</v>
      </c>
      <c r="H7" s="62" t="s">
        <v>3514</v>
      </c>
      <c r="I7" s="62" t="s">
        <v>3514</v>
      </c>
      <c r="J7" s="62" t="s">
        <v>12415</v>
      </c>
      <c r="K7" s="62" t="s">
        <v>3514</v>
      </c>
      <c r="L7" s="62" t="s">
        <v>3514</v>
      </c>
      <c r="M7" s="62" t="s">
        <v>3514</v>
      </c>
      <c r="N7" s="62" t="s">
        <v>3514</v>
      </c>
      <c r="O7" s="62" t="s">
        <v>3514</v>
      </c>
      <c r="P7" s="62" t="s">
        <v>3514</v>
      </c>
      <c r="Q7" s="62" t="s">
        <v>3514</v>
      </c>
      <c r="R7" s="62" t="s">
        <v>3514</v>
      </c>
    </row>
    <row r="8" spans="1:18" ht="61.5" customHeight="1" thickBot="1">
      <c r="A8" s="62" t="s">
        <v>3514</v>
      </c>
      <c r="B8" s="62" t="s">
        <v>12416</v>
      </c>
      <c r="C8" s="62" t="s">
        <v>3514</v>
      </c>
      <c r="D8" s="62" t="s">
        <v>3514</v>
      </c>
      <c r="E8" s="62" t="s">
        <v>3514</v>
      </c>
      <c r="F8" s="62" t="s">
        <v>12417</v>
      </c>
      <c r="G8" s="62" t="s">
        <v>3514</v>
      </c>
      <c r="H8" s="62" t="s">
        <v>12251</v>
      </c>
      <c r="I8" s="62" t="s">
        <v>3514</v>
      </c>
      <c r="J8" s="62" t="s">
        <v>12418</v>
      </c>
      <c r="K8" s="62" t="s">
        <v>3514</v>
      </c>
      <c r="L8" s="62" t="s">
        <v>3514</v>
      </c>
      <c r="M8" s="62" t="s">
        <v>3514</v>
      </c>
      <c r="N8" s="62" t="s">
        <v>3514</v>
      </c>
      <c r="O8" s="62" t="s">
        <v>3514</v>
      </c>
      <c r="P8" s="62" t="s">
        <v>3514</v>
      </c>
      <c r="Q8" s="62" t="s">
        <v>12419</v>
      </c>
      <c r="R8" s="62" t="s">
        <v>3514</v>
      </c>
    </row>
    <row r="9" spans="1:18" ht="61.5" customHeight="1" thickBot="1">
      <c r="A9" s="62" t="s">
        <v>3514</v>
      </c>
      <c r="B9" s="62" t="s">
        <v>12420</v>
      </c>
      <c r="C9" s="62" t="s">
        <v>12418</v>
      </c>
      <c r="D9" s="62" t="s">
        <v>12421</v>
      </c>
      <c r="E9" s="62" t="s">
        <v>3514</v>
      </c>
      <c r="F9" s="62" t="s">
        <v>12418</v>
      </c>
      <c r="G9" s="62" t="s">
        <v>3514</v>
      </c>
      <c r="H9" s="62" t="s">
        <v>12263</v>
      </c>
      <c r="I9" s="62" t="s">
        <v>12422</v>
      </c>
      <c r="J9" s="62" t="s">
        <v>12423</v>
      </c>
      <c r="K9" s="62" t="s">
        <v>3514</v>
      </c>
      <c r="L9" s="62" t="s">
        <v>12424</v>
      </c>
      <c r="M9" s="62" t="s">
        <v>3514</v>
      </c>
      <c r="N9" s="62" t="s">
        <v>3514</v>
      </c>
      <c r="O9" s="62" t="s">
        <v>12425</v>
      </c>
      <c r="P9" s="62" t="s">
        <v>3514</v>
      </c>
      <c r="Q9" s="62" t="s">
        <v>12418</v>
      </c>
      <c r="R9" s="62" t="s">
        <v>3514</v>
      </c>
    </row>
    <row r="10" spans="1:18" ht="61.5" customHeight="1" thickBot="1">
      <c r="A10" s="62" t="s">
        <v>3514</v>
      </c>
      <c r="B10" s="62" t="s">
        <v>12426</v>
      </c>
      <c r="C10" s="62" t="s">
        <v>12423</v>
      </c>
      <c r="D10" s="62" t="s">
        <v>12418</v>
      </c>
      <c r="E10" s="62" t="s">
        <v>3514</v>
      </c>
      <c r="F10" s="62" t="s">
        <v>12423</v>
      </c>
      <c r="G10" s="62" t="s">
        <v>12271</v>
      </c>
      <c r="H10" s="62" t="s">
        <v>12272</v>
      </c>
      <c r="I10" s="1882"/>
      <c r="J10" s="1882"/>
      <c r="K10" s="62" t="s">
        <v>12273</v>
      </c>
      <c r="L10" s="62" t="s">
        <v>12427</v>
      </c>
      <c r="M10" s="62" t="s">
        <v>3514</v>
      </c>
      <c r="N10" s="62" t="s">
        <v>3514</v>
      </c>
      <c r="O10" s="62" t="s">
        <v>12418</v>
      </c>
      <c r="P10" s="62" t="s">
        <v>3514</v>
      </c>
      <c r="Q10" s="62" t="s">
        <v>12423</v>
      </c>
      <c r="R10" s="62" t="s">
        <v>3514</v>
      </c>
    </row>
    <row r="11" spans="1:18" ht="61.5" customHeight="1" thickBot="1">
      <c r="A11" s="62" t="s">
        <v>12278</v>
      </c>
      <c r="B11" s="1882"/>
      <c r="C11" s="1882"/>
      <c r="D11" s="62" t="s">
        <v>12423</v>
      </c>
      <c r="E11" s="62" t="s">
        <v>3514</v>
      </c>
      <c r="F11" s="1882"/>
      <c r="G11" s="62" t="s">
        <v>12280</v>
      </c>
      <c r="H11" s="62" t="s">
        <v>12418</v>
      </c>
      <c r="I11" s="63"/>
      <c r="J11" s="1882"/>
      <c r="K11" s="62" t="s">
        <v>12428</v>
      </c>
      <c r="L11" s="62" t="s">
        <v>12429</v>
      </c>
      <c r="M11" s="62" t="s">
        <v>3514</v>
      </c>
      <c r="N11" s="62" t="s">
        <v>3514</v>
      </c>
      <c r="O11" s="62" t="s">
        <v>12423</v>
      </c>
      <c r="P11" s="62" t="s">
        <v>3514</v>
      </c>
      <c r="Q11" s="1882"/>
      <c r="R11" s="62" t="s">
        <v>3514</v>
      </c>
    </row>
    <row r="12" spans="1:18" ht="61.5" customHeight="1" thickBot="1">
      <c r="A12" s="62" t="s">
        <v>3514</v>
      </c>
      <c r="B12" s="1882"/>
      <c r="C12" s="1882"/>
      <c r="D12" s="1882"/>
      <c r="E12" s="62" t="s">
        <v>3514</v>
      </c>
      <c r="F12" s="1882"/>
      <c r="G12" s="62" t="s">
        <v>12287</v>
      </c>
      <c r="H12" s="62" t="s">
        <v>12423</v>
      </c>
      <c r="I12" s="63"/>
      <c r="J12" s="1882"/>
      <c r="K12" s="62" t="s">
        <v>12430</v>
      </c>
      <c r="L12" s="62" t="s">
        <v>12418</v>
      </c>
      <c r="M12" s="62" t="s">
        <v>3514</v>
      </c>
      <c r="N12" s="62" t="s">
        <v>3514</v>
      </c>
      <c r="O12" s="1882"/>
      <c r="P12" s="62" t="s">
        <v>3514</v>
      </c>
      <c r="Q12" s="1882"/>
      <c r="R12" s="62" t="s">
        <v>3514</v>
      </c>
    </row>
    <row r="13" spans="1:18" ht="61.5" customHeight="1" thickBot="1">
      <c r="A13" s="62" t="s">
        <v>3514</v>
      </c>
      <c r="B13" s="1882"/>
      <c r="C13" s="1882"/>
      <c r="D13" s="1882"/>
      <c r="E13" s="62" t="s">
        <v>3514</v>
      </c>
      <c r="F13" s="1882"/>
      <c r="G13" s="62" t="s">
        <v>3514</v>
      </c>
      <c r="H13" s="1882"/>
      <c r="I13" s="63"/>
      <c r="J13" s="1882"/>
      <c r="K13" s="62" t="s">
        <v>12423</v>
      </c>
      <c r="L13" s="62" t="s">
        <v>12423</v>
      </c>
      <c r="M13" s="62" t="s">
        <v>12431</v>
      </c>
      <c r="N13" s="62" t="s">
        <v>2053</v>
      </c>
      <c r="O13" s="1882"/>
      <c r="P13" s="62" t="s">
        <v>3514</v>
      </c>
      <c r="Q13" s="1882"/>
      <c r="R13" s="62" t="s">
        <v>3514</v>
      </c>
    </row>
    <row r="14" spans="1:18" ht="61.5" customHeight="1" thickBot="1">
      <c r="A14" s="62" t="s">
        <v>3514</v>
      </c>
      <c r="B14" s="1882"/>
      <c r="C14" s="1882"/>
      <c r="D14" s="1882"/>
      <c r="E14" s="62" t="s">
        <v>3514</v>
      </c>
      <c r="F14" s="1882"/>
      <c r="G14" s="62" t="s">
        <v>12299</v>
      </c>
      <c r="H14" s="1882"/>
      <c r="I14" s="1882"/>
      <c r="J14" s="1882"/>
      <c r="K14" s="1882"/>
      <c r="L14" s="1882"/>
      <c r="M14" s="62" t="s">
        <v>12418</v>
      </c>
      <c r="N14" s="62" t="s">
        <v>12432</v>
      </c>
      <c r="O14" s="1882"/>
      <c r="P14" s="62" t="s">
        <v>3514</v>
      </c>
      <c r="Q14" s="1882"/>
      <c r="R14" s="62" t="s">
        <v>12433</v>
      </c>
    </row>
    <row r="15" spans="1:18" ht="61.5" customHeight="1" thickBot="1">
      <c r="A15" s="62" t="s">
        <v>3514</v>
      </c>
      <c r="B15" s="1882"/>
      <c r="C15" s="1882"/>
      <c r="D15" s="1882"/>
      <c r="E15" s="62" t="s">
        <v>3514</v>
      </c>
      <c r="F15" s="1882"/>
      <c r="G15" s="62" t="s">
        <v>12418</v>
      </c>
      <c r="H15" s="1882"/>
      <c r="I15" s="1882"/>
      <c r="J15" s="1882"/>
      <c r="K15" s="1882"/>
      <c r="L15" s="1882"/>
      <c r="M15" s="62" t="s">
        <v>12423</v>
      </c>
      <c r="N15" s="62" t="s">
        <v>12420</v>
      </c>
      <c r="O15" s="1882"/>
      <c r="P15" s="62" t="s">
        <v>3514</v>
      </c>
      <c r="Q15" s="1882"/>
      <c r="R15" s="62" t="s">
        <v>12434</v>
      </c>
    </row>
    <row r="16" spans="1:18" ht="61.5" customHeight="1" thickBot="1">
      <c r="A16" s="62" t="s">
        <v>3514</v>
      </c>
      <c r="B16" s="1882"/>
      <c r="C16" s="1882"/>
      <c r="D16" s="1882"/>
      <c r="E16" s="62" t="s">
        <v>12418</v>
      </c>
      <c r="F16" s="1882"/>
      <c r="G16" s="62" t="s">
        <v>12423</v>
      </c>
      <c r="H16" s="1882"/>
      <c r="I16" s="1882"/>
      <c r="J16" s="1882"/>
      <c r="K16" s="1882"/>
      <c r="L16" s="1882"/>
      <c r="M16" s="1882"/>
      <c r="N16" s="62" t="s">
        <v>12426</v>
      </c>
      <c r="O16" s="1882"/>
      <c r="P16" s="62" t="s">
        <v>3514</v>
      </c>
      <c r="Q16" s="1882"/>
      <c r="R16" s="62" t="s">
        <v>12418</v>
      </c>
    </row>
    <row r="17" spans="1:18" ht="61.5" customHeight="1" thickBot="1">
      <c r="A17" s="62" t="s">
        <v>3514</v>
      </c>
      <c r="B17" s="1882"/>
      <c r="C17" s="1882"/>
      <c r="D17" s="1882"/>
      <c r="E17" s="62" t="s">
        <v>12423</v>
      </c>
      <c r="F17" s="1882"/>
      <c r="G17" s="1882"/>
      <c r="H17" s="1882"/>
      <c r="I17" s="1882"/>
      <c r="J17" s="1882"/>
      <c r="K17" s="1882"/>
      <c r="L17" s="1882"/>
      <c r="M17" s="1882"/>
      <c r="N17" s="1882"/>
      <c r="O17" s="1882"/>
      <c r="P17" s="62" t="s">
        <v>12435</v>
      </c>
      <c r="Q17" s="1882"/>
      <c r="R17" s="62" t="s">
        <v>12422</v>
      </c>
    </row>
    <row r="18" spans="1:18" ht="61.5" customHeight="1" thickBot="1">
      <c r="A18" s="62" t="s">
        <v>12307</v>
      </c>
      <c r="B18" s="1882"/>
      <c r="C18" s="1882"/>
      <c r="D18" s="1882"/>
      <c r="E18" s="1882"/>
      <c r="F18" s="1882"/>
      <c r="G18" s="1882"/>
      <c r="H18" s="1882"/>
      <c r="I18" s="1882"/>
      <c r="J18" s="1882"/>
      <c r="K18" s="1882"/>
      <c r="L18" s="1882"/>
      <c r="M18" s="1882"/>
      <c r="N18" s="1882"/>
      <c r="O18" s="1882"/>
      <c r="P18" s="62" t="s">
        <v>12423</v>
      </c>
      <c r="Q18" s="1882"/>
      <c r="R18" s="1882"/>
    </row>
    <row r="19" spans="1:18" ht="69" customHeight="1" thickBot="1">
      <c r="A19" s="62" t="s">
        <v>12308</v>
      </c>
      <c r="B19" s="1882"/>
      <c r="C19" s="1882"/>
      <c r="D19" s="1882"/>
      <c r="E19" s="1882"/>
      <c r="F19" s="1882"/>
      <c r="G19" s="1882"/>
      <c r="H19" s="1882"/>
      <c r="I19" s="1882"/>
      <c r="J19" s="1882"/>
      <c r="K19" s="1882"/>
      <c r="L19" s="1882"/>
      <c r="M19" s="1882"/>
      <c r="N19" s="1882"/>
      <c r="O19" s="1882"/>
      <c r="P19" s="1882"/>
      <c r="Q19" s="1882"/>
      <c r="R19" s="1882"/>
    </row>
    <row r="20" spans="1:18" ht="69" customHeight="1" thickBot="1">
      <c r="A20" s="62" t="s">
        <v>12418</v>
      </c>
      <c r="B20" s="1882"/>
      <c r="C20" s="1882"/>
      <c r="D20" s="1882"/>
      <c r="E20" s="1882"/>
      <c r="F20" s="1882"/>
      <c r="G20" s="1882"/>
      <c r="H20" s="1882"/>
      <c r="I20" s="1882"/>
      <c r="J20" s="1882"/>
      <c r="K20" s="1882"/>
      <c r="L20" s="1882"/>
      <c r="M20" s="1882"/>
      <c r="N20" s="1882"/>
      <c r="O20" s="1882"/>
      <c r="P20" s="1882"/>
      <c r="Q20" s="1882"/>
      <c r="R20" s="1882"/>
    </row>
    <row r="21" spans="1:18" ht="69" customHeight="1">
      <c r="A21" s="62" t="s">
        <v>12423</v>
      </c>
      <c r="B21" s="1882"/>
      <c r="C21" s="1882"/>
      <c r="D21" s="1882"/>
      <c r="E21" s="1882"/>
      <c r="F21" s="1882"/>
      <c r="G21" s="1882"/>
      <c r="H21" s="1882"/>
      <c r="I21" s="1882"/>
      <c r="J21" s="1882"/>
      <c r="K21" s="1882"/>
      <c r="L21" s="1882"/>
      <c r="M21" s="1882"/>
      <c r="N21" s="1882"/>
      <c r="O21" s="1882"/>
      <c r="P21" s="1882"/>
      <c r="Q21" s="1882"/>
      <c r="R21" s="1882"/>
    </row>
  </sheetData>
  <sheetProtection algorithmName="SHA-512" hashValue="RAy48gVfRjMuD3b/r3ggUbGeP2nRNEycjcnuWclEdWAeOJKOoLfBBWWphFnzJTwXd63QZZGhWRAsAHKyHMwYmg==" saltValue="pqw85KGVTMTWRNK6pnU7pQ==" spinCount="100000" sheet="1" objects="1" scenarios="1"/>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8">
    <pageSetUpPr fitToPage="1"/>
  </sheetPr>
  <dimension ref="A1:J24"/>
  <sheetViews>
    <sheetView workbookViewId="0"/>
  </sheetViews>
  <sheetFormatPr defaultRowHeight="14"/>
  <cols>
    <col min="1" max="10" width="21" customWidth="1"/>
  </cols>
  <sheetData>
    <row r="1" spans="1:10" ht="14.5" thickBot="1">
      <c r="A1" s="60" t="s">
        <v>8355</v>
      </c>
      <c r="B1" s="1845" t="s">
        <v>8365</v>
      </c>
      <c r="C1" s="1845" t="s">
        <v>8375</v>
      </c>
      <c r="D1" s="1845" t="s">
        <v>8383</v>
      </c>
      <c r="E1" s="1845" t="s">
        <v>8387</v>
      </c>
      <c r="F1" s="1845" t="s">
        <v>8391</v>
      </c>
      <c r="G1" s="1845" t="s">
        <v>8379</v>
      </c>
      <c r="H1" s="1845" t="s">
        <v>8359</v>
      </c>
      <c r="I1" s="1845" t="s">
        <v>8362</v>
      </c>
      <c r="J1" s="1845" t="s">
        <v>8371</v>
      </c>
    </row>
    <row r="2" spans="1:10" ht="14.5" thickBot="1">
      <c r="A2" s="61" t="s">
        <v>12158</v>
      </c>
      <c r="B2" s="61" t="s">
        <v>12158</v>
      </c>
      <c r="C2" s="61" t="s">
        <v>12158</v>
      </c>
      <c r="D2" s="61" t="s">
        <v>12158</v>
      </c>
      <c r="E2" s="61" t="s">
        <v>12158</v>
      </c>
      <c r="F2" s="61" t="s">
        <v>12158</v>
      </c>
      <c r="G2" s="61" t="s">
        <v>12158</v>
      </c>
      <c r="H2" s="61" t="s">
        <v>12158</v>
      </c>
      <c r="I2" s="61" t="s">
        <v>12158</v>
      </c>
      <c r="J2" s="61" t="s">
        <v>12158</v>
      </c>
    </row>
    <row r="3" spans="1:10" ht="60.75" customHeight="1" thickBot="1">
      <c r="A3" s="62" t="s">
        <v>12309</v>
      </c>
      <c r="B3" s="62" t="s">
        <v>3514</v>
      </c>
      <c r="C3" s="62" t="s">
        <v>12311</v>
      </c>
      <c r="D3" s="62" t="s">
        <v>3514</v>
      </c>
      <c r="E3" s="62" t="s">
        <v>12313</v>
      </c>
      <c r="F3" s="62" t="s">
        <v>3514</v>
      </c>
      <c r="G3" s="62" t="s">
        <v>12315</v>
      </c>
      <c r="H3" s="62" t="s">
        <v>3514</v>
      </c>
      <c r="I3" s="62" t="s">
        <v>3514</v>
      </c>
      <c r="J3" s="62" t="s">
        <v>12318</v>
      </c>
    </row>
    <row r="4" spans="1:10" ht="60.75" customHeight="1" thickBot="1">
      <c r="A4" s="62" t="s">
        <v>12319</v>
      </c>
      <c r="B4" s="62" t="s">
        <v>3514</v>
      </c>
      <c r="C4" s="62" t="s">
        <v>12321</v>
      </c>
      <c r="D4" s="62" t="s">
        <v>3514</v>
      </c>
      <c r="E4" s="62" t="s">
        <v>3514</v>
      </c>
      <c r="F4" s="62" t="s">
        <v>3514</v>
      </c>
      <c r="G4" s="62" t="s">
        <v>12325</v>
      </c>
      <c r="H4" s="62" t="s">
        <v>3514</v>
      </c>
      <c r="I4" s="62" t="s">
        <v>3514</v>
      </c>
      <c r="J4" s="62" t="s">
        <v>3514</v>
      </c>
    </row>
    <row r="5" spans="1:10" ht="60.75" customHeight="1" thickBot="1">
      <c r="A5" s="62" t="s">
        <v>12329</v>
      </c>
      <c r="B5" s="62" t="s">
        <v>3514</v>
      </c>
      <c r="C5" s="62" t="s">
        <v>12331</v>
      </c>
      <c r="D5" s="62" t="s">
        <v>3514</v>
      </c>
      <c r="E5" s="62" t="s">
        <v>12333</v>
      </c>
      <c r="F5" s="62" t="s">
        <v>3514</v>
      </c>
      <c r="G5" s="62" t="s">
        <v>12335</v>
      </c>
      <c r="H5" s="62" t="s">
        <v>3514</v>
      </c>
      <c r="I5" s="62" t="s">
        <v>3514</v>
      </c>
      <c r="J5" s="62" t="s">
        <v>3514</v>
      </c>
    </row>
    <row r="6" spans="1:10" ht="60.75" customHeight="1" thickBot="1">
      <c r="A6" s="62" t="s">
        <v>3514</v>
      </c>
      <c r="B6" s="62" t="s">
        <v>3514</v>
      </c>
      <c r="C6" s="62" t="s">
        <v>3514</v>
      </c>
      <c r="D6" s="62" t="s">
        <v>3514</v>
      </c>
      <c r="E6" s="62" t="s">
        <v>12343</v>
      </c>
      <c r="F6" s="62" t="s">
        <v>3514</v>
      </c>
      <c r="G6" s="62" t="s">
        <v>3514</v>
      </c>
      <c r="H6" s="62" t="s">
        <v>3514</v>
      </c>
      <c r="I6" s="62" t="s">
        <v>3514</v>
      </c>
      <c r="J6" s="62" t="s">
        <v>3514</v>
      </c>
    </row>
    <row r="7" spans="1:10" ht="60.75" customHeight="1" thickBot="1">
      <c r="A7" s="62" t="s">
        <v>3514</v>
      </c>
      <c r="B7" s="62" t="s">
        <v>3514</v>
      </c>
      <c r="C7" s="62" t="s">
        <v>3514</v>
      </c>
      <c r="D7" s="62" t="s">
        <v>3514</v>
      </c>
      <c r="E7" s="62" t="s">
        <v>3514</v>
      </c>
      <c r="F7" s="62" t="s">
        <v>3514</v>
      </c>
      <c r="G7" s="62" t="s">
        <v>3514</v>
      </c>
      <c r="H7" s="62" t="s">
        <v>3514</v>
      </c>
      <c r="I7" s="62" t="s">
        <v>3514</v>
      </c>
      <c r="J7" s="62" t="s">
        <v>3514</v>
      </c>
    </row>
    <row r="8" spans="1:10" ht="60.75" customHeight="1" thickBot="1">
      <c r="A8" s="62" t="s">
        <v>12359</v>
      </c>
      <c r="B8" s="62" t="s">
        <v>3514</v>
      </c>
      <c r="C8" s="62" t="s">
        <v>3514</v>
      </c>
      <c r="D8" s="62" t="s">
        <v>3514</v>
      </c>
      <c r="E8" s="62" t="s">
        <v>12363</v>
      </c>
      <c r="F8" s="62" t="s">
        <v>3514</v>
      </c>
      <c r="G8" s="62" t="s">
        <v>3514</v>
      </c>
      <c r="H8" s="62" t="s">
        <v>3514</v>
      </c>
      <c r="I8" s="62" t="s">
        <v>12436</v>
      </c>
      <c r="J8" s="62" t="s">
        <v>3514</v>
      </c>
    </row>
    <row r="9" spans="1:10" ht="60.75" customHeight="1" thickBot="1">
      <c r="A9" s="62" t="s">
        <v>12368</v>
      </c>
      <c r="B9" s="62" t="s">
        <v>3514</v>
      </c>
      <c r="C9" s="62" t="s">
        <v>3514</v>
      </c>
      <c r="D9" s="62" t="s">
        <v>3514</v>
      </c>
      <c r="E9" s="62" t="s">
        <v>12372</v>
      </c>
      <c r="F9" s="62" t="s">
        <v>3514</v>
      </c>
      <c r="G9" s="62" t="s">
        <v>3514</v>
      </c>
      <c r="H9" s="62" t="s">
        <v>12437</v>
      </c>
      <c r="I9" s="62" t="s">
        <v>12438</v>
      </c>
      <c r="J9" s="62" t="s">
        <v>3514</v>
      </c>
    </row>
    <row r="10" spans="1:10" ht="60.75" customHeight="1" thickBot="1">
      <c r="A10" s="62" t="s">
        <v>12376</v>
      </c>
      <c r="B10" s="62" t="s">
        <v>3514</v>
      </c>
      <c r="C10" s="62" t="s">
        <v>3514</v>
      </c>
      <c r="D10" s="62" t="s">
        <v>3514</v>
      </c>
      <c r="E10" s="62" t="s">
        <v>3514</v>
      </c>
      <c r="F10" s="62" t="s">
        <v>12439</v>
      </c>
      <c r="G10" s="62" t="s">
        <v>12381</v>
      </c>
      <c r="H10" s="1882"/>
      <c r="I10" s="62" t="s">
        <v>12440</v>
      </c>
      <c r="J10" s="62" t="s">
        <v>12441</v>
      </c>
    </row>
    <row r="11" spans="1:10" ht="60.75" customHeight="1" thickBot="1">
      <c r="A11" s="62" t="s">
        <v>3514</v>
      </c>
      <c r="B11" s="62" t="s">
        <v>3514</v>
      </c>
      <c r="C11" s="62" t="s">
        <v>12440</v>
      </c>
      <c r="D11" s="62" t="s">
        <v>3514</v>
      </c>
      <c r="E11" s="62" t="s">
        <v>3514</v>
      </c>
      <c r="F11" s="62" t="s">
        <v>12442</v>
      </c>
      <c r="G11" s="62" t="s">
        <v>12386</v>
      </c>
      <c r="H11" s="1882"/>
      <c r="I11" s="62" t="s">
        <v>12443</v>
      </c>
      <c r="J11" s="62" t="s">
        <v>12440</v>
      </c>
    </row>
    <row r="12" spans="1:10" ht="60.75" customHeight="1" thickBot="1">
      <c r="A12" s="62" t="s">
        <v>3514</v>
      </c>
      <c r="B12" s="62" t="s">
        <v>3514</v>
      </c>
      <c r="C12" s="62" t="s">
        <v>12443</v>
      </c>
      <c r="D12" s="62" t="s">
        <v>12444</v>
      </c>
      <c r="E12" s="62" t="s">
        <v>3514</v>
      </c>
      <c r="F12" s="62" t="s">
        <v>12445</v>
      </c>
      <c r="G12" s="62" t="s">
        <v>12390</v>
      </c>
      <c r="H12" s="1882"/>
      <c r="I12" s="1882"/>
      <c r="J12" s="62" t="s">
        <v>12446</v>
      </c>
    </row>
    <row r="13" spans="1:10" ht="60.75" customHeight="1" thickBot="1">
      <c r="A13" s="62" t="s">
        <v>12440</v>
      </c>
      <c r="B13" s="62" t="s">
        <v>3514</v>
      </c>
      <c r="C13" s="1882"/>
      <c r="D13" s="62" t="s">
        <v>12440</v>
      </c>
      <c r="E13" s="62" t="s">
        <v>3514</v>
      </c>
      <c r="F13" s="62" t="s">
        <v>12440</v>
      </c>
      <c r="G13" s="62" t="s">
        <v>3514</v>
      </c>
      <c r="H13" s="1882"/>
      <c r="I13" s="1882"/>
      <c r="J13" s="1882"/>
    </row>
    <row r="14" spans="1:10" ht="60.75" customHeight="1" thickBot="1">
      <c r="A14" s="62" t="s">
        <v>12443</v>
      </c>
      <c r="B14" s="62" t="s">
        <v>3514</v>
      </c>
      <c r="C14" s="1882"/>
      <c r="D14" s="62" t="s">
        <v>12443</v>
      </c>
      <c r="E14" s="62" t="s">
        <v>3514</v>
      </c>
      <c r="F14" s="62" t="s">
        <v>12443</v>
      </c>
      <c r="G14" s="62" t="s">
        <v>3514</v>
      </c>
      <c r="H14" s="1882"/>
      <c r="I14" s="1882"/>
      <c r="J14" s="1882"/>
    </row>
    <row r="15" spans="1:10" ht="60.75" customHeight="1" thickBot="1">
      <c r="A15" s="1882"/>
      <c r="B15" s="62" t="s">
        <v>3514</v>
      </c>
      <c r="C15" s="1882"/>
      <c r="D15" s="1882"/>
      <c r="E15" s="62" t="s">
        <v>3514</v>
      </c>
      <c r="F15" s="1882"/>
      <c r="G15" s="62" t="s">
        <v>3514</v>
      </c>
      <c r="H15" s="1882"/>
      <c r="I15" s="1882"/>
      <c r="J15" s="1882"/>
    </row>
    <row r="16" spans="1:10" ht="60.75" customHeight="1" thickBot="1">
      <c r="A16" s="1882"/>
      <c r="B16" s="62" t="s">
        <v>12447</v>
      </c>
      <c r="C16" s="1882"/>
      <c r="D16" s="1882"/>
      <c r="E16" s="62" t="s">
        <v>3514</v>
      </c>
      <c r="F16" s="1882"/>
      <c r="G16" s="62" t="s">
        <v>3514</v>
      </c>
      <c r="H16" s="1882"/>
      <c r="I16" s="1882"/>
      <c r="J16" s="1882"/>
    </row>
    <row r="17" spans="2:7" ht="60.75" customHeight="1" thickBot="1">
      <c r="B17" s="62" t="s">
        <v>12448</v>
      </c>
      <c r="C17" s="1882"/>
      <c r="D17" s="1882"/>
      <c r="E17" s="62" t="s">
        <v>3514</v>
      </c>
      <c r="F17" s="1882"/>
      <c r="G17" s="62" t="s">
        <v>12403</v>
      </c>
    </row>
    <row r="18" spans="2:7" ht="60.75" customHeight="1" thickBot="1">
      <c r="B18" s="62" t="s">
        <v>12449</v>
      </c>
      <c r="C18" s="1882"/>
      <c r="D18" s="1882"/>
      <c r="E18" s="62" t="s">
        <v>3514</v>
      </c>
      <c r="F18" s="1882"/>
      <c r="G18" s="62" t="s">
        <v>12405</v>
      </c>
    </row>
    <row r="19" spans="2:7" ht="60.75" customHeight="1" thickBot="1">
      <c r="B19" s="1882"/>
      <c r="C19" s="1882"/>
      <c r="D19" s="1882"/>
      <c r="E19" s="62" t="s">
        <v>3514</v>
      </c>
      <c r="F19" s="1882"/>
      <c r="G19" s="62" t="s">
        <v>12407</v>
      </c>
    </row>
    <row r="20" spans="2:7" ht="60.75" customHeight="1" thickBot="1">
      <c r="B20" s="1882"/>
      <c r="C20" s="1882"/>
      <c r="D20" s="1882"/>
      <c r="E20" s="62" t="s">
        <v>3514</v>
      </c>
      <c r="F20" s="1882"/>
      <c r="G20" s="62" t="s">
        <v>3514</v>
      </c>
    </row>
    <row r="21" spans="2:7" ht="60.75" customHeight="1" thickBot="1">
      <c r="B21" s="1882"/>
      <c r="C21" s="1882"/>
      <c r="D21" s="1882"/>
      <c r="E21" s="62" t="s">
        <v>3514</v>
      </c>
      <c r="F21" s="1882"/>
      <c r="G21" s="62" t="s">
        <v>12411</v>
      </c>
    </row>
    <row r="22" spans="2:7" ht="60.75" customHeight="1" thickBot="1">
      <c r="B22" s="1882"/>
      <c r="C22" s="1882"/>
      <c r="D22" s="1882"/>
      <c r="E22" s="62" t="s">
        <v>3514</v>
      </c>
      <c r="F22" s="1882"/>
      <c r="G22" s="62" t="s">
        <v>12440</v>
      </c>
    </row>
    <row r="23" spans="2:7" ht="28.5" thickBot="1">
      <c r="B23" s="1882"/>
      <c r="C23" s="1882"/>
      <c r="D23" s="1882"/>
      <c r="E23" s="62" t="s">
        <v>12440</v>
      </c>
      <c r="F23" s="1882"/>
      <c r="G23" s="62" t="s">
        <v>12443</v>
      </c>
    </row>
    <row r="24" spans="2:7" ht="28">
      <c r="B24" s="1882"/>
      <c r="C24" s="1882"/>
      <c r="D24" s="1882"/>
      <c r="E24" s="62" t="s">
        <v>12443</v>
      </c>
      <c r="F24" s="1882"/>
      <c r="G24" s="1882"/>
    </row>
  </sheetData>
  <sheetProtection algorithmName="SHA-512" hashValue="5BE3sfh2ADCmm6lczqhuBFDJ2L5vLvwdrrIsFg7GgrjJdvDdSSQ9COaMa8iy9OzIjpFH8Y/sz0DjQKj6dZ1oYw==" saltValue="8CqeboxyyVbMia57tFlZuA==" spinCount="100000" sheet="1" objects="1" scenarios="1"/>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L73"/>
  <sheetViews>
    <sheetView workbookViewId="0"/>
  </sheetViews>
  <sheetFormatPr defaultRowHeight="14"/>
  <cols>
    <col min="1" max="1" width="26.58203125" bestFit="1" customWidth="1"/>
    <col min="2" max="2" width="37.08203125" bestFit="1" customWidth="1"/>
    <col min="3" max="3" width="32.58203125" bestFit="1" customWidth="1"/>
    <col min="4" max="4" width="23.08203125" bestFit="1" customWidth="1"/>
    <col min="5" max="5" width="37.58203125" bestFit="1" customWidth="1"/>
    <col min="6" max="7" width="31.58203125" bestFit="1" customWidth="1"/>
    <col min="8" max="8" width="30" bestFit="1" customWidth="1"/>
    <col min="9" max="9" width="21.58203125" bestFit="1" customWidth="1"/>
    <col min="10" max="10" width="42.5" bestFit="1" customWidth="1"/>
    <col min="11" max="11" width="22.08203125" bestFit="1" customWidth="1"/>
    <col min="12" max="12" width="28.58203125" bestFit="1" customWidth="1"/>
  </cols>
  <sheetData>
    <row r="1" spans="1:12">
      <c r="A1" s="60" t="s">
        <v>12450</v>
      </c>
      <c r="B1" s="49" t="s">
        <v>8355</v>
      </c>
      <c r="C1" s="49" t="s">
        <v>8359</v>
      </c>
      <c r="D1" s="49" t="s">
        <v>8362</v>
      </c>
      <c r="E1" s="49" t="s">
        <v>8365</v>
      </c>
      <c r="F1" s="49" t="s">
        <v>8368</v>
      </c>
      <c r="G1" s="49" t="s">
        <v>8371</v>
      </c>
      <c r="H1" s="49" t="s">
        <v>8375</v>
      </c>
      <c r="I1" s="49" t="s">
        <v>8379</v>
      </c>
      <c r="J1" s="49" t="s">
        <v>8383</v>
      </c>
      <c r="K1" s="49" t="s">
        <v>8387</v>
      </c>
      <c r="L1" s="49" t="s">
        <v>8391</v>
      </c>
    </row>
    <row r="2" spans="1:12">
      <c r="A2" s="1882"/>
      <c r="B2" s="49" t="s">
        <v>8354</v>
      </c>
      <c r="C2" s="49" t="s">
        <v>8358</v>
      </c>
      <c r="D2" s="49" t="s">
        <v>8361</v>
      </c>
      <c r="E2" s="49" t="s">
        <v>8364</v>
      </c>
      <c r="F2" s="49" t="s">
        <v>12451</v>
      </c>
      <c r="G2" s="49" t="s">
        <v>8367</v>
      </c>
      <c r="H2" s="49" t="s">
        <v>8374</v>
      </c>
      <c r="I2" s="49" t="s">
        <v>8378</v>
      </c>
      <c r="J2" s="49" t="s">
        <v>8382</v>
      </c>
      <c r="K2" s="49" t="s">
        <v>8386</v>
      </c>
      <c r="L2" s="49" t="s">
        <v>8390</v>
      </c>
    </row>
    <row r="3" spans="1:12">
      <c r="A3" s="1882"/>
      <c r="B3" s="1882" t="s">
        <v>12452</v>
      </c>
      <c r="C3" s="1882" t="s">
        <v>12453</v>
      </c>
      <c r="D3" s="1882" t="s">
        <v>12454</v>
      </c>
      <c r="E3" s="1882" t="s">
        <v>12455</v>
      </c>
      <c r="F3" s="1882" t="s">
        <v>12456</v>
      </c>
      <c r="G3" s="1882" t="s">
        <v>12456</v>
      </c>
      <c r="H3" s="1882" t="s">
        <v>12457</v>
      </c>
      <c r="I3" s="1882" t="s">
        <v>12458</v>
      </c>
      <c r="J3" s="1882" t="s">
        <v>12459</v>
      </c>
      <c r="K3" s="1882" t="s">
        <v>12460</v>
      </c>
      <c r="L3" s="1882" t="s">
        <v>12461</v>
      </c>
    </row>
    <row r="4" spans="1:12">
      <c r="A4" s="1882"/>
      <c r="B4" s="1882" t="s">
        <v>12462</v>
      </c>
      <c r="C4" s="1882" t="s">
        <v>12463</v>
      </c>
      <c r="D4" s="1882" t="s">
        <v>12464</v>
      </c>
      <c r="E4" s="1882" t="s">
        <v>12465</v>
      </c>
      <c r="F4" s="1882" t="s">
        <v>12466</v>
      </c>
      <c r="G4" s="1882" t="s">
        <v>12466</v>
      </c>
      <c r="H4" s="1882" t="s">
        <v>12467</v>
      </c>
      <c r="I4" s="1882" t="s">
        <v>12468</v>
      </c>
      <c r="J4" s="1882" t="s">
        <v>12469</v>
      </c>
      <c r="K4" s="1882" t="s">
        <v>12470</v>
      </c>
      <c r="L4" s="1882" t="s">
        <v>12471</v>
      </c>
    </row>
    <row r="5" spans="1:12">
      <c r="A5" s="1882"/>
      <c r="B5" s="1882" t="s">
        <v>12472</v>
      </c>
      <c r="C5" s="1882" t="s">
        <v>12473</v>
      </c>
      <c r="D5" s="1882" t="s">
        <v>12474</v>
      </c>
      <c r="E5" s="1882" t="s">
        <v>12475</v>
      </c>
      <c r="F5" s="1882" t="s">
        <v>12476</v>
      </c>
      <c r="G5" s="1882" t="s">
        <v>12476</v>
      </c>
      <c r="H5" s="1882" t="s">
        <v>12477</v>
      </c>
      <c r="I5" s="1882" t="s">
        <v>12478</v>
      </c>
      <c r="J5" s="1882" t="s">
        <v>12479</v>
      </c>
      <c r="K5" s="1882" t="s">
        <v>12480</v>
      </c>
      <c r="L5" s="1882" t="s">
        <v>12481</v>
      </c>
    </row>
    <row r="6" spans="1:12">
      <c r="A6" s="1882"/>
      <c r="B6" s="1882" t="s">
        <v>12482</v>
      </c>
      <c r="C6" s="1882" t="s">
        <v>12483</v>
      </c>
      <c r="D6" s="1882" t="s">
        <v>12484</v>
      </c>
      <c r="E6" s="1882" t="s">
        <v>12485</v>
      </c>
      <c r="F6" s="1882" t="s">
        <v>12486</v>
      </c>
      <c r="G6" s="1882" t="s">
        <v>12486</v>
      </c>
      <c r="H6" s="1882" t="s">
        <v>12487</v>
      </c>
      <c r="I6" s="1882" t="s">
        <v>12488</v>
      </c>
      <c r="J6" s="1882" t="s">
        <v>12489</v>
      </c>
      <c r="K6" s="1882" t="s">
        <v>12490</v>
      </c>
      <c r="L6" s="1882" t="s">
        <v>12491</v>
      </c>
    </row>
    <row r="7" spans="1:12">
      <c r="A7" s="1882"/>
      <c r="B7" s="1882" t="s">
        <v>12492</v>
      </c>
      <c r="C7" s="1882" t="s">
        <v>12493</v>
      </c>
      <c r="D7" s="1882" t="s">
        <v>12494</v>
      </c>
      <c r="E7" s="1882" t="s">
        <v>12495</v>
      </c>
      <c r="F7" s="1882" t="s">
        <v>12496</v>
      </c>
      <c r="G7" s="1882" t="s">
        <v>12496</v>
      </c>
      <c r="H7" s="1882" t="s">
        <v>12497</v>
      </c>
      <c r="I7" s="1882" t="s">
        <v>12498</v>
      </c>
      <c r="J7" s="1882" t="s">
        <v>12499</v>
      </c>
      <c r="K7" s="1882" t="s">
        <v>12500</v>
      </c>
      <c r="L7" s="1882" t="s">
        <v>12501</v>
      </c>
    </row>
    <row r="8" spans="1:12">
      <c r="A8" s="1882"/>
      <c r="B8" s="1882" t="s">
        <v>12502</v>
      </c>
      <c r="C8" s="1882" t="s">
        <v>12503</v>
      </c>
      <c r="D8" s="1882" t="s">
        <v>12504</v>
      </c>
      <c r="E8" s="1882" t="s">
        <v>12505</v>
      </c>
      <c r="F8" s="1882" t="s">
        <v>12506</v>
      </c>
      <c r="G8" s="1882" t="s">
        <v>12506</v>
      </c>
      <c r="H8" s="1882" t="s">
        <v>12507</v>
      </c>
      <c r="I8" s="1882" t="s">
        <v>12508</v>
      </c>
      <c r="J8" s="1882" t="s">
        <v>12509</v>
      </c>
      <c r="K8" s="1882" t="s">
        <v>12510</v>
      </c>
      <c r="L8" s="1882" t="s">
        <v>12511</v>
      </c>
    </row>
    <row r="9" spans="1:12">
      <c r="A9" s="1882"/>
      <c r="B9" s="1882" t="s">
        <v>12512</v>
      </c>
      <c r="C9" s="1882" t="s">
        <v>12513</v>
      </c>
      <c r="D9" s="1882" t="s">
        <v>12514</v>
      </c>
      <c r="E9" s="1882" t="s">
        <v>12515</v>
      </c>
      <c r="F9" s="1882" t="s">
        <v>12516</v>
      </c>
      <c r="G9" s="1882" t="s">
        <v>12516</v>
      </c>
      <c r="H9" s="1882" t="s">
        <v>12517</v>
      </c>
      <c r="I9" s="1882" t="s">
        <v>12518</v>
      </c>
      <c r="J9" s="1882" t="s">
        <v>12519</v>
      </c>
      <c r="K9" s="1882" t="s">
        <v>12520</v>
      </c>
      <c r="L9" s="1882" t="s">
        <v>12521</v>
      </c>
    </row>
    <row r="10" spans="1:12">
      <c r="A10" s="1882"/>
      <c r="B10" s="1882" t="s">
        <v>12522</v>
      </c>
      <c r="C10" s="1882" t="s">
        <v>12523</v>
      </c>
      <c r="D10" s="1882" t="s">
        <v>12524</v>
      </c>
      <c r="E10" s="1882" t="s">
        <v>12525</v>
      </c>
      <c r="F10" s="1882" t="s">
        <v>12526</v>
      </c>
      <c r="G10" s="1882" t="s">
        <v>12526</v>
      </c>
      <c r="H10" s="1882" t="s">
        <v>12527</v>
      </c>
      <c r="I10" s="1882" t="s">
        <v>12528</v>
      </c>
      <c r="J10" s="1882" t="s">
        <v>12529</v>
      </c>
      <c r="K10" s="1882" t="s">
        <v>12530</v>
      </c>
      <c r="L10" s="1882" t="s">
        <v>12531</v>
      </c>
    </row>
    <row r="11" spans="1:12">
      <c r="A11" s="1882"/>
      <c r="B11" s="1882" t="s">
        <v>12532</v>
      </c>
      <c r="C11" s="1882" t="s">
        <v>12533</v>
      </c>
      <c r="D11" s="1882" t="s">
        <v>12534</v>
      </c>
      <c r="E11" s="1882" t="s">
        <v>12535</v>
      </c>
      <c r="F11" s="1882" t="s">
        <v>12536</v>
      </c>
      <c r="G11" s="1882" t="s">
        <v>12536</v>
      </c>
      <c r="H11" s="1882" t="s">
        <v>12537</v>
      </c>
      <c r="I11" s="1882" t="s">
        <v>12538</v>
      </c>
      <c r="J11" s="1882" t="s">
        <v>12539</v>
      </c>
      <c r="K11" s="1882" t="s">
        <v>12540</v>
      </c>
      <c r="L11" s="1882" t="s">
        <v>12541</v>
      </c>
    </row>
    <row r="12" spans="1:12">
      <c r="A12" s="1882"/>
      <c r="B12" s="1882" t="s">
        <v>12542</v>
      </c>
      <c r="C12" s="1882" t="s">
        <v>12543</v>
      </c>
      <c r="D12" s="1882" t="s">
        <v>12544</v>
      </c>
      <c r="E12" s="1882" t="s">
        <v>12545</v>
      </c>
      <c r="F12" s="1882" t="s">
        <v>12546</v>
      </c>
      <c r="G12" s="1882" t="s">
        <v>12546</v>
      </c>
      <c r="H12" s="1882" t="s">
        <v>12547</v>
      </c>
      <c r="I12" s="1882" t="s">
        <v>12548</v>
      </c>
      <c r="J12" s="1882" t="s">
        <v>12549</v>
      </c>
      <c r="K12" s="1882" t="s">
        <v>12550</v>
      </c>
      <c r="L12" s="1882" t="s">
        <v>12551</v>
      </c>
    </row>
    <row r="13" spans="1:12">
      <c r="A13" s="1882"/>
      <c r="B13" s="1882" t="s">
        <v>12552</v>
      </c>
      <c r="C13" s="1882" t="s">
        <v>12553</v>
      </c>
      <c r="D13" s="1882" t="s">
        <v>12554</v>
      </c>
      <c r="E13" s="1882" t="s">
        <v>12555</v>
      </c>
      <c r="F13" s="1882" t="s">
        <v>12556</v>
      </c>
      <c r="G13" s="1882" t="s">
        <v>12556</v>
      </c>
      <c r="H13" s="1882" t="s">
        <v>12557</v>
      </c>
      <c r="I13" s="1882" t="s">
        <v>12558</v>
      </c>
      <c r="J13" s="1882" t="s">
        <v>12559</v>
      </c>
      <c r="K13" s="1882" t="s">
        <v>12560</v>
      </c>
      <c r="L13" s="1882" t="s">
        <v>12561</v>
      </c>
    </row>
    <row r="14" spans="1:12">
      <c r="A14" s="1882"/>
      <c r="B14" s="1882" t="s">
        <v>12562</v>
      </c>
      <c r="C14" s="1882" t="s">
        <v>12563</v>
      </c>
      <c r="D14" s="1882" t="s">
        <v>12564</v>
      </c>
      <c r="E14" s="1882" t="s">
        <v>12565</v>
      </c>
      <c r="F14" s="1882" t="s">
        <v>12566</v>
      </c>
      <c r="G14" s="1882" t="s">
        <v>12566</v>
      </c>
      <c r="H14" s="1882" t="s">
        <v>12567</v>
      </c>
      <c r="I14" s="1882" t="s">
        <v>12568</v>
      </c>
      <c r="J14" s="1882" t="s">
        <v>12569</v>
      </c>
      <c r="K14" s="1882" t="s">
        <v>12570</v>
      </c>
      <c r="L14" s="1882" t="s">
        <v>12571</v>
      </c>
    </row>
    <row r="15" spans="1:12">
      <c r="A15" s="1882"/>
      <c r="B15" s="1882" t="s">
        <v>12572</v>
      </c>
      <c r="C15" s="1882" t="s">
        <v>12573</v>
      </c>
      <c r="D15" s="1882" t="s">
        <v>12574</v>
      </c>
      <c r="E15" s="1882" t="s">
        <v>12575</v>
      </c>
      <c r="F15" s="1882" t="s">
        <v>12576</v>
      </c>
      <c r="G15" s="1882" t="s">
        <v>12576</v>
      </c>
      <c r="H15" s="1882" t="s">
        <v>12577</v>
      </c>
      <c r="I15" s="1882" t="s">
        <v>12578</v>
      </c>
      <c r="J15" s="1882" t="s">
        <v>12579</v>
      </c>
      <c r="K15" s="1882" t="s">
        <v>12580</v>
      </c>
      <c r="L15" s="1882" t="s">
        <v>12581</v>
      </c>
    </row>
    <row r="16" spans="1:12">
      <c r="A16" s="1882"/>
      <c r="B16" s="1882" t="s">
        <v>12582</v>
      </c>
      <c r="C16" s="1882" t="s">
        <v>12583</v>
      </c>
      <c r="D16" s="1882" t="s">
        <v>12584</v>
      </c>
      <c r="E16" s="1882" t="s">
        <v>12585</v>
      </c>
      <c r="F16" s="1882" t="s">
        <v>12586</v>
      </c>
      <c r="G16" s="1882" t="s">
        <v>12586</v>
      </c>
      <c r="H16" s="1882" t="s">
        <v>12587</v>
      </c>
      <c r="I16" s="1882" t="s">
        <v>12588</v>
      </c>
      <c r="J16" s="1882" t="s">
        <v>12589</v>
      </c>
      <c r="K16" s="1882" t="s">
        <v>12590</v>
      </c>
      <c r="L16" s="1882" t="s">
        <v>12591</v>
      </c>
    </row>
    <row r="17" spans="2:12">
      <c r="B17" s="1882" t="s">
        <v>12592</v>
      </c>
      <c r="C17" s="1882" t="s">
        <v>12593</v>
      </c>
      <c r="D17" s="1882" t="s">
        <v>12594</v>
      </c>
      <c r="E17" s="1882" t="s">
        <v>12595</v>
      </c>
      <c r="F17" s="1882" t="s">
        <v>12596</v>
      </c>
      <c r="G17" s="1882" t="s">
        <v>12596</v>
      </c>
      <c r="H17" s="1882" t="s">
        <v>12597</v>
      </c>
      <c r="I17" s="1882" t="s">
        <v>12598</v>
      </c>
      <c r="J17" s="1882" t="s">
        <v>12599</v>
      </c>
      <c r="K17" s="1882" t="s">
        <v>12600</v>
      </c>
      <c r="L17" s="1882" t="s">
        <v>12601</v>
      </c>
    </row>
    <row r="18" spans="2:12">
      <c r="B18" s="1882" t="s">
        <v>12602</v>
      </c>
      <c r="C18" s="1882" t="s">
        <v>12603</v>
      </c>
      <c r="D18" s="1882" t="s">
        <v>12604</v>
      </c>
      <c r="E18" s="1882" t="s">
        <v>12605</v>
      </c>
      <c r="F18" s="1882" t="s">
        <v>12606</v>
      </c>
      <c r="G18" s="1882" t="s">
        <v>12606</v>
      </c>
      <c r="H18" s="1882" t="s">
        <v>12607</v>
      </c>
      <c r="I18" s="1882" t="s">
        <v>12608</v>
      </c>
      <c r="J18" s="1882" t="s">
        <v>12609</v>
      </c>
      <c r="K18" s="1882" t="s">
        <v>12610</v>
      </c>
      <c r="L18" s="1882" t="s">
        <v>12611</v>
      </c>
    </row>
    <row r="19" spans="2:12">
      <c r="B19" s="1882" t="s">
        <v>12612</v>
      </c>
      <c r="C19" s="1882" t="s">
        <v>12613</v>
      </c>
      <c r="D19" s="1882" t="s">
        <v>12614</v>
      </c>
      <c r="E19" s="1882" t="s">
        <v>12615</v>
      </c>
      <c r="F19" s="1882" t="s">
        <v>12616</v>
      </c>
      <c r="G19" s="1882" t="s">
        <v>12616</v>
      </c>
      <c r="H19" s="1882" t="s">
        <v>12617</v>
      </c>
      <c r="I19" s="1882" t="s">
        <v>12618</v>
      </c>
      <c r="J19" s="1882" t="s">
        <v>12619</v>
      </c>
      <c r="K19" s="1882" t="s">
        <v>12620</v>
      </c>
      <c r="L19" s="1882" t="s">
        <v>12621</v>
      </c>
    </row>
    <row r="20" spans="2:12">
      <c r="B20" s="1882" t="s">
        <v>12622</v>
      </c>
      <c r="C20" s="1882" t="s">
        <v>12623</v>
      </c>
      <c r="D20" s="1882" t="s">
        <v>12624</v>
      </c>
      <c r="E20" s="1882" t="s">
        <v>12625</v>
      </c>
      <c r="F20" s="1882" t="s">
        <v>12626</v>
      </c>
      <c r="G20" s="1882" t="s">
        <v>12626</v>
      </c>
      <c r="H20" s="1882" t="s">
        <v>12627</v>
      </c>
      <c r="I20" s="1882" t="s">
        <v>12628</v>
      </c>
      <c r="J20" s="1882" t="s">
        <v>12629</v>
      </c>
      <c r="K20" s="1882" t="s">
        <v>12630</v>
      </c>
      <c r="L20" s="1882" t="s">
        <v>12631</v>
      </c>
    </row>
    <row r="21" spans="2:12">
      <c r="B21" s="1882" t="s">
        <v>12632</v>
      </c>
      <c r="C21" s="1882" t="s">
        <v>12633</v>
      </c>
      <c r="D21" s="1882" t="s">
        <v>12634</v>
      </c>
      <c r="E21" s="1882" t="s">
        <v>12635</v>
      </c>
      <c r="F21" s="1882" t="s">
        <v>12636</v>
      </c>
      <c r="G21" s="1882" t="s">
        <v>12636</v>
      </c>
      <c r="H21" s="1882" t="s">
        <v>12637</v>
      </c>
      <c r="I21" s="1882" t="s">
        <v>12638</v>
      </c>
      <c r="J21" s="1882" t="s">
        <v>12639</v>
      </c>
      <c r="K21" s="1882" t="s">
        <v>12640</v>
      </c>
      <c r="L21" s="1882" t="s">
        <v>12641</v>
      </c>
    </row>
    <row r="22" spans="2:12">
      <c r="B22" s="1882" t="s">
        <v>12642</v>
      </c>
      <c r="C22" s="1882" t="s">
        <v>12643</v>
      </c>
      <c r="D22" s="1882" t="s">
        <v>12644</v>
      </c>
      <c r="E22" s="1882" t="s">
        <v>12645</v>
      </c>
      <c r="F22" s="1882"/>
      <c r="G22" s="1882"/>
      <c r="H22" s="1882" t="s">
        <v>12646</v>
      </c>
      <c r="I22" s="1882" t="s">
        <v>12647</v>
      </c>
      <c r="J22" s="1882" t="s">
        <v>12648</v>
      </c>
      <c r="K22" s="1882" t="s">
        <v>12649</v>
      </c>
      <c r="L22" s="1882" t="s">
        <v>12650</v>
      </c>
    </row>
    <row r="23" spans="2:12">
      <c r="B23" s="1882" t="s">
        <v>12651</v>
      </c>
      <c r="C23" s="1882" t="s">
        <v>12652</v>
      </c>
      <c r="D23" s="1882" t="s">
        <v>12653</v>
      </c>
      <c r="E23" s="1882" t="s">
        <v>12654</v>
      </c>
      <c r="F23" s="1882"/>
      <c r="G23" s="1882"/>
      <c r="H23" s="1882" t="s">
        <v>12655</v>
      </c>
      <c r="I23" s="1882" t="s">
        <v>12656</v>
      </c>
      <c r="J23" s="1882" t="s">
        <v>12657</v>
      </c>
      <c r="K23" s="1882" t="s">
        <v>12658</v>
      </c>
      <c r="L23" s="1882" t="s">
        <v>12659</v>
      </c>
    </row>
    <row r="24" spans="2:12">
      <c r="B24" s="1882" t="s">
        <v>12660</v>
      </c>
      <c r="C24" s="1882" t="s">
        <v>12661</v>
      </c>
      <c r="D24" s="1882" t="s">
        <v>12662</v>
      </c>
      <c r="E24" s="1882" t="s">
        <v>12663</v>
      </c>
      <c r="F24" s="1882"/>
      <c r="G24" s="1882"/>
      <c r="H24" s="1882" t="s">
        <v>12664</v>
      </c>
      <c r="I24" s="1882" t="s">
        <v>12665</v>
      </c>
      <c r="J24" s="1882" t="s">
        <v>12666</v>
      </c>
      <c r="K24" s="1882" t="s">
        <v>12667</v>
      </c>
      <c r="L24" s="1882" t="s">
        <v>12668</v>
      </c>
    </row>
    <row r="25" spans="2:12">
      <c r="B25" s="1882" t="s">
        <v>12669</v>
      </c>
      <c r="C25" s="1882" t="s">
        <v>12670</v>
      </c>
      <c r="D25" s="1882" t="s">
        <v>12671</v>
      </c>
      <c r="E25" s="1882" t="s">
        <v>12672</v>
      </c>
      <c r="F25" s="1882"/>
      <c r="G25" s="1882"/>
      <c r="H25" s="1882" t="s">
        <v>12673</v>
      </c>
      <c r="I25" s="1882" t="s">
        <v>12674</v>
      </c>
      <c r="J25" s="1882" t="s">
        <v>12675</v>
      </c>
      <c r="K25" s="1882" t="s">
        <v>12676</v>
      </c>
      <c r="L25" s="1882" t="s">
        <v>12677</v>
      </c>
    </row>
    <row r="26" spans="2:12">
      <c r="B26" s="1882" t="s">
        <v>12678</v>
      </c>
      <c r="C26" s="1882" t="s">
        <v>12679</v>
      </c>
      <c r="D26" s="1882" t="s">
        <v>12680</v>
      </c>
      <c r="E26" s="1882" t="s">
        <v>12681</v>
      </c>
      <c r="F26" s="1882"/>
      <c r="G26" s="1882"/>
      <c r="H26" s="1882" t="s">
        <v>12682</v>
      </c>
      <c r="I26" s="1882" t="s">
        <v>12683</v>
      </c>
      <c r="J26" s="1882" t="s">
        <v>12684</v>
      </c>
      <c r="K26" s="1882" t="s">
        <v>12685</v>
      </c>
      <c r="L26" s="1882" t="s">
        <v>12686</v>
      </c>
    </row>
    <row r="27" spans="2:12">
      <c r="B27" s="1882" t="s">
        <v>12687</v>
      </c>
      <c r="C27" s="1882" t="s">
        <v>12688</v>
      </c>
      <c r="D27" s="1882" t="s">
        <v>12689</v>
      </c>
      <c r="E27" s="1882" t="s">
        <v>12690</v>
      </c>
      <c r="F27" s="1882"/>
      <c r="G27" s="1882"/>
      <c r="H27" s="1882" t="s">
        <v>12691</v>
      </c>
      <c r="I27" s="1882" t="s">
        <v>12692</v>
      </c>
      <c r="J27" s="1882" t="s">
        <v>12693</v>
      </c>
      <c r="K27" s="1882" t="s">
        <v>12694</v>
      </c>
      <c r="L27" s="1882" t="s">
        <v>12695</v>
      </c>
    </row>
    <row r="28" spans="2:12">
      <c r="B28" s="1882" t="s">
        <v>12696</v>
      </c>
      <c r="C28" s="1882" t="s">
        <v>12697</v>
      </c>
      <c r="D28" s="1882"/>
      <c r="E28" s="1882" t="s">
        <v>12698</v>
      </c>
      <c r="F28" s="1882"/>
      <c r="G28" s="1882"/>
      <c r="H28" s="1882" t="s">
        <v>12699</v>
      </c>
      <c r="I28" s="1882" t="s">
        <v>12700</v>
      </c>
      <c r="J28" s="1882" t="s">
        <v>12701</v>
      </c>
      <c r="K28" s="1882" t="s">
        <v>12702</v>
      </c>
      <c r="L28" s="1882" t="s">
        <v>12703</v>
      </c>
    </row>
    <row r="29" spans="2:12">
      <c r="B29" s="1882" t="s">
        <v>12704</v>
      </c>
      <c r="C29" s="1882" t="s">
        <v>12705</v>
      </c>
      <c r="D29" s="1882"/>
      <c r="E29" s="1882" t="s">
        <v>12706</v>
      </c>
      <c r="F29" s="1882"/>
      <c r="G29" s="1882"/>
      <c r="H29" s="1882" t="s">
        <v>12707</v>
      </c>
      <c r="I29" s="1882" t="s">
        <v>12708</v>
      </c>
      <c r="J29" s="1882" t="s">
        <v>12709</v>
      </c>
      <c r="K29" s="1882" t="s">
        <v>12710</v>
      </c>
      <c r="L29" s="1882" t="s">
        <v>12711</v>
      </c>
    </row>
    <row r="30" spans="2:12">
      <c r="B30" s="1882" t="s">
        <v>12712</v>
      </c>
      <c r="C30" s="1882" t="s">
        <v>12713</v>
      </c>
      <c r="D30" s="1882"/>
      <c r="E30" s="1882" t="s">
        <v>12714</v>
      </c>
      <c r="F30" s="1882"/>
      <c r="G30" s="1882"/>
      <c r="H30" s="1882" t="s">
        <v>12715</v>
      </c>
      <c r="I30" s="1882" t="s">
        <v>12716</v>
      </c>
      <c r="J30" s="1882" t="s">
        <v>12717</v>
      </c>
      <c r="K30" s="1882"/>
      <c r="L30" s="1882" t="s">
        <v>12718</v>
      </c>
    </row>
    <row r="31" spans="2:12">
      <c r="B31" s="1882" t="s">
        <v>12719</v>
      </c>
      <c r="C31" s="1882"/>
      <c r="D31" s="1882"/>
      <c r="E31" s="1882" t="s">
        <v>12720</v>
      </c>
      <c r="F31" s="1882"/>
      <c r="G31" s="1882"/>
      <c r="H31" s="1882" t="s">
        <v>12721</v>
      </c>
      <c r="I31" s="1882" t="s">
        <v>12722</v>
      </c>
      <c r="J31" s="1882" t="s">
        <v>12723</v>
      </c>
      <c r="K31" s="1882"/>
      <c r="L31" s="1882" t="s">
        <v>12724</v>
      </c>
    </row>
    <row r="32" spans="2:12">
      <c r="B32" s="1882" t="s">
        <v>12725</v>
      </c>
      <c r="C32" s="1882"/>
      <c r="D32" s="1882"/>
      <c r="E32" s="1882" t="s">
        <v>12726</v>
      </c>
      <c r="F32" s="1882"/>
      <c r="G32" s="1882"/>
      <c r="H32" s="1882" t="s">
        <v>12727</v>
      </c>
      <c r="I32" s="1882" t="s">
        <v>12728</v>
      </c>
      <c r="J32" s="1882" t="s">
        <v>12729</v>
      </c>
      <c r="K32" s="1882"/>
      <c r="L32" s="1882" t="s">
        <v>12730</v>
      </c>
    </row>
    <row r="33" spans="2:12">
      <c r="B33" s="1882" t="s">
        <v>12731</v>
      </c>
      <c r="C33" s="1882"/>
      <c r="D33" s="1882"/>
      <c r="E33" s="1882" t="s">
        <v>12732</v>
      </c>
      <c r="F33" s="1882"/>
      <c r="G33" s="1882"/>
      <c r="H33" s="1882" t="s">
        <v>12733</v>
      </c>
      <c r="I33" s="1882" t="s">
        <v>12734</v>
      </c>
      <c r="J33" s="1882" t="s">
        <v>12735</v>
      </c>
      <c r="K33" s="1882"/>
      <c r="L33" s="1882" t="s">
        <v>12736</v>
      </c>
    </row>
    <row r="34" spans="2:12">
      <c r="B34" s="1882" t="s">
        <v>12737</v>
      </c>
      <c r="C34" s="1882"/>
      <c r="D34" s="1882"/>
      <c r="E34" s="1882" t="s">
        <v>12738</v>
      </c>
      <c r="F34" s="1882"/>
      <c r="G34" s="1882"/>
      <c r="H34" s="1882" t="s">
        <v>12739</v>
      </c>
      <c r="I34" s="1882" t="s">
        <v>12740</v>
      </c>
      <c r="J34" s="1882" t="s">
        <v>12741</v>
      </c>
      <c r="K34" s="1882"/>
      <c r="L34" s="1882" t="s">
        <v>12742</v>
      </c>
    </row>
    <row r="35" spans="2:12">
      <c r="B35" s="1882" t="s">
        <v>12743</v>
      </c>
      <c r="C35" s="1882"/>
      <c r="D35" s="1882"/>
      <c r="E35" s="1882" t="s">
        <v>12744</v>
      </c>
      <c r="F35" s="1882"/>
      <c r="G35" s="1882"/>
      <c r="H35" s="1882" t="s">
        <v>12745</v>
      </c>
      <c r="I35" s="1882" t="s">
        <v>12746</v>
      </c>
      <c r="J35" s="1882" t="s">
        <v>12747</v>
      </c>
      <c r="K35" s="1882"/>
      <c r="L35" s="1882" t="s">
        <v>12748</v>
      </c>
    </row>
    <row r="36" spans="2:12">
      <c r="B36" s="1882" t="s">
        <v>12749</v>
      </c>
      <c r="C36" s="1882"/>
      <c r="D36" s="1882"/>
      <c r="E36" s="1882" t="s">
        <v>12750</v>
      </c>
      <c r="F36" s="1882"/>
      <c r="G36" s="1882"/>
      <c r="H36" s="1882" t="s">
        <v>12751</v>
      </c>
      <c r="I36" s="1882" t="s">
        <v>12752</v>
      </c>
      <c r="J36" s="1882" t="s">
        <v>12753</v>
      </c>
      <c r="K36" s="1882"/>
      <c r="L36" s="1882" t="s">
        <v>12754</v>
      </c>
    </row>
    <row r="37" spans="2:12">
      <c r="B37" s="1882" t="s">
        <v>12755</v>
      </c>
      <c r="C37" s="1882"/>
      <c r="D37" s="1882"/>
      <c r="E37" s="1882" t="s">
        <v>12756</v>
      </c>
      <c r="F37" s="1882"/>
      <c r="G37" s="1882"/>
      <c r="H37" s="1882" t="s">
        <v>12757</v>
      </c>
      <c r="I37" s="1882" t="s">
        <v>12758</v>
      </c>
      <c r="J37" s="1882" t="s">
        <v>12759</v>
      </c>
      <c r="K37" s="1882"/>
      <c r="L37" s="1882" t="s">
        <v>12760</v>
      </c>
    </row>
    <row r="38" spans="2:12">
      <c r="B38" s="1882" t="s">
        <v>12761</v>
      </c>
      <c r="C38" s="1882"/>
      <c r="D38" s="1882"/>
      <c r="E38" s="1882" t="s">
        <v>12762</v>
      </c>
      <c r="F38" s="1882"/>
      <c r="G38" s="1882"/>
      <c r="H38" s="1882" t="s">
        <v>12763</v>
      </c>
      <c r="I38" s="1882" t="s">
        <v>12764</v>
      </c>
      <c r="J38" s="1882" t="s">
        <v>12765</v>
      </c>
      <c r="K38" s="1882"/>
      <c r="L38" s="1882" t="s">
        <v>12766</v>
      </c>
    </row>
    <row r="39" spans="2:12">
      <c r="B39" s="1882" t="s">
        <v>12767</v>
      </c>
      <c r="C39" s="1882"/>
      <c r="D39" s="1882"/>
      <c r="E39" s="1882" t="s">
        <v>12768</v>
      </c>
      <c r="F39" s="1882"/>
      <c r="G39" s="1882"/>
      <c r="H39" s="1882" t="s">
        <v>12769</v>
      </c>
      <c r="I39" s="1882" t="s">
        <v>12770</v>
      </c>
      <c r="J39" s="1882" t="s">
        <v>12771</v>
      </c>
      <c r="K39" s="1882"/>
      <c r="L39" s="1882" t="s">
        <v>12772</v>
      </c>
    </row>
    <row r="40" spans="2:12">
      <c r="B40" s="1882" t="s">
        <v>12773</v>
      </c>
      <c r="C40" s="1882"/>
      <c r="D40" s="1882"/>
      <c r="E40" s="1882" t="s">
        <v>12774</v>
      </c>
      <c r="F40" s="1882"/>
      <c r="G40" s="1882"/>
      <c r="H40" s="1882" t="s">
        <v>12775</v>
      </c>
      <c r="I40" s="1882" t="s">
        <v>12776</v>
      </c>
      <c r="J40" s="1882" t="s">
        <v>12777</v>
      </c>
      <c r="K40" s="1882"/>
      <c r="L40" s="1882" t="s">
        <v>12778</v>
      </c>
    </row>
    <row r="41" spans="2:12">
      <c r="B41" s="1882" t="s">
        <v>12779</v>
      </c>
      <c r="C41" s="1882"/>
      <c r="D41" s="1882"/>
      <c r="E41" s="1882" t="s">
        <v>12780</v>
      </c>
      <c r="F41" s="1882"/>
      <c r="G41" s="1882"/>
      <c r="H41" s="1882" t="s">
        <v>12781</v>
      </c>
      <c r="I41" s="1882" t="s">
        <v>12782</v>
      </c>
      <c r="J41" s="1882" t="s">
        <v>12783</v>
      </c>
      <c r="K41" s="1882"/>
      <c r="L41" s="1882" t="s">
        <v>12784</v>
      </c>
    </row>
    <row r="42" spans="2:12">
      <c r="B42" s="1882" t="s">
        <v>12785</v>
      </c>
      <c r="C42" s="1882"/>
      <c r="D42" s="1882"/>
      <c r="E42" s="1882" t="s">
        <v>12786</v>
      </c>
      <c r="F42" s="1882"/>
      <c r="G42" s="1882"/>
      <c r="H42" s="1882" t="s">
        <v>12787</v>
      </c>
      <c r="I42" s="1882" t="s">
        <v>12788</v>
      </c>
      <c r="J42" s="1882" t="s">
        <v>12789</v>
      </c>
      <c r="K42" s="1882"/>
      <c r="L42" s="1882" t="s">
        <v>12790</v>
      </c>
    </row>
    <row r="43" spans="2:12">
      <c r="B43" s="1882" t="s">
        <v>12791</v>
      </c>
      <c r="C43" s="1882"/>
      <c r="D43" s="1882"/>
      <c r="E43" s="1882" t="s">
        <v>12792</v>
      </c>
      <c r="F43" s="1882"/>
      <c r="G43" s="1882"/>
      <c r="H43" s="1882" t="s">
        <v>12793</v>
      </c>
      <c r="I43" s="1882" t="s">
        <v>12794</v>
      </c>
      <c r="J43" s="1882" t="s">
        <v>12795</v>
      </c>
      <c r="K43" s="1882"/>
      <c r="L43" s="1882" t="s">
        <v>12796</v>
      </c>
    </row>
    <row r="44" spans="2:12">
      <c r="B44" s="1882" t="s">
        <v>12797</v>
      </c>
      <c r="C44" s="1882"/>
      <c r="D44" s="1882"/>
      <c r="E44" s="1882" t="s">
        <v>12798</v>
      </c>
      <c r="F44" s="1882"/>
      <c r="G44" s="1882"/>
      <c r="H44" s="1882" t="s">
        <v>12799</v>
      </c>
      <c r="I44" s="1882" t="s">
        <v>12800</v>
      </c>
      <c r="J44" s="1882" t="s">
        <v>12801</v>
      </c>
      <c r="K44" s="1882"/>
      <c r="L44" s="1882" t="s">
        <v>12802</v>
      </c>
    </row>
    <row r="45" spans="2:12">
      <c r="B45" s="1882" t="s">
        <v>12803</v>
      </c>
      <c r="C45" s="1882"/>
      <c r="D45" s="1882"/>
      <c r="E45" s="1882" t="s">
        <v>12804</v>
      </c>
      <c r="F45" s="1882"/>
      <c r="G45" s="1882"/>
      <c r="H45" s="1882" t="s">
        <v>12805</v>
      </c>
      <c r="I45" s="1882" t="s">
        <v>12806</v>
      </c>
      <c r="J45" s="1882" t="s">
        <v>12807</v>
      </c>
      <c r="K45" s="1882"/>
      <c r="L45" s="1882" t="s">
        <v>12808</v>
      </c>
    </row>
    <row r="46" spans="2:12">
      <c r="B46" s="1882" t="s">
        <v>12809</v>
      </c>
      <c r="C46" s="1882"/>
      <c r="D46" s="1882"/>
      <c r="E46" s="1882" t="s">
        <v>12810</v>
      </c>
      <c r="F46" s="1882"/>
      <c r="G46" s="1882"/>
      <c r="H46" s="1882" t="s">
        <v>12811</v>
      </c>
      <c r="I46" s="1882" t="s">
        <v>12812</v>
      </c>
      <c r="J46" s="1882" t="s">
        <v>12813</v>
      </c>
      <c r="K46" s="1882"/>
      <c r="L46" s="1882" t="s">
        <v>12814</v>
      </c>
    </row>
    <row r="47" spans="2:12">
      <c r="B47" s="1882" t="s">
        <v>12815</v>
      </c>
      <c r="C47" s="1882"/>
      <c r="D47" s="1882"/>
      <c r="E47" s="1882" t="s">
        <v>12816</v>
      </c>
      <c r="F47" s="1882"/>
      <c r="G47" s="1882"/>
      <c r="H47" s="1882" t="s">
        <v>12817</v>
      </c>
      <c r="I47" s="1882" t="s">
        <v>12818</v>
      </c>
      <c r="J47" s="1882" t="s">
        <v>12819</v>
      </c>
      <c r="K47" s="1882"/>
      <c r="L47" s="1882" t="s">
        <v>12820</v>
      </c>
    </row>
    <row r="48" spans="2:12">
      <c r="B48" s="1882" t="s">
        <v>12821</v>
      </c>
      <c r="C48" s="1882"/>
      <c r="D48" s="1882"/>
      <c r="E48" s="1882" t="s">
        <v>12822</v>
      </c>
      <c r="F48" s="1882"/>
      <c r="G48" s="1882"/>
      <c r="H48" s="1882"/>
      <c r="I48" s="1882" t="s">
        <v>12823</v>
      </c>
      <c r="J48" s="1882" t="s">
        <v>12824</v>
      </c>
      <c r="K48" s="1882"/>
      <c r="L48" s="1882" t="s">
        <v>12825</v>
      </c>
    </row>
    <row r="49" spans="2:12">
      <c r="B49" s="1882" t="s">
        <v>12826</v>
      </c>
      <c r="C49" s="1882"/>
      <c r="D49" s="1882"/>
      <c r="E49" s="1882" t="s">
        <v>12827</v>
      </c>
      <c r="F49" s="1882"/>
      <c r="G49" s="1882"/>
      <c r="H49" s="1882"/>
      <c r="I49" s="1882" t="s">
        <v>12828</v>
      </c>
      <c r="J49" s="1882" t="s">
        <v>12829</v>
      </c>
      <c r="K49" s="1882"/>
      <c r="L49" s="1882" t="s">
        <v>12830</v>
      </c>
    </row>
    <row r="50" spans="2:12">
      <c r="B50" s="1882" t="s">
        <v>12831</v>
      </c>
      <c r="C50" s="1882"/>
      <c r="D50" s="1882"/>
      <c r="E50" s="1882" t="s">
        <v>12832</v>
      </c>
      <c r="F50" s="1882"/>
      <c r="G50" s="1882"/>
      <c r="H50" s="1882"/>
      <c r="I50" s="1882" t="s">
        <v>12833</v>
      </c>
      <c r="J50" s="1882" t="s">
        <v>12834</v>
      </c>
      <c r="K50" s="1882"/>
      <c r="L50" s="1882" t="s">
        <v>12835</v>
      </c>
    </row>
    <row r="51" spans="2:12">
      <c r="B51" s="1882" t="s">
        <v>12836</v>
      </c>
      <c r="C51" s="1882"/>
      <c r="D51" s="1882"/>
      <c r="E51" s="1882" t="s">
        <v>12837</v>
      </c>
      <c r="F51" s="1882"/>
      <c r="G51" s="1882"/>
      <c r="H51" s="1882"/>
      <c r="I51" s="1882" t="s">
        <v>12838</v>
      </c>
      <c r="J51" s="1882" t="s">
        <v>12839</v>
      </c>
      <c r="K51" s="1882"/>
      <c r="L51" s="1882" t="s">
        <v>12840</v>
      </c>
    </row>
    <row r="52" spans="2:12">
      <c r="B52" s="1882" t="s">
        <v>12841</v>
      </c>
      <c r="C52" s="1882"/>
      <c r="D52" s="1882"/>
      <c r="E52" s="1882" t="s">
        <v>12842</v>
      </c>
      <c r="F52" s="1882"/>
      <c r="G52" s="1882"/>
      <c r="H52" s="1882"/>
      <c r="I52" s="1882" t="s">
        <v>12843</v>
      </c>
      <c r="J52" s="1882" t="s">
        <v>12844</v>
      </c>
      <c r="K52" s="1882"/>
      <c r="L52" s="1882"/>
    </row>
    <row r="53" spans="2:12">
      <c r="B53" s="1882" t="s">
        <v>12845</v>
      </c>
      <c r="C53" s="1882"/>
      <c r="D53" s="1882"/>
      <c r="E53" s="1882" t="s">
        <v>12846</v>
      </c>
      <c r="F53" s="1882"/>
      <c r="G53" s="1882"/>
      <c r="H53" s="1882"/>
      <c r="I53" s="1882" t="s">
        <v>12847</v>
      </c>
      <c r="J53" s="1882" t="s">
        <v>12848</v>
      </c>
      <c r="K53" s="1882"/>
      <c r="L53" s="1882"/>
    </row>
    <row r="54" spans="2:12">
      <c r="B54" s="1882" t="s">
        <v>12849</v>
      </c>
      <c r="C54" s="1882"/>
      <c r="D54" s="1882"/>
      <c r="E54" s="1882" t="s">
        <v>12850</v>
      </c>
      <c r="F54" s="1882"/>
      <c r="G54" s="1882"/>
      <c r="H54" s="1882"/>
      <c r="I54" s="1882" t="s">
        <v>12851</v>
      </c>
      <c r="J54" s="1882" t="s">
        <v>12852</v>
      </c>
      <c r="K54" s="1882"/>
      <c r="L54" s="1882"/>
    </row>
    <row r="55" spans="2:12">
      <c r="B55" s="1882" t="s">
        <v>12853</v>
      </c>
      <c r="C55" s="1882"/>
      <c r="D55" s="1882"/>
      <c r="E55" s="1882" t="s">
        <v>12854</v>
      </c>
      <c r="F55" s="1882"/>
      <c r="G55" s="1882"/>
      <c r="H55" s="1882"/>
      <c r="I55" s="1882" t="s">
        <v>12855</v>
      </c>
      <c r="J55" s="1882" t="s">
        <v>12856</v>
      </c>
      <c r="K55" s="1882"/>
      <c r="L55" s="1882"/>
    </row>
    <row r="56" spans="2:12">
      <c r="B56" s="1882" t="s">
        <v>12857</v>
      </c>
      <c r="C56" s="1882"/>
      <c r="D56" s="1882"/>
      <c r="E56" s="1882" t="s">
        <v>12858</v>
      </c>
      <c r="F56" s="1882"/>
      <c r="G56" s="1882"/>
      <c r="H56" s="1882"/>
      <c r="I56" s="1882" t="s">
        <v>12859</v>
      </c>
      <c r="J56" s="1882" t="s">
        <v>12860</v>
      </c>
      <c r="K56" s="1882"/>
      <c r="L56" s="1882"/>
    </row>
    <row r="57" spans="2:12">
      <c r="B57" s="1882" t="s">
        <v>12861</v>
      </c>
      <c r="C57" s="1882"/>
      <c r="D57" s="1882"/>
      <c r="E57" s="1882" t="s">
        <v>12862</v>
      </c>
      <c r="F57" s="1882"/>
      <c r="G57" s="1882"/>
      <c r="H57" s="1882"/>
      <c r="I57" s="1882" t="s">
        <v>12863</v>
      </c>
      <c r="J57" s="1882" t="s">
        <v>12864</v>
      </c>
      <c r="K57" s="1882"/>
      <c r="L57" s="1882"/>
    </row>
    <row r="58" spans="2:12">
      <c r="B58" s="1882" t="s">
        <v>12865</v>
      </c>
      <c r="C58" s="1882"/>
      <c r="D58" s="1882"/>
      <c r="E58" s="1882" t="s">
        <v>12866</v>
      </c>
      <c r="F58" s="1882"/>
      <c r="G58" s="1882"/>
      <c r="H58" s="1882"/>
      <c r="I58" s="1882" t="s">
        <v>12867</v>
      </c>
      <c r="J58" s="1882" t="s">
        <v>12868</v>
      </c>
      <c r="K58" s="1882"/>
      <c r="L58" s="1882"/>
    </row>
    <row r="59" spans="2:12">
      <c r="B59" s="1882"/>
      <c r="C59" s="1882"/>
      <c r="D59" s="1882"/>
      <c r="E59" s="1882" t="s">
        <v>12869</v>
      </c>
      <c r="F59" s="1882"/>
      <c r="G59" s="1882"/>
      <c r="H59" s="1882"/>
      <c r="I59" s="1882" t="s">
        <v>12870</v>
      </c>
      <c r="J59" s="1882" t="s">
        <v>12871</v>
      </c>
      <c r="K59" s="1882"/>
      <c r="L59" s="1882"/>
    </row>
    <row r="60" spans="2:12">
      <c r="B60" s="1882"/>
      <c r="C60" s="1882"/>
      <c r="D60" s="1882"/>
      <c r="E60" s="1882" t="s">
        <v>12872</v>
      </c>
      <c r="F60" s="1882"/>
      <c r="G60" s="1882"/>
      <c r="H60" s="1882"/>
      <c r="I60" s="1882"/>
      <c r="J60" s="1882" t="s">
        <v>12873</v>
      </c>
      <c r="K60" s="1882"/>
      <c r="L60" s="1882"/>
    </row>
    <row r="61" spans="2:12">
      <c r="B61" s="1882"/>
      <c r="C61" s="1882"/>
      <c r="D61" s="1882"/>
      <c r="E61" s="1882" t="s">
        <v>12874</v>
      </c>
      <c r="F61" s="1882"/>
      <c r="G61" s="1882"/>
      <c r="H61" s="1882"/>
      <c r="I61" s="1882"/>
      <c r="J61" s="1882" t="s">
        <v>12875</v>
      </c>
      <c r="K61" s="1882"/>
      <c r="L61" s="1882"/>
    </row>
    <row r="62" spans="2:12">
      <c r="B62" s="1882"/>
      <c r="C62" s="1882"/>
      <c r="D62" s="1882"/>
      <c r="E62" s="1882" t="s">
        <v>12876</v>
      </c>
      <c r="F62" s="1882"/>
      <c r="G62" s="1882"/>
      <c r="H62" s="1882"/>
      <c r="I62" s="1882"/>
      <c r="J62" s="1882" t="s">
        <v>12877</v>
      </c>
      <c r="K62" s="1882"/>
      <c r="L62" s="1882"/>
    </row>
    <row r="63" spans="2:12">
      <c r="B63" s="1882"/>
      <c r="C63" s="1882"/>
      <c r="D63" s="1882"/>
      <c r="E63" s="1882" t="s">
        <v>12878</v>
      </c>
      <c r="F63" s="1882"/>
      <c r="G63" s="1882"/>
      <c r="H63" s="1882"/>
      <c r="I63" s="1882"/>
      <c r="J63" s="1882" t="s">
        <v>12879</v>
      </c>
      <c r="K63" s="1882"/>
      <c r="L63" s="1882"/>
    </row>
    <row r="64" spans="2:12">
      <c r="B64" s="1882"/>
      <c r="C64" s="1882"/>
      <c r="D64" s="1882"/>
      <c r="E64" s="1882" t="s">
        <v>12880</v>
      </c>
      <c r="F64" s="1882"/>
      <c r="G64" s="1882"/>
      <c r="H64" s="1882"/>
      <c r="I64" s="1882"/>
      <c r="J64" s="1882" t="s">
        <v>12881</v>
      </c>
      <c r="K64" s="1882"/>
      <c r="L64" s="1882"/>
    </row>
    <row r="65" spans="5:10">
      <c r="E65" s="1882" t="s">
        <v>12882</v>
      </c>
      <c r="F65" s="1882"/>
      <c r="G65" s="1882"/>
      <c r="H65" s="1882"/>
      <c r="I65" s="1882"/>
      <c r="J65" s="1882" t="s">
        <v>12883</v>
      </c>
    </row>
    <row r="66" spans="5:10">
      <c r="E66" s="1882" t="s">
        <v>12884</v>
      </c>
      <c r="F66" s="1882"/>
      <c r="G66" s="1882"/>
      <c r="H66" s="1882"/>
      <c r="I66" s="1882"/>
      <c r="J66" s="1882" t="s">
        <v>12885</v>
      </c>
    </row>
    <row r="67" spans="5:10">
      <c r="E67" s="1882" t="s">
        <v>12886</v>
      </c>
      <c r="F67" s="1882"/>
      <c r="G67" s="1882"/>
      <c r="H67" s="1882"/>
      <c r="I67" s="1882"/>
      <c r="J67" s="1882" t="s">
        <v>12887</v>
      </c>
    </row>
    <row r="68" spans="5:10">
      <c r="E68" s="1882" t="s">
        <v>12888</v>
      </c>
      <c r="F68" s="1882"/>
      <c r="G68" s="1882"/>
      <c r="H68" s="1882"/>
      <c r="I68" s="1882"/>
      <c r="J68" s="1882" t="s">
        <v>12889</v>
      </c>
    </row>
    <row r="69" spans="5:10">
      <c r="E69" s="1882" t="s">
        <v>12890</v>
      </c>
      <c r="F69" s="1882"/>
      <c r="G69" s="1882"/>
      <c r="H69" s="1882"/>
      <c r="I69" s="1882"/>
      <c r="J69" s="1882"/>
    </row>
    <row r="70" spans="5:10">
      <c r="E70" s="1882" t="s">
        <v>12891</v>
      </c>
      <c r="F70" s="1882"/>
      <c r="G70" s="1882"/>
      <c r="H70" s="1882"/>
      <c r="I70" s="1882"/>
      <c r="J70" s="1882"/>
    </row>
    <row r="71" spans="5:10">
      <c r="E71" s="1882" t="s">
        <v>12892</v>
      </c>
      <c r="F71" s="1882"/>
      <c r="G71" s="1882"/>
      <c r="H71" s="1882"/>
      <c r="I71" s="1882"/>
      <c r="J71" s="1882"/>
    </row>
    <row r="72" spans="5:10">
      <c r="E72" s="1882" t="s">
        <v>12893</v>
      </c>
      <c r="F72" s="1882"/>
      <c r="G72" s="1882"/>
      <c r="H72" s="1882"/>
      <c r="I72" s="1882"/>
      <c r="J72" s="1882"/>
    </row>
    <row r="73" spans="5:10">
      <c r="E73" s="1882" t="s">
        <v>12894</v>
      </c>
      <c r="F73" s="1882"/>
      <c r="G73" s="1882"/>
      <c r="H73" s="1882"/>
      <c r="I73" s="1882"/>
      <c r="J73" s="1882"/>
    </row>
  </sheetData>
  <sheetProtection algorithmName="SHA-512" hashValue="zSHbo8vMFiaDv3xP2ILUw+tLr7P9erKfuaeKUFOKmiG/3kdFu9QwISvUkV2qIyWUyzitRd2gXlOqrgQOSBkPFQ==" saltValue="jQ1epyqUmJT9ABBUgD8lBA==" spinCount="100000"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pageSetUpPr fitToPage="1"/>
  </sheetPr>
  <dimension ref="A1:AK73"/>
  <sheetViews>
    <sheetView topLeftCell="A6" workbookViewId="0">
      <selection activeCell="B1" sqref="B1:K36"/>
    </sheetView>
  </sheetViews>
  <sheetFormatPr defaultColWidth="0" defaultRowHeight="14" zeroHeight="1"/>
  <cols>
    <col min="1" max="1" width="0.58203125" style="70" customWidth="1"/>
    <col min="2" max="2" width="7.58203125" style="70" customWidth="1"/>
    <col min="3" max="3" width="38.08203125" style="70" customWidth="1"/>
    <col min="4" max="4" width="2.58203125" style="70" hidden="1" customWidth="1"/>
    <col min="5" max="6" width="5.08203125" style="70" customWidth="1"/>
    <col min="7" max="11" width="12.5" style="70" customWidth="1"/>
    <col min="12" max="12" width="2.08203125" style="70" customWidth="1"/>
    <col min="13" max="13" width="18.58203125" style="70" bestFit="1" customWidth="1"/>
    <col min="14" max="14" width="1.58203125" style="70" customWidth="1"/>
    <col min="15" max="15" width="1.58203125" style="71" hidden="1" customWidth="1"/>
    <col min="16" max="18" width="5.58203125" style="70" hidden="1" customWidth="1"/>
    <col min="19" max="19" width="1.58203125" style="71" hidden="1" customWidth="1"/>
    <col min="20" max="20" width="8.08203125" style="70" hidden="1" customWidth="1"/>
    <col min="21" max="23" width="8.58203125" style="70" hidden="1" customWidth="1"/>
    <col min="24" max="25" width="0" style="70" hidden="1" customWidth="1"/>
    <col min="26" max="26" width="8.08203125" style="70" customWidth="1"/>
    <col min="27" max="27" width="7.58203125" style="70" customWidth="1"/>
    <col min="28" max="28" width="38.08203125" style="70" customWidth="1"/>
    <col min="29" max="29" width="2.58203125" style="70" hidden="1" customWidth="1"/>
    <col min="30" max="31" width="5.08203125" style="70" customWidth="1"/>
    <col min="32" max="36" width="12.5" style="70" customWidth="1"/>
    <col min="37" max="37" width="2.5" style="70" customWidth="1"/>
    <col min="38" max="16384" width="8.08203125" style="70" hidden="1"/>
  </cols>
  <sheetData>
    <row r="1" spans="2:36" ht="20">
      <c r="B1" s="66" t="s">
        <v>521</v>
      </c>
      <c r="C1" s="66"/>
      <c r="D1" s="66"/>
      <c r="E1" s="66"/>
      <c r="F1" s="66"/>
      <c r="G1" s="66"/>
      <c r="H1" s="66"/>
      <c r="I1" s="66"/>
      <c r="J1" s="66"/>
      <c r="K1" s="68" t="str">
        <f>Validation!B3</f>
        <v>Bristol Water</v>
      </c>
      <c r="L1" s="66"/>
      <c r="M1" s="69" t="s">
        <v>32</v>
      </c>
      <c r="AA1" s="66" t="s">
        <v>33</v>
      </c>
      <c r="AB1" s="66"/>
      <c r="AC1" s="66"/>
      <c r="AD1" s="66"/>
      <c r="AE1" s="66"/>
      <c r="AF1" s="66"/>
      <c r="AG1" s="66"/>
      <c r="AH1" s="66"/>
      <c r="AI1" s="66"/>
      <c r="AJ1" s="68"/>
    </row>
    <row r="2" spans="2:36" ht="14.5" thickBot="1">
      <c r="B2" s="73" t="str">
        <f>'1C'!B2</f>
        <v>For the 12 months ended 31 March 2020</v>
      </c>
      <c r="AA2" s="73" t="str">
        <f>B2</f>
        <v>For the 12 months ended 31 March 2020</v>
      </c>
    </row>
    <row r="3" spans="2:36" ht="15" customHeight="1">
      <c r="B3" s="2894" t="s">
        <v>34</v>
      </c>
      <c r="C3" s="2895"/>
      <c r="D3" s="2820" t="s">
        <v>35</v>
      </c>
      <c r="E3" s="2898" t="s">
        <v>36</v>
      </c>
      <c r="F3" s="2900" t="s">
        <v>37</v>
      </c>
      <c r="G3" s="2902" t="s">
        <v>38</v>
      </c>
      <c r="H3" s="2904" t="s">
        <v>39</v>
      </c>
      <c r="I3" s="2905"/>
      <c r="J3" s="2906"/>
      <c r="K3" s="2907" t="s">
        <v>40</v>
      </c>
      <c r="M3" s="2907" t="s">
        <v>41</v>
      </c>
      <c r="AA3" s="2894" t="s">
        <v>34</v>
      </c>
      <c r="AB3" s="2895"/>
      <c r="AC3" s="2820" t="s">
        <v>35</v>
      </c>
      <c r="AD3" s="2898" t="s">
        <v>36</v>
      </c>
      <c r="AE3" s="2900" t="s">
        <v>37</v>
      </c>
      <c r="AF3" s="2902" t="s">
        <v>38</v>
      </c>
      <c r="AG3" s="2904" t="s">
        <v>39</v>
      </c>
      <c r="AH3" s="2905"/>
      <c r="AI3" s="2906"/>
      <c r="AJ3" s="2907" t="s">
        <v>40</v>
      </c>
    </row>
    <row r="4" spans="2:36" ht="54.5" thickBot="1">
      <c r="B4" s="2896"/>
      <c r="C4" s="2897"/>
      <c r="D4" s="2821"/>
      <c r="E4" s="2899"/>
      <c r="F4" s="2901"/>
      <c r="G4" s="2903"/>
      <c r="H4" s="2832" t="s">
        <v>42</v>
      </c>
      <c r="I4" s="78" t="s">
        <v>43</v>
      </c>
      <c r="J4" s="2833" t="s">
        <v>44</v>
      </c>
      <c r="K4" s="2908"/>
      <c r="M4" s="2908"/>
      <c r="N4" s="79"/>
      <c r="P4" s="2909" t="s">
        <v>45</v>
      </c>
      <c r="Q4" s="2909"/>
      <c r="R4" s="2909"/>
      <c r="AA4" s="2896"/>
      <c r="AB4" s="2897"/>
      <c r="AC4" s="2821"/>
      <c r="AD4" s="2899"/>
      <c r="AE4" s="2901"/>
      <c r="AF4" s="2903"/>
      <c r="AG4" s="2832" t="s">
        <v>42</v>
      </c>
      <c r="AH4" s="78" t="s">
        <v>43</v>
      </c>
      <c r="AI4" s="2833" t="s">
        <v>44</v>
      </c>
      <c r="AJ4" s="2908"/>
    </row>
    <row r="5" spans="2:36" ht="14.5" thickBot="1"/>
    <row r="6" spans="2:36" ht="14.5" thickBot="1">
      <c r="B6" s="2865" t="s">
        <v>153</v>
      </c>
      <c r="C6" s="83" t="s">
        <v>522</v>
      </c>
      <c r="D6" s="1473"/>
      <c r="P6" s="85" t="s">
        <v>46</v>
      </c>
      <c r="AA6" s="2865" t="s">
        <v>153</v>
      </c>
      <c r="AB6" s="83" t="s">
        <v>522</v>
      </c>
      <c r="AC6" s="1473"/>
    </row>
    <row r="7" spans="2:36">
      <c r="B7" s="86" t="s">
        <v>523</v>
      </c>
      <c r="C7" s="117" t="s">
        <v>70</v>
      </c>
      <c r="D7" s="117"/>
      <c r="E7" s="88" t="s">
        <v>49</v>
      </c>
      <c r="F7" s="89">
        <v>3</v>
      </c>
      <c r="G7" s="379">
        <f>'1A'!G9</f>
        <v>22.617999999999999</v>
      </c>
      <c r="H7" s="747">
        <f>'1A'!H9</f>
        <v>-2.17</v>
      </c>
      <c r="I7" s="679">
        <f>'1A'!I9</f>
        <v>0.21599999999999997</v>
      </c>
      <c r="J7" s="190">
        <f t="shared" ref="J7:J15" si="0" xml:space="preserve"> H7 - I7</f>
        <v>-2.3860000000000001</v>
      </c>
      <c r="K7" s="196">
        <f t="shared" ref="K7:K15" si="1" xml:space="preserve"> G7 + J7</f>
        <v>20.231999999999999</v>
      </c>
      <c r="M7" s="126"/>
      <c r="P7" s="127"/>
      <c r="Q7" s="127"/>
      <c r="R7" s="127"/>
      <c r="AA7" s="86" t="s">
        <v>523</v>
      </c>
      <c r="AB7" s="117" t="s">
        <v>70</v>
      </c>
      <c r="AC7" s="117"/>
      <c r="AD7" s="88" t="s">
        <v>49</v>
      </c>
      <c r="AE7" s="89">
        <v>3</v>
      </c>
      <c r="AF7" s="379" t="str">
        <f>'1A'!AF9</f>
        <v>BO2060STAT</v>
      </c>
      <c r="AG7" s="747" t="str">
        <f>'1A'!AG9</f>
        <v>BO2060DSR</v>
      </c>
      <c r="AH7" s="679" t="str">
        <f>'1A'!AH9</f>
        <v>BO2060NA</v>
      </c>
      <c r="AI7" s="190" t="s">
        <v>74</v>
      </c>
      <c r="AJ7" s="196" t="s">
        <v>75</v>
      </c>
    </row>
    <row r="8" spans="2:36">
      <c r="B8" s="94" t="s">
        <v>524</v>
      </c>
      <c r="C8" s="87" t="s">
        <v>77</v>
      </c>
      <c r="D8" s="87"/>
      <c r="E8" s="95" t="s">
        <v>49</v>
      </c>
      <c r="F8" s="96">
        <v>3</v>
      </c>
      <c r="G8" s="463">
        <v>0</v>
      </c>
      <c r="H8" s="412">
        <v>0.23400000000000001</v>
      </c>
      <c r="I8" s="413">
        <v>0</v>
      </c>
      <c r="J8" s="191">
        <f t="shared" si="0"/>
        <v>0.23400000000000001</v>
      </c>
      <c r="K8" s="197">
        <f t="shared" si="1"/>
        <v>0.23400000000000001</v>
      </c>
      <c r="M8" s="24">
        <f xml:space="preserve"> IF( SUM( O8:S8 ) = 0, 0, $P$6 )</f>
        <v>0</v>
      </c>
      <c r="P8" s="93">
        <f t="shared" ref="P8:R33" si="2" xml:space="preserve"> IF( ISNUMBER( G8 ), 0, 1 )</f>
        <v>0</v>
      </c>
      <c r="Q8" s="93">
        <f t="shared" si="2"/>
        <v>0</v>
      </c>
      <c r="R8" s="93">
        <f t="shared" si="2"/>
        <v>0</v>
      </c>
      <c r="AA8" s="94" t="s">
        <v>524</v>
      </c>
      <c r="AB8" s="87" t="s">
        <v>77</v>
      </c>
      <c r="AC8" s="87"/>
      <c r="AD8" s="95" t="s">
        <v>49</v>
      </c>
      <c r="AE8" s="96">
        <v>3</v>
      </c>
      <c r="AF8" s="2386" t="s">
        <v>525</v>
      </c>
      <c r="AG8" s="2383" t="s">
        <v>526</v>
      </c>
      <c r="AH8" s="2384" t="s">
        <v>527</v>
      </c>
      <c r="AI8" s="191" t="s">
        <v>528</v>
      </c>
      <c r="AJ8" s="197" t="s">
        <v>529</v>
      </c>
    </row>
    <row r="9" spans="2:36">
      <c r="B9" s="94" t="s">
        <v>530</v>
      </c>
      <c r="C9" s="87" t="s">
        <v>531</v>
      </c>
      <c r="D9" s="87"/>
      <c r="E9" s="95" t="s">
        <v>49</v>
      </c>
      <c r="F9" s="96">
        <v>3</v>
      </c>
      <c r="G9" s="463">
        <v>25.256</v>
      </c>
      <c r="H9" s="412">
        <v>-0.13700000000000001</v>
      </c>
      <c r="I9" s="413">
        <v>6.5000000000000002E-2</v>
      </c>
      <c r="J9" s="191">
        <f t="shared" si="0"/>
        <v>-0.20200000000000001</v>
      </c>
      <c r="K9" s="197">
        <f t="shared" si="1"/>
        <v>25.053999999999998</v>
      </c>
      <c r="M9" s="24">
        <f t="shared" ref="M9:M14" si="3" xml:space="preserve"> IF( SUM( O9:S9 ) = 0, 0, $P$6 )</f>
        <v>0</v>
      </c>
      <c r="P9" s="93">
        <f t="shared" si="2"/>
        <v>0</v>
      </c>
      <c r="Q9" s="93">
        <f t="shared" si="2"/>
        <v>0</v>
      </c>
      <c r="R9" s="93">
        <f t="shared" si="2"/>
        <v>0</v>
      </c>
      <c r="AA9" s="94" t="s">
        <v>530</v>
      </c>
      <c r="AB9" s="87" t="s">
        <v>531</v>
      </c>
      <c r="AC9" s="87"/>
      <c r="AD9" s="95" t="s">
        <v>49</v>
      </c>
      <c r="AE9" s="96">
        <v>3</v>
      </c>
      <c r="AF9" s="2386" t="s">
        <v>532</v>
      </c>
      <c r="AG9" s="2383" t="s">
        <v>533</v>
      </c>
      <c r="AH9" s="2384" t="s">
        <v>534</v>
      </c>
      <c r="AI9" s="191" t="s">
        <v>535</v>
      </c>
      <c r="AJ9" s="197" t="s">
        <v>536</v>
      </c>
    </row>
    <row r="10" spans="2:36">
      <c r="B10" s="94" t="s">
        <v>537</v>
      </c>
      <c r="C10" s="87" t="s">
        <v>538</v>
      </c>
      <c r="D10" s="87"/>
      <c r="E10" s="95" t="s">
        <v>49</v>
      </c>
      <c r="F10" s="96">
        <v>3</v>
      </c>
      <c r="G10" s="464">
        <v>-1.77</v>
      </c>
      <c r="H10" s="465">
        <v>1.77</v>
      </c>
      <c r="I10" s="466">
        <v>0</v>
      </c>
      <c r="J10" s="191">
        <f t="shared" si="0"/>
        <v>1.77</v>
      </c>
      <c r="K10" s="197">
        <f t="shared" si="1"/>
        <v>0</v>
      </c>
      <c r="M10" s="24">
        <f t="shared" si="3"/>
        <v>0</v>
      </c>
      <c r="P10" s="93">
        <f t="shared" si="2"/>
        <v>0</v>
      </c>
      <c r="Q10" s="93">
        <f t="shared" si="2"/>
        <v>0</v>
      </c>
      <c r="R10" s="93">
        <f t="shared" si="2"/>
        <v>0</v>
      </c>
      <c r="AA10" s="94" t="s">
        <v>537</v>
      </c>
      <c r="AB10" s="87" t="s">
        <v>538</v>
      </c>
      <c r="AC10" s="87"/>
      <c r="AD10" s="95" t="s">
        <v>49</v>
      </c>
      <c r="AE10" s="96">
        <v>3</v>
      </c>
      <c r="AF10" s="2397" t="s">
        <v>539</v>
      </c>
      <c r="AG10" s="2398" t="s">
        <v>540</v>
      </c>
      <c r="AH10" s="2399" t="s">
        <v>541</v>
      </c>
      <c r="AI10" s="191" t="s">
        <v>542</v>
      </c>
      <c r="AJ10" s="197" t="s">
        <v>543</v>
      </c>
    </row>
    <row r="11" spans="2:36">
      <c r="B11" s="94" t="s">
        <v>544</v>
      </c>
      <c r="C11" s="87" t="s">
        <v>545</v>
      </c>
      <c r="D11" s="87"/>
      <c r="E11" s="95" t="s">
        <v>49</v>
      </c>
      <c r="F11" s="96">
        <v>3</v>
      </c>
      <c r="G11" s="464">
        <v>0</v>
      </c>
      <c r="H11" s="465">
        <v>-0.19400000000000001</v>
      </c>
      <c r="I11" s="466">
        <v>-6.5000000000000002E-2</v>
      </c>
      <c r="J11" s="191">
        <f t="shared" si="0"/>
        <v>-0.129</v>
      </c>
      <c r="K11" s="197">
        <f t="shared" si="1"/>
        <v>-0.129</v>
      </c>
      <c r="M11" s="24">
        <f t="shared" si="3"/>
        <v>0</v>
      </c>
      <c r="P11" s="93">
        <f t="shared" si="2"/>
        <v>0</v>
      </c>
      <c r="Q11" s="93">
        <f t="shared" si="2"/>
        <v>0</v>
      </c>
      <c r="R11" s="93">
        <f t="shared" si="2"/>
        <v>0</v>
      </c>
      <c r="AA11" s="94" t="s">
        <v>544</v>
      </c>
      <c r="AB11" s="87" t="s">
        <v>545</v>
      </c>
      <c r="AC11" s="87"/>
      <c r="AD11" s="95" t="s">
        <v>49</v>
      </c>
      <c r="AE11" s="96">
        <v>3</v>
      </c>
      <c r="AF11" s="2397" t="s">
        <v>546</v>
      </c>
      <c r="AG11" s="2398" t="s">
        <v>547</v>
      </c>
      <c r="AH11" s="2399" t="s">
        <v>548</v>
      </c>
      <c r="AI11" s="191" t="s">
        <v>549</v>
      </c>
      <c r="AJ11" s="197" t="s">
        <v>550</v>
      </c>
    </row>
    <row r="12" spans="2:36">
      <c r="B12" s="94" t="s">
        <v>551</v>
      </c>
      <c r="C12" s="87" t="s">
        <v>552</v>
      </c>
      <c r="D12" s="87"/>
      <c r="E12" s="95" t="s">
        <v>49</v>
      </c>
      <c r="F12" s="96">
        <v>3</v>
      </c>
      <c r="G12" s="464">
        <v>0.59699999999999998</v>
      </c>
      <c r="H12" s="465">
        <v>0</v>
      </c>
      <c r="I12" s="466">
        <v>0</v>
      </c>
      <c r="J12" s="191">
        <f t="shared" si="0"/>
        <v>0</v>
      </c>
      <c r="K12" s="197">
        <f t="shared" si="1"/>
        <v>0.59699999999999998</v>
      </c>
      <c r="M12" s="24">
        <f t="shared" si="3"/>
        <v>0</v>
      </c>
      <c r="P12" s="93">
        <f t="shared" si="2"/>
        <v>0</v>
      </c>
      <c r="Q12" s="93">
        <f t="shared" si="2"/>
        <v>0</v>
      </c>
      <c r="R12" s="93">
        <f t="shared" si="2"/>
        <v>0</v>
      </c>
      <c r="AA12" s="94" t="s">
        <v>551</v>
      </c>
      <c r="AB12" s="87" t="s">
        <v>552</v>
      </c>
      <c r="AC12" s="87"/>
      <c r="AD12" s="95" t="s">
        <v>49</v>
      </c>
      <c r="AE12" s="96">
        <v>3</v>
      </c>
      <c r="AF12" s="2397" t="s">
        <v>553</v>
      </c>
      <c r="AG12" s="2398" t="s">
        <v>554</v>
      </c>
      <c r="AH12" s="2399" t="s">
        <v>555</v>
      </c>
      <c r="AI12" s="191" t="s">
        <v>556</v>
      </c>
      <c r="AJ12" s="197" t="s">
        <v>557</v>
      </c>
    </row>
    <row r="13" spans="2:36">
      <c r="B13" s="94" t="s">
        <v>558</v>
      </c>
      <c r="C13" s="87" t="s">
        <v>559</v>
      </c>
      <c r="D13" s="87"/>
      <c r="E13" s="95" t="s">
        <v>49</v>
      </c>
      <c r="F13" s="96">
        <v>3</v>
      </c>
      <c r="G13" s="464">
        <v>2.8109999999999999</v>
      </c>
      <c r="H13" s="465">
        <v>0.19600000000000001</v>
      </c>
      <c r="I13" s="466">
        <v>0</v>
      </c>
      <c r="J13" s="191">
        <f t="shared" si="0"/>
        <v>0.19600000000000001</v>
      </c>
      <c r="K13" s="197">
        <f t="shared" si="1"/>
        <v>3.0070000000000001</v>
      </c>
      <c r="M13" s="24">
        <f t="shared" si="3"/>
        <v>0</v>
      </c>
      <c r="P13" s="93">
        <f t="shared" si="2"/>
        <v>0</v>
      </c>
      <c r="Q13" s="93">
        <f t="shared" si="2"/>
        <v>0</v>
      </c>
      <c r="R13" s="93">
        <f t="shared" si="2"/>
        <v>0</v>
      </c>
      <c r="AA13" s="94" t="s">
        <v>558</v>
      </c>
      <c r="AB13" s="87" t="s">
        <v>559</v>
      </c>
      <c r="AC13" s="87"/>
      <c r="AD13" s="95" t="s">
        <v>49</v>
      </c>
      <c r="AE13" s="96">
        <v>3</v>
      </c>
      <c r="AF13" s="2397" t="s">
        <v>560</v>
      </c>
      <c r="AG13" s="2398" t="s">
        <v>561</v>
      </c>
      <c r="AH13" s="2399" t="s">
        <v>562</v>
      </c>
      <c r="AI13" s="191" t="s">
        <v>563</v>
      </c>
      <c r="AJ13" s="197" t="s">
        <v>564</v>
      </c>
    </row>
    <row r="14" spans="2:36">
      <c r="B14" s="94" t="s">
        <v>565</v>
      </c>
      <c r="C14" s="87" t="s">
        <v>566</v>
      </c>
      <c r="D14" s="87"/>
      <c r="E14" s="95" t="s">
        <v>49</v>
      </c>
      <c r="F14" s="96">
        <v>3</v>
      </c>
      <c r="G14" s="464">
        <v>-0.68700000000000006</v>
      </c>
      <c r="H14" s="465">
        <v>0</v>
      </c>
      <c r="I14" s="466">
        <v>0</v>
      </c>
      <c r="J14" s="191">
        <f t="shared" si="0"/>
        <v>0</v>
      </c>
      <c r="K14" s="197">
        <f t="shared" si="1"/>
        <v>-0.68700000000000006</v>
      </c>
      <c r="M14" s="24">
        <f t="shared" si="3"/>
        <v>0</v>
      </c>
      <c r="P14" s="93">
        <f t="shared" si="2"/>
        <v>0</v>
      </c>
      <c r="Q14" s="93">
        <f t="shared" si="2"/>
        <v>0</v>
      </c>
      <c r="R14" s="93">
        <f t="shared" si="2"/>
        <v>0</v>
      </c>
      <c r="AA14" s="94" t="s">
        <v>565</v>
      </c>
      <c r="AB14" s="87" t="s">
        <v>566</v>
      </c>
      <c r="AC14" s="87"/>
      <c r="AD14" s="95" t="s">
        <v>49</v>
      </c>
      <c r="AE14" s="96">
        <v>3</v>
      </c>
      <c r="AF14" s="2397" t="s">
        <v>567</v>
      </c>
      <c r="AG14" s="2398" t="s">
        <v>568</v>
      </c>
      <c r="AH14" s="2399" t="s">
        <v>569</v>
      </c>
      <c r="AI14" s="191" t="s">
        <v>570</v>
      </c>
      <c r="AJ14" s="197" t="s">
        <v>571</v>
      </c>
    </row>
    <row r="15" spans="2:36" ht="14.5" thickBot="1">
      <c r="B15" s="101" t="s">
        <v>572</v>
      </c>
      <c r="C15" s="102" t="s">
        <v>573</v>
      </c>
      <c r="D15" s="102"/>
      <c r="E15" s="103" t="s">
        <v>49</v>
      </c>
      <c r="F15" s="100">
        <v>3</v>
      </c>
      <c r="G15" s="393">
        <f>SUM( G7:G14 )</f>
        <v>48.824999999999996</v>
      </c>
      <c r="H15" s="193">
        <f>SUM( H7:H14 )</f>
        <v>-0.30099999999999993</v>
      </c>
      <c r="I15" s="194">
        <f>SUM( I7:I14 )</f>
        <v>0.21599999999999997</v>
      </c>
      <c r="J15" s="195">
        <f t="shared" si="0"/>
        <v>-0.5169999999999999</v>
      </c>
      <c r="K15" s="198">
        <f t="shared" si="1"/>
        <v>48.307999999999993</v>
      </c>
      <c r="M15" s="126"/>
      <c r="AA15" s="101" t="s">
        <v>572</v>
      </c>
      <c r="AB15" s="102" t="s">
        <v>573</v>
      </c>
      <c r="AC15" s="102"/>
      <c r="AD15" s="103" t="s">
        <v>49</v>
      </c>
      <c r="AE15" s="100">
        <v>3</v>
      </c>
      <c r="AF15" s="393" t="s">
        <v>574</v>
      </c>
      <c r="AG15" s="193" t="s">
        <v>575</v>
      </c>
      <c r="AH15" s="194" t="s">
        <v>576</v>
      </c>
      <c r="AI15" s="195" t="s">
        <v>577</v>
      </c>
      <c r="AJ15" s="198" t="s">
        <v>578</v>
      </c>
    </row>
    <row r="16" spans="2:36" ht="14.5" thickBot="1">
      <c r="M16" s="126"/>
    </row>
    <row r="17" spans="2:36">
      <c r="B17" s="86" t="s">
        <v>579</v>
      </c>
      <c r="C17" s="117" t="s">
        <v>580</v>
      </c>
      <c r="D17" s="117"/>
      <c r="E17" s="88" t="s">
        <v>49</v>
      </c>
      <c r="F17" s="89">
        <v>3</v>
      </c>
      <c r="G17" s="467">
        <v>-9.2579999999999991</v>
      </c>
      <c r="H17" s="414">
        <v>0</v>
      </c>
      <c r="I17" s="425">
        <v>0</v>
      </c>
      <c r="J17" s="190">
        <f xml:space="preserve"> H17 - I17</f>
        <v>0</v>
      </c>
      <c r="K17" s="196">
        <f xml:space="preserve"> G17 + J17</f>
        <v>-9.2579999999999991</v>
      </c>
      <c r="M17" s="24">
        <f t="shared" ref="M17:M18" si="4" xml:space="preserve"> IF( SUM( O17:S17 ) = 0, 0, $P$6 )</f>
        <v>0</v>
      </c>
      <c r="P17" s="93">
        <f t="shared" si="2"/>
        <v>0</v>
      </c>
      <c r="Q17" s="93">
        <f t="shared" si="2"/>
        <v>0</v>
      </c>
      <c r="R17" s="93">
        <f t="shared" si="2"/>
        <v>0</v>
      </c>
      <c r="AA17" s="86" t="s">
        <v>579</v>
      </c>
      <c r="AB17" s="117" t="s">
        <v>580</v>
      </c>
      <c r="AC17" s="117"/>
      <c r="AD17" s="88" t="s">
        <v>49</v>
      </c>
      <c r="AE17" s="89">
        <v>3</v>
      </c>
      <c r="AF17" s="2385" t="s">
        <v>581</v>
      </c>
      <c r="AG17" s="2380" t="s">
        <v>582</v>
      </c>
      <c r="AH17" s="2381" t="s">
        <v>583</v>
      </c>
      <c r="AI17" s="190" t="s">
        <v>584</v>
      </c>
      <c r="AJ17" s="196" t="s">
        <v>585</v>
      </c>
    </row>
    <row r="18" spans="2:36">
      <c r="B18" s="94" t="s">
        <v>586</v>
      </c>
      <c r="C18" s="87" t="s">
        <v>587</v>
      </c>
      <c r="D18" s="87"/>
      <c r="E18" s="95" t="s">
        <v>49</v>
      </c>
      <c r="F18" s="96">
        <v>3</v>
      </c>
      <c r="G18" s="463">
        <v>-2.4740000000000002</v>
      </c>
      <c r="H18" s="412">
        <v>0</v>
      </c>
      <c r="I18" s="413">
        <v>-4.1000000000000002E-2</v>
      </c>
      <c r="J18" s="191">
        <f xml:space="preserve"> H18 - I18</f>
        <v>4.1000000000000002E-2</v>
      </c>
      <c r="K18" s="197">
        <f xml:space="preserve"> G18 + J18</f>
        <v>-2.4330000000000003</v>
      </c>
      <c r="M18" s="24">
        <f t="shared" si="4"/>
        <v>0</v>
      </c>
      <c r="P18" s="93">
        <f t="shared" si="2"/>
        <v>0</v>
      </c>
      <c r="Q18" s="93">
        <f t="shared" si="2"/>
        <v>0</v>
      </c>
      <c r="R18" s="93">
        <f t="shared" si="2"/>
        <v>0</v>
      </c>
      <c r="AA18" s="94" t="s">
        <v>586</v>
      </c>
      <c r="AB18" s="87" t="s">
        <v>587</v>
      </c>
      <c r="AC18" s="87"/>
      <c r="AD18" s="95" t="s">
        <v>49</v>
      </c>
      <c r="AE18" s="96">
        <v>3</v>
      </c>
      <c r="AF18" s="2386" t="s">
        <v>588</v>
      </c>
      <c r="AG18" s="2383" t="s">
        <v>589</v>
      </c>
      <c r="AH18" s="2384" t="s">
        <v>590</v>
      </c>
      <c r="AI18" s="191" t="s">
        <v>591</v>
      </c>
      <c r="AJ18" s="197" t="s">
        <v>592</v>
      </c>
    </row>
    <row r="19" spans="2:36" ht="14.5" thickBot="1">
      <c r="B19" s="101" t="s">
        <v>593</v>
      </c>
      <c r="C19" s="102" t="s">
        <v>594</v>
      </c>
      <c r="D19" s="102"/>
      <c r="E19" s="103" t="s">
        <v>49</v>
      </c>
      <c r="F19" s="100">
        <v>3</v>
      </c>
      <c r="G19" s="195">
        <f xml:space="preserve"> G15 + SUM( G17:G18 )</f>
        <v>37.092999999999996</v>
      </c>
      <c r="H19" s="193">
        <f xml:space="preserve"> H15 + SUM( H17:H18 )</f>
        <v>-0.30099999999999993</v>
      </c>
      <c r="I19" s="194">
        <f xml:space="preserve"> I15 + SUM( I17:I18 )</f>
        <v>0.17499999999999996</v>
      </c>
      <c r="J19" s="195">
        <f xml:space="preserve"> H19 - I19</f>
        <v>-0.47599999999999987</v>
      </c>
      <c r="K19" s="198">
        <f xml:space="preserve"> G19 + J19</f>
        <v>36.616999999999997</v>
      </c>
      <c r="M19" s="126"/>
      <c r="AA19" s="101" t="s">
        <v>593</v>
      </c>
      <c r="AB19" s="102" t="s">
        <v>594</v>
      </c>
      <c r="AC19" s="102"/>
      <c r="AD19" s="103" t="s">
        <v>49</v>
      </c>
      <c r="AE19" s="100">
        <v>3</v>
      </c>
      <c r="AF19" s="195" t="s">
        <v>595</v>
      </c>
      <c r="AG19" s="193" t="s">
        <v>596</v>
      </c>
      <c r="AH19" s="194" t="s">
        <v>597</v>
      </c>
      <c r="AI19" s="195" t="s">
        <v>598</v>
      </c>
      <c r="AJ19" s="198" t="s">
        <v>599</v>
      </c>
    </row>
    <row r="20" spans="2:36" ht="14.5" thickBot="1">
      <c r="M20" s="126"/>
    </row>
    <row r="21" spans="2:36" ht="14.5" thickBot="1">
      <c r="B21" s="2865" t="s">
        <v>333</v>
      </c>
      <c r="C21" s="83" t="s">
        <v>600</v>
      </c>
      <c r="D21" s="1473"/>
      <c r="M21" s="126"/>
      <c r="AA21" s="2865" t="s">
        <v>333</v>
      </c>
      <c r="AB21" s="83" t="s">
        <v>600</v>
      </c>
      <c r="AC21" s="1473"/>
    </row>
    <row r="22" spans="2:36">
      <c r="B22" s="86" t="s">
        <v>601</v>
      </c>
      <c r="C22" s="117" t="s">
        <v>602</v>
      </c>
      <c r="D22" s="117"/>
      <c r="E22" s="88" t="s">
        <v>49</v>
      </c>
      <c r="F22" s="89">
        <v>3</v>
      </c>
      <c r="G22" s="467">
        <v>-71.623000000000005</v>
      </c>
      <c r="H22" s="414">
        <v>0.30099999999999999</v>
      </c>
      <c r="I22" s="425">
        <v>0</v>
      </c>
      <c r="J22" s="190">
        <f t="shared" ref="J22:J28" si="5" xml:space="preserve"> H22 - I22</f>
        <v>0.30099999999999999</v>
      </c>
      <c r="K22" s="196">
        <f t="shared" ref="K22:K28" si="6" xml:space="preserve"> G22 + J22</f>
        <v>-71.322000000000003</v>
      </c>
      <c r="M22" s="24">
        <f t="shared" ref="M22:M25" si="7" xml:space="preserve"> IF( SUM( O22:S22 ) = 0, 0, $P$6 )</f>
        <v>0</v>
      </c>
      <c r="P22" s="93">
        <f t="shared" si="2"/>
        <v>0</v>
      </c>
      <c r="Q22" s="93">
        <f t="shared" si="2"/>
        <v>0</v>
      </c>
      <c r="R22" s="93">
        <f t="shared" si="2"/>
        <v>0</v>
      </c>
      <c r="AA22" s="86" t="s">
        <v>601</v>
      </c>
      <c r="AB22" s="117" t="s">
        <v>602</v>
      </c>
      <c r="AC22" s="117"/>
      <c r="AD22" s="88" t="s">
        <v>49</v>
      </c>
      <c r="AE22" s="89">
        <v>3</v>
      </c>
      <c r="AF22" s="2385" t="s">
        <v>603</v>
      </c>
      <c r="AG22" s="2380" t="s">
        <v>604</v>
      </c>
      <c r="AH22" s="2381" t="s">
        <v>605</v>
      </c>
      <c r="AI22" s="190" t="s">
        <v>606</v>
      </c>
      <c r="AJ22" s="196" t="s">
        <v>607</v>
      </c>
    </row>
    <row r="23" spans="2:36">
      <c r="B23" s="94" t="s">
        <v>608</v>
      </c>
      <c r="C23" s="87" t="s">
        <v>609</v>
      </c>
      <c r="D23" s="87"/>
      <c r="E23" s="95" t="s">
        <v>49</v>
      </c>
      <c r="F23" s="96">
        <v>3</v>
      </c>
      <c r="G23" s="463">
        <v>3.8250000000000002</v>
      </c>
      <c r="H23" s="412">
        <v>0</v>
      </c>
      <c r="I23" s="413">
        <v>0</v>
      </c>
      <c r="J23" s="191">
        <f t="shared" si="5"/>
        <v>0</v>
      </c>
      <c r="K23" s="197">
        <f t="shared" si="6"/>
        <v>3.8250000000000002</v>
      </c>
      <c r="M23" s="24">
        <f t="shared" si="7"/>
        <v>0</v>
      </c>
      <c r="O23" s="124"/>
      <c r="P23" s="93">
        <f t="shared" si="2"/>
        <v>0</v>
      </c>
      <c r="Q23" s="93">
        <f t="shared" si="2"/>
        <v>0</v>
      </c>
      <c r="R23" s="93">
        <f t="shared" si="2"/>
        <v>0</v>
      </c>
      <c r="S23" s="124"/>
      <c r="AA23" s="94" t="s">
        <v>608</v>
      </c>
      <c r="AB23" s="87" t="s">
        <v>609</v>
      </c>
      <c r="AC23" s="87"/>
      <c r="AD23" s="95" t="s">
        <v>49</v>
      </c>
      <c r="AE23" s="96">
        <v>3</v>
      </c>
      <c r="AF23" s="2386" t="s">
        <v>610</v>
      </c>
      <c r="AG23" s="2383" t="s">
        <v>611</v>
      </c>
      <c r="AH23" s="2384" t="s">
        <v>612</v>
      </c>
      <c r="AI23" s="191" t="s">
        <v>613</v>
      </c>
      <c r="AJ23" s="197" t="s">
        <v>614</v>
      </c>
    </row>
    <row r="24" spans="2:36">
      <c r="B24" s="94" t="s">
        <v>615</v>
      </c>
      <c r="C24" s="87" t="s">
        <v>616</v>
      </c>
      <c r="D24" s="87"/>
      <c r="E24" s="95" t="s">
        <v>49</v>
      </c>
      <c r="F24" s="96">
        <v>3</v>
      </c>
      <c r="G24" s="463">
        <v>0.73499999999999999</v>
      </c>
      <c r="H24" s="412">
        <v>0</v>
      </c>
      <c r="I24" s="413">
        <v>0</v>
      </c>
      <c r="J24" s="191">
        <f t="shared" si="5"/>
        <v>0</v>
      </c>
      <c r="K24" s="197">
        <f t="shared" si="6"/>
        <v>0.73499999999999999</v>
      </c>
      <c r="M24" s="24">
        <f t="shared" si="7"/>
        <v>0</v>
      </c>
      <c r="O24" s="119"/>
      <c r="P24" s="93">
        <f t="shared" si="2"/>
        <v>0</v>
      </c>
      <c r="Q24" s="93">
        <f t="shared" si="2"/>
        <v>0</v>
      </c>
      <c r="R24" s="93">
        <f t="shared" si="2"/>
        <v>0</v>
      </c>
      <c r="S24" s="119"/>
      <c r="AA24" s="94" t="s">
        <v>615</v>
      </c>
      <c r="AB24" s="87" t="s">
        <v>616</v>
      </c>
      <c r="AC24" s="87"/>
      <c r="AD24" s="95" t="s">
        <v>49</v>
      </c>
      <c r="AE24" s="96">
        <v>3</v>
      </c>
      <c r="AF24" s="2386" t="s">
        <v>617</v>
      </c>
      <c r="AG24" s="2383" t="s">
        <v>618</v>
      </c>
      <c r="AH24" s="2384" t="s">
        <v>619</v>
      </c>
      <c r="AI24" s="191" t="s">
        <v>620</v>
      </c>
      <c r="AJ24" s="197" t="s">
        <v>621</v>
      </c>
    </row>
    <row r="25" spans="2:36">
      <c r="B25" s="94" t="s">
        <v>622</v>
      </c>
      <c r="C25" s="87" t="s">
        <v>29</v>
      </c>
      <c r="D25" s="87"/>
      <c r="E25" s="95" t="s">
        <v>49</v>
      </c>
      <c r="F25" s="96">
        <v>3</v>
      </c>
      <c r="G25" s="463">
        <v>0</v>
      </c>
      <c r="H25" s="412">
        <v>0</v>
      </c>
      <c r="I25" s="413">
        <v>0</v>
      </c>
      <c r="J25" s="191">
        <f t="shared" si="5"/>
        <v>0</v>
      </c>
      <c r="K25" s="197">
        <f t="shared" si="6"/>
        <v>0</v>
      </c>
      <c r="M25" s="24">
        <f t="shared" si="7"/>
        <v>0</v>
      </c>
      <c r="O25" s="119"/>
      <c r="P25" s="93">
        <f t="shared" si="2"/>
        <v>0</v>
      </c>
      <c r="Q25" s="93">
        <f t="shared" si="2"/>
        <v>0</v>
      </c>
      <c r="R25" s="93">
        <f t="shared" si="2"/>
        <v>0</v>
      </c>
      <c r="S25" s="119"/>
      <c r="AA25" s="94" t="s">
        <v>622</v>
      </c>
      <c r="AB25" s="87" t="s">
        <v>29</v>
      </c>
      <c r="AC25" s="87"/>
      <c r="AD25" s="95" t="s">
        <v>49</v>
      </c>
      <c r="AE25" s="96">
        <v>3</v>
      </c>
      <c r="AF25" s="2386" t="s">
        <v>623</v>
      </c>
      <c r="AG25" s="2383" t="s">
        <v>624</v>
      </c>
      <c r="AH25" s="2384" t="s">
        <v>625</v>
      </c>
      <c r="AI25" s="191" t="s">
        <v>626</v>
      </c>
      <c r="AJ25" s="197" t="s">
        <v>627</v>
      </c>
    </row>
    <row r="26" spans="2:36" ht="14.5" thickBot="1">
      <c r="B26" s="101" t="s">
        <v>628</v>
      </c>
      <c r="C26" s="102" t="s">
        <v>629</v>
      </c>
      <c r="D26" s="102"/>
      <c r="E26" s="103" t="s">
        <v>49</v>
      </c>
      <c r="F26" s="100">
        <v>3</v>
      </c>
      <c r="G26" s="195">
        <f xml:space="preserve"> SUM( G22:G25 )</f>
        <v>-67.063000000000002</v>
      </c>
      <c r="H26" s="193">
        <f xml:space="preserve"> SUM( H22:H25 )</f>
        <v>0.30099999999999999</v>
      </c>
      <c r="I26" s="194">
        <f xml:space="preserve"> SUM( I22:I25 )</f>
        <v>0</v>
      </c>
      <c r="J26" s="195">
        <f t="shared" si="5"/>
        <v>0.30099999999999999</v>
      </c>
      <c r="K26" s="198">
        <f t="shared" si="6"/>
        <v>-66.762</v>
      </c>
      <c r="M26" s="126"/>
      <c r="O26" s="119"/>
      <c r="S26" s="119"/>
      <c r="AA26" s="101" t="s">
        <v>628</v>
      </c>
      <c r="AB26" s="102" t="s">
        <v>629</v>
      </c>
      <c r="AC26" s="102"/>
      <c r="AD26" s="103" t="s">
        <v>49</v>
      </c>
      <c r="AE26" s="100">
        <v>3</v>
      </c>
      <c r="AF26" s="195" t="s">
        <v>630</v>
      </c>
      <c r="AG26" s="193" t="s">
        <v>631</v>
      </c>
      <c r="AH26" s="194" t="s">
        <v>632</v>
      </c>
      <c r="AI26" s="195" t="s">
        <v>633</v>
      </c>
      <c r="AJ26" s="198" t="s">
        <v>634</v>
      </c>
    </row>
    <row r="27" spans="2:36" ht="14.5" thickBot="1">
      <c r="M27" s="126"/>
    </row>
    <row r="28" spans="2:36" ht="14.5" thickBot="1">
      <c r="B28" s="131" t="s">
        <v>635</v>
      </c>
      <c r="C28" s="132" t="s">
        <v>636</v>
      </c>
      <c r="D28" s="132"/>
      <c r="E28" s="133" t="s">
        <v>49</v>
      </c>
      <c r="F28" s="134">
        <v>3</v>
      </c>
      <c r="G28" s="743">
        <f xml:space="preserve"> G19 + G26</f>
        <v>-29.970000000000006</v>
      </c>
      <c r="H28" s="744">
        <f xml:space="preserve"> H19 + H26</f>
        <v>0</v>
      </c>
      <c r="I28" s="745">
        <f xml:space="preserve"> I19 + I26</f>
        <v>0.17499999999999996</v>
      </c>
      <c r="J28" s="247">
        <f t="shared" si="5"/>
        <v>-0.17499999999999996</v>
      </c>
      <c r="K28" s="490">
        <f t="shared" si="6"/>
        <v>-30.145000000000007</v>
      </c>
      <c r="M28" s="126"/>
      <c r="O28" s="119"/>
      <c r="S28" s="119"/>
      <c r="AA28" s="131" t="s">
        <v>635</v>
      </c>
      <c r="AB28" s="132" t="s">
        <v>636</v>
      </c>
      <c r="AC28" s="132"/>
      <c r="AD28" s="133" t="s">
        <v>49</v>
      </c>
      <c r="AE28" s="134">
        <v>3</v>
      </c>
      <c r="AF28" s="743" t="s">
        <v>637</v>
      </c>
      <c r="AG28" s="744" t="s">
        <v>638</v>
      </c>
      <c r="AH28" s="745" t="s">
        <v>639</v>
      </c>
      <c r="AI28" s="247" t="s">
        <v>640</v>
      </c>
      <c r="AJ28" s="490" t="s">
        <v>641</v>
      </c>
    </row>
    <row r="29" spans="2:36" ht="14.5" thickBot="1">
      <c r="M29" s="126"/>
      <c r="O29" s="119"/>
      <c r="S29" s="119"/>
    </row>
    <row r="30" spans="2:36" ht="14.5" thickBot="1">
      <c r="B30" s="2865" t="s">
        <v>390</v>
      </c>
      <c r="C30" s="83" t="s">
        <v>642</v>
      </c>
      <c r="D30" s="1473"/>
      <c r="M30" s="126"/>
      <c r="O30" s="119"/>
      <c r="S30" s="119"/>
      <c r="AA30" s="2865" t="s">
        <v>390</v>
      </c>
      <c r="AB30" s="83" t="s">
        <v>642</v>
      </c>
      <c r="AC30" s="1473"/>
    </row>
    <row r="31" spans="2:36">
      <c r="B31" s="86" t="s">
        <v>643</v>
      </c>
      <c r="C31" s="117" t="s">
        <v>644</v>
      </c>
      <c r="D31" s="117"/>
      <c r="E31" s="88" t="s">
        <v>49</v>
      </c>
      <c r="F31" s="215">
        <v>3</v>
      </c>
      <c r="G31" s="428">
        <v>-6.2670000000000003</v>
      </c>
      <c r="H31" s="414">
        <v>0</v>
      </c>
      <c r="I31" s="425">
        <v>-0.17499999999999999</v>
      </c>
      <c r="J31" s="190">
        <f xml:space="preserve"> H31 - I31</f>
        <v>0.17499999999999999</v>
      </c>
      <c r="K31" s="199">
        <f xml:space="preserve"> G31 + J31</f>
        <v>-6.0920000000000005</v>
      </c>
      <c r="M31" s="24">
        <f t="shared" ref="M31:M33" si="8" xml:space="preserve"> IF( SUM( O31:S31 ) = 0, 0, $P$6 )</f>
        <v>0</v>
      </c>
      <c r="O31" s="119"/>
      <c r="P31" s="93">
        <f t="shared" si="2"/>
        <v>0</v>
      </c>
      <c r="Q31" s="93">
        <f t="shared" si="2"/>
        <v>0</v>
      </c>
      <c r="R31" s="93">
        <f t="shared" si="2"/>
        <v>0</v>
      </c>
      <c r="S31" s="119"/>
      <c r="AA31" s="86" t="s">
        <v>643</v>
      </c>
      <c r="AB31" s="117" t="s">
        <v>644</v>
      </c>
      <c r="AC31" s="117"/>
      <c r="AD31" s="88" t="s">
        <v>49</v>
      </c>
      <c r="AE31" s="215">
        <v>3</v>
      </c>
      <c r="AF31" s="2400" t="s">
        <v>645</v>
      </c>
      <c r="AG31" s="2380" t="s">
        <v>646</v>
      </c>
      <c r="AH31" s="2381" t="s">
        <v>647</v>
      </c>
      <c r="AI31" s="190" t="s">
        <v>648</v>
      </c>
      <c r="AJ31" s="199" t="s">
        <v>649</v>
      </c>
    </row>
    <row r="32" spans="2:36">
      <c r="B32" s="170" t="s">
        <v>650</v>
      </c>
      <c r="C32" s="171" t="s">
        <v>651</v>
      </c>
      <c r="D32" s="171"/>
      <c r="E32" s="167" t="s">
        <v>49</v>
      </c>
      <c r="F32" s="396">
        <v>3</v>
      </c>
      <c r="G32" s="468">
        <v>29.28</v>
      </c>
      <c r="H32" s="469">
        <v>0</v>
      </c>
      <c r="I32" s="470">
        <v>0</v>
      </c>
      <c r="J32" s="397">
        <f xml:space="preserve"> H32 - I32</f>
        <v>0</v>
      </c>
      <c r="K32" s="398">
        <f xml:space="preserve"> G32 + J32</f>
        <v>29.28</v>
      </c>
      <c r="M32" s="24">
        <f t="shared" si="8"/>
        <v>0</v>
      </c>
      <c r="O32" s="119"/>
      <c r="P32" s="93">
        <f t="shared" si="2"/>
        <v>0</v>
      </c>
      <c r="Q32" s="93">
        <f t="shared" si="2"/>
        <v>0</v>
      </c>
      <c r="R32" s="93">
        <f t="shared" si="2"/>
        <v>0</v>
      </c>
      <c r="S32" s="119"/>
      <c r="AA32" s="170" t="s">
        <v>650</v>
      </c>
      <c r="AB32" s="171" t="s">
        <v>651</v>
      </c>
      <c r="AC32" s="171"/>
      <c r="AD32" s="167" t="s">
        <v>49</v>
      </c>
      <c r="AE32" s="396">
        <v>3</v>
      </c>
      <c r="AF32" s="2401" t="s">
        <v>652</v>
      </c>
      <c r="AG32" s="2402" t="s">
        <v>653</v>
      </c>
      <c r="AH32" s="2403" t="s">
        <v>654</v>
      </c>
      <c r="AI32" s="397" t="s">
        <v>655</v>
      </c>
      <c r="AJ32" s="398" t="s">
        <v>656</v>
      </c>
    </row>
    <row r="33" spans="1:36">
      <c r="B33" s="170" t="s">
        <v>657</v>
      </c>
      <c r="C33" s="171" t="s">
        <v>658</v>
      </c>
      <c r="D33" s="171"/>
      <c r="E33" s="167" t="s">
        <v>49</v>
      </c>
      <c r="F33" s="396">
        <v>3</v>
      </c>
      <c r="G33" s="468">
        <v>0</v>
      </c>
      <c r="H33" s="469">
        <v>0</v>
      </c>
      <c r="I33" s="470">
        <v>0</v>
      </c>
      <c r="J33" s="397">
        <f xml:space="preserve"> H33 - I33</f>
        <v>0</v>
      </c>
      <c r="K33" s="398">
        <f xml:space="preserve"> G33 + J33</f>
        <v>0</v>
      </c>
      <c r="M33" s="24">
        <f t="shared" si="8"/>
        <v>0</v>
      </c>
      <c r="O33" s="119"/>
      <c r="P33" s="93">
        <f t="shared" si="2"/>
        <v>0</v>
      </c>
      <c r="Q33" s="93">
        <f t="shared" si="2"/>
        <v>0</v>
      </c>
      <c r="R33" s="93">
        <f t="shared" si="2"/>
        <v>0</v>
      </c>
      <c r="S33" s="119"/>
      <c r="AA33" s="170" t="s">
        <v>657</v>
      </c>
      <c r="AB33" s="171" t="s">
        <v>658</v>
      </c>
      <c r="AC33" s="171"/>
      <c r="AD33" s="167" t="s">
        <v>49</v>
      </c>
      <c r="AE33" s="396">
        <v>3</v>
      </c>
      <c r="AF33" s="2401" t="s">
        <v>659</v>
      </c>
      <c r="AG33" s="2402" t="s">
        <v>660</v>
      </c>
      <c r="AH33" s="2403" t="s">
        <v>661</v>
      </c>
      <c r="AI33" s="397" t="s">
        <v>662</v>
      </c>
      <c r="AJ33" s="398" t="s">
        <v>663</v>
      </c>
    </row>
    <row r="34" spans="1:36" ht="14.5" thickBot="1">
      <c r="B34" s="101" t="s">
        <v>664</v>
      </c>
      <c r="C34" s="102" t="s">
        <v>665</v>
      </c>
      <c r="D34" s="102"/>
      <c r="E34" s="103" t="s">
        <v>49</v>
      </c>
      <c r="F34" s="100">
        <v>3</v>
      </c>
      <c r="G34" s="195">
        <f xml:space="preserve"> SUM( G31:G33 )</f>
        <v>23.013000000000002</v>
      </c>
      <c r="H34" s="193">
        <f xml:space="preserve"> SUM( H31:H33 )</f>
        <v>0</v>
      </c>
      <c r="I34" s="194">
        <f xml:space="preserve"> SUM( I31:I33 )</f>
        <v>-0.17499999999999999</v>
      </c>
      <c r="J34" s="195">
        <f xml:space="preserve"> H34 - I34</f>
        <v>0.17499999999999999</v>
      </c>
      <c r="K34" s="198">
        <f xml:space="preserve"> G34 + J34</f>
        <v>23.188000000000002</v>
      </c>
      <c r="M34" s="126"/>
      <c r="O34" s="119"/>
      <c r="S34" s="119"/>
      <c r="AA34" s="101" t="s">
        <v>664</v>
      </c>
      <c r="AB34" s="102" t="s">
        <v>665</v>
      </c>
      <c r="AC34" s="102"/>
      <c r="AD34" s="103" t="s">
        <v>49</v>
      </c>
      <c r="AE34" s="100">
        <v>3</v>
      </c>
      <c r="AF34" s="195" t="s">
        <v>666</v>
      </c>
      <c r="AG34" s="193" t="s">
        <v>667</v>
      </c>
      <c r="AH34" s="194" t="s">
        <v>668</v>
      </c>
      <c r="AI34" s="195" t="s">
        <v>669</v>
      </c>
      <c r="AJ34" s="198" t="s">
        <v>670</v>
      </c>
    </row>
    <row r="35" spans="1:36" ht="14.5" thickBot="1">
      <c r="M35" s="126"/>
    </row>
    <row r="36" spans="1:36" ht="14.5" thickBot="1">
      <c r="B36" s="131" t="s">
        <v>671</v>
      </c>
      <c r="C36" s="132" t="s">
        <v>672</v>
      </c>
      <c r="D36" s="132"/>
      <c r="E36" s="133" t="s">
        <v>49</v>
      </c>
      <c r="F36" s="134">
        <v>3</v>
      </c>
      <c r="G36" s="743">
        <f xml:space="preserve"> G28 + G34</f>
        <v>-6.9570000000000043</v>
      </c>
      <c r="H36" s="744">
        <f xml:space="preserve"> H28 + H34</f>
        <v>0</v>
      </c>
      <c r="I36" s="745">
        <f xml:space="preserve"> I28 + I34</f>
        <v>0</v>
      </c>
      <c r="J36" s="247">
        <f xml:space="preserve"> H36 - I36</f>
        <v>0</v>
      </c>
      <c r="K36" s="490">
        <f xml:space="preserve"> G36 + J36</f>
        <v>-6.9570000000000043</v>
      </c>
      <c r="M36" s="126"/>
      <c r="O36" s="119"/>
      <c r="S36" s="119"/>
      <c r="AA36" s="131" t="s">
        <v>671</v>
      </c>
      <c r="AB36" s="132" t="s">
        <v>672</v>
      </c>
      <c r="AC36" s="132"/>
      <c r="AD36" s="133" t="s">
        <v>49</v>
      </c>
      <c r="AE36" s="134">
        <v>3</v>
      </c>
      <c r="AF36" s="743" t="s">
        <v>673</v>
      </c>
      <c r="AG36" s="744" t="s">
        <v>674</v>
      </c>
      <c r="AH36" s="745" t="s">
        <v>675</v>
      </c>
      <c r="AI36" s="247" t="s">
        <v>676</v>
      </c>
      <c r="AJ36" s="490" t="s">
        <v>677</v>
      </c>
    </row>
    <row r="37" spans="1:36" s="110" customFormat="1">
      <c r="C37" s="152"/>
      <c r="D37" s="152"/>
      <c r="H37" s="163"/>
      <c r="J37" s="118"/>
      <c r="K37" s="118"/>
      <c r="L37" s="118"/>
      <c r="M37" s="126"/>
      <c r="N37" s="118"/>
      <c r="O37" s="124"/>
      <c r="P37" s="120"/>
      <c r="Q37" s="118"/>
      <c r="R37" s="280"/>
      <c r="S37" s="124"/>
      <c r="AB37" s="152"/>
      <c r="AC37" s="152"/>
      <c r="AG37" s="163"/>
      <c r="AI37" s="118"/>
      <c r="AJ37" s="118"/>
    </row>
    <row r="38" spans="1:36" s="163" customFormat="1" ht="13.5">
      <c r="B38" s="2914" t="s">
        <v>241</v>
      </c>
      <c r="C38" s="2914"/>
      <c r="D38" s="2823"/>
      <c r="J38" s="126"/>
      <c r="K38" s="126"/>
      <c r="L38" s="126"/>
      <c r="M38" s="126"/>
      <c r="N38" s="126"/>
      <c r="O38" s="124"/>
      <c r="P38" s="126"/>
      <c r="Q38" s="126"/>
      <c r="R38" s="203"/>
      <c r="S38" s="124"/>
    </row>
    <row r="39" spans="1:36" s="163" customFormat="1" ht="11.5">
      <c r="B39" s="141"/>
      <c r="C39" s="142"/>
      <c r="D39" s="142"/>
      <c r="J39" s="126"/>
      <c r="K39" s="126"/>
      <c r="L39" s="126"/>
      <c r="M39" s="126"/>
      <c r="N39" s="126"/>
      <c r="O39" s="124"/>
      <c r="P39" s="126"/>
      <c r="Q39" s="126"/>
      <c r="R39" s="203"/>
      <c r="S39" s="124"/>
    </row>
    <row r="40" spans="1:36" s="163" customFormat="1" ht="11.5">
      <c r="B40" s="25"/>
      <c r="C40" s="143" t="s">
        <v>188</v>
      </c>
      <c r="D40" s="143"/>
      <c r="J40" s="126"/>
      <c r="K40" s="126"/>
      <c r="L40" s="126"/>
      <c r="M40" s="126"/>
      <c r="N40" s="126"/>
      <c r="O40" s="124"/>
      <c r="P40" s="126"/>
      <c r="Q40" s="126"/>
      <c r="R40" s="203"/>
      <c r="S40" s="124"/>
    </row>
    <row r="41" spans="1:36" s="163" customFormat="1" ht="11.5">
      <c r="B41" s="141"/>
      <c r="C41" s="142"/>
      <c r="D41" s="142"/>
      <c r="J41" s="126"/>
      <c r="K41" s="126"/>
      <c r="L41" s="126"/>
      <c r="M41" s="126"/>
      <c r="N41" s="126"/>
      <c r="O41" s="124"/>
      <c r="P41" s="126"/>
      <c r="Q41" s="126"/>
      <c r="R41" s="203"/>
      <c r="S41" s="124"/>
    </row>
    <row r="42" spans="1:36" s="163" customFormat="1" ht="11.5">
      <c r="B42" s="144"/>
      <c r="C42" s="143" t="s">
        <v>189</v>
      </c>
      <c r="D42" s="143"/>
      <c r="J42" s="126"/>
      <c r="K42" s="126"/>
      <c r="L42" s="126"/>
      <c r="M42" s="126"/>
      <c r="N42" s="126"/>
      <c r="O42" s="124"/>
      <c r="P42" s="126"/>
      <c r="Q42" s="126"/>
      <c r="R42" s="203"/>
      <c r="S42" s="124"/>
    </row>
    <row r="43" spans="1:36" s="163" customFormat="1" ht="11.5">
      <c r="B43" s="145"/>
      <c r="C43" s="143"/>
      <c r="D43" s="143"/>
      <c r="J43" s="126"/>
      <c r="K43" s="126"/>
      <c r="L43" s="126"/>
      <c r="M43" s="126"/>
      <c r="N43" s="126"/>
      <c r="O43" s="124"/>
      <c r="P43" s="126"/>
      <c r="Q43" s="126"/>
      <c r="R43" s="203"/>
      <c r="S43" s="124"/>
    </row>
    <row r="44" spans="1:36" s="178" customFormat="1" ht="14.5" thickBot="1">
      <c r="C44" s="179"/>
      <c r="D44" s="179"/>
      <c r="J44" s="130"/>
      <c r="K44" s="130"/>
      <c r="L44" s="130"/>
      <c r="M44" s="126"/>
      <c r="N44" s="126"/>
      <c r="O44" s="71"/>
      <c r="P44" s="126"/>
      <c r="Q44" s="126"/>
      <c r="R44" s="302"/>
      <c r="S44" s="71"/>
    </row>
    <row r="45" spans="1:36" s="178" customFormat="1" ht="20.5" thickBot="1">
      <c r="B45" s="2886" t="str">
        <f>'1C'!B59</f>
        <v>Please refer to RAG 4.08 - Guideline for the table definitions in the annual performance report for the reporting year 2019-20</v>
      </c>
      <c r="C45" s="147"/>
      <c r="D45" s="147"/>
      <c r="E45" s="148"/>
      <c r="F45" s="148"/>
      <c r="G45" s="148"/>
      <c r="H45" s="148"/>
      <c r="I45" s="148"/>
      <c r="J45" s="148"/>
      <c r="K45" s="154"/>
      <c r="L45" s="130"/>
      <c r="M45" s="126"/>
      <c r="N45" s="126"/>
      <c r="O45" s="71"/>
      <c r="P45" s="126"/>
      <c r="Q45" s="126"/>
      <c r="R45" s="302"/>
      <c r="S45" s="71"/>
    </row>
    <row r="46" spans="1:36" s="178" customFormat="1">
      <c r="C46" s="179"/>
      <c r="D46" s="179"/>
      <c r="J46" s="130"/>
      <c r="K46" s="130"/>
      <c r="L46" s="130"/>
      <c r="M46" s="126"/>
      <c r="N46" s="126"/>
      <c r="O46" s="71"/>
      <c r="P46" s="126"/>
      <c r="Q46" s="126"/>
      <c r="R46" s="302"/>
      <c r="S46" s="71"/>
    </row>
    <row r="47" spans="1:36" s="110" customFormat="1" ht="20.5" hidden="1" thickBot="1">
      <c r="A47" s="1528"/>
      <c r="B47" s="146" t="str">
        <f ca="1" xml:space="preserve"> RIGHT(CELL("filename", $A$1), LEN(CELL("filename", $A$1)) - SEARCH("]", CELL("filename", $A$1)))&amp;" - Line definitions"</f>
        <v>1D - Line definitions</v>
      </c>
      <c r="C47" s="147"/>
      <c r="D47" s="147"/>
      <c r="E47" s="148"/>
      <c r="F47" s="148"/>
      <c r="G47" s="148"/>
      <c r="H47" s="148"/>
      <c r="I47" s="148"/>
      <c r="J47" s="148"/>
      <c r="K47" s="154"/>
      <c r="L47" s="118"/>
      <c r="M47" s="120"/>
      <c r="N47" s="118"/>
      <c r="O47" s="71"/>
      <c r="P47" s="120"/>
      <c r="Q47" s="118"/>
      <c r="R47" s="280"/>
      <c r="S47" s="71"/>
    </row>
    <row r="48" spans="1:36" s="110" customFormat="1" ht="14.5" hidden="1" thickBot="1">
      <c r="A48" s="1528"/>
      <c r="B48" s="74"/>
      <c r="C48" s="155"/>
      <c r="D48" s="155"/>
      <c r="E48" s="74"/>
      <c r="F48" s="74"/>
      <c r="G48" s="74"/>
      <c r="J48" s="118"/>
      <c r="K48" s="118"/>
      <c r="L48" s="118"/>
      <c r="M48" s="120"/>
      <c r="N48" s="118"/>
      <c r="O48" s="71"/>
      <c r="P48" s="120"/>
      <c r="Q48" s="118"/>
      <c r="R48" s="280"/>
      <c r="S48" s="71"/>
    </row>
    <row r="49" spans="1:19" s="178" customFormat="1" ht="14.5" hidden="1" thickBot="1">
      <c r="A49" s="1529"/>
      <c r="B49" s="367" t="s">
        <v>191</v>
      </c>
      <c r="C49" s="368" t="s">
        <v>192</v>
      </c>
      <c r="D49" s="369"/>
      <c r="E49" s="369"/>
      <c r="F49" s="369"/>
      <c r="G49" s="369"/>
      <c r="H49" s="369"/>
      <c r="I49" s="369"/>
      <c r="J49" s="369"/>
      <c r="K49" s="370"/>
      <c r="L49" s="346"/>
      <c r="M49" s="130"/>
      <c r="N49" s="118"/>
      <c r="O49" s="71"/>
      <c r="P49" s="85" t="s">
        <v>193</v>
      </c>
      <c r="Q49" s="118"/>
      <c r="R49" s="280"/>
      <c r="S49" s="71"/>
    </row>
    <row r="50" spans="1:19" s="110" customFormat="1" ht="13.5" hidden="1" customHeight="1">
      <c r="A50" s="1528"/>
      <c r="B50" s="181" t="str">
        <f t="shared" ref="B50:B58" si="9">B7</f>
        <v>1D.1</v>
      </c>
      <c r="C50" s="2910" t="s">
        <v>678</v>
      </c>
      <c r="D50" s="2910"/>
      <c r="E50" s="2910"/>
      <c r="F50" s="2910"/>
      <c r="G50" s="2910"/>
      <c r="H50" s="2910"/>
      <c r="I50" s="2910"/>
      <c r="J50" s="2910"/>
      <c r="K50" s="2911"/>
      <c r="L50" s="348"/>
      <c r="M50" s="120"/>
      <c r="N50" s="118"/>
      <c r="O50" s="71"/>
      <c r="P50" s="158">
        <v>1</v>
      </c>
      <c r="Q50" s="118"/>
      <c r="R50" s="178"/>
      <c r="S50" s="71"/>
    </row>
    <row r="51" spans="1:19" s="110" customFormat="1" hidden="1">
      <c r="A51" s="1528"/>
      <c r="B51" s="159" t="str">
        <f t="shared" si="9"/>
        <v>1D.2</v>
      </c>
      <c r="C51" s="2892" t="s">
        <v>679</v>
      </c>
      <c r="D51" s="2892"/>
      <c r="E51" s="2892"/>
      <c r="F51" s="2892"/>
      <c r="G51" s="2892"/>
      <c r="H51" s="2892"/>
      <c r="I51" s="2892"/>
      <c r="J51" s="2892"/>
      <c r="K51" s="2893"/>
      <c r="L51" s="348"/>
      <c r="O51" s="71"/>
      <c r="P51" s="202">
        <v>1</v>
      </c>
      <c r="Q51" s="118"/>
      <c r="R51" s="280"/>
      <c r="S51" s="71"/>
    </row>
    <row r="52" spans="1:19" s="110" customFormat="1" ht="13.5" hidden="1" customHeight="1">
      <c r="A52" s="1528"/>
      <c r="B52" s="159" t="str">
        <f t="shared" si="9"/>
        <v>1D.3</v>
      </c>
      <c r="C52" s="2892" t="s">
        <v>680</v>
      </c>
      <c r="D52" s="2892"/>
      <c r="E52" s="2892"/>
      <c r="F52" s="2892"/>
      <c r="G52" s="2892"/>
      <c r="H52" s="2892"/>
      <c r="I52" s="2892"/>
      <c r="J52" s="2892"/>
      <c r="K52" s="2893"/>
      <c r="L52" s="348"/>
      <c r="O52" s="71"/>
      <c r="P52" s="253">
        <v>1</v>
      </c>
      <c r="S52" s="71"/>
    </row>
    <row r="53" spans="1:19" s="120" customFormat="1" ht="13.5" hidden="1" customHeight="1">
      <c r="A53" s="1530"/>
      <c r="B53" s="159" t="str">
        <f t="shared" si="9"/>
        <v>1D.4</v>
      </c>
      <c r="C53" s="2892" t="s">
        <v>681</v>
      </c>
      <c r="D53" s="2892"/>
      <c r="E53" s="2892"/>
      <c r="F53" s="2892"/>
      <c r="G53" s="2892"/>
      <c r="H53" s="2892"/>
      <c r="I53" s="2892"/>
      <c r="J53" s="2892"/>
      <c r="K53" s="2893"/>
      <c r="L53" s="348"/>
      <c r="O53" s="71"/>
      <c r="P53" s="253">
        <v>1</v>
      </c>
      <c r="S53" s="71"/>
    </row>
    <row r="54" spans="1:19" s="120" customFormat="1" hidden="1">
      <c r="A54" s="1530"/>
      <c r="B54" s="159" t="str">
        <f t="shared" si="9"/>
        <v>1D.5</v>
      </c>
      <c r="C54" s="2892" t="s">
        <v>682</v>
      </c>
      <c r="D54" s="2892"/>
      <c r="E54" s="2892"/>
      <c r="F54" s="2892"/>
      <c r="G54" s="2892"/>
      <c r="H54" s="2892"/>
      <c r="I54" s="2892"/>
      <c r="J54" s="2892"/>
      <c r="K54" s="2893"/>
      <c r="L54" s="348"/>
      <c r="O54" s="71"/>
      <c r="P54" s="253">
        <v>1</v>
      </c>
      <c r="S54" s="71"/>
    </row>
    <row r="55" spans="1:19" s="120" customFormat="1" ht="13.5" hidden="1" customHeight="1">
      <c r="A55" s="1530"/>
      <c r="B55" s="159" t="str">
        <f t="shared" si="9"/>
        <v>1D.6</v>
      </c>
      <c r="C55" s="2892" t="s">
        <v>683</v>
      </c>
      <c r="D55" s="2892"/>
      <c r="E55" s="2892"/>
      <c r="F55" s="2892"/>
      <c r="G55" s="2892"/>
      <c r="H55" s="2892"/>
      <c r="I55" s="2892"/>
      <c r="J55" s="2892"/>
      <c r="K55" s="2893"/>
      <c r="L55" s="348"/>
      <c r="O55" s="71"/>
      <c r="P55" s="253">
        <v>1</v>
      </c>
      <c r="S55" s="71"/>
    </row>
    <row r="56" spans="1:19" ht="13.5" hidden="1" customHeight="1">
      <c r="A56" s="1531"/>
      <c r="B56" s="159" t="str">
        <f t="shared" si="9"/>
        <v>1D.7</v>
      </c>
      <c r="C56" s="2892" t="s">
        <v>684</v>
      </c>
      <c r="D56" s="2892"/>
      <c r="E56" s="2892"/>
      <c r="F56" s="2892"/>
      <c r="G56" s="2892"/>
      <c r="H56" s="2892"/>
      <c r="I56" s="2892"/>
      <c r="J56" s="2892"/>
      <c r="K56" s="2893"/>
      <c r="L56" s="348"/>
      <c r="P56" s="253">
        <v>1</v>
      </c>
    </row>
    <row r="57" spans="1:19" ht="13.5" hidden="1" customHeight="1">
      <c r="A57" s="1531"/>
      <c r="B57" s="159" t="str">
        <f t="shared" si="9"/>
        <v>1D.8</v>
      </c>
      <c r="C57" s="2892" t="s">
        <v>685</v>
      </c>
      <c r="D57" s="2892"/>
      <c r="E57" s="2892"/>
      <c r="F57" s="2892"/>
      <c r="G57" s="2892"/>
      <c r="H57" s="2892"/>
      <c r="I57" s="2892"/>
      <c r="J57" s="2892"/>
      <c r="K57" s="2893"/>
      <c r="L57" s="348"/>
      <c r="P57" s="158">
        <v>1</v>
      </c>
    </row>
    <row r="58" spans="1:19" ht="13.5" hidden="1" customHeight="1">
      <c r="A58" s="1531"/>
      <c r="B58" s="159" t="str">
        <f t="shared" si="9"/>
        <v>1D.9</v>
      </c>
      <c r="C58" s="2892" t="s">
        <v>686</v>
      </c>
      <c r="D58" s="2892"/>
      <c r="E58" s="2892"/>
      <c r="F58" s="2892"/>
      <c r="G58" s="2892"/>
      <c r="H58" s="2892"/>
      <c r="I58" s="2892"/>
      <c r="J58" s="2892"/>
      <c r="K58" s="2893"/>
      <c r="L58" s="348"/>
      <c r="P58" s="158">
        <v>1</v>
      </c>
    </row>
    <row r="59" spans="1:19" ht="13.5" hidden="1" customHeight="1">
      <c r="A59" s="1531"/>
      <c r="B59" s="159" t="str">
        <f>B17</f>
        <v>1D.10</v>
      </c>
      <c r="C59" s="2892" t="s">
        <v>687</v>
      </c>
      <c r="D59" s="2892"/>
      <c r="E59" s="2892"/>
      <c r="F59" s="2892"/>
      <c r="G59" s="2892"/>
      <c r="H59" s="2892"/>
      <c r="I59" s="2892"/>
      <c r="J59" s="2892"/>
      <c r="K59" s="2893"/>
      <c r="L59" s="348"/>
      <c r="P59" s="158">
        <v>1</v>
      </c>
    </row>
    <row r="60" spans="1:19" ht="23.25" hidden="1" customHeight="1">
      <c r="A60" s="1531"/>
      <c r="B60" s="159" t="str">
        <f>B18</f>
        <v>1D.11</v>
      </c>
      <c r="C60" s="2892" t="s">
        <v>688</v>
      </c>
      <c r="D60" s="2892"/>
      <c r="E60" s="2892"/>
      <c r="F60" s="2892"/>
      <c r="G60" s="2892"/>
      <c r="H60" s="2892"/>
      <c r="I60" s="2892"/>
      <c r="J60" s="2892"/>
      <c r="K60" s="2893"/>
      <c r="L60" s="348"/>
      <c r="P60" s="161" t="s">
        <v>195</v>
      </c>
    </row>
    <row r="61" spans="1:19" hidden="1">
      <c r="A61" s="1531"/>
      <c r="B61" s="159" t="str">
        <f>B19</f>
        <v>1D.12</v>
      </c>
      <c r="C61" s="2892" t="s">
        <v>689</v>
      </c>
      <c r="D61" s="2892"/>
      <c r="E61" s="2892"/>
      <c r="F61" s="2892"/>
      <c r="G61" s="2892"/>
      <c r="H61" s="2892"/>
      <c r="I61" s="2892"/>
      <c r="J61" s="2892"/>
      <c r="K61" s="2893"/>
      <c r="L61" s="348"/>
      <c r="P61" s="158">
        <v>1</v>
      </c>
    </row>
    <row r="62" spans="1:19" ht="13.5" hidden="1" customHeight="1">
      <c r="A62" s="1531"/>
      <c r="B62" s="159" t="str">
        <f>B22</f>
        <v>1D.13</v>
      </c>
      <c r="C62" s="2892" t="s">
        <v>690</v>
      </c>
      <c r="D62" s="2892"/>
      <c r="E62" s="2892"/>
      <c r="F62" s="2892"/>
      <c r="G62" s="2892"/>
      <c r="H62" s="2892"/>
      <c r="I62" s="2892"/>
      <c r="J62" s="2892"/>
      <c r="K62" s="2893"/>
      <c r="L62" s="348"/>
      <c r="P62" s="158">
        <v>1</v>
      </c>
    </row>
    <row r="63" spans="1:19" ht="23.25" hidden="1" customHeight="1">
      <c r="A63" s="1531"/>
      <c r="B63" s="159" t="str">
        <f>B23</f>
        <v>1D.14</v>
      </c>
      <c r="C63" s="2892" t="s">
        <v>691</v>
      </c>
      <c r="D63" s="2892"/>
      <c r="E63" s="2892"/>
      <c r="F63" s="2892"/>
      <c r="G63" s="2892"/>
      <c r="H63" s="2892"/>
      <c r="I63" s="2892"/>
      <c r="J63" s="2892"/>
      <c r="K63" s="2893"/>
      <c r="L63" s="348"/>
      <c r="P63" s="161" t="s">
        <v>195</v>
      </c>
    </row>
    <row r="64" spans="1:19" ht="13.5" hidden="1" customHeight="1">
      <c r="A64" s="1531"/>
      <c r="B64" s="159" t="str">
        <f>B24</f>
        <v>1D.15</v>
      </c>
      <c r="C64" s="2892" t="s">
        <v>692</v>
      </c>
      <c r="D64" s="2892"/>
      <c r="E64" s="2892"/>
      <c r="F64" s="2892"/>
      <c r="G64" s="2892"/>
      <c r="H64" s="2892"/>
      <c r="I64" s="2892"/>
      <c r="J64" s="2892"/>
      <c r="K64" s="2893"/>
      <c r="L64" s="348"/>
      <c r="P64" s="158">
        <v>1</v>
      </c>
    </row>
    <row r="65" spans="1:16" ht="13.5" hidden="1" customHeight="1">
      <c r="A65" s="1531"/>
      <c r="B65" s="159" t="str">
        <f>B25</f>
        <v>1D.16</v>
      </c>
      <c r="C65" s="2892" t="s">
        <v>693</v>
      </c>
      <c r="D65" s="2892"/>
      <c r="E65" s="2892"/>
      <c r="F65" s="2892"/>
      <c r="G65" s="2892"/>
      <c r="H65" s="2892"/>
      <c r="I65" s="2892"/>
      <c r="J65" s="2892"/>
      <c r="K65" s="2893"/>
      <c r="L65" s="348"/>
      <c r="P65" s="158">
        <v>1</v>
      </c>
    </row>
    <row r="66" spans="1:16" ht="23.25" hidden="1" customHeight="1">
      <c r="A66" s="1531"/>
      <c r="B66" s="159" t="str">
        <f>B26</f>
        <v>1D.17</v>
      </c>
      <c r="C66" s="2892" t="s">
        <v>694</v>
      </c>
      <c r="D66" s="2892"/>
      <c r="E66" s="2892"/>
      <c r="F66" s="2892"/>
      <c r="G66" s="2892"/>
      <c r="H66" s="2892"/>
      <c r="I66" s="2892"/>
      <c r="J66" s="2892"/>
      <c r="K66" s="2893"/>
      <c r="L66" s="348"/>
      <c r="P66" s="161" t="s">
        <v>195</v>
      </c>
    </row>
    <row r="67" spans="1:16" hidden="1">
      <c r="A67" s="1531"/>
      <c r="B67" s="159" t="str">
        <f t="shared" ref="B67" si="10">B28</f>
        <v>1D.18</v>
      </c>
      <c r="C67" s="2892" t="s">
        <v>695</v>
      </c>
      <c r="D67" s="2892"/>
      <c r="E67" s="2892"/>
      <c r="F67" s="2892"/>
      <c r="G67" s="2892"/>
      <c r="H67" s="2892"/>
      <c r="I67" s="2892"/>
      <c r="J67" s="2892"/>
      <c r="K67" s="2893"/>
      <c r="L67" s="348"/>
      <c r="P67" s="158">
        <v>1</v>
      </c>
    </row>
    <row r="68" spans="1:16" ht="13.5" hidden="1" customHeight="1">
      <c r="A68" s="1531"/>
      <c r="B68" s="159" t="str">
        <f>B31</f>
        <v>1D.19</v>
      </c>
      <c r="C68" s="2892" t="s">
        <v>696</v>
      </c>
      <c r="D68" s="2892"/>
      <c r="E68" s="2892"/>
      <c r="F68" s="2892"/>
      <c r="G68" s="2892"/>
      <c r="H68" s="2892"/>
      <c r="I68" s="2892"/>
      <c r="J68" s="2892"/>
      <c r="K68" s="2893"/>
      <c r="L68" s="348"/>
      <c r="P68" s="158">
        <v>1</v>
      </c>
    </row>
    <row r="69" spans="1:16" ht="13.5" hidden="1" customHeight="1">
      <c r="A69" s="1531"/>
      <c r="B69" s="159" t="str">
        <f>B32</f>
        <v>1D.20</v>
      </c>
      <c r="C69" s="2892" t="s">
        <v>697</v>
      </c>
      <c r="D69" s="2892"/>
      <c r="E69" s="2892"/>
      <c r="F69" s="2892"/>
      <c r="G69" s="2892"/>
      <c r="H69" s="2892"/>
      <c r="I69" s="2892"/>
      <c r="J69" s="2892"/>
      <c r="K69" s="2893"/>
      <c r="L69" s="348"/>
      <c r="P69" s="161">
        <v>1</v>
      </c>
    </row>
    <row r="70" spans="1:16" ht="15" hidden="1" customHeight="1">
      <c r="A70" s="1531"/>
      <c r="B70" s="159" t="str">
        <f>B33</f>
        <v>1D.21</v>
      </c>
      <c r="C70" s="2892" t="s">
        <v>698</v>
      </c>
      <c r="D70" s="2892"/>
      <c r="E70" s="2892"/>
      <c r="F70" s="2892"/>
      <c r="G70" s="2892"/>
      <c r="H70" s="2892"/>
      <c r="I70" s="2892"/>
      <c r="J70" s="2892"/>
      <c r="K70" s="2893"/>
      <c r="L70" s="348"/>
      <c r="P70" s="158">
        <v>1</v>
      </c>
    </row>
    <row r="71" spans="1:16" ht="13.5" hidden="1" customHeight="1">
      <c r="A71" s="1531"/>
      <c r="B71" s="400" t="str">
        <f>B34</f>
        <v>1D.22</v>
      </c>
      <c r="C71" s="2892" t="s">
        <v>699</v>
      </c>
      <c r="D71" s="2892"/>
      <c r="E71" s="2892"/>
      <c r="F71" s="2892"/>
      <c r="G71" s="2892"/>
      <c r="H71" s="2892"/>
      <c r="I71" s="2892"/>
      <c r="J71" s="2892"/>
      <c r="K71" s="2893"/>
      <c r="P71" s="158">
        <v>1</v>
      </c>
    </row>
    <row r="72" spans="1:16" ht="14.5" hidden="1" thickBot="1">
      <c r="A72" s="1531"/>
      <c r="B72" s="160" t="str">
        <f>B36</f>
        <v>1D.23</v>
      </c>
      <c r="C72" s="2915" t="s">
        <v>700</v>
      </c>
      <c r="D72" s="2916"/>
      <c r="E72" s="2917"/>
      <c r="F72" s="2917"/>
      <c r="G72" s="2917"/>
      <c r="H72" s="2917"/>
      <c r="I72" s="2917"/>
      <c r="J72" s="2917"/>
      <c r="K72" s="2918"/>
      <c r="P72" s="158">
        <v>1</v>
      </c>
    </row>
    <row r="73" spans="1:16" hidden="1">
      <c r="A73" s="1531"/>
      <c r="P73" s="254"/>
    </row>
  </sheetData>
  <sheetProtection algorithmName="SHA-512" hashValue="fWmqzZx3GMJwZ6/brwgpdsLz1P35VSNhk8Hjs3rss8/tZ9owall6+OupuVdBxM4/+jN+ngI8LUEJX8G9jK2e9Q==" saltValue="Kczmo/pjL0aE42oCMkZujA==" spinCount="100000" sheet="1" objects="1" scenarios="1"/>
  <mergeCells count="38">
    <mergeCell ref="AJ3:AJ4"/>
    <mergeCell ref="AA3:AB4"/>
    <mergeCell ref="AD3:AD4"/>
    <mergeCell ref="AE3:AE4"/>
    <mergeCell ref="AF3:AF4"/>
    <mergeCell ref="AG3:AI3"/>
    <mergeCell ref="C72:K72"/>
    <mergeCell ref="C71:K71"/>
    <mergeCell ref="C65:K65"/>
    <mergeCell ref="C66:K66"/>
    <mergeCell ref="C67:K67"/>
    <mergeCell ref="C68:K68"/>
    <mergeCell ref="C69:K69"/>
    <mergeCell ref="C70:K70"/>
    <mergeCell ref="C64:K64"/>
    <mergeCell ref="C53:K53"/>
    <mergeCell ref="C54:K54"/>
    <mergeCell ref="C55:K55"/>
    <mergeCell ref="C56:K56"/>
    <mergeCell ref="C57:K57"/>
    <mergeCell ref="C58:K58"/>
    <mergeCell ref="C59:K59"/>
    <mergeCell ref="C60:K60"/>
    <mergeCell ref="C61:K61"/>
    <mergeCell ref="C62:K62"/>
    <mergeCell ref="C63:K63"/>
    <mergeCell ref="M3:M4"/>
    <mergeCell ref="P4:R4"/>
    <mergeCell ref="B38:C38"/>
    <mergeCell ref="C50:K50"/>
    <mergeCell ref="C51:K51"/>
    <mergeCell ref="C52:K52"/>
    <mergeCell ref="B3:C4"/>
    <mergeCell ref="E3:E4"/>
    <mergeCell ref="F3:F4"/>
    <mergeCell ref="G3:G4"/>
    <mergeCell ref="H3:J3"/>
    <mergeCell ref="K3:K4"/>
  </mergeCells>
  <conditionalFormatting sqref="M8:M14 M17:M18 M22:M25 M31:M33">
    <cfRule type="cellIs" dxfId="525"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7" orientation="landscape"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pageSetUpPr fitToPage="1"/>
  </sheetPr>
  <dimension ref="A1:AJ50"/>
  <sheetViews>
    <sheetView workbookViewId="0">
      <selection activeCell="B1" sqref="B1:J23"/>
    </sheetView>
  </sheetViews>
  <sheetFormatPr defaultColWidth="0" defaultRowHeight="14" zeroHeight="1"/>
  <cols>
    <col min="1" max="1" width="0.58203125" style="70" customWidth="1"/>
    <col min="2" max="2" width="5.5" style="70" customWidth="1"/>
    <col min="3" max="3" width="38.08203125" style="70" customWidth="1"/>
    <col min="4" max="4" width="2.58203125" style="70" hidden="1" customWidth="1"/>
    <col min="5" max="6" width="5.08203125" style="70" customWidth="1"/>
    <col min="7" max="10" width="12.5" style="70" customWidth="1"/>
    <col min="11" max="11" width="2.58203125" style="70" customWidth="1"/>
    <col min="12" max="12" width="22" style="70" customWidth="1"/>
    <col min="13" max="13" width="20.08203125" style="70" customWidth="1"/>
    <col min="14" max="14" width="1.58203125" style="70" customWidth="1"/>
    <col min="15" max="15" width="1.58203125" style="71" hidden="1" customWidth="1"/>
    <col min="16" max="19" width="5.58203125" style="70" hidden="1" customWidth="1"/>
    <col min="20" max="20" width="1.58203125" style="71" hidden="1" customWidth="1"/>
    <col min="21" max="24" width="5.08203125" style="70" hidden="1" customWidth="1"/>
    <col min="25" max="25" width="1.58203125" style="71" hidden="1" customWidth="1"/>
    <col min="26" max="26" width="8.08203125" style="70" customWidth="1"/>
    <col min="27" max="27" width="5.5" style="70" customWidth="1"/>
    <col min="28" max="28" width="38.08203125" style="70" customWidth="1"/>
    <col min="29" max="29" width="2.58203125" style="70" hidden="1" customWidth="1"/>
    <col min="30" max="31" width="5.08203125" style="70" customWidth="1"/>
    <col min="32" max="35" width="12.5" style="70" customWidth="1"/>
    <col min="36" max="36" width="3.25" style="70" customWidth="1"/>
    <col min="37" max="16384" width="8.08203125" style="70" hidden="1"/>
  </cols>
  <sheetData>
    <row r="1" spans="2:35" ht="20">
      <c r="B1" s="66" t="s">
        <v>701</v>
      </c>
      <c r="C1" s="66"/>
      <c r="D1" s="66"/>
      <c r="E1" s="66"/>
      <c r="F1" s="66"/>
      <c r="G1" s="66"/>
      <c r="H1" s="66"/>
      <c r="I1" s="66"/>
      <c r="J1" s="68" t="str">
        <f>Validation!B3</f>
        <v>Bristol Water</v>
      </c>
      <c r="K1" s="66"/>
      <c r="L1" s="66"/>
      <c r="M1" s="69" t="s">
        <v>32</v>
      </c>
      <c r="AA1" s="66" t="s">
        <v>33</v>
      </c>
      <c r="AB1" s="66"/>
      <c r="AC1" s="66"/>
      <c r="AD1" s="66"/>
      <c r="AE1" s="66"/>
      <c r="AF1" s="66"/>
      <c r="AG1" s="66"/>
      <c r="AH1" s="66"/>
      <c r="AI1" s="68"/>
    </row>
    <row r="2" spans="2:35" ht="14.5" thickBot="1">
      <c r="B2" s="73" t="str">
        <f>'1D'!B2</f>
        <v>For the 12 months ended 31 March 2020</v>
      </c>
      <c r="AA2" s="73" t="str">
        <f>B2</f>
        <v>For the 12 months ended 31 March 2020</v>
      </c>
    </row>
    <row r="3" spans="2:35" ht="15" customHeight="1">
      <c r="B3" s="2894" t="s">
        <v>34</v>
      </c>
      <c r="C3" s="2895"/>
      <c r="D3" s="2820" t="s">
        <v>35</v>
      </c>
      <c r="E3" s="2898" t="s">
        <v>36</v>
      </c>
      <c r="F3" s="2900" t="s">
        <v>37</v>
      </c>
      <c r="G3" s="2925" t="s">
        <v>702</v>
      </c>
      <c r="H3" s="2926"/>
      <c r="I3" s="2926"/>
      <c r="J3" s="2927"/>
      <c r="L3" s="2907" t="s">
        <v>703</v>
      </c>
      <c r="M3" s="2907" t="s">
        <v>41</v>
      </c>
      <c r="P3" s="2909" t="s">
        <v>45</v>
      </c>
      <c r="Q3" s="2909"/>
      <c r="R3" s="2909"/>
      <c r="S3" s="2909"/>
      <c r="U3" s="2909" t="s">
        <v>704</v>
      </c>
      <c r="V3" s="2909"/>
      <c r="W3" s="2909"/>
      <c r="X3" s="2909"/>
      <c r="AA3" s="2894" t="s">
        <v>34</v>
      </c>
      <c r="AB3" s="2895"/>
      <c r="AC3" s="2820" t="s">
        <v>35</v>
      </c>
      <c r="AD3" s="2898" t="s">
        <v>36</v>
      </c>
      <c r="AE3" s="2900" t="s">
        <v>37</v>
      </c>
      <c r="AF3" s="2925" t="s">
        <v>702</v>
      </c>
      <c r="AG3" s="2926"/>
      <c r="AH3" s="2926"/>
      <c r="AI3" s="2927"/>
    </row>
    <row r="4" spans="2:35" ht="15" customHeight="1" thickBot="1">
      <c r="B4" s="2896"/>
      <c r="C4" s="2897"/>
      <c r="D4" s="2821"/>
      <c r="E4" s="2899"/>
      <c r="F4" s="2901"/>
      <c r="G4" s="2832" t="s">
        <v>705</v>
      </c>
      <c r="H4" s="78" t="s">
        <v>706</v>
      </c>
      <c r="I4" s="78" t="s">
        <v>707</v>
      </c>
      <c r="J4" s="2833" t="s">
        <v>708</v>
      </c>
      <c r="L4" s="2908"/>
      <c r="M4" s="2908"/>
      <c r="N4" s="79"/>
      <c r="P4" s="2909"/>
      <c r="Q4" s="2909"/>
      <c r="R4" s="2909"/>
      <c r="S4" s="2909"/>
      <c r="U4" s="2909"/>
      <c r="V4" s="2909"/>
      <c r="W4" s="2909"/>
      <c r="X4" s="2909"/>
      <c r="AA4" s="2896"/>
      <c r="AB4" s="2897"/>
      <c r="AC4" s="2821"/>
      <c r="AD4" s="2899"/>
      <c r="AE4" s="2901"/>
      <c r="AF4" s="2832" t="s">
        <v>705</v>
      </c>
      <c r="AG4" s="78" t="s">
        <v>706</v>
      </c>
      <c r="AH4" s="78" t="s">
        <v>707</v>
      </c>
      <c r="AI4" s="2833" t="s">
        <v>708</v>
      </c>
    </row>
    <row r="5" spans="2:35" ht="14.5" thickBot="1">
      <c r="P5" s="85" t="s">
        <v>46</v>
      </c>
      <c r="U5" s="85" t="s">
        <v>709</v>
      </c>
    </row>
    <row r="6" spans="2:35" ht="14.5" thickBot="1">
      <c r="B6" s="86" t="s">
        <v>710</v>
      </c>
      <c r="C6" s="117" t="s">
        <v>711</v>
      </c>
      <c r="D6" s="117"/>
      <c r="E6" s="88" t="s">
        <v>49</v>
      </c>
      <c r="F6" s="89">
        <v>3</v>
      </c>
      <c r="G6" s="452">
        <v>84.07</v>
      </c>
      <c r="H6" s="460">
        <v>102.742</v>
      </c>
      <c r="I6" s="460">
        <v>193.77699999999999</v>
      </c>
      <c r="J6" s="491">
        <f xml:space="preserve"> SUM( G6:I6 )</f>
        <v>380.589</v>
      </c>
      <c r="L6" s="1339">
        <f xml:space="preserve"> IF( SUM( T6:Y6 ) = 0, 0, $U$5 )</f>
        <v>0</v>
      </c>
      <c r="M6" s="24">
        <f t="shared" ref="M6" si="0" xml:space="preserve"> IF( SUM( O6:T6 ) = 0, 0, $P$5 )</f>
        <v>0</v>
      </c>
      <c r="P6" s="93">
        <f xml:space="preserve"> IF( ISNUMBER( G6 ), 0, 1 )</f>
        <v>0</v>
      </c>
      <c r="Q6" s="93">
        <f xml:space="preserve"> IF( ISNUMBER( H6 ), 0, 1 )</f>
        <v>0</v>
      </c>
      <c r="R6" s="93">
        <f xml:space="preserve"> IF( ISNUMBER( I6 ), 0, 1 )</f>
        <v>0</v>
      </c>
      <c r="U6" s="93">
        <f>IF(ISNUMBER(G6), IF(G6&gt;=0, 0, 1), 1)</f>
        <v>0</v>
      </c>
      <c r="V6" s="93">
        <f t="shared" ref="V6:W6" si="1">IF(ISNUMBER(H6), IF(H6&gt;=0, 0, 1), 1)</f>
        <v>0</v>
      </c>
      <c r="W6" s="93">
        <f t="shared" si="1"/>
        <v>0</v>
      </c>
      <c r="AA6" s="86" t="s">
        <v>710</v>
      </c>
      <c r="AB6" s="117" t="s">
        <v>711</v>
      </c>
      <c r="AC6" s="117"/>
      <c r="AD6" s="88" t="s">
        <v>49</v>
      </c>
      <c r="AE6" s="89">
        <v>3</v>
      </c>
      <c r="AF6" s="2388" t="s">
        <v>712</v>
      </c>
      <c r="AG6" s="2389" t="s">
        <v>713</v>
      </c>
      <c r="AH6" s="2389" t="s">
        <v>714</v>
      </c>
      <c r="AI6" s="491" t="s">
        <v>715</v>
      </c>
    </row>
    <row r="7" spans="2:35">
      <c r="B7" s="94" t="s">
        <v>716</v>
      </c>
      <c r="C7" s="87" t="s">
        <v>438</v>
      </c>
      <c r="D7" s="87"/>
      <c r="E7" s="95" t="s">
        <v>49</v>
      </c>
      <c r="F7" s="96">
        <v>3</v>
      </c>
      <c r="J7" s="241">
        <f>-1 * '1C'!K41</f>
        <v>12.5</v>
      </c>
      <c r="M7" s="126"/>
      <c r="S7" s="127"/>
      <c r="AA7" s="94" t="s">
        <v>716</v>
      </c>
      <c r="AB7" s="87" t="s">
        <v>438</v>
      </c>
      <c r="AC7" s="87"/>
      <c r="AD7" s="95" t="s">
        <v>49</v>
      </c>
      <c r="AE7" s="96">
        <v>3</v>
      </c>
      <c r="AI7" s="241" t="s">
        <v>717</v>
      </c>
    </row>
    <row r="8" spans="2:35">
      <c r="B8" s="94" t="s">
        <v>718</v>
      </c>
      <c r="C8" s="87" t="s">
        <v>719</v>
      </c>
      <c r="D8" s="87"/>
      <c r="E8" s="95" t="s">
        <v>49</v>
      </c>
      <c r="F8" s="96">
        <v>3</v>
      </c>
      <c r="J8" s="241">
        <f xml:space="preserve"> J6 + J7</f>
        <v>393.089</v>
      </c>
      <c r="M8" s="126"/>
      <c r="AA8" s="94" t="s">
        <v>718</v>
      </c>
      <c r="AB8" s="87" t="s">
        <v>719</v>
      </c>
      <c r="AC8" s="87"/>
      <c r="AD8" s="95" t="s">
        <v>49</v>
      </c>
      <c r="AE8" s="96">
        <v>3</v>
      </c>
      <c r="AI8" s="241" t="s">
        <v>720</v>
      </c>
    </row>
    <row r="9" spans="2:35">
      <c r="B9" s="94" t="s">
        <v>721</v>
      </c>
      <c r="C9" s="87" t="s">
        <v>722</v>
      </c>
      <c r="D9" s="87"/>
      <c r="E9" s="95" t="s">
        <v>49</v>
      </c>
      <c r="F9" s="96">
        <v>3</v>
      </c>
      <c r="J9" s="411">
        <v>-10.102</v>
      </c>
      <c r="M9" s="24">
        <f t="shared" ref="M9:M10" si="2" xml:space="preserve"> IF( SUM( O9:T9 ) = 0, 0, $P$5 )</f>
        <v>0</v>
      </c>
      <c r="S9" s="93">
        <f xml:space="preserve"> IF( ISNUMBER( J9 ), 0, 1 )</f>
        <v>0</v>
      </c>
      <c r="AA9" s="94" t="s">
        <v>721</v>
      </c>
      <c r="AB9" s="87" t="s">
        <v>722</v>
      </c>
      <c r="AC9" s="87"/>
      <c r="AD9" s="95" t="s">
        <v>49</v>
      </c>
      <c r="AE9" s="96">
        <v>3</v>
      </c>
      <c r="AI9" s="2395" t="s">
        <v>723</v>
      </c>
    </row>
    <row r="10" spans="2:35">
      <c r="B10" s="94" t="s">
        <v>724</v>
      </c>
      <c r="C10" s="87" t="s">
        <v>725</v>
      </c>
      <c r="D10" s="87"/>
      <c r="E10" s="95" t="s">
        <v>49</v>
      </c>
      <c r="F10" s="96">
        <v>3</v>
      </c>
      <c r="J10" s="411">
        <v>0</v>
      </c>
      <c r="M10" s="24">
        <f t="shared" si="2"/>
        <v>0</v>
      </c>
      <c r="S10" s="93">
        <f xml:space="preserve"> IF( ISNUMBER( J10 ), 0, 1 )</f>
        <v>0</v>
      </c>
      <c r="AA10" s="94" t="s">
        <v>724</v>
      </c>
      <c r="AB10" s="87" t="s">
        <v>725</v>
      </c>
      <c r="AC10" s="87"/>
      <c r="AD10" s="95" t="s">
        <v>49</v>
      </c>
      <c r="AE10" s="96">
        <v>3</v>
      </c>
      <c r="AI10" s="2395" t="s">
        <v>726</v>
      </c>
    </row>
    <row r="11" spans="2:35" ht="14.5" thickBot="1">
      <c r="B11" s="101" t="s">
        <v>727</v>
      </c>
      <c r="C11" s="102" t="s">
        <v>728</v>
      </c>
      <c r="D11" s="102"/>
      <c r="E11" s="103" t="s">
        <v>49</v>
      </c>
      <c r="F11" s="100">
        <v>3</v>
      </c>
      <c r="J11" s="200">
        <f xml:space="preserve"> SUM( J8:J10 )</f>
        <v>382.98700000000002</v>
      </c>
      <c r="M11" s="126"/>
      <c r="AA11" s="101" t="s">
        <v>727</v>
      </c>
      <c r="AB11" s="102" t="s">
        <v>728</v>
      </c>
      <c r="AC11" s="102"/>
      <c r="AD11" s="103" t="s">
        <v>49</v>
      </c>
      <c r="AE11" s="100">
        <v>3</v>
      </c>
      <c r="AI11" s="200" t="s">
        <v>729</v>
      </c>
    </row>
    <row r="12" spans="2:35" ht="14.5" thickBot="1">
      <c r="M12" s="126"/>
    </row>
    <row r="13" spans="2:35">
      <c r="B13" s="86" t="s">
        <v>730</v>
      </c>
      <c r="C13" s="117" t="s">
        <v>731</v>
      </c>
      <c r="D13" s="117"/>
      <c r="E13" s="88" t="s">
        <v>732</v>
      </c>
      <c r="F13" s="89">
        <v>2</v>
      </c>
      <c r="J13" s="724">
        <f>IF(Validation!$H$3=1, IF( '4C'!G10 = 0, 0, J11 / '4C'!G10 ), IF( '4C'!G10 + '4C'!H10 + '4C'!I10 = 0, 0, J11 / ('4C'!G10 +'4C'!H10 + '4C'!I10) ))</f>
        <v>0.68286885976642597</v>
      </c>
      <c r="M13" s="126"/>
      <c r="AA13" s="86" t="s">
        <v>730</v>
      </c>
      <c r="AB13" s="117" t="s">
        <v>731</v>
      </c>
      <c r="AC13" s="117"/>
      <c r="AD13" s="88" t="s">
        <v>732</v>
      </c>
      <c r="AE13" s="89">
        <v>2</v>
      </c>
      <c r="AI13" s="724" t="s">
        <v>733</v>
      </c>
    </row>
    <row r="14" spans="2:35" ht="14.5" thickBot="1">
      <c r="B14" s="101" t="s">
        <v>734</v>
      </c>
      <c r="C14" s="102" t="s">
        <v>735</v>
      </c>
      <c r="D14" s="102"/>
      <c r="E14" s="103" t="s">
        <v>732</v>
      </c>
      <c r="F14" s="100">
        <v>2</v>
      </c>
      <c r="J14" s="661">
        <v>0.66259999999999997</v>
      </c>
      <c r="L14" s="1339">
        <f xml:space="preserve"> IF( SUM( T14:Y14 ) = 0, 0, $U$5 )</f>
        <v>0</v>
      </c>
      <c r="M14" s="24">
        <f t="shared" ref="M14:M17" si="3" xml:space="preserve"> IF( SUM( O14:T14 ) = 0, 0, $P$5 )</f>
        <v>0</v>
      </c>
      <c r="S14" s="93">
        <f xml:space="preserve"> IF( ISNUMBER( J14 ), 0, 1 )</f>
        <v>0</v>
      </c>
      <c r="X14" s="93">
        <f t="shared" ref="X14" si="4">IF(ISNUMBER(J14), IF(J14&gt;=0, 0, 1), 1)</f>
        <v>0</v>
      </c>
      <c r="AA14" s="101" t="s">
        <v>734</v>
      </c>
      <c r="AB14" s="102" t="s">
        <v>735</v>
      </c>
      <c r="AC14" s="102"/>
      <c r="AD14" s="103" t="s">
        <v>732</v>
      </c>
      <c r="AE14" s="100">
        <v>2</v>
      </c>
      <c r="AI14" s="2405" t="s">
        <v>736</v>
      </c>
    </row>
    <row r="15" spans="2:35" ht="14.5" thickBot="1">
      <c r="M15" s="224"/>
    </row>
    <row r="16" spans="2:35">
      <c r="B16" s="86" t="s">
        <v>737</v>
      </c>
      <c r="C16" s="117" t="s">
        <v>738</v>
      </c>
      <c r="D16" s="117"/>
      <c r="E16" s="88" t="s">
        <v>49</v>
      </c>
      <c r="F16" s="89">
        <v>3</v>
      </c>
      <c r="G16" s="414">
        <v>4.1710000000000003</v>
      </c>
      <c r="H16" s="425">
        <v>1.663</v>
      </c>
      <c r="I16" s="425">
        <v>11.667999999999999</v>
      </c>
      <c r="J16" s="190">
        <f xml:space="preserve"> SUM( G16:I16 )</f>
        <v>17.501999999999999</v>
      </c>
      <c r="L16" s="1339">
        <f xml:space="preserve"> IF( SUM( T16:Y16 ) = 0, 0, $U$5 )</f>
        <v>0</v>
      </c>
      <c r="M16" s="24">
        <f t="shared" si="3"/>
        <v>0</v>
      </c>
      <c r="P16" s="93">
        <f t="shared" ref="P16:R17" si="5" xml:space="preserve"> IF( ISNUMBER( G16 ), 0, 1 )</f>
        <v>0</v>
      </c>
      <c r="Q16" s="93">
        <f t="shared" si="5"/>
        <v>0</v>
      </c>
      <c r="R16" s="93">
        <f t="shared" si="5"/>
        <v>0</v>
      </c>
      <c r="U16" s="93">
        <f t="shared" ref="U16:U17" si="6">IF(ISNUMBER(G16), IF(G16&gt;=0, 0, 1), 1)</f>
        <v>0</v>
      </c>
      <c r="V16" s="93">
        <f t="shared" ref="V16:V17" si="7">IF(ISNUMBER(H16), IF(H16&gt;=0, 0, 1), 1)</f>
        <v>0</v>
      </c>
      <c r="W16" s="93">
        <f t="shared" ref="W16:W17" si="8">IF(ISNUMBER(I16), IF(I16&gt;=0, 0, 1), 1)</f>
        <v>0</v>
      </c>
      <c r="AA16" s="86" t="s">
        <v>737</v>
      </c>
      <c r="AB16" s="117" t="s">
        <v>738</v>
      </c>
      <c r="AC16" s="117"/>
      <c r="AD16" s="88" t="s">
        <v>49</v>
      </c>
      <c r="AE16" s="89">
        <v>3</v>
      </c>
      <c r="AF16" s="2380" t="s">
        <v>739</v>
      </c>
      <c r="AG16" s="2381" t="s">
        <v>740</v>
      </c>
      <c r="AH16" s="2381" t="s">
        <v>741</v>
      </c>
      <c r="AI16" s="190" t="s">
        <v>742</v>
      </c>
    </row>
    <row r="17" spans="2:35" ht="14.5" thickBot="1">
      <c r="B17" s="101" t="s">
        <v>743</v>
      </c>
      <c r="C17" s="102" t="s">
        <v>744</v>
      </c>
      <c r="D17" s="102"/>
      <c r="E17" s="103" t="s">
        <v>49</v>
      </c>
      <c r="F17" s="100">
        <v>3</v>
      </c>
      <c r="G17" s="461">
        <v>4.1710000000000003</v>
      </c>
      <c r="H17" s="462">
        <v>1.663</v>
      </c>
      <c r="I17" s="462">
        <v>6.5709999999999997</v>
      </c>
      <c r="J17" s="195">
        <f xml:space="preserve"> SUM( G17:I17 )</f>
        <v>12.405000000000001</v>
      </c>
      <c r="L17" s="1339">
        <f xml:space="preserve"> IF( SUM( T17:Y17 ) = 0, 0, $U$5 )</f>
        <v>0</v>
      </c>
      <c r="M17" s="24">
        <f t="shared" si="3"/>
        <v>0</v>
      </c>
      <c r="P17" s="93">
        <f t="shared" si="5"/>
        <v>0</v>
      </c>
      <c r="Q17" s="93">
        <f t="shared" si="5"/>
        <v>0</v>
      </c>
      <c r="R17" s="93">
        <f t="shared" si="5"/>
        <v>0</v>
      </c>
      <c r="U17" s="93">
        <f t="shared" si="6"/>
        <v>0</v>
      </c>
      <c r="V17" s="93">
        <f t="shared" si="7"/>
        <v>0</v>
      </c>
      <c r="W17" s="93">
        <f t="shared" si="8"/>
        <v>0</v>
      </c>
      <c r="AA17" s="101" t="s">
        <v>743</v>
      </c>
      <c r="AB17" s="102" t="s">
        <v>744</v>
      </c>
      <c r="AC17" s="102"/>
      <c r="AD17" s="103" t="s">
        <v>49</v>
      </c>
      <c r="AE17" s="100">
        <v>3</v>
      </c>
      <c r="AF17" s="2406" t="s">
        <v>745</v>
      </c>
      <c r="AG17" s="2407" t="s">
        <v>746</v>
      </c>
      <c r="AH17" s="2407" t="s">
        <v>747</v>
      </c>
      <c r="AI17" s="195" t="s">
        <v>748</v>
      </c>
    </row>
    <row r="18" spans="2:35" ht="14.5" thickBot="1">
      <c r="M18" s="126"/>
    </row>
    <row r="19" spans="2:35" ht="14.5" thickBot="1">
      <c r="B19" s="2865" t="s">
        <v>153</v>
      </c>
      <c r="C19" s="83" t="s">
        <v>749</v>
      </c>
      <c r="D19" s="1473"/>
      <c r="M19" s="126"/>
      <c r="AA19" s="2865" t="s">
        <v>153</v>
      </c>
      <c r="AB19" s="83" t="s">
        <v>749</v>
      </c>
      <c r="AC19" s="1473"/>
    </row>
    <row r="20" spans="2:35">
      <c r="B20" s="86" t="s">
        <v>750</v>
      </c>
      <c r="C20" s="117" t="s">
        <v>751</v>
      </c>
      <c r="D20" s="117"/>
      <c r="E20" s="88" t="s">
        <v>732</v>
      </c>
      <c r="F20" s="215">
        <v>2</v>
      </c>
      <c r="G20" s="725">
        <v>4.9599999999999998E-2</v>
      </c>
      <c r="H20" s="726">
        <v>1.6199999999999999E-2</v>
      </c>
      <c r="I20" s="726">
        <v>6.0199999999999997E-2</v>
      </c>
      <c r="J20" s="727">
        <v>4.5999999999999999E-2</v>
      </c>
      <c r="L20" s="1339">
        <f xml:space="preserve"> IF( SUM( T20:Y20 ) = 0, 0, $U$5 )</f>
        <v>0</v>
      </c>
      <c r="M20" s="24">
        <f t="shared" ref="M20:M21" si="9" xml:space="preserve"> IF( SUM( O20:T20 ) = 0, 0, $P$5 )</f>
        <v>0</v>
      </c>
      <c r="P20" s="93">
        <f t="shared" ref="P20:S21" si="10" xml:space="preserve"> IF( ISNUMBER( G20 ), 0, 1 )</f>
        <v>0</v>
      </c>
      <c r="Q20" s="93">
        <f t="shared" si="10"/>
        <v>0</v>
      </c>
      <c r="R20" s="93">
        <f t="shared" si="10"/>
        <v>0</v>
      </c>
      <c r="S20" s="93">
        <f t="shared" si="10"/>
        <v>0</v>
      </c>
      <c r="U20" s="93">
        <f t="shared" ref="U20:U21" si="11">IF(ISNUMBER(G20), IF(G20&gt;=0, 0, 1), 1)</f>
        <v>0</v>
      </c>
      <c r="V20" s="93">
        <f t="shared" ref="V20:V21" si="12">IF(ISNUMBER(H20), IF(H20&gt;=0, 0, 1), 1)</f>
        <v>0</v>
      </c>
      <c r="W20" s="93">
        <f t="shared" ref="W20:W21" si="13">IF(ISNUMBER(I20), IF(I20&gt;=0, 0, 1), 1)</f>
        <v>0</v>
      </c>
      <c r="X20" s="93">
        <f t="shared" ref="X20:X21" si="14">IF(ISNUMBER(J20), IF(J20&gt;=0, 0, 1), 1)</f>
        <v>0</v>
      </c>
      <c r="AA20" s="86" t="s">
        <v>750</v>
      </c>
      <c r="AB20" s="117" t="s">
        <v>751</v>
      </c>
      <c r="AC20" s="117"/>
      <c r="AD20" s="88" t="s">
        <v>732</v>
      </c>
      <c r="AE20" s="215">
        <v>2</v>
      </c>
      <c r="AF20" s="2408" t="s">
        <v>752</v>
      </c>
      <c r="AG20" s="2409" t="s">
        <v>753</v>
      </c>
      <c r="AH20" s="2409" t="s">
        <v>754</v>
      </c>
      <c r="AI20" s="2410" t="s">
        <v>755</v>
      </c>
    </row>
    <row r="21" spans="2:35" ht="14.5" thickBot="1">
      <c r="B21" s="174" t="s">
        <v>756</v>
      </c>
      <c r="C21" s="391" t="s">
        <v>757</v>
      </c>
      <c r="D21" s="391"/>
      <c r="E21" s="175" t="s">
        <v>732</v>
      </c>
      <c r="F21" s="392">
        <v>2</v>
      </c>
      <c r="G21" s="728">
        <v>4.9599999999999998E-2</v>
      </c>
      <c r="H21" s="729">
        <v>1.6199999999999999E-2</v>
      </c>
      <c r="I21" s="729">
        <v>3.39E-2</v>
      </c>
      <c r="J21" s="730">
        <v>3.2599999999999997E-2</v>
      </c>
      <c r="L21" s="1339">
        <f xml:space="preserve"> IF( SUM( T21:Y21 ) = 0, 0, $U$5 )</f>
        <v>0</v>
      </c>
      <c r="M21" s="24">
        <f t="shared" si="9"/>
        <v>0</v>
      </c>
      <c r="P21" s="93">
        <f t="shared" si="10"/>
        <v>0</v>
      </c>
      <c r="Q21" s="93">
        <f t="shared" si="10"/>
        <v>0</v>
      </c>
      <c r="R21" s="93">
        <f t="shared" si="10"/>
        <v>0</v>
      </c>
      <c r="S21" s="93">
        <f t="shared" si="10"/>
        <v>0</v>
      </c>
      <c r="U21" s="93">
        <f t="shared" si="11"/>
        <v>0</v>
      </c>
      <c r="V21" s="93">
        <f t="shared" si="12"/>
        <v>0</v>
      </c>
      <c r="W21" s="93">
        <f t="shared" si="13"/>
        <v>0</v>
      </c>
      <c r="X21" s="93">
        <f t="shared" si="14"/>
        <v>0</v>
      </c>
      <c r="AA21" s="174" t="s">
        <v>756</v>
      </c>
      <c r="AB21" s="391" t="s">
        <v>757</v>
      </c>
      <c r="AC21" s="391"/>
      <c r="AD21" s="175" t="s">
        <v>732</v>
      </c>
      <c r="AE21" s="392">
        <v>2</v>
      </c>
      <c r="AF21" s="2411" t="s">
        <v>758</v>
      </c>
      <c r="AG21" s="2412" t="s">
        <v>759</v>
      </c>
      <c r="AH21" s="2412" t="s">
        <v>760</v>
      </c>
      <c r="AI21" s="2413" t="s">
        <v>761</v>
      </c>
    </row>
    <row r="22" spans="2:35" s="110" customFormat="1" ht="14.5" thickBot="1">
      <c r="C22" s="152"/>
      <c r="D22" s="152"/>
      <c r="H22" s="163"/>
      <c r="J22" s="118"/>
      <c r="K22" s="118"/>
      <c r="L22" s="118"/>
      <c r="M22" s="120"/>
      <c r="N22" s="118"/>
      <c r="O22" s="71"/>
      <c r="P22" s="120"/>
      <c r="Q22" s="118"/>
      <c r="R22" s="280"/>
      <c r="T22" s="71"/>
      <c r="Y22" s="71"/>
      <c r="AB22" s="152"/>
      <c r="AC22" s="152"/>
      <c r="AG22" s="163"/>
      <c r="AI22" s="118"/>
    </row>
    <row r="23" spans="2:35" ht="14.5" thickBot="1">
      <c r="B23" s="131" t="s">
        <v>762</v>
      </c>
      <c r="C23" s="663" t="s">
        <v>763</v>
      </c>
      <c r="D23" s="1493"/>
      <c r="E23" s="665" t="s">
        <v>764</v>
      </c>
      <c r="F23" s="664">
        <v>2</v>
      </c>
      <c r="G23" s="492">
        <v>12.04</v>
      </c>
      <c r="H23" s="493">
        <v>5.57</v>
      </c>
      <c r="I23" s="493">
        <v>14.55</v>
      </c>
      <c r="J23" s="494">
        <v>11.57</v>
      </c>
      <c r="L23" s="1339">
        <f xml:space="preserve"> IF( SUM( T23:Y23 ) = 0, 0, $U$5 )</f>
        <v>0</v>
      </c>
      <c r="M23" s="24">
        <f t="shared" ref="M23" si="15" xml:space="preserve"> IF( SUM( O23:T23 ) = 0, 0, $P$5 )</f>
        <v>0</v>
      </c>
      <c r="P23" s="93">
        <f xml:space="preserve"> IF( ISNUMBER( G23 ), 0, 1 )</f>
        <v>0</v>
      </c>
      <c r="Q23" s="93">
        <f t="shared" ref="Q23" si="16" xml:space="preserve"> IF( ISNUMBER( H23 ), 0, 1 )</f>
        <v>0</v>
      </c>
      <c r="R23" s="93">
        <f t="shared" ref="R23" si="17" xml:space="preserve"> IF( ISNUMBER( I23 ), 0, 1 )</f>
        <v>0</v>
      </c>
      <c r="S23" s="93">
        <f t="shared" ref="S23" si="18" xml:space="preserve"> IF( ISNUMBER( J23 ), 0, 1 )</f>
        <v>0</v>
      </c>
      <c r="U23" s="93">
        <f t="shared" ref="U23" si="19">IF(ISNUMBER(G23), IF(G23&gt;=0, 0, 1), 1)</f>
        <v>0</v>
      </c>
      <c r="V23" s="93">
        <f t="shared" ref="V23" si="20">IF(ISNUMBER(H23), IF(H23&gt;=0, 0, 1), 1)</f>
        <v>0</v>
      </c>
      <c r="W23" s="93">
        <f t="shared" ref="W23" si="21">IF(ISNUMBER(I23), IF(I23&gt;=0, 0, 1), 1)</f>
        <v>0</v>
      </c>
      <c r="X23" s="93">
        <f t="shared" ref="X23" si="22">IF(ISNUMBER(J23), IF(J23&gt;=0, 0, 1), 1)</f>
        <v>0</v>
      </c>
      <c r="AA23" s="131" t="s">
        <v>762</v>
      </c>
      <c r="AB23" s="663" t="s">
        <v>763</v>
      </c>
      <c r="AC23" s="1493"/>
      <c r="AD23" s="665" t="s">
        <v>764</v>
      </c>
      <c r="AE23" s="664">
        <v>2</v>
      </c>
      <c r="AF23" s="2414" t="s">
        <v>765</v>
      </c>
      <c r="AG23" s="2415" t="s">
        <v>766</v>
      </c>
      <c r="AH23" s="2415" t="s">
        <v>767</v>
      </c>
      <c r="AI23" s="2416" t="s">
        <v>768</v>
      </c>
    </row>
    <row r="24" spans="2:35" s="110" customFormat="1">
      <c r="C24" s="152"/>
      <c r="D24" s="152"/>
      <c r="H24" s="163"/>
      <c r="J24" s="118"/>
      <c r="K24" s="118"/>
      <c r="L24" s="118"/>
      <c r="M24" s="120"/>
      <c r="N24" s="118"/>
      <c r="O24" s="71"/>
      <c r="P24" s="120"/>
      <c r="Q24" s="118"/>
      <c r="R24" s="280"/>
      <c r="T24" s="71"/>
      <c r="Y24" s="71"/>
      <c r="AB24" s="152"/>
      <c r="AC24" s="152"/>
      <c r="AG24" s="163"/>
      <c r="AI24" s="118"/>
    </row>
    <row r="25" spans="2:35" s="163" customFormat="1" ht="13.5">
      <c r="B25" s="2914" t="s">
        <v>241</v>
      </c>
      <c r="C25" s="2914"/>
      <c r="D25" s="2823"/>
      <c r="J25" s="126"/>
      <c r="K25" s="126"/>
      <c r="L25" s="126"/>
      <c r="M25" s="126"/>
      <c r="N25" s="126"/>
      <c r="O25" s="124"/>
      <c r="P25" s="126"/>
      <c r="Q25" s="126"/>
      <c r="R25" s="203"/>
      <c r="T25" s="124"/>
      <c r="Y25" s="124"/>
    </row>
    <row r="26" spans="2:35" s="163" customFormat="1" ht="11.5">
      <c r="B26" s="141"/>
      <c r="C26" s="142"/>
      <c r="D26" s="142"/>
      <c r="J26" s="126"/>
      <c r="K26" s="126"/>
      <c r="L26" s="126"/>
      <c r="M26" s="126"/>
      <c r="N26" s="126"/>
      <c r="O26" s="119"/>
      <c r="P26" s="126"/>
      <c r="Q26" s="126"/>
      <c r="R26" s="203"/>
      <c r="T26" s="119"/>
      <c r="Y26" s="119"/>
    </row>
    <row r="27" spans="2:35" s="163" customFormat="1" ht="11.5">
      <c r="B27" s="25"/>
      <c r="C27" s="143" t="s">
        <v>188</v>
      </c>
      <c r="D27" s="143"/>
      <c r="J27" s="126"/>
      <c r="K27" s="126"/>
      <c r="L27" s="126"/>
      <c r="M27" s="126"/>
      <c r="N27" s="126"/>
      <c r="O27" s="119"/>
      <c r="P27" s="126"/>
      <c r="Q27" s="126"/>
      <c r="R27" s="203"/>
      <c r="T27" s="119"/>
      <c r="Y27" s="119"/>
    </row>
    <row r="28" spans="2:35" s="163" customFormat="1" ht="11.5">
      <c r="B28" s="141"/>
      <c r="C28" s="142"/>
      <c r="D28" s="142"/>
      <c r="J28" s="126"/>
      <c r="K28" s="126"/>
      <c r="L28" s="126"/>
      <c r="M28" s="126"/>
      <c r="N28" s="126"/>
      <c r="O28" s="119"/>
      <c r="P28" s="126"/>
      <c r="Q28" s="126"/>
      <c r="R28" s="203"/>
      <c r="T28" s="119"/>
      <c r="Y28" s="119"/>
    </row>
    <row r="29" spans="2:35" s="163" customFormat="1" ht="11.5">
      <c r="B29" s="144"/>
      <c r="C29" s="143" t="s">
        <v>189</v>
      </c>
      <c r="D29" s="143"/>
      <c r="J29" s="126"/>
      <c r="K29" s="126"/>
      <c r="L29" s="126"/>
      <c r="M29" s="126"/>
      <c r="N29" s="126"/>
      <c r="O29" s="119"/>
      <c r="P29" s="126"/>
      <c r="Q29" s="126"/>
      <c r="R29" s="203"/>
      <c r="T29" s="119"/>
      <c r="Y29" s="119"/>
    </row>
    <row r="30" spans="2:35" s="163" customFormat="1" ht="11.5">
      <c r="B30" s="145"/>
      <c r="C30" s="143"/>
      <c r="D30" s="143"/>
      <c r="J30" s="126"/>
      <c r="K30" s="126"/>
      <c r="L30" s="126"/>
      <c r="M30" s="126"/>
      <c r="N30" s="126"/>
      <c r="O30" s="119"/>
      <c r="P30" s="126"/>
      <c r="Q30" s="126"/>
      <c r="R30" s="203"/>
      <c r="T30" s="119"/>
      <c r="Y30" s="119"/>
    </row>
    <row r="31" spans="2:35" s="178" customFormat="1" ht="13" thickBot="1">
      <c r="C31" s="179"/>
      <c r="D31" s="179"/>
      <c r="J31" s="130"/>
      <c r="K31" s="130"/>
      <c r="L31" s="130"/>
      <c r="M31" s="126"/>
      <c r="N31" s="126"/>
      <c r="O31" s="119"/>
      <c r="P31" s="126"/>
      <c r="Q31" s="126"/>
      <c r="R31" s="302"/>
      <c r="T31" s="119"/>
      <c r="Y31" s="119"/>
    </row>
    <row r="32" spans="2:35" s="178" customFormat="1" ht="20.5" thickBot="1">
      <c r="B32" s="2886" t="str">
        <f>'1D'!B45</f>
        <v>Please refer to RAG 4.08 - Guideline for the table definitions in the annual performance report for the reporting year 2019-20</v>
      </c>
      <c r="C32" s="147"/>
      <c r="D32" s="147"/>
      <c r="E32" s="148"/>
      <c r="F32" s="148"/>
      <c r="G32" s="148"/>
      <c r="H32" s="148"/>
      <c r="I32" s="148"/>
      <c r="J32" s="154"/>
      <c r="K32" s="130"/>
      <c r="L32" s="130"/>
      <c r="M32" s="126"/>
      <c r="N32" s="126"/>
      <c r="O32" s="119"/>
      <c r="P32" s="126"/>
      <c r="Q32" s="126"/>
      <c r="R32" s="302"/>
      <c r="T32" s="119"/>
      <c r="Y32" s="119"/>
    </row>
    <row r="33" spans="1:25" s="178" customFormat="1" ht="12.5">
      <c r="C33" s="179"/>
      <c r="D33" s="179"/>
      <c r="J33" s="130"/>
      <c r="K33" s="130"/>
      <c r="L33" s="130"/>
      <c r="M33" s="126"/>
      <c r="N33" s="126"/>
      <c r="O33" s="119"/>
      <c r="P33" s="126"/>
      <c r="Q33" s="126"/>
      <c r="R33" s="302"/>
      <c r="T33" s="119"/>
      <c r="Y33" s="119"/>
    </row>
    <row r="34" spans="1:25" s="110" customFormat="1" ht="20.5" hidden="1" thickBot="1">
      <c r="A34" s="1528"/>
      <c r="B34" s="146" t="str">
        <f ca="1" xml:space="preserve"> RIGHT(CELL("filename", $A$1), LEN(CELL("filename", $A$1)) - SEARCH("]", CELL("filename", $A$1)))&amp;" - Line definitions"</f>
        <v>1E - Line definitions</v>
      </c>
      <c r="C34" s="147"/>
      <c r="D34" s="147"/>
      <c r="E34" s="148"/>
      <c r="F34" s="148"/>
      <c r="G34" s="148"/>
      <c r="H34" s="148"/>
      <c r="I34" s="148"/>
      <c r="J34" s="154"/>
      <c r="K34" s="118"/>
      <c r="L34" s="118"/>
      <c r="M34" s="120"/>
      <c r="N34" s="118"/>
      <c r="O34" s="119"/>
      <c r="P34" s="120"/>
      <c r="Q34" s="118"/>
      <c r="R34" s="280"/>
      <c r="T34" s="119"/>
      <c r="Y34" s="119"/>
    </row>
    <row r="35" spans="1:25" s="110" customFormat="1" ht="14.5" hidden="1" thickBot="1">
      <c r="A35" s="1528"/>
      <c r="B35" s="74"/>
      <c r="C35" s="155"/>
      <c r="D35" s="155"/>
      <c r="E35" s="74"/>
      <c r="F35" s="74"/>
      <c r="G35" s="74"/>
      <c r="J35" s="118"/>
      <c r="K35" s="118"/>
      <c r="L35" s="118"/>
      <c r="M35" s="120"/>
      <c r="N35" s="118"/>
      <c r="O35" s="124"/>
      <c r="Q35" s="118"/>
      <c r="R35" s="280"/>
      <c r="T35" s="124"/>
      <c r="Y35" s="124"/>
    </row>
    <row r="36" spans="1:25" s="178" customFormat="1" hidden="1" thickBot="1">
      <c r="A36" s="1529"/>
      <c r="B36" s="367" t="s">
        <v>191</v>
      </c>
      <c r="C36" s="368" t="s">
        <v>192</v>
      </c>
      <c r="D36" s="369"/>
      <c r="E36" s="369"/>
      <c r="F36" s="369"/>
      <c r="G36" s="369"/>
      <c r="H36" s="369"/>
      <c r="I36" s="369"/>
      <c r="J36" s="826"/>
      <c r="K36" s="346"/>
      <c r="L36" s="346"/>
      <c r="M36" s="130"/>
      <c r="N36" s="118"/>
      <c r="O36" s="124"/>
      <c r="P36" s="85" t="s">
        <v>193</v>
      </c>
      <c r="Q36" s="118"/>
      <c r="T36" s="124"/>
      <c r="Y36" s="124"/>
    </row>
    <row r="37" spans="1:25" s="110" customFormat="1" ht="204.75" hidden="1" customHeight="1">
      <c r="A37" s="1528"/>
      <c r="B37" s="181" t="s">
        <v>710</v>
      </c>
      <c r="C37" s="2928" t="s">
        <v>769</v>
      </c>
      <c r="D37" s="2929"/>
      <c r="E37" s="2929"/>
      <c r="F37" s="2929"/>
      <c r="G37" s="2929"/>
      <c r="H37" s="2929"/>
      <c r="I37" s="2929"/>
      <c r="J37" s="2930"/>
      <c r="K37" s="348"/>
      <c r="L37" s="348"/>
      <c r="M37" s="120"/>
      <c r="N37" s="118"/>
      <c r="O37" s="124"/>
      <c r="P37" s="202" t="s">
        <v>770</v>
      </c>
      <c r="Q37" s="118"/>
      <c r="R37" s="280"/>
      <c r="T37" s="124"/>
      <c r="Y37" s="124"/>
    </row>
    <row r="38" spans="1:25" s="110" customFormat="1" ht="23.25" hidden="1" customHeight="1">
      <c r="A38" s="1528"/>
      <c r="B38" s="159" t="s">
        <v>716</v>
      </c>
      <c r="C38" s="2919" t="s">
        <v>771</v>
      </c>
      <c r="D38" s="2920"/>
      <c r="E38" s="2920"/>
      <c r="F38" s="2920"/>
      <c r="G38" s="2920"/>
      <c r="H38" s="2920"/>
      <c r="I38" s="2920"/>
      <c r="J38" s="2921"/>
      <c r="K38" s="348"/>
      <c r="L38" s="348"/>
      <c r="O38" s="124"/>
      <c r="P38" s="374" t="s">
        <v>195</v>
      </c>
      <c r="T38" s="124"/>
      <c r="Y38" s="124"/>
    </row>
    <row r="39" spans="1:25" s="110" customFormat="1" hidden="1">
      <c r="A39" s="1528"/>
      <c r="B39" s="159" t="s">
        <v>718</v>
      </c>
      <c r="C39" s="2919" t="s">
        <v>772</v>
      </c>
      <c r="D39" s="2920"/>
      <c r="E39" s="2920"/>
      <c r="F39" s="2920"/>
      <c r="G39" s="2920"/>
      <c r="H39" s="2920"/>
      <c r="I39" s="2920"/>
      <c r="J39" s="2921"/>
      <c r="K39" s="348"/>
      <c r="L39" s="348"/>
      <c r="O39" s="124"/>
      <c r="P39" s="253">
        <v>1</v>
      </c>
      <c r="T39" s="124"/>
      <c r="Y39" s="124"/>
    </row>
    <row r="40" spans="1:25" s="120" customFormat="1" hidden="1">
      <c r="A40" s="1530"/>
      <c r="B40" s="159" t="s">
        <v>721</v>
      </c>
      <c r="C40" s="2919" t="s">
        <v>773</v>
      </c>
      <c r="D40" s="2920"/>
      <c r="E40" s="2920"/>
      <c r="F40" s="2920"/>
      <c r="G40" s="2920"/>
      <c r="H40" s="2920"/>
      <c r="I40" s="2920"/>
      <c r="J40" s="2921"/>
      <c r="K40" s="348"/>
      <c r="L40" s="348"/>
      <c r="O40" s="124"/>
      <c r="P40" s="253">
        <v>1</v>
      </c>
      <c r="T40" s="124"/>
      <c r="Y40" s="124"/>
    </row>
    <row r="41" spans="1:25" s="120" customFormat="1" ht="13.5" hidden="1" customHeight="1">
      <c r="A41" s="1530"/>
      <c r="B41" s="159" t="s">
        <v>724</v>
      </c>
      <c r="C41" s="2919" t="s">
        <v>774</v>
      </c>
      <c r="D41" s="2920"/>
      <c r="E41" s="2920"/>
      <c r="F41" s="2920"/>
      <c r="G41" s="2920"/>
      <c r="H41" s="2920"/>
      <c r="I41" s="2920"/>
      <c r="J41" s="2921"/>
      <c r="K41" s="348"/>
      <c r="L41" s="348"/>
      <c r="O41" s="124"/>
      <c r="P41" s="253">
        <v>1</v>
      </c>
      <c r="T41" s="124"/>
      <c r="Y41" s="124"/>
    </row>
    <row r="42" spans="1:25" s="120" customFormat="1" hidden="1">
      <c r="A42" s="1530"/>
      <c r="B42" s="159" t="s">
        <v>727</v>
      </c>
      <c r="C42" s="2919" t="s">
        <v>775</v>
      </c>
      <c r="D42" s="2920"/>
      <c r="E42" s="2920"/>
      <c r="F42" s="2920"/>
      <c r="G42" s="2920"/>
      <c r="H42" s="2920"/>
      <c r="I42" s="2920"/>
      <c r="J42" s="2921"/>
      <c r="K42" s="348"/>
      <c r="L42" s="348"/>
      <c r="O42" s="124"/>
      <c r="P42" s="253">
        <v>1</v>
      </c>
      <c r="T42" s="124"/>
      <c r="Y42" s="124"/>
    </row>
    <row r="43" spans="1:25" ht="13.5" hidden="1" customHeight="1">
      <c r="A43" s="1531"/>
      <c r="B43" s="159" t="s">
        <v>730</v>
      </c>
      <c r="C43" s="2919" t="s">
        <v>776</v>
      </c>
      <c r="D43" s="2920"/>
      <c r="E43" s="2920"/>
      <c r="F43" s="2920"/>
      <c r="G43" s="2920"/>
      <c r="H43" s="2920"/>
      <c r="I43" s="2920"/>
      <c r="J43" s="2921"/>
      <c r="K43" s="348"/>
      <c r="L43" s="348"/>
      <c r="O43" s="124"/>
      <c r="P43" s="158">
        <v>1</v>
      </c>
      <c r="T43" s="124"/>
      <c r="Y43" s="124"/>
    </row>
    <row r="44" spans="1:25" ht="35.25" hidden="1" customHeight="1">
      <c r="A44" s="1531"/>
      <c r="B44" s="159" t="s">
        <v>734</v>
      </c>
      <c r="C44" s="2919" t="s">
        <v>777</v>
      </c>
      <c r="D44" s="2920"/>
      <c r="E44" s="2920"/>
      <c r="F44" s="2920"/>
      <c r="G44" s="2920"/>
      <c r="H44" s="2920"/>
      <c r="I44" s="2920"/>
      <c r="J44" s="2921"/>
      <c r="K44" s="348"/>
      <c r="L44" s="348"/>
      <c r="P44" s="161" t="s">
        <v>778</v>
      </c>
    </row>
    <row r="45" spans="1:25" ht="267.75" hidden="1" customHeight="1">
      <c r="A45" s="1531"/>
      <c r="B45" s="159" t="s">
        <v>737</v>
      </c>
      <c r="C45" s="2919" t="s">
        <v>779</v>
      </c>
      <c r="D45" s="2920"/>
      <c r="E45" s="2920"/>
      <c r="F45" s="2920"/>
      <c r="G45" s="2920"/>
      <c r="H45" s="2920"/>
      <c r="I45" s="2920"/>
      <c r="J45" s="2921"/>
      <c r="K45" s="348"/>
      <c r="L45" s="348"/>
      <c r="P45" s="202" t="s">
        <v>780</v>
      </c>
    </row>
    <row r="46" spans="1:25" ht="69.75" hidden="1" customHeight="1">
      <c r="A46" s="1531"/>
      <c r="B46" s="159" t="s">
        <v>743</v>
      </c>
      <c r="C46" s="2919" t="s">
        <v>781</v>
      </c>
      <c r="D46" s="2920"/>
      <c r="E46" s="2920"/>
      <c r="F46" s="2920"/>
      <c r="G46" s="2920"/>
      <c r="H46" s="2920"/>
      <c r="I46" s="2920"/>
      <c r="J46" s="2921"/>
      <c r="K46" s="348"/>
      <c r="L46" s="348"/>
      <c r="P46" s="161" t="s">
        <v>782</v>
      </c>
    </row>
    <row r="47" spans="1:25" ht="47.25" hidden="1" customHeight="1">
      <c r="A47" s="1531"/>
      <c r="B47" s="159" t="s">
        <v>750</v>
      </c>
      <c r="C47" s="2919" t="s">
        <v>783</v>
      </c>
      <c r="D47" s="2920"/>
      <c r="E47" s="2920"/>
      <c r="F47" s="2920"/>
      <c r="G47" s="2920"/>
      <c r="H47" s="2920"/>
      <c r="I47" s="2920"/>
      <c r="J47" s="2921"/>
      <c r="K47" s="348"/>
      <c r="L47" s="1948" t="s">
        <v>784</v>
      </c>
      <c r="P47" s="161" t="s">
        <v>195</v>
      </c>
    </row>
    <row r="48" spans="1:25" ht="49.15" hidden="1" customHeight="1">
      <c r="A48" s="1531"/>
      <c r="B48" s="159" t="s">
        <v>756</v>
      </c>
      <c r="C48" s="2919" t="s">
        <v>785</v>
      </c>
      <c r="D48" s="2920"/>
      <c r="E48" s="2920"/>
      <c r="F48" s="2920"/>
      <c r="G48" s="2920"/>
      <c r="H48" s="2920"/>
      <c r="I48" s="2920"/>
      <c r="J48" s="2921"/>
      <c r="K48" s="348"/>
      <c r="L48" s="1948" t="s">
        <v>784</v>
      </c>
      <c r="P48" s="161" t="s">
        <v>195</v>
      </c>
    </row>
    <row r="49" spans="1:16" ht="93.75" hidden="1" customHeight="1" thickBot="1">
      <c r="A49" s="1531"/>
      <c r="B49" s="183" t="s">
        <v>762</v>
      </c>
      <c r="C49" s="2922" t="s">
        <v>786</v>
      </c>
      <c r="D49" s="2923"/>
      <c r="E49" s="2923"/>
      <c r="F49" s="2923"/>
      <c r="G49" s="2923"/>
      <c r="H49" s="2923"/>
      <c r="I49" s="2923"/>
      <c r="J49" s="2924"/>
      <c r="K49" s="348"/>
      <c r="L49" s="348"/>
      <c r="P49" s="161" t="s">
        <v>787</v>
      </c>
    </row>
    <row r="50" spans="1:16" hidden="1">
      <c r="A50" s="1531"/>
      <c r="P50" s="254"/>
    </row>
  </sheetData>
  <sheetProtection algorithmName="SHA-512" hashValue="agaReJlEf8ZkJJPuqu4BK9hSps3nWiCOUqxc2kGCWaPDVGrFMF2TM2P4OXVmBQG9lcTNCYQI97htq1Bog1jKTw==" saltValue="AK2gjqAWzwedCmIqOljM4A==" spinCount="100000" sheet="1" objects="1" scenarios="1"/>
  <mergeCells count="26">
    <mergeCell ref="AA3:AB4"/>
    <mergeCell ref="AD3:AD4"/>
    <mergeCell ref="AE3:AE4"/>
    <mergeCell ref="AF3:AI3"/>
    <mergeCell ref="U3:X4"/>
    <mergeCell ref="P3:S4"/>
    <mergeCell ref="C40:J40"/>
    <mergeCell ref="B3:C4"/>
    <mergeCell ref="E3:E4"/>
    <mergeCell ref="F3:F4"/>
    <mergeCell ref="G3:J3"/>
    <mergeCell ref="B25:C25"/>
    <mergeCell ref="C37:J37"/>
    <mergeCell ref="C38:J38"/>
    <mergeCell ref="C39:J39"/>
    <mergeCell ref="L3:L4"/>
    <mergeCell ref="M3:M4"/>
    <mergeCell ref="C46:J46"/>
    <mergeCell ref="C49:J49"/>
    <mergeCell ref="C47:J47"/>
    <mergeCell ref="C48:J48"/>
    <mergeCell ref="C41:J41"/>
    <mergeCell ref="C42:J42"/>
    <mergeCell ref="C43:J43"/>
    <mergeCell ref="C44:J44"/>
    <mergeCell ref="C45:J45"/>
  </mergeCells>
  <conditionalFormatting sqref="M9:M10 M6">
    <cfRule type="cellIs" dxfId="524" priority="19" operator="equal">
      <formula>0</formula>
    </cfRule>
  </conditionalFormatting>
  <conditionalFormatting sqref="M14">
    <cfRule type="cellIs" dxfId="523" priority="18" operator="equal">
      <formula>0</formula>
    </cfRule>
  </conditionalFormatting>
  <conditionalFormatting sqref="M16:M17">
    <cfRule type="cellIs" dxfId="522" priority="17" operator="equal">
      <formula>0</formula>
    </cfRule>
  </conditionalFormatting>
  <conditionalFormatting sqref="M20:M21">
    <cfRule type="cellIs" dxfId="521" priority="16" operator="equal">
      <formula>0</formula>
    </cfRule>
  </conditionalFormatting>
  <conditionalFormatting sqref="M23">
    <cfRule type="cellIs" dxfId="520" priority="15" operator="equal">
      <formula>0</formula>
    </cfRule>
  </conditionalFormatting>
  <conditionalFormatting sqref="L6">
    <cfRule type="cellIs" dxfId="519" priority="14" operator="equal">
      <formula>0</formula>
    </cfRule>
  </conditionalFormatting>
  <conditionalFormatting sqref="L14">
    <cfRule type="cellIs" dxfId="518" priority="10" operator="equal">
      <formula>0</formula>
    </cfRule>
  </conditionalFormatting>
  <conditionalFormatting sqref="L16">
    <cfRule type="cellIs" dxfId="517" priority="9" operator="equal">
      <formula>0</formula>
    </cfRule>
  </conditionalFormatting>
  <conditionalFormatting sqref="L17">
    <cfRule type="cellIs" dxfId="516" priority="8" operator="equal">
      <formula>0</formula>
    </cfRule>
  </conditionalFormatting>
  <conditionalFormatting sqref="L21">
    <cfRule type="cellIs" dxfId="515" priority="6" operator="equal">
      <formula>0</formula>
    </cfRule>
  </conditionalFormatting>
  <conditionalFormatting sqref="L23">
    <cfRule type="cellIs" dxfId="514" priority="5" operator="equal">
      <formula>0</formula>
    </cfRule>
  </conditionalFormatting>
  <conditionalFormatting sqref="L20">
    <cfRule type="cellIs" dxfId="513"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86" orientation="landscape" r:id="rId1"/>
  <headerFooter>
    <oddHeader>&amp;L&amp;9&amp;K857362Page &amp;P of &amp;N&amp;C&amp;9 &amp;K8573622019-20 annual performance report tables&amp;R&amp;G</oddHeader>
    <oddFooter>&amp;L&amp;9&amp;K857362&amp;A&amp;R&amp;9&amp;K857362Printed: &amp;D &amp;T</oddFooter>
  </headerFooter>
  <rowBreaks count="1" manualBreakCount="1">
    <brk id="33" max="21"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0">
    <pageSetUpPr fitToPage="1"/>
  </sheetPr>
  <dimension ref="A1:BH79"/>
  <sheetViews>
    <sheetView topLeftCell="A16" zoomScale="70" zoomScaleNormal="70" workbookViewId="0">
      <selection activeCell="Q34" sqref="Q34"/>
    </sheetView>
  </sheetViews>
  <sheetFormatPr defaultColWidth="0" defaultRowHeight="14" zeroHeight="1"/>
  <cols>
    <col min="1" max="1" width="0.58203125" style="70" customWidth="1"/>
    <col min="2" max="2" width="7.58203125" style="70" customWidth="1"/>
    <col min="3" max="3" width="38.08203125" style="70" customWidth="1"/>
    <col min="4" max="4" width="2.58203125" style="70" hidden="1" customWidth="1"/>
    <col min="5" max="6" width="5.08203125" style="70" customWidth="1"/>
    <col min="7" max="18" width="12.5" style="70" customWidth="1"/>
    <col min="19" max="19" width="2.58203125" style="70" customWidth="1"/>
    <col min="20" max="20" width="27" style="70" customWidth="1"/>
    <col min="21" max="21" width="1.58203125" style="70" customWidth="1"/>
    <col min="22" max="22" width="1.58203125" style="71" customWidth="1"/>
    <col min="23" max="34" width="5.58203125" style="70" hidden="1" customWidth="1"/>
    <col min="35" max="35" width="1.58203125" style="71" hidden="1" customWidth="1"/>
    <col min="36" max="36" width="8.08203125" style="70" hidden="1" customWidth="1"/>
    <col min="37" max="41" width="8.58203125" style="70" hidden="1" customWidth="1"/>
    <col min="42" max="42" width="8.08203125" style="70" hidden="1" customWidth="1"/>
    <col min="43" max="43" width="7.58203125" style="70" customWidth="1"/>
    <col min="44" max="44" width="38.08203125" style="70" customWidth="1"/>
    <col min="45" max="45" width="12.5" style="70" customWidth="1"/>
    <col min="46" max="47" width="5.08203125" style="70" customWidth="1"/>
    <col min="48" max="59" width="13.25" style="70" customWidth="1"/>
    <col min="60" max="60" width="1.58203125" style="70" customWidth="1"/>
    <col min="61" max="16384" width="8.08203125" style="70" hidden="1"/>
  </cols>
  <sheetData>
    <row r="1" spans="2:59" ht="20">
      <c r="B1" s="66" t="s">
        <v>788</v>
      </c>
      <c r="C1" s="66"/>
      <c r="D1" s="66"/>
      <c r="E1" s="66"/>
      <c r="F1" s="66"/>
      <c r="G1" s="66"/>
      <c r="H1" s="66"/>
      <c r="I1" s="66"/>
      <c r="J1" s="66"/>
      <c r="K1" s="66"/>
      <c r="L1" s="66"/>
      <c r="M1" s="66"/>
      <c r="N1" s="66"/>
      <c r="O1" s="66"/>
      <c r="P1" s="66"/>
      <c r="Q1" s="66"/>
      <c r="R1" s="68" t="str">
        <f>Validation!B3</f>
        <v>Bristol Water</v>
      </c>
      <c r="S1" s="66"/>
      <c r="T1" s="69" t="s">
        <v>32</v>
      </c>
      <c r="AQ1" s="66" t="s">
        <v>33</v>
      </c>
      <c r="AR1" s="66"/>
      <c r="AS1" s="66"/>
      <c r="AT1" s="66"/>
      <c r="AU1" s="66"/>
    </row>
    <row r="2" spans="2:59" ht="14.5" thickBot="1">
      <c r="B2" s="73" t="str">
        <f>'1E'!B2</f>
        <v>For the 12 months ended 31 March 2020</v>
      </c>
      <c r="AQ2" s="73" t="str">
        <f>B2</f>
        <v>For the 12 months ended 31 March 2020</v>
      </c>
    </row>
    <row r="3" spans="2:59" ht="15" customHeight="1" thickBot="1">
      <c r="B3" s="2894" t="s">
        <v>34</v>
      </c>
      <c r="C3" s="2895"/>
      <c r="D3" s="2820" t="s">
        <v>35</v>
      </c>
      <c r="E3" s="2898" t="s">
        <v>36</v>
      </c>
      <c r="F3" s="2900" t="s">
        <v>37</v>
      </c>
      <c r="G3" s="2938" t="s">
        <v>789</v>
      </c>
      <c r="H3" s="2939"/>
      <c r="I3" s="2939"/>
      <c r="J3" s="2939"/>
      <c r="K3" s="2939"/>
      <c r="L3" s="2940"/>
      <c r="M3" s="2938" t="s">
        <v>790</v>
      </c>
      <c r="N3" s="2939"/>
      <c r="O3" s="2939"/>
      <c r="P3" s="2939"/>
      <c r="Q3" s="2939"/>
      <c r="R3" s="2940"/>
      <c r="T3" s="2907" t="s">
        <v>41</v>
      </c>
      <c r="AQ3" s="2894" t="s">
        <v>34</v>
      </c>
      <c r="AR3" s="2895"/>
      <c r="AS3" s="2898" t="s">
        <v>35</v>
      </c>
      <c r="AT3" s="2898" t="s">
        <v>36</v>
      </c>
      <c r="AU3" s="2900" t="s">
        <v>37</v>
      </c>
      <c r="AV3" s="2938" t="s">
        <v>789</v>
      </c>
      <c r="AW3" s="2939"/>
      <c r="AX3" s="2939"/>
      <c r="AY3" s="2939"/>
      <c r="AZ3" s="2939"/>
      <c r="BA3" s="2940"/>
      <c r="BB3" s="2938" t="s">
        <v>790</v>
      </c>
      <c r="BC3" s="2939"/>
      <c r="BD3" s="2939"/>
      <c r="BE3" s="2939"/>
      <c r="BF3" s="2939"/>
      <c r="BG3" s="2940"/>
    </row>
    <row r="4" spans="2:59" ht="15" customHeight="1" thickBot="1">
      <c r="B4" s="2934"/>
      <c r="C4" s="2935"/>
      <c r="D4" s="2825"/>
      <c r="E4" s="2936"/>
      <c r="F4" s="2937"/>
      <c r="G4" s="2931" t="s">
        <v>732</v>
      </c>
      <c r="H4" s="2931"/>
      <c r="I4" s="2931"/>
      <c r="J4" s="2931" t="s">
        <v>49</v>
      </c>
      <c r="K4" s="2931"/>
      <c r="L4" s="2931"/>
      <c r="M4" s="2931" t="s">
        <v>732</v>
      </c>
      <c r="N4" s="2931"/>
      <c r="O4" s="2931"/>
      <c r="P4" s="2931" t="s">
        <v>49</v>
      </c>
      <c r="Q4" s="2931"/>
      <c r="R4" s="2931"/>
      <c r="T4" s="2933"/>
      <c r="AQ4" s="2934"/>
      <c r="AR4" s="2935"/>
      <c r="AS4" s="2936"/>
      <c r="AT4" s="2936"/>
      <c r="AU4" s="2937"/>
      <c r="AV4" s="2931" t="s">
        <v>732</v>
      </c>
      <c r="AW4" s="2931"/>
      <c r="AX4" s="2931"/>
      <c r="AY4" s="2931" t="s">
        <v>791</v>
      </c>
      <c r="AZ4" s="2931"/>
      <c r="BA4" s="2931"/>
      <c r="BB4" s="2931" t="s">
        <v>732</v>
      </c>
      <c r="BC4" s="2931"/>
      <c r="BD4" s="2931"/>
      <c r="BE4" s="2931" t="s">
        <v>791</v>
      </c>
      <c r="BF4" s="2931"/>
      <c r="BG4" s="2931"/>
    </row>
    <row r="5" spans="2:59" ht="54.75" customHeight="1" thickBot="1">
      <c r="B5" s="2896"/>
      <c r="C5" s="2897"/>
      <c r="D5" s="2821"/>
      <c r="E5" s="2899"/>
      <c r="F5" s="2901"/>
      <c r="G5" s="1894" t="s">
        <v>792</v>
      </c>
      <c r="H5" s="1894" t="s">
        <v>793</v>
      </c>
      <c r="I5" s="1894" t="s">
        <v>794</v>
      </c>
      <c r="J5" s="1894" t="s">
        <v>792</v>
      </c>
      <c r="K5" s="1894" t="s">
        <v>793</v>
      </c>
      <c r="L5" s="1894" t="s">
        <v>794</v>
      </c>
      <c r="M5" s="1894" t="s">
        <v>792</v>
      </c>
      <c r="N5" s="1894" t="s">
        <v>793</v>
      </c>
      <c r="O5" s="1894" t="s">
        <v>794</v>
      </c>
      <c r="P5" s="1894" t="s">
        <v>792</v>
      </c>
      <c r="Q5" s="1894" t="s">
        <v>793</v>
      </c>
      <c r="R5" s="1894" t="s">
        <v>794</v>
      </c>
      <c r="T5" s="2908"/>
      <c r="U5" s="79"/>
      <c r="W5" s="2909" t="s">
        <v>45</v>
      </c>
      <c r="X5" s="2909"/>
      <c r="Y5" s="2909"/>
      <c r="Z5" s="2822"/>
      <c r="AA5" s="2822"/>
      <c r="AB5" s="2822"/>
      <c r="AC5" s="2822"/>
      <c r="AD5" s="2822"/>
      <c r="AE5" s="2822"/>
      <c r="AF5" s="2822"/>
      <c r="AG5" s="2822"/>
      <c r="AH5" s="2822"/>
      <c r="AQ5" s="2896"/>
      <c r="AR5" s="2897"/>
      <c r="AS5" s="2899"/>
      <c r="AT5" s="2899"/>
      <c r="AU5" s="2901"/>
      <c r="AV5" s="1894" t="s">
        <v>792</v>
      </c>
      <c r="AW5" s="1894" t="s">
        <v>793</v>
      </c>
      <c r="AX5" s="1894" t="s">
        <v>794</v>
      </c>
      <c r="AY5" s="1894" t="s">
        <v>792</v>
      </c>
      <c r="AZ5" s="1894" t="s">
        <v>793</v>
      </c>
      <c r="BA5" s="1894" t="s">
        <v>794</v>
      </c>
      <c r="BB5" s="1894" t="s">
        <v>792</v>
      </c>
      <c r="BC5" s="1894" t="s">
        <v>793</v>
      </c>
      <c r="BD5" s="1894" t="s">
        <v>794</v>
      </c>
      <c r="BE5" s="1894" t="s">
        <v>792</v>
      </c>
      <c r="BF5" s="1894" t="s">
        <v>793</v>
      </c>
      <c r="BG5" s="1894" t="s">
        <v>794</v>
      </c>
    </row>
    <row r="6" spans="2:59" ht="14.5" thickBot="1">
      <c r="AV6" s="2151" t="s">
        <v>795</v>
      </c>
      <c r="AW6" s="2151" t="s">
        <v>796</v>
      </c>
      <c r="AX6" s="2151" t="s">
        <v>797</v>
      </c>
      <c r="AY6" s="2151" t="s">
        <v>798</v>
      </c>
      <c r="AZ6" s="2151" t="s">
        <v>799</v>
      </c>
      <c r="BA6" s="2151" t="s">
        <v>800</v>
      </c>
      <c r="BB6" s="2151" t="s">
        <v>801</v>
      </c>
      <c r="BC6" s="2151" t="s">
        <v>802</v>
      </c>
      <c r="BD6" s="2151" t="s">
        <v>803</v>
      </c>
      <c r="BE6" s="2151" t="s">
        <v>804</v>
      </c>
      <c r="BF6" s="2151" t="s">
        <v>805</v>
      </c>
      <c r="BG6" s="2151" t="s">
        <v>806</v>
      </c>
    </row>
    <row r="7" spans="2:59" ht="14.5" thickBot="1">
      <c r="B7" s="2865" t="s">
        <v>153</v>
      </c>
      <c r="C7" s="2150"/>
      <c r="D7" s="1473"/>
      <c r="W7" s="85" t="s">
        <v>46</v>
      </c>
      <c r="AQ7" s="2865" t="str">
        <f t="shared" ref="AQ7:AR7" si="0">+B7</f>
        <v>A</v>
      </c>
      <c r="AR7" s="83">
        <f t="shared" si="0"/>
        <v>0</v>
      </c>
      <c r="AS7" s="1473"/>
    </row>
    <row r="8" spans="2:59" ht="14.5" thickBot="1">
      <c r="B8" s="86" t="s">
        <v>807</v>
      </c>
      <c r="C8" s="117" t="s">
        <v>808</v>
      </c>
      <c r="D8" s="117"/>
      <c r="E8" s="88" t="s">
        <v>49</v>
      </c>
      <c r="F8" s="89">
        <v>3</v>
      </c>
      <c r="G8" s="1896">
        <v>5.8000000000000003E-2</v>
      </c>
      <c r="H8" s="2152">
        <f>IFERROR(+K8/H$11,0)</f>
        <v>5.1929123361821719E-2</v>
      </c>
      <c r="I8" s="2161">
        <f>+G8</f>
        <v>5.8000000000000003E-2</v>
      </c>
      <c r="J8" s="636">
        <f>+G$11*G8</f>
        <v>10.050646</v>
      </c>
      <c r="K8" s="189">
        <f>+L8</f>
        <v>8.9986420000000003</v>
      </c>
      <c r="L8" s="190">
        <f>+I$11*I8</f>
        <v>8.9986420000000003</v>
      </c>
      <c r="M8" s="2154">
        <v>5.800000000000001E-2</v>
      </c>
      <c r="N8" s="2152">
        <f t="shared" ref="N8:N9" si="1">IFERROR(+Q8/N$11,0)</f>
        <v>5.1902375301282416E-2</v>
      </c>
      <c r="O8" s="2161">
        <f>+M8</f>
        <v>5.800000000000001E-2</v>
      </c>
      <c r="P8" s="636">
        <f>+M$11*M8</f>
        <v>9.4570740000000022</v>
      </c>
      <c r="Q8" s="189">
        <f>+R8</f>
        <v>8.4628380000000014</v>
      </c>
      <c r="R8" s="190">
        <f>+O$11*O8</f>
        <v>8.4628380000000014</v>
      </c>
      <c r="T8" s="1339">
        <f xml:space="preserve"> IF( SUM( V8:AI8 ) = 0, 0, $W$7 )</f>
        <v>0</v>
      </c>
      <c r="W8" s="93">
        <f t="shared" ref="W8:Y11" si="2" xml:space="preserve"> IF( ISNUMBER( G8 ), 0, 1 )</f>
        <v>0</v>
      </c>
      <c r="X8" s="127"/>
      <c r="Y8" s="127"/>
      <c r="Z8" s="127"/>
      <c r="AA8" s="127"/>
      <c r="AB8" s="127"/>
      <c r="AC8" s="93">
        <f t="shared" ref="AC8:AC9" si="3" xml:space="preserve"> IF( ISNUMBER( M8 ), 0, 1 )</f>
        <v>0</v>
      </c>
      <c r="AD8" s="127"/>
      <c r="AE8" s="127"/>
      <c r="AF8" s="127"/>
      <c r="AG8" s="127"/>
      <c r="AH8" s="127"/>
      <c r="AQ8" s="86" t="str">
        <f>+B8</f>
        <v>1F.1</v>
      </c>
      <c r="AR8" s="117" t="str">
        <f t="shared" ref="AR8:AR11" si="4">+C8</f>
        <v>Return on regulatory equity</v>
      </c>
      <c r="AS8" s="117" t="s">
        <v>809</v>
      </c>
      <c r="AT8" s="88" t="s">
        <v>49</v>
      </c>
      <c r="AU8" s="89">
        <v>3</v>
      </c>
      <c r="AV8" s="2208" t="str">
        <f>$AS8&amp;AV$6</f>
        <v>CR12501NNP</v>
      </c>
      <c r="AW8" s="2240" t="str">
        <f t="shared" ref="AW8:BG11" si="5">$AS8&amp;AW$6</f>
        <v>CR12501ANP</v>
      </c>
      <c r="AX8" s="2240" t="str">
        <f t="shared" si="5"/>
        <v>CR12501AAP</v>
      </c>
      <c r="AY8" s="2241" t="str">
        <f t="shared" si="5"/>
        <v>CR12501NNV</v>
      </c>
      <c r="AZ8" s="2241" t="str">
        <f t="shared" si="5"/>
        <v>CR12501ANV</v>
      </c>
      <c r="BA8" s="2241" t="str">
        <f t="shared" si="5"/>
        <v>CR12501AAV</v>
      </c>
      <c r="BB8" s="2209" t="str">
        <f t="shared" si="5"/>
        <v>CR12501NNPA</v>
      </c>
      <c r="BC8" s="2240" t="str">
        <f t="shared" si="5"/>
        <v>CR12501ANPA</v>
      </c>
      <c r="BD8" s="2240" t="str">
        <f t="shared" si="5"/>
        <v>CR12501AAPA</v>
      </c>
      <c r="BE8" s="2241" t="str">
        <f t="shared" si="5"/>
        <v>CR12501NNVA</v>
      </c>
      <c r="BF8" s="2241" t="str">
        <f t="shared" si="5"/>
        <v>CR12501ANVA</v>
      </c>
      <c r="BG8" s="1883" t="str">
        <f t="shared" si="5"/>
        <v>CR12501AAVA</v>
      </c>
    </row>
    <row r="9" spans="2:59" ht="14.5" thickBot="1">
      <c r="B9" s="94" t="s">
        <v>810</v>
      </c>
      <c r="C9" s="87" t="s">
        <v>811</v>
      </c>
      <c r="D9" s="87"/>
      <c r="E9" s="95" t="s">
        <v>49</v>
      </c>
      <c r="F9" s="96">
        <v>3</v>
      </c>
      <c r="G9" s="1897">
        <v>-1.1299999999999999E-3</v>
      </c>
      <c r="H9" s="1899">
        <f>IFERROR(+K9/H$11,0)</f>
        <v>-1.0117225758423886E-3</v>
      </c>
      <c r="I9" s="2162">
        <f>+G9</f>
        <v>-1.1299999999999999E-3</v>
      </c>
      <c r="J9" s="243">
        <f>+G$11*G9</f>
        <v>-0.19581430999999999</v>
      </c>
      <c r="K9" s="244">
        <f>+L9</f>
        <v>-0.17531837</v>
      </c>
      <c r="L9" s="191">
        <f>+I$11*I9</f>
        <v>-0.17531837</v>
      </c>
      <c r="M9" s="2155">
        <v>-1.1999999999999999E-3</v>
      </c>
      <c r="N9" s="1899">
        <f t="shared" si="1"/>
        <v>-1.0738422476127393E-3</v>
      </c>
      <c r="O9" s="2162">
        <f>+M9</f>
        <v>-1.1999999999999999E-3</v>
      </c>
      <c r="P9" s="243">
        <f>+M$11*M9</f>
        <v>-0.19566359999999999</v>
      </c>
      <c r="Q9" s="244">
        <f>+R9</f>
        <v>-0.17509319999999998</v>
      </c>
      <c r="R9" s="191">
        <f>+O$11*O9</f>
        <v>-0.17509319999999998</v>
      </c>
      <c r="T9" s="1339">
        <f xml:space="preserve"> IF( SUM( V9:AI9 ) = 0, 0, $W$7 )</f>
        <v>0</v>
      </c>
      <c r="W9" s="93">
        <f t="shared" si="2"/>
        <v>0</v>
      </c>
      <c r="X9" s="127"/>
      <c r="Y9" s="127"/>
      <c r="Z9" s="127"/>
      <c r="AA9" s="127"/>
      <c r="AB9" s="127"/>
      <c r="AC9" s="93">
        <f t="shared" si="3"/>
        <v>0</v>
      </c>
      <c r="AD9" s="127"/>
      <c r="AE9" s="127"/>
      <c r="AF9" s="127"/>
      <c r="AG9" s="127"/>
      <c r="AH9" s="127"/>
      <c r="AQ9" s="94" t="str">
        <f t="shared" ref="AQ9:AQ11" si="6">+B9</f>
        <v>1F.2</v>
      </c>
      <c r="AR9" s="87" t="str">
        <f t="shared" si="4"/>
        <v>Actual performance adjustment 2010-15</v>
      </c>
      <c r="AS9" s="117" t="s">
        <v>812</v>
      </c>
      <c r="AT9" s="95" t="s">
        <v>49</v>
      </c>
      <c r="AU9" s="96">
        <v>3</v>
      </c>
      <c r="AV9" s="2210" t="str">
        <f t="shared" ref="AV9:AV11" si="7">$AS9&amp;AV$6</f>
        <v>CR12502NNP</v>
      </c>
      <c r="AW9" s="2213" t="str">
        <f t="shared" si="5"/>
        <v>CR12502ANP</v>
      </c>
      <c r="AX9" s="2213" t="str">
        <f t="shared" si="5"/>
        <v>CR12502AAP</v>
      </c>
      <c r="AY9" s="1983" t="str">
        <f t="shared" si="5"/>
        <v>CR12502NNV</v>
      </c>
      <c r="AZ9" s="1983" t="str">
        <f t="shared" si="5"/>
        <v>CR12502ANV</v>
      </c>
      <c r="BA9" s="1983" t="str">
        <f t="shared" si="5"/>
        <v>CR12502AAV</v>
      </c>
      <c r="BB9" s="2211" t="str">
        <f t="shared" si="5"/>
        <v>CR12502NNPA</v>
      </c>
      <c r="BC9" s="2213" t="str">
        <f t="shared" si="5"/>
        <v>CR12502ANPA</v>
      </c>
      <c r="BD9" s="2213" t="str">
        <f t="shared" si="5"/>
        <v>CR12502AAPA</v>
      </c>
      <c r="BE9" s="1983" t="str">
        <f t="shared" si="5"/>
        <v>CR12502NNVA</v>
      </c>
      <c r="BF9" s="1983" t="str">
        <f t="shared" si="5"/>
        <v>CR12502ANVA</v>
      </c>
      <c r="BG9" s="1885" t="str">
        <f t="shared" si="5"/>
        <v>CR12502AAVA</v>
      </c>
    </row>
    <row r="10" spans="2:59" ht="14.5" thickBot="1">
      <c r="B10" s="94" t="s">
        <v>813</v>
      </c>
      <c r="C10" s="87" t="s">
        <v>814</v>
      </c>
      <c r="D10" s="87"/>
      <c r="E10" s="95" t="s">
        <v>49</v>
      </c>
      <c r="F10" s="96">
        <v>3</v>
      </c>
      <c r="G10" s="1898">
        <f>SUM(G8:G9)</f>
        <v>5.6870000000000004E-2</v>
      </c>
      <c r="H10" s="1899">
        <f t="shared" ref="H10:I10" si="8">SUM(H8:H9)</f>
        <v>5.0917400785979332E-2</v>
      </c>
      <c r="I10" s="2162">
        <f t="shared" si="8"/>
        <v>5.6870000000000004E-2</v>
      </c>
      <c r="J10" s="243">
        <f t="shared" ref="J10:L10" si="9">J9+J8</f>
        <v>9.854831690000001</v>
      </c>
      <c r="K10" s="244">
        <f t="shared" si="9"/>
        <v>8.8233236300000009</v>
      </c>
      <c r="L10" s="191">
        <f t="shared" si="9"/>
        <v>8.8233236300000009</v>
      </c>
      <c r="M10" s="2156">
        <f>SUM(M8:M9)</f>
        <v>5.680000000000001E-2</v>
      </c>
      <c r="N10" s="1899">
        <f t="shared" ref="N10" si="10">SUM(N8:N9)</f>
        <v>5.0828533053669675E-2</v>
      </c>
      <c r="O10" s="2162">
        <f t="shared" ref="O10" si="11">SUM(O8:O9)</f>
        <v>5.680000000000001E-2</v>
      </c>
      <c r="P10" s="243">
        <f t="shared" ref="P10:R10" si="12">P9+P8</f>
        <v>9.2614104000000026</v>
      </c>
      <c r="Q10" s="244">
        <f t="shared" si="12"/>
        <v>8.2877448000000022</v>
      </c>
      <c r="R10" s="191">
        <f t="shared" si="12"/>
        <v>8.2877448000000022</v>
      </c>
      <c r="T10" s="1339">
        <f xml:space="preserve"> IF( SUM( V10:AI10 ) = 0, 0, $W$7 )</f>
        <v>0</v>
      </c>
      <c r="AD10" s="192"/>
      <c r="AE10" s="192"/>
      <c r="AF10" s="192"/>
      <c r="AG10" s="192"/>
      <c r="AH10" s="192"/>
      <c r="AQ10" s="94" t="str">
        <f t="shared" si="6"/>
        <v>1F.3</v>
      </c>
      <c r="AR10" s="87" t="str">
        <f t="shared" si="4"/>
        <v>Adjusted Return on regulatory equity</v>
      </c>
      <c r="AS10" s="117" t="s">
        <v>815</v>
      </c>
      <c r="AT10" s="95" t="s">
        <v>49</v>
      </c>
      <c r="AU10" s="96">
        <v>3</v>
      </c>
      <c r="AV10" s="2212" t="str">
        <f t="shared" si="7"/>
        <v>CR12503NNP</v>
      </c>
      <c r="AW10" s="2213" t="str">
        <f t="shared" si="5"/>
        <v>CR12503ANP</v>
      </c>
      <c r="AX10" s="2213" t="str">
        <f t="shared" si="5"/>
        <v>CR12503AAP</v>
      </c>
      <c r="AY10" s="1983" t="str">
        <f t="shared" si="5"/>
        <v>CR12503NNV</v>
      </c>
      <c r="AZ10" s="1983" t="str">
        <f t="shared" si="5"/>
        <v>CR12503ANV</v>
      </c>
      <c r="BA10" s="1983" t="str">
        <f t="shared" si="5"/>
        <v>CR12503AAV</v>
      </c>
      <c r="BB10" s="2213" t="str">
        <f t="shared" si="5"/>
        <v>CR12503NNPA</v>
      </c>
      <c r="BC10" s="2213" t="str">
        <f t="shared" si="5"/>
        <v>CR12503ANPA</v>
      </c>
      <c r="BD10" s="2213" t="str">
        <f t="shared" si="5"/>
        <v>CR12503AAPA</v>
      </c>
      <c r="BE10" s="1983" t="str">
        <f t="shared" si="5"/>
        <v>CR12503NNVA</v>
      </c>
      <c r="BF10" s="1983" t="str">
        <f t="shared" si="5"/>
        <v>CR12503ANVA</v>
      </c>
      <c r="BG10" s="1885" t="str">
        <f t="shared" si="5"/>
        <v>CR12503AAVA</v>
      </c>
    </row>
    <row r="11" spans="2:59" ht="14.5" thickBot="1">
      <c r="B11" s="101" t="s">
        <v>816</v>
      </c>
      <c r="C11" s="102" t="s">
        <v>817</v>
      </c>
      <c r="D11" s="102"/>
      <c r="E11" s="103" t="s">
        <v>49</v>
      </c>
      <c r="F11" s="100">
        <v>3</v>
      </c>
      <c r="G11" s="2176">
        <v>173.28700000000001</v>
      </c>
      <c r="H11" s="2177">
        <f>G11</f>
        <v>173.28700000000001</v>
      </c>
      <c r="I11" s="2178">
        <v>155.149</v>
      </c>
      <c r="J11" s="2179"/>
      <c r="K11" s="2179"/>
      <c r="L11" s="2179"/>
      <c r="M11" s="2176">
        <v>163.053</v>
      </c>
      <c r="N11" s="2177">
        <f>M11</f>
        <v>163.053</v>
      </c>
      <c r="O11" s="2178">
        <v>145.911</v>
      </c>
      <c r="T11" s="1339">
        <f xml:space="preserve"> IF( SUM( V11:AI11 ) = 0, 0, $W$7 )</f>
        <v>0</v>
      </c>
      <c r="W11" s="93">
        <f t="shared" si="2"/>
        <v>0</v>
      </c>
      <c r="X11" s="127"/>
      <c r="Y11" s="93">
        <f t="shared" si="2"/>
        <v>0</v>
      </c>
      <c r="Z11" s="127"/>
      <c r="AA11" s="127"/>
      <c r="AB11" s="127"/>
      <c r="AC11" s="93">
        <f t="shared" ref="AC11" si="13" xml:space="preserve"> IF( ISNUMBER( M11 ), 0, 1 )</f>
        <v>0</v>
      </c>
      <c r="AD11" s="127"/>
      <c r="AE11" s="93">
        <f t="shared" ref="AE11" si="14" xml:space="preserve"> IF( ISNUMBER( O11 ), 0, 1 )</f>
        <v>0</v>
      </c>
      <c r="AF11" s="127"/>
      <c r="AG11" s="127"/>
      <c r="AH11" s="127"/>
      <c r="AQ11" s="94" t="str">
        <f t="shared" si="6"/>
        <v>1F.4</v>
      </c>
      <c r="AR11" s="87" t="str">
        <f t="shared" si="4"/>
        <v>Regulatory equity</v>
      </c>
      <c r="AS11" s="117" t="s">
        <v>818</v>
      </c>
      <c r="AT11" s="95" t="s">
        <v>49</v>
      </c>
      <c r="AU11" s="96">
        <v>3</v>
      </c>
      <c r="AV11" s="2214" t="str">
        <f t="shared" si="7"/>
        <v>CR12504NNP</v>
      </c>
      <c r="AW11" s="2242" t="str">
        <f t="shared" si="5"/>
        <v>CR12504ANP</v>
      </c>
      <c r="AX11" s="2215" t="str">
        <f t="shared" si="5"/>
        <v>CR12504AAP</v>
      </c>
      <c r="AY11" s="1975"/>
      <c r="AZ11" s="1975"/>
      <c r="BA11" s="1975"/>
      <c r="BB11" s="2215" t="str">
        <f t="shared" si="5"/>
        <v>CR12504NNPA</v>
      </c>
      <c r="BC11" s="2242" t="str">
        <f t="shared" si="5"/>
        <v>CR12504ANPA</v>
      </c>
      <c r="BD11" s="2215" t="str">
        <f t="shared" si="5"/>
        <v>CR12504AAPA</v>
      </c>
      <c r="BE11" s="1975"/>
      <c r="BF11" s="1975"/>
      <c r="BG11" s="1975"/>
    </row>
    <row r="12" spans="2:59" ht="14.5" thickBot="1">
      <c r="T12" s="126"/>
      <c r="AV12" s="2216"/>
      <c r="AW12" s="2216"/>
      <c r="AX12" s="2216"/>
      <c r="AY12" s="1975"/>
      <c r="AZ12" s="1975"/>
      <c r="BA12" s="1975"/>
      <c r="BB12" s="2216"/>
      <c r="BC12" s="2216"/>
      <c r="BD12" s="2216"/>
      <c r="BE12" s="1975"/>
      <c r="BF12" s="1975"/>
      <c r="BG12" s="1975"/>
    </row>
    <row r="13" spans="2:59" ht="14.5" thickBot="1">
      <c r="B13" s="113" t="s">
        <v>175</v>
      </c>
      <c r="C13" s="83" t="s">
        <v>819</v>
      </c>
      <c r="D13" s="1473"/>
      <c r="T13" s="126"/>
      <c r="AQ13" s="113" t="str">
        <f t="shared" ref="AQ13:AR13" si="15">+B13</f>
        <v>B</v>
      </c>
      <c r="AR13" s="83" t="str">
        <f t="shared" si="15"/>
        <v>Financing</v>
      </c>
      <c r="AS13" s="1473"/>
      <c r="AV13" s="2216"/>
      <c r="AW13" s="2216"/>
      <c r="AX13" s="2216"/>
      <c r="AY13" s="1975"/>
      <c r="AZ13" s="1975"/>
      <c r="BA13" s="1975"/>
      <c r="BB13" s="2216"/>
      <c r="BC13" s="2216"/>
      <c r="BD13" s="2216"/>
      <c r="BE13" s="1975"/>
      <c r="BF13" s="1975"/>
      <c r="BG13" s="1975"/>
    </row>
    <row r="14" spans="2:59" ht="14.5" thickBot="1">
      <c r="B14" s="366" t="s">
        <v>820</v>
      </c>
      <c r="C14" s="117" t="s">
        <v>731</v>
      </c>
      <c r="D14" s="117"/>
      <c r="E14" s="88" t="s">
        <v>49</v>
      </c>
      <c r="F14" s="89">
        <v>3</v>
      </c>
      <c r="G14" s="2181">
        <v>0</v>
      </c>
      <c r="H14" s="2169">
        <f>+I14</f>
        <v>-3.5965426783285746E-3</v>
      </c>
      <c r="I14" s="2163">
        <f t="shared" ref="I14:I18" si="16">IFERROR(+L14/I$11,0)</f>
        <v>-3.5965426783285746E-3</v>
      </c>
      <c r="J14" s="2802">
        <v>0</v>
      </c>
      <c r="K14" s="190">
        <f t="shared" ref="K14:K16" si="17">+L14</f>
        <v>-0.55800000000000005</v>
      </c>
      <c r="L14" s="471">
        <v>-0.55800000000000005</v>
      </c>
      <c r="M14" s="2181">
        <v>0</v>
      </c>
      <c r="N14" s="2169">
        <f>+O14</f>
        <v>-3.6045153343910712E-3</v>
      </c>
      <c r="O14" s="2163">
        <f t="shared" ref="O14:O18" si="18">IFERROR(+R14/O$11,0)</f>
        <v>-3.6045153343910712E-3</v>
      </c>
      <c r="P14" s="188">
        <v>0</v>
      </c>
      <c r="Q14" s="196">
        <f t="shared" ref="Q14:Q16" si="19">+R14</f>
        <v>-0.52593843695633558</v>
      </c>
      <c r="R14" s="471">
        <v>-0.52593843695633558</v>
      </c>
      <c r="T14" s="1339">
        <f xml:space="preserve"> IF( SUM( V14:AI14 ) = 0, 0, $W$7 )</f>
        <v>0</v>
      </c>
      <c r="W14" s="127"/>
      <c r="X14" s="127"/>
      <c r="Y14" s="127"/>
      <c r="Z14" s="127"/>
      <c r="AA14" s="127"/>
      <c r="AB14" s="93">
        <f t="shared" ref="AA14:AB18" si="20" xml:space="preserve"> IF( ISNUMBER( L14 ), 0, 1 )</f>
        <v>0</v>
      </c>
      <c r="AC14" s="127"/>
      <c r="AD14" s="127"/>
      <c r="AE14" s="127"/>
      <c r="AF14" s="127"/>
      <c r="AG14" s="127"/>
      <c r="AH14" s="93">
        <f t="shared" ref="AG14:AH18" si="21" xml:space="preserve"> IF( ISNUMBER( R14 ), 0, 1 )</f>
        <v>0</v>
      </c>
      <c r="AQ14" s="366" t="str">
        <f t="shared" ref="AQ14:AQ18" si="22">+B14</f>
        <v>1F.5</v>
      </c>
      <c r="AR14" s="117" t="str">
        <f t="shared" ref="AR14:AR18" si="23">+C14</f>
        <v>Gearing</v>
      </c>
      <c r="AS14" s="117" t="s">
        <v>821</v>
      </c>
      <c r="AT14" s="88" t="s">
        <v>49</v>
      </c>
      <c r="AU14" s="89">
        <v>3</v>
      </c>
      <c r="AV14" s="2243" t="str">
        <f t="shared" ref="AV14:BG18" si="24">$AS14&amp;AV$6</f>
        <v>CR12505NNP</v>
      </c>
      <c r="AW14" s="2244" t="str">
        <f t="shared" si="24"/>
        <v>CR12505ANP</v>
      </c>
      <c r="AX14" s="2244" t="str">
        <f t="shared" si="24"/>
        <v>CR12505AAP</v>
      </c>
      <c r="AY14" s="2245" t="str">
        <f t="shared" si="24"/>
        <v>CR12505NNV</v>
      </c>
      <c r="AZ14" s="2245" t="str">
        <f t="shared" si="24"/>
        <v>CR12505ANV</v>
      </c>
      <c r="BA14" s="2217" t="str">
        <f t="shared" si="24"/>
        <v>CR12505AAV</v>
      </c>
      <c r="BB14" s="2244" t="str">
        <f t="shared" si="24"/>
        <v>CR12505NNPA</v>
      </c>
      <c r="BC14" s="2244" t="str">
        <f t="shared" si="24"/>
        <v>CR12505ANPA</v>
      </c>
      <c r="BD14" s="2244" t="str">
        <f t="shared" si="24"/>
        <v>CR12505AAPA</v>
      </c>
      <c r="BE14" s="2245" t="str">
        <f t="shared" si="24"/>
        <v>CR12505NNVA</v>
      </c>
      <c r="BF14" s="2245" t="str">
        <f t="shared" si="24"/>
        <v>CR12505ANVA</v>
      </c>
      <c r="BG14" s="2218" t="str">
        <f t="shared" si="24"/>
        <v>CR12505AAVA</v>
      </c>
    </row>
    <row r="15" spans="2:59" ht="14.5" thickBot="1">
      <c r="B15" s="94" t="s">
        <v>822</v>
      </c>
      <c r="C15" s="87" t="s">
        <v>823</v>
      </c>
      <c r="D15" s="87"/>
      <c r="E15" s="95" t="s">
        <v>49</v>
      </c>
      <c r="F15" s="96">
        <v>3</v>
      </c>
      <c r="G15" s="2801">
        <v>0</v>
      </c>
      <c r="H15" s="2166">
        <f>IFERROR(+K15/H$11,0)</f>
        <v>4.0453121122761655E-3</v>
      </c>
      <c r="I15" s="2164">
        <f t="shared" si="16"/>
        <v>4.5182373073625994E-3</v>
      </c>
      <c r="J15" s="243">
        <v>0</v>
      </c>
      <c r="K15" s="191">
        <f t="shared" si="17"/>
        <v>0.70099999999999996</v>
      </c>
      <c r="L15" s="472">
        <v>0.70099999999999996</v>
      </c>
      <c r="M15" s="2801">
        <v>0</v>
      </c>
      <c r="N15" s="2166">
        <f t="shared" ref="N15:N18" si="25">IFERROR(+Q15/N$11,0)</f>
        <v>2.1545155368505472E-3</v>
      </c>
      <c r="O15" s="2164">
        <f t="shared" si="18"/>
        <v>2.4076335699850749E-3</v>
      </c>
      <c r="P15" s="245">
        <v>0</v>
      </c>
      <c r="Q15" s="197">
        <f t="shared" si="19"/>
        <v>0.3513002218300923</v>
      </c>
      <c r="R15" s="472">
        <v>0.3513002218300923</v>
      </c>
      <c r="T15" s="1339">
        <f xml:space="preserve"> IF( SUM( V15:AI15 ) = 0, 0, $W$7 )</f>
        <v>0</v>
      </c>
      <c r="W15" s="127"/>
      <c r="X15" s="127"/>
      <c r="Y15" s="127"/>
      <c r="Z15" s="127"/>
      <c r="AA15" s="127"/>
      <c r="AB15" s="93">
        <f t="shared" si="20"/>
        <v>0</v>
      </c>
      <c r="AC15" s="127"/>
      <c r="AD15" s="127"/>
      <c r="AE15" s="127"/>
      <c r="AF15" s="127"/>
      <c r="AG15" s="127"/>
      <c r="AH15" s="93">
        <f t="shared" si="21"/>
        <v>0</v>
      </c>
      <c r="AQ15" s="94" t="str">
        <f t="shared" si="22"/>
        <v>1F.6</v>
      </c>
      <c r="AR15" s="87" t="str">
        <f t="shared" si="23"/>
        <v>Variance in corporation tax</v>
      </c>
      <c r="AS15" s="117" t="s">
        <v>824</v>
      </c>
      <c r="AT15" s="95" t="s">
        <v>49</v>
      </c>
      <c r="AU15" s="96">
        <v>3</v>
      </c>
      <c r="AV15" s="2246" t="str">
        <f t="shared" si="24"/>
        <v>CR12506NNP</v>
      </c>
      <c r="AW15" s="2247" t="str">
        <f t="shared" si="24"/>
        <v>CR12506ANP</v>
      </c>
      <c r="AX15" s="2247" t="str">
        <f t="shared" si="24"/>
        <v>CR12506AAP</v>
      </c>
      <c r="AY15" s="1982" t="str">
        <f t="shared" si="24"/>
        <v>CR12506NNV</v>
      </c>
      <c r="AZ15" s="1982" t="str">
        <f t="shared" si="24"/>
        <v>CR12506ANV</v>
      </c>
      <c r="BA15" s="2219" t="str">
        <f t="shared" si="24"/>
        <v>CR12506AAV</v>
      </c>
      <c r="BB15" s="2247" t="str">
        <f t="shared" si="24"/>
        <v>CR12506NNPA</v>
      </c>
      <c r="BC15" s="2247" t="str">
        <f t="shared" si="24"/>
        <v>CR12506ANPA</v>
      </c>
      <c r="BD15" s="2247" t="str">
        <f t="shared" si="24"/>
        <v>CR12506AAPA</v>
      </c>
      <c r="BE15" s="1982" t="str">
        <f t="shared" si="24"/>
        <v>CR12506NNVA</v>
      </c>
      <c r="BF15" s="1982" t="str">
        <f t="shared" si="24"/>
        <v>CR12506ANVA</v>
      </c>
      <c r="BG15" s="2220" t="str">
        <f t="shared" si="24"/>
        <v>CR12506AAVA</v>
      </c>
    </row>
    <row r="16" spans="2:59" ht="14.5" thickBot="1">
      <c r="B16" s="94" t="s">
        <v>825</v>
      </c>
      <c r="C16" s="87" t="s">
        <v>826</v>
      </c>
      <c r="D16" s="87"/>
      <c r="E16" s="95" t="s">
        <v>49</v>
      </c>
      <c r="F16" s="96">
        <v>3</v>
      </c>
      <c r="G16" s="2801">
        <v>0</v>
      </c>
      <c r="H16" s="2166">
        <f t="shared" ref="H16:H17" si="26">IFERROR(+K16/H$11,0)</f>
        <v>0</v>
      </c>
      <c r="I16" s="2164">
        <f t="shared" si="16"/>
        <v>0</v>
      </c>
      <c r="J16" s="243">
        <v>0</v>
      </c>
      <c r="K16" s="191">
        <f t="shared" si="17"/>
        <v>0</v>
      </c>
      <c r="L16" s="472">
        <v>0</v>
      </c>
      <c r="M16" s="2801">
        <v>0</v>
      </c>
      <c r="N16" s="2166">
        <f t="shared" si="25"/>
        <v>0</v>
      </c>
      <c r="O16" s="2164">
        <f t="shared" si="18"/>
        <v>0</v>
      </c>
      <c r="P16" s="245">
        <v>0</v>
      </c>
      <c r="Q16" s="197">
        <f t="shared" si="19"/>
        <v>0</v>
      </c>
      <c r="R16" s="472">
        <v>0</v>
      </c>
      <c r="T16" s="1339">
        <f xml:space="preserve"> IF( SUM( V16:AI16 ) = 0, 0, $W$7 )</f>
        <v>0</v>
      </c>
      <c r="W16" s="127"/>
      <c r="X16" s="127"/>
      <c r="Y16" s="127"/>
      <c r="Z16" s="127"/>
      <c r="AA16" s="127"/>
      <c r="AB16" s="93">
        <f t="shared" si="20"/>
        <v>0</v>
      </c>
      <c r="AC16" s="127"/>
      <c r="AD16" s="127"/>
      <c r="AE16" s="127"/>
      <c r="AF16" s="127"/>
      <c r="AG16" s="127"/>
      <c r="AH16" s="93">
        <f t="shared" si="21"/>
        <v>0</v>
      </c>
      <c r="AQ16" s="94" t="str">
        <f t="shared" si="22"/>
        <v>1F.7</v>
      </c>
      <c r="AR16" s="87" t="str">
        <f t="shared" si="23"/>
        <v>Group relief</v>
      </c>
      <c r="AS16" s="117" t="s">
        <v>827</v>
      </c>
      <c r="AT16" s="95" t="s">
        <v>49</v>
      </c>
      <c r="AU16" s="96">
        <v>3</v>
      </c>
      <c r="AV16" s="2246" t="str">
        <f t="shared" si="24"/>
        <v>CR12507NNP</v>
      </c>
      <c r="AW16" s="2247" t="str">
        <f t="shared" si="24"/>
        <v>CR12507ANP</v>
      </c>
      <c r="AX16" s="2247" t="str">
        <f t="shared" si="24"/>
        <v>CR12507AAP</v>
      </c>
      <c r="AY16" s="1982" t="str">
        <f t="shared" si="24"/>
        <v>CR12507NNV</v>
      </c>
      <c r="AZ16" s="1982" t="str">
        <f t="shared" si="24"/>
        <v>CR12507ANV</v>
      </c>
      <c r="BA16" s="2219" t="str">
        <f t="shared" si="24"/>
        <v>CR12507AAV</v>
      </c>
      <c r="BB16" s="2247" t="str">
        <f t="shared" si="24"/>
        <v>CR12507NNPA</v>
      </c>
      <c r="BC16" s="2247" t="str">
        <f t="shared" si="24"/>
        <v>CR12507ANPA</v>
      </c>
      <c r="BD16" s="2247" t="str">
        <f t="shared" si="24"/>
        <v>CR12507AAPA</v>
      </c>
      <c r="BE16" s="1982" t="str">
        <f t="shared" si="24"/>
        <v>CR12507NNVA</v>
      </c>
      <c r="BF16" s="1982" t="str">
        <f t="shared" si="24"/>
        <v>CR12507ANVA</v>
      </c>
      <c r="BG16" s="2220" t="str">
        <f t="shared" si="24"/>
        <v>CR12507AAVA</v>
      </c>
    </row>
    <row r="17" spans="2:59" ht="14.5" thickBot="1">
      <c r="B17" s="94" t="s">
        <v>828</v>
      </c>
      <c r="C17" s="87" t="s">
        <v>829</v>
      </c>
      <c r="D17" s="87"/>
      <c r="E17" s="95" t="s">
        <v>49</v>
      </c>
      <c r="F17" s="96">
        <v>3</v>
      </c>
      <c r="G17" s="2801">
        <v>0</v>
      </c>
      <c r="H17" s="2166">
        <f t="shared" si="26"/>
        <v>3.7740857652333992E-3</v>
      </c>
      <c r="I17" s="2164">
        <f t="shared" si="16"/>
        <v>4.2153027090087595E-3</v>
      </c>
      <c r="J17" s="243">
        <v>0</v>
      </c>
      <c r="K17" s="472">
        <v>0.65400000000000003</v>
      </c>
      <c r="L17" s="472">
        <v>0.65400000000000003</v>
      </c>
      <c r="M17" s="2801">
        <v>0</v>
      </c>
      <c r="N17" s="2166">
        <f t="shared" si="25"/>
        <v>1.6191054442420564E-3</v>
      </c>
      <c r="O17" s="2164">
        <f t="shared" si="18"/>
        <v>1.548889391478367E-3</v>
      </c>
      <c r="P17" s="245">
        <v>0</v>
      </c>
      <c r="Q17" s="472">
        <v>0.26400000000000001</v>
      </c>
      <c r="R17" s="472">
        <v>0.22600000000000001</v>
      </c>
      <c r="T17" s="1339">
        <f xml:space="preserve"> IF( SUM( V17:AI17 ) = 0, 0, $W$7 )</f>
        <v>0</v>
      </c>
      <c r="W17" s="127"/>
      <c r="X17" s="127"/>
      <c r="Y17" s="127"/>
      <c r="Z17" s="127"/>
      <c r="AA17" s="93">
        <f t="shared" si="20"/>
        <v>0</v>
      </c>
      <c r="AB17" s="93">
        <f t="shared" si="20"/>
        <v>0</v>
      </c>
      <c r="AC17" s="127"/>
      <c r="AD17" s="127"/>
      <c r="AE17" s="127"/>
      <c r="AF17" s="127"/>
      <c r="AG17" s="93">
        <f t="shared" ref="AG17" si="27" xml:space="preserve"> IF( ISNUMBER( Q17 ), 0, 1 )</f>
        <v>0</v>
      </c>
      <c r="AH17" s="93">
        <f t="shared" si="21"/>
        <v>0</v>
      </c>
      <c r="AQ17" s="94" t="str">
        <f t="shared" si="22"/>
        <v>1F.8</v>
      </c>
      <c r="AR17" s="87" t="str">
        <f t="shared" si="23"/>
        <v>Cost of debt</v>
      </c>
      <c r="AS17" s="117" t="s">
        <v>830</v>
      </c>
      <c r="AT17" s="95" t="s">
        <v>49</v>
      </c>
      <c r="AU17" s="96">
        <v>3</v>
      </c>
      <c r="AV17" s="2246" t="str">
        <f t="shared" si="24"/>
        <v>CR12508NNP</v>
      </c>
      <c r="AW17" s="2247" t="str">
        <f t="shared" si="24"/>
        <v>CR12508ANP</v>
      </c>
      <c r="AX17" s="2247" t="str">
        <f t="shared" si="24"/>
        <v>CR12508AAP</v>
      </c>
      <c r="AY17" s="1982" t="str">
        <f t="shared" si="24"/>
        <v>CR12508NNV</v>
      </c>
      <c r="AZ17" s="2219" t="str">
        <f t="shared" si="24"/>
        <v>CR12508ANV</v>
      </c>
      <c r="BA17" s="2219" t="str">
        <f t="shared" si="24"/>
        <v>CR12508AAV</v>
      </c>
      <c r="BB17" s="2247" t="str">
        <f t="shared" si="24"/>
        <v>CR12508NNPA</v>
      </c>
      <c r="BC17" s="2247" t="str">
        <f t="shared" si="24"/>
        <v>CR12508ANPA</v>
      </c>
      <c r="BD17" s="2247" t="str">
        <f t="shared" si="24"/>
        <v>CR12508AAPA</v>
      </c>
      <c r="BE17" s="1982" t="str">
        <f t="shared" si="24"/>
        <v>CR12508NNVA</v>
      </c>
      <c r="BF17" s="2219" t="str">
        <f t="shared" si="24"/>
        <v>CR12508ANVA</v>
      </c>
      <c r="BG17" s="2220" t="str">
        <f t="shared" si="24"/>
        <v>CR12508AAVA</v>
      </c>
    </row>
    <row r="18" spans="2:59" ht="14.5" thickBot="1">
      <c r="B18" s="170" t="s">
        <v>831</v>
      </c>
      <c r="C18" s="102" t="s">
        <v>832</v>
      </c>
      <c r="D18" s="102"/>
      <c r="E18" s="103" t="s">
        <v>49</v>
      </c>
      <c r="F18" s="100">
        <v>3</v>
      </c>
      <c r="G18" s="2180">
        <v>0</v>
      </c>
      <c r="H18" s="2167">
        <f>IFERROR(+K18/H$11,0)</f>
        <v>0</v>
      </c>
      <c r="I18" s="2165">
        <f t="shared" si="16"/>
        <v>0</v>
      </c>
      <c r="J18" s="242">
        <v>0</v>
      </c>
      <c r="K18" s="2800">
        <v>0</v>
      </c>
      <c r="L18" s="2800">
        <v>0</v>
      </c>
      <c r="M18" s="2180">
        <v>0</v>
      </c>
      <c r="N18" s="2167">
        <f t="shared" si="25"/>
        <v>-3.8085775790693823E-3</v>
      </c>
      <c r="O18" s="2165">
        <f t="shared" si="18"/>
        <v>-4.2560190801241848E-3</v>
      </c>
      <c r="P18" s="193">
        <v>0</v>
      </c>
      <c r="Q18" s="2800">
        <v>-0.621</v>
      </c>
      <c r="R18" s="2800">
        <v>-0.621</v>
      </c>
      <c r="T18" s="1339">
        <f xml:space="preserve"> IF( SUM( V18:AI18 ) = 0, 0, $W$7 )</f>
        <v>0</v>
      </c>
      <c r="W18" s="127"/>
      <c r="X18" s="127"/>
      <c r="Y18" s="127"/>
      <c r="Z18" s="127"/>
      <c r="AA18" s="93">
        <f t="shared" si="20"/>
        <v>0</v>
      </c>
      <c r="AB18" s="93">
        <f t="shared" si="20"/>
        <v>0</v>
      </c>
      <c r="AC18" s="127"/>
      <c r="AD18" s="127"/>
      <c r="AE18" s="127"/>
      <c r="AF18" s="127"/>
      <c r="AG18" s="93">
        <f t="shared" si="21"/>
        <v>0</v>
      </c>
      <c r="AH18" s="93">
        <f t="shared" si="21"/>
        <v>0</v>
      </c>
      <c r="AQ18" s="170" t="str">
        <f t="shared" si="22"/>
        <v>1F.9</v>
      </c>
      <c r="AR18" s="102" t="str">
        <f t="shared" si="23"/>
        <v>Hedging instruments</v>
      </c>
      <c r="AS18" s="117" t="s">
        <v>833</v>
      </c>
      <c r="AT18" s="103" t="s">
        <v>49</v>
      </c>
      <c r="AU18" s="100">
        <v>3</v>
      </c>
      <c r="AV18" s="2248" t="str">
        <f t="shared" si="24"/>
        <v>CR12509NNP</v>
      </c>
      <c r="AW18" s="2242" t="str">
        <f t="shared" si="24"/>
        <v>CR12509ANP</v>
      </c>
      <c r="AX18" s="2242" t="str">
        <f t="shared" si="24"/>
        <v>CR12509AAP</v>
      </c>
      <c r="AY18" s="1889" t="str">
        <f t="shared" si="24"/>
        <v>CR12509NNV</v>
      </c>
      <c r="AZ18" s="2221" t="str">
        <f t="shared" si="24"/>
        <v>CR12509ANV</v>
      </c>
      <c r="BA18" s="2221" t="str">
        <f t="shared" si="24"/>
        <v>CR12509AAV</v>
      </c>
      <c r="BB18" s="2242" t="str">
        <f t="shared" si="24"/>
        <v>CR12509NNPA</v>
      </c>
      <c r="BC18" s="2242" t="str">
        <f t="shared" si="24"/>
        <v>CR12509ANPA</v>
      </c>
      <c r="BD18" s="2242" t="str">
        <f t="shared" si="24"/>
        <v>CR12509AAPA</v>
      </c>
      <c r="BE18" s="1889" t="str">
        <f t="shared" si="24"/>
        <v>CR12509NNVA</v>
      </c>
      <c r="BF18" s="2221" t="str">
        <f t="shared" si="24"/>
        <v>CR12509ANVA</v>
      </c>
      <c r="BG18" s="2222" t="str">
        <f t="shared" si="24"/>
        <v>CR12509AAVA</v>
      </c>
    </row>
    <row r="19" spans="2:59" ht="14.5" thickBot="1">
      <c r="G19" s="2172"/>
      <c r="H19" s="2172"/>
      <c r="I19" s="1900"/>
      <c r="M19" s="2172"/>
      <c r="N19" s="2172"/>
      <c r="O19" s="1900"/>
      <c r="P19" s="2175"/>
      <c r="T19" s="126"/>
      <c r="AV19" s="2216"/>
      <c r="AW19" s="2216"/>
      <c r="AX19" s="2216"/>
      <c r="AY19" s="1975"/>
      <c r="AZ19" s="1975"/>
      <c r="BA19" s="1975"/>
      <c r="BB19" s="2216"/>
      <c r="BC19" s="2216"/>
      <c r="BD19" s="2216"/>
      <c r="BE19" s="1975"/>
      <c r="BF19" s="1975"/>
      <c r="BG19" s="1975"/>
    </row>
    <row r="20" spans="2:59" ht="14.5" thickBot="1">
      <c r="B20" s="131" t="s">
        <v>834</v>
      </c>
      <c r="C20" s="132" t="s">
        <v>835</v>
      </c>
      <c r="D20" s="132"/>
      <c r="E20" s="133" t="s">
        <v>49</v>
      </c>
      <c r="F20" s="134">
        <v>3</v>
      </c>
      <c r="G20" s="2168">
        <f>SUM(G14:G18)+G10</f>
        <v>5.6870000000000004E-2</v>
      </c>
      <c r="H20" s="2168">
        <f t="shared" ref="H20:I20" si="28">SUM(H14:H18)+H10</f>
        <v>5.5140255985160321E-2</v>
      </c>
      <c r="I20" s="1901">
        <f t="shared" si="28"/>
        <v>6.2006997338042789E-2</v>
      </c>
      <c r="J20" s="774">
        <f>SUM(J14:J18)+J10</f>
        <v>9.854831690000001</v>
      </c>
      <c r="K20" s="744">
        <f t="shared" ref="K20:L20" si="29">SUM(K14:K18)+K10</f>
        <v>9.6203236300000015</v>
      </c>
      <c r="L20" s="490">
        <f t="shared" si="29"/>
        <v>9.6203236300000015</v>
      </c>
      <c r="M20" s="2168">
        <f>SUM(M14:M18)+M10</f>
        <v>5.680000000000001E-2</v>
      </c>
      <c r="N20" s="2168">
        <f t="shared" ref="N20:O20" si="30">SUM(N14:N18)+N10</f>
        <v>4.7189061121301827E-2</v>
      </c>
      <c r="O20" s="1901">
        <f t="shared" si="30"/>
        <v>5.2895988546948193E-2</v>
      </c>
      <c r="P20" s="774">
        <f>SUM(P14:P18)+P10</f>
        <v>9.2614104000000026</v>
      </c>
      <c r="Q20" s="774">
        <f t="shared" ref="Q20:R20" si="31">SUM(Q14:Q18)+Q10</f>
        <v>7.7561065848737591</v>
      </c>
      <c r="R20" s="490">
        <f t="shared" si="31"/>
        <v>7.7181065848737589</v>
      </c>
      <c r="T20" s="126"/>
      <c r="U20" s="120"/>
      <c r="V20" s="119"/>
      <c r="W20" s="120"/>
      <c r="X20" s="120"/>
      <c r="Y20" s="120"/>
      <c r="Z20" s="120"/>
      <c r="AA20" s="120"/>
      <c r="AB20" s="120"/>
      <c r="AC20" s="120"/>
      <c r="AD20" s="120"/>
      <c r="AE20" s="120"/>
      <c r="AF20" s="120"/>
      <c r="AG20" s="120"/>
      <c r="AH20" s="120"/>
      <c r="AI20" s="119"/>
      <c r="AQ20" s="131" t="str">
        <f t="shared" ref="AQ20:AR20" si="32">+B20</f>
        <v>1F.10</v>
      </c>
      <c r="AR20" s="132" t="str">
        <f t="shared" si="32"/>
        <v>Financing total</v>
      </c>
      <c r="AS20" s="132" t="s">
        <v>836</v>
      </c>
      <c r="AT20" s="133" t="s">
        <v>49</v>
      </c>
      <c r="AU20" s="134">
        <v>3</v>
      </c>
      <c r="AV20" s="2223" t="str">
        <f t="shared" ref="AV20:BG20" si="33">$AS20&amp;AV$6</f>
        <v>CR12510NNP</v>
      </c>
      <c r="AW20" s="2224" t="str">
        <f t="shared" si="33"/>
        <v>CR12510ANP</v>
      </c>
      <c r="AX20" s="2224" t="str">
        <f t="shared" si="33"/>
        <v>CR12510AAP</v>
      </c>
      <c r="AY20" s="2225" t="str">
        <f t="shared" si="33"/>
        <v>CR12510NNV</v>
      </c>
      <c r="AZ20" s="2225" t="str">
        <f t="shared" si="33"/>
        <v>CR12510ANV</v>
      </c>
      <c r="BA20" s="2225" t="str">
        <f t="shared" si="33"/>
        <v>CR12510AAV</v>
      </c>
      <c r="BB20" s="2224" t="str">
        <f t="shared" si="33"/>
        <v>CR12510NNPA</v>
      </c>
      <c r="BC20" s="2224" t="str">
        <f t="shared" si="33"/>
        <v>CR12510ANPA</v>
      </c>
      <c r="BD20" s="2224" t="str">
        <f t="shared" si="33"/>
        <v>CR12510AAPA</v>
      </c>
      <c r="BE20" s="2225" t="str">
        <f t="shared" si="33"/>
        <v>CR12510NNVA</v>
      </c>
      <c r="BF20" s="2225" t="str">
        <f t="shared" si="33"/>
        <v>CR12510ANVA</v>
      </c>
      <c r="BG20" s="1978" t="str">
        <f t="shared" si="33"/>
        <v>CR12510AAVA</v>
      </c>
    </row>
    <row r="21" spans="2:59" ht="14.5" thickBot="1">
      <c r="T21" s="126"/>
      <c r="AV21" s="2216"/>
      <c r="AW21" s="2216"/>
      <c r="AX21" s="2216"/>
      <c r="AY21" s="1975"/>
      <c r="AZ21" s="1975"/>
      <c r="BA21" s="1975"/>
      <c r="BB21" s="2216"/>
      <c r="BC21" s="2216"/>
      <c r="BD21" s="2216"/>
      <c r="BE21" s="1975"/>
      <c r="BF21" s="1975"/>
      <c r="BG21" s="1975"/>
    </row>
    <row r="22" spans="2:59" ht="14.5" thickBot="1">
      <c r="B22" s="2865" t="s">
        <v>333</v>
      </c>
      <c r="C22" s="83" t="s">
        <v>837</v>
      </c>
      <c r="D22" s="1473"/>
      <c r="T22" s="126"/>
      <c r="AQ22" s="2865" t="str">
        <f t="shared" ref="AQ22:AQ27" si="34">+B22</f>
        <v>C</v>
      </c>
      <c r="AR22" s="83" t="str">
        <f t="shared" ref="AR22:AR27" si="35">+C22</f>
        <v>Operational performance</v>
      </c>
      <c r="AS22" s="1473"/>
      <c r="AV22" s="2216"/>
      <c r="AW22" s="2216"/>
      <c r="AX22" s="2216"/>
      <c r="AY22" s="1975"/>
      <c r="AZ22" s="1975"/>
      <c r="BA22" s="1975"/>
      <c r="BB22" s="2216"/>
      <c r="BC22" s="2216"/>
      <c r="BD22" s="2216"/>
      <c r="BE22" s="1975"/>
      <c r="BF22" s="1975"/>
      <c r="BG22" s="1975"/>
    </row>
    <row r="23" spans="2:59">
      <c r="B23" s="1211" t="s">
        <v>838</v>
      </c>
      <c r="C23" s="117" t="s">
        <v>839</v>
      </c>
      <c r="D23" s="117"/>
      <c r="E23" s="88" t="s">
        <v>49</v>
      </c>
      <c r="F23" s="89">
        <v>3</v>
      </c>
      <c r="G23" s="2169">
        <v>0</v>
      </c>
      <c r="H23" s="2169">
        <f t="shared" ref="H23:I26" si="36">IFERROR(+K23/H$11,0)</f>
        <v>-3.9933751522041469E-2</v>
      </c>
      <c r="I23" s="2163">
        <f t="shared" si="36"/>
        <v>-4.4602285544863327E-2</v>
      </c>
      <c r="J23" s="188">
        <v>0</v>
      </c>
      <c r="K23" s="636">
        <f>+L23</f>
        <v>-6.92</v>
      </c>
      <c r="L23" s="428">
        <v>-6.92</v>
      </c>
      <c r="M23" s="2169">
        <v>0</v>
      </c>
      <c r="N23" s="2169">
        <f t="shared" ref="N23:O26" si="37">IFERROR(+Q23/N$11,0)</f>
        <v>-3.5448596468632895E-3</v>
      </c>
      <c r="O23" s="2163">
        <f t="shared" si="37"/>
        <v>-3.961318886170336E-3</v>
      </c>
      <c r="P23" s="636">
        <v>0</v>
      </c>
      <c r="Q23" s="636">
        <f t="shared" ref="Q23:Q26" si="38">+R23</f>
        <v>-0.57799999999999996</v>
      </c>
      <c r="R23" s="428">
        <v>-0.57799999999999996</v>
      </c>
      <c r="T23" s="1339">
        <f xml:space="preserve"> IF( SUM( V23:AI23 ) = 0, 0, $W$7 )</f>
        <v>0</v>
      </c>
      <c r="V23" s="124"/>
      <c r="W23" s="127"/>
      <c r="X23" s="127"/>
      <c r="Y23" s="127"/>
      <c r="Z23" s="127"/>
      <c r="AA23" s="127"/>
      <c r="AB23" s="93">
        <f t="shared" ref="AB23:AB26" si="39" xml:space="preserve"> IF( ISNUMBER( L23 ), 0, 1 )</f>
        <v>0</v>
      </c>
      <c r="AC23" s="127"/>
      <c r="AD23" s="127"/>
      <c r="AE23" s="127"/>
      <c r="AF23" s="127"/>
      <c r="AG23" s="127"/>
      <c r="AH23" s="93">
        <f t="shared" ref="AH23:AH26" si="40" xml:space="preserve"> IF( ISNUMBER( R23 ), 0, 1 )</f>
        <v>0</v>
      </c>
      <c r="AI23" s="124"/>
      <c r="AQ23" s="1211" t="str">
        <f t="shared" si="34"/>
        <v>1F.11</v>
      </c>
      <c r="AR23" s="117" t="str">
        <f t="shared" si="35"/>
        <v>Totex out / (under) performance</v>
      </c>
      <c r="AS23" s="802" t="s">
        <v>840</v>
      </c>
      <c r="AT23" s="88" t="s">
        <v>49</v>
      </c>
      <c r="AU23" s="89">
        <v>3</v>
      </c>
      <c r="AV23" s="2243" t="str">
        <f t="shared" ref="AV23:BG27" si="41">$AS23&amp;AV$6</f>
        <v>CR12511NNP</v>
      </c>
      <c r="AW23" s="2244" t="str">
        <f t="shared" si="41"/>
        <v>CR12511ANP</v>
      </c>
      <c r="AX23" s="2244" t="str">
        <f t="shared" si="41"/>
        <v>CR12511AAP</v>
      </c>
      <c r="AY23" s="2245" t="str">
        <f t="shared" si="41"/>
        <v>CR12511NNV</v>
      </c>
      <c r="AZ23" s="2245" t="str">
        <f t="shared" si="41"/>
        <v>CR12511ANV</v>
      </c>
      <c r="BA23" s="2217" t="str">
        <f t="shared" si="41"/>
        <v>CR12511AAV</v>
      </c>
      <c r="BB23" s="2244" t="str">
        <f t="shared" si="41"/>
        <v>CR12511NNPA</v>
      </c>
      <c r="BC23" s="2244" t="str">
        <f t="shared" si="41"/>
        <v>CR12511ANPA</v>
      </c>
      <c r="BD23" s="2244" t="str">
        <f t="shared" si="41"/>
        <v>CR12511AAPA</v>
      </c>
      <c r="BE23" s="2245" t="str">
        <f t="shared" si="41"/>
        <v>CR12511NNVA</v>
      </c>
      <c r="BF23" s="2245" t="str">
        <f t="shared" si="41"/>
        <v>CR12511ANVA</v>
      </c>
      <c r="BG23" s="2218" t="str">
        <f t="shared" si="41"/>
        <v>CR12511AAVA</v>
      </c>
    </row>
    <row r="24" spans="2:59">
      <c r="B24" s="94" t="s">
        <v>841</v>
      </c>
      <c r="C24" s="87" t="s">
        <v>842</v>
      </c>
      <c r="D24" s="87"/>
      <c r="E24" s="95" t="s">
        <v>49</v>
      </c>
      <c r="F24" s="96">
        <v>3</v>
      </c>
      <c r="G24" s="2166">
        <v>0</v>
      </c>
      <c r="H24" s="2166">
        <f t="shared" si="36"/>
        <v>1.0572056761326585E-2</v>
      </c>
      <c r="I24" s="2164">
        <f t="shared" si="36"/>
        <v>1.1808003918813528E-2</v>
      </c>
      <c r="J24" s="245">
        <v>0</v>
      </c>
      <c r="K24" s="243">
        <f t="shared" ref="K24:K26" si="42">+L24</f>
        <v>1.8320000000000001</v>
      </c>
      <c r="L24" s="411">
        <v>1.8320000000000001</v>
      </c>
      <c r="M24" s="2166">
        <v>0</v>
      </c>
      <c r="N24" s="2166">
        <f t="shared" si="37"/>
        <v>-6.1636400434214632E-3</v>
      </c>
      <c r="O24" s="2164">
        <f t="shared" si="37"/>
        <v>-6.8877603470608789E-3</v>
      </c>
      <c r="P24" s="243">
        <v>0</v>
      </c>
      <c r="Q24" s="243">
        <f t="shared" si="38"/>
        <v>-1.0049999999999999</v>
      </c>
      <c r="R24" s="411">
        <v>-1.0049999999999999</v>
      </c>
      <c r="T24" s="1339">
        <f xml:space="preserve"> IF( SUM( V24:AI24 ) = 0, 0, $W$7 )</f>
        <v>0</v>
      </c>
      <c r="V24" s="119"/>
      <c r="W24" s="127"/>
      <c r="X24" s="127"/>
      <c r="Y24" s="127"/>
      <c r="Z24" s="127"/>
      <c r="AA24" s="127"/>
      <c r="AB24" s="93">
        <f t="shared" si="39"/>
        <v>0</v>
      </c>
      <c r="AC24" s="127"/>
      <c r="AD24" s="127"/>
      <c r="AE24" s="127"/>
      <c r="AF24" s="127"/>
      <c r="AG24" s="127"/>
      <c r="AH24" s="93">
        <f t="shared" si="40"/>
        <v>0</v>
      </c>
      <c r="AI24" s="119"/>
      <c r="AQ24" s="94" t="str">
        <f t="shared" si="34"/>
        <v>1F.12</v>
      </c>
      <c r="AR24" s="87" t="str">
        <f t="shared" si="35"/>
        <v>ODI out / (under) performance</v>
      </c>
      <c r="AS24" s="87" t="s">
        <v>843</v>
      </c>
      <c r="AT24" s="95" t="s">
        <v>49</v>
      </c>
      <c r="AU24" s="96">
        <v>3</v>
      </c>
      <c r="AV24" s="2246" t="str">
        <f t="shared" si="41"/>
        <v>CR12512NNP</v>
      </c>
      <c r="AW24" s="2247" t="str">
        <f t="shared" si="41"/>
        <v>CR12512ANP</v>
      </c>
      <c r="AX24" s="2247" t="str">
        <f t="shared" si="41"/>
        <v>CR12512AAP</v>
      </c>
      <c r="AY24" s="1982" t="str">
        <f t="shared" si="41"/>
        <v>CR12512NNV</v>
      </c>
      <c r="AZ24" s="1982" t="str">
        <f t="shared" si="41"/>
        <v>CR12512ANV</v>
      </c>
      <c r="BA24" s="2219" t="str">
        <f t="shared" si="41"/>
        <v>CR12512AAV</v>
      </c>
      <c r="BB24" s="2247" t="str">
        <f t="shared" si="41"/>
        <v>CR12512NNPA</v>
      </c>
      <c r="BC24" s="2247" t="str">
        <f t="shared" si="41"/>
        <v>CR12512ANPA</v>
      </c>
      <c r="BD24" s="2247" t="str">
        <f t="shared" si="41"/>
        <v>CR12512AAPA</v>
      </c>
      <c r="BE24" s="1982" t="str">
        <f t="shared" si="41"/>
        <v>CR12512NNVA</v>
      </c>
      <c r="BF24" s="1982" t="str">
        <f t="shared" si="41"/>
        <v>CR12512ANVA</v>
      </c>
      <c r="BG24" s="2220" t="str">
        <f t="shared" si="41"/>
        <v>CR12512AAVA</v>
      </c>
    </row>
    <row r="25" spans="2:59" ht="14.5" thickBot="1">
      <c r="B25" s="94" t="s">
        <v>844</v>
      </c>
      <c r="C25" s="87" t="s">
        <v>845</v>
      </c>
      <c r="D25" s="87"/>
      <c r="E25" s="95" t="s">
        <v>49</v>
      </c>
      <c r="F25" s="96">
        <v>3</v>
      </c>
      <c r="G25" s="2166">
        <v>0</v>
      </c>
      <c r="H25" s="2166">
        <f t="shared" si="36"/>
        <v>-1.1097197135388114E-2</v>
      </c>
      <c r="I25" s="2164">
        <f t="shared" si="36"/>
        <v>-1.2394536864562452E-2</v>
      </c>
      <c r="J25" s="245">
        <v>0</v>
      </c>
      <c r="K25" s="243">
        <f t="shared" si="42"/>
        <v>-1.923</v>
      </c>
      <c r="L25" s="411">
        <v>-1.923</v>
      </c>
      <c r="M25" s="2166">
        <v>0</v>
      </c>
      <c r="N25" s="2166">
        <f t="shared" si="37"/>
        <v>-3.0971524596296912E-3</v>
      </c>
      <c r="O25" s="2164">
        <f t="shared" si="37"/>
        <v>-3.4610139057370589E-3</v>
      </c>
      <c r="P25" s="243">
        <v>0</v>
      </c>
      <c r="Q25" s="243">
        <f t="shared" si="38"/>
        <v>-0.505</v>
      </c>
      <c r="R25" s="411">
        <v>-0.505</v>
      </c>
      <c r="T25" s="1339">
        <f xml:space="preserve"> IF( SUM( V25:AI25 ) = 0, 0, $W$7 )</f>
        <v>0</v>
      </c>
      <c r="V25" s="119"/>
      <c r="W25" s="127"/>
      <c r="X25" s="127"/>
      <c r="Y25" s="127"/>
      <c r="Z25" s="127"/>
      <c r="AA25" s="127"/>
      <c r="AB25" s="93">
        <f t="shared" si="39"/>
        <v>0</v>
      </c>
      <c r="AC25" s="127"/>
      <c r="AD25" s="127"/>
      <c r="AE25" s="127"/>
      <c r="AF25" s="127"/>
      <c r="AG25" s="127"/>
      <c r="AH25" s="93">
        <f t="shared" si="40"/>
        <v>0</v>
      </c>
      <c r="AI25" s="119"/>
      <c r="AQ25" s="94" t="str">
        <f t="shared" si="34"/>
        <v>1F.13</v>
      </c>
      <c r="AR25" s="87" t="str">
        <f t="shared" si="35"/>
        <v>Retail out / (under) performance</v>
      </c>
      <c r="AS25" s="171" t="s">
        <v>846</v>
      </c>
      <c r="AT25" s="95" t="s">
        <v>49</v>
      </c>
      <c r="AU25" s="96">
        <v>3</v>
      </c>
      <c r="AV25" s="2246" t="str">
        <f t="shared" si="41"/>
        <v>CR12513NNP</v>
      </c>
      <c r="AW25" s="2247" t="str">
        <f t="shared" si="41"/>
        <v>CR12513ANP</v>
      </c>
      <c r="AX25" s="2247" t="str">
        <f t="shared" si="41"/>
        <v>CR12513AAP</v>
      </c>
      <c r="AY25" s="1982" t="str">
        <f t="shared" si="41"/>
        <v>CR12513NNV</v>
      </c>
      <c r="AZ25" s="1982" t="str">
        <f t="shared" si="41"/>
        <v>CR12513ANV</v>
      </c>
      <c r="BA25" s="2219" t="str">
        <f t="shared" si="41"/>
        <v>CR12513AAV</v>
      </c>
      <c r="BB25" s="2247" t="str">
        <f t="shared" si="41"/>
        <v>CR12513NNPA</v>
      </c>
      <c r="BC25" s="2247" t="str">
        <f t="shared" si="41"/>
        <v>CR12513ANPA</v>
      </c>
      <c r="BD25" s="2247" t="str">
        <f t="shared" si="41"/>
        <v>CR12513AAPA</v>
      </c>
      <c r="BE25" s="1982" t="str">
        <f t="shared" si="41"/>
        <v>CR12513NNVA</v>
      </c>
      <c r="BF25" s="1982" t="str">
        <f t="shared" si="41"/>
        <v>CR12513ANVA</v>
      </c>
      <c r="BG25" s="2220" t="str">
        <f t="shared" si="41"/>
        <v>CR12513AAVA</v>
      </c>
    </row>
    <row r="26" spans="2:59" ht="14.5" thickBot="1">
      <c r="B26" s="94" t="s">
        <v>847</v>
      </c>
      <c r="C26" s="87" t="s">
        <v>848</v>
      </c>
      <c r="D26" s="87"/>
      <c r="E26" s="95" t="s">
        <v>49</v>
      </c>
      <c r="F26" s="96">
        <v>3</v>
      </c>
      <c r="G26" s="2166">
        <v>0</v>
      </c>
      <c r="H26" s="2166">
        <f t="shared" si="36"/>
        <v>3.1854668844171811E-3</v>
      </c>
      <c r="I26" s="2164">
        <f t="shared" si="36"/>
        <v>3.5578701764110631E-3</v>
      </c>
      <c r="J26" s="245">
        <v>0</v>
      </c>
      <c r="K26" s="243">
        <f t="shared" si="42"/>
        <v>0.55200000000000005</v>
      </c>
      <c r="L26" s="411">
        <v>0.55200000000000005</v>
      </c>
      <c r="M26" s="2166">
        <v>0</v>
      </c>
      <c r="N26" s="2166">
        <f t="shared" si="37"/>
        <v>4.6365292266931611E-3</v>
      </c>
      <c r="O26" s="2164">
        <f t="shared" si="37"/>
        <v>5.1812406192816166E-3</v>
      </c>
      <c r="P26" s="243">
        <v>0</v>
      </c>
      <c r="Q26" s="243">
        <f t="shared" si="38"/>
        <v>0.75600000000000001</v>
      </c>
      <c r="R26" s="411">
        <v>0.75600000000000001</v>
      </c>
      <c r="T26" s="1339">
        <f xml:space="preserve"> IF( SUM( V26:AI26 ) = 0, 0, $W$7 )</f>
        <v>0</v>
      </c>
      <c r="V26" s="119"/>
      <c r="W26" s="127"/>
      <c r="X26" s="127"/>
      <c r="Y26" s="127"/>
      <c r="Z26" s="127"/>
      <c r="AA26" s="127"/>
      <c r="AB26" s="93">
        <f t="shared" si="39"/>
        <v>0</v>
      </c>
      <c r="AC26" s="127"/>
      <c r="AD26" s="127"/>
      <c r="AE26" s="127"/>
      <c r="AF26" s="127"/>
      <c r="AG26" s="127"/>
      <c r="AH26" s="93">
        <f t="shared" si="40"/>
        <v>0</v>
      </c>
      <c r="AI26" s="119"/>
      <c r="AQ26" s="94" t="str">
        <f t="shared" si="34"/>
        <v>1F.14</v>
      </c>
      <c r="AR26" s="87" t="str">
        <f t="shared" si="35"/>
        <v>Other exceptional items</v>
      </c>
      <c r="AS26" s="117" t="s">
        <v>849</v>
      </c>
      <c r="AT26" s="95" t="s">
        <v>49</v>
      </c>
      <c r="AU26" s="96">
        <v>3</v>
      </c>
      <c r="AV26" s="2246" t="str">
        <f t="shared" si="41"/>
        <v>CR12523NNP</v>
      </c>
      <c r="AW26" s="2247" t="str">
        <f t="shared" si="41"/>
        <v>CR12523ANP</v>
      </c>
      <c r="AX26" s="2247" t="str">
        <f t="shared" si="41"/>
        <v>CR12523AAP</v>
      </c>
      <c r="AY26" s="1982" t="str">
        <f t="shared" si="41"/>
        <v>CR12523NNV</v>
      </c>
      <c r="AZ26" s="1982" t="str">
        <f t="shared" si="41"/>
        <v>CR12523ANV</v>
      </c>
      <c r="BA26" s="2219" t="str">
        <f t="shared" si="41"/>
        <v>CR12523AAV</v>
      </c>
      <c r="BB26" s="2247" t="str">
        <f t="shared" si="41"/>
        <v>CR12523NNPA</v>
      </c>
      <c r="BC26" s="2247" t="str">
        <f t="shared" si="41"/>
        <v>CR12523ANPA</v>
      </c>
      <c r="BD26" s="2247" t="str">
        <f t="shared" si="41"/>
        <v>CR12523AAPA</v>
      </c>
      <c r="BE26" s="1982" t="str">
        <f t="shared" si="41"/>
        <v>CR12523NNVA</v>
      </c>
      <c r="BF26" s="1982" t="str">
        <f t="shared" si="41"/>
        <v>CR12523ANVA</v>
      </c>
      <c r="BG26" s="2220" t="str">
        <f t="shared" si="41"/>
        <v>CR12523AAVA</v>
      </c>
    </row>
    <row r="27" spans="2:59" ht="14.5" thickBot="1">
      <c r="B27" s="170" t="s">
        <v>850</v>
      </c>
      <c r="C27" s="87" t="s">
        <v>851</v>
      </c>
      <c r="D27" s="87"/>
      <c r="E27" s="95" t="s">
        <v>49</v>
      </c>
      <c r="F27" s="96">
        <v>3</v>
      </c>
      <c r="G27" s="2168">
        <f>SUM(G23:G26)</f>
        <v>0</v>
      </c>
      <c r="H27" s="2168">
        <f t="shared" ref="H27:R27" si="43">SUM(H23:H26)</f>
        <v>-3.7273425011685811E-2</v>
      </c>
      <c r="I27" s="1901">
        <f t="shared" si="43"/>
        <v>-4.1630948314201187E-2</v>
      </c>
      <c r="J27" s="744">
        <f t="shared" si="43"/>
        <v>0</v>
      </c>
      <c r="K27" s="774">
        <f t="shared" si="43"/>
        <v>-6.4589999999999996</v>
      </c>
      <c r="L27" s="490">
        <f t="shared" si="43"/>
        <v>-6.4589999999999996</v>
      </c>
      <c r="M27" s="2168">
        <f t="shared" si="43"/>
        <v>0</v>
      </c>
      <c r="N27" s="2168">
        <f t="shared" si="43"/>
        <v>-8.1691229232212816E-3</v>
      </c>
      <c r="O27" s="1901">
        <f t="shared" si="43"/>
        <v>-9.1288525196866581E-3</v>
      </c>
      <c r="P27" s="774">
        <f t="shared" si="43"/>
        <v>0</v>
      </c>
      <c r="Q27" s="774">
        <f t="shared" si="43"/>
        <v>-1.3319999999999996</v>
      </c>
      <c r="R27" s="490">
        <f t="shared" si="43"/>
        <v>-1.3319999999999996</v>
      </c>
      <c r="T27" s="1339">
        <f xml:space="preserve"> IF( SUM( V27:AI27 ) = 0, 0, $W$7 )</f>
        <v>0</v>
      </c>
      <c r="V27" s="119"/>
      <c r="AI27" s="119"/>
      <c r="AQ27" s="170" t="str">
        <f t="shared" si="34"/>
        <v>1F.15</v>
      </c>
      <c r="AR27" s="87" t="str">
        <f t="shared" si="35"/>
        <v>Operational performance total</v>
      </c>
      <c r="AS27" s="117" t="s">
        <v>852</v>
      </c>
      <c r="AT27" s="95" t="s">
        <v>49</v>
      </c>
      <c r="AU27" s="96">
        <v>3</v>
      </c>
      <c r="AV27" s="2223" t="str">
        <f t="shared" si="41"/>
        <v>CR12514NNP</v>
      </c>
      <c r="AW27" s="2224" t="str">
        <f t="shared" si="41"/>
        <v>CR12514ANP</v>
      </c>
      <c r="AX27" s="2224" t="str">
        <f t="shared" si="41"/>
        <v>CR12514AAP</v>
      </c>
      <c r="AY27" s="2225" t="str">
        <f t="shared" si="41"/>
        <v>CR12514NNV</v>
      </c>
      <c r="AZ27" s="2225" t="str">
        <f t="shared" si="41"/>
        <v>CR12514ANV</v>
      </c>
      <c r="BA27" s="2225" t="str">
        <f t="shared" si="41"/>
        <v>CR12514AAV</v>
      </c>
      <c r="BB27" s="2224" t="str">
        <f t="shared" si="41"/>
        <v>CR12514NNPA</v>
      </c>
      <c r="BC27" s="2224" t="str">
        <f t="shared" si="41"/>
        <v>CR12514ANPA</v>
      </c>
      <c r="BD27" s="2224" t="str">
        <f t="shared" si="41"/>
        <v>CR12514AAPA</v>
      </c>
      <c r="BE27" s="2225" t="str">
        <f t="shared" si="41"/>
        <v>CR12514NNVA</v>
      </c>
      <c r="BF27" s="2225" t="str">
        <f t="shared" si="41"/>
        <v>CR12514ANVA</v>
      </c>
      <c r="BG27" s="1978" t="str">
        <f t="shared" si="41"/>
        <v>CR12514AAVA</v>
      </c>
    </row>
    <row r="28" spans="2:59" ht="14.5" thickBot="1">
      <c r="T28" s="126"/>
      <c r="AV28" s="2216"/>
      <c r="AW28" s="2216"/>
      <c r="AX28" s="2216"/>
      <c r="AY28" s="1975"/>
      <c r="AZ28" s="1975"/>
      <c r="BA28" s="1975"/>
      <c r="BB28" s="2216"/>
      <c r="BC28" s="2216"/>
      <c r="BD28" s="2216"/>
      <c r="BE28" s="1975"/>
      <c r="BF28" s="1975"/>
      <c r="BG28" s="1975"/>
    </row>
    <row r="29" spans="2:59" ht="14.5" thickBot="1">
      <c r="B29" s="131" t="s">
        <v>853</v>
      </c>
      <c r="C29" s="132" t="s">
        <v>854</v>
      </c>
      <c r="D29" s="132"/>
      <c r="E29" s="133" t="s">
        <v>49</v>
      </c>
      <c r="F29" s="134">
        <v>3</v>
      </c>
      <c r="G29" s="2168">
        <f>G20+G27</f>
        <v>5.6870000000000004E-2</v>
      </c>
      <c r="H29" s="2168">
        <f>H20+H27</f>
        <v>1.786683097347451E-2</v>
      </c>
      <c r="I29" s="1901">
        <f t="shared" ref="I29:L29" si="44">I20+I27</f>
        <v>2.0376049023841603E-2</v>
      </c>
      <c r="J29" s="774">
        <f t="shared" si="44"/>
        <v>9.854831690000001</v>
      </c>
      <c r="K29" s="744">
        <f t="shared" si="44"/>
        <v>3.1613236300000018</v>
      </c>
      <c r="L29" s="490">
        <f t="shared" si="44"/>
        <v>3.1613236300000018</v>
      </c>
      <c r="M29" s="2168">
        <f>M20+M27</f>
        <v>5.680000000000001E-2</v>
      </c>
      <c r="N29" s="2168">
        <f>N20+N27</f>
        <v>3.9019938198080542E-2</v>
      </c>
      <c r="O29" s="1901">
        <f t="shared" ref="O29:R29" si="45">O20+O27</f>
        <v>4.3767136027261538E-2</v>
      </c>
      <c r="P29" s="774">
        <f t="shared" si="45"/>
        <v>9.2614104000000026</v>
      </c>
      <c r="Q29" s="774">
        <f t="shared" si="45"/>
        <v>6.4241065848737593</v>
      </c>
      <c r="R29" s="490">
        <f t="shared" si="45"/>
        <v>6.386106584873759</v>
      </c>
      <c r="T29" s="126"/>
      <c r="U29" s="120"/>
      <c r="V29" s="119"/>
      <c r="W29" s="120"/>
      <c r="X29" s="120"/>
      <c r="Y29" s="120"/>
      <c r="Z29" s="120"/>
      <c r="AA29" s="120"/>
      <c r="AB29" s="120"/>
      <c r="AC29" s="120"/>
      <c r="AD29" s="120"/>
      <c r="AE29" s="120"/>
      <c r="AF29" s="120"/>
      <c r="AG29" s="120"/>
      <c r="AH29" s="120"/>
      <c r="AI29" s="119"/>
      <c r="AQ29" s="131" t="str">
        <f t="shared" ref="AQ29:AR29" si="46">+B29</f>
        <v>1F.16</v>
      </c>
      <c r="AR29" s="132" t="str">
        <f t="shared" si="46"/>
        <v>Total earnings</v>
      </c>
      <c r="AS29" s="132" t="s">
        <v>855</v>
      </c>
      <c r="AT29" s="133" t="s">
        <v>49</v>
      </c>
      <c r="AU29" s="134">
        <v>3</v>
      </c>
      <c r="AV29" s="2223" t="str">
        <f t="shared" ref="AV29:BG29" si="47">$AS29&amp;AV$6</f>
        <v>CR12516NNP</v>
      </c>
      <c r="AW29" s="2224" t="str">
        <f t="shared" si="47"/>
        <v>CR12516ANP</v>
      </c>
      <c r="AX29" s="2224" t="str">
        <f t="shared" si="47"/>
        <v>CR12516AAP</v>
      </c>
      <c r="AY29" s="2225" t="str">
        <f t="shared" si="47"/>
        <v>CR12516NNV</v>
      </c>
      <c r="AZ29" s="2225" t="str">
        <f t="shared" si="47"/>
        <v>CR12516ANV</v>
      </c>
      <c r="BA29" s="2225" t="str">
        <f t="shared" si="47"/>
        <v>CR12516AAV</v>
      </c>
      <c r="BB29" s="2224" t="str">
        <f t="shared" si="47"/>
        <v>CR12516NNPA</v>
      </c>
      <c r="BC29" s="2224" t="str">
        <f t="shared" si="47"/>
        <v>CR12516ANPA</v>
      </c>
      <c r="BD29" s="2224" t="str">
        <f t="shared" si="47"/>
        <v>CR12516AAPA</v>
      </c>
      <c r="BE29" s="2225" t="str">
        <f t="shared" si="47"/>
        <v>CR12516NNVA</v>
      </c>
      <c r="BF29" s="2225" t="str">
        <f t="shared" si="47"/>
        <v>CR12516ANVA</v>
      </c>
      <c r="BG29" s="1978" t="str">
        <f t="shared" si="47"/>
        <v>CR12516AAVA</v>
      </c>
    </row>
    <row r="30" spans="2:59" ht="14.5" thickBot="1">
      <c r="T30" s="126"/>
      <c r="V30" s="119"/>
      <c r="AI30" s="119"/>
      <c r="AV30" s="2216"/>
      <c r="AW30" s="2216"/>
      <c r="AX30" s="2216"/>
      <c r="AY30" s="1975"/>
      <c r="AZ30" s="1975"/>
      <c r="BA30" s="1975"/>
      <c r="BB30" s="2216"/>
      <c r="BC30" s="2216"/>
      <c r="BD30" s="2216"/>
      <c r="BE30" s="1975"/>
      <c r="BF30" s="1975"/>
      <c r="BG30" s="1975"/>
    </row>
    <row r="31" spans="2:59" ht="14.5" thickBot="1">
      <c r="B31" s="131" t="s">
        <v>856</v>
      </c>
      <c r="C31" s="132" t="s">
        <v>857</v>
      </c>
      <c r="D31" s="132"/>
      <c r="E31" s="133" t="s">
        <v>49</v>
      </c>
      <c r="F31" s="134">
        <v>3</v>
      </c>
      <c r="G31" s="2173">
        <v>2.5770000000000001E-2</v>
      </c>
      <c r="H31" s="2168">
        <f>+G31</f>
        <v>2.5770000000000001E-2</v>
      </c>
      <c r="I31" s="1901">
        <f>+H31</f>
        <v>2.5770000000000001E-2</v>
      </c>
      <c r="J31" s="774">
        <f>+G31*G11</f>
        <v>4.4656059900000002</v>
      </c>
      <c r="K31" s="744">
        <f>+H31*H11</f>
        <v>4.4656059900000002</v>
      </c>
      <c r="L31" s="490">
        <f>+I31*I11</f>
        <v>3.99818973</v>
      </c>
      <c r="M31" s="2173">
        <v>2.5159999999999998E-2</v>
      </c>
      <c r="N31" s="2168">
        <f>+M31</f>
        <v>2.5159999999999998E-2</v>
      </c>
      <c r="O31" s="1901">
        <f>+N31</f>
        <v>2.5159999999999998E-2</v>
      </c>
      <c r="P31" s="774">
        <f>+M31*M11</f>
        <v>4.1024134800000001</v>
      </c>
      <c r="Q31" s="774">
        <f>+N31*N11</f>
        <v>4.1024134800000001</v>
      </c>
      <c r="R31" s="490">
        <f>+O31*O11</f>
        <v>3.67112076</v>
      </c>
      <c r="T31" s="1339">
        <f xml:space="preserve"> IF( SUM( V31:AI31 ) = 0, 0, $W$7 )</f>
        <v>0</v>
      </c>
      <c r="U31" s="120"/>
      <c r="V31" s="119"/>
      <c r="W31" s="93">
        <f t="shared" ref="W31" si="48" xml:space="preserve"> IF( ISNUMBER( G31 ), 0, 1 )</f>
        <v>0</v>
      </c>
      <c r="X31" s="127"/>
      <c r="Y31" s="127"/>
      <c r="Z31" s="127"/>
      <c r="AA31" s="127"/>
      <c r="AB31" s="127"/>
      <c r="AC31" s="93">
        <f t="shared" ref="AC31" si="49" xml:space="preserve"> IF( ISNUMBER( M31 ), 0, 1 )</f>
        <v>0</v>
      </c>
      <c r="AD31" s="127"/>
      <c r="AE31" s="127"/>
      <c r="AF31" s="127"/>
      <c r="AG31" s="127"/>
      <c r="AH31" s="127"/>
      <c r="AI31" s="119"/>
      <c r="AQ31" s="131" t="str">
        <f t="shared" ref="AQ31:AR31" si="50">+B31</f>
        <v>1F.17</v>
      </c>
      <c r="AR31" s="132" t="str">
        <f t="shared" si="50"/>
        <v>RCV growth from RPI inflation</v>
      </c>
      <c r="AS31" s="132" t="s">
        <v>858</v>
      </c>
      <c r="AT31" s="133" t="s">
        <v>49</v>
      </c>
      <c r="AU31" s="134">
        <v>3</v>
      </c>
      <c r="AV31" s="2226" t="str">
        <f t="shared" ref="AV31:BG37" si="51">$AS31&amp;AV$6</f>
        <v>CR12517NNP</v>
      </c>
      <c r="AW31" s="2224" t="str">
        <f t="shared" si="51"/>
        <v>CR12517ANP</v>
      </c>
      <c r="AX31" s="2224" t="str">
        <f t="shared" si="51"/>
        <v>CR12517AAP</v>
      </c>
      <c r="AY31" s="2225" t="str">
        <f t="shared" si="51"/>
        <v>CR12517NNV</v>
      </c>
      <c r="AZ31" s="2225" t="str">
        <f t="shared" si="51"/>
        <v>CR12517ANV</v>
      </c>
      <c r="BA31" s="2225" t="str">
        <f t="shared" si="51"/>
        <v>CR12517AAV</v>
      </c>
      <c r="BB31" s="2227" t="str">
        <f t="shared" si="51"/>
        <v>CR12517NNPA</v>
      </c>
      <c r="BC31" s="2224" t="str">
        <f t="shared" si="51"/>
        <v>CR12517ANPA</v>
      </c>
      <c r="BD31" s="2224" t="str">
        <f t="shared" si="51"/>
        <v>CR12517AAPA</v>
      </c>
      <c r="BE31" s="2225" t="str">
        <f t="shared" si="51"/>
        <v>CR12517NNVA</v>
      </c>
      <c r="BF31" s="2225" t="str">
        <f t="shared" si="51"/>
        <v>CR12517ANVA</v>
      </c>
      <c r="BG31" s="1978" t="str">
        <f t="shared" si="51"/>
        <v>CR12517AAVA</v>
      </c>
    </row>
    <row r="32" spans="2:59" ht="14.5" thickBot="1">
      <c r="T32" s="126"/>
      <c r="V32" s="119"/>
      <c r="AI32" s="119"/>
      <c r="AV32" s="2216"/>
      <c r="AW32" s="2216"/>
      <c r="AX32" s="2216"/>
      <c r="AY32" s="1975"/>
      <c r="AZ32" s="1975"/>
      <c r="BA32" s="1975"/>
      <c r="BB32" s="2216"/>
      <c r="BC32" s="2216"/>
      <c r="BD32" s="2216"/>
      <c r="BE32" s="1975"/>
      <c r="BF32" s="1975"/>
      <c r="BG32" s="1975"/>
    </row>
    <row r="33" spans="2:59" ht="14.5" thickBot="1">
      <c r="B33" s="131" t="s">
        <v>859</v>
      </c>
      <c r="C33" s="132" t="s">
        <v>860</v>
      </c>
      <c r="D33" s="132"/>
      <c r="E33" s="133" t="s">
        <v>49</v>
      </c>
      <c r="F33" s="134">
        <v>3</v>
      </c>
      <c r="G33" s="2168">
        <f>G29+G31</f>
        <v>8.2640000000000005E-2</v>
      </c>
      <c r="H33" s="2168">
        <f>+H29+H31</f>
        <v>4.3636830973474511E-2</v>
      </c>
      <c r="I33" s="1901">
        <f t="shared" ref="I33:L33" si="52">+I29+I31</f>
        <v>4.6146049023841604E-2</v>
      </c>
      <c r="J33" s="774">
        <f t="shared" si="52"/>
        <v>14.320437680000001</v>
      </c>
      <c r="K33" s="744">
        <f t="shared" si="52"/>
        <v>7.6269296200000021</v>
      </c>
      <c r="L33" s="490">
        <f t="shared" si="52"/>
        <v>7.1595133600000018</v>
      </c>
      <c r="M33" s="2168">
        <f>M29+M31</f>
        <v>8.1960000000000005E-2</v>
      </c>
      <c r="N33" s="2168">
        <f>+N29+N31</f>
        <v>6.4179938198080544E-2</v>
      </c>
      <c r="O33" s="1901">
        <f t="shared" ref="O33:R33" si="53">+O29+O31</f>
        <v>6.892713602726154E-2</v>
      </c>
      <c r="P33" s="774">
        <f t="shared" si="53"/>
        <v>13.363823880000002</v>
      </c>
      <c r="Q33" s="774">
        <f t="shared" si="53"/>
        <v>10.526520064873759</v>
      </c>
      <c r="R33" s="490">
        <f t="shared" si="53"/>
        <v>10.057227344873759</v>
      </c>
      <c r="T33" s="126"/>
      <c r="U33" s="120"/>
      <c r="V33" s="119"/>
      <c r="W33" s="120"/>
      <c r="X33" s="120"/>
      <c r="Y33" s="120"/>
      <c r="Z33" s="120"/>
      <c r="AA33" s="120"/>
      <c r="AB33" s="120"/>
      <c r="AC33" s="120"/>
      <c r="AD33" s="120"/>
      <c r="AE33" s="120"/>
      <c r="AF33" s="120"/>
      <c r="AG33" s="120"/>
      <c r="AH33" s="120"/>
      <c r="AI33" s="119"/>
      <c r="AQ33" s="131" t="str">
        <f t="shared" ref="AQ33:AR33" si="54">+B33</f>
        <v>1F.18</v>
      </c>
      <c r="AR33" s="132" t="str">
        <f t="shared" si="54"/>
        <v>Total shareholder return</v>
      </c>
      <c r="AS33" s="132" t="s">
        <v>861</v>
      </c>
      <c r="AT33" s="133" t="s">
        <v>49</v>
      </c>
      <c r="AU33" s="134">
        <v>3</v>
      </c>
      <c r="AV33" s="2223" t="str">
        <f t="shared" si="51"/>
        <v>CR12518NNP</v>
      </c>
      <c r="AW33" s="2224" t="str">
        <f t="shared" si="51"/>
        <v>CR12518ANP</v>
      </c>
      <c r="AX33" s="2224" t="str">
        <f t="shared" si="51"/>
        <v>CR12518AAP</v>
      </c>
      <c r="AY33" s="2225" t="str">
        <f t="shared" si="51"/>
        <v>CR12518NNV</v>
      </c>
      <c r="AZ33" s="2225" t="str">
        <f t="shared" si="51"/>
        <v>CR12518ANV</v>
      </c>
      <c r="BA33" s="2225" t="str">
        <f t="shared" si="51"/>
        <v>CR12518AAV</v>
      </c>
      <c r="BB33" s="2224" t="str">
        <f t="shared" si="51"/>
        <v>CR12518NNPA</v>
      </c>
      <c r="BC33" s="2224" t="str">
        <f t="shared" si="51"/>
        <v>CR12518ANPA</v>
      </c>
      <c r="BD33" s="2224" t="str">
        <f t="shared" si="51"/>
        <v>CR12518AAPA</v>
      </c>
      <c r="BE33" s="2225" t="str">
        <f t="shared" si="51"/>
        <v>CR12518NNVA</v>
      </c>
      <c r="BF33" s="2225" t="str">
        <f t="shared" si="51"/>
        <v>CR12518ANVA</v>
      </c>
      <c r="BG33" s="1978" t="str">
        <f t="shared" si="51"/>
        <v>CR12518AAVA</v>
      </c>
    </row>
    <row r="34" spans="2:59" ht="14.5" thickBot="1">
      <c r="T34" s="126"/>
      <c r="V34" s="119"/>
      <c r="AI34" s="119"/>
      <c r="AV34" s="2216"/>
      <c r="AW34" s="2216"/>
      <c r="AX34" s="2216"/>
      <c r="AY34" s="1975"/>
      <c r="AZ34" s="1975"/>
      <c r="BA34" s="1975"/>
      <c r="BB34" s="2216"/>
      <c r="BC34" s="2216"/>
      <c r="BD34" s="2216"/>
      <c r="BE34" s="1975"/>
      <c r="BF34" s="1975"/>
      <c r="BG34" s="1975"/>
    </row>
    <row r="35" spans="2:59" ht="14.5" thickBot="1">
      <c r="B35" s="131" t="s">
        <v>862</v>
      </c>
      <c r="C35" s="132" t="s">
        <v>863</v>
      </c>
      <c r="D35" s="132"/>
      <c r="E35" s="133" t="s">
        <v>49</v>
      </c>
      <c r="F35" s="134">
        <v>3</v>
      </c>
      <c r="G35" s="2170">
        <f>G42</f>
        <v>0.04</v>
      </c>
      <c r="H35" s="2170">
        <f>H42</f>
        <v>1.0005267925706957E-2</v>
      </c>
      <c r="I35" s="1902">
        <f t="shared" ref="I35:L35" si="55">I42</f>
        <v>1.1174953515923281E-2</v>
      </c>
      <c r="J35" s="2158">
        <f t="shared" si="55"/>
        <v>6.9314800000000005</v>
      </c>
      <c r="K35" s="1895">
        <f t="shared" si="55"/>
        <v>1.7337828630419816</v>
      </c>
      <c r="L35" s="2160">
        <f t="shared" si="55"/>
        <v>1.7337828630419816</v>
      </c>
      <c r="M35" s="2170">
        <f>M42</f>
        <v>0.04</v>
      </c>
      <c r="N35" s="2170">
        <f>N42</f>
        <v>1.1658851929288536E-2</v>
      </c>
      <c r="O35" s="1902">
        <f t="shared" ref="O35:R35" si="56">O42</f>
        <v>1.302856387541915E-2</v>
      </c>
      <c r="P35" s="2158">
        <f t="shared" si="56"/>
        <v>6.5221200000000001</v>
      </c>
      <c r="Q35" s="2158">
        <f t="shared" si="56"/>
        <v>1.9010107836262837</v>
      </c>
      <c r="R35" s="2160">
        <f t="shared" si="56"/>
        <v>1.9010107836262837</v>
      </c>
      <c r="T35" s="126"/>
      <c r="U35" s="120"/>
      <c r="V35" s="119"/>
      <c r="W35" s="120"/>
      <c r="X35" s="120"/>
      <c r="Y35" s="120"/>
      <c r="Z35" s="120"/>
      <c r="AA35" s="120"/>
      <c r="AB35" s="120"/>
      <c r="AC35" s="120"/>
      <c r="AD35" s="120"/>
      <c r="AE35" s="120"/>
      <c r="AF35" s="120"/>
      <c r="AG35" s="120"/>
      <c r="AH35" s="120"/>
      <c r="AI35" s="119"/>
      <c r="AQ35" s="131" t="str">
        <f t="shared" ref="AQ35:AR35" si="57">+B35</f>
        <v>1F.19</v>
      </c>
      <c r="AR35" s="132" t="str">
        <f t="shared" si="57"/>
        <v>Net dividend</v>
      </c>
      <c r="AS35" s="132" t="str">
        <f>AS42</f>
        <v>CR12522</v>
      </c>
      <c r="AT35" s="133" t="s">
        <v>49</v>
      </c>
      <c r="AU35" s="134">
        <v>3</v>
      </c>
      <c r="AV35" s="2228" t="str">
        <f t="shared" si="51"/>
        <v>CR12522NNP</v>
      </c>
      <c r="AW35" s="2229" t="str">
        <f t="shared" si="51"/>
        <v>CR12522ANP</v>
      </c>
      <c r="AX35" s="2229" t="str">
        <f t="shared" si="51"/>
        <v>CR12522AAP</v>
      </c>
      <c r="AY35" s="2230" t="str">
        <f t="shared" si="51"/>
        <v>CR12522NNV</v>
      </c>
      <c r="AZ35" s="2230" t="str">
        <f t="shared" si="51"/>
        <v>CR12522ANV</v>
      </c>
      <c r="BA35" s="2230" t="str">
        <f t="shared" si="51"/>
        <v>CR12522AAV</v>
      </c>
      <c r="BB35" s="2229" t="str">
        <f t="shared" si="51"/>
        <v>CR12522NNPA</v>
      </c>
      <c r="BC35" s="2229" t="str">
        <f t="shared" si="51"/>
        <v>CR12522ANPA</v>
      </c>
      <c r="BD35" s="2229" t="str">
        <f t="shared" si="51"/>
        <v>CR12522AAPA</v>
      </c>
      <c r="BE35" s="2230" t="str">
        <f t="shared" si="51"/>
        <v>CR12522NNVA</v>
      </c>
      <c r="BF35" s="2230" t="str">
        <f t="shared" si="51"/>
        <v>CR12522ANVA</v>
      </c>
      <c r="BG35" s="2231" t="str">
        <f t="shared" si="51"/>
        <v>CR12522AAVA</v>
      </c>
    </row>
    <row r="36" spans="2:59" ht="14.5" thickBot="1">
      <c r="T36" s="126"/>
      <c r="V36" s="119"/>
      <c r="AI36" s="119"/>
      <c r="AV36" s="2216"/>
      <c r="AW36" s="2216"/>
      <c r="AX36" s="2216"/>
      <c r="AY36" s="1975"/>
      <c r="AZ36" s="1975"/>
      <c r="BA36" s="1975"/>
      <c r="BB36" s="2216"/>
      <c r="BC36" s="2216"/>
      <c r="BD36" s="2216"/>
      <c r="BE36" s="1975"/>
      <c r="BF36" s="1975"/>
      <c r="BG36" s="1975"/>
    </row>
    <row r="37" spans="2:59" ht="14.5" thickBot="1">
      <c r="B37" s="131" t="s">
        <v>864</v>
      </c>
      <c r="C37" s="132" t="s">
        <v>865</v>
      </c>
      <c r="D37" s="132"/>
      <c r="E37" s="133" t="s">
        <v>49</v>
      </c>
      <c r="F37" s="134">
        <v>3</v>
      </c>
      <c r="G37" s="2168">
        <f>G33-G35</f>
        <v>4.2640000000000004E-2</v>
      </c>
      <c r="H37" s="2168">
        <f>H33-H35</f>
        <v>3.3631563047767557E-2</v>
      </c>
      <c r="I37" s="1901">
        <f t="shared" ref="I37:L37" si="58">I33-I35</f>
        <v>3.4971095507918326E-2</v>
      </c>
      <c r="J37" s="774">
        <f t="shared" si="58"/>
        <v>7.3889576800000007</v>
      </c>
      <c r="K37" s="744">
        <f t="shared" si="58"/>
        <v>5.8931467569580205</v>
      </c>
      <c r="L37" s="490">
        <f t="shared" si="58"/>
        <v>5.4257304969580202</v>
      </c>
      <c r="M37" s="2168">
        <f>M33-M35</f>
        <v>4.1960000000000004E-2</v>
      </c>
      <c r="N37" s="2168">
        <f>N33-N35</f>
        <v>5.2521086268792011E-2</v>
      </c>
      <c r="O37" s="1901">
        <f t="shared" ref="O37:R37" si="59">O33-O35</f>
        <v>5.5898572151842393E-2</v>
      </c>
      <c r="P37" s="774">
        <f t="shared" si="59"/>
        <v>6.8417038800000016</v>
      </c>
      <c r="Q37" s="774">
        <f t="shared" si="59"/>
        <v>8.6255092812474761</v>
      </c>
      <c r="R37" s="490">
        <f t="shared" si="59"/>
        <v>8.1562165612474757</v>
      </c>
      <c r="T37" s="126"/>
      <c r="U37" s="120"/>
      <c r="V37" s="119"/>
      <c r="W37" s="120"/>
      <c r="X37" s="120"/>
      <c r="Y37" s="120"/>
      <c r="Z37" s="120"/>
      <c r="AA37" s="120"/>
      <c r="AB37" s="120"/>
      <c r="AC37" s="120"/>
      <c r="AD37" s="120"/>
      <c r="AE37" s="120"/>
      <c r="AF37" s="120"/>
      <c r="AG37" s="120"/>
      <c r="AH37" s="120"/>
      <c r="AI37" s="119"/>
      <c r="AQ37" s="131" t="str">
        <f t="shared" ref="AQ37:AR37" si="60">+B37</f>
        <v>1F.20</v>
      </c>
      <c r="AR37" s="132" t="str">
        <f t="shared" si="60"/>
        <v>Retained value</v>
      </c>
      <c r="AS37" s="132" t="s">
        <v>866</v>
      </c>
      <c r="AT37" s="133" t="s">
        <v>49</v>
      </c>
      <c r="AU37" s="134">
        <v>3</v>
      </c>
      <c r="AV37" s="2223" t="str">
        <f t="shared" si="51"/>
        <v>CR12519NNP</v>
      </c>
      <c r="AW37" s="2224" t="str">
        <f t="shared" si="51"/>
        <v>CR12519ANP</v>
      </c>
      <c r="AX37" s="2224" t="str">
        <f t="shared" si="51"/>
        <v>CR12519AAP</v>
      </c>
      <c r="AY37" s="2225" t="str">
        <f t="shared" si="51"/>
        <v>CR12519NNV</v>
      </c>
      <c r="AZ37" s="2225" t="str">
        <f t="shared" si="51"/>
        <v>CR12519ANV</v>
      </c>
      <c r="BA37" s="2225" t="str">
        <f t="shared" si="51"/>
        <v>CR12519AAV</v>
      </c>
      <c r="BB37" s="2224" t="str">
        <f t="shared" si="51"/>
        <v>CR12519NNPA</v>
      </c>
      <c r="BC37" s="2224" t="str">
        <f t="shared" si="51"/>
        <v>CR12519ANPA</v>
      </c>
      <c r="BD37" s="2224" t="str">
        <f t="shared" si="51"/>
        <v>CR12519AAPA</v>
      </c>
      <c r="BE37" s="2225" t="str">
        <f t="shared" si="51"/>
        <v>CR12519NNVA</v>
      </c>
      <c r="BF37" s="2225" t="str">
        <f t="shared" si="51"/>
        <v>CR12519ANVA</v>
      </c>
      <c r="BG37" s="1978" t="str">
        <f t="shared" si="51"/>
        <v>CR12519AAVA</v>
      </c>
    </row>
    <row r="38" spans="2:59" ht="14.5" thickBot="1">
      <c r="T38" s="126"/>
      <c r="V38" s="119"/>
      <c r="AI38" s="119"/>
      <c r="AV38" s="2216"/>
      <c r="AW38" s="2216"/>
      <c r="AX38" s="2216"/>
      <c r="AY38" s="1975"/>
      <c r="AZ38" s="1975"/>
      <c r="BA38" s="1975"/>
      <c r="BB38" s="2216"/>
      <c r="BC38" s="2216"/>
      <c r="BD38" s="2216"/>
      <c r="BE38" s="1975"/>
      <c r="BF38" s="1975"/>
      <c r="BG38" s="1975"/>
    </row>
    <row r="39" spans="2:59" ht="14.5" thickBot="1">
      <c r="B39" s="2865" t="s">
        <v>464</v>
      </c>
      <c r="C39" s="83" t="s">
        <v>867</v>
      </c>
      <c r="D39" s="1473"/>
      <c r="T39" s="126"/>
      <c r="AQ39" s="2865" t="str">
        <f t="shared" ref="AQ39:AQ42" si="61">+B39</f>
        <v>E</v>
      </c>
      <c r="AR39" s="83" t="str">
        <f t="shared" ref="AR39:AR42" si="62">+C39</f>
        <v>Dividends reconciliation</v>
      </c>
      <c r="AS39" s="1473"/>
      <c r="AV39" s="2216"/>
      <c r="AW39" s="2216"/>
      <c r="AX39" s="2216"/>
      <c r="AY39" s="1975"/>
      <c r="AZ39" s="1975"/>
      <c r="BA39" s="1975"/>
      <c r="BB39" s="2216"/>
      <c r="BC39" s="2216"/>
      <c r="BD39" s="2216"/>
      <c r="BE39" s="1975"/>
      <c r="BF39" s="1975"/>
      <c r="BG39" s="1975"/>
    </row>
    <row r="40" spans="2:59">
      <c r="B40" s="86" t="s">
        <v>868</v>
      </c>
      <c r="C40" s="117" t="s">
        <v>869</v>
      </c>
      <c r="D40" s="117"/>
      <c r="E40" s="88" t="s">
        <v>49</v>
      </c>
      <c r="F40" s="215">
        <v>3</v>
      </c>
      <c r="G40" s="2181">
        <v>0.04</v>
      </c>
      <c r="H40" s="2169">
        <f t="shared" ref="H40:I41" si="63">IFERROR(+K40/H$11,0)</f>
        <v>2.9602764547550651E-2</v>
      </c>
      <c r="I40" s="2163">
        <f t="shared" si="63"/>
        <v>3.30635341520178E-2</v>
      </c>
      <c r="J40" s="636">
        <f>+G35*G11</f>
        <v>6.9314800000000005</v>
      </c>
      <c r="K40" s="188">
        <f>+L40</f>
        <v>5.12977426015141</v>
      </c>
      <c r="L40" s="428">
        <v>5.12977426015141</v>
      </c>
      <c r="M40" s="2169">
        <v>0.04</v>
      </c>
      <c r="N40" s="2169">
        <f t="shared" ref="N40:O41" si="64">IFERROR(+Q40/N$11,0)</f>
        <v>3.373503810064836E-2</v>
      </c>
      <c r="O40" s="2163">
        <f t="shared" si="64"/>
        <v>3.7698317244244897E-2</v>
      </c>
      <c r="P40" s="636">
        <f>+M35*M11</f>
        <v>6.5221200000000001</v>
      </c>
      <c r="Q40" s="636">
        <f>+R40</f>
        <v>5.5005991674250172</v>
      </c>
      <c r="R40" s="428">
        <v>5.5005991674250172</v>
      </c>
      <c r="T40" s="1339">
        <f t="shared" ref="T40:T41" si="65" xml:space="preserve"> IF( SUM( V40:AI40 ) = 0, 0, $W$7 )</f>
        <v>0</v>
      </c>
      <c r="W40" s="127"/>
      <c r="X40" s="127"/>
      <c r="Y40" s="127"/>
      <c r="Z40" s="127"/>
      <c r="AA40" s="127"/>
      <c r="AB40" s="93">
        <f t="shared" ref="AB40:AB41" si="66" xml:space="preserve"> IF( ISNUMBER( L40 ), 0, 1 )</f>
        <v>0</v>
      </c>
      <c r="AC40" s="127"/>
      <c r="AD40" s="127"/>
      <c r="AE40" s="127"/>
      <c r="AF40" s="127"/>
      <c r="AG40" s="127"/>
      <c r="AH40" s="93">
        <f t="shared" ref="AH40:AH41" si="67" xml:space="preserve"> IF( ISNUMBER( R40 ), 0, 1 )</f>
        <v>0</v>
      </c>
      <c r="AQ40" s="86" t="str">
        <f t="shared" si="61"/>
        <v>1F.21</v>
      </c>
      <c r="AR40" s="117" t="str">
        <f t="shared" si="62"/>
        <v>Gross dividend</v>
      </c>
      <c r="AS40" s="117" t="s">
        <v>870</v>
      </c>
      <c r="AT40" s="88" t="s">
        <v>49</v>
      </c>
      <c r="AU40" s="215">
        <v>3</v>
      </c>
      <c r="AV40" s="2249" t="str">
        <f t="shared" ref="AV40:BG42" si="68">$AS40&amp;AV$6</f>
        <v>CR12520NNP</v>
      </c>
      <c r="AW40" s="2244" t="str">
        <f t="shared" si="68"/>
        <v>CR12520ANP</v>
      </c>
      <c r="AX40" s="2244" t="str">
        <f t="shared" si="68"/>
        <v>CR12520AAP</v>
      </c>
      <c r="AY40" s="2245" t="str">
        <f t="shared" si="68"/>
        <v>CR12520NNV</v>
      </c>
      <c r="AZ40" s="2245" t="str">
        <f t="shared" si="68"/>
        <v>CR12520ANV</v>
      </c>
      <c r="BA40" s="2217" t="str">
        <f t="shared" si="68"/>
        <v>CR12520AAV</v>
      </c>
      <c r="BB40" s="2244" t="str">
        <f t="shared" si="68"/>
        <v>CR12520NNPA</v>
      </c>
      <c r="BC40" s="2244" t="str">
        <f t="shared" si="68"/>
        <v>CR12520ANPA</v>
      </c>
      <c r="BD40" s="2244" t="str">
        <f t="shared" si="68"/>
        <v>CR12520AAPA</v>
      </c>
      <c r="BE40" s="2245" t="str">
        <f t="shared" si="68"/>
        <v>CR12520NNVA</v>
      </c>
      <c r="BF40" s="2245" t="str">
        <f t="shared" si="68"/>
        <v>CR12520ANVA</v>
      </c>
      <c r="BG40" s="2218" t="str">
        <f t="shared" si="68"/>
        <v>CR12520AAVA</v>
      </c>
    </row>
    <row r="41" spans="2:59">
      <c r="B41" s="170" t="s">
        <v>871</v>
      </c>
      <c r="C41" s="171" t="s">
        <v>872</v>
      </c>
      <c r="D41" s="171"/>
      <c r="E41" s="167" t="s">
        <v>49</v>
      </c>
      <c r="F41" s="396">
        <v>3</v>
      </c>
      <c r="G41" s="2182">
        <v>0</v>
      </c>
      <c r="H41" s="2183">
        <f t="shared" si="63"/>
        <v>1.9597496621843694E-2</v>
      </c>
      <c r="I41" s="2184">
        <f t="shared" si="63"/>
        <v>2.1888580636094519E-2</v>
      </c>
      <c r="J41" s="2174">
        <v>0</v>
      </c>
      <c r="K41" s="2153">
        <f>+L41</f>
        <v>3.3959913971094284</v>
      </c>
      <c r="L41" s="468">
        <v>3.3959913971094284</v>
      </c>
      <c r="M41" s="2183">
        <v>0</v>
      </c>
      <c r="N41" s="2166">
        <f t="shared" si="64"/>
        <v>2.2076186171359823E-2</v>
      </c>
      <c r="O41" s="2164">
        <f t="shared" si="64"/>
        <v>2.4669753368825747E-2</v>
      </c>
      <c r="P41" s="2174">
        <v>0</v>
      </c>
      <c r="Q41" s="2174">
        <f>+R41</f>
        <v>3.5995883837987335</v>
      </c>
      <c r="R41" s="468">
        <v>3.5995883837987335</v>
      </c>
      <c r="T41" s="1339">
        <f t="shared" si="65"/>
        <v>0</v>
      </c>
      <c r="W41" s="127"/>
      <c r="X41" s="127"/>
      <c r="Y41" s="127"/>
      <c r="Z41" s="127"/>
      <c r="AA41" s="127"/>
      <c r="AB41" s="93">
        <f t="shared" si="66"/>
        <v>0</v>
      </c>
      <c r="AC41" s="127"/>
      <c r="AD41" s="127"/>
      <c r="AE41" s="127"/>
      <c r="AF41" s="127"/>
      <c r="AG41" s="127"/>
      <c r="AH41" s="93">
        <f t="shared" si="67"/>
        <v>0</v>
      </c>
      <c r="AQ41" s="170" t="str">
        <f t="shared" si="61"/>
        <v>1F.22</v>
      </c>
      <c r="AR41" s="171" t="str">
        <f t="shared" si="62"/>
        <v>Interest received on intercompany loans</v>
      </c>
      <c r="AS41" s="171" t="s">
        <v>873</v>
      </c>
      <c r="AT41" s="167" t="s">
        <v>49</v>
      </c>
      <c r="AU41" s="396">
        <v>3</v>
      </c>
      <c r="AV41" s="2250" t="str">
        <f t="shared" si="68"/>
        <v>CR12521NNP</v>
      </c>
      <c r="AW41" s="2251" t="str">
        <f t="shared" si="68"/>
        <v>CR12521ANP</v>
      </c>
      <c r="AX41" s="2251" t="str">
        <f t="shared" si="68"/>
        <v>CR12521AAP</v>
      </c>
      <c r="AY41" s="2252" t="str">
        <f t="shared" si="68"/>
        <v>CR12521NNV</v>
      </c>
      <c r="AZ41" s="2252" t="str">
        <f t="shared" si="68"/>
        <v>CR12521ANV</v>
      </c>
      <c r="BA41" s="2232" t="str">
        <f t="shared" si="68"/>
        <v>CR12521AAV</v>
      </c>
      <c r="BB41" s="2251" t="str">
        <f t="shared" si="68"/>
        <v>CR12521NNPA</v>
      </c>
      <c r="BC41" s="2251" t="str">
        <f t="shared" si="68"/>
        <v>CR12521ANPA</v>
      </c>
      <c r="BD41" s="2251" t="str">
        <f t="shared" si="68"/>
        <v>CR12521AAPA</v>
      </c>
      <c r="BE41" s="2252" t="str">
        <f t="shared" si="68"/>
        <v>CR12521NNVA</v>
      </c>
      <c r="BF41" s="2252" t="str">
        <f t="shared" si="68"/>
        <v>CR12521ANVA</v>
      </c>
      <c r="BG41" s="2233" t="str">
        <f t="shared" si="68"/>
        <v>CR12521AAVA</v>
      </c>
    </row>
    <row r="42" spans="2:59" ht="14.5" thickBot="1">
      <c r="B42" s="174" t="s">
        <v>874</v>
      </c>
      <c r="C42" s="391" t="s">
        <v>863</v>
      </c>
      <c r="D42" s="391"/>
      <c r="E42" s="175" t="s">
        <v>49</v>
      </c>
      <c r="F42" s="392">
        <v>3</v>
      </c>
      <c r="G42" s="1903">
        <f xml:space="preserve"> G40 - G41</f>
        <v>0.04</v>
      </c>
      <c r="H42" s="2171">
        <f t="shared" ref="H42:L42" si="69" xml:space="preserve"> H40 - H41</f>
        <v>1.0005267925706957E-2</v>
      </c>
      <c r="I42" s="2157">
        <f t="shared" si="69"/>
        <v>1.1174953515923281E-2</v>
      </c>
      <c r="J42" s="2159">
        <f t="shared" si="69"/>
        <v>6.9314800000000005</v>
      </c>
      <c r="K42" s="394">
        <f t="shared" si="69"/>
        <v>1.7337828630419816</v>
      </c>
      <c r="L42" s="399">
        <f t="shared" si="69"/>
        <v>1.7337828630419816</v>
      </c>
      <c r="M42" s="2171">
        <f xml:space="preserve"> M40 - M41</f>
        <v>0.04</v>
      </c>
      <c r="N42" s="2171">
        <f t="shared" ref="N42:R42" si="70" xml:space="preserve"> N40 - N41</f>
        <v>1.1658851929288536E-2</v>
      </c>
      <c r="O42" s="2157">
        <f t="shared" si="70"/>
        <v>1.302856387541915E-2</v>
      </c>
      <c r="P42" s="2159">
        <f t="shared" si="70"/>
        <v>6.5221200000000001</v>
      </c>
      <c r="Q42" s="2159">
        <f t="shared" si="70"/>
        <v>1.9010107836262837</v>
      </c>
      <c r="R42" s="399">
        <f t="shared" si="70"/>
        <v>1.9010107836262837</v>
      </c>
      <c r="T42" s="126"/>
      <c r="AQ42" s="174" t="str">
        <f t="shared" si="61"/>
        <v>1F.23</v>
      </c>
      <c r="AR42" s="391" t="str">
        <f t="shared" si="62"/>
        <v>Net dividend</v>
      </c>
      <c r="AS42" s="391" t="s">
        <v>875</v>
      </c>
      <c r="AT42" s="175" t="s">
        <v>49</v>
      </c>
      <c r="AU42" s="392">
        <v>3</v>
      </c>
      <c r="AV42" s="2234" t="str">
        <f t="shared" si="68"/>
        <v>CR12522NNP</v>
      </c>
      <c r="AW42" s="2235" t="str">
        <f t="shared" si="68"/>
        <v>CR12522ANP</v>
      </c>
      <c r="AX42" s="2235" t="str">
        <f t="shared" si="68"/>
        <v>CR12522AAP</v>
      </c>
      <c r="AY42" s="2236" t="str">
        <f t="shared" si="68"/>
        <v>CR12522NNV</v>
      </c>
      <c r="AZ42" s="2236" t="str">
        <f t="shared" si="68"/>
        <v>CR12522ANV</v>
      </c>
      <c r="BA42" s="2236" t="str">
        <f t="shared" si="68"/>
        <v>CR12522AAV</v>
      </c>
      <c r="BB42" s="2235" t="str">
        <f t="shared" si="68"/>
        <v>CR12522NNPA</v>
      </c>
      <c r="BC42" s="2235" t="str">
        <f t="shared" si="68"/>
        <v>CR12522ANPA</v>
      </c>
      <c r="BD42" s="2235" t="str">
        <f t="shared" si="68"/>
        <v>CR12522AAPA</v>
      </c>
      <c r="BE42" s="2236" t="str">
        <f t="shared" si="68"/>
        <v>CR12522NNVA</v>
      </c>
      <c r="BF42" s="2236" t="str">
        <f t="shared" si="68"/>
        <v>CR12522ANVA</v>
      </c>
      <c r="BG42" s="2237" t="str">
        <f t="shared" si="68"/>
        <v>CR12522AAVA</v>
      </c>
    </row>
    <row r="43" spans="2:59" s="110" customFormat="1">
      <c r="C43" s="152"/>
      <c r="D43" s="152"/>
      <c r="G43" s="70"/>
      <c r="H43" s="70"/>
      <c r="I43" s="70"/>
      <c r="J43" s="70"/>
      <c r="K43" s="70"/>
      <c r="L43" s="70"/>
      <c r="M43" s="70"/>
      <c r="N43" s="70"/>
      <c r="O43" s="70"/>
      <c r="P43" s="70"/>
      <c r="Q43" s="70"/>
      <c r="R43" s="70"/>
      <c r="S43" s="118"/>
      <c r="T43" s="126"/>
      <c r="U43" s="118"/>
      <c r="V43" s="71"/>
      <c r="W43" s="120"/>
      <c r="X43" s="118"/>
      <c r="Y43" s="280"/>
      <c r="Z43" s="280"/>
      <c r="AA43" s="280"/>
      <c r="AB43" s="280"/>
      <c r="AC43" s="280"/>
      <c r="AD43" s="280"/>
      <c r="AE43" s="280"/>
      <c r="AF43" s="280"/>
      <c r="AG43" s="280"/>
      <c r="AH43" s="280"/>
      <c r="AI43" s="71"/>
      <c r="AR43" s="152"/>
      <c r="AS43" s="152"/>
      <c r="AV43" s="2238"/>
      <c r="AW43" s="2238"/>
      <c r="AX43" s="2238"/>
      <c r="AY43" s="2238"/>
      <c r="AZ43" s="2238"/>
      <c r="BA43" s="2238"/>
      <c r="BB43" s="2238"/>
      <c r="BC43" s="2238"/>
      <c r="BD43" s="2238"/>
      <c r="BE43" s="2238"/>
      <c r="BF43" s="2238"/>
      <c r="BG43" s="2238"/>
    </row>
    <row r="44" spans="2:59" s="163" customFormat="1">
      <c r="B44" s="2914" t="s">
        <v>241</v>
      </c>
      <c r="C44" s="2914"/>
      <c r="D44" s="2823"/>
      <c r="J44" s="126"/>
      <c r="K44" s="126"/>
      <c r="L44" s="126"/>
      <c r="M44" s="126"/>
      <c r="N44" s="126"/>
      <c r="O44" s="126"/>
      <c r="P44" s="126"/>
      <c r="Q44" s="126"/>
      <c r="R44" s="126"/>
      <c r="S44" s="126"/>
      <c r="T44" s="126"/>
      <c r="U44" s="126"/>
      <c r="V44" s="71"/>
      <c r="W44" s="126"/>
      <c r="X44" s="126"/>
      <c r="Y44" s="203"/>
      <c r="Z44" s="203"/>
      <c r="AA44" s="203"/>
      <c r="AB44" s="203"/>
      <c r="AC44" s="203"/>
      <c r="AD44" s="203"/>
      <c r="AE44" s="203"/>
      <c r="AF44" s="203"/>
      <c r="AG44" s="203"/>
      <c r="AH44" s="203"/>
      <c r="AI44" s="71"/>
      <c r="AV44" s="2239"/>
      <c r="AW44" s="2239"/>
      <c r="AX44" s="2239"/>
      <c r="AY44" s="2239"/>
      <c r="AZ44" s="2239"/>
      <c r="BA44" s="2239"/>
      <c r="BB44" s="2239"/>
      <c r="BC44" s="2239"/>
      <c r="BD44" s="2239"/>
      <c r="BE44" s="2239"/>
      <c r="BF44" s="2239"/>
      <c r="BG44" s="2239"/>
    </row>
    <row r="45" spans="2:59" s="163" customFormat="1">
      <c r="B45" s="141"/>
      <c r="C45" s="142"/>
      <c r="D45" s="142"/>
      <c r="J45" s="126"/>
      <c r="K45" s="126"/>
      <c r="L45" s="126"/>
      <c r="M45" s="126"/>
      <c r="N45" s="126"/>
      <c r="O45" s="126"/>
      <c r="P45" s="126"/>
      <c r="Q45" s="126"/>
      <c r="R45" s="126"/>
      <c r="S45" s="126"/>
      <c r="T45" s="126"/>
      <c r="U45" s="126"/>
      <c r="V45" s="71"/>
      <c r="W45" s="126"/>
      <c r="X45" s="126"/>
      <c r="Y45" s="203"/>
      <c r="Z45" s="203"/>
      <c r="AA45" s="203"/>
      <c r="AB45" s="203"/>
      <c r="AC45" s="203"/>
      <c r="AD45" s="203"/>
      <c r="AE45" s="203"/>
      <c r="AF45" s="203"/>
      <c r="AG45" s="203"/>
      <c r="AH45" s="203"/>
      <c r="AI45" s="71"/>
    </row>
    <row r="46" spans="2:59" s="163" customFormat="1">
      <c r="B46" s="1765"/>
      <c r="C46" s="143" t="s">
        <v>188</v>
      </c>
      <c r="D46" s="143"/>
      <c r="J46" s="126"/>
      <c r="K46" s="126"/>
      <c r="L46" s="126"/>
      <c r="M46" s="126"/>
      <c r="N46" s="126"/>
      <c r="O46" s="126"/>
      <c r="P46" s="126"/>
      <c r="Q46" s="126"/>
      <c r="R46" s="126"/>
      <c r="S46" s="126"/>
      <c r="T46" s="126"/>
      <c r="U46" s="126"/>
      <c r="V46" s="71"/>
      <c r="W46" s="126"/>
      <c r="X46" s="126"/>
      <c r="Y46" s="203"/>
      <c r="Z46" s="203"/>
      <c r="AA46" s="203"/>
      <c r="AB46" s="203"/>
      <c r="AC46" s="203"/>
      <c r="AD46" s="203"/>
      <c r="AE46" s="203"/>
      <c r="AF46" s="203"/>
      <c r="AG46" s="203"/>
      <c r="AH46" s="203"/>
      <c r="AI46" s="71"/>
    </row>
    <row r="47" spans="2:59" s="163" customFormat="1">
      <c r="B47" s="141"/>
      <c r="C47" s="142"/>
      <c r="D47" s="142"/>
      <c r="J47" s="126"/>
      <c r="K47" s="126"/>
      <c r="L47" s="126"/>
      <c r="M47" s="126"/>
      <c r="N47" s="126"/>
      <c r="O47" s="126"/>
      <c r="P47" s="126"/>
      <c r="Q47" s="126"/>
      <c r="R47" s="126"/>
      <c r="S47" s="126"/>
      <c r="T47" s="126"/>
      <c r="U47" s="126"/>
      <c r="V47" s="71"/>
      <c r="W47" s="126"/>
      <c r="X47" s="126"/>
      <c r="Y47" s="203"/>
      <c r="Z47" s="203"/>
      <c r="AA47" s="203"/>
      <c r="AB47" s="203"/>
      <c r="AC47" s="203"/>
      <c r="AD47" s="203"/>
      <c r="AE47" s="203"/>
      <c r="AF47" s="203"/>
      <c r="AG47" s="203"/>
      <c r="AH47" s="203"/>
      <c r="AI47" s="71"/>
    </row>
    <row r="48" spans="2:59" s="163" customFormat="1">
      <c r="B48" s="144"/>
      <c r="C48" s="143" t="s">
        <v>876</v>
      </c>
      <c r="D48" s="143"/>
      <c r="J48" s="126"/>
      <c r="K48" s="126"/>
      <c r="L48" s="126"/>
      <c r="M48" s="126"/>
      <c r="N48" s="126"/>
      <c r="O48" s="126"/>
      <c r="P48" s="126"/>
      <c r="Q48" s="126"/>
      <c r="R48" s="126"/>
      <c r="S48" s="126"/>
      <c r="T48" s="126"/>
      <c r="U48" s="126"/>
      <c r="V48" s="71"/>
      <c r="W48" s="126"/>
      <c r="X48" s="126"/>
      <c r="Y48" s="203"/>
      <c r="Z48" s="203"/>
      <c r="AA48" s="203"/>
      <c r="AB48" s="203"/>
      <c r="AC48" s="203"/>
      <c r="AD48" s="203"/>
      <c r="AE48" s="203"/>
      <c r="AF48" s="203"/>
      <c r="AG48" s="203"/>
      <c r="AH48" s="203"/>
      <c r="AI48" s="71"/>
    </row>
    <row r="49" spans="1:35" s="178" customFormat="1">
      <c r="C49" s="179"/>
      <c r="D49" s="179"/>
      <c r="J49" s="130"/>
      <c r="K49" s="130"/>
      <c r="L49" s="130"/>
      <c r="M49" s="130"/>
      <c r="N49" s="130"/>
      <c r="O49" s="130"/>
      <c r="P49" s="130"/>
      <c r="Q49" s="130"/>
      <c r="R49" s="130"/>
      <c r="S49" s="130"/>
      <c r="T49" s="126"/>
      <c r="U49" s="126"/>
      <c r="V49" s="71"/>
      <c r="W49" s="126"/>
      <c r="X49" s="126"/>
      <c r="Y49" s="302"/>
      <c r="Z49" s="302"/>
      <c r="AA49" s="302"/>
      <c r="AB49" s="302"/>
      <c r="AC49" s="302"/>
      <c r="AD49" s="302"/>
      <c r="AE49" s="302"/>
      <c r="AF49" s="302"/>
      <c r="AG49" s="302"/>
      <c r="AH49" s="302"/>
      <c r="AI49" s="71"/>
    </row>
    <row r="50" spans="1:35" s="178" customFormat="1">
      <c r="B50" s="2188"/>
      <c r="C50" s="179" t="s">
        <v>242</v>
      </c>
      <c r="D50" s="179"/>
      <c r="J50" s="130"/>
      <c r="K50" s="130"/>
      <c r="L50" s="130"/>
      <c r="M50" s="130"/>
      <c r="N50" s="130"/>
      <c r="O50" s="130"/>
      <c r="P50" s="130"/>
      <c r="Q50" s="130"/>
      <c r="R50" s="130"/>
      <c r="S50" s="130"/>
      <c r="T50" s="126"/>
      <c r="U50" s="126"/>
      <c r="V50" s="71"/>
      <c r="W50" s="126"/>
      <c r="X50" s="126"/>
      <c r="Y50" s="302"/>
      <c r="Z50" s="302"/>
      <c r="AA50" s="302"/>
      <c r="AB50" s="302"/>
      <c r="AC50" s="302"/>
      <c r="AD50" s="302"/>
      <c r="AE50" s="302"/>
      <c r="AF50" s="302"/>
      <c r="AG50" s="302"/>
      <c r="AH50" s="302"/>
      <c r="AI50" s="71"/>
    </row>
    <row r="51" spans="1:35" s="178" customFormat="1" ht="14.5" thickBot="1">
      <c r="C51" s="179"/>
      <c r="D51" s="179"/>
      <c r="J51" s="130"/>
      <c r="K51" s="130"/>
      <c r="L51" s="130"/>
      <c r="M51" s="130"/>
      <c r="N51" s="130"/>
      <c r="O51" s="130"/>
      <c r="P51" s="130"/>
      <c r="Q51" s="130"/>
      <c r="R51" s="130"/>
      <c r="S51" s="130"/>
      <c r="T51" s="126"/>
      <c r="U51" s="126"/>
      <c r="V51" s="71"/>
      <c r="W51" s="126"/>
      <c r="X51" s="126"/>
      <c r="Y51" s="302"/>
      <c r="Z51" s="302"/>
      <c r="AA51" s="302"/>
      <c r="AB51" s="302"/>
      <c r="AC51" s="302"/>
      <c r="AD51" s="302"/>
      <c r="AE51" s="302"/>
      <c r="AF51" s="302"/>
      <c r="AG51" s="302"/>
      <c r="AH51" s="302"/>
      <c r="AI51" s="71"/>
    </row>
    <row r="52" spans="1:35" s="178" customFormat="1" ht="20.5" thickBot="1">
      <c r="B52" s="2886" t="str">
        <f>'1E'!B32</f>
        <v>Please refer to RAG 4.08 - Guideline for the table definitions in the annual performance report for the reporting year 2019-20</v>
      </c>
      <c r="C52" s="147"/>
      <c r="D52" s="147"/>
      <c r="E52" s="148"/>
      <c r="F52" s="148"/>
      <c r="G52" s="148"/>
      <c r="H52" s="148"/>
      <c r="I52" s="148"/>
      <c r="J52" s="148"/>
      <c r="K52" s="148"/>
      <c r="L52" s="148"/>
      <c r="M52" s="148"/>
      <c r="N52" s="148"/>
      <c r="O52" s="148"/>
      <c r="P52" s="148"/>
      <c r="Q52" s="148"/>
      <c r="R52" s="154"/>
      <c r="S52" s="130"/>
      <c r="T52" s="126"/>
      <c r="U52" s="126"/>
      <c r="V52" s="71"/>
      <c r="W52" s="126"/>
      <c r="X52" s="126"/>
      <c r="Y52" s="302"/>
      <c r="Z52" s="302"/>
      <c r="AA52" s="302"/>
      <c r="AB52" s="302"/>
      <c r="AC52" s="302"/>
      <c r="AD52" s="302"/>
      <c r="AE52" s="302"/>
      <c r="AF52" s="302"/>
      <c r="AG52" s="302"/>
      <c r="AH52" s="302"/>
      <c r="AI52" s="71"/>
    </row>
    <row r="53" spans="1:35" s="178" customFormat="1">
      <c r="C53" s="179"/>
      <c r="D53" s="179"/>
      <c r="J53" s="130"/>
      <c r="K53" s="130"/>
      <c r="L53" s="130"/>
      <c r="M53" s="130"/>
      <c r="N53" s="130"/>
      <c r="O53" s="130"/>
      <c r="P53" s="130"/>
      <c r="Q53" s="130"/>
      <c r="R53" s="130"/>
      <c r="S53" s="130"/>
      <c r="T53" s="126"/>
      <c r="U53" s="126"/>
      <c r="V53" s="71"/>
      <c r="W53" s="126"/>
      <c r="X53" s="126"/>
      <c r="Y53" s="302"/>
      <c r="Z53" s="302"/>
      <c r="AA53" s="302"/>
      <c r="AB53" s="302"/>
      <c r="AC53" s="302"/>
      <c r="AD53" s="302"/>
      <c r="AE53" s="302"/>
      <c r="AF53" s="302"/>
      <c r="AG53" s="302"/>
      <c r="AH53" s="302"/>
      <c r="AI53" s="71"/>
    </row>
    <row r="54" spans="1:35" s="110" customFormat="1" ht="27" hidden="1" customHeight="1" thickBot="1">
      <c r="A54" s="1528"/>
      <c r="B54" s="146" t="str">
        <f ca="1" xml:space="preserve"> RIGHT(CELL("filename", $A$1), LEN(CELL("filename", $A$1)) - SEARCH("]", CELL("filename", $A$1)))&amp;" - Line definitions"</f>
        <v>1F - Line definitions</v>
      </c>
      <c r="C54" s="147"/>
      <c r="D54" s="147"/>
      <c r="E54" s="148"/>
      <c r="F54" s="148"/>
      <c r="G54" s="148"/>
      <c r="H54" s="148"/>
      <c r="I54" s="148"/>
      <c r="J54" s="148"/>
      <c r="K54" s="148"/>
      <c r="L54" s="148"/>
      <c r="M54" s="148"/>
      <c r="N54" s="148"/>
      <c r="O54" s="148"/>
      <c r="P54" s="148"/>
      <c r="Q54" s="148"/>
      <c r="R54" s="154"/>
      <c r="S54" s="118"/>
      <c r="T54" s="120"/>
      <c r="U54" s="118"/>
      <c r="V54" s="71"/>
      <c r="W54" s="120"/>
      <c r="X54" s="118"/>
      <c r="Y54" s="280"/>
      <c r="Z54" s="280"/>
      <c r="AA54" s="280"/>
      <c r="AB54" s="280"/>
      <c r="AC54" s="280"/>
      <c r="AD54" s="280"/>
      <c r="AE54" s="280"/>
      <c r="AF54" s="280"/>
      <c r="AG54" s="280"/>
      <c r="AH54" s="280"/>
      <c r="AI54" s="71"/>
    </row>
    <row r="55" spans="1:35" s="110" customFormat="1" ht="14.5" hidden="1" thickBot="1">
      <c r="A55" s="1528"/>
      <c r="B55" s="74"/>
      <c r="C55" s="155"/>
      <c r="D55" s="155"/>
      <c r="E55" s="74"/>
      <c r="F55" s="74"/>
      <c r="G55" s="74"/>
      <c r="J55" s="118"/>
      <c r="K55" s="118"/>
      <c r="L55" s="118"/>
      <c r="M55" s="118"/>
      <c r="N55" s="118"/>
      <c r="O55" s="118"/>
      <c r="P55" s="118"/>
      <c r="Q55" s="118"/>
      <c r="R55" s="118"/>
      <c r="S55" s="118"/>
      <c r="T55" s="120"/>
      <c r="U55" s="118"/>
      <c r="V55" s="71"/>
      <c r="W55" s="120"/>
      <c r="X55" s="118"/>
      <c r="Y55" s="280"/>
      <c r="Z55" s="280"/>
      <c r="AA55" s="280"/>
      <c r="AB55" s="280"/>
      <c r="AC55" s="280"/>
      <c r="AD55" s="280"/>
      <c r="AE55" s="280"/>
      <c r="AF55" s="280"/>
      <c r="AG55" s="280"/>
      <c r="AH55" s="280"/>
      <c r="AI55" s="71"/>
    </row>
    <row r="56" spans="1:35" s="178" customFormat="1" ht="14.5" hidden="1" thickBot="1">
      <c r="A56" s="1529"/>
      <c r="B56" s="287" t="s">
        <v>191</v>
      </c>
      <c r="C56" s="2847" t="s">
        <v>192</v>
      </c>
      <c r="D56" s="2848"/>
      <c r="E56" s="2848"/>
      <c r="F56" s="2848"/>
      <c r="G56" s="2848"/>
      <c r="H56" s="2848"/>
      <c r="I56" s="2848"/>
      <c r="J56" s="2848"/>
      <c r="K56" s="2848"/>
      <c r="L56" s="2848"/>
      <c r="M56" s="2848"/>
      <c r="N56" s="2848"/>
      <c r="O56" s="2848"/>
      <c r="P56" s="2848"/>
      <c r="Q56" s="2848"/>
      <c r="R56" s="157"/>
      <c r="S56" s="346"/>
      <c r="T56" s="130"/>
      <c r="U56" s="118"/>
      <c r="V56" s="71"/>
      <c r="W56" s="85" t="s">
        <v>193</v>
      </c>
      <c r="X56" s="118"/>
      <c r="AI56" s="71"/>
    </row>
    <row r="57" spans="1:35" s="110" customFormat="1" ht="83.25" hidden="1" customHeight="1">
      <c r="A57" s="1528"/>
      <c r="B57" s="181" t="str">
        <f>B8</f>
        <v>1F.1</v>
      </c>
      <c r="C57" s="2932" t="s">
        <v>877</v>
      </c>
      <c r="D57" s="2910"/>
      <c r="E57" s="2910"/>
      <c r="F57" s="2910"/>
      <c r="G57" s="2910"/>
      <c r="H57" s="2910"/>
      <c r="I57" s="2910"/>
      <c r="J57" s="2910"/>
      <c r="K57" s="2928"/>
      <c r="L57" s="2928"/>
      <c r="M57" s="2928"/>
      <c r="N57" s="2928"/>
      <c r="O57" s="2928"/>
      <c r="P57" s="2928"/>
      <c r="Q57" s="2928"/>
      <c r="R57" s="2911"/>
      <c r="S57" s="348"/>
      <c r="T57" s="120"/>
      <c r="U57" s="118"/>
      <c r="V57" s="71"/>
      <c r="W57" s="161">
        <v>1</v>
      </c>
      <c r="X57" s="118"/>
      <c r="Y57" s="280"/>
      <c r="Z57" s="280"/>
      <c r="AA57" s="280"/>
      <c r="AB57" s="280"/>
      <c r="AC57" s="280"/>
      <c r="AD57" s="280"/>
      <c r="AE57" s="280"/>
      <c r="AF57" s="280"/>
      <c r="AG57" s="280"/>
      <c r="AH57" s="280"/>
      <c r="AI57" s="71"/>
    </row>
    <row r="58" spans="1:35" s="110" customFormat="1" ht="30" hidden="1" customHeight="1">
      <c r="A58" s="1528"/>
      <c r="B58" s="159" t="str">
        <f>B9</f>
        <v>1F.2</v>
      </c>
      <c r="C58" s="2892" t="s">
        <v>878</v>
      </c>
      <c r="D58" s="2892"/>
      <c r="E58" s="2892"/>
      <c r="F58" s="2892"/>
      <c r="G58" s="2892"/>
      <c r="H58" s="2892"/>
      <c r="I58" s="2892"/>
      <c r="J58" s="2892"/>
      <c r="K58" s="2919"/>
      <c r="L58" s="2919"/>
      <c r="M58" s="2919"/>
      <c r="N58" s="2919"/>
      <c r="O58" s="2919"/>
      <c r="P58" s="2919"/>
      <c r="Q58" s="2919"/>
      <c r="R58" s="2893"/>
      <c r="S58" s="348"/>
      <c r="V58" s="71"/>
      <c r="W58" s="253">
        <v>1</v>
      </c>
      <c r="AI58" s="71"/>
    </row>
    <row r="59" spans="1:35" s="110" customFormat="1" ht="13.5" hidden="1" customHeight="1">
      <c r="A59" s="1528"/>
      <c r="B59" s="159" t="str">
        <f>B10</f>
        <v>1F.3</v>
      </c>
      <c r="C59" s="2892" t="s">
        <v>879</v>
      </c>
      <c r="D59" s="2892"/>
      <c r="E59" s="2892"/>
      <c r="F59" s="2892"/>
      <c r="G59" s="2892"/>
      <c r="H59" s="2892"/>
      <c r="I59" s="2892"/>
      <c r="J59" s="2892"/>
      <c r="K59" s="2919"/>
      <c r="L59" s="2919"/>
      <c r="M59" s="2919"/>
      <c r="N59" s="2919"/>
      <c r="O59" s="2919"/>
      <c r="P59" s="2919"/>
      <c r="Q59" s="2919"/>
      <c r="R59" s="2893"/>
      <c r="S59" s="348"/>
      <c r="V59" s="71"/>
      <c r="W59" s="253">
        <v>1</v>
      </c>
      <c r="AI59" s="71"/>
    </row>
    <row r="60" spans="1:35" s="120" customFormat="1" ht="87" hidden="1" customHeight="1">
      <c r="A60" s="1530"/>
      <c r="B60" s="159" t="str">
        <f>B11</f>
        <v>1F.4</v>
      </c>
      <c r="C60" s="2892" t="s">
        <v>880</v>
      </c>
      <c r="D60" s="2892"/>
      <c r="E60" s="2892"/>
      <c r="F60" s="2892"/>
      <c r="G60" s="2892"/>
      <c r="H60" s="2892"/>
      <c r="I60" s="2892"/>
      <c r="J60" s="2892"/>
      <c r="K60" s="2919"/>
      <c r="L60" s="2919"/>
      <c r="M60" s="2919"/>
      <c r="N60" s="2919"/>
      <c r="O60" s="2919"/>
      <c r="P60" s="2919"/>
      <c r="Q60" s="2919"/>
      <c r="R60" s="2893"/>
      <c r="S60" s="348"/>
      <c r="V60" s="71"/>
      <c r="W60" s="253">
        <v>1</v>
      </c>
      <c r="AI60" s="71"/>
    </row>
    <row r="61" spans="1:35" ht="82.5" hidden="1" customHeight="1">
      <c r="A61" s="1531"/>
      <c r="B61" s="159" t="str">
        <f>B14</f>
        <v>1F.5</v>
      </c>
      <c r="C61" s="2892" t="s">
        <v>881</v>
      </c>
      <c r="D61" s="2892"/>
      <c r="E61" s="2892"/>
      <c r="F61" s="2892"/>
      <c r="G61" s="2892"/>
      <c r="H61" s="2892"/>
      <c r="I61" s="2892"/>
      <c r="J61" s="2892"/>
      <c r="K61" s="2919"/>
      <c r="L61" s="2919"/>
      <c r="M61" s="2919"/>
      <c r="N61" s="2919"/>
      <c r="O61" s="2919"/>
      <c r="P61" s="2919"/>
      <c r="Q61" s="2919"/>
      <c r="R61" s="2893"/>
      <c r="S61" s="348"/>
      <c r="W61" s="158">
        <v>1</v>
      </c>
    </row>
    <row r="62" spans="1:35" ht="45.75" hidden="1" customHeight="1">
      <c r="A62" s="1531"/>
      <c r="B62" s="159" t="str">
        <f>B15</f>
        <v>1F.6</v>
      </c>
      <c r="C62" s="2892" t="s">
        <v>882</v>
      </c>
      <c r="D62" s="2892"/>
      <c r="E62" s="2892"/>
      <c r="F62" s="2892"/>
      <c r="G62" s="2892"/>
      <c r="H62" s="2892"/>
      <c r="I62" s="2892"/>
      <c r="J62" s="2892"/>
      <c r="K62" s="2919"/>
      <c r="L62" s="2919"/>
      <c r="M62" s="2919"/>
      <c r="N62" s="2919"/>
      <c r="O62" s="2919"/>
      <c r="P62" s="2919"/>
      <c r="Q62" s="2919"/>
      <c r="R62" s="2893"/>
      <c r="S62" s="348"/>
      <c r="W62" s="374" t="s">
        <v>195</v>
      </c>
    </row>
    <row r="63" spans="1:35" ht="19.5" hidden="1" customHeight="1">
      <c r="A63" s="1531"/>
      <c r="B63" s="159" t="str">
        <f>B16</f>
        <v>1F.7</v>
      </c>
      <c r="C63" s="2892" t="s">
        <v>883</v>
      </c>
      <c r="D63" s="2892"/>
      <c r="E63" s="2892"/>
      <c r="F63" s="2892"/>
      <c r="G63" s="2892"/>
      <c r="H63" s="2892"/>
      <c r="I63" s="2892"/>
      <c r="J63" s="2892"/>
      <c r="K63" s="2919"/>
      <c r="L63" s="2919"/>
      <c r="M63" s="2919"/>
      <c r="N63" s="2919"/>
      <c r="O63" s="2919"/>
      <c r="P63" s="2919"/>
      <c r="Q63" s="2919"/>
      <c r="R63" s="2893"/>
      <c r="S63" s="348"/>
      <c r="W63" s="374" t="s">
        <v>195</v>
      </c>
    </row>
    <row r="64" spans="1:35" ht="291.75" hidden="1" customHeight="1">
      <c r="A64" s="1531"/>
      <c r="B64" s="159" t="str">
        <f>B17</f>
        <v>1F.8</v>
      </c>
      <c r="C64" s="2892" t="s">
        <v>884</v>
      </c>
      <c r="D64" s="2892"/>
      <c r="E64" s="2892"/>
      <c r="F64" s="2892"/>
      <c r="G64" s="2892"/>
      <c r="H64" s="2892"/>
      <c r="I64" s="2892"/>
      <c r="J64" s="2892"/>
      <c r="K64" s="2919"/>
      <c r="L64" s="2919"/>
      <c r="M64" s="2919"/>
      <c r="N64" s="2919"/>
      <c r="O64" s="2919"/>
      <c r="P64" s="2919"/>
      <c r="Q64" s="2919"/>
      <c r="R64" s="2893"/>
      <c r="S64" s="348"/>
      <c r="W64" s="374" t="s">
        <v>195</v>
      </c>
    </row>
    <row r="65" spans="1:23" ht="13.5" hidden="1" customHeight="1">
      <c r="A65" s="1531"/>
      <c r="B65" s="159" t="str">
        <f>B18</f>
        <v>1F.9</v>
      </c>
      <c r="C65" s="2892" t="s">
        <v>885</v>
      </c>
      <c r="D65" s="2892"/>
      <c r="E65" s="2892"/>
      <c r="F65" s="2892"/>
      <c r="G65" s="2892"/>
      <c r="H65" s="2892"/>
      <c r="I65" s="2892"/>
      <c r="J65" s="2892"/>
      <c r="K65" s="2919"/>
      <c r="L65" s="2919"/>
      <c r="M65" s="2919"/>
      <c r="N65" s="2919"/>
      <c r="O65" s="2919"/>
      <c r="P65" s="2919"/>
      <c r="Q65" s="2919"/>
      <c r="R65" s="2893"/>
      <c r="S65" s="348"/>
      <c r="W65" s="158">
        <v>1</v>
      </c>
    </row>
    <row r="66" spans="1:23" ht="13.5" hidden="1" customHeight="1">
      <c r="A66" s="1531"/>
      <c r="B66" s="159" t="str">
        <f>B20</f>
        <v>1F.10</v>
      </c>
      <c r="C66" s="2892" t="s">
        <v>886</v>
      </c>
      <c r="D66" s="2892"/>
      <c r="E66" s="2892"/>
      <c r="F66" s="2892"/>
      <c r="G66" s="2892"/>
      <c r="H66" s="2892"/>
      <c r="I66" s="2892"/>
      <c r="J66" s="2892"/>
      <c r="K66" s="2919"/>
      <c r="L66" s="2919"/>
      <c r="M66" s="2919"/>
      <c r="N66" s="2919"/>
      <c r="O66" s="2919"/>
      <c r="P66" s="2919"/>
      <c r="Q66" s="2919"/>
      <c r="R66" s="2893"/>
      <c r="S66" s="348"/>
      <c r="W66" s="158"/>
    </row>
    <row r="67" spans="1:23" ht="54.75" hidden="1" customHeight="1">
      <c r="A67" s="1531"/>
      <c r="B67" s="159" t="str">
        <f>B23</f>
        <v>1F.11</v>
      </c>
      <c r="C67" s="2892" t="s">
        <v>887</v>
      </c>
      <c r="D67" s="2892"/>
      <c r="E67" s="2892"/>
      <c r="F67" s="2892"/>
      <c r="G67" s="2892"/>
      <c r="H67" s="2892"/>
      <c r="I67" s="2892"/>
      <c r="J67" s="2892"/>
      <c r="K67" s="2919"/>
      <c r="L67" s="2919"/>
      <c r="M67" s="2919"/>
      <c r="N67" s="2919"/>
      <c r="O67" s="2919"/>
      <c r="P67" s="2919"/>
      <c r="Q67" s="2919"/>
      <c r="R67" s="2893"/>
      <c r="S67" s="348"/>
      <c r="W67" s="374" t="s">
        <v>195</v>
      </c>
    </row>
    <row r="68" spans="1:23" ht="27.75" hidden="1" customHeight="1">
      <c r="A68" s="1531"/>
      <c r="B68" s="159" t="str">
        <f>B24</f>
        <v>1F.12</v>
      </c>
      <c r="C68" s="2892" t="s">
        <v>888</v>
      </c>
      <c r="D68" s="2892"/>
      <c r="E68" s="2892"/>
      <c r="F68" s="2892"/>
      <c r="G68" s="2892"/>
      <c r="H68" s="2892"/>
      <c r="I68" s="2892"/>
      <c r="J68" s="2892"/>
      <c r="K68" s="2919"/>
      <c r="L68" s="2919"/>
      <c r="M68" s="2919"/>
      <c r="N68" s="2919"/>
      <c r="O68" s="2919"/>
      <c r="P68" s="2919"/>
      <c r="Q68" s="2919"/>
      <c r="R68" s="2893"/>
      <c r="S68" s="348"/>
      <c r="W68" s="158">
        <v>1</v>
      </c>
    </row>
    <row r="69" spans="1:23" ht="49.15" hidden="1" customHeight="1">
      <c r="A69" s="1531"/>
      <c r="B69" s="159" t="str">
        <f>B25</f>
        <v>1F.13</v>
      </c>
      <c r="C69" s="2892" t="s">
        <v>889</v>
      </c>
      <c r="D69" s="2892"/>
      <c r="E69" s="2892"/>
      <c r="F69" s="2892"/>
      <c r="G69" s="2892"/>
      <c r="H69" s="2892"/>
      <c r="I69" s="2892"/>
      <c r="J69" s="2892"/>
      <c r="K69" s="2919"/>
      <c r="L69" s="2919"/>
      <c r="M69" s="2919"/>
      <c r="N69" s="2919"/>
      <c r="O69" s="2919"/>
      <c r="P69" s="2919"/>
      <c r="Q69" s="2919"/>
      <c r="R69" s="2893"/>
      <c r="S69" s="348"/>
      <c r="W69" s="161" t="s">
        <v>200</v>
      </c>
    </row>
    <row r="70" spans="1:23" ht="23.25" hidden="1" customHeight="1">
      <c r="A70" s="1531"/>
      <c r="B70" s="159" t="str">
        <f>B27</f>
        <v>1F.15</v>
      </c>
      <c r="C70" s="2892" t="s">
        <v>890</v>
      </c>
      <c r="D70" s="2892"/>
      <c r="E70" s="2892"/>
      <c r="F70" s="2892"/>
      <c r="G70" s="2892"/>
      <c r="H70" s="2892"/>
      <c r="I70" s="2892"/>
      <c r="J70" s="2892"/>
      <c r="K70" s="2919"/>
      <c r="L70" s="2919"/>
      <c r="M70" s="2919"/>
      <c r="N70" s="2919"/>
      <c r="O70" s="2919"/>
      <c r="P70" s="2919"/>
      <c r="Q70" s="2919"/>
      <c r="R70" s="2893"/>
      <c r="S70" s="348"/>
      <c r="W70" s="161" t="s">
        <v>195</v>
      </c>
    </row>
    <row r="71" spans="1:23" ht="13.5" hidden="1" customHeight="1">
      <c r="A71" s="1531"/>
      <c r="B71" s="159" t="str">
        <f>B29</f>
        <v>1F.16</v>
      </c>
      <c r="C71" s="2892" t="s">
        <v>891</v>
      </c>
      <c r="D71" s="2892"/>
      <c r="E71" s="2892"/>
      <c r="F71" s="2892"/>
      <c r="G71" s="2892"/>
      <c r="H71" s="2892"/>
      <c r="I71" s="2892"/>
      <c r="J71" s="2892"/>
      <c r="K71" s="2919"/>
      <c r="L71" s="2919"/>
      <c r="M71" s="2919"/>
      <c r="N71" s="2919"/>
      <c r="O71" s="2919"/>
      <c r="P71" s="2919"/>
      <c r="Q71" s="2919"/>
      <c r="R71" s="2893"/>
      <c r="S71" s="348"/>
      <c r="W71" s="158">
        <v>1</v>
      </c>
    </row>
    <row r="72" spans="1:23" ht="23.25" hidden="1" customHeight="1">
      <c r="A72" s="1531"/>
      <c r="B72" s="159" t="str">
        <f>B31</f>
        <v>1F.17</v>
      </c>
      <c r="C72" s="2892" t="s">
        <v>892</v>
      </c>
      <c r="D72" s="2892"/>
      <c r="E72" s="2892"/>
      <c r="F72" s="2892"/>
      <c r="G72" s="2892"/>
      <c r="H72" s="2892"/>
      <c r="I72" s="2892"/>
      <c r="J72" s="2892"/>
      <c r="K72" s="2919"/>
      <c r="L72" s="2919"/>
      <c r="M72" s="2919"/>
      <c r="N72" s="2919"/>
      <c r="O72" s="2919"/>
      <c r="P72" s="2919"/>
      <c r="Q72" s="2919"/>
      <c r="R72" s="2893"/>
      <c r="S72" s="348"/>
      <c r="W72" s="161" t="s">
        <v>195</v>
      </c>
    </row>
    <row r="73" spans="1:23" ht="18.75" hidden="1" customHeight="1">
      <c r="A73" s="1531"/>
      <c r="B73" s="159" t="str">
        <f t="shared" ref="B73" si="71">B33</f>
        <v>1F.18</v>
      </c>
      <c r="C73" s="2892" t="s">
        <v>893</v>
      </c>
      <c r="D73" s="2892"/>
      <c r="E73" s="2892"/>
      <c r="F73" s="2892"/>
      <c r="G73" s="2892"/>
      <c r="H73" s="2892"/>
      <c r="I73" s="2892"/>
      <c r="J73" s="2892"/>
      <c r="K73" s="2919"/>
      <c r="L73" s="2919"/>
      <c r="M73" s="2919"/>
      <c r="N73" s="2919"/>
      <c r="O73" s="2919"/>
      <c r="P73" s="2919"/>
      <c r="Q73" s="2919"/>
      <c r="R73" s="2893"/>
      <c r="S73" s="348"/>
      <c r="W73" s="161" t="s">
        <v>200</v>
      </c>
    </row>
    <row r="74" spans="1:23" ht="23.25" hidden="1" customHeight="1">
      <c r="A74" s="1531"/>
      <c r="B74" s="159" t="str">
        <f>B35</f>
        <v>1F.19</v>
      </c>
      <c r="C74" s="2892" t="s">
        <v>894</v>
      </c>
      <c r="D74" s="2892"/>
      <c r="E74" s="2892"/>
      <c r="F74" s="2892"/>
      <c r="G74" s="2892"/>
      <c r="H74" s="2892"/>
      <c r="I74" s="2892"/>
      <c r="J74" s="2892"/>
      <c r="K74" s="2919"/>
      <c r="L74" s="2919"/>
      <c r="M74" s="2919"/>
      <c r="N74" s="2919"/>
      <c r="O74" s="2919"/>
      <c r="P74" s="2919"/>
      <c r="Q74" s="2919"/>
      <c r="R74" s="2893"/>
      <c r="S74" s="348"/>
      <c r="W74" s="161" t="s">
        <v>195</v>
      </c>
    </row>
    <row r="75" spans="1:23" ht="13.5" hidden="1" customHeight="1">
      <c r="A75" s="1531"/>
      <c r="B75" s="159" t="str">
        <f>B37</f>
        <v>1F.20</v>
      </c>
      <c r="C75" s="2892" t="s">
        <v>895</v>
      </c>
      <c r="D75" s="2892"/>
      <c r="E75" s="2892"/>
      <c r="F75" s="2892"/>
      <c r="G75" s="2892"/>
      <c r="H75" s="2892"/>
      <c r="I75" s="2892"/>
      <c r="J75" s="2892"/>
      <c r="K75" s="2919"/>
      <c r="L75" s="2919"/>
      <c r="M75" s="2919"/>
      <c r="N75" s="2919"/>
      <c r="O75" s="2919"/>
      <c r="P75" s="2919"/>
      <c r="Q75" s="2919"/>
      <c r="R75" s="2893"/>
      <c r="S75" s="348"/>
      <c r="W75" s="161">
        <v>1</v>
      </c>
    </row>
    <row r="76" spans="1:23" ht="13.5" hidden="1" customHeight="1">
      <c r="A76" s="1531"/>
      <c r="B76" s="159" t="str">
        <f>B40</f>
        <v>1F.21</v>
      </c>
      <c r="C76" s="2892" t="s">
        <v>896</v>
      </c>
      <c r="D76" s="2892"/>
      <c r="E76" s="2892"/>
      <c r="F76" s="2892"/>
      <c r="G76" s="2892"/>
      <c r="H76" s="2892"/>
      <c r="I76" s="2892"/>
      <c r="J76" s="2892"/>
      <c r="K76" s="2919"/>
      <c r="L76" s="2919"/>
      <c r="M76" s="2919"/>
      <c r="N76" s="2919"/>
      <c r="O76" s="2919"/>
      <c r="P76" s="2919"/>
      <c r="Q76" s="2919"/>
      <c r="R76" s="2893"/>
      <c r="S76" s="348"/>
      <c r="W76" s="158">
        <v>1</v>
      </c>
    </row>
    <row r="77" spans="1:23" ht="13.5" hidden="1" customHeight="1">
      <c r="A77" s="1531"/>
      <c r="B77" s="159" t="str">
        <f>B41</f>
        <v>1F.22</v>
      </c>
      <c r="C77" s="2892" t="s">
        <v>897</v>
      </c>
      <c r="D77" s="2892"/>
      <c r="E77" s="2892"/>
      <c r="F77" s="2892"/>
      <c r="G77" s="2892"/>
      <c r="H77" s="2892"/>
      <c r="I77" s="2892"/>
      <c r="J77" s="2892"/>
      <c r="K77" s="2919"/>
      <c r="L77" s="2919"/>
      <c r="M77" s="2919"/>
      <c r="N77" s="2919"/>
      <c r="O77" s="2919"/>
      <c r="P77" s="2919"/>
      <c r="Q77" s="2919"/>
      <c r="R77" s="2893"/>
      <c r="W77" s="158">
        <v>1</v>
      </c>
    </row>
    <row r="78" spans="1:23" ht="14.25" hidden="1" customHeight="1" thickBot="1">
      <c r="A78" s="1531"/>
      <c r="B78" s="183" t="str">
        <f>B42</f>
        <v>1F.23</v>
      </c>
      <c r="C78" s="2912" t="s">
        <v>898</v>
      </c>
      <c r="D78" s="2912"/>
      <c r="E78" s="2912"/>
      <c r="F78" s="2912"/>
      <c r="G78" s="2912"/>
      <c r="H78" s="2912"/>
      <c r="I78" s="2912"/>
      <c r="J78" s="2912"/>
      <c r="K78" s="2922"/>
      <c r="L78" s="2922"/>
      <c r="M78" s="2922"/>
      <c r="N78" s="2922"/>
      <c r="O78" s="2922"/>
      <c r="P78" s="2922"/>
      <c r="Q78" s="2922"/>
      <c r="R78" s="2913"/>
      <c r="W78" s="161">
        <v>1</v>
      </c>
    </row>
    <row r="79" spans="1:23" hidden="1">
      <c r="A79" s="1531"/>
      <c r="B79" s="402"/>
      <c r="C79" s="343"/>
      <c r="D79" s="343"/>
      <c r="E79" s="343"/>
      <c r="F79" s="343"/>
      <c r="G79" s="343"/>
      <c r="H79" s="343"/>
      <c r="I79" s="343"/>
      <c r="J79" s="343"/>
      <c r="K79" s="343"/>
      <c r="L79" s="343"/>
      <c r="M79" s="343"/>
      <c r="N79" s="343"/>
      <c r="O79" s="343"/>
      <c r="P79" s="343"/>
      <c r="Q79" s="343"/>
      <c r="R79" s="343"/>
      <c r="W79" s="254"/>
    </row>
  </sheetData>
  <sheetProtection algorithmName="SHA-512" hashValue="0lzFovJ/qzvVQc2a7lRwhNJ+k/71jPWoWM9DszxEx/AEcL3ok2+KmzuP2rjxFAda78dc/Uwe5cg0GEcCDA+gGg==" saltValue="lRVee1pBhfnYtS9Ako5GPQ==" spinCount="100000" sheet="1" objects="1" scenarios="1"/>
  <mergeCells count="44">
    <mergeCell ref="AV3:BA3"/>
    <mergeCell ref="BB3:BG3"/>
    <mergeCell ref="AV4:AX4"/>
    <mergeCell ref="AY4:BA4"/>
    <mergeCell ref="BB4:BD4"/>
    <mergeCell ref="BE4:BG4"/>
    <mergeCell ref="T3:T5"/>
    <mergeCell ref="AQ3:AR5"/>
    <mergeCell ref="AT3:AT5"/>
    <mergeCell ref="AU3:AU5"/>
    <mergeCell ref="B3:C5"/>
    <mergeCell ref="E3:E5"/>
    <mergeCell ref="F3:F5"/>
    <mergeCell ref="G3:L3"/>
    <mergeCell ref="G4:I4"/>
    <mergeCell ref="J4:L4"/>
    <mergeCell ref="M3:R3"/>
    <mergeCell ref="M4:O4"/>
    <mergeCell ref="W5:Y5"/>
    <mergeCell ref="AS3:AS5"/>
    <mergeCell ref="C58:R58"/>
    <mergeCell ref="P4:R4"/>
    <mergeCell ref="C69:R69"/>
    <mergeCell ref="C60:R60"/>
    <mergeCell ref="C61:R61"/>
    <mergeCell ref="C62:R62"/>
    <mergeCell ref="C63:R63"/>
    <mergeCell ref="C64:R64"/>
    <mergeCell ref="C65:R65"/>
    <mergeCell ref="C67:R67"/>
    <mergeCell ref="C68:R68"/>
    <mergeCell ref="C66:R66"/>
    <mergeCell ref="C59:R59"/>
    <mergeCell ref="B44:C44"/>
    <mergeCell ref="C57:R57"/>
    <mergeCell ref="C78:R78"/>
    <mergeCell ref="C76:R76"/>
    <mergeCell ref="C77:R77"/>
    <mergeCell ref="C70:R70"/>
    <mergeCell ref="C71:R71"/>
    <mergeCell ref="C72:R72"/>
    <mergeCell ref="C73:R73"/>
    <mergeCell ref="C74:R74"/>
    <mergeCell ref="C75:R75"/>
  </mergeCells>
  <conditionalFormatting sqref="T8:T11 T23:T25 T14:T17 T40:T41 T27">
    <cfRule type="cellIs" dxfId="512" priority="4" operator="equal">
      <formula>0</formula>
    </cfRule>
  </conditionalFormatting>
  <conditionalFormatting sqref="T31">
    <cfRule type="cellIs" dxfId="511" priority="3" operator="equal">
      <formula>0</formula>
    </cfRule>
  </conditionalFormatting>
  <conditionalFormatting sqref="T18">
    <cfRule type="cellIs" dxfId="510" priority="2" operator="equal">
      <formula>0</formula>
    </cfRule>
  </conditionalFormatting>
  <conditionalFormatting sqref="T26">
    <cfRule type="cellIs" dxfId="50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78" orientation="landscape" r:id="rId1"/>
  <headerFooter>
    <oddHeader>&amp;L&amp;9&amp;K857362Page &amp;P of &amp;N&amp;C&amp;9 &amp;K8573622019-20 annual performance report tables&amp;R&amp;G</oddHeader>
    <oddFooter>&amp;L&amp;9&amp;K857362&amp;A&amp;R&amp;9&amp;K857362Printed: &amp;D &amp;T</oddFooter>
  </headerFooter>
  <rowBreaks count="1" manualBreakCount="1">
    <brk id="53" max="19" man="1"/>
  </row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customXsn xmlns="http://schemas.microsoft.com/office/2006/metadata/customXsn">
  <xsnLocation/>
  <cached>True</cached>
  <openByDefault>True</openByDefault>
  <xsnScope/>
</customXsn>
</file>

<file path=customXml/item2.xml><?xml version="1.0" encoding="utf-8"?>
<ct:contentTypeSchema xmlns:ct="http://schemas.microsoft.com/office/2006/metadata/contentType" xmlns:ma="http://schemas.microsoft.com/office/2006/metadata/properties/metaAttributes" ct:_="" ma:_="" ma:contentTypeName="Corporate Document" ma:contentTypeID="0x01010018BD532C285B8A47960A4E9E2CF9783300AF841C6582DE3849B1A75FB65CDE4F84" ma:contentTypeVersion="15" ma:contentTypeDescription="" ma:contentTypeScope="" ma:versionID="bdbf71b03fafa24319d51b2c7f6835d1">
  <xsd:schema xmlns:xsd="http://www.w3.org/2001/XMLSchema" xmlns:xs="http://www.w3.org/2001/XMLSchema" xmlns:p="http://schemas.microsoft.com/office/2006/metadata/properties" xmlns:ns2="2fc4d2c4-a70a-443d-ab72-3848ce408893" targetNamespace="http://schemas.microsoft.com/office/2006/metadata/properties" ma:root="true" ma:fieldsID="c8f7ab9180492e8e1915a48353b80deb" ns2:_="">
    <xsd:import namespace="2fc4d2c4-a70a-443d-ab72-3848ce408893"/>
    <xsd:element name="properties">
      <xsd:complexType>
        <xsd:sequence>
          <xsd:element name="documentManagement">
            <xsd:complexType>
              <xsd:all>
                <xsd:element ref="ns2:Directorate_x0020__x0026__x0020_Department"/>
                <xsd:element ref="ns2:DocumentType"/>
                <xsd:element ref="ns2:Owner"/>
                <xsd:element ref="ns2:IntendedAudience"/>
                <xsd:element ref="ns2:Process"/>
                <xsd:element ref="ns2:RetentionPerio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c4d2c4-a70a-443d-ab72-3848ce408893" elementFormDefault="qualified">
    <xsd:import namespace="http://schemas.microsoft.com/office/2006/documentManagement/types"/>
    <xsd:import namespace="http://schemas.microsoft.com/office/infopath/2007/PartnerControls"/>
    <xsd:element name="Directorate_x0020__x0026__x0020_Department" ma:index="2" ma:displayName="Directorate &amp; Department" ma:format="Dropdown" ma:internalName="Directorate_x0020__x0026__x0020_Department" ma:readOnly="false">
      <xsd:simpleType>
        <xsd:restriction base="dms:Choice">
          <xsd:enumeration value="Asset Planning - Capital Planning"/>
          <xsd:enumeration value="Asset Planning - Mapping"/>
          <xsd:enumeration value="Asset Planning - Network Asset Modelling"/>
          <xsd:enumeration value="Customer Services - Corporate Affairs"/>
          <xsd:enumeration value="Customer Services - Operational Customer Services"/>
          <xsd:enumeration value="Engineering  - Civils"/>
          <xsd:enumeration value="Engineering  - Communications"/>
          <xsd:enumeration value="Engineering  - Mechanical and Electrical"/>
          <xsd:enumeration value="Engineering  - PMO"/>
          <xsd:enumeration value="Environment - Environment"/>
          <xsd:enumeration value="Finance - Reporting and Budgeting"/>
          <xsd:enumeration value="Finance - Tax and Internal Control"/>
          <xsd:enumeration value="Finance - Transactional"/>
          <xsd:enumeration value="HR and Legal -Business Services"/>
          <xsd:enumeration value="HR and Legal - Company Secretary"/>
          <xsd:enumeration value="HR and Legal - HR"/>
          <xsd:enumeration value="HR and Legal - Insurance"/>
          <xsd:enumeration value="HR and Legal - Land and Property"/>
          <xsd:enumeration value="HR and Legal - Legal"/>
          <xsd:enumeration value="HR and Legal - Payroll"/>
          <xsd:enumeration value="Business Improvement &amp; IT - Business Improvement"/>
          <xsd:enumeration value="Business Improvement &amp; IT - IT"/>
          <xsd:enumeration value="Network - Development Services"/>
          <xsd:enumeration value="Network - Distribution"/>
          <xsd:enumeration value="Network - Leakage"/>
          <xsd:enumeration value="Network - Mains Renovations"/>
          <xsd:enumeration value="Network - May Gurney"/>
          <xsd:enumeration value="Network - Meter Options"/>
          <xsd:enumeration value="Network - Metering"/>
          <xsd:enumeration value="Network - New Supplies"/>
          <xsd:enumeration value="Network - Strategic Operations"/>
          <xsd:enumeration value="Network - Technical"/>
          <xsd:enumeration value="Network - Transport"/>
          <xsd:enumeration value="Network - Water Regulations"/>
          <xsd:enumeration value="Procurement and Logistics - Procurement"/>
          <xsd:enumeration value="Procurement and Logistics - Stores"/>
          <xsd:enumeration value="Production - Facilities Maintenance"/>
          <xsd:enumeration value="Production - Operations Room"/>
          <xsd:enumeration value="Production - Optimisation and Development"/>
          <xsd:enumeration value="Production - Process and Maintenance"/>
          <xsd:enumeration value="Regulatory Affairs - Asset Maintenance"/>
          <xsd:enumeration value="Regulatory Affairs - Regulation"/>
          <xsd:enumeration value="Resource Planning - Resource Planning"/>
          <xsd:enumeration value="Risk - Business Resilience"/>
          <xsd:enumeration value="Risk - Health and Safety"/>
          <xsd:enumeration value="Water Quality - Process Science"/>
        </xsd:restriction>
      </xsd:simpleType>
    </xsd:element>
    <xsd:element name="DocumentType" ma:index="5" ma:displayName="Document Class" ma:description="Type of Document" ma:format="Dropdown" ma:internalName="DocumentType" ma:readOnly="false">
      <xsd:simpleType>
        <xsd:union memberTypes="dms:Text">
          <xsd:simpleType>
            <xsd:restriction base="dms:Choice">
              <xsd:enumeration value="Other"/>
              <xsd:enumeration value="Action Request"/>
              <xsd:enumeration value="Agenda"/>
              <xsd:enumeration value="Agreement"/>
              <xsd:enumeration value="Archive"/>
              <xsd:enumeration value="Blueprint"/>
              <xsd:enumeration value="Briefing Note"/>
              <xsd:enumeration value="Bulletin"/>
              <xsd:enumeration value="Calculation"/>
              <xsd:enumeration value="Certificate"/>
              <xsd:enumeration value="Cover Page"/>
              <xsd:enumeration value="Contract"/>
              <xsd:enumeration value="Design"/>
              <xsd:enumeration value="Design Authority"/>
              <xsd:enumeration value="Discussion Draft"/>
              <xsd:enumeration value="Diagram"/>
              <xsd:enumeration value="Drawing"/>
              <xsd:enumeration value="Duty Statements"/>
              <xsd:enumeration value="Email"/>
              <xsd:enumeration value="Example or Sample"/>
              <xsd:enumeration value="Form"/>
              <xsd:enumeration value="Grant"/>
              <xsd:enumeration value="Guides and References"/>
              <xsd:enumeration value="Index"/>
              <xsd:enumeration value="Invoice"/>
              <xsd:enumeration value="Job Card"/>
              <xsd:enumeration value="Letter"/>
              <xsd:enumeration value="List"/>
              <xsd:enumeration value="Log"/>
              <xsd:enumeration value="Macro"/>
              <xsd:enumeration value="Manual"/>
              <xsd:enumeration value="Memo"/>
              <xsd:enumeration value="Minutes"/>
              <xsd:enumeration value="Meeting"/>
              <xsd:enumeration value="Newsletter"/>
              <xsd:enumeration value="Notes"/>
              <xsd:enumeration value="Organogram"/>
              <xsd:enumeration value="Project Initiation Document"/>
              <xsd:enumeration value="Plan"/>
              <xsd:enumeration value="Paper (e.g. research paper)"/>
              <xsd:enumeration value="Photograph"/>
              <xsd:enumeration value="Policy"/>
              <xsd:enumeration value="Presentation"/>
              <xsd:enumeration value="Process Flows"/>
              <xsd:enumeration value="Procedure"/>
              <xsd:enumeration value="Programme"/>
              <xsd:enumeration value="Project Plan"/>
              <xsd:enumeration value="Publication"/>
              <xsd:enumeration value="Records"/>
              <xsd:enumeration value="Registers"/>
              <xsd:enumeration value="Report"/>
              <xsd:enumeration value="Requirements"/>
              <xsd:enumeration value="Risk Assessment"/>
              <xsd:enumeration value="Schedule"/>
              <xsd:enumeration value="Specifications"/>
              <xsd:enumeration value="Speech"/>
              <xsd:enumeration value="Strategy"/>
              <xsd:enumeration value="Summary"/>
              <xsd:enumeration value="Supplement"/>
              <xsd:enumeration value="Template"/>
              <xsd:enumeration value="Tender"/>
              <xsd:enumeration value="Terms Of Reference"/>
              <xsd:enumeration value="Tracker"/>
              <xsd:enumeration value="Working Instructions"/>
            </xsd:restriction>
          </xsd:simpleType>
        </xsd:union>
      </xsd:simpleType>
    </xsd:element>
    <xsd:element name="Owner" ma:index="6" ma:displayName="Owner" ma:list="UserInfo" ma:SharePointGroup="0" ma:internalName="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IntendedAudience" ma:index="7" ma:displayName="IntendedAudience" ma:format="Dropdown" ma:internalName="IntendedAudience" ma:readOnly="false">
      <xsd:simpleType>
        <xsd:restriction base="dms:Choice">
          <xsd:enumeration value="Executive"/>
          <xsd:enumeration value="Director of"/>
          <xsd:enumeration value="Department"/>
          <xsd:enumeration value="Team"/>
          <xsd:enumeration value="Company wide"/>
          <xsd:enumeration value="Individual"/>
        </xsd:restriction>
      </xsd:simpleType>
    </xsd:element>
    <xsd:element name="Process" ma:index="8" ma:displayName="Process" ma:format="Dropdown" ma:internalName="Process" ma:readOnly="false">
      <xsd:simpleType>
        <xsd:restriction base="dms:Choice">
          <xsd:enumeration value="Water abstraction"/>
          <xsd:enumeration value="Water Treatment"/>
          <xsd:enumeration value="Raw Water"/>
          <xsd:enumeration value="Water Distribution"/>
          <xsd:enumeration value="Customer Service"/>
          <xsd:enumeration value="Water Quality"/>
          <xsd:enumeration value="New Works"/>
          <xsd:enumeration value="Mains Rehabilitation"/>
          <xsd:enumeration value="Mains Diversions"/>
          <xsd:enumeration value="Capital Planning"/>
          <xsd:enumeration value="Regulation"/>
          <xsd:enumeration value="Legal and Land"/>
          <xsd:enumeration value="Risk Management"/>
          <xsd:enumeration value="Asset Management"/>
          <xsd:enumeration value="Financial"/>
          <xsd:enumeration value="Business Improvement"/>
          <xsd:enumeration value="Personal Development"/>
          <xsd:enumeration value="Procure and Contracts"/>
          <xsd:enumeration value="Marketing and Public Relations"/>
          <xsd:enumeration value="Resource Management"/>
          <xsd:enumeration value="Training"/>
        </xsd:restriction>
      </xsd:simpleType>
    </xsd:element>
    <xsd:element name="RetentionPeriod" ma:index="15" nillable="true" ma:displayName="RetentionPeriod" ma:format="Dropdown" ma:internalName="RetentionPeriod">
      <xsd:simpleType>
        <xsd:restriction base="dms:Choice">
          <xsd:enumeration value="1 Month"/>
          <xsd:enumeration value="2 Months"/>
          <xsd:enumeration value="3 Months"/>
          <xsd:enumeration value="6 Months"/>
          <xsd:enumeration value="12 Months"/>
          <xsd:enumeration value="24 Months"/>
          <xsd:enumeration value="60 Months"/>
          <xsd:enumeration value="96 Months"/>
          <xsd:enumeration value="120 Month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rocess xmlns="2fc4d2c4-a70a-443d-ab72-3848ce408893">Regulation</Process>
    <DocumentType xmlns="2fc4d2c4-a70a-443d-ab72-3848ce408893">Records</DocumentType>
    <Directorate_x0020__x0026__x0020_Department xmlns="2fc4d2c4-a70a-443d-ab72-3848ce408893">Regulatory Affairs - Regulation</Directorate_x0020__x0026__x0020_Department>
    <IntendedAudience xmlns="2fc4d2c4-a70a-443d-ab72-3848ce408893">Company wide</IntendedAudience>
    <Owner xmlns="2fc4d2c4-a70a-443d-ab72-3848ce408893">
      <UserInfo>
        <DisplayName>Alex Smethurst</DisplayName>
        <AccountId>495</AccountId>
        <AccountType/>
      </UserInfo>
    </Owner>
    <RetentionPeriod xmlns="2fc4d2c4-a70a-443d-ab72-3848ce40889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haredContentType xmlns="Microsoft.SharePoint.Taxonomy.ContentTypeSync" SourceId="ece35608-e050-4455-9a11-0e6b673ca03d" ContentTypeId="0x01010018BD532C285B8A47960A4E9E2CF97833" PreviousValue="false"/>
</file>

<file path=customXml/itemProps1.xml><?xml version="1.0" encoding="utf-8"?>
<ds:datastoreItem xmlns:ds="http://schemas.openxmlformats.org/officeDocument/2006/customXml" ds:itemID="{4B50E56B-A3DB-470D-AC12-1DD2A3AB0FC8}">
  <ds:schemaRefs>
    <ds:schemaRef ds:uri="http://schemas.microsoft.com/office/2006/metadata/customXsn"/>
  </ds:schemaRefs>
</ds:datastoreItem>
</file>

<file path=customXml/itemProps2.xml><?xml version="1.0" encoding="utf-8"?>
<ds:datastoreItem xmlns:ds="http://schemas.openxmlformats.org/officeDocument/2006/customXml" ds:itemID="{8E68D2D8-99C4-4117-9A2C-9CAC329D56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c4d2c4-a70a-443d-ab72-3848ce4088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56A481-B367-4472-B299-67391201E57E}">
  <ds:schemaRefs>
    <ds:schemaRef ds:uri="http://www.w3.org/XML/1998/namespace"/>
    <ds:schemaRef ds:uri="2fc4d2c4-a70a-443d-ab72-3848ce408893"/>
    <ds:schemaRef ds:uri="http://purl.org/dc/terms/"/>
    <ds:schemaRef ds:uri="http://purl.org/dc/elements/1.1/"/>
    <ds:schemaRef ds:uri="http://schemas.microsoft.com/office/infopath/2007/PartnerControls"/>
    <ds:schemaRef ds:uri="http://schemas.microsoft.com/office/2006/metadata/properties"/>
    <ds:schemaRef ds:uri="http://schemas.microsoft.com/office/2006/documentManagement/types"/>
    <ds:schemaRef ds:uri="http://schemas.openxmlformats.org/package/2006/metadata/core-properties"/>
    <ds:schemaRef ds:uri="http://purl.org/dc/dcmitype/"/>
  </ds:schemaRefs>
</ds:datastoreItem>
</file>

<file path=customXml/itemProps4.xml><?xml version="1.0" encoding="utf-8"?>
<ds:datastoreItem xmlns:ds="http://schemas.openxmlformats.org/officeDocument/2006/customXml" ds:itemID="{F642DF22-B4A7-4665-97A3-9D0DC9D91CD6}">
  <ds:schemaRefs>
    <ds:schemaRef ds:uri="http://schemas.microsoft.com/sharepoint/v3/contenttype/forms"/>
  </ds:schemaRefs>
</ds:datastoreItem>
</file>

<file path=customXml/itemProps5.xml><?xml version="1.0" encoding="utf-8"?>
<ds:datastoreItem xmlns:ds="http://schemas.openxmlformats.org/officeDocument/2006/customXml" ds:itemID="{618A1B3A-27CD-40A5-A553-4D86634F1B50}">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134</vt:i4>
      </vt:variant>
    </vt:vector>
  </HeadingPairs>
  <TitlesOfParts>
    <vt:vector size="198" baseType="lpstr">
      <vt:lpstr>Introduction</vt:lpstr>
      <vt:lpstr>Validation</vt:lpstr>
      <vt:lpstr>Section 1 -&gt;</vt:lpstr>
      <vt:lpstr>1A</vt:lpstr>
      <vt:lpstr>1B</vt:lpstr>
      <vt:lpstr>1C</vt:lpstr>
      <vt:lpstr>1D</vt:lpstr>
      <vt:lpstr>1E</vt:lpstr>
      <vt:lpstr>1F</vt:lpstr>
      <vt:lpstr>Section 2 -&gt;</vt:lpstr>
      <vt:lpstr>2A</vt:lpstr>
      <vt:lpstr>2B</vt:lpstr>
      <vt:lpstr>2C</vt:lpstr>
      <vt:lpstr>2D</vt:lpstr>
      <vt:lpstr>2E</vt:lpstr>
      <vt:lpstr>2F</vt:lpstr>
      <vt:lpstr>2G</vt:lpstr>
      <vt:lpstr>2H</vt:lpstr>
      <vt:lpstr>2I</vt:lpstr>
      <vt:lpstr>2J</vt:lpstr>
      <vt:lpstr>2K</vt:lpstr>
      <vt:lpstr>Section 3 -&gt;</vt:lpstr>
      <vt:lpstr>3A</vt:lpstr>
      <vt:lpstr>3B</vt:lpstr>
      <vt:lpstr>3C</vt:lpstr>
      <vt:lpstr>3D</vt:lpstr>
      <vt:lpstr>Section 4 -&gt;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Other -&gt;</vt:lpstr>
      <vt:lpstr>Bioresources</vt:lpstr>
      <vt:lpstr>F_Outputs</vt:lpstr>
      <vt:lpstr>F_Outputs (group)</vt:lpstr>
      <vt:lpstr>Lists</vt:lpstr>
      <vt:lpstr>PC LIST</vt:lpstr>
      <vt:lpstr>PC list edited</vt:lpstr>
      <vt:lpstr>SUB LIST</vt:lpstr>
      <vt:lpstr>SUB list edited</vt:lpstr>
      <vt:lpstr>Water</vt:lpstr>
      <vt:lpstr>Sewerage</vt:lpstr>
      <vt:lpstr>Water PR16</vt:lpstr>
      <vt:lpstr>Sewerage PR16</vt:lpstr>
      <vt:lpstr>LWTW</vt:lpstr>
      <vt:lpstr>'PC LIST'!_FilterDatabase</vt:lpstr>
      <vt:lpstr>'PC list edited'!_FilterDatabase</vt:lpstr>
      <vt:lpstr>Sewerage!_FilterDatabase</vt:lpstr>
      <vt:lpstr>'SUB LIST'!_FilterDatabase</vt:lpstr>
      <vt:lpstr>Water!_FilterDatabase</vt:lpstr>
      <vt:lpstr>'1A'!Print_Area</vt:lpstr>
      <vt:lpstr>'1B'!Print_Area</vt:lpstr>
      <vt:lpstr>'1C'!Print_Area</vt:lpstr>
      <vt:lpstr>'1D'!Print_Area</vt:lpstr>
      <vt:lpstr>'1E'!Print_Area</vt:lpstr>
      <vt:lpstr>'1F'!Print_Area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'3A'!Print_Area</vt:lpstr>
      <vt:lpstr>'3B'!Print_Area</vt:lpstr>
      <vt:lpstr>'3C'!Print_Area</vt:lpstr>
      <vt:lpstr>'3D'!Print_Area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'4S'!Print_Area</vt:lpstr>
      <vt:lpstr>'4T'!Print_Area</vt:lpstr>
      <vt:lpstr>'4U'!Print_Area</vt:lpstr>
      <vt:lpstr>'4V'!Print_Area</vt:lpstr>
      <vt:lpstr>'4W'!Print_Area</vt:lpstr>
      <vt:lpstr>Bioresources!Print_Area</vt:lpstr>
      <vt:lpstr>Introduction!Print_Area</vt:lpstr>
      <vt:lpstr>Validation!Print_Area</vt:lpstr>
      <vt:lpstr>'4O'!Print_Titles</vt:lpstr>
      <vt:lpstr>'2D'!Z_0D666283_CADB_464A_974F_FFED8E45FEBD_.wvu.Cols</vt:lpstr>
      <vt:lpstr>'4A'!Z_0D666283_CADB_464A_974F_FFED8E45FEBD_.wvu.Cols</vt:lpstr>
      <vt:lpstr>'Other -&gt;'!Z_0D666283_CADB_464A_974F_FFED8E45FEBD_.wvu.Cols</vt:lpstr>
      <vt:lpstr>'Section 1 -&gt;'!Z_0D666283_CADB_464A_974F_FFED8E45FEBD_.wvu.Cols</vt:lpstr>
      <vt:lpstr>'Section 2 -&gt;'!Z_0D666283_CADB_464A_974F_FFED8E45FEBD_.wvu.Cols</vt:lpstr>
      <vt:lpstr>'Section 3 -&gt;'!Z_0D666283_CADB_464A_974F_FFED8E45FEBD_.wvu.Cols</vt:lpstr>
      <vt:lpstr>'Section 4 -&gt;'!Z_0D666283_CADB_464A_974F_FFED8E45FEBD_.wvu.Cols</vt:lpstr>
      <vt:lpstr>'PC list edited'!Z_0D666283_CADB_464A_974F_FFED8E45FEBD_.wvu.FilterData</vt:lpstr>
      <vt:lpstr>Sewerage!Z_0D666283_CADB_464A_974F_FFED8E45FEBD_.wvu.FilterData</vt:lpstr>
      <vt:lpstr>Water!Z_0D666283_CADB_464A_974F_FFED8E45FEBD_.wvu.FilterData</vt:lpstr>
      <vt:lpstr>'Other -&gt;'!Z_0D666283_CADB_464A_974F_FFED8E45FEBD_.wvu.Rows</vt:lpstr>
      <vt:lpstr>'Section 1 -&gt;'!Z_0D666283_CADB_464A_974F_FFED8E45FEBD_.wvu.Rows</vt:lpstr>
      <vt:lpstr>'Section 2 -&gt;'!Z_0D666283_CADB_464A_974F_FFED8E45FEBD_.wvu.Rows</vt:lpstr>
      <vt:lpstr>'Section 3 -&gt;'!Z_0D666283_CADB_464A_974F_FFED8E45FEBD_.wvu.Rows</vt:lpstr>
      <vt:lpstr>'Section 4 -&gt;'!Z_0D666283_CADB_464A_974F_FFED8E45FEBD_.wvu.Rows</vt:lpstr>
      <vt:lpstr>'2D'!Z_3BF63FB9_9E69_4F23_B37F_22932F355A10_.wvu.Cols</vt:lpstr>
      <vt:lpstr>'4A'!Z_3BF63FB9_9E69_4F23_B37F_22932F355A10_.wvu.Cols</vt:lpstr>
      <vt:lpstr>'Other -&gt;'!Z_3BF63FB9_9E69_4F23_B37F_22932F355A10_.wvu.Cols</vt:lpstr>
      <vt:lpstr>'Section 1 -&gt;'!Z_3BF63FB9_9E69_4F23_B37F_22932F355A10_.wvu.Cols</vt:lpstr>
      <vt:lpstr>'Section 2 -&gt;'!Z_3BF63FB9_9E69_4F23_B37F_22932F355A10_.wvu.Cols</vt:lpstr>
      <vt:lpstr>'Section 3 -&gt;'!Z_3BF63FB9_9E69_4F23_B37F_22932F355A10_.wvu.Cols</vt:lpstr>
      <vt:lpstr>'Section 4 -&gt;'!Z_3BF63FB9_9E69_4F23_B37F_22932F355A10_.wvu.Cols</vt:lpstr>
      <vt:lpstr>'PC list edited'!Z_3BF63FB9_9E69_4F23_B37F_22932F355A10_.wvu.FilterData</vt:lpstr>
      <vt:lpstr>Sewerage!Z_3BF63FB9_9E69_4F23_B37F_22932F355A10_.wvu.FilterData</vt:lpstr>
      <vt:lpstr>Water!Z_3BF63FB9_9E69_4F23_B37F_22932F355A10_.wvu.FilterData</vt:lpstr>
      <vt:lpstr>'Other -&gt;'!Z_3BF63FB9_9E69_4F23_B37F_22932F355A10_.wvu.Rows</vt:lpstr>
      <vt:lpstr>'Section 1 -&gt;'!Z_3BF63FB9_9E69_4F23_B37F_22932F355A10_.wvu.Rows</vt:lpstr>
      <vt:lpstr>'Section 2 -&gt;'!Z_3BF63FB9_9E69_4F23_B37F_22932F355A10_.wvu.Rows</vt:lpstr>
      <vt:lpstr>'Section 3 -&gt;'!Z_3BF63FB9_9E69_4F23_B37F_22932F355A10_.wvu.Rows</vt:lpstr>
      <vt:lpstr>'Section 4 -&gt;'!Z_3BF63FB9_9E69_4F23_B37F_22932F355A10_.wvu.Rows</vt:lpstr>
      <vt:lpstr>'2D'!Z_A683DE68_74F1_44FC_875D_47ACE58076E1_.wvu.Cols</vt:lpstr>
      <vt:lpstr>'4A'!Z_A683DE68_74F1_44FC_875D_47ACE58076E1_.wvu.Cols</vt:lpstr>
      <vt:lpstr>'Other -&gt;'!Z_A683DE68_74F1_44FC_875D_47ACE58076E1_.wvu.Cols</vt:lpstr>
      <vt:lpstr>'Section 1 -&gt;'!Z_A683DE68_74F1_44FC_875D_47ACE58076E1_.wvu.Cols</vt:lpstr>
      <vt:lpstr>'Section 2 -&gt;'!Z_A683DE68_74F1_44FC_875D_47ACE58076E1_.wvu.Cols</vt:lpstr>
      <vt:lpstr>'Section 3 -&gt;'!Z_A683DE68_74F1_44FC_875D_47ACE58076E1_.wvu.Cols</vt:lpstr>
      <vt:lpstr>'Section 4 -&gt;'!Z_A683DE68_74F1_44FC_875D_47ACE58076E1_.wvu.Cols</vt:lpstr>
      <vt:lpstr>'PC list edited'!Z_A683DE68_74F1_44FC_875D_47ACE58076E1_.wvu.FilterData</vt:lpstr>
      <vt:lpstr>Sewerage!Z_A683DE68_74F1_44FC_875D_47ACE58076E1_.wvu.FilterData</vt:lpstr>
      <vt:lpstr>Water!Z_A683DE68_74F1_44FC_875D_47ACE58076E1_.wvu.FilterData</vt:lpstr>
      <vt:lpstr>'Other -&gt;'!Z_A683DE68_74F1_44FC_875D_47ACE58076E1_.wvu.Rows</vt:lpstr>
      <vt:lpstr>'Section 1 -&gt;'!Z_A683DE68_74F1_44FC_875D_47ACE58076E1_.wvu.Rows</vt:lpstr>
      <vt:lpstr>'Section 2 -&gt;'!Z_A683DE68_74F1_44FC_875D_47ACE58076E1_.wvu.Rows</vt:lpstr>
      <vt:lpstr>'Section 3 -&gt;'!Z_A683DE68_74F1_44FC_875D_47ACE58076E1_.wvu.Rows</vt:lpstr>
      <vt:lpstr>'Section 4 -&gt;'!Z_A683DE68_74F1_44FC_875D_47ACE58076E1_.wvu.Rows</vt:lpstr>
      <vt:lpstr>'2D'!Z_B6110306_7EDB_4112_9F29_7D9801D46B38_.wvu.Cols</vt:lpstr>
      <vt:lpstr>'4A'!Z_B6110306_7EDB_4112_9F29_7D9801D46B38_.wvu.Cols</vt:lpstr>
      <vt:lpstr>'Other -&gt;'!Z_B6110306_7EDB_4112_9F29_7D9801D46B38_.wvu.Cols</vt:lpstr>
      <vt:lpstr>'Section 1 -&gt;'!Z_B6110306_7EDB_4112_9F29_7D9801D46B38_.wvu.Cols</vt:lpstr>
      <vt:lpstr>'Section 2 -&gt;'!Z_B6110306_7EDB_4112_9F29_7D9801D46B38_.wvu.Cols</vt:lpstr>
      <vt:lpstr>'Section 3 -&gt;'!Z_B6110306_7EDB_4112_9F29_7D9801D46B38_.wvu.Cols</vt:lpstr>
      <vt:lpstr>'Section 4 -&gt;'!Z_B6110306_7EDB_4112_9F29_7D9801D46B38_.wvu.Cols</vt:lpstr>
      <vt:lpstr>'PC list edited'!Z_B6110306_7EDB_4112_9F29_7D9801D46B38_.wvu.FilterData</vt:lpstr>
      <vt:lpstr>Sewerage!Z_B6110306_7EDB_4112_9F29_7D9801D46B38_.wvu.FilterData</vt:lpstr>
      <vt:lpstr>Water!Z_B6110306_7EDB_4112_9F29_7D9801D46B38_.wvu.FilterData</vt:lpstr>
      <vt:lpstr>'Other -&gt;'!Z_B6110306_7EDB_4112_9F29_7D9801D46B38_.wvu.Rows</vt:lpstr>
      <vt:lpstr>'Section 1 -&gt;'!Z_B6110306_7EDB_4112_9F29_7D9801D46B38_.wvu.Rows</vt:lpstr>
      <vt:lpstr>'Section 2 -&gt;'!Z_B6110306_7EDB_4112_9F29_7D9801D46B38_.wvu.Rows</vt:lpstr>
      <vt:lpstr>'Section 3 -&gt;'!Z_B6110306_7EDB_4112_9F29_7D9801D46B38_.wvu.Rows</vt:lpstr>
      <vt:lpstr>'Section 4 -&gt;'!Z_B6110306_7EDB_4112_9F29_7D9801D46B38_.wvu.Rows</vt:lpstr>
      <vt:lpstr>'PC list edited'!Z_C2AA8589_53C1_4273_B7EE_5FA5323CA1F5_.wvu.FilterData</vt:lpstr>
      <vt:lpstr>Sewerage!Z_C2AA8589_53C1_4273_B7EE_5FA5323CA1F5_.wvu.FilterData</vt:lpstr>
      <vt:lpstr>Water!Z_C2AA8589_53C1_4273_B7EE_5FA5323CA1F5_.wvu.FilterData</vt:lpstr>
      <vt:lpstr>'2D'!Z_C652482F_DA5C_42AD_B6EE_268877F72B6E_.wvu.Cols</vt:lpstr>
      <vt:lpstr>'4A'!Z_C652482F_DA5C_42AD_B6EE_268877F72B6E_.wvu.Cols</vt:lpstr>
      <vt:lpstr>'Other -&gt;'!Z_C652482F_DA5C_42AD_B6EE_268877F72B6E_.wvu.Cols</vt:lpstr>
      <vt:lpstr>'Section 1 -&gt;'!Z_C652482F_DA5C_42AD_B6EE_268877F72B6E_.wvu.Cols</vt:lpstr>
      <vt:lpstr>'Section 2 -&gt;'!Z_C652482F_DA5C_42AD_B6EE_268877F72B6E_.wvu.Cols</vt:lpstr>
      <vt:lpstr>'Section 3 -&gt;'!Z_C652482F_DA5C_42AD_B6EE_268877F72B6E_.wvu.Cols</vt:lpstr>
      <vt:lpstr>'Section 4 -&gt;'!Z_C652482F_DA5C_42AD_B6EE_268877F72B6E_.wvu.Cols</vt:lpstr>
      <vt:lpstr>'PC list edited'!Z_C652482F_DA5C_42AD_B6EE_268877F72B6E_.wvu.FilterData</vt:lpstr>
      <vt:lpstr>Sewerage!Z_C652482F_DA5C_42AD_B6EE_268877F72B6E_.wvu.FilterData</vt:lpstr>
      <vt:lpstr>Water!Z_C652482F_DA5C_42AD_B6EE_268877F72B6E_.wvu.FilterData</vt:lpstr>
      <vt:lpstr>'Other -&gt;'!Z_C652482F_DA5C_42AD_B6EE_268877F72B6E_.wvu.Rows</vt:lpstr>
      <vt:lpstr>'Section 1 -&gt;'!Z_C652482F_DA5C_42AD_B6EE_268877F72B6E_.wvu.Rows</vt:lpstr>
      <vt:lpstr>'Section 2 -&gt;'!Z_C652482F_DA5C_42AD_B6EE_268877F72B6E_.wvu.Rows</vt:lpstr>
      <vt:lpstr>'Section 3 -&gt;'!Z_C652482F_DA5C_42AD_B6EE_268877F72B6E_.wvu.Rows</vt:lpstr>
      <vt:lpstr>'Section 4 -&gt;'!Z_C652482F_DA5C_42AD_B6EE_268877F72B6E_.wvu.Rows</vt:lpstr>
      <vt:lpstr>'PC list edited'!Z_FCCFC11C_78D7_49AB_93F6_D160FB23647D_.wvu.FilterData</vt:lpstr>
      <vt:lpstr>Sewerage!Z_FCCFC11C_78D7_49AB_93F6_D160FB23647D_.wvu.FilterData</vt:lpstr>
      <vt:lpstr>Water!Z_FCCFC11C_78D7_49AB_93F6_D160FB23647D_.wvu.FilterData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2020-03-24T16:48:48Z</dcterms:created>
  <dcterms:modified xsi:type="dcterms:W3CDTF">2020-07-14T09:02:09Z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uthorIds_UIVersion_94">
    <vt:lpwstr>38</vt:lpwstr>
  </property>
  <property fmtid="{D5CDD505-2E9C-101B-9397-08002B2CF9AE}" pid="3" name="AuthorIds_UIVersion_5">
    <vt:lpwstr>38</vt:lpwstr>
  </property>
  <property fmtid="{D5CDD505-2E9C-101B-9397-08002B2CF9AE}" pid="4" name="AuthorIds_UIVersion_512">
    <vt:lpwstr>38</vt:lpwstr>
  </property>
  <property fmtid="{D5CDD505-2E9C-101B-9397-08002B2CF9AE}" pid="5" name="AuthorIds_UIVersion_114">
    <vt:lpwstr>38</vt:lpwstr>
  </property>
  <property fmtid="{D5CDD505-2E9C-101B-9397-08002B2CF9AE}" pid="6" name="AuthorIds_UIVersion_151">
    <vt:lpwstr>17</vt:lpwstr>
  </property>
  <property fmtid="{D5CDD505-2E9C-101B-9397-08002B2CF9AE}" pid="7" name="AuthorIds_UIVersion_21">
    <vt:lpwstr>38</vt:lpwstr>
  </property>
  <property fmtid="{D5CDD505-2E9C-101B-9397-08002B2CF9AE}" pid="8" name="AuthorIds_UIVersion_42">
    <vt:lpwstr>38</vt:lpwstr>
  </property>
  <property fmtid="{D5CDD505-2E9C-101B-9397-08002B2CF9AE}" pid="9" name="Meeting">
    <vt:lpwstr/>
  </property>
  <property fmtid="{D5CDD505-2E9C-101B-9397-08002B2CF9AE}" pid="10" name="AuthorIds_UIVersion_63">
    <vt:lpwstr>38</vt:lpwstr>
  </property>
  <property fmtid="{D5CDD505-2E9C-101B-9397-08002B2CF9AE}" pid="11" name="AuthorIds_UIVersion_162">
    <vt:lpwstr>17</vt:lpwstr>
  </property>
  <property fmtid="{D5CDD505-2E9C-101B-9397-08002B2CF9AE}" pid="12" name="AuthorIds_UIVersion_146">
    <vt:lpwstr>17</vt:lpwstr>
  </property>
  <property fmtid="{D5CDD505-2E9C-101B-9397-08002B2CF9AE}" pid="13" name="AuthorIds_UIVersion_141">
    <vt:lpwstr>38</vt:lpwstr>
  </property>
  <property fmtid="{D5CDD505-2E9C-101B-9397-08002B2CF9AE}" pid="14" name="Stakeholder 2">
    <vt:lpwstr/>
  </property>
  <property fmtid="{D5CDD505-2E9C-101B-9397-08002B2CF9AE}" pid="15" name="ContentTypeId">
    <vt:lpwstr>0x01010018BD532C285B8A47960A4E9E2CF9783300AF841C6582DE3849B1A75FB65CDE4F84</vt:lpwstr>
  </property>
  <property fmtid="{D5CDD505-2E9C-101B-9397-08002B2CF9AE}" pid="16" name="AuthorIds_UIVersion_6">
    <vt:lpwstr>38</vt:lpwstr>
  </property>
  <property fmtid="{D5CDD505-2E9C-101B-9397-08002B2CF9AE}" pid="17" name="AuthorIds_UIVersion_131">
    <vt:lpwstr>38</vt:lpwstr>
  </property>
  <property fmtid="{D5CDD505-2E9C-101B-9397-08002B2CF9AE}" pid="18" name="AuthorIds_UIVersion_69">
    <vt:lpwstr>38</vt:lpwstr>
  </property>
  <property fmtid="{D5CDD505-2E9C-101B-9397-08002B2CF9AE}" pid="19" name="AuthorIds_UIVersion_152">
    <vt:lpwstr>17</vt:lpwstr>
  </property>
  <property fmtid="{D5CDD505-2E9C-101B-9397-08002B2CF9AE}" pid="20" name="Hierarchy">
    <vt:lpwstr/>
  </property>
  <property fmtid="{D5CDD505-2E9C-101B-9397-08002B2CF9AE}" pid="21" name="AuthorIds_UIVersion_136">
    <vt:lpwstr>38</vt:lpwstr>
  </property>
  <property fmtid="{D5CDD505-2E9C-101B-9397-08002B2CF9AE}" pid="22" name="Collection">
    <vt:lpwstr/>
  </property>
  <property fmtid="{D5CDD505-2E9C-101B-9397-08002B2CF9AE}" pid="23" name="AuthorIds_UIVersion_80">
    <vt:lpwstr>38</vt:lpwstr>
  </property>
  <property fmtid="{D5CDD505-2E9C-101B-9397-08002B2CF9AE}" pid="24" name="AuthorIds_UIVersion_38">
    <vt:lpwstr>38</vt:lpwstr>
  </property>
  <property fmtid="{D5CDD505-2E9C-101B-9397-08002B2CF9AE}" pid="25" name="AuthorIds_UIVersion_163">
    <vt:lpwstr>17</vt:lpwstr>
  </property>
  <property fmtid="{D5CDD505-2E9C-101B-9397-08002B2CF9AE}" pid="26" name="Project Code">
    <vt:lpwstr>5;#Information and modelling|1370ae46-907c-4042-a177-a0ab02e852c2</vt:lpwstr>
  </property>
  <property fmtid="{D5CDD505-2E9C-101B-9397-08002B2CF9AE}" pid="27" name="AuthorIds_UIVersion_12">
    <vt:lpwstr>38</vt:lpwstr>
  </property>
  <property fmtid="{D5CDD505-2E9C-101B-9397-08002B2CF9AE}" pid="28" name="Stakeholder 3">
    <vt:lpwstr/>
  </property>
  <property fmtid="{D5CDD505-2E9C-101B-9397-08002B2CF9AE}" pid="29" name="AuthorIds_UIVersion_7">
    <vt:lpwstr>38</vt:lpwstr>
  </property>
  <property fmtid="{D5CDD505-2E9C-101B-9397-08002B2CF9AE}" pid="30" name="AuthorIds_UIVersion_111">
    <vt:lpwstr>38</vt:lpwstr>
  </property>
  <property fmtid="{D5CDD505-2E9C-101B-9397-08002B2CF9AE}" pid="31" name="AuthorIds_UIVersion_2">
    <vt:lpwstr>38</vt:lpwstr>
  </property>
  <property fmtid="{D5CDD505-2E9C-101B-9397-08002B2CF9AE}" pid="32" name="Follow-up">
    <vt:bool>false</vt:bool>
  </property>
  <property fmtid="{D5CDD505-2E9C-101B-9397-08002B2CF9AE}" pid="33" name="AuthorIds_UIVersion_116">
    <vt:lpwstr>38</vt:lpwstr>
  </property>
  <property fmtid="{D5CDD505-2E9C-101B-9397-08002B2CF9AE}" pid="34" name="AuthorIds_UIVersion_153">
    <vt:lpwstr>17</vt:lpwstr>
  </property>
  <property fmtid="{D5CDD505-2E9C-101B-9397-08002B2CF9AE}" pid="35" name="Stakeholder">
    <vt:lpwstr/>
  </property>
  <property fmtid="{D5CDD505-2E9C-101B-9397-08002B2CF9AE}" pid="36" name="AuthorIds_UIVersion_10">
    <vt:lpwstr>38</vt:lpwstr>
  </property>
  <property fmtid="{D5CDD505-2E9C-101B-9397-08002B2CF9AE}" pid="37" name="AuthorIds_UIVersion_161">
    <vt:lpwstr>17</vt:lpwstr>
  </property>
  <property fmtid="{D5CDD505-2E9C-101B-9397-08002B2CF9AE}" pid="38" name="Security Classification">
    <vt:lpwstr>21;#OFFICIAL|c2540f30-f875-494b-a43f-ebfb5017a6ad</vt:lpwstr>
  </property>
  <property fmtid="{D5CDD505-2E9C-101B-9397-08002B2CF9AE}" pid="39" name="AuthorIds_UIVersion_148">
    <vt:lpwstr>17</vt:lpwstr>
  </property>
  <property fmtid="{D5CDD505-2E9C-101B-9397-08002B2CF9AE}" pid="40" name="AuthorIds_UIVersion_164">
    <vt:lpwstr>17</vt:lpwstr>
  </property>
  <property fmtid="{D5CDD505-2E9C-101B-9397-08002B2CF9AE}" pid="41" name="AuthorIds_UIVersion_143">
    <vt:lpwstr>38</vt:lpwstr>
  </property>
  <property fmtid="{D5CDD505-2E9C-101B-9397-08002B2CF9AE}" pid="42" name="AuthorIds_UIVersion_55">
    <vt:lpwstr>38</vt:lpwstr>
  </property>
  <property fmtid="{D5CDD505-2E9C-101B-9397-08002B2CF9AE}" pid="43" name="AuthorIds_UIVersion_13">
    <vt:lpwstr>38</vt:lpwstr>
  </property>
  <property fmtid="{D5CDD505-2E9C-101B-9397-08002B2CF9AE}" pid="44" name="Stakeholder 4">
    <vt:lpwstr/>
  </property>
  <property fmtid="{D5CDD505-2E9C-101B-9397-08002B2CF9AE}" pid="45" name="AuthorIds_UIVersion_159">
    <vt:lpwstr>17</vt:lpwstr>
  </property>
  <property fmtid="{D5CDD505-2E9C-101B-9397-08002B2CF9AE}" pid="46" name="AuthorIds_UIVersion_8">
    <vt:lpwstr>38</vt:lpwstr>
  </property>
  <property fmtid="{D5CDD505-2E9C-101B-9397-08002B2CF9AE}" pid="47" name="AuthorIds_UIVersion_3">
    <vt:lpwstr>38</vt:lpwstr>
  </property>
  <property fmtid="{D5CDD505-2E9C-101B-9397-08002B2CF9AE}" pid="48" name="AuthorIds_UIVersion_154">
    <vt:lpwstr>17</vt:lpwstr>
  </property>
  <property fmtid="{D5CDD505-2E9C-101B-9397-08002B2CF9AE}" pid="49" name="AuthorIds_UIVersion_87">
    <vt:lpwstr>38</vt:lpwstr>
  </property>
  <property fmtid="{D5CDD505-2E9C-101B-9397-08002B2CF9AE}" pid="50" name="AuthorIds_UIVersion_40">
    <vt:lpwstr>38</vt:lpwstr>
  </property>
  <property fmtid="{D5CDD505-2E9C-101B-9397-08002B2CF9AE}" pid="51" name="AuthorIds_UIVersion_128">
    <vt:lpwstr>38</vt:lpwstr>
  </property>
  <property fmtid="{D5CDD505-2E9C-101B-9397-08002B2CF9AE}" pid="52" name="AuthorIds_UIVersion_149">
    <vt:lpwstr>17</vt:lpwstr>
  </property>
  <property fmtid="{D5CDD505-2E9C-101B-9397-08002B2CF9AE}" pid="53" name="AuthorIds_UIVersion_144">
    <vt:lpwstr>17</vt:lpwstr>
  </property>
  <property fmtid="{D5CDD505-2E9C-101B-9397-08002B2CF9AE}" pid="54" name="AuthorIds_UIVersion_14">
    <vt:lpwstr>38</vt:lpwstr>
  </property>
  <property fmtid="{D5CDD505-2E9C-101B-9397-08002B2CF9AE}" pid="55" name="AuthorIds_UIVersion_165">
    <vt:lpwstr>38</vt:lpwstr>
  </property>
  <property fmtid="{D5CDD505-2E9C-101B-9397-08002B2CF9AE}" pid="56" name="AuthorIds_UIVersion_35">
    <vt:lpwstr>38</vt:lpwstr>
  </property>
  <property fmtid="{D5CDD505-2E9C-101B-9397-08002B2CF9AE}" pid="57" name="AuthorIds_UIVersion_72">
    <vt:lpwstr>38</vt:lpwstr>
  </property>
  <property fmtid="{D5CDD505-2E9C-101B-9397-08002B2CF9AE}" pid="58" name="Stakeholder 5">
    <vt:lpwstr/>
  </property>
  <property fmtid="{D5CDD505-2E9C-101B-9397-08002B2CF9AE}" pid="59" name="AuthorIds_UIVersion_160">
    <vt:lpwstr>17</vt:lpwstr>
  </property>
  <property fmtid="{D5CDD505-2E9C-101B-9397-08002B2CF9AE}" pid="60" name="AuthorIds_UIVersion_9">
    <vt:lpwstr>38</vt:lpwstr>
  </property>
  <property fmtid="{D5CDD505-2E9C-101B-9397-08002B2CF9AE}" pid="61" name="AuthorIds_UIVersion_4">
    <vt:lpwstr>38</vt:lpwstr>
  </property>
  <property fmtid="{D5CDD505-2E9C-101B-9397-08002B2CF9AE}" pid="62" name="AuthorIds_UIVersion_25">
    <vt:lpwstr>38</vt:lpwstr>
  </property>
  <property fmtid="{D5CDD505-2E9C-101B-9397-08002B2CF9AE}" pid="63" name="AuthorIds_UIVersion_134">
    <vt:lpwstr>38</vt:lpwstr>
  </property>
  <property fmtid="{D5CDD505-2E9C-101B-9397-08002B2CF9AE}" pid="64" name="AuthorIds_UIVersion_150">
    <vt:lpwstr>17</vt:lpwstr>
  </property>
  <property fmtid="{D5CDD505-2E9C-101B-9397-08002B2CF9AE}" pid="65" name="AuthorIds_UIVersion_88">
    <vt:lpwstr>38</vt:lpwstr>
  </property>
  <property fmtid="{D5CDD505-2E9C-101B-9397-08002B2CF9AE}" pid="66" name="AuthorIds_UIVersion_124">
    <vt:lpwstr>38</vt:lpwstr>
  </property>
  <property fmtid="{D5CDD505-2E9C-101B-9397-08002B2CF9AE}" pid="67" name="AuthorIds_UIVersion_145">
    <vt:lpwstr>17</vt:lpwstr>
  </property>
</Properties>
</file>